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 defaultThemeVersion="124226"/>
  <xr:revisionPtr revIDLastSave="0" documentId="13_ncr:1_{C4EF61B7-FBCA-44C4-95BA-38C361CC10A4}" xr6:coauthVersionLast="41" xr6:coauthVersionMax="41" xr10:uidLastSave="{00000000-0000-0000-0000-000000000000}"/>
  <bookViews>
    <workbookView xWindow="-120" yWindow="-120" windowWidth="29040" windowHeight="15840" firstSheet="4" activeTab="7" xr2:uid="{00000000-000D-0000-FFFF-FFFF00000000}"/>
  </bookViews>
  <sheets>
    <sheet name="2000 Place" sheetId="2" r:id="rId1"/>
    <sheet name="2000 2017 Place Conc" sheetId="6" r:id="rId2"/>
    <sheet name="2017 Place" sheetId="1" r:id="rId3"/>
    <sheet name="2000 Seattle Tracts" sheetId="4" r:id="rId4"/>
    <sheet name="2000 Seattle Tracts Conc" sheetId="7" r:id="rId5"/>
    <sheet name="2017 Seattle Tracts" sheetId="3" r:id="rId6"/>
    <sheet name="2017 Seattle Tracts Conc" sheetId="8" r:id="rId7"/>
    <sheet name="KC 2000 and 2017 Race" sheetId="5" r:id="rId8"/>
  </sheets>
  <externalReferences>
    <externalReference r:id="rId9"/>
  </externalReferences>
  <definedNames>
    <definedName name="_xlnm._FilterDatabase" localSheetId="1" hidden="1">'2000 2017 Place Conc'!$A$1:$V$627</definedName>
  </definedNames>
  <calcPr calcId="191029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60" i="5" l="1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Y59" i="5"/>
  <c r="X59" i="5"/>
  <c r="E60" i="5" l="1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E59" i="5"/>
  <c r="AG351" i="7"/>
  <c r="AT404" i="7"/>
  <c r="AT420" i="7"/>
  <c r="AT436" i="7"/>
  <c r="AT452" i="7"/>
  <c r="AT468" i="7"/>
  <c r="AT484" i="7"/>
  <c r="AG499" i="7"/>
  <c r="AX3" i="7"/>
  <c r="Z2" i="4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F232" i="7" s="1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G319" i="7" s="1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Q336" i="7" s="1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Q368" i="7" s="1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G383" i="7" s="1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Q400" i="7" s="1"/>
  <c r="AB401" i="7"/>
  <c r="AB402" i="7"/>
  <c r="AB403" i="7"/>
  <c r="AB404" i="7"/>
  <c r="AB405" i="7"/>
  <c r="AB406" i="7"/>
  <c r="AB407" i="7"/>
  <c r="AB408" i="7"/>
  <c r="AL408" i="7" s="1"/>
  <c r="AB409" i="7"/>
  <c r="AB410" i="7"/>
  <c r="AB411" i="7"/>
  <c r="AB412" i="7"/>
  <c r="AB413" i="7"/>
  <c r="AB414" i="7"/>
  <c r="AB415" i="7"/>
  <c r="AB416" i="7"/>
  <c r="AL416" i="7" s="1"/>
  <c r="AB417" i="7"/>
  <c r="AB418" i="7"/>
  <c r="AB419" i="7"/>
  <c r="AB420" i="7"/>
  <c r="AB421" i="7"/>
  <c r="AB422" i="7"/>
  <c r="AB423" i="7"/>
  <c r="AB424" i="7"/>
  <c r="AL424" i="7" s="1"/>
  <c r="AB425" i="7"/>
  <c r="AB426" i="7"/>
  <c r="AB427" i="7"/>
  <c r="AB428" i="7"/>
  <c r="AB429" i="7"/>
  <c r="AB430" i="7"/>
  <c r="AB431" i="7"/>
  <c r="AB432" i="7"/>
  <c r="AL432" i="7" s="1"/>
  <c r="AB433" i="7"/>
  <c r="AB434" i="7"/>
  <c r="AB435" i="7"/>
  <c r="AB436" i="7"/>
  <c r="AB437" i="7"/>
  <c r="AB438" i="7"/>
  <c r="AB439" i="7"/>
  <c r="AB440" i="7"/>
  <c r="AL440" i="7" s="1"/>
  <c r="AB441" i="7"/>
  <c r="AB442" i="7"/>
  <c r="AB443" i="7"/>
  <c r="AB444" i="7"/>
  <c r="AB445" i="7"/>
  <c r="AB446" i="7"/>
  <c r="AB447" i="7"/>
  <c r="AB448" i="7"/>
  <c r="AL448" i="7" s="1"/>
  <c r="AB449" i="7"/>
  <c r="AB450" i="7"/>
  <c r="AB451" i="7"/>
  <c r="AB452" i="7"/>
  <c r="AB453" i="7"/>
  <c r="AB454" i="7"/>
  <c r="AB455" i="7"/>
  <c r="AB456" i="7"/>
  <c r="AL456" i="7" s="1"/>
  <c r="AB457" i="7"/>
  <c r="AB458" i="7"/>
  <c r="AB459" i="7"/>
  <c r="AB460" i="7"/>
  <c r="AB461" i="7"/>
  <c r="AB462" i="7"/>
  <c r="AB463" i="7"/>
  <c r="AB464" i="7"/>
  <c r="AL464" i="7" s="1"/>
  <c r="AB465" i="7"/>
  <c r="AB466" i="7"/>
  <c r="AB467" i="7"/>
  <c r="AB468" i="7"/>
  <c r="AB469" i="7"/>
  <c r="AB470" i="7"/>
  <c r="AB471" i="7"/>
  <c r="AB472" i="7"/>
  <c r="AL472" i="7" s="1"/>
  <c r="AB473" i="7"/>
  <c r="AB474" i="7"/>
  <c r="AB475" i="7"/>
  <c r="AB476" i="7"/>
  <c r="AB477" i="7"/>
  <c r="AB478" i="7"/>
  <c r="AB479" i="7"/>
  <c r="AB480" i="7"/>
  <c r="AL480" i="7" s="1"/>
  <c r="AB481" i="7"/>
  <c r="AB482" i="7"/>
  <c r="AB483" i="7"/>
  <c r="AB484" i="7"/>
  <c r="AB485" i="7"/>
  <c r="AB486" i="7"/>
  <c r="AB487" i="7"/>
  <c r="AB488" i="7"/>
  <c r="AL488" i="7" s="1"/>
  <c r="AB489" i="7"/>
  <c r="AB490" i="7"/>
  <c r="AB491" i="7"/>
  <c r="AB492" i="7"/>
  <c r="AB493" i="7"/>
  <c r="AB494" i="7"/>
  <c r="AB495" i="7"/>
  <c r="AV495" i="7" s="1"/>
  <c r="AB496" i="7"/>
  <c r="AB497" i="7"/>
  <c r="AB498" i="7"/>
  <c r="AB499" i="7"/>
  <c r="AB500" i="7"/>
  <c r="AB501" i="7"/>
  <c r="AB502" i="7"/>
  <c r="AB3" i="7"/>
  <c r="AH3" i="7" s="1"/>
  <c r="Y4" i="7"/>
  <c r="Z4" i="7" s="1"/>
  <c r="Y5" i="7"/>
  <c r="Z5" i="7" s="1"/>
  <c r="Y6" i="7"/>
  <c r="Z6" i="7" s="1"/>
  <c r="Y7" i="7"/>
  <c r="Z7" i="7" s="1"/>
  <c r="Y8" i="7"/>
  <c r="Z8" i="7" s="1"/>
  <c r="Y9" i="7"/>
  <c r="Z9" i="7" s="1"/>
  <c r="Y10" i="7"/>
  <c r="Z10" i="7" s="1"/>
  <c r="Y11" i="7"/>
  <c r="Z11" i="7" s="1"/>
  <c r="Y12" i="7"/>
  <c r="Z12" i="7" s="1"/>
  <c r="Y13" i="7"/>
  <c r="Z13" i="7" s="1"/>
  <c r="Y14" i="7"/>
  <c r="Z14" i="7" s="1"/>
  <c r="Y15" i="7"/>
  <c r="Z15" i="7" s="1"/>
  <c r="Y16" i="7"/>
  <c r="Z16" i="7" s="1"/>
  <c r="Y17" i="7"/>
  <c r="Z17" i="7" s="1"/>
  <c r="Y18" i="7"/>
  <c r="Z18" i="7" s="1"/>
  <c r="Y19" i="7"/>
  <c r="Z19" i="7" s="1"/>
  <c r="Y20" i="7"/>
  <c r="Z20" i="7" s="1"/>
  <c r="Y21" i="7"/>
  <c r="Z21" i="7" s="1"/>
  <c r="Y22" i="7"/>
  <c r="Z22" i="7" s="1"/>
  <c r="Y23" i="7"/>
  <c r="Z23" i="7" s="1"/>
  <c r="Y24" i="7"/>
  <c r="Z24" i="7" s="1"/>
  <c r="Y25" i="7"/>
  <c r="Z25" i="7" s="1"/>
  <c r="Y26" i="7"/>
  <c r="Z26" i="7" s="1"/>
  <c r="Y27" i="7"/>
  <c r="Z27" i="7" s="1"/>
  <c r="Y28" i="7"/>
  <c r="Z28" i="7" s="1"/>
  <c r="Y29" i="7"/>
  <c r="Z29" i="7" s="1"/>
  <c r="Y30" i="7"/>
  <c r="Z30" i="7" s="1"/>
  <c r="Y31" i="7"/>
  <c r="Z31" i="7" s="1"/>
  <c r="Y32" i="7"/>
  <c r="Z32" i="7" s="1"/>
  <c r="Y33" i="7"/>
  <c r="Z33" i="7" s="1"/>
  <c r="Y34" i="7"/>
  <c r="Z34" i="7" s="1"/>
  <c r="Y35" i="7"/>
  <c r="Z35" i="7" s="1"/>
  <c r="Y36" i="7"/>
  <c r="Z36" i="7" s="1"/>
  <c r="Y37" i="7"/>
  <c r="Z37" i="7" s="1"/>
  <c r="Y38" i="7"/>
  <c r="Z38" i="7" s="1"/>
  <c r="Y39" i="7"/>
  <c r="Z39" i="7" s="1"/>
  <c r="Y40" i="7"/>
  <c r="Z40" i="7" s="1"/>
  <c r="Y41" i="7"/>
  <c r="Z41" i="7" s="1"/>
  <c r="Y42" i="7"/>
  <c r="Z42" i="7" s="1"/>
  <c r="Y43" i="7"/>
  <c r="Z43" i="7" s="1"/>
  <c r="Y44" i="7"/>
  <c r="Z44" i="7" s="1"/>
  <c r="Y45" i="7"/>
  <c r="Z45" i="7" s="1"/>
  <c r="Y46" i="7"/>
  <c r="Z46" i="7" s="1"/>
  <c r="Y47" i="7"/>
  <c r="Z47" i="7" s="1"/>
  <c r="Y48" i="7"/>
  <c r="Z48" i="7" s="1"/>
  <c r="Y49" i="7"/>
  <c r="Z49" i="7" s="1"/>
  <c r="Y50" i="7"/>
  <c r="Z50" i="7" s="1"/>
  <c r="Y51" i="7"/>
  <c r="Z51" i="7" s="1"/>
  <c r="Y52" i="7"/>
  <c r="Z52" i="7" s="1"/>
  <c r="Y53" i="7"/>
  <c r="Z53" i="7" s="1"/>
  <c r="Y54" i="7"/>
  <c r="Z54" i="7" s="1"/>
  <c r="Y55" i="7"/>
  <c r="Z55" i="7" s="1"/>
  <c r="Y56" i="7"/>
  <c r="Z56" i="7" s="1"/>
  <c r="Y57" i="7"/>
  <c r="Z57" i="7" s="1"/>
  <c r="Y58" i="7"/>
  <c r="Z58" i="7" s="1"/>
  <c r="Y59" i="7"/>
  <c r="Z59" i="7" s="1"/>
  <c r="Y60" i="7"/>
  <c r="Z60" i="7" s="1"/>
  <c r="Y61" i="7"/>
  <c r="Z61" i="7" s="1"/>
  <c r="Y62" i="7"/>
  <c r="Z62" i="7" s="1"/>
  <c r="Y63" i="7"/>
  <c r="Z63" i="7" s="1"/>
  <c r="Y64" i="7"/>
  <c r="Z64" i="7" s="1"/>
  <c r="Y65" i="7"/>
  <c r="Z65" i="7" s="1"/>
  <c r="Y66" i="7"/>
  <c r="Z66" i="7" s="1"/>
  <c r="Y67" i="7"/>
  <c r="Z67" i="7" s="1"/>
  <c r="Y68" i="7"/>
  <c r="Z68" i="7" s="1"/>
  <c r="Y69" i="7"/>
  <c r="Z69" i="7" s="1"/>
  <c r="Y70" i="7"/>
  <c r="Z70" i="7" s="1"/>
  <c r="Y71" i="7"/>
  <c r="Z71" i="7" s="1"/>
  <c r="Y72" i="7"/>
  <c r="Z72" i="7" s="1"/>
  <c r="Y73" i="7"/>
  <c r="Z73" i="7" s="1"/>
  <c r="Y74" i="7"/>
  <c r="Z74" i="7" s="1"/>
  <c r="Y75" i="7"/>
  <c r="Z75" i="7" s="1"/>
  <c r="Y76" i="7"/>
  <c r="Z76" i="7" s="1"/>
  <c r="Y77" i="7"/>
  <c r="Z77" i="7" s="1"/>
  <c r="Y78" i="7"/>
  <c r="Z78" i="7" s="1"/>
  <c r="Y79" i="7"/>
  <c r="Z79" i="7" s="1"/>
  <c r="Y80" i="7"/>
  <c r="Z80" i="7" s="1"/>
  <c r="Y81" i="7"/>
  <c r="Z81" i="7" s="1"/>
  <c r="Y82" i="7"/>
  <c r="Z82" i="7" s="1"/>
  <c r="Y83" i="7"/>
  <c r="Z83" i="7" s="1"/>
  <c r="Y84" i="7"/>
  <c r="Z84" i="7" s="1"/>
  <c r="Y85" i="7"/>
  <c r="Z85" i="7" s="1"/>
  <c r="Y86" i="7"/>
  <c r="Z86" i="7" s="1"/>
  <c r="Y87" i="7"/>
  <c r="Z87" i="7" s="1"/>
  <c r="Y88" i="7"/>
  <c r="Z88" i="7" s="1"/>
  <c r="Y89" i="7"/>
  <c r="Z89" i="7" s="1"/>
  <c r="Y90" i="7"/>
  <c r="Z90" i="7" s="1"/>
  <c r="Y91" i="7"/>
  <c r="Z91" i="7" s="1"/>
  <c r="Y92" i="7"/>
  <c r="Z92" i="7" s="1"/>
  <c r="Y93" i="7"/>
  <c r="Z93" i="7" s="1"/>
  <c r="Y94" i="7"/>
  <c r="Z94" i="7" s="1"/>
  <c r="Y95" i="7"/>
  <c r="Z95" i="7" s="1"/>
  <c r="Y96" i="7"/>
  <c r="Z96" i="7" s="1"/>
  <c r="Y97" i="7"/>
  <c r="Z97" i="7" s="1"/>
  <c r="Y98" i="7"/>
  <c r="Z98" i="7" s="1"/>
  <c r="Y99" i="7"/>
  <c r="Z99" i="7" s="1"/>
  <c r="Y100" i="7"/>
  <c r="Z100" i="7" s="1"/>
  <c r="Y101" i="7"/>
  <c r="Z101" i="7" s="1"/>
  <c r="Y102" i="7"/>
  <c r="Z102" i="7" s="1"/>
  <c r="Y103" i="7"/>
  <c r="Z103" i="7" s="1"/>
  <c r="Y104" i="7"/>
  <c r="Z104" i="7" s="1"/>
  <c r="Y105" i="7"/>
  <c r="Z105" i="7" s="1"/>
  <c r="Y106" i="7"/>
  <c r="Z106" i="7" s="1"/>
  <c r="Y107" i="7"/>
  <c r="Z107" i="7" s="1"/>
  <c r="Y108" i="7"/>
  <c r="Z108" i="7" s="1"/>
  <c r="Y109" i="7"/>
  <c r="Z109" i="7" s="1"/>
  <c r="Y110" i="7"/>
  <c r="Z110" i="7" s="1"/>
  <c r="Y111" i="7"/>
  <c r="Z111" i="7" s="1"/>
  <c r="Y112" i="7"/>
  <c r="Z112" i="7" s="1"/>
  <c r="Y113" i="7"/>
  <c r="Z113" i="7" s="1"/>
  <c r="Y114" i="7"/>
  <c r="Z114" i="7" s="1"/>
  <c r="Y115" i="7"/>
  <c r="Z115" i="7" s="1"/>
  <c r="Y116" i="7"/>
  <c r="Z116" i="7" s="1"/>
  <c r="Y117" i="7"/>
  <c r="Z117" i="7" s="1"/>
  <c r="Y118" i="7"/>
  <c r="Z118" i="7" s="1"/>
  <c r="Y119" i="7"/>
  <c r="Z119" i="7" s="1"/>
  <c r="Y120" i="7"/>
  <c r="Z120" i="7" s="1"/>
  <c r="Y121" i="7"/>
  <c r="Z121" i="7" s="1"/>
  <c r="Y122" i="7"/>
  <c r="Z122" i="7" s="1"/>
  <c r="Y123" i="7"/>
  <c r="Z123" i="7" s="1"/>
  <c r="Y124" i="7"/>
  <c r="Z124" i="7" s="1"/>
  <c r="Y125" i="7"/>
  <c r="Z125" i="7" s="1"/>
  <c r="Y126" i="7"/>
  <c r="Z126" i="7" s="1"/>
  <c r="Y127" i="7"/>
  <c r="Z127" i="7" s="1"/>
  <c r="Y128" i="7"/>
  <c r="Z128" i="7" s="1"/>
  <c r="Y129" i="7"/>
  <c r="Z129" i="7" s="1"/>
  <c r="Y130" i="7"/>
  <c r="Z130" i="7" s="1"/>
  <c r="Y131" i="7"/>
  <c r="Z131" i="7" s="1"/>
  <c r="Y132" i="7"/>
  <c r="Z132" i="7" s="1"/>
  <c r="Y133" i="7"/>
  <c r="Z133" i="7" s="1"/>
  <c r="Y134" i="7"/>
  <c r="Z134" i="7" s="1"/>
  <c r="Y135" i="7"/>
  <c r="Z135" i="7" s="1"/>
  <c r="Y136" i="7"/>
  <c r="Z136" i="7" s="1"/>
  <c r="Y137" i="7"/>
  <c r="Z137" i="7" s="1"/>
  <c r="Y138" i="7"/>
  <c r="Z138" i="7" s="1"/>
  <c r="Y139" i="7"/>
  <c r="Z139" i="7" s="1"/>
  <c r="Y140" i="7"/>
  <c r="Z140" i="7" s="1"/>
  <c r="Y141" i="7"/>
  <c r="Z141" i="7" s="1"/>
  <c r="Y142" i="7"/>
  <c r="Z142" i="7" s="1"/>
  <c r="Y143" i="7"/>
  <c r="Z143" i="7" s="1"/>
  <c r="Y144" i="7"/>
  <c r="Z144" i="7" s="1"/>
  <c r="Y145" i="7"/>
  <c r="Z145" i="7" s="1"/>
  <c r="Y146" i="7"/>
  <c r="Z146" i="7" s="1"/>
  <c r="Y147" i="7"/>
  <c r="Z147" i="7" s="1"/>
  <c r="Y148" i="7"/>
  <c r="Z148" i="7" s="1"/>
  <c r="Y149" i="7"/>
  <c r="Z149" i="7" s="1"/>
  <c r="Y150" i="7"/>
  <c r="Z150" i="7" s="1"/>
  <c r="Y151" i="7"/>
  <c r="Z151" i="7" s="1"/>
  <c r="Y152" i="7"/>
  <c r="Z152" i="7" s="1"/>
  <c r="Y153" i="7"/>
  <c r="Z153" i="7" s="1"/>
  <c r="Y154" i="7"/>
  <c r="Z154" i="7" s="1"/>
  <c r="Y155" i="7"/>
  <c r="Z155" i="7" s="1"/>
  <c r="Y156" i="7"/>
  <c r="Z156" i="7" s="1"/>
  <c r="Y157" i="7"/>
  <c r="Z157" i="7" s="1"/>
  <c r="Y158" i="7"/>
  <c r="Z158" i="7" s="1"/>
  <c r="Y159" i="7"/>
  <c r="Z159" i="7" s="1"/>
  <c r="Y160" i="7"/>
  <c r="Z160" i="7" s="1"/>
  <c r="Y161" i="7"/>
  <c r="Z161" i="7" s="1"/>
  <c r="Y162" i="7"/>
  <c r="Z162" i="7" s="1"/>
  <c r="Y163" i="7"/>
  <c r="Z163" i="7" s="1"/>
  <c r="Y164" i="7"/>
  <c r="Z164" i="7" s="1"/>
  <c r="Y165" i="7"/>
  <c r="Z165" i="7" s="1"/>
  <c r="Y166" i="7"/>
  <c r="Z166" i="7" s="1"/>
  <c r="Y167" i="7"/>
  <c r="Z167" i="7" s="1"/>
  <c r="Y168" i="7"/>
  <c r="Z168" i="7" s="1"/>
  <c r="Y169" i="7"/>
  <c r="Z169" i="7" s="1"/>
  <c r="Y170" i="7"/>
  <c r="Z170" i="7" s="1"/>
  <c r="Y171" i="7"/>
  <c r="Z171" i="7" s="1"/>
  <c r="Y172" i="7"/>
  <c r="Z172" i="7" s="1"/>
  <c r="Y173" i="7"/>
  <c r="Z173" i="7" s="1"/>
  <c r="Y174" i="7"/>
  <c r="Z174" i="7" s="1"/>
  <c r="Y175" i="7"/>
  <c r="Z175" i="7" s="1"/>
  <c r="Y176" i="7"/>
  <c r="Z176" i="7" s="1"/>
  <c r="Y177" i="7"/>
  <c r="Z177" i="7" s="1"/>
  <c r="Y178" i="7"/>
  <c r="Z178" i="7" s="1"/>
  <c r="Y179" i="7"/>
  <c r="Z179" i="7" s="1"/>
  <c r="Y180" i="7"/>
  <c r="Z180" i="7" s="1"/>
  <c r="Y181" i="7"/>
  <c r="Z181" i="7" s="1"/>
  <c r="Y182" i="7"/>
  <c r="Z182" i="7" s="1"/>
  <c r="Y183" i="7"/>
  <c r="Z183" i="7" s="1"/>
  <c r="Y184" i="7"/>
  <c r="Z184" i="7" s="1"/>
  <c r="Y185" i="7"/>
  <c r="Z185" i="7" s="1"/>
  <c r="Y186" i="7"/>
  <c r="Z186" i="7" s="1"/>
  <c r="Y187" i="7"/>
  <c r="Z187" i="7" s="1"/>
  <c r="Y188" i="7"/>
  <c r="Z188" i="7" s="1"/>
  <c r="Y189" i="7"/>
  <c r="Z189" i="7" s="1"/>
  <c r="Y190" i="7"/>
  <c r="Z190" i="7" s="1"/>
  <c r="Y191" i="7"/>
  <c r="Z191" i="7" s="1"/>
  <c r="Y192" i="7"/>
  <c r="Z192" i="7" s="1"/>
  <c r="Y193" i="7"/>
  <c r="Z193" i="7" s="1"/>
  <c r="Y194" i="7"/>
  <c r="Z194" i="7" s="1"/>
  <c r="Y195" i="7"/>
  <c r="Z195" i="7" s="1"/>
  <c r="Y196" i="7"/>
  <c r="Z196" i="7" s="1"/>
  <c r="Y197" i="7"/>
  <c r="Z197" i="7" s="1"/>
  <c r="Y198" i="7"/>
  <c r="Z198" i="7" s="1"/>
  <c r="Y199" i="7"/>
  <c r="Z199" i="7" s="1"/>
  <c r="Y200" i="7"/>
  <c r="Z200" i="7" s="1"/>
  <c r="Y201" i="7"/>
  <c r="Z201" i="7" s="1"/>
  <c r="Y202" i="7"/>
  <c r="Z202" i="7" s="1"/>
  <c r="Y203" i="7"/>
  <c r="Z203" i="7" s="1"/>
  <c r="Y204" i="7"/>
  <c r="Z204" i="7" s="1"/>
  <c r="Y205" i="7"/>
  <c r="Z205" i="7" s="1"/>
  <c r="Y206" i="7"/>
  <c r="Z206" i="7" s="1"/>
  <c r="Y207" i="7"/>
  <c r="Z207" i="7" s="1"/>
  <c r="Y208" i="7"/>
  <c r="Z208" i="7" s="1"/>
  <c r="Y209" i="7"/>
  <c r="Z209" i="7" s="1"/>
  <c r="Y210" i="7"/>
  <c r="Z210" i="7" s="1"/>
  <c r="Y211" i="7"/>
  <c r="Z211" i="7" s="1"/>
  <c r="Y212" i="7"/>
  <c r="Z212" i="7" s="1"/>
  <c r="Y213" i="7"/>
  <c r="Z213" i="7" s="1"/>
  <c r="Y214" i="7"/>
  <c r="Z214" i="7" s="1"/>
  <c r="Y215" i="7"/>
  <c r="Z215" i="7" s="1"/>
  <c r="Y216" i="7"/>
  <c r="Z216" i="7" s="1"/>
  <c r="Y217" i="7"/>
  <c r="Z217" i="7" s="1"/>
  <c r="Y218" i="7"/>
  <c r="Z218" i="7" s="1"/>
  <c r="Y219" i="7"/>
  <c r="Z219" i="7" s="1"/>
  <c r="Y220" i="7"/>
  <c r="Z220" i="7" s="1"/>
  <c r="Y221" i="7"/>
  <c r="Z221" i="7" s="1"/>
  <c r="Y222" i="7"/>
  <c r="Z222" i="7" s="1"/>
  <c r="Y223" i="7"/>
  <c r="Z223" i="7" s="1"/>
  <c r="Y224" i="7"/>
  <c r="Z224" i="7" s="1"/>
  <c r="Y225" i="7"/>
  <c r="Z225" i="7" s="1"/>
  <c r="Y226" i="7"/>
  <c r="Z226" i="7" s="1"/>
  <c r="Y227" i="7"/>
  <c r="Z227" i="7" s="1"/>
  <c r="Y228" i="7"/>
  <c r="Z228" i="7" s="1"/>
  <c r="Y229" i="7"/>
  <c r="Z229" i="7" s="1"/>
  <c r="Y230" i="7"/>
  <c r="Z230" i="7" s="1"/>
  <c r="Y231" i="7"/>
  <c r="Z231" i="7" s="1"/>
  <c r="Y232" i="7"/>
  <c r="Z232" i="7" s="1"/>
  <c r="Y233" i="7"/>
  <c r="Z233" i="7" s="1"/>
  <c r="Y234" i="7"/>
  <c r="Z234" i="7" s="1"/>
  <c r="Y235" i="7"/>
  <c r="Z235" i="7" s="1"/>
  <c r="Y236" i="7"/>
  <c r="Z236" i="7" s="1"/>
  <c r="Y237" i="7"/>
  <c r="Z237" i="7" s="1"/>
  <c r="Y238" i="7"/>
  <c r="Z238" i="7" s="1"/>
  <c r="Y239" i="7"/>
  <c r="Z239" i="7" s="1"/>
  <c r="Y240" i="7"/>
  <c r="Z240" i="7" s="1"/>
  <c r="Y241" i="7"/>
  <c r="Z241" i="7" s="1"/>
  <c r="Y242" i="7"/>
  <c r="Z242" i="7" s="1"/>
  <c r="Y243" i="7"/>
  <c r="Z243" i="7" s="1"/>
  <c r="Y244" i="7"/>
  <c r="Z244" i="7" s="1"/>
  <c r="Y245" i="7"/>
  <c r="Z245" i="7" s="1"/>
  <c r="Y246" i="7"/>
  <c r="Z246" i="7" s="1"/>
  <c r="Y247" i="7"/>
  <c r="Z247" i="7" s="1"/>
  <c r="Y248" i="7"/>
  <c r="Z248" i="7" s="1"/>
  <c r="Y249" i="7"/>
  <c r="Z249" i="7" s="1"/>
  <c r="Y250" i="7"/>
  <c r="Z250" i="7" s="1"/>
  <c r="Y251" i="7"/>
  <c r="Z251" i="7" s="1"/>
  <c r="Y252" i="7"/>
  <c r="Z252" i="7" s="1"/>
  <c r="Y253" i="7"/>
  <c r="Z253" i="7" s="1"/>
  <c r="Y254" i="7"/>
  <c r="Z254" i="7" s="1"/>
  <c r="Y255" i="7"/>
  <c r="Z255" i="7" s="1"/>
  <c r="Y256" i="7"/>
  <c r="Z256" i="7" s="1"/>
  <c r="Y257" i="7"/>
  <c r="Z257" i="7" s="1"/>
  <c r="Y258" i="7"/>
  <c r="Z258" i="7" s="1"/>
  <c r="Y259" i="7"/>
  <c r="Z259" i="7" s="1"/>
  <c r="Y260" i="7"/>
  <c r="Z260" i="7" s="1"/>
  <c r="Y261" i="7"/>
  <c r="Z261" i="7" s="1"/>
  <c r="Y262" i="7"/>
  <c r="Z262" i="7" s="1"/>
  <c r="Y263" i="7"/>
  <c r="Z263" i="7" s="1"/>
  <c r="Y264" i="7"/>
  <c r="Z264" i="7" s="1"/>
  <c r="Y265" i="7"/>
  <c r="Z265" i="7" s="1"/>
  <c r="Y266" i="7"/>
  <c r="Z266" i="7" s="1"/>
  <c r="Y267" i="7"/>
  <c r="Z267" i="7" s="1"/>
  <c r="Y268" i="7"/>
  <c r="Z268" i="7" s="1"/>
  <c r="Y269" i="7"/>
  <c r="Z269" i="7" s="1"/>
  <c r="Y270" i="7"/>
  <c r="Z270" i="7" s="1"/>
  <c r="Y271" i="7"/>
  <c r="Z271" i="7" s="1"/>
  <c r="Y272" i="7"/>
  <c r="Z272" i="7" s="1"/>
  <c r="Y273" i="7"/>
  <c r="Z273" i="7" s="1"/>
  <c r="Y274" i="7"/>
  <c r="Z274" i="7" s="1"/>
  <c r="Y275" i="7"/>
  <c r="Z275" i="7" s="1"/>
  <c r="Y276" i="7"/>
  <c r="Z276" i="7" s="1"/>
  <c r="Y277" i="7"/>
  <c r="Z277" i="7" s="1"/>
  <c r="Y278" i="7"/>
  <c r="Z278" i="7" s="1"/>
  <c r="Y279" i="7"/>
  <c r="Z279" i="7" s="1"/>
  <c r="Y280" i="7"/>
  <c r="Z280" i="7" s="1"/>
  <c r="Y281" i="7"/>
  <c r="Z281" i="7" s="1"/>
  <c r="Y282" i="7"/>
  <c r="Z282" i="7" s="1"/>
  <c r="Y283" i="7"/>
  <c r="Z283" i="7" s="1"/>
  <c r="Y284" i="7"/>
  <c r="Z284" i="7" s="1"/>
  <c r="Y285" i="7"/>
  <c r="Z285" i="7" s="1"/>
  <c r="Y286" i="7"/>
  <c r="Z286" i="7" s="1"/>
  <c r="Y287" i="7"/>
  <c r="Z287" i="7" s="1"/>
  <c r="Y288" i="7"/>
  <c r="Z288" i="7" s="1"/>
  <c r="Y289" i="7"/>
  <c r="Z289" i="7" s="1"/>
  <c r="Y290" i="7"/>
  <c r="Z290" i="7" s="1"/>
  <c r="Y291" i="7"/>
  <c r="Z291" i="7" s="1"/>
  <c r="Y292" i="7"/>
  <c r="Z292" i="7" s="1"/>
  <c r="Y293" i="7"/>
  <c r="Z293" i="7" s="1"/>
  <c r="Y294" i="7"/>
  <c r="Z294" i="7" s="1"/>
  <c r="Y295" i="7"/>
  <c r="Z295" i="7" s="1"/>
  <c r="Y296" i="7"/>
  <c r="Z296" i="7" s="1"/>
  <c r="Y297" i="7"/>
  <c r="Z297" i="7" s="1"/>
  <c r="Y298" i="7"/>
  <c r="Z298" i="7" s="1"/>
  <c r="Y299" i="7"/>
  <c r="Z299" i="7" s="1"/>
  <c r="Y300" i="7"/>
  <c r="Z300" i="7" s="1"/>
  <c r="Y301" i="7"/>
  <c r="Z301" i="7" s="1"/>
  <c r="Y302" i="7"/>
  <c r="Z302" i="7" s="1"/>
  <c r="Y303" i="7"/>
  <c r="Z303" i="7" s="1"/>
  <c r="Y304" i="7"/>
  <c r="Z304" i="7" s="1"/>
  <c r="Y305" i="7"/>
  <c r="Z305" i="7" s="1"/>
  <c r="Y306" i="7"/>
  <c r="Z306" i="7" s="1"/>
  <c r="Y307" i="7"/>
  <c r="Z307" i="7" s="1"/>
  <c r="Y308" i="7"/>
  <c r="Z308" i="7" s="1"/>
  <c r="Y309" i="7"/>
  <c r="Z309" i="7" s="1"/>
  <c r="Y310" i="7"/>
  <c r="Z310" i="7" s="1"/>
  <c r="Y311" i="7"/>
  <c r="Z311" i="7" s="1"/>
  <c r="Y312" i="7"/>
  <c r="Z312" i="7" s="1"/>
  <c r="Y313" i="7"/>
  <c r="Z313" i="7" s="1"/>
  <c r="Y314" i="7"/>
  <c r="Z314" i="7" s="1"/>
  <c r="Y315" i="7"/>
  <c r="Z315" i="7" s="1"/>
  <c r="Y316" i="7"/>
  <c r="Z316" i="7" s="1"/>
  <c r="Y317" i="7"/>
  <c r="Z317" i="7" s="1"/>
  <c r="Y318" i="7"/>
  <c r="Z318" i="7" s="1"/>
  <c r="Y319" i="7"/>
  <c r="Z319" i="7" s="1"/>
  <c r="Y320" i="7"/>
  <c r="Z320" i="7" s="1"/>
  <c r="Y321" i="7"/>
  <c r="Z321" i="7" s="1"/>
  <c r="Y322" i="7"/>
  <c r="Z322" i="7" s="1"/>
  <c r="Y323" i="7"/>
  <c r="Z323" i="7" s="1"/>
  <c r="Y324" i="7"/>
  <c r="Z324" i="7" s="1"/>
  <c r="Y325" i="7"/>
  <c r="Z325" i="7" s="1"/>
  <c r="Y326" i="7"/>
  <c r="Z326" i="7" s="1"/>
  <c r="Y327" i="7"/>
  <c r="Z327" i="7" s="1"/>
  <c r="Y328" i="7"/>
  <c r="Z328" i="7" s="1"/>
  <c r="Y329" i="7"/>
  <c r="Z329" i="7" s="1"/>
  <c r="Y330" i="7"/>
  <c r="Z330" i="7" s="1"/>
  <c r="Y331" i="7"/>
  <c r="Z331" i="7" s="1"/>
  <c r="Y332" i="7"/>
  <c r="Z332" i="7" s="1"/>
  <c r="Y333" i="7"/>
  <c r="Z333" i="7" s="1"/>
  <c r="Y334" i="7"/>
  <c r="Z334" i="7" s="1"/>
  <c r="Y335" i="7"/>
  <c r="Z335" i="7" s="1"/>
  <c r="Y336" i="7"/>
  <c r="Z336" i="7" s="1"/>
  <c r="Y337" i="7"/>
  <c r="Z337" i="7" s="1"/>
  <c r="Y338" i="7"/>
  <c r="Z338" i="7" s="1"/>
  <c r="Y339" i="7"/>
  <c r="Z339" i="7" s="1"/>
  <c r="Y340" i="7"/>
  <c r="Z340" i="7" s="1"/>
  <c r="Y341" i="7"/>
  <c r="Z341" i="7" s="1"/>
  <c r="Y342" i="7"/>
  <c r="Z342" i="7" s="1"/>
  <c r="Y343" i="7"/>
  <c r="Z343" i="7" s="1"/>
  <c r="Y344" i="7"/>
  <c r="Z344" i="7" s="1"/>
  <c r="Y345" i="7"/>
  <c r="Z345" i="7" s="1"/>
  <c r="Y346" i="7"/>
  <c r="Z346" i="7" s="1"/>
  <c r="Y347" i="7"/>
  <c r="Z347" i="7" s="1"/>
  <c r="Y348" i="7"/>
  <c r="Z348" i="7" s="1"/>
  <c r="Y349" i="7"/>
  <c r="Z349" i="7" s="1"/>
  <c r="Y350" i="7"/>
  <c r="Z350" i="7" s="1"/>
  <c r="Y351" i="7"/>
  <c r="Z351" i="7" s="1"/>
  <c r="Y352" i="7"/>
  <c r="Z352" i="7" s="1"/>
  <c r="Y353" i="7"/>
  <c r="Z353" i="7" s="1"/>
  <c r="Y354" i="7"/>
  <c r="Z354" i="7" s="1"/>
  <c r="Y355" i="7"/>
  <c r="Z355" i="7" s="1"/>
  <c r="Y356" i="7"/>
  <c r="Z356" i="7" s="1"/>
  <c r="Y357" i="7"/>
  <c r="Z357" i="7" s="1"/>
  <c r="Y358" i="7"/>
  <c r="Z358" i="7" s="1"/>
  <c r="Y359" i="7"/>
  <c r="Z359" i="7" s="1"/>
  <c r="Y360" i="7"/>
  <c r="Z360" i="7" s="1"/>
  <c r="Y361" i="7"/>
  <c r="Z361" i="7" s="1"/>
  <c r="Y362" i="7"/>
  <c r="Z362" i="7" s="1"/>
  <c r="Y363" i="7"/>
  <c r="Z363" i="7" s="1"/>
  <c r="Y364" i="7"/>
  <c r="Z364" i="7" s="1"/>
  <c r="Y365" i="7"/>
  <c r="Z365" i="7" s="1"/>
  <c r="Y366" i="7"/>
  <c r="Z366" i="7" s="1"/>
  <c r="Y367" i="7"/>
  <c r="Z367" i="7" s="1"/>
  <c r="Y368" i="7"/>
  <c r="Z368" i="7" s="1"/>
  <c r="Y369" i="7"/>
  <c r="Z369" i="7" s="1"/>
  <c r="Y370" i="7"/>
  <c r="Z370" i="7" s="1"/>
  <c r="Y371" i="7"/>
  <c r="Z371" i="7" s="1"/>
  <c r="Y372" i="7"/>
  <c r="Z372" i="7" s="1"/>
  <c r="Y373" i="7"/>
  <c r="Z373" i="7" s="1"/>
  <c r="Y374" i="7"/>
  <c r="Z374" i="7" s="1"/>
  <c r="Y375" i="7"/>
  <c r="Z375" i="7" s="1"/>
  <c r="Y376" i="7"/>
  <c r="Z376" i="7" s="1"/>
  <c r="Y377" i="7"/>
  <c r="Z377" i="7" s="1"/>
  <c r="Y378" i="7"/>
  <c r="Z378" i="7" s="1"/>
  <c r="Y379" i="7"/>
  <c r="Z379" i="7" s="1"/>
  <c r="Y380" i="7"/>
  <c r="Z380" i="7" s="1"/>
  <c r="Y381" i="7"/>
  <c r="Z381" i="7" s="1"/>
  <c r="Y382" i="7"/>
  <c r="Z382" i="7" s="1"/>
  <c r="Y383" i="7"/>
  <c r="Z383" i="7" s="1"/>
  <c r="Y384" i="7"/>
  <c r="Z384" i="7" s="1"/>
  <c r="Y385" i="7"/>
  <c r="Z385" i="7" s="1"/>
  <c r="Y386" i="7"/>
  <c r="Z386" i="7" s="1"/>
  <c r="Y387" i="7"/>
  <c r="Z387" i="7" s="1"/>
  <c r="Y388" i="7"/>
  <c r="Z388" i="7" s="1"/>
  <c r="Y389" i="7"/>
  <c r="Z389" i="7" s="1"/>
  <c r="Y390" i="7"/>
  <c r="Z390" i="7" s="1"/>
  <c r="Y391" i="7"/>
  <c r="Z391" i="7" s="1"/>
  <c r="Y392" i="7"/>
  <c r="Z392" i="7" s="1"/>
  <c r="Y393" i="7"/>
  <c r="Z393" i="7" s="1"/>
  <c r="Y394" i="7"/>
  <c r="Z394" i="7" s="1"/>
  <c r="Y395" i="7"/>
  <c r="Z395" i="7" s="1"/>
  <c r="Y396" i="7"/>
  <c r="Z396" i="7" s="1"/>
  <c r="Y397" i="7"/>
  <c r="Z397" i="7" s="1"/>
  <c r="Y398" i="7"/>
  <c r="Z398" i="7" s="1"/>
  <c r="Y399" i="7"/>
  <c r="Z399" i="7" s="1"/>
  <c r="Y400" i="7"/>
  <c r="Z400" i="7" s="1"/>
  <c r="Y401" i="7"/>
  <c r="Z401" i="7" s="1"/>
  <c r="Y402" i="7"/>
  <c r="Z402" i="7" s="1"/>
  <c r="Y403" i="7"/>
  <c r="Z403" i="7" s="1"/>
  <c r="Y404" i="7"/>
  <c r="Z404" i="7" s="1"/>
  <c r="Y405" i="7"/>
  <c r="Z405" i="7" s="1"/>
  <c r="Y406" i="7"/>
  <c r="Z406" i="7" s="1"/>
  <c r="Y407" i="7"/>
  <c r="Z407" i="7" s="1"/>
  <c r="Y408" i="7"/>
  <c r="Z408" i="7" s="1"/>
  <c r="Y409" i="7"/>
  <c r="Z409" i="7" s="1"/>
  <c r="Y410" i="7"/>
  <c r="Z410" i="7" s="1"/>
  <c r="Y411" i="7"/>
  <c r="Z411" i="7" s="1"/>
  <c r="Y412" i="7"/>
  <c r="Z412" i="7" s="1"/>
  <c r="Y413" i="7"/>
  <c r="Z413" i="7" s="1"/>
  <c r="Y414" i="7"/>
  <c r="Z414" i="7" s="1"/>
  <c r="Y415" i="7"/>
  <c r="Z415" i="7" s="1"/>
  <c r="Y416" i="7"/>
  <c r="Z416" i="7" s="1"/>
  <c r="Y417" i="7"/>
  <c r="Z417" i="7" s="1"/>
  <c r="Y418" i="7"/>
  <c r="Z418" i="7" s="1"/>
  <c r="Y419" i="7"/>
  <c r="Z419" i="7" s="1"/>
  <c r="Y420" i="7"/>
  <c r="Z420" i="7" s="1"/>
  <c r="Y421" i="7"/>
  <c r="Z421" i="7" s="1"/>
  <c r="Y422" i="7"/>
  <c r="Z422" i="7" s="1"/>
  <c r="Y423" i="7"/>
  <c r="Z423" i="7" s="1"/>
  <c r="Y424" i="7"/>
  <c r="Z424" i="7" s="1"/>
  <c r="Y425" i="7"/>
  <c r="Z425" i="7" s="1"/>
  <c r="Y426" i="7"/>
  <c r="Z426" i="7" s="1"/>
  <c r="Y427" i="7"/>
  <c r="Z427" i="7" s="1"/>
  <c r="Y428" i="7"/>
  <c r="Z428" i="7" s="1"/>
  <c r="Y429" i="7"/>
  <c r="Z429" i="7" s="1"/>
  <c r="Y430" i="7"/>
  <c r="Z430" i="7" s="1"/>
  <c r="Y431" i="7"/>
  <c r="Z431" i="7" s="1"/>
  <c r="Y432" i="7"/>
  <c r="Z432" i="7" s="1"/>
  <c r="Y433" i="7"/>
  <c r="Z433" i="7" s="1"/>
  <c r="Y434" i="7"/>
  <c r="Z434" i="7" s="1"/>
  <c r="Y435" i="7"/>
  <c r="Z435" i="7" s="1"/>
  <c r="Y436" i="7"/>
  <c r="Z436" i="7" s="1"/>
  <c r="Y437" i="7"/>
  <c r="Z437" i="7" s="1"/>
  <c r="Y438" i="7"/>
  <c r="Z438" i="7" s="1"/>
  <c r="Y439" i="7"/>
  <c r="Z439" i="7" s="1"/>
  <c r="Y440" i="7"/>
  <c r="Z440" i="7" s="1"/>
  <c r="Y441" i="7"/>
  <c r="Z441" i="7" s="1"/>
  <c r="Y442" i="7"/>
  <c r="Z442" i="7" s="1"/>
  <c r="Y443" i="7"/>
  <c r="Z443" i="7" s="1"/>
  <c r="Y444" i="7"/>
  <c r="Z444" i="7" s="1"/>
  <c r="Y445" i="7"/>
  <c r="Z445" i="7" s="1"/>
  <c r="Y446" i="7"/>
  <c r="Z446" i="7" s="1"/>
  <c r="Y447" i="7"/>
  <c r="Z447" i="7" s="1"/>
  <c r="Y448" i="7"/>
  <c r="Z448" i="7" s="1"/>
  <c r="Y449" i="7"/>
  <c r="Z449" i="7" s="1"/>
  <c r="Y450" i="7"/>
  <c r="Z450" i="7" s="1"/>
  <c r="Y451" i="7"/>
  <c r="Z451" i="7" s="1"/>
  <c r="Y452" i="7"/>
  <c r="Z452" i="7" s="1"/>
  <c r="Y453" i="7"/>
  <c r="Z453" i="7" s="1"/>
  <c r="Y454" i="7"/>
  <c r="Z454" i="7" s="1"/>
  <c r="Y455" i="7"/>
  <c r="Z455" i="7" s="1"/>
  <c r="Y456" i="7"/>
  <c r="Z456" i="7" s="1"/>
  <c r="Y457" i="7"/>
  <c r="Z457" i="7" s="1"/>
  <c r="Y458" i="7"/>
  <c r="Z458" i="7" s="1"/>
  <c r="Y459" i="7"/>
  <c r="Z459" i="7" s="1"/>
  <c r="Y460" i="7"/>
  <c r="Z460" i="7" s="1"/>
  <c r="Y461" i="7"/>
  <c r="Z461" i="7" s="1"/>
  <c r="Y462" i="7"/>
  <c r="Z462" i="7" s="1"/>
  <c r="Y463" i="7"/>
  <c r="Z463" i="7" s="1"/>
  <c r="Y464" i="7"/>
  <c r="Z464" i="7" s="1"/>
  <c r="Y465" i="7"/>
  <c r="Z465" i="7" s="1"/>
  <c r="Y466" i="7"/>
  <c r="Z466" i="7" s="1"/>
  <c r="Y467" i="7"/>
  <c r="Z467" i="7" s="1"/>
  <c r="Y468" i="7"/>
  <c r="Z468" i="7" s="1"/>
  <c r="Y469" i="7"/>
  <c r="Z469" i="7" s="1"/>
  <c r="Y470" i="7"/>
  <c r="Z470" i="7" s="1"/>
  <c r="Y471" i="7"/>
  <c r="Z471" i="7" s="1"/>
  <c r="Y472" i="7"/>
  <c r="Z472" i="7" s="1"/>
  <c r="Y473" i="7"/>
  <c r="Z473" i="7" s="1"/>
  <c r="Y474" i="7"/>
  <c r="Z474" i="7" s="1"/>
  <c r="Y475" i="7"/>
  <c r="Z475" i="7" s="1"/>
  <c r="Y476" i="7"/>
  <c r="Z476" i="7" s="1"/>
  <c r="Y477" i="7"/>
  <c r="Z477" i="7" s="1"/>
  <c r="Y478" i="7"/>
  <c r="Z478" i="7" s="1"/>
  <c r="Y479" i="7"/>
  <c r="Z479" i="7" s="1"/>
  <c r="Y480" i="7"/>
  <c r="Z480" i="7" s="1"/>
  <c r="Y481" i="7"/>
  <c r="Z481" i="7" s="1"/>
  <c r="Y482" i="7"/>
  <c r="Z482" i="7" s="1"/>
  <c r="Y483" i="7"/>
  <c r="Z483" i="7" s="1"/>
  <c r="Y484" i="7"/>
  <c r="Z484" i="7" s="1"/>
  <c r="Y485" i="7"/>
  <c r="Z485" i="7" s="1"/>
  <c r="Y486" i="7"/>
  <c r="Z486" i="7" s="1"/>
  <c r="Y487" i="7"/>
  <c r="Z487" i="7" s="1"/>
  <c r="Y488" i="7"/>
  <c r="Z488" i="7" s="1"/>
  <c r="Y489" i="7"/>
  <c r="Z489" i="7" s="1"/>
  <c r="Y490" i="7"/>
  <c r="Z490" i="7" s="1"/>
  <c r="Y491" i="7"/>
  <c r="Z491" i="7" s="1"/>
  <c r="Y492" i="7"/>
  <c r="Z492" i="7" s="1"/>
  <c r="Y493" i="7"/>
  <c r="Z493" i="7" s="1"/>
  <c r="Y494" i="7"/>
  <c r="Z494" i="7" s="1"/>
  <c r="Y495" i="7"/>
  <c r="Z495" i="7" s="1"/>
  <c r="Y496" i="7"/>
  <c r="Z496" i="7" s="1"/>
  <c r="Y497" i="7"/>
  <c r="Z497" i="7" s="1"/>
  <c r="Y498" i="7"/>
  <c r="Z498" i="7" s="1"/>
  <c r="Y499" i="7"/>
  <c r="Z499" i="7" s="1"/>
  <c r="Y500" i="7"/>
  <c r="Z500" i="7" s="1"/>
  <c r="Y501" i="7"/>
  <c r="Z501" i="7" s="1"/>
  <c r="Y502" i="7"/>
  <c r="Z502" i="7" s="1"/>
  <c r="Y3" i="7"/>
  <c r="Z3" i="7" s="1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2" i="4"/>
  <c r="BB97" i="8"/>
  <c r="Z4" i="8"/>
  <c r="AA4" i="8" s="1"/>
  <c r="Z6" i="8"/>
  <c r="AA6" i="8" s="1"/>
  <c r="Z8" i="8"/>
  <c r="AA8" i="8" s="1"/>
  <c r="Z10" i="8"/>
  <c r="AA10" i="8" s="1"/>
  <c r="Z12" i="8"/>
  <c r="AA12" i="8" s="1"/>
  <c r="Z14" i="8"/>
  <c r="AA14" i="8" s="1"/>
  <c r="Z16" i="8"/>
  <c r="AA16" i="8" s="1"/>
  <c r="Z18" i="8"/>
  <c r="AA18" i="8" s="1"/>
  <c r="Z20" i="8"/>
  <c r="AA20" i="8" s="1"/>
  <c r="Z22" i="8"/>
  <c r="AA22" i="8" s="1"/>
  <c r="Z24" i="8"/>
  <c r="AA24" i="8" s="1"/>
  <c r="Z26" i="8"/>
  <c r="AA26" i="8" s="1"/>
  <c r="Z28" i="8"/>
  <c r="AA28" i="8" s="1"/>
  <c r="Z30" i="8"/>
  <c r="AA30" i="8" s="1"/>
  <c r="Z32" i="8"/>
  <c r="AA32" i="8" s="1"/>
  <c r="Z34" i="8"/>
  <c r="AA34" i="8" s="1"/>
  <c r="Z36" i="8"/>
  <c r="AA36" i="8" s="1"/>
  <c r="Z38" i="8"/>
  <c r="AA38" i="8" s="1"/>
  <c r="Z40" i="8"/>
  <c r="AA40" i="8" s="1"/>
  <c r="Z42" i="8"/>
  <c r="AA42" i="8" s="1"/>
  <c r="Z44" i="8"/>
  <c r="AA44" i="8" s="1"/>
  <c r="Z46" i="8"/>
  <c r="AA46" i="8" s="1"/>
  <c r="Z48" i="8"/>
  <c r="AA48" i="8" s="1"/>
  <c r="Z50" i="8"/>
  <c r="AA50" i="8" s="1"/>
  <c r="Z52" i="8"/>
  <c r="AA52" i="8" s="1"/>
  <c r="Z54" i="8"/>
  <c r="AA54" i="8" s="1"/>
  <c r="Z56" i="8"/>
  <c r="AA56" i="8" s="1"/>
  <c r="Z58" i="8"/>
  <c r="AA58" i="8" s="1"/>
  <c r="Z60" i="8"/>
  <c r="AA60" i="8" s="1"/>
  <c r="Z62" i="8"/>
  <c r="AA62" i="8" s="1"/>
  <c r="Z64" i="8"/>
  <c r="AA64" i="8" s="1"/>
  <c r="Z66" i="8"/>
  <c r="AA66" i="8" s="1"/>
  <c r="Z68" i="8"/>
  <c r="AA68" i="8" s="1"/>
  <c r="Z70" i="8"/>
  <c r="AA70" i="8" s="1"/>
  <c r="Z72" i="8"/>
  <c r="AA72" i="8" s="1"/>
  <c r="Z74" i="8"/>
  <c r="AA74" i="8" s="1"/>
  <c r="Z76" i="8"/>
  <c r="AA76" i="8" s="1"/>
  <c r="Z78" i="8"/>
  <c r="AA78" i="8" s="1"/>
  <c r="Z80" i="8"/>
  <c r="AA80" i="8" s="1"/>
  <c r="Z82" i="8"/>
  <c r="AA82" i="8" s="1"/>
  <c r="Z84" i="8"/>
  <c r="AA84" i="8" s="1"/>
  <c r="Z86" i="8"/>
  <c r="AA86" i="8" s="1"/>
  <c r="Z88" i="8"/>
  <c r="AA88" i="8" s="1"/>
  <c r="Z90" i="8"/>
  <c r="AA90" i="8" s="1"/>
  <c r="Z92" i="8"/>
  <c r="AA92" i="8" s="1"/>
  <c r="Z94" i="8"/>
  <c r="AA94" i="8" s="1"/>
  <c r="Z96" i="8"/>
  <c r="AA96" i="8" s="1"/>
  <c r="Z98" i="8"/>
  <c r="AA98" i="8" s="1"/>
  <c r="Z100" i="8"/>
  <c r="AA100" i="8" s="1"/>
  <c r="Z102" i="8"/>
  <c r="AA102" i="8" s="1"/>
  <c r="Z104" i="8"/>
  <c r="AA104" i="8" s="1"/>
  <c r="Z106" i="8"/>
  <c r="AA106" i="8" s="1"/>
  <c r="Z108" i="8"/>
  <c r="AA108" i="8" s="1"/>
  <c r="Z110" i="8"/>
  <c r="AA110" i="8" s="1"/>
  <c r="Z112" i="8"/>
  <c r="AA112" i="8" s="1"/>
  <c r="Z114" i="8"/>
  <c r="AA114" i="8" s="1"/>
  <c r="Z116" i="8"/>
  <c r="AA116" i="8" s="1"/>
  <c r="Z118" i="8"/>
  <c r="AA118" i="8" s="1"/>
  <c r="Z120" i="8"/>
  <c r="AA120" i="8" s="1"/>
  <c r="Z122" i="8"/>
  <c r="AA122" i="8" s="1"/>
  <c r="Z124" i="8"/>
  <c r="AA124" i="8" s="1"/>
  <c r="Z126" i="8"/>
  <c r="AA126" i="8" s="1"/>
  <c r="Z128" i="8"/>
  <c r="AA128" i="8" s="1"/>
  <c r="Z130" i="8"/>
  <c r="AA130" i="8" s="1"/>
  <c r="Z132" i="8"/>
  <c r="AA132" i="8" s="1"/>
  <c r="Z134" i="8"/>
  <c r="AA134" i="8" s="1"/>
  <c r="Z136" i="8"/>
  <c r="AA136" i="8" s="1"/>
  <c r="Z138" i="8"/>
  <c r="AA138" i="8" s="1"/>
  <c r="Z140" i="8"/>
  <c r="AA140" i="8" s="1"/>
  <c r="Z142" i="8"/>
  <c r="AA142" i="8" s="1"/>
  <c r="Z144" i="8"/>
  <c r="AA144" i="8" s="1"/>
  <c r="Z146" i="8"/>
  <c r="AA146" i="8" s="1"/>
  <c r="Z148" i="8"/>
  <c r="AA148" i="8" s="1"/>
  <c r="Z150" i="8"/>
  <c r="AA150" i="8" s="1"/>
  <c r="Z152" i="8"/>
  <c r="AA152" i="8" s="1"/>
  <c r="Z154" i="8"/>
  <c r="AA154" i="8" s="1"/>
  <c r="Z156" i="8"/>
  <c r="AA156" i="8" s="1"/>
  <c r="Z158" i="8"/>
  <c r="AA158" i="8" s="1"/>
  <c r="Z160" i="8"/>
  <c r="AA160" i="8" s="1"/>
  <c r="Z162" i="8"/>
  <c r="AA162" i="8" s="1"/>
  <c r="Z164" i="8"/>
  <c r="AA164" i="8" s="1"/>
  <c r="Z166" i="8"/>
  <c r="AA166" i="8" s="1"/>
  <c r="Z168" i="8"/>
  <c r="AA168" i="8" s="1"/>
  <c r="Z170" i="8"/>
  <c r="AA170" i="8" s="1"/>
  <c r="Z172" i="8"/>
  <c r="AA172" i="8" s="1"/>
  <c r="Z174" i="8"/>
  <c r="AA174" i="8" s="1"/>
  <c r="Z176" i="8"/>
  <c r="AA176" i="8" s="1"/>
  <c r="Z178" i="8"/>
  <c r="AA178" i="8" s="1"/>
  <c r="Z180" i="8"/>
  <c r="AA180" i="8" s="1"/>
  <c r="Z182" i="8"/>
  <c r="AA182" i="8" s="1"/>
  <c r="Z184" i="8"/>
  <c r="AA184" i="8" s="1"/>
  <c r="Z186" i="8"/>
  <c r="AA186" i="8" s="1"/>
  <c r="Z188" i="8"/>
  <c r="AA188" i="8" s="1"/>
  <c r="Z190" i="8"/>
  <c r="AA190" i="8" s="1"/>
  <c r="Z192" i="8"/>
  <c r="AA192" i="8" s="1"/>
  <c r="Z194" i="8"/>
  <c r="AA194" i="8" s="1"/>
  <c r="Z196" i="8"/>
  <c r="AA196" i="8" s="1"/>
  <c r="Z198" i="8"/>
  <c r="AA198" i="8" s="1"/>
  <c r="Z200" i="8"/>
  <c r="AA200" i="8" s="1"/>
  <c r="Z202" i="8"/>
  <c r="AA202" i="8" s="1"/>
  <c r="Z204" i="8"/>
  <c r="AA204" i="8" s="1"/>
  <c r="Z206" i="8"/>
  <c r="AA206" i="8" s="1"/>
  <c r="Z208" i="8"/>
  <c r="AA208" i="8" s="1"/>
  <c r="Z210" i="8"/>
  <c r="AA210" i="8" s="1"/>
  <c r="Z212" i="8"/>
  <c r="AA212" i="8" s="1"/>
  <c r="Z214" i="8"/>
  <c r="AA214" i="8" s="1"/>
  <c r="Z216" i="8"/>
  <c r="AA216" i="8" s="1"/>
  <c r="Z218" i="8"/>
  <c r="AA218" i="8" s="1"/>
  <c r="Z220" i="8"/>
  <c r="AA220" i="8" s="1"/>
  <c r="Z222" i="8"/>
  <c r="AA222" i="8" s="1"/>
  <c r="Z224" i="8"/>
  <c r="AA224" i="8" s="1"/>
  <c r="Z226" i="8"/>
  <c r="AA226" i="8" s="1"/>
  <c r="Z228" i="8"/>
  <c r="AA228" i="8" s="1"/>
  <c r="Z230" i="8"/>
  <c r="AA230" i="8" s="1"/>
  <c r="AN230" i="8" s="1"/>
  <c r="Z232" i="8"/>
  <c r="AA232" i="8" s="1"/>
  <c r="Z234" i="8"/>
  <c r="AA234" i="8" s="1"/>
  <c r="Z236" i="8"/>
  <c r="AA236" i="8" s="1"/>
  <c r="Z238" i="8"/>
  <c r="AA238" i="8" s="1"/>
  <c r="Z240" i="8"/>
  <c r="AA240" i="8" s="1"/>
  <c r="Z242" i="8"/>
  <c r="AA242" i="8" s="1"/>
  <c r="Z244" i="8"/>
  <c r="AA244" i="8" s="1"/>
  <c r="Z246" i="8"/>
  <c r="AA246" i="8" s="1"/>
  <c r="Z248" i="8"/>
  <c r="AA248" i="8" s="1"/>
  <c r="Z250" i="8"/>
  <c r="AA250" i="8" s="1"/>
  <c r="Z252" i="8"/>
  <c r="AA252" i="8" s="1"/>
  <c r="Z254" i="8"/>
  <c r="AA254" i="8" s="1"/>
  <c r="Z256" i="8"/>
  <c r="AA256" i="8" s="1"/>
  <c r="Z258" i="8"/>
  <c r="AA258" i="8" s="1"/>
  <c r="Z260" i="8"/>
  <c r="AA260" i="8" s="1"/>
  <c r="Z262" i="8"/>
  <c r="AA262" i="8" s="1"/>
  <c r="Z264" i="8"/>
  <c r="AA264" i="8" s="1"/>
  <c r="Z266" i="8"/>
  <c r="AA266" i="8" s="1"/>
  <c r="AR266" i="8" s="1"/>
  <c r="Z268" i="8"/>
  <c r="AA268" i="8" s="1"/>
  <c r="Z270" i="8"/>
  <c r="AA270" i="8" s="1"/>
  <c r="Z272" i="8"/>
  <c r="AA272" i="8" s="1"/>
  <c r="Z274" i="8"/>
  <c r="AA274" i="8" s="1"/>
  <c r="Z276" i="8"/>
  <c r="AA276" i="8" s="1"/>
  <c r="Z278" i="8"/>
  <c r="AA278" i="8" s="1"/>
  <c r="AJ278" i="8" s="1"/>
  <c r="Z280" i="8"/>
  <c r="AA280" i="8" s="1"/>
  <c r="Z282" i="8"/>
  <c r="AA282" i="8" s="1"/>
  <c r="Z284" i="8"/>
  <c r="AA284" i="8" s="1"/>
  <c r="AV284" i="8" s="1"/>
  <c r="Z286" i="8"/>
  <c r="AA286" i="8" s="1"/>
  <c r="Z288" i="8"/>
  <c r="AA288" i="8" s="1"/>
  <c r="Z290" i="8"/>
  <c r="AA290" i="8" s="1"/>
  <c r="AR290" i="8" s="1"/>
  <c r="Z292" i="8"/>
  <c r="AA292" i="8" s="1"/>
  <c r="Z294" i="8"/>
  <c r="AA294" i="8" s="1"/>
  <c r="Z296" i="8"/>
  <c r="AA296" i="8" s="1"/>
  <c r="AN296" i="8" s="1"/>
  <c r="Z298" i="8"/>
  <c r="AA298" i="8" s="1"/>
  <c r="Z300" i="8"/>
  <c r="AA300" i="8" s="1"/>
  <c r="AR300" i="8" s="1"/>
  <c r="Z302" i="8"/>
  <c r="AA302" i="8" s="1"/>
  <c r="Z304" i="8"/>
  <c r="AA304" i="8" s="1"/>
  <c r="AO304" i="8" s="1"/>
  <c r="Z306" i="8"/>
  <c r="AA306" i="8" s="1"/>
  <c r="Z308" i="8"/>
  <c r="AA308" i="8" s="1"/>
  <c r="AM308" i="8" s="1"/>
  <c r="Z310" i="8"/>
  <c r="AA310" i="8" s="1"/>
  <c r="AN310" i="8" s="1"/>
  <c r="Z312" i="8"/>
  <c r="AA312" i="8" s="1"/>
  <c r="AM312" i="8" s="1"/>
  <c r="Z314" i="8"/>
  <c r="AA314" i="8" s="1"/>
  <c r="AK314" i="8" s="1"/>
  <c r="Z316" i="8"/>
  <c r="AA316" i="8" s="1"/>
  <c r="AJ316" i="8" s="1"/>
  <c r="Z318" i="8"/>
  <c r="AA318" i="8" s="1"/>
  <c r="AI318" i="8" s="1"/>
  <c r="Z320" i="8"/>
  <c r="AA320" i="8" s="1"/>
  <c r="AG320" i="8" s="1"/>
  <c r="Z322" i="8"/>
  <c r="AA322" i="8" s="1"/>
  <c r="AF322" i="8" s="1"/>
  <c r="Z324" i="8"/>
  <c r="AA324" i="8" s="1"/>
  <c r="AE324" i="8" s="1"/>
  <c r="Z326" i="8"/>
  <c r="AA326" i="8" s="1"/>
  <c r="Z328" i="8"/>
  <c r="AA328" i="8" s="1"/>
  <c r="Z330" i="8"/>
  <c r="AA330" i="8" s="1"/>
  <c r="Z332" i="8"/>
  <c r="AA332" i="8" s="1"/>
  <c r="Z334" i="8"/>
  <c r="AA334" i="8" s="1"/>
  <c r="Z336" i="8"/>
  <c r="AA336" i="8" s="1"/>
  <c r="Z338" i="8"/>
  <c r="AA338" i="8" s="1"/>
  <c r="Z340" i="8"/>
  <c r="AA340" i="8" s="1"/>
  <c r="Z342" i="8"/>
  <c r="AA342" i="8" s="1"/>
  <c r="Z344" i="8"/>
  <c r="AA344" i="8" s="1"/>
  <c r="Z346" i="8"/>
  <c r="AA346" i="8" s="1"/>
  <c r="Z348" i="8"/>
  <c r="AA348" i="8" s="1"/>
  <c r="Z350" i="8"/>
  <c r="AA350" i="8" s="1"/>
  <c r="Z352" i="8"/>
  <c r="AA352" i="8" s="1"/>
  <c r="AU352" i="8" s="1"/>
  <c r="Z354" i="8"/>
  <c r="AA354" i="8" s="1"/>
  <c r="AS354" i="8" s="1"/>
  <c r="Z356" i="8"/>
  <c r="AA356" i="8" s="1"/>
  <c r="AR356" i="8" s="1"/>
  <c r="Z358" i="8"/>
  <c r="AA358" i="8" s="1"/>
  <c r="AQ358" i="8" s="1"/>
  <c r="Z360" i="8"/>
  <c r="AA360" i="8" s="1"/>
  <c r="AO360" i="8" s="1"/>
  <c r="Z362" i="8"/>
  <c r="AA362" i="8" s="1"/>
  <c r="AN362" i="8" s="1"/>
  <c r="Z364" i="8"/>
  <c r="AA364" i="8" s="1"/>
  <c r="AM364" i="8" s="1"/>
  <c r="Z366" i="8"/>
  <c r="AA366" i="8" s="1"/>
  <c r="AK366" i="8" s="1"/>
  <c r="Z368" i="8"/>
  <c r="AA368" i="8" s="1"/>
  <c r="AJ368" i="8" s="1"/>
  <c r="Z370" i="8"/>
  <c r="AA370" i="8" s="1"/>
  <c r="AI370" i="8" s="1"/>
  <c r="Z372" i="8"/>
  <c r="AA372" i="8" s="1"/>
  <c r="AG372" i="8" s="1"/>
  <c r="Z374" i="8"/>
  <c r="AA374" i="8" s="1"/>
  <c r="AF374" i="8" s="1"/>
  <c r="Z376" i="8"/>
  <c r="AA376" i="8" s="1"/>
  <c r="AE376" i="8" s="1"/>
  <c r="Z378" i="8"/>
  <c r="AA378" i="8" s="1"/>
  <c r="AY378" i="8" s="1"/>
  <c r="Z380" i="8"/>
  <c r="AA380" i="8" s="1"/>
  <c r="AW380" i="8" s="1"/>
  <c r="Z382" i="8"/>
  <c r="AA382" i="8" s="1"/>
  <c r="AV382" i="8" s="1"/>
  <c r="Z384" i="8"/>
  <c r="AA384" i="8" s="1"/>
  <c r="AU384" i="8" s="1"/>
  <c r="Z386" i="8"/>
  <c r="AA386" i="8" s="1"/>
  <c r="AS386" i="8" s="1"/>
  <c r="Z388" i="8"/>
  <c r="AA388" i="8" s="1"/>
  <c r="AR388" i="8" s="1"/>
  <c r="Z390" i="8"/>
  <c r="AA390" i="8" s="1"/>
  <c r="AQ390" i="8" s="1"/>
  <c r="Z392" i="8"/>
  <c r="AA392" i="8" s="1"/>
  <c r="AO392" i="8" s="1"/>
  <c r="Z394" i="8"/>
  <c r="AA394" i="8" s="1"/>
  <c r="AN394" i="8" s="1"/>
  <c r="Z396" i="8"/>
  <c r="AA396" i="8" s="1"/>
  <c r="Z398" i="8"/>
  <c r="AA398" i="8" s="1"/>
  <c r="Z400" i="8"/>
  <c r="AA400" i="8" s="1"/>
  <c r="Z402" i="8"/>
  <c r="AA402" i="8" s="1"/>
  <c r="Z404" i="8"/>
  <c r="AA404" i="8" s="1"/>
  <c r="Z406" i="8"/>
  <c r="AA406" i="8" s="1"/>
  <c r="Z408" i="8"/>
  <c r="AA408" i="8" s="1"/>
  <c r="Z410" i="8"/>
  <c r="AA410" i="8" s="1"/>
  <c r="Z412" i="8"/>
  <c r="AA412" i="8" s="1"/>
  <c r="Z414" i="8"/>
  <c r="AA414" i="8" s="1"/>
  <c r="Z416" i="8"/>
  <c r="AA416" i="8" s="1"/>
  <c r="Z418" i="8"/>
  <c r="AA418" i="8" s="1"/>
  <c r="Z420" i="8"/>
  <c r="AA420" i="8" s="1"/>
  <c r="Z422" i="8"/>
  <c r="AA422" i="8" s="1"/>
  <c r="Z424" i="8"/>
  <c r="AA424" i="8" s="1"/>
  <c r="Z426" i="8"/>
  <c r="AA426" i="8" s="1"/>
  <c r="Z428" i="8"/>
  <c r="AA428" i="8" s="1"/>
  <c r="Z430" i="8"/>
  <c r="AA430" i="8" s="1"/>
  <c r="Z432" i="8"/>
  <c r="AA432" i="8" s="1"/>
  <c r="Z434" i="8"/>
  <c r="AA434" i="8" s="1"/>
  <c r="Z436" i="8"/>
  <c r="AA436" i="8" s="1"/>
  <c r="Z438" i="8"/>
  <c r="AA438" i="8" s="1"/>
  <c r="Z440" i="8"/>
  <c r="AA440" i="8" s="1"/>
  <c r="Z442" i="8"/>
  <c r="AA442" i="8" s="1"/>
  <c r="Z444" i="8"/>
  <c r="AA444" i="8" s="1"/>
  <c r="Z446" i="8"/>
  <c r="AA446" i="8" s="1"/>
  <c r="Z448" i="8"/>
  <c r="AA448" i="8" s="1"/>
  <c r="Z450" i="8"/>
  <c r="AA450" i="8" s="1"/>
  <c r="Z452" i="8"/>
  <c r="AA452" i="8" s="1"/>
  <c r="Z454" i="8"/>
  <c r="AA454" i="8" s="1"/>
  <c r="Z456" i="8"/>
  <c r="AA456" i="8" s="1"/>
  <c r="Z458" i="8"/>
  <c r="AA458" i="8" s="1"/>
  <c r="Z460" i="8"/>
  <c r="AA460" i="8" s="1"/>
  <c r="Z462" i="8"/>
  <c r="AA462" i="8" s="1"/>
  <c r="Z464" i="8"/>
  <c r="AA464" i="8" s="1"/>
  <c r="Z466" i="8"/>
  <c r="AA466" i="8" s="1"/>
  <c r="Z468" i="8"/>
  <c r="AA468" i="8" s="1"/>
  <c r="Z470" i="8"/>
  <c r="AA470" i="8" s="1"/>
  <c r="Z472" i="8"/>
  <c r="AA472" i="8" s="1"/>
  <c r="Z474" i="8"/>
  <c r="AA474" i="8" s="1"/>
  <c r="Z476" i="8"/>
  <c r="AA476" i="8" s="1"/>
  <c r="Z478" i="8"/>
  <c r="AA478" i="8" s="1"/>
  <c r="Z480" i="8"/>
  <c r="AA480" i="8" s="1"/>
  <c r="Z482" i="8"/>
  <c r="AA482" i="8" s="1"/>
  <c r="Z484" i="8"/>
  <c r="AA484" i="8" s="1"/>
  <c r="Z486" i="8"/>
  <c r="AA486" i="8" s="1"/>
  <c r="Z488" i="8"/>
  <c r="AA488" i="8" s="1"/>
  <c r="Z490" i="8"/>
  <c r="AA490" i="8" s="1"/>
  <c r="Z492" i="8"/>
  <c r="AA492" i="8" s="1"/>
  <c r="Z494" i="8"/>
  <c r="AA494" i="8" s="1"/>
  <c r="Z496" i="8"/>
  <c r="AA496" i="8" s="1"/>
  <c r="Z498" i="8"/>
  <c r="AA498" i="8" s="1"/>
  <c r="Z500" i="8"/>
  <c r="AA500" i="8" s="1"/>
  <c r="Z502" i="8"/>
  <c r="AA502" i="8" s="1"/>
  <c r="Z504" i="8"/>
  <c r="AA504" i="8" s="1"/>
  <c r="Z506" i="8"/>
  <c r="AA506" i="8" s="1"/>
  <c r="Z508" i="8"/>
  <c r="AA508" i="8" s="1"/>
  <c r="Z510" i="8"/>
  <c r="AA510" i="8" s="1"/>
  <c r="Z512" i="8"/>
  <c r="AA512" i="8" s="1"/>
  <c r="Z514" i="8"/>
  <c r="AA514" i="8" s="1"/>
  <c r="Z516" i="8"/>
  <c r="AA516" i="8" s="1"/>
  <c r="Z518" i="8"/>
  <c r="AA518" i="8" s="1"/>
  <c r="Z3" i="8"/>
  <c r="AA3" i="8" s="1"/>
  <c r="AC4" i="8"/>
  <c r="AC5" i="8"/>
  <c r="Z5" i="8" s="1"/>
  <c r="AA5" i="8" s="1"/>
  <c r="AC6" i="8"/>
  <c r="AC7" i="8"/>
  <c r="AC8" i="8"/>
  <c r="AC9" i="8"/>
  <c r="Z9" i="8" s="1"/>
  <c r="AA9" i="8" s="1"/>
  <c r="AC10" i="8"/>
  <c r="AC11" i="8"/>
  <c r="AC12" i="8"/>
  <c r="AC13" i="8"/>
  <c r="Z13" i="8" s="1"/>
  <c r="AA13" i="8" s="1"/>
  <c r="AC14" i="8"/>
  <c r="AC15" i="8"/>
  <c r="AC16" i="8"/>
  <c r="AC17" i="8"/>
  <c r="Z17" i="8" s="1"/>
  <c r="AA17" i="8" s="1"/>
  <c r="AC18" i="8"/>
  <c r="AC19" i="8"/>
  <c r="AC20" i="8"/>
  <c r="AC21" i="8"/>
  <c r="Z21" i="8" s="1"/>
  <c r="AA21" i="8" s="1"/>
  <c r="AC22" i="8"/>
  <c r="AC23" i="8"/>
  <c r="AC24" i="8"/>
  <c r="AC25" i="8"/>
  <c r="Z25" i="8" s="1"/>
  <c r="AA25" i="8" s="1"/>
  <c r="AC26" i="8"/>
  <c r="AC27" i="8"/>
  <c r="AC28" i="8"/>
  <c r="AC29" i="8"/>
  <c r="Z29" i="8" s="1"/>
  <c r="AA29" i="8" s="1"/>
  <c r="AC30" i="8"/>
  <c r="AC31" i="8"/>
  <c r="AC32" i="8"/>
  <c r="AC33" i="8"/>
  <c r="Z33" i="8" s="1"/>
  <c r="AA33" i="8" s="1"/>
  <c r="AC34" i="8"/>
  <c r="AC35" i="8"/>
  <c r="AC36" i="8"/>
  <c r="AC37" i="8"/>
  <c r="Z37" i="8" s="1"/>
  <c r="AA37" i="8" s="1"/>
  <c r="AC38" i="8"/>
  <c r="AC39" i="8"/>
  <c r="AC40" i="8"/>
  <c r="AC41" i="8"/>
  <c r="Z41" i="8" s="1"/>
  <c r="AA41" i="8" s="1"/>
  <c r="AC42" i="8"/>
  <c r="AC43" i="8"/>
  <c r="AC44" i="8"/>
  <c r="AC45" i="8"/>
  <c r="Z45" i="8" s="1"/>
  <c r="AA45" i="8" s="1"/>
  <c r="AC46" i="8"/>
  <c r="AC47" i="8"/>
  <c r="AC48" i="8"/>
  <c r="AC49" i="8"/>
  <c r="Z49" i="8" s="1"/>
  <c r="AA49" i="8" s="1"/>
  <c r="AC50" i="8"/>
  <c r="AC51" i="8"/>
  <c r="AC52" i="8"/>
  <c r="AC53" i="8"/>
  <c r="Z53" i="8" s="1"/>
  <c r="AA53" i="8" s="1"/>
  <c r="AC54" i="8"/>
  <c r="AC55" i="8"/>
  <c r="AC56" i="8"/>
  <c r="AC57" i="8"/>
  <c r="Z57" i="8" s="1"/>
  <c r="AA57" i="8" s="1"/>
  <c r="AC58" i="8"/>
  <c r="AC59" i="8"/>
  <c r="AC60" i="8"/>
  <c r="AC61" i="8"/>
  <c r="Z61" i="8" s="1"/>
  <c r="AA61" i="8" s="1"/>
  <c r="AC62" i="8"/>
  <c r="AC63" i="8"/>
  <c r="AC64" i="8"/>
  <c r="AC65" i="8"/>
  <c r="Z65" i="8" s="1"/>
  <c r="AA65" i="8" s="1"/>
  <c r="AC66" i="8"/>
  <c r="AC67" i="8"/>
  <c r="AC68" i="8"/>
  <c r="AC69" i="8"/>
  <c r="Z69" i="8" s="1"/>
  <c r="AA69" i="8" s="1"/>
  <c r="AC70" i="8"/>
  <c r="AC71" i="8"/>
  <c r="AC72" i="8"/>
  <c r="AC73" i="8"/>
  <c r="Z73" i="8" s="1"/>
  <c r="AA73" i="8" s="1"/>
  <c r="AC74" i="8"/>
  <c r="AC75" i="8"/>
  <c r="AC76" i="8"/>
  <c r="AC77" i="8"/>
  <c r="Z77" i="8" s="1"/>
  <c r="AA77" i="8" s="1"/>
  <c r="AC78" i="8"/>
  <c r="AC79" i="8"/>
  <c r="AC80" i="8"/>
  <c r="AC81" i="8"/>
  <c r="Z81" i="8" s="1"/>
  <c r="AA81" i="8" s="1"/>
  <c r="AC82" i="8"/>
  <c r="AC83" i="8"/>
  <c r="AC84" i="8"/>
  <c r="AC85" i="8"/>
  <c r="Z85" i="8" s="1"/>
  <c r="AA85" i="8" s="1"/>
  <c r="AC86" i="8"/>
  <c r="AC87" i="8"/>
  <c r="AC88" i="8"/>
  <c r="AC89" i="8"/>
  <c r="Z89" i="8" s="1"/>
  <c r="AA89" i="8" s="1"/>
  <c r="AC90" i="8"/>
  <c r="AC91" i="8"/>
  <c r="AC92" i="8"/>
  <c r="AC93" i="8"/>
  <c r="Z93" i="8" s="1"/>
  <c r="AA93" i="8" s="1"/>
  <c r="AC94" i="8"/>
  <c r="AC95" i="8"/>
  <c r="AC96" i="8"/>
  <c r="AC97" i="8"/>
  <c r="Z97" i="8" s="1"/>
  <c r="AA97" i="8" s="1"/>
  <c r="AC98" i="8"/>
  <c r="AC99" i="8"/>
  <c r="AC100" i="8"/>
  <c r="AC101" i="8"/>
  <c r="Z101" i="8" s="1"/>
  <c r="AA101" i="8" s="1"/>
  <c r="AC102" i="8"/>
  <c r="AC103" i="8"/>
  <c r="AC104" i="8"/>
  <c r="AC105" i="8"/>
  <c r="Z105" i="8" s="1"/>
  <c r="AA105" i="8" s="1"/>
  <c r="AC106" i="8"/>
  <c r="AC107" i="8"/>
  <c r="AC108" i="8"/>
  <c r="AC109" i="8"/>
  <c r="Z109" i="8" s="1"/>
  <c r="AA109" i="8" s="1"/>
  <c r="AC110" i="8"/>
  <c r="AC111" i="8"/>
  <c r="AC112" i="8"/>
  <c r="AC113" i="8"/>
  <c r="Z113" i="8" s="1"/>
  <c r="AA113" i="8" s="1"/>
  <c r="AC114" i="8"/>
  <c r="AC115" i="8"/>
  <c r="AC116" i="8"/>
  <c r="AC117" i="8"/>
  <c r="Z117" i="8" s="1"/>
  <c r="AA117" i="8" s="1"/>
  <c r="AC118" i="8"/>
  <c r="AC119" i="8"/>
  <c r="AC120" i="8"/>
  <c r="AC121" i="8"/>
  <c r="Z121" i="8" s="1"/>
  <c r="AA121" i="8" s="1"/>
  <c r="AC122" i="8"/>
  <c r="AC123" i="8"/>
  <c r="AC124" i="8"/>
  <c r="AC125" i="8"/>
  <c r="Z125" i="8" s="1"/>
  <c r="AA125" i="8" s="1"/>
  <c r="AC126" i="8"/>
  <c r="AC127" i="8"/>
  <c r="AC128" i="8"/>
  <c r="AC129" i="8"/>
  <c r="Z129" i="8" s="1"/>
  <c r="AA129" i="8" s="1"/>
  <c r="AC130" i="8"/>
  <c r="AC131" i="8"/>
  <c r="AC132" i="8"/>
  <c r="AC133" i="8"/>
  <c r="AC134" i="8"/>
  <c r="AC135" i="8"/>
  <c r="AC136" i="8"/>
  <c r="AC137" i="8"/>
  <c r="Z137" i="8" s="1"/>
  <c r="AA137" i="8" s="1"/>
  <c r="AC138" i="8"/>
  <c r="AC139" i="8"/>
  <c r="AC140" i="8"/>
  <c r="AC141" i="8"/>
  <c r="Z141" i="8" s="1"/>
  <c r="AA141" i="8" s="1"/>
  <c r="AC142" i="8"/>
  <c r="AC143" i="8"/>
  <c r="AC144" i="8"/>
  <c r="AC145" i="8"/>
  <c r="Z145" i="8" s="1"/>
  <c r="AA145" i="8" s="1"/>
  <c r="AC146" i="8"/>
  <c r="AC147" i="8"/>
  <c r="AC148" i="8"/>
  <c r="AC149" i="8"/>
  <c r="Z149" i="8" s="1"/>
  <c r="AA149" i="8" s="1"/>
  <c r="AC150" i="8"/>
  <c r="AC151" i="8"/>
  <c r="AC152" i="8"/>
  <c r="AC153" i="8"/>
  <c r="Z153" i="8" s="1"/>
  <c r="AA153" i="8" s="1"/>
  <c r="AC154" i="8"/>
  <c r="AC155" i="8"/>
  <c r="AC156" i="8"/>
  <c r="AC157" i="8"/>
  <c r="Z157" i="8" s="1"/>
  <c r="AA157" i="8" s="1"/>
  <c r="AC158" i="8"/>
  <c r="AC159" i="8"/>
  <c r="AC160" i="8"/>
  <c r="AC161" i="8"/>
  <c r="Z161" i="8" s="1"/>
  <c r="AA161" i="8" s="1"/>
  <c r="AC162" i="8"/>
  <c r="AC163" i="8"/>
  <c r="AC164" i="8"/>
  <c r="AC165" i="8"/>
  <c r="Z165" i="8" s="1"/>
  <c r="AA165" i="8" s="1"/>
  <c r="AC166" i="8"/>
  <c r="AC167" i="8"/>
  <c r="AC168" i="8"/>
  <c r="AC169" i="8"/>
  <c r="Z169" i="8" s="1"/>
  <c r="AA169" i="8" s="1"/>
  <c r="AC170" i="8"/>
  <c r="AC171" i="8"/>
  <c r="AC172" i="8"/>
  <c r="AC173" i="8"/>
  <c r="Z173" i="8" s="1"/>
  <c r="AA173" i="8" s="1"/>
  <c r="AC174" i="8"/>
  <c r="AC175" i="8"/>
  <c r="AC176" i="8"/>
  <c r="AC177" i="8"/>
  <c r="Z177" i="8" s="1"/>
  <c r="AA177" i="8" s="1"/>
  <c r="AC178" i="8"/>
  <c r="AC179" i="8"/>
  <c r="AC180" i="8"/>
  <c r="AC181" i="8"/>
  <c r="Z181" i="8" s="1"/>
  <c r="AA181" i="8" s="1"/>
  <c r="AC182" i="8"/>
  <c r="AC183" i="8"/>
  <c r="AC184" i="8"/>
  <c r="AC185" i="8"/>
  <c r="AC186" i="8"/>
  <c r="AC187" i="8"/>
  <c r="AC188" i="8"/>
  <c r="AC189" i="8"/>
  <c r="Z189" i="8" s="1"/>
  <c r="AA189" i="8" s="1"/>
  <c r="AC190" i="8"/>
  <c r="AC191" i="8"/>
  <c r="AC192" i="8"/>
  <c r="AC193" i="8"/>
  <c r="Z193" i="8" s="1"/>
  <c r="AA193" i="8" s="1"/>
  <c r="AC194" i="8"/>
  <c r="AC195" i="8"/>
  <c r="AC196" i="8"/>
  <c r="AC197" i="8"/>
  <c r="Z197" i="8" s="1"/>
  <c r="AA197" i="8" s="1"/>
  <c r="AC198" i="8"/>
  <c r="AC199" i="8"/>
  <c r="AC200" i="8"/>
  <c r="AC201" i="8"/>
  <c r="Z201" i="8" s="1"/>
  <c r="AA201" i="8" s="1"/>
  <c r="AC202" i="8"/>
  <c r="AC203" i="8"/>
  <c r="AC204" i="8"/>
  <c r="AC205" i="8"/>
  <c r="Z205" i="8" s="1"/>
  <c r="AA205" i="8" s="1"/>
  <c r="AC206" i="8"/>
  <c r="AC207" i="8"/>
  <c r="AC208" i="8"/>
  <c r="AC209" i="8"/>
  <c r="Z209" i="8" s="1"/>
  <c r="AA209" i="8" s="1"/>
  <c r="AC210" i="8"/>
  <c r="AC211" i="8"/>
  <c r="AC212" i="8"/>
  <c r="AC213" i="8"/>
  <c r="AC214" i="8"/>
  <c r="AX214" i="8" s="1"/>
  <c r="AC215" i="8"/>
  <c r="AC216" i="8"/>
  <c r="AC217" i="8"/>
  <c r="Z217" i="8" s="1"/>
  <c r="AA217" i="8" s="1"/>
  <c r="AC218" i="8"/>
  <c r="AC219" i="8"/>
  <c r="AC220" i="8"/>
  <c r="AC221" i="8"/>
  <c r="Z221" i="8" s="1"/>
  <c r="AA221" i="8" s="1"/>
  <c r="AC222" i="8"/>
  <c r="AC223" i="8"/>
  <c r="AC224" i="8"/>
  <c r="AC225" i="8"/>
  <c r="Z225" i="8" s="1"/>
  <c r="AA225" i="8" s="1"/>
  <c r="AC226" i="8"/>
  <c r="AC227" i="8"/>
  <c r="AC228" i="8"/>
  <c r="AC229" i="8"/>
  <c r="Z229" i="8" s="1"/>
  <c r="AA229" i="8" s="1"/>
  <c r="AC230" i="8"/>
  <c r="AC231" i="8"/>
  <c r="AC232" i="8"/>
  <c r="AC233" i="8"/>
  <c r="Z233" i="8" s="1"/>
  <c r="AA233" i="8" s="1"/>
  <c r="AC234" i="8"/>
  <c r="AC235" i="8"/>
  <c r="AC236" i="8"/>
  <c r="AC237" i="8"/>
  <c r="AC238" i="8"/>
  <c r="AC239" i="8"/>
  <c r="AC240" i="8"/>
  <c r="AC241" i="8"/>
  <c r="Z241" i="8" s="1"/>
  <c r="AA241" i="8" s="1"/>
  <c r="AC242" i="8"/>
  <c r="AC243" i="8"/>
  <c r="AC244" i="8"/>
  <c r="AC245" i="8"/>
  <c r="Z245" i="8" s="1"/>
  <c r="AA245" i="8" s="1"/>
  <c r="AC246" i="8"/>
  <c r="AC247" i="8"/>
  <c r="AC248" i="8"/>
  <c r="AC249" i="8"/>
  <c r="Z249" i="8" s="1"/>
  <c r="AA249" i="8" s="1"/>
  <c r="AC250" i="8"/>
  <c r="AC251" i="8"/>
  <c r="AC252" i="8"/>
  <c r="AC253" i="8"/>
  <c r="Z253" i="8" s="1"/>
  <c r="AA253" i="8" s="1"/>
  <c r="AC254" i="8"/>
  <c r="AC255" i="8"/>
  <c r="AC256" i="8"/>
  <c r="AC257" i="8"/>
  <c r="Z257" i="8" s="1"/>
  <c r="AA257" i="8" s="1"/>
  <c r="AC258" i="8"/>
  <c r="AC259" i="8"/>
  <c r="AC260" i="8"/>
  <c r="AC261" i="8"/>
  <c r="Z261" i="8" s="1"/>
  <c r="AA261" i="8" s="1"/>
  <c r="AC262" i="8"/>
  <c r="AC263" i="8"/>
  <c r="AC264" i="8"/>
  <c r="AC265" i="8"/>
  <c r="AC266" i="8"/>
  <c r="AC267" i="8"/>
  <c r="AC268" i="8"/>
  <c r="AC269" i="8"/>
  <c r="Z269" i="8" s="1"/>
  <c r="AA269" i="8" s="1"/>
  <c r="AC270" i="8"/>
  <c r="AC271" i="8"/>
  <c r="AC272" i="8"/>
  <c r="AC273" i="8"/>
  <c r="Z273" i="8" s="1"/>
  <c r="AA273" i="8" s="1"/>
  <c r="AC274" i="8"/>
  <c r="AC275" i="8"/>
  <c r="AC276" i="8"/>
  <c r="AC277" i="8"/>
  <c r="Z277" i="8" s="1"/>
  <c r="AA277" i="8" s="1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Z297" i="8" s="1"/>
  <c r="AA297" i="8" s="1"/>
  <c r="AC298" i="8"/>
  <c r="AC299" i="8"/>
  <c r="AC300" i="8"/>
  <c r="AC301" i="8"/>
  <c r="Z301" i="8" s="1"/>
  <c r="AA301" i="8" s="1"/>
  <c r="AC302" i="8"/>
  <c r="AQ302" i="8" s="1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Y326" i="8" s="1"/>
  <c r="AC327" i="8"/>
  <c r="AC328" i="8"/>
  <c r="AC329" i="8"/>
  <c r="AC330" i="8"/>
  <c r="AC331" i="8"/>
  <c r="AC332" i="8"/>
  <c r="AC333" i="8"/>
  <c r="AC334" i="8"/>
  <c r="AS334" i="8" s="1"/>
  <c r="AC335" i="8"/>
  <c r="AC336" i="8"/>
  <c r="AC337" i="8"/>
  <c r="AC338" i="8"/>
  <c r="AC339" i="8"/>
  <c r="AC340" i="8"/>
  <c r="AC341" i="8"/>
  <c r="AC342" i="8"/>
  <c r="AN342" i="8" s="1"/>
  <c r="AC343" i="8"/>
  <c r="AC344" i="8"/>
  <c r="AC345" i="8"/>
  <c r="Z345" i="8" s="1"/>
  <c r="AA345" i="8" s="1"/>
  <c r="AC346" i="8"/>
  <c r="AC347" i="8"/>
  <c r="AC348" i="8"/>
  <c r="AC349" i="8"/>
  <c r="Z349" i="8" s="1"/>
  <c r="AA349" i="8" s="1"/>
  <c r="AC350" i="8"/>
  <c r="AI350" i="8" s="1"/>
  <c r="AC351" i="8"/>
  <c r="AC352" i="8"/>
  <c r="AC353" i="8"/>
  <c r="AC354" i="8"/>
  <c r="AC355" i="8"/>
  <c r="AC356" i="8"/>
  <c r="AC357" i="8"/>
  <c r="AC358" i="8"/>
  <c r="AF358" i="8" s="1"/>
  <c r="AC359" i="8"/>
  <c r="AC360" i="8"/>
  <c r="AC361" i="8"/>
  <c r="AC362" i="8"/>
  <c r="AC363" i="8"/>
  <c r="AC364" i="8"/>
  <c r="AC365" i="8"/>
  <c r="AC366" i="8"/>
  <c r="AV366" i="8" s="1"/>
  <c r="AC367" i="8"/>
  <c r="AC368" i="8"/>
  <c r="AC369" i="8"/>
  <c r="AC370" i="8"/>
  <c r="AC371" i="8"/>
  <c r="AC372" i="8"/>
  <c r="AC373" i="8"/>
  <c r="AC374" i="8"/>
  <c r="AQ374" i="8" s="1"/>
  <c r="AC375" i="8"/>
  <c r="AC376" i="8"/>
  <c r="AC377" i="8"/>
  <c r="AC378" i="8"/>
  <c r="AC379" i="8"/>
  <c r="AC380" i="8"/>
  <c r="AC381" i="8"/>
  <c r="AC382" i="8"/>
  <c r="AK382" i="8" s="1"/>
  <c r="AC383" i="8"/>
  <c r="AC384" i="8"/>
  <c r="AC385" i="8"/>
  <c r="AC386" i="8"/>
  <c r="AC387" i="8"/>
  <c r="AC388" i="8"/>
  <c r="AC389" i="8"/>
  <c r="AC390" i="8"/>
  <c r="AF390" i="8" s="1"/>
  <c r="AC391" i="8"/>
  <c r="AC392" i="8"/>
  <c r="AC393" i="8"/>
  <c r="AC394" i="8"/>
  <c r="AY394" i="8" s="1"/>
  <c r="AC395" i="8"/>
  <c r="AC396" i="8"/>
  <c r="AC397" i="8"/>
  <c r="AC398" i="8"/>
  <c r="AF398" i="8" s="1"/>
  <c r="AC399" i="8"/>
  <c r="AC400" i="8"/>
  <c r="AC401" i="8"/>
  <c r="AC402" i="8"/>
  <c r="AN402" i="8" s="1"/>
  <c r="AC403" i="8"/>
  <c r="AC404" i="8"/>
  <c r="AC405" i="8"/>
  <c r="AC406" i="8"/>
  <c r="AK406" i="8" s="1"/>
  <c r="AC407" i="8"/>
  <c r="AC408" i="8"/>
  <c r="AC409" i="8"/>
  <c r="AC410" i="8"/>
  <c r="AH410" i="8" s="1"/>
  <c r="AC411" i="8"/>
  <c r="AC412" i="8"/>
  <c r="AC413" i="8"/>
  <c r="AC414" i="8"/>
  <c r="AH414" i="8" s="1"/>
  <c r="AC415" i="8"/>
  <c r="AC416" i="8"/>
  <c r="AC417" i="8"/>
  <c r="AC418" i="8"/>
  <c r="AH418" i="8" s="1"/>
  <c r="AC419" i="8"/>
  <c r="AC420" i="8"/>
  <c r="AC421" i="8"/>
  <c r="AC422" i="8"/>
  <c r="AH422" i="8" s="1"/>
  <c r="AC423" i="8"/>
  <c r="AC424" i="8"/>
  <c r="AC425" i="8"/>
  <c r="AC426" i="8"/>
  <c r="AH426" i="8" s="1"/>
  <c r="AC427" i="8"/>
  <c r="AC428" i="8"/>
  <c r="AC429" i="8"/>
  <c r="AC430" i="8"/>
  <c r="AH430" i="8" s="1"/>
  <c r="AC431" i="8"/>
  <c r="AC432" i="8"/>
  <c r="AC433" i="8"/>
  <c r="AC434" i="8"/>
  <c r="AH434" i="8" s="1"/>
  <c r="AC435" i="8"/>
  <c r="AC436" i="8"/>
  <c r="AC437" i="8"/>
  <c r="AC438" i="8"/>
  <c r="AH438" i="8" s="1"/>
  <c r="AC439" i="8"/>
  <c r="AC440" i="8"/>
  <c r="AC441" i="8"/>
  <c r="AC442" i="8"/>
  <c r="AH442" i="8" s="1"/>
  <c r="AC443" i="8"/>
  <c r="AC444" i="8"/>
  <c r="AC445" i="8"/>
  <c r="AC446" i="8"/>
  <c r="AH446" i="8" s="1"/>
  <c r="AC447" i="8"/>
  <c r="AC448" i="8"/>
  <c r="AC449" i="8"/>
  <c r="AC450" i="8"/>
  <c r="AH450" i="8" s="1"/>
  <c r="AC451" i="8"/>
  <c r="AC452" i="8"/>
  <c r="AC453" i="8"/>
  <c r="AC454" i="8"/>
  <c r="AH454" i="8" s="1"/>
  <c r="AC455" i="8"/>
  <c r="AC456" i="8"/>
  <c r="AC457" i="8"/>
  <c r="AC458" i="8"/>
  <c r="AH458" i="8" s="1"/>
  <c r="AC459" i="8"/>
  <c r="AC460" i="8"/>
  <c r="AC461" i="8"/>
  <c r="AC462" i="8"/>
  <c r="AH462" i="8" s="1"/>
  <c r="AC463" i="8"/>
  <c r="AC464" i="8"/>
  <c r="AC465" i="8"/>
  <c r="AC466" i="8"/>
  <c r="AH466" i="8" s="1"/>
  <c r="AC467" i="8"/>
  <c r="AC468" i="8"/>
  <c r="AF468" i="8" s="1"/>
  <c r="AC469" i="8"/>
  <c r="AC470" i="8"/>
  <c r="AF470" i="8" s="1"/>
  <c r="AC471" i="8"/>
  <c r="AC472" i="8"/>
  <c r="AF472" i="8" s="1"/>
  <c r="AC473" i="8"/>
  <c r="AC474" i="8"/>
  <c r="AF474" i="8" s="1"/>
  <c r="AC475" i="8"/>
  <c r="AC476" i="8"/>
  <c r="AF476" i="8" s="1"/>
  <c r="AC477" i="8"/>
  <c r="AC478" i="8"/>
  <c r="AF478" i="8" s="1"/>
  <c r="AC479" i="8"/>
  <c r="AC480" i="8"/>
  <c r="AF480" i="8" s="1"/>
  <c r="AC481" i="8"/>
  <c r="AC482" i="8"/>
  <c r="AF482" i="8" s="1"/>
  <c r="AC483" i="8"/>
  <c r="AC484" i="8"/>
  <c r="AF484" i="8" s="1"/>
  <c r="AC485" i="8"/>
  <c r="AC486" i="8"/>
  <c r="AF486" i="8" s="1"/>
  <c r="AC487" i="8"/>
  <c r="AC488" i="8"/>
  <c r="AF488" i="8" s="1"/>
  <c r="AC489" i="8"/>
  <c r="AC490" i="8"/>
  <c r="AF490" i="8" s="1"/>
  <c r="AC491" i="8"/>
  <c r="AC492" i="8"/>
  <c r="AF492" i="8" s="1"/>
  <c r="AC493" i="8"/>
  <c r="AC494" i="8"/>
  <c r="AF494" i="8" s="1"/>
  <c r="AC495" i="8"/>
  <c r="AC496" i="8"/>
  <c r="AF496" i="8" s="1"/>
  <c r="AC497" i="8"/>
  <c r="AC498" i="8"/>
  <c r="AF498" i="8" s="1"/>
  <c r="AC499" i="8"/>
  <c r="AC500" i="8"/>
  <c r="AF500" i="8" s="1"/>
  <c r="AC501" i="8"/>
  <c r="AC502" i="8"/>
  <c r="AF502" i="8" s="1"/>
  <c r="AC503" i="8"/>
  <c r="AC504" i="8"/>
  <c r="AF504" i="8" s="1"/>
  <c r="AC505" i="8"/>
  <c r="AC506" i="8"/>
  <c r="AF506" i="8" s="1"/>
  <c r="AC507" i="8"/>
  <c r="AC508" i="8"/>
  <c r="AF508" i="8" s="1"/>
  <c r="AC509" i="8"/>
  <c r="AC510" i="8"/>
  <c r="AF510" i="8" s="1"/>
  <c r="AC511" i="8"/>
  <c r="AC512" i="8"/>
  <c r="AF512" i="8" s="1"/>
  <c r="AC513" i="8"/>
  <c r="AC514" i="8"/>
  <c r="AF514" i="8" s="1"/>
  <c r="AC515" i="8"/>
  <c r="AC516" i="8"/>
  <c r="AF516" i="8" s="1"/>
  <c r="AC517" i="8"/>
  <c r="AC518" i="8"/>
  <c r="AF518" i="8" s="1"/>
  <c r="AC519" i="8"/>
  <c r="AC3" i="8"/>
  <c r="AW3" i="8" s="1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2" i="3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3" i="5"/>
  <c r="Y51" i="5" l="1"/>
  <c r="AC51" i="5"/>
  <c r="AG51" i="5"/>
  <c r="AK51" i="5"/>
  <c r="AO51" i="5"/>
  <c r="X51" i="5"/>
  <c r="AF51" i="5"/>
  <c r="Z51" i="5"/>
  <c r="AD51" i="5"/>
  <c r="AH51" i="5"/>
  <c r="AL51" i="5"/>
  <c r="AP51" i="5"/>
  <c r="AN51" i="5"/>
  <c r="AA51" i="5"/>
  <c r="AE51" i="5"/>
  <c r="AI51" i="5"/>
  <c r="AM51" i="5"/>
  <c r="AB51" i="5"/>
  <c r="AJ51" i="5"/>
  <c r="Y39" i="5"/>
  <c r="AC39" i="5"/>
  <c r="AG39" i="5"/>
  <c r="AK39" i="5"/>
  <c r="AO39" i="5"/>
  <c r="Z39" i="5"/>
  <c r="AD39" i="5"/>
  <c r="AH39" i="5"/>
  <c r="AL39" i="5"/>
  <c r="AP39" i="5"/>
  <c r="AA39" i="5"/>
  <c r="AE39" i="5"/>
  <c r="AI39" i="5"/>
  <c r="AM39" i="5"/>
  <c r="AF39" i="5"/>
  <c r="AB39" i="5"/>
  <c r="AJ39" i="5"/>
  <c r="X39" i="5"/>
  <c r="AN39" i="5"/>
  <c r="AA23" i="5"/>
  <c r="AE23" i="5"/>
  <c r="AI23" i="5"/>
  <c r="AM23" i="5"/>
  <c r="X23" i="5"/>
  <c r="AB23" i="5"/>
  <c r="AF23" i="5"/>
  <c r="AJ23" i="5"/>
  <c r="AN23" i="5"/>
  <c r="Y23" i="5"/>
  <c r="AC23" i="5"/>
  <c r="AG23" i="5"/>
  <c r="AK23" i="5"/>
  <c r="AO23" i="5"/>
  <c r="AH23" i="5"/>
  <c r="AL23" i="5"/>
  <c r="Z23" i="5"/>
  <c r="AP23" i="5"/>
  <c r="AD23" i="5"/>
  <c r="X11" i="5"/>
  <c r="AB11" i="5"/>
  <c r="AF11" i="5"/>
  <c r="AJ11" i="5"/>
  <c r="AN11" i="5"/>
  <c r="Y11" i="5"/>
  <c r="AC11" i="5"/>
  <c r="AG11" i="5"/>
  <c r="AK11" i="5"/>
  <c r="AO11" i="5"/>
  <c r="Z11" i="5"/>
  <c r="AD11" i="5"/>
  <c r="AH11" i="5"/>
  <c r="AL11" i="5"/>
  <c r="AP11" i="5"/>
  <c r="AM11" i="5"/>
  <c r="AA11" i="5"/>
  <c r="AE11" i="5"/>
  <c r="AI11" i="5"/>
  <c r="AA57" i="5"/>
  <c r="AE57" i="5"/>
  <c r="AI57" i="5"/>
  <c r="AM57" i="5"/>
  <c r="AH57" i="5"/>
  <c r="X57" i="5"/>
  <c r="AB57" i="5"/>
  <c r="AF57" i="5"/>
  <c r="AJ57" i="5"/>
  <c r="AN57" i="5"/>
  <c r="AD57" i="5"/>
  <c r="AP57" i="5"/>
  <c r="Y57" i="5"/>
  <c r="AC57" i="5"/>
  <c r="AG57" i="5"/>
  <c r="AK57" i="5"/>
  <c r="AO57" i="5"/>
  <c r="Z57" i="5"/>
  <c r="AL57" i="5"/>
  <c r="AA53" i="5"/>
  <c r="AE53" i="5"/>
  <c r="AI53" i="5"/>
  <c r="AM53" i="5"/>
  <c r="AH53" i="5"/>
  <c r="X53" i="5"/>
  <c r="AB53" i="5"/>
  <c r="AF53" i="5"/>
  <c r="AJ53" i="5"/>
  <c r="AN53" i="5"/>
  <c r="AD53" i="5"/>
  <c r="AP53" i="5"/>
  <c r="Y53" i="5"/>
  <c r="AC53" i="5"/>
  <c r="AG53" i="5"/>
  <c r="AK53" i="5"/>
  <c r="AO53" i="5"/>
  <c r="Z53" i="5"/>
  <c r="AL53" i="5"/>
  <c r="AA49" i="5"/>
  <c r="AE49" i="5"/>
  <c r="AI49" i="5"/>
  <c r="AM49" i="5"/>
  <c r="AD49" i="5"/>
  <c r="AL49" i="5"/>
  <c r="X49" i="5"/>
  <c r="AB49" i="5"/>
  <c r="AF49" i="5"/>
  <c r="AJ49" i="5"/>
  <c r="AN49" i="5"/>
  <c r="Y49" i="5"/>
  <c r="AC49" i="5"/>
  <c r="AG49" i="5"/>
  <c r="AK49" i="5"/>
  <c r="AO49" i="5"/>
  <c r="Z49" i="5"/>
  <c r="AH49" i="5"/>
  <c r="AP49" i="5"/>
  <c r="AA45" i="5"/>
  <c r="AE45" i="5"/>
  <c r="AI45" i="5"/>
  <c r="AM45" i="5"/>
  <c r="X45" i="5"/>
  <c r="AB45" i="5"/>
  <c r="AF45" i="5"/>
  <c r="AJ45" i="5"/>
  <c r="AN45" i="5"/>
  <c r="Y45" i="5"/>
  <c r="AC45" i="5"/>
  <c r="AG45" i="5"/>
  <c r="AK45" i="5"/>
  <c r="AO45" i="5"/>
  <c r="AD45" i="5"/>
  <c r="AP45" i="5"/>
  <c r="AH45" i="5"/>
  <c r="AL45" i="5"/>
  <c r="Z45" i="5"/>
  <c r="AA41" i="5"/>
  <c r="AE41" i="5"/>
  <c r="AI41" i="5"/>
  <c r="AM41" i="5"/>
  <c r="X41" i="5"/>
  <c r="AB41" i="5"/>
  <c r="AF41" i="5"/>
  <c r="AJ41" i="5"/>
  <c r="AN41" i="5"/>
  <c r="Y41" i="5"/>
  <c r="AC41" i="5"/>
  <c r="AG41" i="5"/>
  <c r="AK41" i="5"/>
  <c r="AO41" i="5"/>
  <c r="Z41" i="5"/>
  <c r="AP41" i="5"/>
  <c r="AD41" i="5"/>
  <c r="AH41" i="5"/>
  <c r="AL41" i="5"/>
  <c r="AA37" i="5"/>
  <c r="AE37" i="5"/>
  <c r="AI37" i="5"/>
  <c r="AM37" i="5"/>
  <c r="X37" i="5"/>
  <c r="AB37" i="5"/>
  <c r="AF37" i="5"/>
  <c r="AJ37" i="5"/>
  <c r="AN37" i="5"/>
  <c r="Y37" i="5"/>
  <c r="AC37" i="5"/>
  <c r="AG37" i="5"/>
  <c r="AK37" i="5"/>
  <c r="AO37" i="5"/>
  <c r="AL37" i="5"/>
  <c r="AH37" i="5"/>
  <c r="Z37" i="5"/>
  <c r="AP37" i="5"/>
  <c r="AD37" i="5"/>
  <c r="Y33" i="5"/>
  <c r="AC33" i="5"/>
  <c r="AG33" i="5"/>
  <c r="AK33" i="5"/>
  <c r="AO33" i="5"/>
  <c r="Z33" i="5"/>
  <c r="AD33" i="5"/>
  <c r="AH33" i="5"/>
  <c r="AL33" i="5"/>
  <c r="AP33" i="5"/>
  <c r="AA33" i="5"/>
  <c r="AE33" i="5"/>
  <c r="AI33" i="5"/>
  <c r="AM33" i="5"/>
  <c r="AJ33" i="5"/>
  <c r="X33" i="5"/>
  <c r="AN33" i="5"/>
  <c r="AB33" i="5"/>
  <c r="AF33" i="5"/>
  <c r="Y29" i="5"/>
  <c r="AC29" i="5"/>
  <c r="AG29" i="5"/>
  <c r="AK29" i="5"/>
  <c r="AO29" i="5"/>
  <c r="Z29" i="5"/>
  <c r="AD29" i="5"/>
  <c r="AH29" i="5"/>
  <c r="AL29" i="5"/>
  <c r="AP29" i="5"/>
  <c r="AA29" i="5"/>
  <c r="AE29" i="5"/>
  <c r="AI29" i="5"/>
  <c r="AM29" i="5"/>
  <c r="AF29" i="5"/>
  <c r="AJ29" i="5"/>
  <c r="X29" i="5"/>
  <c r="AN29" i="5"/>
  <c r="AB29" i="5"/>
  <c r="Y25" i="5"/>
  <c r="AC25" i="5"/>
  <c r="AG25" i="5"/>
  <c r="AK25" i="5"/>
  <c r="AO25" i="5"/>
  <c r="Z25" i="5"/>
  <c r="AD25" i="5"/>
  <c r="AH25" i="5"/>
  <c r="AL25" i="5"/>
  <c r="AP25" i="5"/>
  <c r="AA25" i="5"/>
  <c r="AE25" i="5"/>
  <c r="AI25" i="5"/>
  <c r="AM25" i="5"/>
  <c r="AB25" i="5"/>
  <c r="AF25" i="5"/>
  <c r="AJ25" i="5"/>
  <c r="X25" i="5"/>
  <c r="AN25" i="5"/>
  <c r="Z21" i="5"/>
  <c r="AD21" i="5"/>
  <c r="AH21" i="5"/>
  <c r="AL21" i="5"/>
  <c r="AA21" i="5"/>
  <c r="AE21" i="5"/>
  <c r="AI21" i="5"/>
  <c r="AM21" i="5"/>
  <c r="X21" i="5"/>
  <c r="AB21" i="5"/>
  <c r="AF21" i="5"/>
  <c r="AJ21" i="5"/>
  <c r="AN21" i="5"/>
  <c r="Y21" i="5"/>
  <c r="AO21" i="5"/>
  <c r="AC21" i="5"/>
  <c r="AP21" i="5"/>
  <c r="AG21" i="5"/>
  <c r="AK21" i="5"/>
  <c r="Z17" i="5"/>
  <c r="AD17" i="5"/>
  <c r="AH17" i="5"/>
  <c r="AL17" i="5"/>
  <c r="AP17" i="5"/>
  <c r="AA17" i="5"/>
  <c r="AE17" i="5"/>
  <c r="AI17" i="5"/>
  <c r="AM17" i="5"/>
  <c r="X17" i="5"/>
  <c r="AB17" i="5"/>
  <c r="AF17" i="5"/>
  <c r="AJ17" i="5"/>
  <c r="AN17" i="5"/>
  <c r="AK17" i="5"/>
  <c r="Y17" i="5"/>
  <c r="AO17" i="5"/>
  <c r="AC17" i="5"/>
  <c r="AG17" i="5"/>
  <c r="Z13" i="5"/>
  <c r="AD13" i="5"/>
  <c r="AH13" i="5"/>
  <c r="AL13" i="5"/>
  <c r="AP13" i="5"/>
  <c r="AA13" i="5"/>
  <c r="AE13" i="5"/>
  <c r="AI13" i="5"/>
  <c r="AM13" i="5"/>
  <c r="X13" i="5"/>
  <c r="AB13" i="5"/>
  <c r="AF13" i="5"/>
  <c r="AJ13" i="5"/>
  <c r="AN13" i="5"/>
  <c r="AG13" i="5"/>
  <c r="AK13" i="5"/>
  <c r="Y13" i="5"/>
  <c r="AO13" i="5"/>
  <c r="AC13" i="5"/>
  <c r="Z9" i="5"/>
  <c r="AD9" i="5"/>
  <c r="AH9" i="5"/>
  <c r="AL9" i="5"/>
  <c r="AP9" i="5"/>
  <c r="AA9" i="5"/>
  <c r="AE9" i="5"/>
  <c r="AI9" i="5"/>
  <c r="AM9" i="5"/>
  <c r="X9" i="5"/>
  <c r="AB9" i="5"/>
  <c r="AF9" i="5"/>
  <c r="AJ9" i="5"/>
  <c r="AN9" i="5"/>
  <c r="AC9" i="5"/>
  <c r="AG9" i="5"/>
  <c r="AK9" i="5"/>
  <c r="Y9" i="5"/>
  <c r="AO9" i="5"/>
  <c r="Z5" i="5"/>
  <c r="AD5" i="5"/>
  <c r="AH5" i="5"/>
  <c r="AL5" i="5"/>
  <c r="AP5" i="5"/>
  <c r="AA5" i="5"/>
  <c r="AE5" i="5"/>
  <c r="AI5" i="5"/>
  <c r="AM5" i="5"/>
  <c r="X5" i="5"/>
  <c r="AB5" i="5"/>
  <c r="AF5" i="5"/>
  <c r="AJ5" i="5"/>
  <c r="AN5" i="5"/>
  <c r="Y5" i="5"/>
  <c r="AO5" i="5"/>
  <c r="AC5" i="5"/>
  <c r="AG5" i="5"/>
  <c r="AK5" i="5"/>
  <c r="AA27" i="5"/>
  <c r="AE27" i="5"/>
  <c r="AI27" i="5"/>
  <c r="AM27" i="5"/>
  <c r="X27" i="5"/>
  <c r="AB27" i="5"/>
  <c r="AF27" i="5"/>
  <c r="AJ27" i="5"/>
  <c r="AN27" i="5"/>
  <c r="Y27" i="5"/>
  <c r="AC27" i="5"/>
  <c r="AG27" i="5"/>
  <c r="AK27" i="5"/>
  <c r="AO27" i="5"/>
  <c r="AL27" i="5"/>
  <c r="Z27" i="5"/>
  <c r="AP27" i="5"/>
  <c r="AD27" i="5"/>
  <c r="AH27" i="5"/>
  <c r="Z56" i="5"/>
  <c r="AD56" i="5"/>
  <c r="AH56" i="5"/>
  <c r="AL56" i="5"/>
  <c r="AP56" i="5"/>
  <c r="AG56" i="5"/>
  <c r="AO56" i="5"/>
  <c r="AA56" i="5"/>
  <c r="AE56" i="5"/>
  <c r="AI56" i="5"/>
  <c r="AM56" i="5"/>
  <c r="Y56" i="5"/>
  <c r="AK56" i="5"/>
  <c r="X56" i="5"/>
  <c r="AB56" i="5"/>
  <c r="AF56" i="5"/>
  <c r="AJ56" i="5"/>
  <c r="AN56" i="5"/>
  <c r="AC56" i="5"/>
  <c r="Z52" i="5"/>
  <c r="AD52" i="5"/>
  <c r="AH52" i="5"/>
  <c r="AL52" i="5"/>
  <c r="AP52" i="5"/>
  <c r="Y52" i="5"/>
  <c r="AG52" i="5"/>
  <c r="AO52" i="5"/>
  <c r="AA52" i="5"/>
  <c r="AE52" i="5"/>
  <c r="AI52" i="5"/>
  <c r="AM52" i="5"/>
  <c r="X52" i="5"/>
  <c r="AB52" i="5"/>
  <c r="AF52" i="5"/>
  <c r="AJ52" i="5"/>
  <c r="AN52" i="5"/>
  <c r="AC52" i="5"/>
  <c r="AK52" i="5"/>
  <c r="Z48" i="5"/>
  <c r="AD48" i="5"/>
  <c r="AH48" i="5"/>
  <c r="AL48" i="5"/>
  <c r="AA48" i="5"/>
  <c r="AE48" i="5"/>
  <c r="AI48" i="5"/>
  <c r="X48" i="5"/>
  <c r="AB48" i="5"/>
  <c r="AF48" i="5"/>
  <c r="AJ48" i="5"/>
  <c r="AK48" i="5"/>
  <c r="AP48" i="5"/>
  <c r="AO48" i="5"/>
  <c r="Y48" i="5"/>
  <c r="AM48" i="5"/>
  <c r="AC48" i="5"/>
  <c r="AN48" i="5"/>
  <c r="AG48" i="5"/>
  <c r="Z44" i="5"/>
  <c r="AD44" i="5"/>
  <c r="AH44" i="5"/>
  <c r="AL44" i="5"/>
  <c r="AP44" i="5"/>
  <c r="AA44" i="5"/>
  <c r="AE44" i="5"/>
  <c r="AI44" i="5"/>
  <c r="AM44" i="5"/>
  <c r="X44" i="5"/>
  <c r="AB44" i="5"/>
  <c r="AF44" i="5"/>
  <c r="AJ44" i="5"/>
  <c r="AN44" i="5"/>
  <c r="AG44" i="5"/>
  <c r="AC44" i="5"/>
  <c r="AK44" i="5"/>
  <c r="Y44" i="5"/>
  <c r="AO44" i="5"/>
  <c r="Z40" i="5"/>
  <c r="AD40" i="5"/>
  <c r="AH40" i="5"/>
  <c r="AL40" i="5"/>
  <c r="AP40" i="5"/>
  <c r="AA40" i="5"/>
  <c r="AE40" i="5"/>
  <c r="AI40" i="5"/>
  <c r="AM40" i="5"/>
  <c r="X40" i="5"/>
  <c r="AB40" i="5"/>
  <c r="AF40" i="5"/>
  <c r="AJ40" i="5"/>
  <c r="AN40" i="5"/>
  <c r="AC40" i="5"/>
  <c r="AO40" i="5"/>
  <c r="AG40" i="5"/>
  <c r="AK40" i="5"/>
  <c r="Y40" i="5"/>
  <c r="Z36" i="5"/>
  <c r="AD36" i="5"/>
  <c r="AH36" i="5"/>
  <c r="AL36" i="5"/>
  <c r="AP36" i="5"/>
  <c r="AA36" i="5"/>
  <c r="AE36" i="5"/>
  <c r="AI36" i="5"/>
  <c r="AM36" i="5"/>
  <c r="X36" i="5"/>
  <c r="AB36" i="5"/>
  <c r="AF36" i="5"/>
  <c r="AJ36" i="5"/>
  <c r="AN36" i="5"/>
  <c r="Y36" i="5"/>
  <c r="AO36" i="5"/>
  <c r="AC36" i="5"/>
  <c r="AG36" i="5"/>
  <c r="AK36" i="5"/>
  <c r="X32" i="5"/>
  <c r="AB32" i="5"/>
  <c r="AF32" i="5"/>
  <c r="AJ32" i="5"/>
  <c r="AN32" i="5"/>
  <c r="Y32" i="5"/>
  <c r="AC32" i="5"/>
  <c r="AG32" i="5"/>
  <c r="AK32" i="5"/>
  <c r="AO32" i="5"/>
  <c r="Z32" i="5"/>
  <c r="AD32" i="5"/>
  <c r="AH32" i="5"/>
  <c r="AL32" i="5"/>
  <c r="AP32" i="5"/>
  <c r="AM32" i="5"/>
  <c r="AA32" i="5"/>
  <c r="AE32" i="5"/>
  <c r="AI32" i="5"/>
  <c r="X28" i="5"/>
  <c r="AB28" i="5"/>
  <c r="AF28" i="5"/>
  <c r="AJ28" i="5"/>
  <c r="AN28" i="5"/>
  <c r="Y28" i="5"/>
  <c r="AC28" i="5"/>
  <c r="AG28" i="5"/>
  <c r="AK28" i="5"/>
  <c r="AO28" i="5"/>
  <c r="Z28" i="5"/>
  <c r="AD28" i="5"/>
  <c r="AH28" i="5"/>
  <c r="AL28" i="5"/>
  <c r="AP28" i="5"/>
  <c r="AI28" i="5"/>
  <c r="AM28" i="5"/>
  <c r="AA28" i="5"/>
  <c r="AE28" i="5"/>
  <c r="X24" i="5"/>
  <c r="AB24" i="5"/>
  <c r="AF24" i="5"/>
  <c r="AJ24" i="5"/>
  <c r="AN24" i="5"/>
  <c r="Y24" i="5"/>
  <c r="AC24" i="5"/>
  <c r="AG24" i="5"/>
  <c r="AK24" i="5"/>
  <c r="AO24" i="5"/>
  <c r="Z24" i="5"/>
  <c r="AD24" i="5"/>
  <c r="AH24" i="5"/>
  <c r="AL24" i="5"/>
  <c r="AP24" i="5"/>
  <c r="AE24" i="5"/>
  <c r="AI24" i="5"/>
  <c r="AM24" i="5"/>
  <c r="AA24" i="5"/>
  <c r="Y20" i="5"/>
  <c r="AC20" i="5"/>
  <c r="AG20" i="5"/>
  <c r="AK20" i="5"/>
  <c r="AO20" i="5"/>
  <c r="Z20" i="5"/>
  <c r="AD20" i="5"/>
  <c r="AH20" i="5"/>
  <c r="AL20" i="5"/>
  <c r="AP20" i="5"/>
  <c r="AA20" i="5"/>
  <c r="AE20" i="5"/>
  <c r="AI20" i="5"/>
  <c r="AM20" i="5"/>
  <c r="AB20" i="5"/>
  <c r="AF20" i="5"/>
  <c r="AJ20" i="5"/>
  <c r="X20" i="5"/>
  <c r="AN20" i="5"/>
  <c r="Y16" i="5"/>
  <c r="AC16" i="5"/>
  <c r="AG16" i="5"/>
  <c r="AK16" i="5"/>
  <c r="AO16" i="5"/>
  <c r="Z16" i="5"/>
  <c r="AD16" i="5"/>
  <c r="AH16" i="5"/>
  <c r="AL16" i="5"/>
  <c r="AP16" i="5"/>
  <c r="AA16" i="5"/>
  <c r="AE16" i="5"/>
  <c r="AI16" i="5"/>
  <c r="AM16" i="5"/>
  <c r="X16" i="5"/>
  <c r="AN16" i="5"/>
  <c r="AB16" i="5"/>
  <c r="AF16" i="5"/>
  <c r="AJ16" i="5"/>
  <c r="Y12" i="5"/>
  <c r="AC12" i="5"/>
  <c r="AG12" i="5"/>
  <c r="AK12" i="5"/>
  <c r="AO12" i="5"/>
  <c r="Z12" i="5"/>
  <c r="AD12" i="5"/>
  <c r="AH12" i="5"/>
  <c r="AL12" i="5"/>
  <c r="AP12" i="5"/>
  <c r="AA12" i="5"/>
  <c r="AE12" i="5"/>
  <c r="AI12" i="5"/>
  <c r="AM12" i="5"/>
  <c r="AJ12" i="5"/>
  <c r="X12" i="5"/>
  <c r="AN12" i="5"/>
  <c r="AB12" i="5"/>
  <c r="AF12" i="5"/>
  <c r="Y8" i="5"/>
  <c r="AC8" i="5"/>
  <c r="AG8" i="5"/>
  <c r="AK8" i="5"/>
  <c r="AO8" i="5"/>
  <c r="Z8" i="5"/>
  <c r="AD8" i="5"/>
  <c r="AH8" i="5"/>
  <c r="AL8" i="5"/>
  <c r="AP8" i="5"/>
  <c r="AA8" i="5"/>
  <c r="AE8" i="5"/>
  <c r="AI8" i="5"/>
  <c r="AM8" i="5"/>
  <c r="AF8" i="5"/>
  <c r="AJ8" i="5"/>
  <c r="X8" i="5"/>
  <c r="AN8" i="5"/>
  <c r="AB8" i="5"/>
  <c r="Y4" i="5"/>
  <c r="AC4" i="5"/>
  <c r="AG4" i="5"/>
  <c r="AK4" i="5"/>
  <c r="AO4" i="5"/>
  <c r="Z4" i="5"/>
  <c r="AD4" i="5"/>
  <c r="AH4" i="5"/>
  <c r="AL4" i="5"/>
  <c r="AP4" i="5"/>
  <c r="AA4" i="5"/>
  <c r="AE4" i="5"/>
  <c r="AI4" i="5"/>
  <c r="AM4" i="5"/>
  <c r="AB4" i="5"/>
  <c r="AF4" i="5"/>
  <c r="AJ4" i="5"/>
  <c r="AN4" i="5"/>
  <c r="X4" i="5"/>
  <c r="X15" i="5"/>
  <c r="AB15" i="5"/>
  <c r="AF15" i="5"/>
  <c r="AJ15" i="5"/>
  <c r="AN15" i="5"/>
  <c r="Y15" i="5"/>
  <c r="AC15" i="5"/>
  <c r="AG15" i="5"/>
  <c r="AK15" i="5"/>
  <c r="AO15" i="5"/>
  <c r="Z15" i="5"/>
  <c r="AD15" i="5"/>
  <c r="AH15" i="5"/>
  <c r="AL15" i="5"/>
  <c r="AP15" i="5"/>
  <c r="AA15" i="5"/>
  <c r="AE15" i="5"/>
  <c r="AI15" i="5"/>
  <c r="AM15" i="5"/>
  <c r="Z3" i="5"/>
  <c r="AD3" i="5"/>
  <c r="AH3" i="5"/>
  <c r="AL3" i="5"/>
  <c r="AP3" i="5"/>
  <c r="AC3" i="5"/>
  <c r="AO3" i="5"/>
  <c r="AA3" i="5"/>
  <c r="AE3" i="5"/>
  <c r="AI3" i="5"/>
  <c r="AM3" i="5"/>
  <c r="AG3" i="5"/>
  <c r="AB3" i="5"/>
  <c r="AF3" i="5"/>
  <c r="AJ3" i="5"/>
  <c r="AN3" i="5"/>
  <c r="Y3" i="5"/>
  <c r="AK3" i="5"/>
  <c r="X3" i="5"/>
  <c r="Y55" i="5"/>
  <c r="AC55" i="5"/>
  <c r="AG55" i="5"/>
  <c r="AK55" i="5"/>
  <c r="AO55" i="5"/>
  <c r="AF55" i="5"/>
  <c r="AN55" i="5"/>
  <c r="Z55" i="5"/>
  <c r="AD55" i="5"/>
  <c r="AH55" i="5"/>
  <c r="AL55" i="5"/>
  <c r="AP55" i="5"/>
  <c r="AB55" i="5"/>
  <c r="AA55" i="5"/>
  <c r="AE55" i="5"/>
  <c r="AI55" i="5"/>
  <c r="AM55" i="5"/>
  <c r="X55" i="5"/>
  <c r="AJ55" i="5"/>
  <c r="Y47" i="5"/>
  <c r="AC47" i="5"/>
  <c r="AG47" i="5"/>
  <c r="AK47" i="5"/>
  <c r="AO47" i="5"/>
  <c r="Z47" i="5"/>
  <c r="AD47" i="5"/>
  <c r="AH47" i="5"/>
  <c r="AL47" i="5"/>
  <c r="AP47" i="5"/>
  <c r="AA47" i="5"/>
  <c r="AE47" i="5"/>
  <c r="AI47" i="5"/>
  <c r="AM47" i="5"/>
  <c r="X47" i="5"/>
  <c r="AN47" i="5"/>
  <c r="AJ47" i="5"/>
  <c r="AB47" i="5"/>
  <c r="AF47" i="5"/>
  <c r="Y43" i="5"/>
  <c r="AC43" i="5"/>
  <c r="AG43" i="5"/>
  <c r="AK43" i="5"/>
  <c r="AO43" i="5"/>
  <c r="Z43" i="5"/>
  <c r="AD43" i="5"/>
  <c r="AH43" i="5"/>
  <c r="AL43" i="5"/>
  <c r="AP43" i="5"/>
  <c r="AA43" i="5"/>
  <c r="AE43" i="5"/>
  <c r="AI43" i="5"/>
  <c r="AM43" i="5"/>
  <c r="AJ43" i="5"/>
  <c r="X43" i="5"/>
  <c r="AN43" i="5"/>
  <c r="AB43" i="5"/>
  <c r="AF43" i="5"/>
  <c r="AA35" i="5"/>
  <c r="X35" i="5"/>
  <c r="AB35" i="5"/>
  <c r="Y35" i="5"/>
  <c r="AC35" i="5"/>
  <c r="AG35" i="5"/>
  <c r="AK35" i="5"/>
  <c r="AO35" i="5"/>
  <c r="AD35" i="5"/>
  <c r="AH35" i="5"/>
  <c r="AL35" i="5"/>
  <c r="AP35" i="5"/>
  <c r="AE35" i="5"/>
  <c r="AI35" i="5"/>
  <c r="AM35" i="5"/>
  <c r="Z35" i="5"/>
  <c r="AN35" i="5"/>
  <c r="AF35" i="5"/>
  <c r="AJ35" i="5"/>
  <c r="AA31" i="5"/>
  <c r="AE31" i="5"/>
  <c r="AI31" i="5"/>
  <c r="AM31" i="5"/>
  <c r="X31" i="5"/>
  <c r="AB31" i="5"/>
  <c r="AF31" i="5"/>
  <c r="AJ31" i="5"/>
  <c r="AN31" i="5"/>
  <c r="Y31" i="5"/>
  <c r="AC31" i="5"/>
  <c r="AG31" i="5"/>
  <c r="AK31" i="5"/>
  <c r="AO31" i="5"/>
  <c r="Z31" i="5"/>
  <c r="AP31" i="5"/>
  <c r="AD31" i="5"/>
  <c r="AH31" i="5"/>
  <c r="AL31" i="5"/>
  <c r="X19" i="5"/>
  <c r="AB19" i="5"/>
  <c r="AF19" i="5"/>
  <c r="AJ19" i="5"/>
  <c r="AN19" i="5"/>
  <c r="Y19" i="5"/>
  <c r="AC19" i="5"/>
  <c r="AG19" i="5"/>
  <c r="AK19" i="5"/>
  <c r="AO19" i="5"/>
  <c r="Z19" i="5"/>
  <c r="AD19" i="5"/>
  <c r="AH19" i="5"/>
  <c r="AL19" i="5"/>
  <c r="AP19" i="5"/>
  <c r="AE19" i="5"/>
  <c r="AI19" i="5"/>
  <c r="AM19" i="5"/>
  <c r="AA19" i="5"/>
  <c r="X7" i="5"/>
  <c r="AB7" i="5"/>
  <c r="AF7" i="5"/>
  <c r="AJ7" i="5"/>
  <c r="AN7" i="5"/>
  <c r="Y7" i="5"/>
  <c r="AC7" i="5"/>
  <c r="AG7" i="5"/>
  <c r="AK7" i="5"/>
  <c r="AO7" i="5"/>
  <c r="Z7" i="5"/>
  <c r="AD7" i="5"/>
  <c r="AH7" i="5"/>
  <c r="AL7" i="5"/>
  <c r="AP7" i="5"/>
  <c r="AI7" i="5"/>
  <c r="AM7" i="5"/>
  <c r="AA7" i="5"/>
  <c r="AE7" i="5"/>
  <c r="X58" i="5"/>
  <c r="AB58" i="5"/>
  <c r="AF58" i="5"/>
  <c r="AJ58" i="5"/>
  <c r="AN58" i="5"/>
  <c r="AA58" i="5"/>
  <c r="AI58" i="5"/>
  <c r="Y58" i="5"/>
  <c r="AC58" i="5"/>
  <c r="AG58" i="5"/>
  <c r="AK58" i="5"/>
  <c r="AO58" i="5"/>
  <c r="AM58" i="5"/>
  <c r="Z58" i="5"/>
  <c r="AD58" i="5"/>
  <c r="AH58" i="5"/>
  <c r="AL58" i="5"/>
  <c r="AP58" i="5"/>
  <c r="AE58" i="5"/>
  <c r="X54" i="5"/>
  <c r="AB54" i="5"/>
  <c r="AF54" i="5"/>
  <c r="AJ54" i="5"/>
  <c r="AN54" i="5"/>
  <c r="AA54" i="5"/>
  <c r="AM54" i="5"/>
  <c r="Y54" i="5"/>
  <c r="AC54" i="5"/>
  <c r="AG54" i="5"/>
  <c r="AK54" i="5"/>
  <c r="AO54" i="5"/>
  <c r="AI54" i="5"/>
  <c r="Z54" i="5"/>
  <c r="AD54" i="5"/>
  <c r="AH54" i="5"/>
  <c r="AL54" i="5"/>
  <c r="AP54" i="5"/>
  <c r="AE54" i="5"/>
  <c r="X50" i="5"/>
  <c r="AB50" i="5"/>
  <c r="AF50" i="5"/>
  <c r="AJ50" i="5"/>
  <c r="AN50" i="5"/>
  <c r="AA50" i="5"/>
  <c r="AI50" i="5"/>
  <c r="Y50" i="5"/>
  <c r="AC50" i="5"/>
  <c r="AG50" i="5"/>
  <c r="AK50" i="5"/>
  <c r="AO50" i="5"/>
  <c r="Z50" i="5"/>
  <c r="AD50" i="5"/>
  <c r="AH50" i="5"/>
  <c r="AL50" i="5"/>
  <c r="AP50" i="5"/>
  <c r="AE50" i="5"/>
  <c r="AM50" i="5"/>
  <c r="X46" i="5"/>
  <c r="AB46" i="5"/>
  <c r="AF46" i="5"/>
  <c r="AJ46" i="5"/>
  <c r="AN46" i="5"/>
  <c r="Y46" i="5"/>
  <c r="AC46" i="5"/>
  <c r="AG46" i="5"/>
  <c r="AK46" i="5"/>
  <c r="AO46" i="5"/>
  <c r="Z46" i="5"/>
  <c r="AD46" i="5"/>
  <c r="AH46" i="5"/>
  <c r="AL46" i="5"/>
  <c r="AP46" i="5"/>
  <c r="AA46" i="5"/>
  <c r="AE46" i="5"/>
  <c r="AI46" i="5"/>
  <c r="AM46" i="5"/>
  <c r="X42" i="5"/>
  <c r="AB42" i="5"/>
  <c r="AF42" i="5"/>
  <c r="AJ42" i="5"/>
  <c r="AN42" i="5"/>
  <c r="Y42" i="5"/>
  <c r="AC42" i="5"/>
  <c r="AG42" i="5"/>
  <c r="AK42" i="5"/>
  <c r="AO42" i="5"/>
  <c r="Z42" i="5"/>
  <c r="AD42" i="5"/>
  <c r="AH42" i="5"/>
  <c r="AL42" i="5"/>
  <c r="AP42" i="5"/>
  <c r="AM42" i="5"/>
  <c r="AI42" i="5"/>
  <c r="AA42" i="5"/>
  <c r="AE42" i="5"/>
  <c r="X38" i="5"/>
  <c r="AB38" i="5"/>
  <c r="AF38" i="5"/>
  <c r="AJ38" i="5"/>
  <c r="AN38" i="5"/>
  <c r="Y38" i="5"/>
  <c r="AC38" i="5"/>
  <c r="AG38" i="5"/>
  <c r="AK38" i="5"/>
  <c r="AO38" i="5"/>
  <c r="Z38" i="5"/>
  <c r="AD38" i="5"/>
  <c r="AH38" i="5"/>
  <c r="AL38" i="5"/>
  <c r="AP38" i="5"/>
  <c r="AI38" i="5"/>
  <c r="AM38" i="5"/>
  <c r="AA38" i="5"/>
  <c r="AE38" i="5"/>
  <c r="Z34" i="5"/>
  <c r="AD34" i="5"/>
  <c r="AH34" i="5"/>
  <c r="AL34" i="5"/>
  <c r="AP34" i="5"/>
  <c r="AA34" i="5"/>
  <c r="AE34" i="5"/>
  <c r="AI34" i="5"/>
  <c r="AM34" i="5"/>
  <c r="X34" i="5"/>
  <c r="AB34" i="5"/>
  <c r="AF34" i="5"/>
  <c r="AJ34" i="5"/>
  <c r="AN34" i="5"/>
  <c r="AG34" i="5"/>
  <c r="AK34" i="5"/>
  <c r="Y34" i="5"/>
  <c r="AO34" i="5"/>
  <c r="AC34" i="5"/>
  <c r="Z30" i="5"/>
  <c r="AD30" i="5"/>
  <c r="AH30" i="5"/>
  <c r="AL30" i="5"/>
  <c r="AP30" i="5"/>
  <c r="AA30" i="5"/>
  <c r="AE30" i="5"/>
  <c r="AI30" i="5"/>
  <c r="AM30" i="5"/>
  <c r="X30" i="5"/>
  <c r="AB30" i="5"/>
  <c r="AF30" i="5"/>
  <c r="AJ30" i="5"/>
  <c r="AN30" i="5"/>
  <c r="AC30" i="5"/>
  <c r="AG30" i="5"/>
  <c r="AK30" i="5"/>
  <c r="AO30" i="5"/>
  <c r="Y30" i="5"/>
  <c r="Z26" i="5"/>
  <c r="AD26" i="5"/>
  <c r="AH26" i="5"/>
  <c r="AL26" i="5"/>
  <c r="AP26" i="5"/>
  <c r="AA26" i="5"/>
  <c r="AE26" i="5"/>
  <c r="AI26" i="5"/>
  <c r="AM26" i="5"/>
  <c r="X26" i="5"/>
  <c r="AB26" i="5"/>
  <c r="AF26" i="5"/>
  <c r="AJ26" i="5"/>
  <c r="AN26" i="5"/>
  <c r="Y26" i="5"/>
  <c r="AO26" i="5"/>
  <c r="AC26" i="5"/>
  <c r="AG26" i="5"/>
  <c r="AK26" i="5"/>
  <c r="Z22" i="5"/>
  <c r="AD22" i="5"/>
  <c r="AH22" i="5"/>
  <c r="AL22" i="5"/>
  <c r="AP22" i="5"/>
  <c r="AA22" i="5"/>
  <c r="AE22" i="5"/>
  <c r="AI22" i="5"/>
  <c r="AM22" i="5"/>
  <c r="X22" i="5"/>
  <c r="AB22" i="5"/>
  <c r="AF22" i="5"/>
  <c r="AJ22" i="5"/>
  <c r="AN22" i="5"/>
  <c r="AK22" i="5"/>
  <c r="Y22" i="5"/>
  <c r="AO22" i="5"/>
  <c r="AC22" i="5"/>
  <c r="AG22" i="5"/>
  <c r="AA18" i="5"/>
  <c r="AE18" i="5"/>
  <c r="AI18" i="5"/>
  <c r="AM18" i="5"/>
  <c r="X18" i="5"/>
  <c r="AB18" i="5"/>
  <c r="AF18" i="5"/>
  <c r="AJ18" i="5"/>
  <c r="AN18" i="5"/>
  <c r="Y18" i="5"/>
  <c r="AC18" i="5"/>
  <c r="AG18" i="5"/>
  <c r="AK18" i="5"/>
  <c r="AO18" i="5"/>
  <c r="AH18" i="5"/>
  <c r="AL18" i="5"/>
  <c r="Z18" i="5"/>
  <c r="AP18" i="5"/>
  <c r="AD18" i="5"/>
  <c r="AA14" i="5"/>
  <c r="AE14" i="5"/>
  <c r="AI14" i="5"/>
  <c r="AM14" i="5"/>
  <c r="X14" i="5"/>
  <c r="AB14" i="5"/>
  <c r="AF14" i="5"/>
  <c r="AJ14" i="5"/>
  <c r="AN14" i="5"/>
  <c r="Y14" i="5"/>
  <c r="AC14" i="5"/>
  <c r="AG14" i="5"/>
  <c r="AK14" i="5"/>
  <c r="AO14" i="5"/>
  <c r="AD14" i="5"/>
  <c r="AH14" i="5"/>
  <c r="AL14" i="5"/>
  <c r="AP14" i="5"/>
  <c r="Z14" i="5"/>
  <c r="AA10" i="5"/>
  <c r="AE10" i="5"/>
  <c r="AI10" i="5"/>
  <c r="AM10" i="5"/>
  <c r="X10" i="5"/>
  <c r="AB10" i="5"/>
  <c r="AF10" i="5"/>
  <c r="AJ10" i="5"/>
  <c r="AN10" i="5"/>
  <c r="Y10" i="5"/>
  <c r="AC10" i="5"/>
  <c r="AG10" i="5"/>
  <c r="AK10" i="5"/>
  <c r="AO10" i="5"/>
  <c r="Z10" i="5"/>
  <c r="AP10" i="5"/>
  <c r="AD10" i="5"/>
  <c r="AH10" i="5"/>
  <c r="AL10" i="5"/>
  <c r="AA6" i="5"/>
  <c r="AE6" i="5"/>
  <c r="AI6" i="5"/>
  <c r="AM6" i="5"/>
  <c r="X6" i="5"/>
  <c r="AB6" i="5"/>
  <c r="AF6" i="5"/>
  <c r="AJ6" i="5"/>
  <c r="AN6" i="5"/>
  <c r="Y6" i="5"/>
  <c r="AC6" i="5"/>
  <c r="AG6" i="5"/>
  <c r="AK6" i="5"/>
  <c r="AO6" i="5"/>
  <c r="AL6" i="5"/>
  <c r="Z6" i="5"/>
  <c r="AP6" i="5"/>
  <c r="AD6" i="5"/>
  <c r="AH6" i="5"/>
  <c r="AM500" i="7"/>
  <c r="AH496" i="7"/>
  <c r="AD492" i="7"/>
  <c r="AD484" i="7"/>
  <c r="AD476" i="7"/>
  <c r="AD468" i="7"/>
  <c r="AD460" i="7"/>
  <c r="AD452" i="7"/>
  <c r="AD444" i="7"/>
  <c r="AD436" i="7"/>
  <c r="AD428" i="7"/>
  <c r="AD420" i="7"/>
  <c r="AD412" i="7"/>
  <c r="AD404" i="7"/>
  <c r="AI380" i="7"/>
  <c r="AI348" i="7"/>
  <c r="AI316" i="7"/>
  <c r="AN220" i="7"/>
  <c r="AV208" i="7"/>
  <c r="AR184" i="7"/>
  <c r="AQ500" i="7"/>
  <c r="AT492" i="7"/>
  <c r="AT476" i="7"/>
  <c r="AT460" i="7"/>
  <c r="AT444" i="7"/>
  <c r="AT428" i="7"/>
  <c r="AT412" i="7"/>
  <c r="AP3" i="7"/>
  <c r="AO499" i="7"/>
  <c r="AN495" i="7"/>
  <c r="AJ491" i="7"/>
  <c r="AR487" i="7"/>
  <c r="AJ483" i="7"/>
  <c r="AR479" i="7"/>
  <c r="AJ475" i="7"/>
  <c r="AR471" i="7"/>
  <c r="AJ467" i="7"/>
  <c r="AR463" i="7"/>
  <c r="AJ459" i="7"/>
  <c r="AR455" i="7"/>
  <c r="AJ451" i="7"/>
  <c r="AR447" i="7"/>
  <c r="AJ443" i="7"/>
  <c r="AR439" i="7"/>
  <c r="AJ435" i="7"/>
  <c r="AR431" i="7"/>
  <c r="AJ427" i="7"/>
  <c r="AR423" i="7"/>
  <c r="AJ419" i="7"/>
  <c r="AR415" i="7"/>
  <c r="AJ411" i="7"/>
  <c r="AR407" i="7"/>
  <c r="AJ403" i="7"/>
  <c r="AW391" i="7"/>
  <c r="AO371" i="7"/>
  <c r="AW359" i="7"/>
  <c r="AO339" i="7"/>
  <c r="AW327" i="7"/>
  <c r="AD267" i="7"/>
  <c r="AL255" i="7"/>
  <c r="AT243" i="7"/>
  <c r="AW499" i="7"/>
  <c r="AF502" i="7"/>
  <c r="AQ502" i="7"/>
  <c r="AE502" i="7"/>
  <c r="AU502" i="7"/>
  <c r="AI502" i="7"/>
  <c r="AM502" i="7"/>
  <c r="AH498" i="7"/>
  <c r="AL498" i="7"/>
  <c r="AT498" i="7"/>
  <c r="AD498" i="7"/>
  <c r="AP494" i="7"/>
  <c r="AH494" i="7"/>
  <c r="AX494" i="7"/>
  <c r="AH490" i="7"/>
  <c r="AP490" i="7"/>
  <c r="AP486" i="7"/>
  <c r="AH486" i="7"/>
  <c r="AX486" i="7"/>
  <c r="AH482" i="7"/>
  <c r="AP482" i="7"/>
  <c r="AP478" i="7"/>
  <c r="AH478" i="7"/>
  <c r="AX478" i="7"/>
  <c r="AH474" i="7"/>
  <c r="AP474" i="7"/>
  <c r="AP470" i="7"/>
  <c r="AH470" i="7"/>
  <c r="AX470" i="7"/>
  <c r="AH466" i="7"/>
  <c r="AP466" i="7"/>
  <c r="AP462" i="7"/>
  <c r="AH462" i="7"/>
  <c r="AX462" i="7"/>
  <c r="AH458" i="7"/>
  <c r="AP458" i="7"/>
  <c r="AH450" i="7"/>
  <c r="AP450" i="7"/>
  <c r="AP446" i="7"/>
  <c r="AH446" i="7"/>
  <c r="AX446" i="7"/>
  <c r="AH442" i="7"/>
  <c r="AX422" i="7"/>
  <c r="AX406" i="7"/>
  <c r="AU394" i="7"/>
  <c r="AE386" i="7"/>
  <c r="AM374" i="7"/>
  <c r="AE354" i="7"/>
  <c r="AM342" i="7"/>
  <c r="AU330" i="7"/>
  <c r="AE322" i="7"/>
  <c r="AM310" i="7"/>
  <c r="AJ290" i="7"/>
  <c r="AR278" i="7"/>
  <c r="AP454" i="7"/>
  <c r="AH454" i="7"/>
  <c r="AX454" i="7"/>
  <c r="AP438" i="7"/>
  <c r="AH426" i="7"/>
  <c r="AP414" i="7"/>
  <c r="AC402" i="7"/>
  <c r="AU378" i="7"/>
  <c r="AE362" i="7"/>
  <c r="AU346" i="7"/>
  <c r="AM326" i="7"/>
  <c r="AJ226" i="7"/>
  <c r="AD501" i="7"/>
  <c r="AH497" i="7"/>
  <c r="AN489" i="7"/>
  <c r="AR481" i="7"/>
  <c r="AF477" i="7"/>
  <c r="AJ469" i="7"/>
  <c r="AF461" i="7"/>
  <c r="AR457" i="7"/>
  <c r="AN449" i="7"/>
  <c r="AJ445" i="7"/>
  <c r="AF437" i="7"/>
  <c r="AR433" i="7"/>
  <c r="AF429" i="7"/>
  <c r="AJ421" i="7"/>
  <c r="AN417" i="7"/>
  <c r="AR409" i="7"/>
  <c r="AF405" i="7"/>
  <c r="AC397" i="7"/>
  <c r="AK385" i="7"/>
  <c r="AC365" i="7"/>
  <c r="AK361" i="7"/>
  <c r="AK353" i="7"/>
  <c r="AS341" i="7"/>
  <c r="AC333" i="7"/>
  <c r="AK329" i="7"/>
  <c r="AK321" i="7"/>
  <c r="AS317" i="7"/>
  <c r="AS309" i="7"/>
  <c r="AD173" i="7"/>
  <c r="AT3" i="7"/>
  <c r="AD3" i="7"/>
  <c r="AS499" i="7"/>
  <c r="AC499" i="7"/>
  <c r="AX496" i="7"/>
  <c r="AU362" i="7"/>
  <c r="AP430" i="7"/>
  <c r="AH418" i="7"/>
  <c r="AH410" i="7"/>
  <c r="AM390" i="7"/>
  <c r="AM382" i="7"/>
  <c r="AM350" i="7"/>
  <c r="AE330" i="7"/>
  <c r="AM318" i="7"/>
  <c r="AR214" i="7"/>
  <c r="AF500" i="7"/>
  <c r="AI500" i="7"/>
  <c r="AP496" i="7"/>
  <c r="AX438" i="7"/>
  <c r="AX430" i="7"/>
  <c r="AX414" i="7"/>
  <c r="AH434" i="7"/>
  <c r="AP422" i="7"/>
  <c r="AP406" i="7"/>
  <c r="AE394" i="7"/>
  <c r="AE370" i="7"/>
  <c r="AM358" i="7"/>
  <c r="AE338" i="7"/>
  <c r="AU314" i="7"/>
  <c r="AE3" i="7"/>
  <c r="AD499" i="7"/>
  <c r="AL495" i="7"/>
  <c r="AF491" i="7"/>
  <c r="AN487" i="7"/>
  <c r="AF483" i="7"/>
  <c r="AN479" i="7"/>
  <c r="AF475" i="7"/>
  <c r="AN471" i="7"/>
  <c r="AF467" i="7"/>
  <c r="AN463" i="7"/>
  <c r="AF459" i="7"/>
  <c r="AN455" i="7"/>
  <c r="AF451" i="7"/>
  <c r="AN447" i="7"/>
  <c r="AF443" i="7"/>
  <c r="AN439" i="7"/>
  <c r="AF435" i="7"/>
  <c r="AN431" i="7"/>
  <c r="AF427" i="7"/>
  <c r="AN423" i="7"/>
  <c r="AF419" i="7"/>
  <c r="AN415" i="7"/>
  <c r="AF411" i="7"/>
  <c r="AN407" i="7"/>
  <c r="AF403" i="7"/>
  <c r="AW399" i="7"/>
  <c r="AG391" i="7"/>
  <c r="AO379" i="7"/>
  <c r="AW367" i="7"/>
  <c r="AG359" i="7"/>
  <c r="AO347" i="7"/>
  <c r="AW335" i="7"/>
  <c r="AG327" i="7"/>
  <c r="AO315" i="7"/>
  <c r="AD299" i="7"/>
  <c r="AL287" i="7"/>
  <c r="AT275" i="7"/>
  <c r="AL3" i="7"/>
  <c r="AU500" i="7"/>
  <c r="AE500" i="7"/>
  <c r="AK499" i="7"/>
  <c r="AP442" i="7"/>
  <c r="AH438" i="7"/>
  <c r="AP434" i="7"/>
  <c r="AH430" i="7"/>
  <c r="AP426" i="7"/>
  <c r="AH422" i="7"/>
  <c r="AP418" i="7"/>
  <c r="AH414" i="7"/>
  <c r="AP410" i="7"/>
  <c r="AH406" i="7"/>
  <c r="AP402" i="7"/>
  <c r="AC493" i="7"/>
  <c r="AG493" i="7"/>
  <c r="AK493" i="7"/>
  <c r="AO493" i="7"/>
  <c r="AS493" i="7"/>
  <c r="AW493" i="7"/>
  <c r="AD493" i="7"/>
  <c r="AH493" i="7"/>
  <c r="AL493" i="7"/>
  <c r="AP493" i="7"/>
  <c r="AT493" i="7"/>
  <c r="AX493" i="7"/>
  <c r="AE493" i="7"/>
  <c r="AI493" i="7"/>
  <c r="AM493" i="7"/>
  <c r="AQ493" i="7"/>
  <c r="AU493" i="7"/>
  <c r="AC485" i="7"/>
  <c r="AG485" i="7"/>
  <c r="AK485" i="7"/>
  <c r="AO485" i="7"/>
  <c r="AS485" i="7"/>
  <c r="AW485" i="7"/>
  <c r="AD485" i="7"/>
  <c r="AH485" i="7"/>
  <c r="AL485" i="7"/>
  <c r="AP485" i="7"/>
  <c r="AT485" i="7"/>
  <c r="AX485" i="7"/>
  <c r="AE485" i="7"/>
  <c r="AI485" i="7"/>
  <c r="AM485" i="7"/>
  <c r="AQ485" i="7"/>
  <c r="AU485" i="7"/>
  <c r="AC473" i="7"/>
  <c r="AG473" i="7"/>
  <c r="AK473" i="7"/>
  <c r="AO473" i="7"/>
  <c r="AS473" i="7"/>
  <c r="AW473" i="7"/>
  <c r="AD473" i="7"/>
  <c r="AH473" i="7"/>
  <c r="AL473" i="7"/>
  <c r="AP473" i="7"/>
  <c r="AT473" i="7"/>
  <c r="AX473" i="7"/>
  <c r="AE473" i="7"/>
  <c r="AI473" i="7"/>
  <c r="AM473" i="7"/>
  <c r="AQ473" i="7"/>
  <c r="AU473" i="7"/>
  <c r="AC465" i="7"/>
  <c r="AG465" i="7"/>
  <c r="AK465" i="7"/>
  <c r="AO465" i="7"/>
  <c r="AS465" i="7"/>
  <c r="AW465" i="7"/>
  <c r="AD465" i="7"/>
  <c r="AH465" i="7"/>
  <c r="AL465" i="7"/>
  <c r="AP465" i="7"/>
  <c r="AT465" i="7"/>
  <c r="AX465" i="7"/>
  <c r="AE465" i="7"/>
  <c r="AI465" i="7"/>
  <c r="AM465" i="7"/>
  <c r="AQ465" i="7"/>
  <c r="AU465" i="7"/>
  <c r="AC453" i="7"/>
  <c r="AG453" i="7"/>
  <c r="AK453" i="7"/>
  <c r="AO453" i="7"/>
  <c r="AS453" i="7"/>
  <c r="AW453" i="7"/>
  <c r="AD453" i="7"/>
  <c r="AH453" i="7"/>
  <c r="AL453" i="7"/>
  <c r="AP453" i="7"/>
  <c r="AT453" i="7"/>
  <c r="AX453" i="7"/>
  <c r="AE453" i="7"/>
  <c r="AI453" i="7"/>
  <c r="AM453" i="7"/>
  <c r="AQ453" i="7"/>
  <c r="AU453" i="7"/>
  <c r="AC441" i="7"/>
  <c r="AG441" i="7"/>
  <c r="AK441" i="7"/>
  <c r="AO441" i="7"/>
  <c r="AS441" i="7"/>
  <c r="AW441" i="7"/>
  <c r="AD441" i="7"/>
  <c r="AH441" i="7"/>
  <c r="AL441" i="7"/>
  <c r="AP441" i="7"/>
  <c r="AT441" i="7"/>
  <c r="AX441" i="7"/>
  <c r="AE441" i="7"/>
  <c r="AI441" i="7"/>
  <c r="AM441" i="7"/>
  <c r="AQ441" i="7"/>
  <c r="AU441" i="7"/>
  <c r="AC425" i="7"/>
  <c r="AG425" i="7"/>
  <c r="AK425" i="7"/>
  <c r="AO425" i="7"/>
  <c r="AS425" i="7"/>
  <c r="AW425" i="7"/>
  <c r="AD425" i="7"/>
  <c r="AH425" i="7"/>
  <c r="AL425" i="7"/>
  <c r="AP425" i="7"/>
  <c r="AT425" i="7"/>
  <c r="AX425" i="7"/>
  <c r="AE425" i="7"/>
  <c r="AI425" i="7"/>
  <c r="AM425" i="7"/>
  <c r="AQ425" i="7"/>
  <c r="AU425" i="7"/>
  <c r="AC413" i="7"/>
  <c r="AG413" i="7"/>
  <c r="AK413" i="7"/>
  <c r="AO413" i="7"/>
  <c r="AS413" i="7"/>
  <c r="AW413" i="7"/>
  <c r="AD413" i="7"/>
  <c r="AH413" i="7"/>
  <c r="AL413" i="7"/>
  <c r="AP413" i="7"/>
  <c r="AT413" i="7"/>
  <c r="AX413" i="7"/>
  <c r="AE413" i="7"/>
  <c r="AI413" i="7"/>
  <c r="AM413" i="7"/>
  <c r="AQ413" i="7"/>
  <c r="AU413" i="7"/>
  <c r="AD401" i="7"/>
  <c r="AH401" i="7"/>
  <c r="AL401" i="7"/>
  <c r="AP401" i="7"/>
  <c r="AT401" i="7"/>
  <c r="AX401" i="7"/>
  <c r="AE401" i="7"/>
  <c r="AI401" i="7"/>
  <c r="AM401" i="7"/>
  <c r="AQ401" i="7"/>
  <c r="AU401" i="7"/>
  <c r="AF401" i="7"/>
  <c r="AJ401" i="7"/>
  <c r="AN401" i="7"/>
  <c r="AR401" i="7"/>
  <c r="AV401" i="7"/>
  <c r="AO401" i="7"/>
  <c r="AC401" i="7"/>
  <c r="AS401" i="7"/>
  <c r="AG401" i="7"/>
  <c r="AW401" i="7"/>
  <c r="AD393" i="7"/>
  <c r="AH393" i="7"/>
  <c r="AL393" i="7"/>
  <c r="AP393" i="7"/>
  <c r="AT393" i="7"/>
  <c r="AX393" i="7"/>
  <c r="AE393" i="7"/>
  <c r="AI393" i="7"/>
  <c r="AM393" i="7"/>
  <c r="AQ393" i="7"/>
  <c r="AU393" i="7"/>
  <c r="AF393" i="7"/>
  <c r="AJ393" i="7"/>
  <c r="AN393" i="7"/>
  <c r="AR393" i="7"/>
  <c r="AV393" i="7"/>
  <c r="AO393" i="7"/>
  <c r="AC393" i="7"/>
  <c r="AS393" i="7"/>
  <c r="AG393" i="7"/>
  <c r="AW393" i="7"/>
  <c r="AD381" i="7"/>
  <c r="AH381" i="7"/>
  <c r="AL381" i="7"/>
  <c r="AP381" i="7"/>
  <c r="AT381" i="7"/>
  <c r="AX381" i="7"/>
  <c r="AE381" i="7"/>
  <c r="AI381" i="7"/>
  <c r="AM381" i="7"/>
  <c r="AQ381" i="7"/>
  <c r="AU381" i="7"/>
  <c r="AF381" i="7"/>
  <c r="AJ381" i="7"/>
  <c r="AN381" i="7"/>
  <c r="AR381" i="7"/>
  <c r="AV381" i="7"/>
  <c r="AG381" i="7"/>
  <c r="AW381" i="7"/>
  <c r="AK381" i="7"/>
  <c r="AO381" i="7"/>
  <c r="AD373" i="7"/>
  <c r="AH373" i="7"/>
  <c r="AL373" i="7"/>
  <c r="AP373" i="7"/>
  <c r="AT373" i="7"/>
  <c r="AX373" i="7"/>
  <c r="AE373" i="7"/>
  <c r="AI373" i="7"/>
  <c r="AM373" i="7"/>
  <c r="AQ373" i="7"/>
  <c r="AU373" i="7"/>
  <c r="AF373" i="7"/>
  <c r="AJ373" i="7"/>
  <c r="AN373" i="7"/>
  <c r="AR373" i="7"/>
  <c r="AV373" i="7"/>
  <c r="AG373" i="7"/>
  <c r="AW373" i="7"/>
  <c r="AK373" i="7"/>
  <c r="AO373" i="7"/>
  <c r="AD357" i="7"/>
  <c r="AH357" i="7"/>
  <c r="AL357" i="7"/>
  <c r="AP357" i="7"/>
  <c r="AT357" i="7"/>
  <c r="AX357" i="7"/>
  <c r="AE357" i="7"/>
  <c r="AI357" i="7"/>
  <c r="AM357" i="7"/>
  <c r="AQ357" i="7"/>
  <c r="AU357" i="7"/>
  <c r="AF357" i="7"/>
  <c r="AJ357" i="7"/>
  <c r="AN357" i="7"/>
  <c r="AR357" i="7"/>
  <c r="AV357" i="7"/>
  <c r="AG357" i="7"/>
  <c r="AW357" i="7"/>
  <c r="AK357" i="7"/>
  <c r="AO357" i="7"/>
  <c r="AD349" i="7"/>
  <c r="AH349" i="7"/>
  <c r="AL349" i="7"/>
  <c r="AP349" i="7"/>
  <c r="AT349" i="7"/>
  <c r="AX349" i="7"/>
  <c r="AE349" i="7"/>
  <c r="AI349" i="7"/>
  <c r="AM349" i="7"/>
  <c r="AQ349" i="7"/>
  <c r="AU349" i="7"/>
  <c r="AF349" i="7"/>
  <c r="AJ349" i="7"/>
  <c r="AN349" i="7"/>
  <c r="AR349" i="7"/>
  <c r="AV349" i="7"/>
  <c r="AG349" i="7"/>
  <c r="AW349" i="7"/>
  <c r="AK349" i="7"/>
  <c r="AO349" i="7"/>
  <c r="AD337" i="7"/>
  <c r="AH337" i="7"/>
  <c r="AL337" i="7"/>
  <c r="AP337" i="7"/>
  <c r="AT337" i="7"/>
  <c r="AX337" i="7"/>
  <c r="AE337" i="7"/>
  <c r="AI337" i="7"/>
  <c r="AM337" i="7"/>
  <c r="AQ337" i="7"/>
  <c r="AU337" i="7"/>
  <c r="AF337" i="7"/>
  <c r="AJ337" i="7"/>
  <c r="AN337" i="7"/>
  <c r="AR337" i="7"/>
  <c r="AV337" i="7"/>
  <c r="AO337" i="7"/>
  <c r="AC337" i="7"/>
  <c r="AS337" i="7"/>
  <c r="AG337" i="7"/>
  <c r="AW337" i="7"/>
  <c r="AD325" i="7"/>
  <c r="AH325" i="7"/>
  <c r="AL325" i="7"/>
  <c r="AP325" i="7"/>
  <c r="AT325" i="7"/>
  <c r="AX325" i="7"/>
  <c r="AE325" i="7"/>
  <c r="AI325" i="7"/>
  <c r="AM325" i="7"/>
  <c r="AQ325" i="7"/>
  <c r="AU325" i="7"/>
  <c r="AF325" i="7"/>
  <c r="AJ325" i="7"/>
  <c r="AN325" i="7"/>
  <c r="AR325" i="7"/>
  <c r="AV325" i="7"/>
  <c r="AG325" i="7"/>
  <c r="AW325" i="7"/>
  <c r="AK325" i="7"/>
  <c r="AO325" i="7"/>
  <c r="AD313" i="7"/>
  <c r="AH313" i="7"/>
  <c r="AL313" i="7"/>
  <c r="AP313" i="7"/>
  <c r="AT313" i="7"/>
  <c r="AX313" i="7"/>
  <c r="AE313" i="7"/>
  <c r="AI313" i="7"/>
  <c r="AM313" i="7"/>
  <c r="AQ313" i="7"/>
  <c r="AU313" i="7"/>
  <c r="AF313" i="7"/>
  <c r="AJ313" i="7"/>
  <c r="AN313" i="7"/>
  <c r="AR313" i="7"/>
  <c r="AV313" i="7"/>
  <c r="AO313" i="7"/>
  <c r="AC313" i="7"/>
  <c r="AS313" i="7"/>
  <c r="AG313" i="7"/>
  <c r="AW313" i="7"/>
  <c r="AE301" i="7"/>
  <c r="AI301" i="7"/>
  <c r="AM301" i="7"/>
  <c r="AQ301" i="7"/>
  <c r="AU301" i="7"/>
  <c r="AF301" i="7"/>
  <c r="AJ301" i="7"/>
  <c r="AN301" i="7"/>
  <c r="AR301" i="7"/>
  <c r="AV301" i="7"/>
  <c r="AC301" i="7"/>
  <c r="AG301" i="7"/>
  <c r="AK301" i="7"/>
  <c r="AO301" i="7"/>
  <c r="AS301" i="7"/>
  <c r="AW301" i="7"/>
  <c r="AL301" i="7"/>
  <c r="AP301" i="7"/>
  <c r="AD301" i="7"/>
  <c r="AT301" i="7"/>
  <c r="AH301" i="7"/>
  <c r="AE289" i="7"/>
  <c r="AI289" i="7"/>
  <c r="AM289" i="7"/>
  <c r="AQ289" i="7"/>
  <c r="AU289" i="7"/>
  <c r="AF289" i="7"/>
  <c r="AJ289" i="7"/>
  <c r="AN289" i="7"/>
  <c r="AR289" i="7"/>
  <c r="AV289" i="7"/>
  <c r="AC289" i="7"/>
  <c r="AG289" i="7"/>
  <c r="AK289" i="7"/>
  <c r="AO289" i="7"/>
  <c r="AS289" i="7"/>
  <c r="AW289" i="7"/>
  <c r="AD289" i="7"/>
  <c r="AT289" i="7"/>
  <c r="AH289" i="7"/>
  <c r="AX289" i="7"/>
  <c r="AL289" i="7"/>
  <c r="AP289" i="7"/>
  <c r="AE277" i="7"/>
  <c r="AI277" i="7"/>
  <c r="AM277" i="7"/>
  <c r="AQ277" i="7"/>
  <c r="AU277" i="7"/>
  <c r="AF277" i="7"/>
  <c r="AJ277" i="7"/>
  <c r="AN277" i="7"/>
  <c r="AR277" i="7"/>
  <c r="AV277" i="7"/>
  <c r="AC277" i="7"/>
  <c r="AG277" i="7"/>
  <c r="AK277" i="7"/>
  <c r="AO277" i="7"/>
  <c r="AS277" i="7"/>
  <c r="AW277" i="7"/>
  <c r="AL277" i="7"/>
  <c r="AP277" i="7"/>
  <c r="AD277" i="7"/>
  <c r="AT277" i="7"/>
  <c r="AH277" i="7"/>
  <c r="AX277" i="7"/>
  <c r="AE273" i="7"/>
  <c r="AI273" i="7"/>
  <c r="AM273" i="7"/>
  <c r="AQ273" i="7"/>
  <c r="AU273" i="7"/>
  <c r="AF273" i="7"/>
  <c r="AJ273" i="7"/>
  <c r="AN273" i="7"/>
  <c r="AR273" i="7"/>
  <c r="AV273" i="7"/>
  <c r="AC273" i="7"/>
  <c r="AG273" i="7"/>
  <c r="AK273" i="7"/>
  <c r="AO273" i="7"/>
  <c r="AS273" i="7"/>
  <c r="AW273" i="7"/>
  <c r="AD273" i="7"/>
  <c r="AT273" i="7"/>
  <c r="AH273" i="7"/>
  <c r="AX273" i="7"/>
  <c r="AL273" i="7"/>
  <c r="AP273" i="7"/>
  <c r="AE261" i="7"/>
  <c r="AI261" i="7"/>
  <c r="AM261" i="7"/>
  <c r="AQ261" i="7"/>
  <c r="AU261" i="7"/>
  <c r="AF261" i="7"/>
  <c r="AJ261" i="7"/>
  <c r="AN261" i="7"/>
  <c r="AR261" i="7"/>
  <c r="AV261" i="7"/>
  <c r="AC261" i="7"/>
  <c r="AG261" i="7"/>
  <c r="AK261" i="7"/>
  <c r="AO261" i="7"/>
  <c r="AS261" i="7"/>
  <c r="AW261" i="7"/>
  <c r="AL261" i="7"/>
  <c r="AP261" i="7"/>
  <c r="AD261" i="7"/>
  <c r="AT261" i="7"/>
  <c r="AX261" i="7"/>
  <c r="AE249" i="7"/>
  <c r="AI249" i="7"/>
  <c r="AM249" i="7"/>
  <c r="AQ249" i="7"/>
  <c r="AU249" i="7"/>
  <c r="AF249" i="7"/>
  <c r="AJ249" i="7"/>
  <c r="AN249" i="7"/>
  <c r="AR249" i="7"/>
  <c r="AV249" i="7"/>
  <c r="AC249" i="7"/>
  <c r="AG249" i="7"/>
  <c r="AK249" i="7"/>
  <c r="AO249" i="7"/>
  <c r="AS249" i="7"/>
  <c r="AW249" i="7"/>
  <c r="AD249" i="7"/>
  <c r="AT249" i="7"/>
  <c r="AH249" i="7"/>
  <c r="AX249" i="7"/>
  <c r="AL249" i="7"/>
  <c r="AE237" i="7"/>
  <c r="AI237" i="7"/>
  <c r="AM237" i="7"/>
  <c r="AQ237" i="7"/>
  <c r="AU237" i="7"/>
  <c r="AF237" i="7"/>
  <c r="AJ237" i="7"/>
  <c r="AN237" i="7"/>
  <c r="AR237" i="7"/>
  <c r="AV237" i="7"/>
  <c r="AC237" i="7"/>
  <c r="AG237" i="7"/>
  <c r="AK237" i="7"/>
  <c r="AO237" i="7"/>
  <c r="AS237" i="7"/>
  <c r="AW237" i="7"/>
  <c r="AL237" i="7"/>
  <c r="AP237" i="7"/>
  <c r="AD237" i="7"/>
  <c r="AT237" i="7"/>
  <c r="AH237" i="7"/>
  <c r="AE229" i="7"/>
  <c r="AI229" i="7"/>
  <c r="AM229" i="7"/>
  <c r="AQ229" i="7"/>
  <c r="AU229" i="7"/>
  <c r="AF229" i="7"/>
  <c r="AJ229" i="7"/>
  <c r="AN229" i="7"/>
  <c r="AR229" i="7"/>
  <c r="AV229" i="7"/>
  <c r="AC229" i="7"/>
  <c r="AG229" i="7"/>
  <c r="AK229" i="7"/>
  <c r="AO229" i="7"/>
  <c r="AS229" i="7"/>
  <c r="AW229" i="7"/>
  <c r="AL229" i="7"/>
  <c r="AP229" i="7"/>
  <c r="AD229" i="7"/>
  <c r="AT229" i="7"/>
  <c r="AX229" i="7"/>
  <c r="AE217" i="7"/>
  <c r="AI217" i="7"/>
  <c r="AM217" i="7"/>
  <c r="AQ217" i="7"/>
  <c r="AU217" i="7"/>
  <c r="AF217" i="7"/>
  <c r="AJ217" i="7"/>
  <c r="AN217" i="7"/>
  <c r="AR217" i="7"/>
  <c r="AV217" i="7"/>
  <c r="AC217" i="7"/>
  <c r="AG217" i="7"/>
  <c r="AK217" i="7"/>
  <c r="AO217" i="7"/>
  <c r="AS217" i="7"/>
  <c r="AW217" i="7"/>
  <c r="AD217" i="7"/>
  <c r="AT217" i="7"/>
  <c r="AH217" i="7"/>
  <c r="AX217" i="7"/>
  <c r="AL217" i="7"/>
  <c r="AE205" i="7"/>
  <c r="AI205" i="7"/>
  <c r="AM205" i="7"/>
  <c r="AQ205" i="7"/>
  <c r="AU205" i="7"/>
  <c r="AF205" i="7"/>
  <c r="AJ205" i="7"/>
  <c r="AN205" i="7"/>
  <c r="AR205" i="7"/>
  <c r="AV205" i="7"/>
  <c r="AC205" i="7"/>
  <c r="AG205" i="7"/>
  <c r="AK205" i="7"/>
  <c r="AO205" i="7"/>
  <c r="AS205" i="7"/>
  <c r="AW205" i="7"/>
  <c r="AL205" i="7"/>
  <c r="AP205" i="7"/>
  <c r="AD205" i="7"/>
  <c r="AT205" i="7"/>
  <c r="AH205" i="7"/>
  <c r="AE189" i="7"/>
  <c r="AI189" i="7"/>
  <c r="AM189" i="7"/>
  <c r="AQ189" i="7"/>
  <c r="AU189" i="7"/>
  <c r="AF189" i="7"/>
  <c r="AJ189" i="7"/>
  <c r="AN189" i="7"/>
  <c r="AR189" i="7"/>
  <c r="AV189" i="7"/>
  <c r="AC189" i="7"/>
  <c r="AG189" i="7"/>
  <c r="AK189" i="7"/>
  <c r="AO189" i="7"/>
  <c r="AS189" i="7"/>
  <c r="AW189" i="7"/>
  <c r="AH189" i="7"/>
  <c r="AX189" i="7"/>
  <c r="AL189" i="7"/>
  <c r="AP189" i="7"/>
  <c r="AD189" i="7"/>
  <c r="AT189" i="7"/>
  <c r="AE177" i="7"/>
  <c r="AI177" i="7"/>
  <c r="AM177" i="7"/>
  <c r="AQ177" i="7"/>
  <c r="AU177" i="7"/>
  <c r="AF177" i="7"/>
  <c r="AJ177" i="7"/>
  <c r="AN177" i="7"/>
  <c r="AR177" i="7"/>
  <c r="AV177" i="7"/>
  <c r="AC177" i="7"/>
  <c r="AG177" i="7"/>
  <c r="AK177" i="7"/>
  <c r="AO177" i="7"/>
  <c r="AS177" i="7"/>
  <c r="AW177" i="7"/>
  <c r="AP177" i="7"/>
  <c r="AD177" i="7"/>
  <c r="AT177" i="7"/>
  <c r="AH177" i="7"/>
  <c r="AX177" i="7"/>
  <c r="AL177" i="7"/>
  <c r="AE165" i="7"/>
  <c r="AI165" i="7"/>
  <c r="AM165" i="7"/>
  <c r="AQ165" i="7"/>
  <c r="AU165" i="7"/>
  <c r="AF165" i="7"/>
  <c r="AJ165" i="7"/>
  <c r="AN165" i="7"/>
  <c r="AR165" i="7"/>
  <c r="AV165" i="7"/>
  <c r="AC165" i="7"/>
  <c r="AG165" i="7"/>
  <c r="AK165" i="7"/>
  <c r="AO165" i="7"/>
  <c r="AS165" i="7"/>
  <c r="AW165" i="7"/>
  <c r="AH165" i="7"/>
  <c r="AX165" i="7"/>
  <c r="AL165" i="7"/>
  <c r="AP165" i="7"/>
  <c r="AD165" i="7"/>
  <c r="AT165" i="7"/>
  <c r="AF153" i="7"/>
  <c r="AJ153" i="7"/>
  <c r="AN153" i="7"/>
  <c r="AC153" i="7"/>
  <c r="AG153" i="7"/>
  <c r="AK153" i="7"/>
  <c r="AO153" i="7"/>
  <c r="AD153" i="7"/>
  <c r="AH153" i="7"/>
  <c r="AL153" i="7"/>
  <c r="AP153" i="7"/>
  <c r="AQ153" i="7"/>
  <c r="AU153" i="7"/>
  <c r="AE153" i="7"/>
  <c r="AR153" i="7"/>
  <c r="AV153" i="7"/>
  <c r="AI153" i="7"/>
  <c r="AS153" i="7"/>
  <c r="AW153" i="7"/>
  <c r="AM153" i="7"/>
  <c r="AT153" i="7"/>
  <c r="AX153" i="7"/>
  <c r="AF141" i="7"/>
  <c r="AJ141" i="7"/>
  <c r="AN141" i="7"/>
  <c r="AR141" i="7"/>
  <c r="AV141" i="7"/>
  <c r="AC141" i="7"/>
  <c r="AG141" i="7"/>
  <c r="AK141" i="7"/>
  <c r="AO141" i="7"/>
  <c r="AS141" i="7"/>
  <c r="AW141" i="7"/>
  <c r="AD141" i="7"/>
  <c r="AH141" i="7"/>
  <c r="AL141" i="7"/>
  <c r="AP141" i="7"/>
  <c r="AT141" i="7"/>
  <c r="AX141" i="7"/>
  <c r="AI141" i="7"/>
  <c r="AM141" i="7"/>
  <c r="AQ141" i="7"/>
  <c r="AU141" i="7"/>
  <c r="AE141" i="7"/>
  <c r="AF133" i="7"/>
  <c r="AJ133" i="7"/>
  <c r="AN133" i="7"/>
  <c r="AR133" i="7"/>
  <c r="AV133" i="7"/>
  <c r="AC133" i="7"/>
  <c r="AG133" i="7"/>
  <c r="AK133" i="7"/>
  <c r="AO133" i="7"/>
  <c r="AS133" i="7"/>
  <c r="AW133" i="7"/>
  <c r="AD133" i="7"/>
  <c r="AH133" i="7"/>
  <c r="AL133" i="7"/>
  <c r="AP133" i="7"/>
  <c r="AT133" i="7"/>
  <c r="AX133" i="7"/>
  <c r="AI133" i="7"/>
  <c r="AM133" i="7"/>
  <c r="AQ133" i="7"/>
  <c r="AE133" i="7"/>
  <c r="AU133" i="7"/>
  <c r="AF121" i="7"/>
  <c r="AJ121" i="7"/>
  <c r="AN121" i="7"/>
  <c r="AR121" i="7"/>
  <c r="AV121" i="7"/>
  <c r="AC121" i="7"/>
  <c r="AG121" i="7"/>
  <c r="AK121" i="7"/>
  <c r="AO121" i="7"/>
  <c r="AS121" i="7"/>
  <c r="AW121" i="7"/>
  <c r="AD121" i="7"/>
  <c r="AH121" i="7"/>
  <c r="AL121" i="7"/>
  <c r="AP121" i="7"/>
  <c r="AT121" i="7"/>
  <c r="AX121" i="7"/>
  <c r="AQ121" i="7"/>
  <c r="AE121" i="7"/>
  <c r="AU121" i="7"/>
  <c r="AI121" i="7"/>
  <c r="AM121" i="7"/>
  <c r="AF109" i="7"/>
  <c r="AJ109" i="7"/>
  <c r="AN109" i="7"/>
  <c r="AR109" i="7"/>
  <c r="AV109" i="7"/>
  <c r="AC109" i="7"/>
  <c r="AG109" i="7"/>
  <c r="AK109" i="7"/>
  <c r="AO109" i="7"/>
  <c r="AS109" i="7"/>
  <c r="AW109" i="7"/>
  <c r="AD109" i="7"/>
  <c r="AH109" i="7"/>
  <c r="AL109" i="7"/>
  <c r="AP109" i="7"/>
  <c r="AT109" i="7"/>
  <c r="AX109" i="7"/>
  <c r="AI109" i="7"/>
  <c r="AM109" i="7"/>
  <c r="AQ109" i="7"/>
  <c r="AU109" i="7"/>
  <c r="AE109" i="7"/>
  <c r="AC93" i="7"/>
  <c r="AG93" i="7"/>
  <c r="AK93" i="7"/>
  <c r="AO93" i="7"/>
  <c r="AS93" i="7"/>
  <c r="AW93" i="7"/>
  <c r="AD93" i="7"/>
  <c r="AH93" i="7"/>
  <c r="AL93" i="7"/>
  <c r="AP93" i="7"/>
  <c r="AT93" i="7"/>
  <c r="AX93" i="7"/>
  <c r="AE93" i="7"/>
  <c r="AI93" i="7"/>
  <c r="AM93" i="7"/>
  <c r="AQ93" i="7"/>
  <c r="AU93" i="7"/>
  <c r="AJ93" i="7"/>
  <c r="AN93" i="7"/>
  <c r="AR93" i="7"/>
  <c r="AF93" i="7"/>
  <c r="AV93" i="7"/>
  <c r="AC81" i="7"/>
  <c r="AG81" i="7"/>
  <c r="AK81" i="7"/>
  <c r="AO81" i="7"/>
  <c r="AS81" i="7"/>
  <c r="AW81" i="7"/>
  <c r="AD81" i="7"/>
  <c r="AH81" i="7"/>
  <c r="AL81" i="7"/>
  <c r="AP81" i="7"/>
  <c r="AT81" i="7"/>
  <c r="AX81" i="7"/>
  <c r="AE81" i="7"/>
  <c r="AI81" i="7"/>
  <c r="AM81" i="7"/>
  <c r="AQ81" i="7"/>
  <c r="AU81" i="7"/>
  <c r="AR81" i="7"/>
  <c r="AF81" i="7"/>
  <c r="AV81" i="7"/>
  <c r="AJ81" i="7"/>
  <c r="AN81" i="7"/>
  <c r="AF69" i="7"/>
  <c r="AJ69" i="7"/>
  <c r="AN69" i="7"/>
  <c r="AC69" i="7"/>
  <c r="AH69" i="7"/>
  <c r="AM69" i="7"/>
  <c r="AR69" i="7"/>
  <c r="AV69" i="7"/>
  <c r="AD69" i="7"/>
  <c r="AI69" i="7"/>
  <c r="AO69" i="7"/>
  <c r="AS69" i="7"/>
  <c r="AW69" i="7"/>
  <c r="AL69" i="7"/>
  <c r="AU69" i="7"/>
  <c r="AE69" i="7"/>
  <c r="AP69" i="7"/>
  <c r="AX69" i="7"/>
  <c r="AG69" i="7"/>
  <c r="AQ69" i="7"/>
  <c r="AK69" i="7"/>
  <c r="AT69" i="7"/>
  <c r="AF57" i="7"/>
  <c r="AJ57" i="7"/>
  <c r="AN57" i="7"/>
  <c r="AR57" i="7"/>
  <c r="AV57" i="7"/>
  <c r="AE57" i="7"/>
  <c r="AK57" i="7"/>
  <c r="AP57" i="7"/>
  <c r="AU57" i="7"/>
  <c r="AG57" i="7"/>
  <c r="AL57" i="7"/>
  <c r="AQ57" i="7"/>
  <c r="AW57" i="7"/>
  <c r="AC57" i="7"/>
  <c r="AH57" i="7"/>
  <c r="AM57" i="7"/>
  <c r="AS57" i="7"/>
  <c r="AX57" i="7"/>
  <c r="AD57" i="7"/>
  <c r="AI57" i="7"/>
  <c r="AO57" i="7"/>
  <c r="AT57" i="7"/>
  <c r="AF45" i="7"/>
  <c r="AJ45" i="7"/>
  <c r="AN45" i="7"/>
  <c r="AR45" i="7"/>
  <c r="AV45" i="7"/>
  <c r="AC45" i="7"/>
  <c r="AG45" i="7"/>
  <c r="AK45" i="7"/>
  <c r="AO45" i="7"/>
  <c r="AS45" i="7"/>
  <c r="AW45" i="7"/>
  <c r="AD45" i="7"/>
  <c r="AL45" i="7"/>
  <c r="AT45" i="7"/>
  <c r="AE45" i="7"/>
  <c r="AM45" i="7"/>
  <c r="AU45" i="7"/>
  <c r="AH45" i="7"/>
  <c r="AP45" i="7"/>
  <c r="AX45" i="7"/>
  <c r="AI45" i="7"/>
  <c r="AQ45" i="7"/>
  <c r="AD33" i="7"/>
  <c r="AH33" i="7"/>
  <c r="AL33" i="7"/>
  <c r="AP33" i="7"/>
  <c r="AT33" i="7"/>
  <c r="AX33" i="7"/>
  <c r="AE33" i="7"/>
  <c r="AI33" i="7"/>
  <c r="AM33" i="7"/>
  <c r="AQ33" i="7"/>
  <c r="AU33" i="7"/>
  <c r="AF33" i="7"/>
  <c r="AJ33" i="7"/>
  <c r="AN33" i="7"/>
  <c r="AR33" i="7"/>
  <c r="AV33" i="7"/>
  <c r="AO33" i="7"/>
  <c r="AC33" i="7"/>
  <c r="AS33" i="7"/>
  <c r="AG33" i="7"/>
  <c r="AK33" i="7"/>
  <c r="AW33" i="7"/>
  <c r="AD21" i="7"/>
  <c r="AH21" i="7"/>
  <c r="AL21" i="7"/>
  <c r="AP21" i="7"/>
  <c r="AT21" i="7"/>
  <c r="AX21" i="7"/>
  <c r="AE21" i="7"/>
  <c r="AI21" i="7"/>
  <c r="AM21" i="7"/>
  <c r="AQ21" i="7"/>
  <c r="AU21" i="7"/>
  <c r="AF21" i="7"/>
  <c r="AJ21" i="7"/>
  <c r="AN21" i="7"/>
  <c r="AR21" i="7"/>
  <c r="AV21" i="7"/>
  <c r="AO21" i="7"/>
  <c r="AC21" i="7"/>
  <c r="AS21" i="7"/>
  <c r="AG21" i="7"/>
  <c r="AW21" i="7"/>
  <c r="AK21" i="7"/>
  <c r="AE13" i="7"/>
  <c r="AI13" i="7"/>
  <c r="AM13" i="7"/>
  <c r="AQ13" i="7"/>
  <c r="AU13" i="7"/>
  <c r="AF13" i="7"/>
  <c r="AJ13" i="7"/>
  <c r="AN13" i="7"/>
  <c r="AR13" i="7"/>
  <c r="AV13" i="7"/>
  <c r="AC13" i="7"/>
  <c r="AG13" i="7"/>
  <c r="AK13" i="7"/>
  <c r="AO13" i="7"/>
  <c r="AS13" i="7"/>
  <c r="AW13" i="7"/>
  <c r="AP13" i="7"/>
  <c r="AD13" i="7"/>
  <c r="AT13" i="7"/>
  <c r="AH13" i="7"/>
  <c r="AX13" i="7"/>
  <c r="AL13" i="7"/>
  <c r="AN485" i="7"/>
  <c r="AN477" i="7"/>
  <c r="AN453" i="7"/>
  <c r="AV449" i="7"/>
  <c r="AN445" i="7"/>
  <c r="AV441" i="7"/>
  <c r="AV433" i="7"/>
  <c r="AF433" i="7"/>
  <c r="AV425" i="7"/>
  <c r="AF425" i="7"/>
  <c r="AN413" i="7"/>
  <c r="AN405" i="7"/>
  <c r="AS397" i="7"/>
  <c r="AK313" i="7"/>
  <c r="AX301" i="7"/>
  <c r="AE496" i="7"/>
  <c r="AI496" i="7"/>
  <c r="AM496" i="7"/>
  <c r="AQ496" i="7"/>
  <c r="AU496" i="7"/>
  <c r="AC496" i="7"/>
  <c r="AG496" i="7"/>
  <c r="AK496" i="7"/>
  <c r="AO496" i="7"/>
  <c r="AS496" i="7"/>
  <c r="AW496" i="7"/>
  <c r="AE492" i="7"/>
  <c r="AI492" i="7"/>
  <c r="AM492" i="7"/>
  <c r="AQ492" i="7"/>
  <c r="AU492" i="7"/>
  <c r="AF492" i="7"/>
  <c r="AJ492" i="7"/>
  <c r="AN492" i="7"/>
  <c r="AR492" i="7"/>
  <c r="AV492" i="7"/>
  <c r="AC492" i="7"/>
  <c r="AG492" i="7"/>
  <c r="AK492" i="7"/>
  <c r="AO492" i="7"/>
  <c r="AS492" i="7"/>
  <c r="AW492" i="7"/>
  <c r="AE488" i="7"/>
  <c r="AI488" i="7"/>
  <c r="AM488" i="7"/>
  <c r="AQ488" i="7"/>
  <c r="AU488" i="7"/>
  <c r="AF488" i="7"/>
  <c r="AJ488" i="7"/>
  <c r="AN488" i="7"/>
  <c r="AR488" i="7"/>
  <c r="AV488" i="7"/>
  <c r="AC488" i="7"/>
  <c r="AG488" i="7"/>
  <c r="AK488" i="7"/>
  <c r="AO488" i="7"/>
  <c r="AS488" i="7"/>
  <c r="AW488" i="7"/>
  <c r="AE484" i="7"/>
  <c r="AI484" i="7"/>
  <c r="AM484" i="7"/>
  <c r="AQ484" i="7"/>
  <c r="AU484" i="7"/>
  <c r="AF484" i="7"/>
  <c r="AJ484" i="7"/>
  <c r="AN484" i="7"/>
  <c r="AR484" i="7"/>
  <c r="AV484" i="7"/>
  <c r="AC484" i="7"/>
  <c r="AG484" i="7"/>
  <c r="AK484" i="7"/>
  <c r="AO484" i="7"/>
  <c r="AS484" i="7"/>
  <c r="AW484" i="7"/>
  <c r="AE480" i="7"/>
  <c r="AI480" i="7"/>
  <c r="AM480" i="7"/>
  <c r="AQ480" i="7"/>
  <c r="AU480" i="7"/>
  <c r="AF480" i="7"/>
  <c r="AJ480" i="7"/>
  <c r="AN480" i="7"/>
  <c r="AR480" i="7"/>
  <c r="AV480" i="7"/>
  <c r="AC480" i="7"/>
  <c r="AG480" i="7"/>
  <c r="AK480" i="7"/>
  <c r="AO480" i="7"/>
  <c r="AS480" i="7"/>
  <c r="AW480" i="7"/>
  <c r="AE476" i="7"/>
  <c r="AI476" i="7"/>
  <c r="AM476" i="7"/>
  <c r="AQ476" i="7"/>
  <c r="AU476" i="7"/>
  <c r="AF476" i="7"/>
  <c r="AJ476" i="7"/>
  <c r="AN476" i="7"/>
  <c r="AR476" i="7"/>
  <c r="AV476" i="7"/>
  <c r="AC476" i="7"/>
  <c r="AG476" i="7"/>
  <c r="AK476" i="7"/>
  <c r="AO476" i="7"/>
  <c r="AS476" i="7"/>
  <c r="AW476" i="7"/>
  <c r="AE472" i="7"/>
  <c r="AI472" i="7"/>
  <c r="AM472" i="7"/>
  <c r="AQ472" i="7"/>
  <c r="AU472" i="7"/>
  <c r="AF472" i="7"/>
  <c r="AJ472" i="7"/>
  <c r="AN472" i="7"/>
  <c r="AR472" i="7"/>
  <c r="AV472" i="7"/>
  <c r="AC472" i="7"/>
  <c r="AG472" i="7"/>
  <c r="AK472" i="7"/>
  <c r="AO472" i="7"/>
  <c r="AS472" i="7"/>
  <c r="AW472" i="7"/>
  <c r="AE468" i="7"/>
  <c r="AI468" i="7"/>
  <c r="AM468" i="7"/>
  <c r="AQ468" i="7"/>
  <c r="AU468" i="7"/>
  <c r="AF468" i="7"/>
  <c r="AJ468" i="7"/>
  <c r="AN468" i="7"/>
  <c r="AR468" i="7"/>
  <c r="AV468" i="7"/>
  <c r="AC468" i="7"/>
  <c r="AG468" i="7"/>
  <c r="AK468" i="7"/>
  <c r="AO468" i="7"/>
  <c r="AS468" i="7"/>
  <c r="AW468" i="7"/>
  <c r="AE464" i="7"/>
  <c r="AI464" i="7"/>
  <c r="AM464" i="7"/>
  <c r="AQ464" i="7"/>
  <c r="AU464" i="7"/>
  <c r="AF464" i="7"/>
  <c r="AJ464" i="7"/>
  <c r="AN464" i="7"/>
  <c r="AR464" i="7"/>
  <c r="AV464" i="7"/>
  <c r="AC464" i="7"/>
  <c r="AG464" i="7"/>
  <c r="AK464" i="7"/>
  <c r="AO464" i="7"/>
  <c r="AS464" i="7"/>
  <c r="AW464" i="7"/>
  <c r="AE460" i="7"/>
  <c r="AI460" i="7"/>
  <c r="AM460" i="7"/>
  <c r="AQ460" i="7"/>
  <c r="AU460" i="7"/>
  <c r="AF460" i="7"/>
  <c r="AJ460" i="7"/>
  <c r="AN460" i="7"/>
  <c r="AR460" i="7"/>
  <c r="AV460" i="7"/>
  <c r="AC460" i="7"/>
  <c r="AG460" i="7"/>
  <c r="AK460" i="7"/>
  <c r="AO460" i="7"/>
  <c r="AS460" i="7"/>
  <c r="AW460" i="7"/>
  <c r="AE456" i="7"/>
  <c r="AI456" i="7"/>
  <c r="AM456" i="7"/>
  <c r="AQ456" i="7"/>
  <c r="AU456" i="7"/>
  <c r="AF456" i="7"/>
  <c r="AJ456" i="7"/>
  <c r="AN456" i="7"/>
  <c r="AR456" i="7"/>
  <c r="AV456" i="7"/>
  <c r="AC456" i="7"/>
  <c r="AG456" i="7"/>
  <c r="AK456" i="7"/>
  <c r="AO456" i="7"/>
  <c r="AS456" i="7"/>
  <c r="AW456" i="7"/>
  <c r="AE452" i="7"/>
  <c r="AI452" i="7"/>
  <c r="AM452" i="7"/>
  <c r="AQ452" i="7"/>
  <c r="AU452" i="7"/>
  <c r="AF452" i="7"/>
  <c r="AJ452" i="7"/>
  <c r="AN452" i="7"/>
  <c r="AR452" i="7"/>
  <c r="AV452" i="7"/>
  <c r="AC452" i="7"/>
  <c r="AG452" i="7"/>
  <c r="AK452" i="7"/>
  <c r="AO452" i="7"/>
  <c r="AS452" i="7"/>
  <c r="AW452" i="7"/>
  <c r="AE448" i="7"/>
  <c r="AI448" i="7"/>
  <c r="AM448" i="7"/>
  <c r="AQ448" i="7"/>
  <c r="AU448" i="7"/>
  <c r="AF448" i="7"/>
  <c r="AJ448" i="7"/>
  <c r="AN448" i="7"/>
  <c r="AR448" i="7"/>
  <c r="AV448" i="7"/>
  <c r="AC448" i="7"/>
  <c r="AG448" i="7"/>
  <c r="AK448" i="7"/>
  <c r="AO448" i="7"/>
  <c r="AS448" i="7"/>
  <c r="AW448" i="7"/>
  <c r="AE444" i="7"/>
  <c r="AI444" i="7"/>
  <c r="AM444" i="7"/>
  <c r="AQ444" i="7"/>
  <c r="AU444" i="7"/>
  <c r="AF444" i="7"/>
  <c r="AJ444" i="7"/>
  <c r="AN444" i="7"/>
  <c r="AR444" i="7"/>
  <c r="AV444" i="7"/>
  <c r="AC444" i="7"/>
  <c r="AG444" i="7"/>
  <c r="AK444" i="7"/>
  <c r="AO444" i="7"/>
  <c r="AS444" i="7"/>
  <c r="AW444" i="7"/>
  <c r="AE440" i="7"/>
  <c r="AI440" i="7"/>
  <c r="AM440" i="7"/>
  <c r="AQ440" i="7"/>
  <c r="AU440" i="7"/>
  <c r="AF440" i="7"/>
  <c r="AJ440" i="7"/>
  <c r="AN440" i="7"/>
  <c r="AR440" i="7"/>
  <c r="AV440" i="7"/>
  <c r="AC440" i="7"/>
  <c r="AG440" i="7"/>
  <c r="AK440" i="7"/>
  <c r="AO440" i="7"/>
  <c r="AS440" i="7"/>
  <c r="AW440" i="7"/>
  <c r="AE436" i="7"/>
  <c r="AI436" i="7"/>
  <c r="AM436" i="7"/>
  <c r="AQ436" i="7"/>
  <c r="AU436" i="7"/>
  <c r="AF436" i="7"/>
  <c r="AJ436" i="7"/>
  <c r="AN436" i="7"/>
  <c r="AR436" i="7"/>
  <c r="AV436" i="7"/>
  <c r="AC436" i="7"/>
  <c r="AG436" i="7"/>
  <c r="AK436" i="7"/>
  <c r="AO436" i="7"/>
  <c r="AS436" i="7"/>
  <c r="AW436" i="7"/>
  <c r="AE432" i="7"/>
  <c r="AI432" i="7"/>
  <c r="AM432" i="7"/>
  <c r="AQ432" i="7"/>
  <c r="AU432" i="7"/>
  <c r="AF432" i="7"/>
  <c r="AJ432" i="7"/>
  <c r="AN432" i="7"/>
  <c r="AR432" i="7"/>
  <c r="AV432" i="7"/>
  <c r="AC432" i="7"/>
  <c r="AG432" i="7"/>
  <c r="AK432" i="7"/>
  <c r="AO432" i="7"/>
  <c r="AS432" i="7"/>
  <c r="AW432" i="7"/>
  <c r="AE428" i="7"/>
  <c r="AI428" i="7"/>
  <c r="AM428" i="7"/>
  <c r="AQ428" i="7"/>
  <c r="AU428" i="7"/>
  <c r="AF428" i="7"/>
  <c r="AJ428" i="7"/>
  <c r="AN428" i="7"/>
  <c r="AR428" i="7"/>
  <c r="AV428" i="7"/>
  <c r="AC428" i="7"/>
  <c r="AG428" i="7"/>
  <c r="AK428" i="7"/>
  <c r="AO428" i="7"/>
  <c r="AS428" i="7"/>
  <c r="AW428" i="7"/>
  <c r="AE424" i="7"/>
  <c r="AI424" i="7"/>
  <c r="AM424" i="7"/>
  <c r="AQ424" i="7"/>
  <c r="AU424" i="7"/>
  <c r="AF424" i="7"/>
  <c r="AJ424" i="7"/>
  <c r="AN424" i="7"/>
  <c r="AR424" i="7"/>
  <c r="AV424" i="7"/>
  <c r="AC424" i="7"/>
  <c r="AG424" i="7"/>
  <c r="AK424" i="7"/>
  <c r="AO424" i="7"/>
  <c r="AS424" i="7"/>
  <c r="AW424" i="7"/>
  <c r="AE420" i="7"/>
  <c r="AI420" i="7"/>
  <c r="AM420" i="7"/>
  <c r="AQ420" i="7"/>
  <c r="AU420" i="7"/>
  <c r="AF420" i="7"/>
  <c r="AJ420" i="7"/>
  <c r="AN420" i="7"/>
  <c r="AR420" i="7"/>
  <c r="AV420" i="7"/>
  <c r="AC420" i="7"/>
  <c r="AG420" i="7"/>
  <c r="AK420" i="7"/>
  <c r="AO420" i="7"/>
  <c r="AS420" i="7"/>
  <c r="AW420" i="7"/>
  <c r="AE416" i="7"/>
  <c r="AI416" i="7"/>
  <c r="AM416" i="7"/>
  <c r="AQ416" i="7"/>
  <c r="AU416" i="7"/>
  <c r="AF416" i="7"/>
  <c r="AJ416" i="7"/>
  <c r="AN416" i="7"/>
  <c r="AR416" i="7"/>
  <c r="AV416" i="7"/>
  <c r="AC416" i="7"/>
  <c r="AG416" i="7"/>
  <c r="AK416" i="7"/>
  <c r="AO416" i="7"/>
  <c r="AS416" i="7"/>
  <c r="AW416" i="7"/>
  <c r="AE412" i="7"/>
  <c r="AI412" i="7"/>
  <c r="AM412" i="7"/>
  <c r="AQ412" i="7"/>
  <c r="AU412" i="7"/>
  <c r="AF412" i="7"/>
  <c r="AJ412" i="7"/>
  <c r="AN412" i="7"/>
  <c r="AR412" i="7"/>
  <c r="AV412" i="7"/>
  <c r="AC412" i="7"/>
  <c r="AG412" i="7"/>
  <c r="AK412" i="7"/>
  <c r="AO412" i="7"/>
  <c r="AS412" i="7"/>
  <c r="AW412" i="7"/>
  <c r="AE408" i="7"/>
  <c r="AI408" i="7"/>
  <c r="AM408" i="7"/>
  <c r="AQ408" i="7"/>
  <c r="AU408" i="7"/>
  <c r="AF408" i="7"/>
  <c r="AJ408" i="7"/>
  <c r="AN408" i="7"/>
  <c r="AR408" i="7"/>
  <c r="AV408" i="7"/>
  <c r="AC408" i="7"/>
  <c r="AG408" i="7"/>
  <c r="AK408" i="7"/>
  <c r="AO408" i="7"/>
  <c r="AS408" i="7"/>
  <c r="AW408" i="7"/>
  <c r="AE404" i="7"/>
  <c r="AI404" i="7"/>
  <c r="AM404" i="7"/>
  <c r="AQ404" i="7"/>
  <c r="AU404" i="7"/>
  <c r="AF404" i="7"/>
  <c r="AJ404" i="7"/>
  <c r="AN404" i="7"/>
  <c r="AR404" i="7"/>
  <c r="AV404" i="7"/>
  <c r="AC404" i="7"/>
  <c r="AG404" i="7"/>
  <c r="AK404" i="7"/>
  <c r="AO404" i="7"/>
  <c r="AS404" i="7"/>
  <c r="AW404" i="7"/>
  <c r="AF400" i="7"/>
  <c r="AJ400" i="7"/>
  <c r="AN400" i="7"/>
  <c r="AR400" i="7"/>
  <c r="AV400" i="7"/>
  <c r="AC400" i="7"/>
  <c r="AG400" i="7"/>
  <c r="AK400" i="7"/>
  <c r="AO400" i="7"/>
  <c r="AS400" i="7"/>
  <c r="AW400" i="7"/>
  <c r="AD400" i="7"/>
  <c r="AH400" i="7"/>
  <c r="AL400" i="7"/>
  <c r="AP400" i="7"/>
  <c r="AT400" i="7"/>
  <c r="AX400" i="7"/>
  <c r="AE400" i="7"/>
  <c r="AU400" i="7"/>
  <c r="AI400" i="7"/>
  <c r="AM400" i="7"/>
  <c r="AF396" i="7"/>
  <c r="AJ396" i="7"/>
  <c r="AN396" i="7"/>
  <c r="AR396" i="7"/>
  <c r="AV396" i="7"/>
  <c r="AC396" i="7"/>
  <c r="AG396" i="7"/>
  <c r="AK396" i="7"/>
  <c r="AO396" i="7"/>
  <c r="AS396" i="7"/>
  <c r="AW396" i="7"/>
  <c r="AD396" i="7"/>
  <c r="AH396" i="7"/>
  <c r="AL396" i="7"/>
  <c r="AP396" i="7"/>
  <c r="AT396" i="7"/>
  <c r="AX396" i="7"/>
  <c r="AM396" i="7"/>
  <c r="AQ396" i="7"/>
  <c r="AE396" i="7"/>
  <c r="AU396" i="7"/>
  <c r="AF392" i="7"/>
  <c r="AJ392" i="7"/>
  <c r="AN392" i="7"/>
  <c r="AR392" i="7"/>
  <c r="AV392" i="7"/>
  <c r="AC392" i="7"/>
  <c r="AG392" i="7"/>
  <c r="AK392" i="7"/>
  <c r="AO392" i="7"/>
  <c r="AS392" i="7"/>
  <c r="AW392" i="7"/>
  <c r="AD392" i="7"/>
  <c r="AH392" i="7"/>
  <c r="AL392" i="7"/>
  <c r="AP392" i="7"/>
  <c r="AT392" i="7"/>
  <c r="AX392" i="7"/>
  <c r="AE392" i="7"/>
  <c r="AU392" i="7"/>
  <c r="AI392" i="7"/>
  <c r="AM392" i="7"/>
  <c r="AF388" i="7"/>
  <c r="AJ388" i="7"/>
  <c r="AN388" i="7"/>
  <c r="AR388" i="7"/>
  <c r="AV388" i="7"/>
  <c r="AC388" i="7"/>
  <c r="AG388" i="7"/>
  <c r="AK388" i="7"/>
  <c r="AO388" i="7"/>
  <c r="AS388" i="7"/>
  <c r="AW388" i="7"/>
  <c r="AD388" i="7"/>
  <c r="AH388" i="7"/>
  <c r="AL388" i="7"/>
  <c r="AP388" i="7"/>
  <c r="AT388" i="7"/>
  <c r="AX388" i="7"/>
  <c r="AM388" i="7"/>
  <c r="AQ388" i="7"/>
  <c r="AE388" i="7"/>
  <c r="AU388" i="7"/>
  <c r="AF384" i="7"/>
  <c r="AJ384" i="7"/>
  <c r="AN384" i="7"/>
  <c r="AR384" i="7"/>
  <c r="AV384" i="7"/>
  <c r="AC384" i="7"/>
  <c r="AG384" i="7"/>
  <c r="AK384" i="7"/>
  <c r="AO384" i="7"/>
  <c r="AS384" i="7"/>
  <c r="AW384" i="7"/>
  <c r="AD384" i="7"/>
  <c r="AH384" i="7"/>
  <c r="AL384" i="7"/>
  <c r="AP384" i="7"/>
  <c r="AT384" i="7"/>
  <c r="AX384" i="7"/>
  <c r="AE384" i="7"/>
  <c r="AU384" i="7"/>
  <c r="AI384" i="7"/>
  <c r="AM384" i="7"/>
  <c r="AF380" i="7"/>
  <c r="AJ380" i="7"/>
  <c r="AN380" i="7"/>
  <c r="AR380" i="7"/>
  <c r="AV380" i="7"/>
  <c r="AC380" i="7"/>
  <c r="AG380" i="7"/>
  <c r="AK380" i="7"/>
  <c r="AO380" i="7"/>
  <c r="AS380" i="7"/>
  <c r="AW380" i="7"/>
  <c r="AD380" i="7"/>
  <c r="AH380" i="7"/>
  <c r="AL380" i="7"/>
  <c r="AP380" i="7"/>
  <c r="AT380" i="7"/>
  <c r="AX380" i="7"/>
  <c r="AM380" i="7"/>
  <c r="AQ380" i="7"/>
  <c r="AE380" i="7"/>
  <c r="AU380" i="7"/>
  <c r="AF376" i="7"/>
  <c r="AJ376" i="7"/>
  <c r="AN376" i="7"/>
  <c r="AR376" i="7"/>
  <c r="AV376" i="7"/>
  <c r="AC376" i="7"/>
  <c r="AG376" i="7"/>
  <c r="AK376" i="7"/>
  <c r="AO376" i="7"/>
  <c r="AS376" i="7"/>
  <c r="AW376" i="7"/>
  <c r="AD376" i="7"/>
  <c r="AH376" i="7"/>
  <c r="AL376" i="7"/>
  <c r="AP376" i="7"/>
  <c r="AT376" i="7"/>
  <c r="AX376" i="7"/>
  <c r="AE376" i="7"/>
  <c r="AU376" i="7"/>
  <c r="AI376" i="7"/>
  <c r="AM376" i="7"/>
  <c r="AF372" i="7"/>
  <c r="AJ372" i="7"/>
  <c r="AN372" i="7"/>
  <c r="AR372" i="7"/>
  <c r="AV372" i="7"/>
  <c r="AC372" i="7"/>
  <c r="AG372" i="7"/>
  <c r="AK372" i="7"/>
  <c r="AO372" i="7"/>
  <c r="AS372" i="7"/>
  <c r="AW372" i="7"/>
  <c r="AD372" i="7"/>
  <c r="AH372" i="7"/>
  <c r="AL372" i="7"/>
  <c r="AP372" i="7"/>
  <c r="AT372" i="7"/>
  <c r="AX372" i="7"/>
  <c r="AM372" i="7"/>
  <c r="AQ372" i="7"/>
  <c r="AE372" i="7"/>
  <c r="AU372" i="7"/>
  <c r="AF368" i="7"/>
  <c r="AJ368" i="7"/>
  <c r="AN368" i="7"/>
  <c r="AR368" i="7"/>
  <c r="AV368" i="7"/>
  <c r="AC368" i="7"/>
  <c r="AG368" i="7"/>
  <c r="AK368" i="7"/>
  <c r="AO368" i="7"/>
  <c r="AS368" i="7"/>
  <c r="AW368" i="7"/>
  <c r="AD368" i="7"/>
  <c r="AH368" i="7"/>
  <c r="AL368" i="7"/>
  <c r="AP368" i="7"/>
  <c r="AT368" i="7"/>
  <c r="AX368" i="7"/>
  <c r="AE368" i="7"/>
  <c r="AU368" i="7"/>
  <c r="AI368" i="7"/>
  <c r="AM368" i="7"/>
  <c r="AF364" i="7"/>
  <c r="AJ364" i="7"/>
  <c r="AN364" i="7"/>
  <c r="AR364" i="7"/>
  <c r="AV364" i="7"/>
  <c r="AC364" i="7"/>
  <c r="AG364" i="7"/>
  <c r="AK364" i="7"/>
  <c r="AO364" i="7"/>
  <c r="AS364" i="7"/>
  <c r="AW364" i="7"/>
  <c r="AD364" i="7"/>
  <c r="AH364" i="7"/>
  <c r="AL364" i="7"/>
  <c r="AP364" i="7"/>
  <c r="AT364" i="7"/>
  <c r="AX364" i="7"/>
  <c r="AM364" i="7"/>
  <c r="AQ364" i="7"/>
  <c r="AE364" i="7"/>
  <c r="AU364" i="7"/>
  <c r="AF360" i="7"/>
  <c r="AJ360" i="7"/>
  <c r="AN360" i="7"/>
  <c r="AR360" i="7"/>
  <c r="AV360" i="7"/>
  <c r="AC360" i="7"/>
  <c r="AG360" i="7"/>
  <c r="AK360" i="7"/>
  <c r="AO360" i="7"/>
  <c r="AS360" i="7"/>
  <c r="AW360" i="7"/>
  <c r="AD360" i="7"/>
  <c r="AH360" i="7"/>
  <c r="AL360" i="7"/>
  <c r="AP360" i="7"/>
  <c r="AT360" i="7"/>
  <c r="AX360" i="7"/>
  <c r="AE360" i="7"/>
  <c r="AU360" i="7"/>
  <c r="AI360" i="7"/>
  <c r="AM360" i="7"/>
  <c r="AF356" i="7"/>
  <c r="AJ356" i="7"/>
  <c r="AN356" i="7"/>
  <c r="AR356" i="7"/>
  <c r="AV356" i="7"/>
  <c r="AC356" i="7"/>
  <c r="AG356" i="7"/>
  <c r="AK356" i="7"/>
  <c r="AO356" i="7"/>
  <c r="AS356" i="7"/>
  <c r="AW356" i="7"/>
  <c r="AD356" i="7"/>
  <c r="AH356" i="7"/>
  <c r="AL356" i="7"/>
  <c r="AP356" i="7"/>
  <c r="AT356" i="7"/>
  <c r="AX356" i="7"/>
  <c r="AM356" i="7"/>
  <c r="AQ356" i="7"/>
  <c r="AE356" i="7"/>
  <c r="AU356" i="7"/>
  <c r="AF352" i="7"/>
  <c r="AJ352" i="7"/>
  <c r="AN352" i="7"/>
  <c r="AR352" i="7"/>
  <c r="AV352" i="7"/>
  <c r="AC352" i="7"/>
  <c r="AG352" i="7"/>
  <c r="AK352" i="7"/>
  <c r="AO352" i="7"/>
  <c r="AS352" i="7"/>
  <c r="AW352" i="7"/>
  <c r="AD352" i="7"/>
  <c r="AH352" i="7"/>
  <c r="AL352" i="7"/>
  <c r="AP352" i="7"/>
  <c r="AT352" i="7"/>
  <c r="AX352" i="7"/>
  <c r="AE352" i="7"/>
  <c r="AU352" i="7"/>
  <c r="AI352" i="7"/>
  <c r="AM352" i="7"/>
  <c r="AF348" i="7"/>
  <c r="AJ348" i="7"/>
  <c r="AN348" i="7"/>
  <c r="AR348" i="7"/>
  <c r="AV348" i="7"/>
  <c r="AC348" i="7"/>
  <c r="AG348" i="7"/>
  <c r="AK348" i="7"/>
  <c r="AO348" i="7"/>
  <c r="AS348" i="7"/>
  <c r="AW348" i="7"/>
  <c r="AD348" i="7"/>
  <c r="AH348" i="7"/>
  <c r="AL348" i="7"/>
  <c r="AP348" i="7"/>
  <c r="AT348" i="7"/>
  <c r="AX348" i="7"/>
  <c r="AM348" i="7"/>
  <c r="AQ348" i="7"/>
  <c r="AE348" i="7"/>
  <c r="AU348" i="7"/>
  <c r="AF344" i="7"/>
  <c r="AJ344" i="7"/>
  <c r="AN344" i="7"/>
  <c r="AR344" i="7"/>
  <c r="AV344" i="7"/>
  <c r="AC344" i="7"/>
  <c r="AG344" i="7"/>
  <c r="AK344" i="7"/>
  <c r="AO344" i="7"/>
  <c r="AS344" i="7"/>
  <c r="AW344" i="7"/>
  <c r="AD344" i="7"/>
  <c r="AH344" i="7"/>
  <c r="AL344" i="7"/>
  <c r="AP344" i="7"/>
  <c r="AT344" i="7"/>
  <c r="AX344" i="7"/>
  <c r="AE344" i="7"/>
  <c r="AU344" i="7"/>
  <c r="AI344" i="7"/>
  <c r="AM344" i="7"/>
  <c r="AF340" i="7"/>
  <c r="AJ340" i="7"/>
  <c r="AN340" i="7"/>
  <c r="AR340" i="7"/>
  <c r="AV340" i="7"/>
  <c r="AC340" i="7"/>
  <c r="AG340" i="7"/>
  <c r="AK340" i="7"/>
  <c r="AO340" i="7"/>
  <c r="AS340" i="7"/>
  <c r="AW340" i="7"/>
  <c r="AD340" i="7"/>
  <c r="AH340" i="7"/>
  <c r="AL340" i="7"/>
  <c r="AP340" i="7"/>
  <c r="AT340" i="7"/>
  <c r="AX340" i="7"/>
  <c r="AM340" i="7"/>
  <c r="AQ340" i="7"/>
  <c r="AE340" i="7"/>
  <c r="AU340" i="7"/>
  <c r="AF336" i="7"/>
  <c r="AJ336" i="7"/>
  <c r="AN336" i="7"/>
  <c r="AR336" i="7"/>
  <c r="AV336" i="7"/>
  <c r="AC336" i="7"/>
  <c r="AG336" i="7"/>
  <c r="AK336" i="7"/>
  <c r="AO336" i="7"/>
  <c r="AS336" i="7"/>
  <c r="AW336" i="7"/>
  <c r="AD336" i="7"/>
  <c r="AH336" i="7"/>
  <c r="AL336" i="7"/>
  <c r="AP336" i="7"/>
  <c r="AT336" i="7"/>
  <c r="AX336" i="7"/>
  <c r="AE336" i="7"/>
  <c r="AU336" i="7"/>
  <c r="AI336" i="7"/>
  <c r="AM336" i="7"/>
  <c r="AF332" i="7"/>
  <c r="AJ332" i="7"/>
  <c r="AN332" i="7"/>
  <c r="AR332" i="7"/>
  <c r="AV332" i="7"/>
  <c r="AC332" i="7"/>
  <c r="AG332" i="7"/>
  <c r="AK332" i="7"/>
  <c r="AO332" i="7"/>
  <c r="AS332" i="7"/>
  <c r="AW332" i="7"/>
  <c r="AD332" i="7"/>
  <c r="AH332" i="7"/>
  <c r="AL332" i="7"/>
  <c r="AP332" i="7"/>
  <c r="AT332" i="7"/>
  <c r="AX332" i="7"/>
  <c r="AM332" i="7"/>
  <c r="AQ332" i="7"/>
  <c r="AE332" i="7"/>
  <c r="AU332" i="7"/>
  <c r="AF328" i="7"/>
  <c r="AJ328" i="7"/>
  <c r="AN328" i="7"/>
  <c r="AR328" i="7"/>
  <c r="AV328" i="7"/>
  <c r="AC328" i="7"/>
  <c r="AG328" i="7"/>
  <c r="AK328" i="7"/>
  <c r="AO328" i="7"/>
  <c r="AS328" i="7"/>
  <c r="AW328" i="7"/>
  <c r="AD328" i="7"/>
  <c r="AH328" i="7"/>
  <c r="AL328" i="7"/>
  <c r="AP328" i="7"/>
  <c r="AT328" i="7"/>
  <c r="AX328" i="7"/>
  <c r="AE328" i="7"/>
  <c r="AU328" i="7"/>
  <c r="AI328" i="7"/>
  <c r="AM328" i="7"/>
  <c r="AF324" i="7"/>
  <c r="AJ324" i="7"/>
  <c r="AN324" i="7"/>
  <c r="AR324" i="7"/>
  <c r="AV324" i="7"/>
  <c r="AC324" i="7"/>
  <c r="AG324" i="7"/>
  <c r="AK324" i="7"/>
  <c r="AO324" i="7"/>
  <c r="AS324" i="7"/>
  <c r="AW324" i="7"/>
  <c r="AD324" i="7"/>
  <c r="AH324" i="7"/>
  <c r="AL324" i="7"/>
  <c r="AP324" i="7"/>
  <c r="AT324" i="7"/>
  <c r="AX324" i="7"/>
  <c r="AM324" i="7"/>
  <c r="AQ324" i="7"/>
  <c r="AE324" i="7"/>
  <c r="AU324" i="7"/>
  <c r="AF320" i="7"/>
  <c r="AJ320" i="7"/>
  <c r="AN320" i="7"/>
  <c r="AR320" i="7"/>
  <c r="AV320" i="7"/>
  <c r="AC320" i="7"/>
  <c r="AG320" i="7"/>
  <c r="AK320" i="7"/>
  <c r="AO320" i="7"/>
  <c r="AS320" i="7"/>
  <c r="AW320" i="7"/>
  <c r="AD320" i="7"/>
  <c r="AH320" i="7"/>
  <c r="AL320" i="7"/>
  <c r="AP320" i="7"/>
  <c r="AT320" i="7"/>
  <c r="AX320" i="7"/>
  <c r="AE320" i="7"/>
  <c r="AU320" i="7"/>
  <c r="AI320" i="7"/>
  <c r="AM320" i="7"/>
  <c r="AF316" i="7"/>
  <c r="AJ316" i="7"/>
  <c r="AN316" i="7"/>
  <c r="AR316" i="7"/>
  <c r="AV316" i="7"/>
  <c r="AC316" i="7"/>
  <c r="AG316" i="7"/>
  <c r="AK316" i="7"/>
  <c r="AO316" i="7"/>
  <c r="AS316" i="7"/>
  <c r="AW316" i="7"/>
  <c r="AD316" i="7"/>
  <c r="AH316" i="7"/>
  <c r="AL316" i="7"/>
  <c r="AP316" i="7"/>
  <c r="AT316" i="7"/>
  <c r="AX316" i="7"/>
  <c r="AM316" i="7"/>
  <c r="AQ316" i="7"/>
  <c r="AE316" i="7"/>
  <c r="AU316" i="7"/>
  <c r="AF312" i="7"/>
  <c r="AJ312" i="7"/>
  <c r="AN312" i="7"/>
  <c r="AR312" i="7"/>
  <c r="AV312" i="7"/>
  <c r="AC312" i="7"/>
  <c r="AG312" i="7"/>
  <c r="AK312" i="7"/>
  <c r="AO312" i="7"/>
  <c r="AS312" i="7"/>
  <c r="AW312" i="7"/>
  <c r="AD312" i="7"/>
  <c r="AH312" i="7"/>
  <c r="AL312" i="7"/>
  <c r="AP312" i="7"/>
  <c r="AT312" i="7"/>
  <c r="AX312" i="7"/>
  <c r="AE312" i="7"/>
  <c r="AU312" i="7"/>
  <c r="AI312" i="7"/>
  <c r="AM312" i="7"/>
  <c r="AC308" i="7"/>
  <c r="AG308" i="7"/>
  <c r="AK308" i="7"/>
  <c r="AO308" i="7"/>
  <c r="AS308" i="7"/>
  <c r="AW308" i="7"/>
  <c r="AD308" i="7"/>
  <c r="AH308" i="7"/>
  <c r="AL308" i="7"/>
  <c r="AP308" i="7"/>
  <c r="AT308" i="7"/>
  <c r="AX308" i="7"/>
  <c r="AE308" i="7"/>
  <c r="AI308" i="7"/>
  <c r="AM308" i="7"/>
  <c r="AQ308" i="7"/>
  <c r="AU308" i="7"/>
  <c r="AR308" i="7"/>
  <c r="AF308" i="7"/>
  <c r="AV308" i="7"/>
  <c r="AJ308" i="7"/>
  <c r="AN308" i="7"/>
  <c r="AC304" i="7"/>
  <c r="AG304" i="7"/>
  <c r="AK304" i="7"/>
  <c r="AO304" i="7"/>
  <c r="AS304" i="7"/>
  <c r="AW304" i="7"/>
  <c r="AD304" i="7"/>
  <c r="AH304" i="7"/>
  <c r="AL304" i="7"/>
  <c r="AP304" i="7"/>
  <c r="AT304" i="7"/>
  <c r="AX304" i="7"/>
  <c r="AE304" i="7"/>
  <c r="AI304" i="7"/>
  <c r="AM304" i="7"/>
  <c r="AQ304" i="7"/>
  <c r="AU304" i="7"/>
  <c r="AJ304" i="7"/>
  <c r="AN304" i="7"/>
  <c r="AR304" i="7"/>
  <c r="AF304" i="7"/>
  <c r="AC300" i="7"/>
  <c r="AG300" i="7"/>
  <c r="AK300" i="7"/>
  <c r="AO300" i="7"/>
  <c r="AS300" i="7"/>
  <c r="AW300" i="7"/>
  <c r="AD300" i="7"/>
  <c r="AH300" i="7"/>
  <c r="AL300" i="7"/>
  <c r="AP300" i="7"/>
  <c r="AT300" i="7"/>
  <c r="AX300" i="7"/>
  <c r="AE300" i="7"/>
  <c r="AI300" i="7"/>
  <c r="AM300" i="7"/>
  <c r="AQ300" i="7"/>
  <c r="AU300" i="7"/>
  <c r="AR300" i="7"/>
  <c r="AF300" i="7"/>
  <c r="AV300" i="7"/>
  <c r="AJ300" i="7"/>
  <c r="AN300" i="7"/>
  <c r="AC296" i="7"/>
  <c r="AG296" i="7"/>
  <c r="AK296" i="7"/>
  <c r="AO296" i="7"/>
  <c r="AS296" i="7"/>
  <c r="AW296" i="7"/>
  <c r="AD296" i="7"/>
  <c r="AH296" i="7"/>
  <c r="AL296" i="7"/>
  <c r="AP296" i="7"/>
  <c r="AT296" i="7"/>
  <c r="AX296" i="7"/>
  <c r="AE296" i="7"/>
  <c r="AI296" i="7"/>
  <c r="AM296" i="7"/>
  <c r="AQ296" i="7"/>
  <c r="AU296" i="7"/>
  <c r="AJ296" i="7"/>
  <c r="AN296" i="7"/>
  <c r="AR296" i="7"/>
  <c r="AV296" i="7"/>
  <c r="AC292" i="7"/>
  <c r="AG292" i="7"/>
  <c r="AK292" i="7"/>
  <c r="AO292" i="7"/>
  <c r="AS292" i="7"/>
  <c r="AW292" i="7"/>
  <c r="AD292" i="7"/>
  <c r="AH292" i="7"/>
  <c r="AL292" i="7"/>
  <c r="AP292" i="7"/>
  <c r="AT292" i="7"/>
  <c r="AX292" i="7"/>
  <c r="AE292" i="7"/>
  <c r="AI292" i="7"/>
  <c r="AM292" i="7"/>
  <c r="AQ292" i="7"/>
  <c r="AU292" i="7"/>
  <c r="AR292" i="7"/>
  <c r="AF292" i="7"/>
  <c r="AV292" i="7"/>
  <c r="AJ292" i="7"/>
  <c r="AN292" i="7"/>
  <c r="AC288" i="7"/>
  <c r="AG288" i="7"/>
  <c r="AK288" i="7"/>
  <c r="AO288" i="7"/>
  <c r="AS288" i="7"/>
  <c r="AW288" i="7"/>
  <c r="AD288" i="7"/>
  <c r="AH288" i="7"/>
  <c r="AL288" i="7"/>
  <c r="AP288" i="7"/>
  <c r="AT288" i="7"/>
  <c r="AX288" i="7"/>
  <c r="AE288" i="7"/>
  <c r="AI288" i="7"/>
  <c r="AM288" i="7"/>
  <c r="AQ288" i="7"/>
  <c r="AU288" i="7"/>
  <c r="AJ288" i="7"/>
  <c r="AN288" i="7"/>
  <c r="AR288" i="7"/>
  <c r="AF288" i="7"/>
  <c r="AV288" i="7"/>
  <c r="AC284" i="7"/>
  <c r="AG284" i="7"/>
  <c r="AK284" i="7"/>
  <c r="AO284" i="7"/>
  <c r="AS284" i="7"/>
  <c r="AW284" i="7"/>
  <c r="AD284" i="7"/>
  <c r="AH284" i="7"/>
  <c r="AL284" i="7"/>
  <c r="AP284" i="7"/>
  <c r="AT284" i="7"/>
  <c r="AX284" i="7"/>
  <c r="AE284" i="7"/>
  <c r="AI284" i="7"/>
  <c r="AM284" i="7"/>
  <c r="AQ284" i="7"/>
  <c r="AU284" i="7"/>
  <c r="AR284" i="7"/>
  <c r="AF284" i="7"/>
  <c r="AV284" i="7"/>
  <c r="AJ284" i="7"/>
  <c r="AC280" i="7"/>
  <c r="AG280" i="7"/>
  <c r="AK280" i="7"/>
  <c r="AO280" i="7"/>
  <c r="AS280" i="7"/>
  <c r="AW280" i="7"/>
  <c r="AD280" i="7"/>
  <c r="AH280" i="7"/>
  <c r="AL280" i="7"/>
  <c r="AP280" i="7"/>
  <c r="AT280" i="7"/>
  <c r="AX280" i="7"/>
  <c r="AE280" i="7"/>
  <c r="AI280" i="7"/>
  <c r="AM280" i="7"/>
  <c r="AQ280" i="7"/>
  <c r="AU280" i="7"/>
  <c r="AJ280" i="7"/>
  <c r="AN280" i="7"/>
  <c r="AR280" i="7"/>
  <c r="AF280" i="7"/>
  <c r="AV280" i="7"/>
  <c r="AC276" i="7"/>
  <c r="AG276" i="7"/>
  <c r="AK276" i="7"/>
  <c r="AO276" i="7"/>
  <c r="AS276" i="7"/>
  <c r="AW276" i="7"/>
  <c r="AD276" i="7"/>
  <c r="AH276" i="7"/>
  <c r="AL276" i="7"/>
  <c r="AP276" i="7"/>
  <c r="AT276" i="7"/>
  <c r="AX276" i="7"/>
  <c r="AE276" i="7"/>
  <c r="AI276" i="7"/>
  <c r="AM276" i="7"/>
  <c r="AQ276" i="7"/>
  <c r="AU276" i="7"/>
  <c r="AR276" i="7"/>
  <c r="AF276" i="7"/>
  <c r="AV276" i="7"/>
  <c r="AJ276" i="7"/>
  <c r="AN276" i="7"/>
  <c r="AC272" i="7"/>
  <c r="AG272" i="7"/>
  <c r="AK272" i="7"/>
  <c r="AO272" i="7"/>
  <c r="AS272" i="7"/>
  <c r="AW272" i="7"/>
  <c r="AD272" i="7"/>
  <c r="AH272" i="7"/>
  <c r="AL272" i="7"/>
  <c r="AP272" i="7"/>
  <c r="AT272" i="7"/>
  <c r="AX272" i="7"/>
  <c r="AE272" i="7"/>
  <c r="AI272" i="7"/>
  <c r="AM272" i="7"/>
  <c r="AQ272" i="7"/>
  <c r="AU272" i="7"/>
  <c r="AJ272" i="7"/>
  <c r="AN272" i="7"/>
  <c r="AR272" i="7"/>
  <c r="AF272" i="7"/>
  <c r="AC268" i="7"/>
  <c r="AG268" i="7"/>
  <c r="AK268" i="7"/>
  <c r="AO268" i="7"/>
  <c r="AS268" i="7"/>
  <c r="AW268" i="7"/>
  <c r="AD268" i="7"/>
  <c r="AH268" i="7"/>
  <c r="AL268" i="7"/>
  <c r="AP268" i="7"/>
  <c r="AT268" i="7"/>
  <c r="AX268" i="7"/>
  <c r="AE268" i="7"/>
  <c r="AI268" i="7"/>
  <c r="AM268" i="7"/>
  <c r="AQ268" i="7"/>
  <c r="AU268" i="7"/>
  <c r="AR268" i="7"/>
  <c r="AF268" i="7"/>
  <c r="AV268" i="7"/>
  <c r="AJ268" i="7"/>
  <c r="AN268" i="7"/>
  <c r="AC264" i="7"/>
  <c r="AG264" i="7"/>
  <c r="AK264" i="7"/>
  <c r="AO264" i="7"/>
  <c r="AS264" i="7"/>
  <c r="AW264" i="7"/>
  <c r="AD264" i="7"/>
  <c r="AH264" i="7"/>
  <c r="AL264" i="7"/>
  <c r="AP264" i="7"/>
  <c r="AT264" i="7"/>
  <c r="AX264" i="7"/>
  <c r="AE264" i="7"/>
  <c r="AI264" i="7"/>
  <c r="AM264" i="7"/>
  <c r="AQ264" i="7"/>
  <c r="AU264" i="7"/>
  <c r="AJ264" i="7"/>
  <c r="AN264" i="7"/>
  <c r="AR264" i="7"/>
  <c r="AV264" i="7"/>
  <c r="AC260" i="7"/>
  <c r="AG260" i="7"/>
  <c r="AK260" i="7"/>
  <c r="AO260" i="7"/>
  <c r="AS260" i="7"/>
  <c r="AW260" i="7"/>
  <c r="AD260" i="7"/>
  <c r="AH260" i="7"/>
  <c r="AL260" i="7"/>
  <c r="AP260" i="7"/>
  <c r="AT260" i="7"/>
  <c r="AX260" i="7"/>
  <c r="AE260" i="7"/>
  <c r="AI260" i="7"/>
  <c r="AM260" i="7"/>
  <c r="AQ260" i="7"/>
  <c r="AU260" i="7"/>
  <c r="AR260" i="7"/>
  <c r="AF260" i="7"/>
  <c r="AV260" i="7"/>
  <c r="AJ260" i="7"/>
  <c r="AN260" i="7"/>
  <c r="AC256" i="7"/>
  <c r="AG256" i="7"/>
  <c r="AK256" i="7"/>
  <c r="AO256" i="7"/>
  <c r="AS256" i="7"/>
  <c r="AW256" i="7"/>
  <c r="AD256" i="7"/>
  <c r="AH256" i="7"/>
  <c r="AL256" i="7"/>
  <c r="AP256" i="7"/>
  <c r="AT256" i="7"/>
  <c r="AX256" i="7"/>
  <c r="AE256" i="7"/>
  <c r="AI256" i="7"/>
  <c r="AM256" i="7"/>
  <c r="AQ256" i="7"/>
  <c r="AU256" i="7"/>
  <c r="AJ256" i="7"/>
  <c r="AN256" i="7"/>
  <c r="AR256" i="7"/>
  <c r="AF256" i="7"/>
  <c r="AV256" i="7"/>
  <c r="AC252" i="7"/>
  <c r="AG252" i="7"/>
  <c r="AK252" i="7"/>
  <c r="AO252" i="7"/>
  <c r="AS252" i="7"/>
  <c r="AW252" i="7"/>
  <c r="AD252" i="7"/>
  <c r="AH252" i="7"/>
  <c r="AL252" i="7"/>
  <c r="AP252" i="7"/>
  <c r="AT252" i="7"/>
  <c r="AX252" i="7"/>
  <c r="AE252" i="7"/>
  <c r="AI252" i="7"/>
  <c r="AM252" i="7"/>
  <c r="AQ252" i="7"/>
  <c r="AU252" i="7"/>
  <c r="AR252" i="7"/>
  <c r="AF252" i="7"/>
  <c r="AV252" i="7"/>
  <c r="AJ252" i="7"/>
  <c r="AC248" i="7"/>
  <c r="AG248" i="7"/>
  <c r="AK248" i="7"/>
  <c r="AO248" i="7"/>
  <c r="AS248" i="7"/>
  <c r="AW248" i="7"/>
  <c r="AD248" i="7"/>
  <c r="AH248" i="7"/>
  <c r="AL248" i="7"/>
  <c r="AP248" i="7"/>
  <c r="AT248" i="7"/>
  <c r="AX248" i="7"/>
  <c r="AE248" i="7"/>
  <c r="AI248" i="7"/>
  <c r="AM248" i="7"/>
  <c r="AQ248" i="7"/>
  <c r="AU248" i="7"/>
  <c r="AJ248" i="7"/>
  <c r="AN248" i="7"/>
  <c r="AR248" i="7"/>
  <c r="AF248" i="7"/>
  <c r="AV248" i="7"/>
  <c r="AC244" i="7"/>
  <c r="AG244" i="7"/>
  <c r="AK244" i="7"/>
  <c r="AO244" i="7"/>
  <c r="AS244" i="7"/>
  <c r="AW244" i="7"/>
  <c r="AD244" i="7"/>
  <c r="AH244" i="7"/>
  <c r="AL244" i="7"/>
  <c r="AP244" i="7"/>
  <c r="AT244" i="7"/>
  <c r="AX244" i="7"/>
  <c r="AE244" i="7"/>
  <c r="AI244" i="7"/>
  <c r="AM244" i="7"/>
  <c r="AQ244" i="7"/>
  <c r="AU244" i="7"/>
  <c r="AR244" i="7"/>
  <c r="AF244" i="7"/>
  <c r="AV244" i="7"/>
  <c r="AJ244" i="7"/>
  <c r="AN244" i="7"/>
  <c r="AC240" i="7"/>
  <c r="AG240" i="7"/>
  <c r="AK240" i="7"/>
  <c r="AO240" i="7"/>
  <c r="AS240" i="7"/>
  <c r="AW240" i="7"/>
  <c r="AD240" i="7"/>
  <c r="AH240" i="7"/>
  <c r="AL240" i="7"/>
  <c r="AP240" i="7"/>
  <c r="AT240" i="7"/>
  <c r="AX240" i="7"/>
  <c r="AE240" i="7"/>
  <c r="AI240" i="7"/>
  <c r="AM240" i="7"/>
  <c r="AQ240" i="7"/>
  <c r="AU240" i="7"/>
  <c r="AJ240" i="7"/>
  <c r="AN240" i="7"/>
  <c r="AR240" i="7"/>
  <c r="AF240" i="7"/>
  <c r="AC236" i="7"/>
  <c r="AG236" i="7"/>
  <c r="AK236" i="7"/>
  <c r="AO236" i="7"/>
  <c r="AS236" i="7"/>
  <c r="AW236" i="7"/>
  <c r="AD236" i="7"/>
  <c r="AH236" i="7"/>
  <c r="AL236" i="7"/>
  <c r="AP236" i="7"/>
  <c r="AT236" i="7"/>
  <c r="AX236" i="7"/>
  <c r="AE236" i="7"/>
  <c r="AI236" i="7"/>
  <c r="AM236" i="7"/>
  <c r="AQ236" i="7"/>
  <c r="AU236" i="7"/>
  <c r="AR236" i="7"/>
  <c r="AF236" i="7"/>
  <c r="AV236" i="7"/>
  <c r="AJ236" i="7"/>
  <c r="AN236" i="7"/>
  <c r="AC232" i="7"/>
  <c r="AG232" i="7"/>
  <c r="AK232" i="7"/>
  <c r="AO232" i="7"/>
  <c r="AS232" i="7"/>
  <c r="AW232" i="7"/>
  <c r="AD232" i="7"/>
  <c r="AH232" i="7"/>
  <c r="AL232" i="7"/>
  <c r="AP232" i="7"/>
  <c r="AT232" i="7"/>
  <c r="AX232" i="7"/>
  <c r="AE232" i="7"/>
  <c r="AI232" i="7"/>
  <c r="AM232" i="7"/>
  <c r="AQ232" i="7"/>
  <c r="AU232" i="7"/>
  <c r="AJ232" i="7"/>
  <c r="AN232" i="7"/>
  <c r="AR232" i="7"/>
  <c r="AV232" i="7"/>
  <c r="AC228" i="7"/>
  <c r="AG228" i="7"/>
  <c r="AK228" i="7"/>
  <c r="AO228" i="7"/>
  <c r="AS228" i="7"/>
  <c r="AW228" i="7"/>
  <c r="AD228" i="7"/>
  <c r="AH228" i="7"/>
  <c r="AL228" i="7"/>
  <c r="AP228" i="7"/>
  <c r="AT228" i="7"/>
  <c r="AX228" i="7"/>
  <c r="AE228" i="7"/>
  <c r="AI228" i="7"/>
  <c r="AM228" i="7"/>
  <c r="AQ228" i="7"/>
  <c r="AU228" i="7"/>
  <c r="AR228" i="7"/>
  <c r="AF228" i="7"/>
  <c r="AV228" i="7"/>
  <c r="AJ228" i="7"/>
  <c r="AN228" i="7"/>
  <c r="AC224" i="7"/>
  <c r="AG224" i="7"/>
  <c r="AK224" i="7"/>
  <c r="AO224" i="7"/>
  <c r="AS224" i="7"/>
  <c r="AW224" i="7"/>
  <c r="AD224" i="7"/>
  <c r="AH224" i="7"/>
  <c r="AL224" i="7"/>
  <c r="AP224" i="7"/>
  <c r="AT224" i="7"/>
  <c r="AX224" i="7"/>
  <c r="AE224" i="7"/>
  <c r="AI224" i="7"/>
  <c r="AM224" i="7"/>
  <c r="AQ224" i="7"/>
  <c r="AU224" i="7"/>
  <c r="AJ224" i="7"/>
  <c r="AN224" i="7"/>
  <c r="AR224" i="7"/>
  <c r="AF224" i="7"/>
  <c r="AV224" i="7"/>
  <c r="AC220" i="7"/>
  <c r="AG220" i="7"/>
  <c r="AK220" i="7"/>
  <c r="AO220" i="7"/>
  <c r="AS220" i="7"/>
  <c r="AW220" i="7"/>
  <c r="AD220" i="7"/>
  <c r="AH220" i="7"/>
  <c r="AL220" i="7"/>
  <c r="AP220" i="7"/>
  <c r="AT220" i="7"/>
  <c r="AX220" i="7"/>
  <c r="AE220" i="7"/>
  <c r="AI220" i="7"/>
  <c r="AM220" i="7"/>
  <c r="AQ220" i="7"/>
  <c r="AU220" i="7"/>
  <c r="AR220" i="7"/>
  <c r="AF220" i="7"/>
  <c r="AV220" i="7"/>
  <c r="AJ220" i="7"/>
  <c r="AC216" i="7"/>
  <c r="AG216" i="7"/>
  <c r="AK216" i="7"/>
  <c r="AO216" i="7"/>
  <c r="AS216" i="7"/>
  <c r="AW216" i="7"/>
  <c r="AD216" i="7"/>
  <c r="AH216" i="7"/>
  <c r="AL216" i="7"/>
  <c r="AP216" i="7"/>
  <c r="AT216" i="7"/>
  <c r="AX216" i="7"/>
  <c r="AE216" i="7"/>
  <c r="AI216" i="7"/>
  <c r="AM216" i="7"/>
  <c r="AQ216" i="7"/>
  <c r="AU216" i="7"/>
  <c r="AJ216" i="7"/>
  <c r="AN216" i="7"/>
  <c r="AR216" i="7"/>
  <c r="AF216" i="7"/>
  <c r="AV216" i="7"/>
  <c r="AC212" i="7"/>
  <c r="AG212" i="7"/>
  <c r="AK212" i="7"/>
  <c r="AO212" i="7"/>
  <c r="AS212" i="7"/>
  <c r="AW212" i="7"/>
  <c r="AD212" i="7"/>
  <c r="AH212" i="7"/>
  <c r="AL212" i="7"/>
  <c r="AP212" i="7"/>
  <c r="AT212" i="7"/>
  <c r="AX212" i="7"/>
  <c r="AE212" i="7"/>
  <c r="AI212" i="7"/>
  <c r="AM212" i="7"/>
  <c r="AQ212" i="7"/>
  <c r="AU212" i="7"/>
  <c r="AR212" i="7"/>
  <c r="AF212" i="7"/>
  <c r="AV212" i="7"/>
  <c r="AJ212" i="7"/>
  <c r="AN212" i="7"/>
  <c r="AC208" i="7"/>
  <c r="AG208" i="7"/>
  <c r="AK208" i="7"/>
  <c r="AO208" i="7"/>
  <c r="AS208" i="7"/>
  <c r="AW208" i="7"/>
  <c r="AD208" i="7"/>
  <c r="AH208" i="7"/>
  <c r="AL208" i="7"/>
  <c r="AP208" i="7"/>
  <c r="AT208" i="7"/>
  <c r="AX208" i="7"/>
  <c r="AE208" i="7"/>
  <c r="AI208" i="7"/>
  <c r="AM208" i="7"/>
  <c r="AQ208" i="7"/>
  <c r="AU208" i="7"/>
  <c r="AJ208" i="7"/>
  <c r="AN208" i="7"/>
  <c r="AR208" i="7"/>
  <c r="AF208" i="7"/>
  <c r="AC204" i="7"/>
  <c r="AG204" i="7"/>
  <c r="AK204" i="7"/>
  <c r="AO204" i="7"/>
  <c r="AS204" i="7"/>
  <c r="AW204" i="7"/>
  <c r="AD204" i="7"/>
  <c r="AH204" i="7"/>
  <c r="AL204" i="7"/>
  <c r="AP204" i="7"/>
  <c r="AT204" i="7"/>
  <c r="AX204" i="7"/>
  <c r="AE204" i="7"/>
  <c r="AI204" i="7"/>
  <c r="AM204" i="7"/>
  <c r="AQ204" i="7"/>
  <c r="AU204" i="7"/>
  <c r="AR204" i="7"/>
  <c r="AF204" i="7"/>
  <c r="AV204" i="7"/>
  <c r="AJ204" i="7"/>
  <c r="AN204" i="7"/>
  <c r="AC200" i="7"/>
  <c r="AG200" i="7"/>
  <c r="AK200" i="7"/>
  <c r="AO200" i="7"/>
  <c r="AS200" i="7"/>
  <c r="AW200" i="7"/>
  <c r="AD200" i="7"/>
  <c r="AE200" i="7"/>
  <c r="AI200" i="7"/>
  <c r="AM200" i="7"/>
  <c r="AQ200" i="7"/>
  <c r="AU200" i="7"/>
  <c r="AF200" i="7"/>
  <c r="AN200" i="7"/>
  <c r="AV200" i="7"/>
  <c r="AH200" i="7"/>
  <c r="AP200" i="7"/>
  <c r="AX200" i="7"/>
  <c r="AJ200" i="7"/>
  <c r="AR200" i="7"/>
  <c r="AL200" i="7"/>
  <c r="AT200" i="7"/>
  <c r="AC196" i="7"/>
  <c r="AG196" i="7"/>
  <c r="AK196" i="7"/>
  <c r="AO196" i="7"/>
  <c r="AS196" i="7"/>
  <c r="AW196" i="7"/>
  <c r="AD196" i="7"/>
  <c r="AH196" i="7"/>
  <c r="AL196" i="7"/>
  <c r="AP196" i="7"/>
  <c r="AT196" i="7"/>
  <c r="AX196" i="7"/>
  <c r="AE196" i="7"/>
  <c r="AI196" i="7"/>
  <c r="AM196" i="7"/>
  <c r="AQ196" i="7"/>
  <c r="AU196" i="7"/>
  <c r="AN196" i="7"/>
  <c r="AR196" i="7"/>
  <c r="AF196" i="7"/>
  <c r="AV196" i="7"/>
  <c r="AC192" i="7"/>
  <c r="AG192" i="7"/>
  <c r="AK192" i="7"/>
  <c r="AO192" i="7"/>
  <c r="AS192" i="7"/>
  <c r="AW192" i="7"/>
  <c r="AD192" i="7"/>
  <c r="AH192" i="7"/>
  <c r="AL192" i="7"/>
  <c r="AP192" i="7"/>
  <c r="AT192" i="7"/>
  <c r="AX192" i="7"/>
  <c r="AE192" i="7"/>
  <c r="AI192" i="7"/>
  <c r="AM192" i="7"/>
  <c r="AQ192" i="7"/>
  <c r="AU192" i="7"/>
  <c r="AF192" i="7"/>
  <c r="AV192" i="7"/>
  <c r="AJ192" i="7"/>
  <c r="AN192" i="7"/>
  <c r="AR192" i="7"/>
  <c r="AC188" i="7"/>
  <c r="AG188" i="7"/>
  <c r="AK188" i="7"/>
  <c r="AO188" i="7"/>
  <c r="AS188" i="7"/>
  <c r="AW188" i="7"/>
  <c r="AD188" i="7"/>
  <c r="AH188" i="7"/>
  <c r="AL188" i="7"/>
  <c r="AP188" i="7"/>
  <c r="AT188" i="7"/>
  <c r="AX188" i="7"/>
  <c r="AE188" i="7"/>
  <c r="AI188" i="7"/>
  <c r="AM188" i="7"/>
  <c r="AQ188" i="7"/>
  <c r="AU188" i="7"/>
  <c r="AN188" i="7"/>
  <c r="AR188" i="7"/>
  <c r="AF188" i="7"/>
  <c r="AV188" i="7"/>
  <c r="AJ188" i="7"/>
  <c r="AC184" i="7"/>
  <c r="AG184" i="7"/>
  <c r="AK184" i="7"/>
  <c r="AO184" i="7"/>
  <c r="AS184" i="7"/>
  <c r="AW184" i="7"/>
  <c r="AD184" i="7"/>
  <c r="AH184" i="7"/>
  <c r="AL184" i="7"/>
  <c r="AP184" i="7"/>
  <c r="AT184" i="7"/>
  <c r="AX184" i="7"/>
  <c r="AE184" i="7"/>
  <c r="AI184" i="7"/>
  <c r="AM184" i="7"/>
  <c r="AQ184" i="7"/>
  <c r="AU184" i="7"/>
  <c r="AF184" i="7"/>
  <c r="AV184" i="7"/>
  <c r="AJ184" i="7"/>
  <c r="AN184" i="7"/>
  <c r="AC180" i="7"/>
  <c r="AG180" i="7"/>
  <c r="AK180" i="7"/>
  <c r="AO180" i="7"/>
  <c r="AS180" i="7"/>
  <c r="AW180" i="7"/>
  <c r="AD180" i="7"/>
  <c r="AH180" i="7"/>
  <c r="AL180" i="7"/>
  <c r="AP180" i="7"/>
  <c r="AT180" i="7"/>
  <c r="AX180" i="7"/>
  <c r="AE180" i="7"/>
  <c r="AI180" i="7"/>
  <c r="AM180" i="7"/>
  <c r="AQ180" i="7"/>
  <c r="AU180" i="7"/>
  <c r="AN180" i="7"/>
  <c r="AR180" i="7"/>
  <c r="AF180" i="7"/>
  <c r="AV180" i="7"/>
  <c r="AJ180" i="7"/>
  <c r="AC176" i="7"/>
  <c r="AG176" i="7"/>
  <c r="AK176" i="7"/>
  <c r="AO176" i="7"/>
  <c r="AS176" i="7"/>
  <c r="AW176" i="7"/>
  <c r="AD176" i="7"/>
  <c r="AH176" i="7"/>
  <c r="AL176" i="7"/>
  <c r="AP176" i="7"/>
  <c r="AT176" i="7"/>
  <c r="AX176" i="7"/>
  <c r="AE176" i="7"/>
  <c r="AI176" i="7"/>
  <c r="AM176" i="7"/>
  <c r="AQ176" i="7"/>
  <c r="AU176" i="7"/>
  <c r="AF176" i="7"/>
  <c r="AV176" i="7"/>
  <c r="AJ176" i="7"/>
  <c r="AN176" i="7"/>
  <c r="AR176" i="7"/>
  <c r="AC172" i="7"/>
  <c r="AG172" i="7"/>
  <c r="AK172" i="7"/>
  <c r="AO172" i="7"/>
  <c r="AS172" i="7"/>
  <c r="AW172" i="7"/>
  <c r="AD172" i="7"/>
  <c r="AH172" i="7"/>
  <c r="AL172" i="7"/>
  <c r="AP172" i="7"/>
  <c r="AT172" i="7"/>
  <c r="AX172" i="7"/>
  <c r="AE172" i="7"/>
  <c r="AI172" i="7"/>
  <c r="AM172" i="7"/>
  <c r="AQ172" i="7"/>
  <c r="AU172" i="7"/>
  <c r="AN172" i="7"/>
  <c r="AR172" i="7"/>
  <c r="AF172" i="7"/>
  <c r="AV172" i="7"/>
  <c r="AJ172" i="7"/>
  <c r="AC168" i="7"/>
  <c r="AG168" i="7"/>
  <c r="AK168" i="7"/>
  <c r="AO168" i="7"/>
  <c r="AS168" i="7"/>
  <c r="AW168" i="7"/>
  <c r="AD168" i="7"/>
  <c r="AH168" i="7"/>
  <c r="AL168" i="7"/>
  <c r="AP168" i="7"/>
  <c r="AT168" i="7"/>
  <c r="AX168" i="7"/>
  <c r="AE168" i="7"/>
  <c r="AI168" i="7"/>
  <c r="AM168" i="7"/>
  <c r="AQ168" i="7"/>
  <c r="AU168" i="7"/>
  <c r="AF168" i="7"/>
  <c r="AV168" i="7"/>
  <c r="AJ168" i="7"/>
  <c r="AN168" i="7"/>
  <c r="AR168" i="7"/>
  <c r="AC164" i="7"/>
  <c r="AG164" i="7"/>
  <c r="AK164" i="7"/>
  <c r="AO164" i="7"/>
  <c r="AS164" i="7"/>
  <c r="AW164" i="7"/>
  <c r="AD164" i="7"/>
  <c r="AH164" i="7"/>
  <c r="AL164" i="7"/>
  <c r="AP164" i="7"/>
  <c r="AT164" i="7"/>
  <c r="AX164" i="7"/>
  <c r="AE164" i="7"/>
  <c r="AI164" i="7"/>
  <c r="AM164" i="7"/>
  <c r="AQ164" i="7"/>
  <c r="AU164" i="7"/>
  <c r="AN164" i="7"/>
  <c r="AR164" i="7"/>
  <c r="AF164" i="7"/>
  <c r="AV164" i="7"/>
  <c r="AJ164" i="7"/>
  <c r="AC160" i="7"/>
  <c r="AG160" i="7"/>
  <c r="AK160" i="7"/>
  <c r="AO160" i="7"/>
  <c r="AS160" i="7"/>
  <c r="AW160" i="7"/>
  <c r="AD160" i="7"/>
  <c r="AH160" i="7"/>
  <c r="AL160" i="7"/>
  <c r="AP160" i="7"/>
  <c r="AT160" i="7"/>
  <c r="AX160" i="7"/>
  <c r="AE160" i="7"/>
  <c r="AI160" i="7"/>
  <c r="AM160" i="7"/>
  <c r="AQ160" i="7"/>
  <c r="AU160" i="7"/>
  <c r="AF160" i="7"/>
  <c r="AV160" i="7"/>
  <c r="AJ160" i="7"/>
  <c r="AN160" i="7"/>
  <c r="AR160" i="7"/>
  <c r="AC156" i="7"/>
  <c r="AG156" i="7"/>
  <c r="AK156" i="7"/>
  <c r="AO156" i="7"/>
  <c r="AS156" i="7"/>
  <c r="AW156" i="7"/>
  <c r="AD156" i="7"/>
  <c r="AH156" i="7"/>
  <c r="AL156" i="7"/>
  <c r="AP156" i="7"/>
  <c r="AT156" i="7"/>
  <c r="AX156" i="7"/>
  <c r="AE156" i="7"/>
  <c r="AI156" i="7"/>
  <c r="AM156" i="7"/>
  <c r="AQ156" i="7"/>
  <c r="AU156" i="7"/>
  <c r="AN156" i="7"/>
  <c r="AR156" i="7"/>
  <c r="AF156" i="7"/>
  <c r="AV156" i="7"/>
  <c r="AJ156" i="7"/>
  <c r="AD152" i="7"/>
  <c r="AH152" i="7"/>
  <c r="AL152" i="7"/>
  <c r="AP152" i="7"/>
  <c r="AT152" i="7"/>
  <c r="AX152" i="7"/>
  <c r="AE152" i="7"/>
  <c r="AI152" i="7"/>
  <c r="AM152" i="7"/>
  <c r="AQ152" i="7"/>
  <c r="AU152" i="7"/>
  <c r="AF152" i="7"/>
  <c r="AJ152" i="7"/>
  <c r="AN152" i="7"/>
  <c r="AR152" i="7"/>
  <c r="AV152" i="7"/>
  <c r="AG152" i="7"/>
  <c r="AW152" i="7"/>
  <c r="AK152" i="7"/>
  <c r="AO152" i="7"/>
  <c r="AC152" i="7"/>
  <c r="AS152" i="7"/>
  <c r="AD148" i="7"/>
  <c r="AH148" i="7"/>
  <c r="AL148" i="7"/>
  <c r="AP148" i="7"/>
  <c r="AT148" i="7"/>
  <c r="AX148" i="7"/>
  <c r="AE148" i="7"/>
  <c r="AI148" i="7"/>
  <c r="AM148" i="7"/>
  <c r="AQ148" i="7"/>
  <c r="AU148" i="7"/>
  <c r="AF148" i="7"/>
  <c r="AJ148" i="7"/>
  <c r="AN148" i="7"/>
  <c r="AR148" i="7"/>
  <c r="AV148" i="7"/>
  <c r="AO148" i="7"/>
  <c r="AC148" i="7"/>
  <c r="AS148" i="7"/>
  <c r="AG148" i="7"/>
  <c r="AW148" i="7"/>
  <c r="AK148" i="7"/>
  <c r="AD144" i="7"/>
  <c r="AH144" i="7"/>
  <c r="AL144" i="7"/>
  <c r="AP144" i="7"/>
  <c r="AT144" i="7"/>
  <c r="AX144" i="7"/>
  <c r="AE144" i="7"/>
  <c r="AI144" i="7"/>
  <c r="AM144" i="7"/>
  <c r="AQ144" i="7"/>
  <c r="AU144" i="7"/>
  <c r="AF144" i="7"/>
  <c r="AJ144" i="7"/>
  <c r="AN144" i="7"/>
  <c r="AR144" i="7"/>
  <c r="AV144" i="7"/>
  <c r="AG144" i="7"/>
  <c r="AW144" i="7"/>
  <c r="AK144" i="7"/>
  <c r="AO144" i="7"/>
  <c r="AS144" i="7"/>
  <c r="AC144" i="7"/>
  <c r="AD140" i="7"/>
  <c r="AH140" i="7"/>
  <c r="AL140" i="7"/>
  <c r="AP140" i="7"/>
  <c r="AT140" i="7"/>
  <c r="AX140" i="7"/>
  <c r="AE140" i="7"/>
  <c r="AI140" i="7"/>
  <c r="AM140" i="7"/>
  <c r="AQ140" i="7"/>
  <c r="AU140" i="7"/>
  <c r="AF140" i="7"/>
  <c r="AJ140" i="7"/>
  <c r="AN140" i="7"/>
  <c r="AR140" i="7"/>
  <c r="AV140" i="7"/>
  <c r="AO140" i="7"/>
  <c r="AC140" i="7"/>
  <c r="AS140" i="7"/>
  <c r="AG140" i="7"/>
  <c r="AW140" i="7"/>
  <c r="AK140" i="7"/>
  <c r="AD136" i="7"/>
  <c r="AH136" i="7"/>
  <c r="AL136" i="7"/>
  <c r="AP136" i="7"/>
  <c r="AT136" i="7"/>
  <c r="AX136" i="7"/>
  <c r="AE136" i="7"/>
  <c r="AI136" i="7"/>
  <c r="AM136" i="7"/>
  <c r="AQ136" i="7"/>
  <c r="AU136" i="7"/>
  <c r="AF136" i="7"/>
  <c r="AJ136" i="7"/>
  <c r="AN136" i="7"/>
  <c r="AR136" i="7"/>
  <c r="AV136" i="7"/>
  <c r="AG136" i="7"/>
  <c r="AW136" i="7"/>
  <c r="AK136" i="7"/>
  <c r="AO136" i="7"/>
  <c r="AC136" i="7"/>
  <c r="AS136" i="7"/>
  <c r="AD132" i="7"/>
  <c r="AH132" i="7"/>
  <c r="AL132" i="7"/>
  <c r="AP132" i="7"/>
  <c r="AT132" i="7"/>
  <c r="AX132" i="7"/>
  <c r="AE132" i="7"/>
  <c r="AI132" i="7"/>
  <c r="AM132" i="7"/>
  <c r="AQ132" i="7"/>
  <c r="AU132" i="7"/>
  <c r="AF132" i="7"/>
  <c r="AJ132" i="7"/>
  <c r="AN132" i="7"/>
  <c r="AR132" i="7"/>
  <c r="AV132" i="7"/>
  <c r="AO132" i="7"/>
  <c r="AC132" i="7"/>
  <c r="AS132" i="7"/>
  <c r="AG132" i="7"/>
  <c r="AW132" i="7"/>
  <c r="AK132" i="7"/>
  <c r="AD128" i="7"/>
  <c r="AH128" i="7"/>
  <c r="AL128" i="7"/>
  <c r="AP128" i="7"/>
  <c r="AT128" i="7"/>
  <c r="AX128" i="7"/>
  <c r="AE128" i="7"/>
  <c r="AI128" i="7"/>
  <c r="AM128" i="7"/>
  <c r="AQ128" i="7"/>
  <c r="AU128" i="7"/>
  <c r="AF128" i="7"/>
  <c r="AJ128" i="7"/>
  <c r="AN128" i="7"/>
  <c r="AR128" i="7"/>
  <c r="AV128" i="7"/>
  <c r="AG128" i="7"/>
  <c r="AW128" i="7"/>
  <c r="AK128" i="7"/>
  <c r="AO128" i="7"/>
  <c r="AC128" i="7"/>
  <c r="AS128" i="7"/>
  <c r="AD124" i="7"/>
  <c r="AH124" i="7"/>
  <c r="AL124" i="7"/>
  <c r="AP124" i="7"/>
  <c r="AT124" i="7"/>
  <c r="AX124" i="7"/>
  <c r="AE124" i="7"/>
  <c r="AI124" i="7"/>
  <c r="AM124" i="7"/>
  <c r="AQ124" i="7"/>
  <c r="AU124" i="7"/>
  <c r="AF124" i="7"/>
  <c r="AJ124" i="7"/>
  <c r="AN124" i="7"/>
  <c r="AR124" i="7"/>
  <c r="AV124" i="7"/>
  <c r="AO124" i="7"/>
  <c r="AC124" i="7"/>
  <c r="AS124" i="7"/>
  <c r="AG124" i="7"/>
  <c r="AW124" i="7"/>
  <c r="AK124" i="7"/>
  <c r="AD120" i="7"/>
  <c r="AH120" i="7"/>
  <c r="AL120" i="7"/>
  <c r="AP120" i="7"/>
  <c r="AT120" i="7"/>
  <c r="AX120" i="7"/>
  <c r="AE120" i="7"/>
  <c r="AI120" i="7"/>
  <c r="AM120" i="7"/>
  <c r="AQ120" i="7"/>
  <c r="AU120" i="7"/>
  <c r="AF120" i="7"/>
  <c r="AJ120" i="7"/>
  <c r="AN120" i="7"/>
  <c r="AR120" i="7"/>
  <c r="AV120" i="7"/>
  <c r="AG120" i="7"/>
  <c r="AW120" i="7"/>
  <c r="AK120" i="7"/>
  <c r="AO120" i="7"/>
  <c r="AC120" i="7"/>
  <c r="AS120" i="7"/>
  <c r="AD116" i="7"/>
  <c r="AH116" i="7"/>
  <c r="AL116" i="7"/>
  <c r="AP116" i="7"/>
  <c r="AT116" i="7"/>
  <c r="AX116" i="7"/>
  <c r="AE116" i="7"/>
  <c r="AI116" i="7"/>
  <c r="AM116" i="7"/>
  <c r="AQ116" i="7"/>
  <c r="AU116" i="7"/>
  <c r="AF116" i="7"/>
  <c r="AJ116" i="7"/>
  <c r="AN116" i="7"/>
  <c r="AR116" i="7"/>
  <c r="AV116" i="7"/>
  <c r="AO116" i="7"/>
  <c r="AC116" i="7"/>
  <c r="AS116" i="7"/>
  <c r="AG116" i="7"/>
  <c r="AW116" i="7"/>
  <c r="AK116" i="7"/>
  <c r="AD112" i="7"/>
  <c r="AH112" i="7"/>
  <c r="AL112" i="7"/>
  <c r="AP112" i="7"/>
  <c r="AT112" i="7"/>
  <c r="AX112" i="7"/>
  <c r="AE112" i="7"/>
  <c r="AI112" i="7"/>
  <c r="AM112" i="7"/>
  <c r="AQ112" i="7"/>
  <c r="AU112" i="7"/>
  <c r="AF112" i="7"/>
  <c r="AJ112" i="7"/>
  <c r="AN112" i="7"/>
  <c r="AR112" i="7"/>
  <c r="AV112" i="7"/>
  <c r="AG112" i="7"/>
  <c r="AW112" i="7"/>
  <c r="AK112" i="7"/>
  <c r="AO112" i="7"/>
  <c r="AS112" i="7"/>
  <c r="AC112" i="7"/>
  <c r="AD108" i="7"/>
  <c r="AH108" i="7"/>
  <c r="AL108" i="7"/>
  <c r="AP108" i="7"/>
  <c r="AT108" i="7"/>
  <c r="AX108" i="7"/>
  <c r="AE108" i="7"/>
  <c r="AI108" i="7"/>
  <c r="AM108" i="7"/>
  <c r="AQ108" i="7"/>
  <c r="AU108" i="7"/>
  <c r="AF108" i="7"/>
  <c r="AJ108" i="7"/>
  <c r="AN108" i="7"/>
  <c r="AR108" i="7"/>
  <c r="AV108" i="7"/>
  <c r="AO108" i="7"/>
  <c r="AC108" i="7"/>
  <c r="AS108" i="7"/>
  <c r="AG108" i="7"/>
  <c r="AW108" i="7"/>
  <c r="AK108" i="7"/>
  <c r="AD104" i="7"/>
  <c r="AH104" i="7"/>
  <c r="AL104" i="7"/>
  <c r="AP104" i="7"/>
  <c r="AT104" i="7"/>
  <c r="AX104" i="7"/>
  <c r="AE104" i="7"/>
  <c r="AI104" i="7"/>
  <c r="AM104" i="7"/>
  <c r="AQ104" i="7"/>
  <c r="AU104" i="7"/>
  <c r="AF104" i="7"/>
  <c r="AJ104" i="7"/>
  <c r="AN104" i="7"/>
  <c r="AR104" i="7"/>
  <c r="AV104" i="7"/>
  <c r="AG104" i="7"/>
  <c r="AW104" i="7"/>
  <c r="AK104" i="7"/>
  <c r="AO104" i="7"/>
  <c r="AC104" i="7"/>
  <c r="AS104" i="7"/>
  <c r="AE100" i="7"/>
  <c r="AC100" i="7"/>
  <c r="AH100" i="7"/>
  <c r="AL100" i="7"/>
  <c r="AP100" i="7"/>
  <c r="AT100" i="7"/>
  <c r="AX100" i="7"/>
  <c r="AD100" i="7"/>
  <c r="AI100" i="7"/>
  <c r="AM100" i="7"/>
  <c r="AQ100" i="7"/>
  <c r="AU100" i="7"/>
  <c r="AF100" i="7"/>
  <c r="AJ100" i="7"/>
  <c r="AN100" i="7"/>
  <c r="AR100" i="7"/>
  <c r="AV100" i="7"/>
  <c r="AO100" i="7"/>
  <c r="AS100" i="7"/>
  <c r="AG100" i="7"/>
  <c r="AW100" i="7"/>
  <c r="AK100" i="7"/>
  <c r="AE96" i="7"/>
  <c r="AI96" i="7"/>
  <c r="AM96" i="7"/>
  <c r="AQ96" i="7"/>
  <c r="AU96" i="7"/>
  <c r="AF96" i="7"/>
  <c r="AJ96" i="7"/>
  <c r="AN96" i="7"/>
  <c r="AR96" i="7"/>
  <c r="AV96" i="7"/>
  <c r="AC96" i="7"/>
  <c r="AG96" i="7"/>
  <c r="AK96" i="7"/>
  <c r="AO96" i="7"/>
  <c r="AS96" i="7"/>
  <c r="AW96" i="7"/>
  <c r="AH96" i="7"/>
  <c r="AX96" i="7"/>
  <c r="AL96" i="7"/>
  <c r="AP96" i="7"/>
  <c r="AD96" i="7"/>
  <c r="AT96" i="7"/>
  <c r="AE92" i="7"/>
  <c r="AI92" i="7"/>
  <c r="AM92" i="7"/>
  <c r="AQ92" i="7"/>
  <c r="AU92" i="7"/>
  <c r="AF92" i="7"/>
  <c r="AJ92" i="7"/>
  <c r="AN92" i="7"/>
  <c r="AR92" i="7"/>
  <c r="AV92" i="7"/>
  <c r="AC92" i="7"/>
  <c r="AG92" i="7"/>
  <c r="AK92" i="7"/>
  <c r="AO92" i="7"/>
  <c r="AS92" i="7"/>
  <c r="AW92" i="7"/>
  <c r="AP92" i="7"/>
  <c r="AD92" i="7"/>
  <c r="AT92" i="7"/>
  <c r="AH92" i="7"/>
  <c r="AX92" i="7"/>
  <c r="AL92" i="7"/>
  <c r="AE88" i="7"/>
  <c r="AI88" i="7"/>
  <c r="AM88" i="7"/>
  <c r="AQ88" i="7"/>
  <c r="AU88" i="7"/>
  <c r="AF88" i="7"/>
  <c r="AJ88" i="7"/>
  <c r="AN88" i="7"/>
  <c r="AR88" i="7"/>
  <c r="AV88" i="7"/>
  <c r="AC88" i="7"/>
  <c r="AG88" i="7"/>
  <c r="AK88" i="7"/>
  <c r="AO88" i="7"/>
  <c r="AS88" i="7"/>
  <c r="AW88" i="7"/>
  <c r="AH88" i="7"/>
  <c r="AX88" i="7"/>
  <c r="AL88" i="7"/>
  <c r="AP88" i="7"/>
  <c r="AD88" i="7"/>
  <c r="AT88" i="7"/>
  <c r="AE84" i="7"/>
  <c r="AI84" i="7"/>
  <c r="AM84" i="7"/>
  <c r="AQ84" i="7"/>
  <c r="AU84" i="7"/>
  <c r="AF84" i="7"/>
  <c r="AJ84" i="7"/>
  <c r="AN84" i="7"/>
  <c r="AR84" i="7"/>
  <c r="AV84" i="7"/>
  <c r="AC84" i="7"/>
  <c r="AG84" i="7"/>
  <c r="AK84" i="7"/>
  <c r="AO84" i="7"/>
  <c r="AS84" i="7"/>
  <c r="AW84" i="7"/>
  <c r="AP84" i="7"/>
  <c r="AD84" i="7"/>
  <c r="AT84" i="7"/>
  <c r="AH84" i="7"/>
  <c r="AX84" i="7"/>
  <c r="AL84" i="7"/>
  <c r="AE80" i="7"/>
  <c r="AI80" i="7"/>
  <c r="AM80" i="7"/>
  <c r="AQ80" i="7"/>
  <c r="AF80" i="7"/>
  <c r="AK80" i="7"/>
  <c r="AP80" i="7"/>
  <c r="AU80" i="7"/>
  <c r="AG80" i="7"/>
  <c r="AL80" i="7"/>
  <c r="AR80" i="7"/>
  <c r="AV80" i="7"/>
  <c r="AC80" i="7"/>
  <c r="AH80" i="7"/>
  <c r="AN80" i="7"/>
  <c r="AS80" i="7"/>
  <c r="AW80" i="7"/>
  <c r="AD80" i="7"/>
  <c r="AX80" i="7"/>
  <c r="AJ80" i="7"/>
  <c r="AO80" i="7"/>
  <c r="AT80" i="7"/>
  <c r="AD76" i="7"/>
  <c r="AH76" i="7"/>
  <c r="AL76" i="7"/>
  <c r="AP76" i="7"/>
  <c r="AT76" i="7"/>
  <c r="AX76" i="7"/>
  <c r="AE76" i="7"/>
  <c r="AI76" i="7"/>
  <c r="AM76" i="7"/>
  <c r="AQ76" i="7"/>
  <c r="AU76" i="7"/>
  <c r="AC76" i="7"/>
  <c r="AK76" i="7"/>
  <c r="AS76" i="7"/>
  <c r="AF76" i="7"/>
  <c r="AN76" i="7"/>
  <c r="AV76" i="7"/>
  <c r="AG76" i="7"/>
  <c r="AO76" i="7"/>
  <c r="AW76" i="7"/>
  <c r="AJ76" i="7"/>
  <c r="AR76" i="7"/>
  <c r="AD72" i="7"/>
  <c r="AH72" i="7"/>
  <c r="AL72" i="7"/>
  <c r="AP72" i="7"/>
  <c r="AT72" i="7"/>
  <c r="AX72" i="7"/>
  <c r="AE72" i="7"/>
  <c r="AI72" i="7"/>
  <c r="AM72" i="7"/>
  <c r="AQ72" i="7"/>
  <c r="AU72" i="7"/>
  <c r="AC72" i="7"/>
  <c r="AK72" i="7"/>
  <c r="AS72" i="7"/>
  <c r="AF72" i="7"/>
  <c r="AN72" i="7"/>
  <c r="AV72" i="7"/>
  <c r="AG72" i="7"/>
  <c r="AO72" i="7"/>
  <c r="AW72" i="7"/>
  <c r="AJ72" i="7"/>
  <c r="AR72" i="7"/>
  <c r="AD68" i="7"/>
  <c r="AH68" i="7"/>
  <c r="AL68" i="7"/>
  <c r="AP68" i="7"/>
  <c r="AT68" i="7"/>
  <c r="AX68" i="7"/>
  <c r="AC68" i="7"/>
  <c r="AI68" i="7"/>
  <c r="AN68" i="7"/>
  <c r="AS68" i="7"/>
  <c r="AE68" i="7"/>
  <c r="AJ68" i="7"/>
  <c r="AO68" i="7"/>
  <c r="AU68" i="7"/>
  <c r="AM68" i="7"/>
  <c r="AW68" i="7"/>
  <c r="AF68" i="7"/>
  <c r="AQ68" i="7"/>
  <c r="AG68" i="7"/>
  <c r="AR68" i="7"/>
  <c r="AK68" i="7"/>
  <c r="AV68" i="7"/>
  <c r="AD64" i="7"/>
  <c r="AH64" i="7"/>
  <c r="AL64" i="7"/>
  <c r="AP64" i="7"/>
  <c r="AT64" i="7"/>
  <c r="AX64" i="7"/>
  <c r="AF64" i="7"/>
  <c r="AK64" i="7"/>
  <c r="AQ64" i="7"/>
  <c r="AV64" i="7"/>
  <c r="AG64" i="7"/>
  <c r="AM64" i="7"/>
  <c r="AR64" i="7"/>
  <c r="AW64" i="7"/>
  <c r="AC64" i="7"/>
  <c r="AI64" i="7"/>
  <c r="AN64" i="7"/>
  <c r="AS64" i="7"/>
  <c r="AU64" i="7"/>
  <c r="AE64" i="7"/>
  <c r="AJ64" i="7"/>
  <c r="AO64" i="7"/>
  <c r="AD60" i="7"/>
  <c r="AH60" i="7"/>
  <c r="AL60" i="7"/>
  <c r="AP60" i="7"/>
  <c r="AT60" i="7"/>
  <c r="AX60" i="7"/>
  <c r="AC60" i="7"/>
  <c r="AI60" i="7"/>
  <c r="AN60" i="7"/>
  <c r="AS60" i="7"/>
  <c r="AE60" i="7"/>
  <c r="AJ60" i="7"/>
  <c r="AO60" i="7"/>
  <c r="AU60" i="7"/>
  <c r="AF60" i="7"/>
  <c r="AK60" i="7"/>
  <c r="AQ60" i="7"/>
  <c r="AV60" i="7"/>
  <c r="AW60" i="7"/>
  <c r="AG60" i="7"/>
  <c r="AM60" i="7"/>
  <c r="AR60" i="7"/>
  <c r="AD56" i="7"/>
  <c r="AH56" i="7"/>
  <c r="AL56" i="7"/>
  <c r="AP56" i="7"/>
  <c r="AT56" i="7"/>
  <c r="AX56" i="7"/>
  <c r="AF56" i="7"/>
  <c r="AK56" i="7"/>
  <c r="AQ56" i="7"/>
  <c r="AV56" i="7"/>
  <c r="AG56" i="7"/>
  <c r="AM56" i="7"/>
  <c r="AR56" i="7"/>
  <c r="AW56" i="7"/>
  <c r="AC56" i="7"/>
  <c r="AI56" i="7"/>
  <c r="AN56" i="7"/>
  <c r="AS56" i="7"/>
  <c r="AE56" i="7"/>
  <c r="AJ56" i="7"/>
  <c r="AO56" i="7"/>
  <c r="AU56" i="7"/>
  <c r="AD52" i="7"/>
  <c r="AH52" i="7"/>
  <c r="AL52" i="7"/>
  <c r="AP52" i="7"/>
  <c r="AT52" i="7"/>
  <c r="AX52" i="7"/>
  <c r="AE52" i="7"/>
  <c r="AI52" i="7"/>
  <c r="AN52" i="7"/>
  <c r="AS52" i="7"/>
  <c r="AC52" i="7"/>
  <c r="AJ52" i="7"/>
  <c r="AO52" i="7"/>
  <c r="AU52" i="7"/>
  <c r="AF52" i="7"/>
  <c r="AK52" i="7"/>
  <c r="AQ52" i="7"/>
  <c r="AV52" i="7"/>
  <c r="AG52" i="7"/>
  <c r="AM52" i="7"/>
  <c r="AR52" i="7"/>
  <c r="AW52" i="7"/>
  <c r="AD48" i="7"/>
  <c r="AH48" i="7"/>
  <c r="AL48" i="7"/>
  <c r="AP48" i="7"/>
  <c r="AT48" i="7"/>
  <c r="AX48" i="7"/>
  <c r="AE48" i="7"/>
  <c r="AI48" i="7"/>
  <c r="AM48" i="7"/>
  <c r="AQ48" i="7"/>
  <c r="AU48" i="7"/>
  <c r="AJ48" i="7"/>
  <c r="AR48" i="7"/>
  <c r="AC48" i="7"/>
  <c r="AK48" i="7"/>
  <c r="AS48" i="7"/>
  <c r="AF48" i="7"/>
  <c r="AN48" i="7"/>
  <c r="AV48" i="7"/>
  <c r="AG48" i="7"/>
  <c r="AO48" i="7"/>
  <c r="AW48" i="7"/>
  <c r="AD44" i="7"/>
  <c r="AH44" i="7"/>
  <c r="AL44" i="7"/>
  <c r="AP44" i="7"/>
  <c r="AT44" i="7"/>
  <c r="AX44" i="7"/>
  <c r="AE44" i="7"/>
  <c r="AI44" i="7"/>
  <c r="AM44" i="7"/>
  <c r="AQ44" i="7"/>
  <c r="AU44" i="7"/>
  <c r="AJ44" i="7"/>
  <c r="AR44" i="7"/>
  <c r="AC44" i="7"/>
  <c r="AK44" i="7"/>
  <c r="AS44" i="7"/>
  <c r="AF44" i="7"/>
  <c r="AN44" i="7"/>
  <c r="AV44" i="7"/>
  <c r="AW44" i="7"/>
  <c r="AG44" i="7"/>
  <c r="AO44" i="7"/>
  <c r="AF40" i="7"/>
  <c r="AJ40" i="7"/>
  <c r="AN40" i="7"/>
  <c r="AR40" i="7"/>
  <c r="AV40" i="7"/>
  <c r="AC40" i="7"/>
  <c r="AG40" i="7"/>
  <c r="AK40" i="7"/>
  <c r="AO40" i="7"/>
  <c r="AS40" i="7"/>
  <c r="AW40" i="7"/>
  <c r="AD40" i="7"/>
  <c r="AH40" i="7"/>
  <c r="AL40" i="7"/>
  <c r="AP40" i="7"/>
  <c r="AT40" i="7"/>
  <c r="AX40" i="7"/>
  <c r="AE40" i="7"/>
  <c r="AU40" i="7"/>
  <c r="AI40" i="7"/>
  <c r="AM40" i="7"/>
  <c r="AQ40" i="7"/>
  <c r="AF36" i="7"/>
  <c r="AJ36" i="7"/>
  <c r="AN36" i="7"/>
  <c r="AR36" i="7"/>
  <c r="AV36" i="7"/>
  <c r="AC36" i="7"/>
  <c r="AG36" i="7"/>
  <c r="AK36" i="7"/>
  <c r="AO36" i="7"/>
  <c r="AS36" i="7"/>
  <c r="AW36" i="7"/>
  <c r="AD36" i="7"/>
  <c r="AH36" i="7"/>
  <c r="AL36" i="7"/>
  <c r="AP36" i="7"/>
  <c r="AT36" i="7"/>
  <c r="AX36" i="7"/>
  <c r="AM36" i="7"/>
  <c r="AQ36" i="7"/>
  <c r="AE36" i="7"/>
  <c r="AI36" i="7"/>
  <c r="AU36" i="7"/>
  <c r="AF32" i="7"/>
  <c r="AJ32" i="7"/>
  <c r="AN32" i="7"/>
  <c r="AR32" i="7"/>
  <c r="AV32" i="7"/>
  <c r="AC32" i="7"/>
  <c r="AG32" i="7"/>
  <c r="AK32" i="7"/>
  <c r="AO32" i="7"/>
  <c r="AS32" i="7"/>
  <c r="AW32" i="7"/>
  <c r="AD32" i="7"/>
  <c r="AH32" i="7"/>
  <c r="AL32" i="7"/>
  <c r="AP32" i="7"/>
  <c r="AT32" i="7"/>
  <c r="AX32" i="7"/>
  <c r="AE32" i="7"/>
  <c r="AU32" i="7"/>
  <c r="AI32" i="7"/>
  <c r="AM32" i="7"/>
  <c r="AQ32" i="7"/>
  <c r="AF28" i="7"/>
  <c r="AJ28" i="7"/>
  <c r="AN28" i="7"/>
  <c r="AR28" i="7"/>
  <c r="AV28" i="7"/>
  <c r="AC28" i="7"/>
  <c r="AG28" i="7"/>
  <c r="AK28" i="7"/>
  <c r="AO28" i="7"/>
  <c r="AS28" i="7"/>
  <c r="AW28" i="7"/>
  <c r="AD28" i="7"/>
  <c r="AH28" i="7"/>
  <c r="AL28" i="7"/>
  <c r="AP28" i="7"/>
  <c r="AT28" i="7"/>
  <c r="AX28" i="7"/>
  <c r="AE28" i="7"/>
  <c r="AU28" i="7"/>
  <c r="AI28" i="7"/>
  <c r="AM28" i="7"/>
  <c r="AQ28" i="7"/>
  <c r="AF24" i="7"/>
  <c r="AJ24" i="7"/>
  <c r="AN24" i="7"/>
  <c r="AR24" i="7"/>
  <c r="AV24" i="7"/>
  <c r="AC24" i="7"/>
  <c r="AG24" i="7"/>
  <c r="AK24" i="7"/>
  <c r="AO24" i="7"/>
  <c r="AS24" i="7"/>
  <c r="AW24" i="7"/>
  <c r="AD24" i="7"/>
  <c r="AH24" i="7"/>
  <c r="AL24" i="7"/>
  <c r="AP24" i="7"/>
  <c r="AT24" i="7"/>
  <c r="AX24" i="7"/>
  <c r="AM24" i="7"/>
  <c r="AQ24" i="7"/>
  <c r="AE24" i="7"/>
  <c r="AU24" i="7"/>
  <c r="AI24" i="7"/>
  <c r="AF20" i="7"/>
  <c r="AJ20" i="7"/>
  <c r="AN20" i="7"/>
  <c r="AR20" i="7"/>
  <c r="AV20" i="7"/>
  <c r="AC20" i="7"/>
  <c r="AG20" i="7"/>
  <c r="AK20" i="7"/>
  <c r="AO20" i="7"/>
  <c r="AS20" i="7"/>
  <c r="AW20" i="7"/>
  <c r="AD20" i="7"/>
  <c r="AH20" i="7"/>
  <c r="AL20" i="7"/>
  <c r="AP20" i="7"/>
  <c r="AT20" i="7"/>
  <c r="AX20" i="7"/>
  <c r="AE20" i="7"/>
  <c r="AU20" i="7"/>
  <c r="AI20" i="7"/>
  <c r="AM20" i="7"/>
  <c r="AQ20" i="7"/>
  <c r="AC16" i="7"/>
  <c r="AG16" i="7"/>
  <c r="AK16" i="7"/>
  <c r="AO16" i="7"/>
  <c r="AS16" i="7"/>
  <c r="AW16" i="7"/>
  <c r="AD16" i="7"/>
  <c r="AH16" i="7"/>
  <c r="AL16" i="7"/>
  <c r="AP16" i="7"/>
  <c r="AT16" i="7"/>
  <c r="AX16" i="7"/>
  <c r="AE16" i="7"/>
  <c r="AI16" i="7"/>
  <c r="AM16" i="7"/>
  <c r="AQ16" i="7"/>
  <c r="AU16" i="7"/>
  <c r="AN16" i="7"/>
  <c r="AR16" i="7"/>
  <c r="AF16" i="7"/>
  <c r="AV16" i="7"/>
  <c r="AJ16" i="7"/>
  <c r="AC12" i="7"/>
  <c r="AG12" i="7"/>
  <c r="AK12" i="7"/>
  <c r="AO12" i="7"/>
  <c r="AS12" i="7"/>
  <c r="AW12" i="7"/>
  <c r="AD12" i="7"/>
  <c r="AH12" i="7"/>
  <c r="AL12" i="7"/>
  <c r="AP12" i="7"/>
  <c r="AT12" i="7"/>
  <c r="AX12" i="7"/>
  <c r="AE12" i="7"/>
  <c r="AI12" i="7"/>
  <c r="AM12" i="7"/>
  <c r="AQ12" i="7"/>
  <c r="AU12" i="7"/>
  <c r="AF12" i="7"/>
  <c r="AV12" i="7"/>
  <c r="AJ12" i="7"/>
  <c r="AN12" i="7"/>
  <c r="AR12" i="7"/>
  <c r="AC8" i="7"/>
  <c r="AG8" i="7"/>
  <c r="AK8" i="7"/>
  <c r="AO8" i="7"/>
  <c r="AS8" i="7"/>
  <c r="AW8" i="7"/>
  <c r="AD8" i="7"/>
  <c r="AH8" i="7"/>
  <c r="AL8" i="7"/>
  <c r="AP8" i="7"/>
  <c r="AT8" i="7"/>
  <c r="AX8" i="7"/>
  <c r="AE8" i="7"/>
  <c r="AI8" i="7"/>
  <c r="AM8" i="7"/>
  <c r="AQ8" i="7"/>
  <c r="AU8" i="7"/>
  <c r="AN8" i="7"/>
  <c r="AR8" i="7"/>
  <c r="AF8" i="7"/>
  <c r="AV8" i="7"/>
  <c r="AJ8" i="7"/>
  <c r="AC4" i="7"/>
  <c r="AG4" i="7"/>
  <c r="AK4" i="7"/>
  <c r="AO4" i="7"/>
  <c r="AS4" i="7"/>
  <c r="AW4" i="7"/>
  <c r="AD4" i="7"/>
  <c r="AH4" i="7"/>
  <c r="AL4" i="7"/>
  <c r="AP4" i="7"/>
  <c r="AT4" i="7"/>
  <c r="AX4" i="7"/>
  <c r="AE4" i="7"/>
  <c r="AI4" i="7"/>
  <c r="AM4" i="7"/>
  <c r="AQ4" i="7"/>
  <c r="AU4" i="7"/>
  <c r="AF4" i="7"/>
  <c r="AV4" i="7"/>
  <c r="AJ4" i="7"/>
  <c r="AN4" i="7"/>
  <c r="AR4" i="7"/>
  <c r="AW3" i="7"/>
  <c r="AS3" i="7"/>
  <c r="AO3" i="7"/>
  <c r="AK3" i="7"/>
  <c r="AG3" i="7"/>
  <c r="AX502" i="7"/>
  <c r="AT502" i="7"/>
  <c r="AP502" i="7"/>
  <c r="AL502" i="7"/>
  <c r="AH502" i="7"/>
  <c r="AD502" i="7"/>
  <c r="AV501" i="7"/>
  <c r="AR501" i="7"/>
  <c r="AN501" i="7"/>
  <c r="AJ501" i="7"/>
  <c r="AF501" i="7"/>
  <c r="AX500" i="7"/>
  <c r="AT500" i="7"/>
  <c r="AP500" i="7"/>
  <c r="AL500" i="7"/>
  <c r="AH500" i="7"/>
  <c r="AD500" i="7"/>
  <c r="AV499" i="7"/>
  <c r="AR499" i="7"/>
  <c r="AN499" i="7"/>
  <c r="AJ499" i="7"/>
  <c r="AF499" i="7"/>
  <c r="AX498" i="7"/>
  <c r="AR498" i="7"/>
  <c r="AJ498" i="7"/>
  <c r="AX497" i="7"/>
  <c r="AP497" i="7"/>
  <c r="AV496" i="7"/>
  <c r="AN496" i="7"/>
  <c r="AF496" i="7"/>
  <c r="AT495" i="7"/>
  <c r="AT494" i="7"/>
  <c r="AD494" i="7"/>
  <c r="AJ493" i="7"/>
  <c r="AP492" i="7"/>
  <c r="AV491" i="7"/>
  <c r="AL490" i="7"/>
  <c r="AR489" i="7"/>
  <c r="AX488" i="7"/>
  <c r="AH488" i="7"/>
  <c r="AT486" i="7"/>
  <c r="AD486" i="7"/>
  <c r="AJ485" i="7"/>
  <c r="AP484" i="7"/>
  <c r="AV483" i="7"/>
  <c r="AL482" i="7"/>
  <c r="AX480" i="7"/>
  <c r="AH480" i="7"/>
  <c r="AT478" i="7"/>
  <c r="AD478" i="7"/>
  <c r="AJ477" i="7"/>
  <c r="AP476" i="7"/>
  <c r="AV475" i="7"/>
  <c r="AL474" i="7"/>
  <c r="AR473" i="7"/>
  <c r="AX472" i="7"/>
  <c r="AH472" i="7"/>
  <c r="AT470" i="7"/>
  <c r="AD470" i="7"/>
  <c r="AP468" i="7"/>
  <c r="AV467" i="7"/>
  <c r="AL466" i="7"/>
  <c r="AR465" i="7"/>
  <c r="AX464" i="7"/>
  <c r="AH464" i="7"/>
  <c r="AT462" i="7"/>
  <c r="AD462" i="7"/>
  <c r="AJ461" i="7"/>
  <c r="AP460" i="7"/>
  <c r="AV459" i="7"/>
  <c r="AL458" i="7"/>
  <c r="AX456" i="7"/>
  <c r="AH456" i="7"/>
  <c r="AT454" i="7"/>
  <c r="AD454" i="7"/>
  <c r="AJ453" i="7"/>
  <c r="AP452" i="7"/>
  <c r="AV451" i="7"/>
  <c r="AL450" i="7"/>
  <c r="AR449" i="7"/>
  <c r="AX448" i="7"/>
  <c r="AH448" i="7"/>
  <c r="AT446" i="7"/>
  <c r="AD446" i="7"/>
  <c r="AP444" i="7"/>
  <c r="AV443" i="7"/>
  <c r="AL442" i="7"/>
  <c r="AR441" i="7"/>
  <c r="AX440" i="7"/>
  <c r="AH440" i="7"/>
  <c r="AT438" i="7"/>
  <c r="AD438" i="7"/>
  <c r="AJ437" i="7"/>
  <c r="AP436" i="7"/>
  <c r="AV435" i="7"/>
  <c r="AL434" i="7"/>
  <c r="AX432" i="7"/>
  <c r="AH432" i="7"/>
  <c r="AT430" i="7"/>
  <c r="AD430" i="7"/>
  <c r="AJ429" i="7"/>
  <c r="AP428" i="7"/>
  <c r="AV427" i="7"/>
  <c r="AL426" i="7"/>
  <c r="AR425" i="7"/>
  <c r="AX424" i="7"/>
  <c r="AH424" i="7"/>
  <c r="AT422" i="7"/>
  <c r="AD422" i="7"/>
  <c r="AP420" i="7"/>
  <c r="AV419" i="7"/>
  <c r="AL418" i="7"/>
  <c r="AR417" i="7"/>
  <c r="AX416" i="7"/>
  <c r="AH416" i="7"/>
  <c r="AT414" i="7"/>
  <c r="AD414" i="7"/>
  <c r="AJ413" i="7"/>
  <c r="AP412" i="7"/>
  <c r="AV411" i="7"/>
  <c r="AL410" i="7"/>
  <c r="AX408" i="7"/>
  <c r="AH408" i="7"/>
  <c r="AT406" i="7"/>
  <c r="AD406" i="7"/>
  <c r="AJ405" i="7"/>
  <c r="AP404" i="7"/>
  <c r="AV403" i="7"/>
  <c r="AK402" i="7"/>
  <c r="AI388" i="7"/>
  <c r="AQ376" i="7"/>
  <c r="AS373" i="7"/>
  <c r="AU370" i="7"/>
  <c r="AI356" i="7"/>
  <c r="AQ344" i="7"/>
  <c r="AU338" i="7"/>
  <c r="AI324" i="7"/>
  <c r="AQ312" i="7"/>
  <c r="AF264" i="7"/>
  <c r="AN252" i="7"/>
  <c r="AV240" i="7"/>
  <c r="AH229" i="7"/>
  <c r="AP217" i="7"/>
  <c r="AX205" i="7"/>
  <c r="AC497" i="7"/>
  <c r="AG497" i="7"/>
  <c r="AK497" i="7"/>
  <c r="AO497" i="7"/>
  <c r="AS497" i="7"/>
  <c r="AW497" i="7"/>
  <c r="AE497" i="7"/>
  <c r="AI497" i="7"/>
  <c r="AM497" i="7"/>
  <c r="AQ497" i="7"/>
  <c r="AU497" i="7"/>
  <c r="AC481" i="7"/>
  <c r="AG481" i="7"/>
  <c r="AK481" i="7"/>
  <c r="AO481" i="7"/>
  <c r="AS481" i="7"/>
  <c r="AW481" i="7"/>
  <c r="AD481" i="7"/>
  <c r="AH481" i="7"/>
  <c r="AL481" i="7"/>
  <c r="AP481" i="7"/>
  <c r="AT481" i="7"/>
  <c r="AX481" i="7"/>
  <c r="AE481" i="7"/>
  <c r="AI481" i="7"/>
  <c r="AM481" i="7"/>
  <c r="AQ481" i="7"/>
  <c r="AU481" i="7"/>
  <c r="AC469" i="7"/>
  <c r="AG469" i="7"/>
  <c r="AK469" i="7"/>
  <c r="AO469" i="7"/>
  <c r="AS469" i="7"/>
  <c r="AW469" i="7"/>
  <c r="AD469" i="7"/>
  <c r="AH469" i="7"/>
  <c r="AL469" i="7"/>
  <c r="AP469" i="7"/>
  <c r="AT469" i="7"/>
  <c r="AX469" i="7"/>
  <c r="AE469" i="7"/>
  <c r="AI469" i="7"/>
  <c r="AM469" i="7"/>
  <c r="AQ469" i="7"/>
  <c r="AU469" i="7"/>
  <c r="AC457" i="7"/>
  <c r="AG457" i="7"/>
  <c r="AK457" i="7"/>
  <c r="AO457" i="7"/>
  <c r="AS457" i="7"/>
  <c r="AW457" i="7"/>
  <c r="AD457" i="7"/>
  <c r="AH457" i="7"/>
  <c r="AL457" i="7"/>
  <c r="AP457" i="7"/>
  <c r="AT457" i="7"/>
  <c r="AX457" i="7"/>
  <c r="AE457" i="7"/>
  <c r="AI457" i="7"/>
  <c r="AM457" i="7"/>
  <c r="AQ457" i="7"/>
  <c r="AU457" i="7"/>
  <c r="AC445" i="7"/>
  <c r="AG445" i="7"/>
  <c r="AK445" i="7"/>
  <c r="AO445" i="7"/>
  <c r="AS445" i="7"/>
  <c r="AW445" i="7"/>
  <c r="AD445" i="7"/>
  <c r="AH445" i="7"/>
  <c r="AL445" i="7"/>
  <c r="AP445" i="7"/>
  <c r="AT445" i="7"/>
  <c r="AX445" i="7"/>
  <c r="AE445" i="7"/>
  <c r="AI445" i="7"/>
  <c r="AM445" i="7"/>
  <c r="AQ445" i="7"/>
  <c r="AU445" i="7"/>
  <c r="AC433" i="7"/>
  <c r="AG433" i="7"/>
  <c r="AK433" i="7"/>
  <c r="AO433" i="7"/>
  <c r="AS433" i="7"/>
  <c r="AW433" i="7"/>
  <c r="AD433" i="7"/>
  <c r="AH433" i="7"/>
  <c r="AL433" i="7"/>
  <c r="AP433" i="7"/>
  <c r="AT433" i="7"/>
  <c r="AX433" i="7"/>
  <c r="AE433" i="7"/>
  <c r="AI433" i="7"/>
  <c r="AM433" i="7"/>
  <c r="AQ433" i="7"/>
  <c r="AU433" i="7"/>
  <c r="AC421" i="7"/>
  <c r="AG421" i="7"/>
  <c r="AK421" i="7"/>
  <c r="AO421" i="7"/>
  <c r="AS421" i="7"/>
  <c r="AW421" i="7"/>
  <c r="AD421" i="7"/>
  <c r="AH421" i="7"/>
  <c r="AL421" i="7"/>
  <c r="AP421" i="7"/>
  <c r="AT421" i="7"/>
  <c r="AX421" i="7"/>
  <c r="AE421" i="7"/>
  <c r="AI421" i="7"/>
  <c r="AM421" i="7"/>
  <c r="AQ421" i="7"/>
  <c r="AU421" i="7"/>
  <c r="AC409" i="7"/>
  <c r="AG409" i="7"/>
  <c r="AK409" i="7"/>
  <c r="AO409" i="7"/>
  <c r="AS409" i="7"/>
  <c r="AW409" i="7"/>
  <c r="AD409" i="7"/>
  <c r="AH409" i="7"/>
  <c r="AL409" i="7"/>
  <c r="AP409" i="7"/>
  <c r="AT409" i="7"/>
  <c r="AX409" i="7"/>
  <c r="AE409" i="7"/>
  <c r="AI409" i="7"/>
  <c r="AM409" i="7"/>
  <c r="AQ409" i="7"/>
  <c r="AU409" i="7"/>
  <c r="AD397" i="7"/>
  <c r="AH397" i="7"/>
  <c r="AL397" i="7"/>
  <c r="AP397" i="7"/>
  <c r="AT397" i="7"/>
  <c r="AX397" i="7"/>
  <c r="AE397" i="7"/>
  <c r="AI397" i="7"/>
  <c r="AM397" i="7"/>
  <c r="AQ397" i="7"/>
  <c r="AU397" i="7"/>
  <c r="AF397" i="7"/>
  <c r="AJ397" i="7"/>
  <c r="AN397" i="7"/>
  <c r="AR397" i="7"/>
  <c r="AV397" i="7"/>
  <c r="AG397" i="7"/>
  <c r="AW397" i="7"/>
  <c r="AK397" i="7"/>
  <c r="AO397" i="7"/>
  <c r="AD377" i="7"/>
  <c r="AH377" i="7"/>
  <c r="AL377" i="7"/>
  <c r="AP377" i="7"/>
  <c r="AT377" i="7"/>
  <c r="AX377" i="7"/>
  <c r="AE377" i="7"/>
  <c r="AI377" i="7"/>
  <c r="AM377" i="7"/>
  <c r="AQ377" i="7"/>
  <c r="AU377" i="7"/>
  <c r="AF377" i="7"/>
  <c r="AJ377" i="7"/>
  <c r="AN377" i="7"/>
  <c r="AR377" i="7"/>
  <c r="AV377" i="7"/>
  <c r="AO377" i="7"/>
  <c r="AC377" i="7"/>
  <c r="AS377" i="7"/>
  <c r="AG377" i="7"/>
  <c r="AW377" i="7"/>
  <c r="AD365" i="7"/>
  <c r="AH365" i="7"/>
  <c r="AL365" i="7"/>
  <c r="AP365" i="7"/>
  <c r="AT365" i="7"/>
  <c r="AX365" i="7"/>
  <c r="AE365" i="7"/>
  <c r="AI365" i="7"/>
  <c r="AM365" i="7"/>
  <c r="AQ365" i="7"/>
  <c r="AU365" i="7"/>
  <c r="AF365" i="7"/>
  <c r="AJ365" i="7"/>
  <c r="AN365" i="7"/>
  <c r="AR365" i="7"/>
  <c r="AV365" i="7"/>
  <c r="AG365" i="7"/>
  <c r="AW365" i="7"/>
  <c r="AK365" i="7"/>
  <c r="AO365" i="7"/>
  <c r="AD353" i="7"/>
  <c r="AH353" i="7"/>
  <c r="AL353" i="7"/>
  <c r="AP353" i="7"/>
  <c r="AT353" i="7"/>
  <c r="AX353" i="7"/>
  <c r="AE353" i="7"/>
  <c r="AI353" i="7"/>
  <c r="AM353" i="7"/>
  <c r="AQ353" i="7"/>
  <c r="AU353" i="7"/>
  <c r="AF353" i="7"/>
  <c r="AJ353" i="7"/>
  <c r="AN353" i="7"/>
  <c r="AR353" i="7"/>
  <c r="AV353" i="7"/>
  <c r="AO353" i="7"/>
  <c r="AC353" i="7"/>
  <c r="AS353" i="7"/>
  <c r="AG353" i="7"/>
  <c r="AW353" i="7"/>
  <c r="AD341" i="7"/>
  <c r="AH341" i="7"/>
  <c r="AL341" i="7"/>
  <c r="AP341" i="7"/>
  <c r="AT341" i="7"/>
  <c r="AX341" i="7"/>
  <c r="AE341" i="7"/>
  <c r="AI341" i="7"/>
  <c r="AM341" i="7"/>
  <c r="AQ341" i="7"/>
  <c r="AU341" i="7"/>
  <c r="AF341" i="7"/>
  <c r="AJ341" i="7"/>
  <c r="AN341" i="7"/>
  <c r="AR341" i="7"/>
  <c r="AV341" i="7"/>
  <c r="AG341" i="7"/>
  <c r="AW341" i="7"/>
  <c r="AK341" i="7"/>
  <c r="AO341" i="7"/>
  <c r="AD321" i="7"/>
  <c r="AH321" i="7"/>
  <c r="AL321" i="7"/>
  <c r="AP321" i="7"/>
  <c r="AT321" i="7"/>
  <c r="AX321" i="7"/>
  <c r="AE321" i="7"/>
  <c r="AI321" i="7"/>
  <c r="AM321" i="7"/>
  <c r="AQ321" i="7"/>
  <c r="AU321" i="7"/>
  <c r="AF321" i="7"/>
  <c r="AJ321" i="7"/>
  <c r="AN321" i="7"/>
  <c r="AR321" i="7"/>
  <c r="AV321" i="7"/>
  <c r="AO321" i="7"/>
  <c r="AC321" i="7"/>
  <c r="AS321" i="7"/>
  <c r="AG321" i="7"/>
  <c r="AW321" i="7"/>
  <c r="AE309" i="7"/>
  <c r="AI309" i="7"/>
  <c r="AM309" i="7"/>
  <c r="AC309" i="7"/>
  <c r="AG309" i="7"/>
  <c r="AK309" i="7"/>
  <c r="AO309" i="7"/>
  <c r="AH309" i="7"/>
  <c r="AP309" i="7"/>
  <c r="AT309" i="7"/>
  <c r="AX309" i="7"/>
  <c r="AJ309" i="7"/>
  <c r="AQ309" i="7"/>
  <c r="AU309" i="7"/>
  <c r="AD309" i="7"/>
  <c r="AL309" i="7"/>
  <c r="AR309" i="7"/>
  <c r="AV309" i="7"/>
  <c r="AW309" i="7"/>
  <c r="AF309" i="7"/>
  <c r="AN309" i="7"/>
  <c r="AE297" i="7"/>
  <c r="AI297" i="7"/>
  <c r="AM297" i="7"/>
  <c r="AQ297" i="7"/>
  <c r="AU297" i="7"/>
  <c r="AF297" i="7"/>
  <c r="AJ297" i="7"/>
  <c r="AN297" i="7"/>
  <c r="AR297" i="7"/>
  <c r="AV297" i="7"/>
  <c r="AC297" i="7"/>
  <c r="AG297" i="7"/>
  <c r="AK297" i="7"/>
  <c r="AO297" i="7"/>
  <c r="AS297" i="7"/>
  <c r="AW297" i="7"/>
  <c r="AD297" i="7"/>
  <c r="AT297" i="7"/>
  <c r="AH297" i="7"/>
  <c r="AX297" i="7"/>
  <c r="AL297" i="7"/>
  <c r="AP297" i="7"/>
  <c r="AE285" i="7"/>
  <c r="AI285" i="7"/>
  <c r="AM285" i="7"/>
  <c r="AQ285" i="7"/>
  <c r="AU285" i="7"/>
  <c r="AF285" i="7"/>
  <c r="AJ285" i="7"/>
  <c r="AN285" i="7"/>
  <c r="AR285" i="7"/>
  <c r="AV285" i="7"/>
  <c r="AC285" i="7"/>
  <c r="AG285" i="7"/>
  <c r="AK285" i="7"/>
  <c r="AO285" i="7"/>
  <c r="AS285" i="7"/>
  <c r="AW285" i="7"/>
  <c r="AL285" i="7"/>
  <c r="AP285" i="7"/>
  <c r="AD285" i="7"/>
  <c r="AT285" i="7"/>
  <c r="AH285" i="7"/>
  <c r="AX285" i="7"/>
  <c r="AE265" i="7"/>
  <c r="AI265" i="7"/>
  <c r="AM265" i="7"/>
  <c r="AQ265" i="7"/>
  <c r="AU265" i="7"/>
  <c r="AF265" i="7"/>
  <c r="AJ265" i="7"/>
  <c r="AN265" i="7"/>
  <c r="AR265" i="7"/>
  <c r="AV265" i="7"/>
  <c r="AC265" i="7"/>
  <c r="AG265" i="7"/>
  <c r="AK265" i="7"/>
  <c r="AO265" i="7"/>
  <c r="AS265" i="7"/>
  <c r="AW265" i="7"/>
  <c r="AD265" i="7"/>
  <c r="AT265" i="7"/>
  <c r="AH265" i="7"/>
  <c r="AX265" i="7"/>
  <c r="AL265" i="7"/>
  <c r="AP265" i="7"/>
  <c r="AE253" i="7"/>
  <c r="AI253" i="7"/>
  <c r="AM253" i="7"/>
  <c r="AQ253" i="7"/>
  <c r="AU253" i="7"/>
  <c r="AF253" i="7"/>
  <c r="AJ253" i="7"/>
  <c r="AN253" i="7"/>
  <c r="AR253" i="7"/>
  <c r="AV253" i="7"/>
  <c r="AC253" i="7"/>
  <c r="AG253" i="7"/>
  <c r="AK253" i="7"/>
  <c r="AO253" i="7"/>
  <c r="AS253" i="7"/>
  <c r="AW253" i="7"/>
  <c r="AL253" i="7"/>
  <c r="AP253" i="7"/>
  <c r="AD253" i="7"/>
  <c r="AT253" i="7"/>
  <c r="AH253" i="7"/>
  <c r="AX253" i="7"/>
  <c r="AE241" i="7"/>
  <c r="AI241" i="7"/>
  <c r="AM241" i="7"/>
  <c r="AQ241" i="7"/>
  <c r="AU241" i="7"/>
  <c r="AF241" i="7"/>
  <c r="AJ241" i="7"/>
  <c r="AN241" i="7"/>
  <c r="AR241" i="7"/>
  <c r="AV241" i="7"/>
  <c r="AC241" i="7"/>
  <c r="AG241" i="7"/>
  <c r="AK241" i="7"/>
  <c r="AO241" i="7"/>
  <c r="AS241" i="7"/>
  <c r="AW241" i="7"/>
  <c r="AD241" i="7"/>
  <c r="AT241" i="7"/>
  <c r="AH241" i="7"/>
  <c r="AX241" i="7"/>
  <c r="AL241" i="7"/>
  <c r="AP241" i="7"/>
  <c r="AE225" i="7"/>
  <c r="AI225" i="7"/>
  <c r="AM225" i="7"/>
  <c r="AQ225" i="7"/>
  <c r="AU225" i="7"/>
  <c r="AF225" i="7"/>
  <c r="AJ225" i="7"/>
  <c r="AN225" i="7"/>
  <c r="AR225" i="7"/>
  <c r="AV225" i="7"/>
  <c r="AC225" i="7"/>
  <c r="AG225" i="7"/>
  <c r="AK225" i="7"/>
  <c r="AO225" i="7"/>
  <c r="AS225" i="7"/>
  <c r="AW225" i="7"/>
  <c r="AD225" i="7"/>
  <c r="AT225" i="7"/>
  <c r="AH225" i="7"/>
  <c r="AX225" i="7"/>
  <c r="AL225" i="7"/>
  <c r="AP225" i="7"/>
  <c r="AE209" i="7"/>
  <c r="AI209" i="7"/>
  <c r="AM209" i="7"/>
  <c r="AQ209" i="7"/>
  <c r="AU209" i="7"/>
  <c r="AF209" i="7"/>
  <c r="AJ209" i="7"/>
  <c r="AN209" i="7"/>
  <c r="AR209" i="7"/>
  <c r="AV209" i="7"/>
  <c r="AC209" i="7"/>
  <c r="AG209" i="7"/>
  <c r="AK209" i="7"/>
  <c r="AO209" i="7"/>
  <c r="AS209" i="7"/>
  <c r="AW209" i="7"/>
  <c r="AD209" i="7"/>
  <c r="AT209" i="7"/>
  <c r="AH209" i="7"/>
  <c r="AX209" i="7"/>
  <c r="AL209" i="7"/>
  <c r="AP209" i="7"/>
  <c r="AE197" i="7"/>
  <c r="AI197" i="7"/>
  <c r="AM197" i="7"/>
  <c r="AQ197" i="7"/>
  <c r="AU197" i="7"/>
  <c r="AF197" i="7"/>
  <c r="AJ197" i="7"/>
  <c r="AN197" i="7"/>
  <c r="AR197" i="7"/>
  <c r="AV197" i="7"/>
  <c r="AC197" i="7"/>
  <c r="AG197" i="7"/>
  <c r="AK197" i="7"/>
  <c r="AO197" i="7"/>
  <c r="AS197" i="7"/>
  <c r="AW197" i="7"/>
  <c r="AH197" i="7"/>
  <c r="AX197" i="7"/>
  <c r="AL197" i="7"/>
  <c r="AP197" i="7"/>
  <c r="AD197" i="7"/>
  <c r="AT197" i="7"/>
  <c r="AE185" i="7"/>
  <c r="AI185" i="7"/>
  <c r="AM185" i="7"/>
  <c r="AQ185" i="7"/>
  <c r="AU185" i="7"/>
  <c r="AF185" i="7"/>
  <c r="AJ185" i="7"/>
  <c r="AN185" i="7"/>
  <c r="AR185" i="7"/>
  <c r="AV185" i="7"/>
  <c r="AC185" i="7"/>
  <c r="AG185" i="7"/>
  <c r="AK185" i="7"/>
  <c r="AO185" i="7"/>
  <c r="AS185" i="7"/>
  <c r="AW185" i="7"/>
  <c r="AP185" i="7"/>
  <c r="AD185" i="7"/>
  <c r="AT185" i="7"/>
  <c r="AH185" i="7"/>
  <c r="AX185" i="7"/>
  <c r="AL185" i="7"/>
  <c r="AE173" i="7"/>
  <c r="AI173" i="7"/>
  <c r="AM173" i="7"/>
  <c r="AQ173" i="7"/>
  <c r="AU173" i="7"/>
  <c r="AF173" i="7"/>
  <c r="AJ173" i="7"/>
  <c r="AN173" i="7"/>
  <c r="AR173" i="7"/>
  <c r="AV173" i="7"/>
  <c r="AC173" i="7"/>
  <c r="AG173" i="7"/>
  <c r="AK173" i="7"/>
  <c r="AO173" i="7"/>
  <c r="AS173" i="7"/>
  <c r="AW173" i="7"/>
  <c r="AH173" i="7"/>
  <c r="AX173" i="7"/>
  <c r="AL173" i="7"/>
  <c r="AP173" i="7"/>
  <c r="AT173" i="7"/>
  <c r="AE161" i="7"/>
  <c r="AI161" i="7"/>
  <c r="AM161" i="7"/>
  <c r="AQ161" i="7"/>
  <c r="AU161" i="7"/>
  <c r="AF161" i="7"/>
  <c r="AJ161" i="7"/>
  <c r="AN161" i="7"/>
  <c r="AR161" i="7"/>
  <c r="AV161" i="7"/>
  <c r="AC161" i="7"/>
  <c r="AG161" i="7"/>
  <c r="AK161" i="7"/>
  <c r="AO161" i="7"/>
  <c r="AS161" i="7"/>
  <c r="AW161" i="7"/>
  <c r="AP161" i="7"/>
  <c r="AD161" i="7"/>
  <c r="AT161" i="7"/>
  <c r="AH161" i="7"/>
  <c r="AX161" i="7"/>
  <c r="AF145" i="7"/>
  <c r="AJ145" i="7"/>
  <c r="AN145" i="7"/>
  <c r="AR145" i="7"/>
  <c r="AV145" i="7"/>
  <c r="AC145" i="7"/>
  <c r="AG145" i="7"/>
  <c r="AK145" i="7"/>
  <c r="AO145" i="7"/>
  <c r="AS145" i="7"/>
  <c r="AW145" i="7"/>
  <c r="AD145" i="7"/>
  <c r="AH145" i="7"/>
  <c r="AL145" i="7"/>
  <c r="AP145" i="7"/>
  <c r="AT145" i="7"/>
  <c r="AX145" i="7"/>
  <c r="AQ145" i="7"/>
  <c r="AE145" i="7"/>
  <c r="AU145" i="7"/>
  <c r="AI145" i="7"/>
  <c r="AM145" i="7"/>
  <c r="AF129" i="7"/>
  <c r="AJ129" i="7"/>
  <c r="AN129" i="7"/>
  <c r="AR129" i="7"/>
  <c r="AV129" i="7"/>
  <c r="AC129" i="7"/>
  <c r="AG129" i="7"/>
  <c r="AK129" i="7"/>
  <c r="AO129" i="7"/>
  <c r="AS129" i="7"/>
  <c r="AW129" i="7"/>
  <c r="AD129" i="7"/>
  <c r="AH129" i="7"/>
  <c r="AL129" i="7"/>
  <c r="AP129" i="7"/>
  <c r="AT129" i="7"/>
  <c r="AX129" i="7"/>
  <c r="AQ129" i="7"/>
  <c r="AE129" i="7"/>
  <c r="AU129" i="7"/>
  <c r="AI129" i="7"/>
  <c r="AM129" i="7"/>
  <c r="AF117" i="7"/>
  <c r="AJ117" i="7"/>
  <c r="AN117" i="7"/>
  <c r="AR117" i="7"/>
  <c r="AV117" i="7"/>
  <c r="AC117" i="7"/>
  <c r="AG117" i="7"/>
  <c r="AK117" i="7"/>
  <c r="AO117" i="7"/>
  <c r="AS117" i="7"/>
  <c r="AW117" i="7"/>
  <c r="AD117" i="7"/>
  <c r="AH117" i="7"/>
  <c r="AL117" i="7"/>
  <c r="AP117" i="7"/>
  <c r="AT117" i="7"/>
  <c r="AX117" i="7"/>
  <c r="AI117" i="7"/>
  <c r="AM117" i="7"/>
  <c r="AQ117" i="7"/>
  <c r="AE117" i="7"/>
  <c r="AU117" i="7"/>
  <c r="AF105" i="7"/>
  <c r="AJ105" i="7"/>
  <c r="AN105" i="7"/>
  <c r="AR105" i="7"/>
  <c r="AV105" i="7"/>
  <c r="AC105" i="7"/>
  <c r="AG105" i="7"/>
  <c r="AK105" i="7"/>
  <c r="AO105" i="7"/>
  <c r="AS105" i="7"/>
  <c r="AW105" i="7"/>
  <c r="AD105" i="7"/>
  <c r="AH105" i="7"/>
  <c r="AL105" i="7"/>
  <c r="AP105" i="7"/>
  <c r="AT105" i="7"/>
  <c r="AX105" i="7"/>
  <c r="AQ105" i="7"/>
  <c r="AE105" i="7"/>
  <c r="AU105" i="7"/>
  <c r="AI105" i="7"/>
  <c r="AM105" i="7"/>
  <c r="AC89" i="7"/>
  <c r="AG89" i="7"/>
  <c r="AK89" i="7"/>
  <c r="AO89" i="7"/>
  <c r="AS89" i="7"/>
  <c r="AW89" i="7"/>
  <c r="AD89" i="7"/>
  <c r="AH89" i="7"/>
  <c r="AL89" i="7"/>
  <c r="AP89" i="7"/>
  <c r="AT89" i="7"/>
  <c r="AX89" i="7"/>
  <c r="AE89" i="7"/>
  <c r="AI89" i="7"/>
  <c r="AM89" i="7"/>
  <c r="AQ89" i="7"/>
  <c r="AU89" i="7"/>
  <c r="AR89" i="7"/>
  <c r="AF89" i="7"/>
  <c r="AV89" i="7"/>
  <c r="AJ89" i="7"/>
  <c r="AN89" i="7"/>
  <c r="AF77" i="7"/>
  <c r="AJ77" i="7"/>
  <c r="AN77" i="7"/>
  <c r="AR77" i="7"/>
  <c r="AV77" i="7"/>
  <c r="AC77" i="7"/>
  <c r="AG77" i="7"/>
  <c r="AK77" i="7"/>
  <c r="AO77" i="7"/>
  <c r="AS77" i="7"/>
  <c r="AW77" i="7"/>
  <c r="AE77" i="7"/>
  <c r="AM77" i="7"/>
  <c r="AU77" i="7"/>
  <c r="AH77" i="7"/>
  <c r="AP77" i="7"/>
  <c r="AX77" i="7"/>
  <c r="AI77" i="7"/>
  <c r="AQ77" i="7"/>
  <c r="AL77" i="7"/>
  <c r="AT77" i="7"/>
  <c r="AD77" i="7"/>
  <c r="AF65" i="7"/>
  <c r="AJ65" i="7"/>
  <c r="AN65" i="7"/>
  <c r="AR65" i="7"/>
  <c r="AV65" i="7"/>
  <c r="AE65" i="7"/>
  <c r="AK65" i="7"/>
  <c r="AP65" i="7"/>
  <c r="AU65" i="7"/>
  <c r="AG65" i="7"/>
  <c r="AL65" i="7"/>
  <c r="AQ65" i="7"/>
  <c r="AW65" i="7"/>
  <c r="AC65" i="7"/>
  <c r="AH65" i="7"/>
  <c r="AO65" i="7"/>
  <c r="AD65" i="7"/>
  <c r="AS65" i="7"/>
  <c r="AI65" i="7"/>
  <c r="AT65" i="7"/>
  <c r="AM65" i="7"/>
  <c r="AX65" i="7"/>
  <c r="AF53" i="7"/>
  <c r="AJ53" i="7"/>
  <c r="AN53" i="7"/>
  <c r="AR53" i="7"/>
  <c r="AV53" i="7"/>
  <c r="AC53" i="7"/>
  <c r="AH53" i="7"/>
  <c r="AM53" i="7"/>
  <c r="AS53" i="7"/>
  <c r="AX53" i="7"/>
  <c r="AD53" i="7"/>
  <c r="AI53" i="7"/>
  <c r="AO53" i="7"/>
  <c r="AT53" i="7"/>
  <c r="AE53" i="7"/>
  <c r="AK53" i="7"/>
  <c r="AP53" i="7"/>
  <c r="AU53" i="7"/>
  <c r="AG53" i="7"/>
  <c r="AL53" i="7"/>
  <c r="AQ53" i="7"/>
  <c r="AW53" i="7"/>
  <c r="AD37" i="7"/>
  <c r="AH37" i="7"/>
  <c r="AL37" i="7"/>
  <c r="AP37" i="7"/>
  <c r="AT37" i="7"/>
  <c r="AX37" i="7"/>
  <c r="AE37" i="7"/>
  <c r="AI37" i="7"/>
  <c r="AM37" i="7"/>
  <c r="AQ37" i="7"/>
  <c r="AU37" i="7"/>
  <c r="AF37" i="7"/>
  <c r="AJ37" i="7"/>
  <c r="AN37" i="7"/>
  <c r="AR37" i="7"/>
  <c r="AV37" i="7"/>
  <c r="AG37" i="7"/>
  <c r="AW37" i="7"/>
  <c r="AK37" i="7"/>
  <c r="AO37" i="7"/>
  <c r="AS37" i="7"/>
  <c r="AC37" i="7"/>
  <c r="AD25" i="7"/>
  <c r="AH25" i="7"/>
  <c r="AL25" i="7"/>
  <c r="AP25" i="7"/>
  <c r="AT25" i="7"/>
  <c r="AX25" i="7"/>
  <c r="AE25" i="7"/>
  <c r="AI25" i="7"/>
  <c r="AM25" i="7"/>
  <c r="AQ25" i="7"/>
  <c r="AU25" i="7"/>
  <c r="AF25" i="7"/>
  <c r="AJ25" i="7"/>
  <c r="AN25" i="7"/>
  <c r="AR25" i="7"/>
  <c r="AV25" i="7"/>
  <c r="AG25" i="7"/>
  <c r="AW25" i="7"/>
  <c r="AK25" i="7"/>
  <c r="AO25" i="7"/>
  <c r="AC25" i="7"/>
  <c r="AS25" i="7"/>
  <c r="AE5" i="7"/>
  <c r="AI5" i="7"/>
  <c r="AM5" i="7"/>
  <c r="AQ5" i="7"/>
  <c r="AU5" i="7"/>
  <c r="AF5" i="7"/>
  <c r="AJ5" i="7"/>
  <c r="AN5" i="7"/>
  <c r="AR5" i="7"/>
  <c r="AV5" i="7"/>
  <c r="AC5" i="7"/>
  <c r="AG5" i="7"/>
  <c r="AK5" i="7"/>
  <c r="AO5" i="7"/>
  <c r="AS5" i="7"/>
  <c r="AW5" i="7"/>
  <c r="AP5" i="7"/>
  <c r="AD5" i="7"/>
  <c r="AT5" i="7"/>
  <c r="AH5" i="7"/>
  <c r="AX5" i="7"/>
  <c r="AL5" i="7"/>
  <c r="AW501" i="7"/>
  <c r="AO501" i="7"/>
  <c r="AG501" i="7"/>
  <c r="AC501" i="7"/>
  <c r="AN493" i="7"/>
  <c r="AV473" i="7"/>
  <c r="AF473" i="7"/>
  <c r="AN469" i="7"/>
  <c r="AV465" i="7"/>
  <c r="AF465" i="7"/>
  <c r="AV457" i="7"/>
  <c r="AN437" i="7"/>
  <c r="AV417" i="7"/>
  <c r="AF417" i="7"/>
  <c r="AC357" i="7"/>
  <c r="AC325" i="7"/>
  <c r="AC495" i="7"/>
  <c r="AG495" i="7"/>
  <c r="AK495" i="7"/>
  <c r="AO495" i="7"/>
  <c r="AS495" i="7"/>
  <c r="AW495" i="7"/>
  <c r="AD495" i="7"/>
  <c r="AH495" i="7"/>
  <c r="AE495" i="7"/>
  <c r="AI495" i="7"/>
  <c r="AM495" i="7"/>
  <c r="AQ495" i="7"/>
  <c r="AU495" i="7"/>
  <c r="AC491" i="7"/>
  <c r="AG491" i="7"/>
  <c r="AK491" i="7"/>
  <c r="AO491" i="7"/>
  <c r="AS491" i="7"/>
  <c r="AW491" i="7"/>
  <c r="AD491" i="7"/>
  <c r="AH491" i="7"/>
  <c r="AL491" i="7"/>
  <c r="AP491" i="7"/>
  <c r="AT491" i="7"/>
  <c r="AX491" i="7"/>
  <c r="AE491" i="7"/>
  <c r="AI491" i="7"/>
  <c r="AM491" i="7"/>
  <c r="AQ491" i="7"/>
  <c r="AU491" i="7"/>
  <c r="AC487" i="7"/>
  <c r="AG487" i="7"/>
  <c r="AK487" i="7"/>
  <c r="AO487" i="7"/>
  <c r="AS487" i="7"/>
  <c r="AW487" i="7"/>
  <c r="AD487" i="7"/>
  <c r="AH487" i="7"/>
  <c r="AL487" i="7"/>
  <c r="AP487" i="7"/>
  <c r="AT487" i="7"/>
  <c r="AX487" i="7"/>
  <c r="AE487" i="7"/>
  <c r="AI487" i="7"/>
  <c r="AM487" i="7"/>
  <c r="AQ487" i="7"/>
  <c r="AU487" i="7"/>
  <c r="AC483" i="7"/>
  <c r="AG483" i="7"/>
  <c r="AK483" i="7"/>
  <c r="AO483" i="7"/>
  <c r="AS483" i="7"/>
  <c r="AW483" i="7"/>
  <c r="AD483" i="7"/>
  <c r="AH483" i="7"/>
  <c r="AL483" i="7"/>
  <c r="AP483" i="7"/>
  <c r="AT483" i="7"/>
  <c r="AX483" i="7"/>
  <c r="AE483" i="7"/>
  <c r="AI483" i="7"/>
  <c r="AM483" i="7"/>
  <c r="AQ483" i="7"/>
  <c r="AU483" i="7"/>
  <c r="AC479" i="7"/>
  <c r="AG479" i="7"/>
  <c r="AK479" i="7"/>
  <c r="AO479" i="7"/>
  <c r="AS479" i="7"/>
  <c r="AW479" i="7"/>
  <c r="AD479" i="7"/>
  <c r="AH479" i="7"/>
  <c r="AL479" i="7"/>
  <c r="AP479" i="7"/>
  <c r="AT479" i="7"/>
  <c r="AX479" i="7"/>
  <c r="AE479" i="7"/>
  <c r="AI479" i="7"/>
  <c r="AM479" i="7"/>
  <c r="AQ479" i="7"/>
  <c r="AU479" i="7"/>
  <c r="AC475" i="7"/>
  <c r="AG475" i="7"/>
  <c r="AK475" i="7"/>
  <c r="AO475" i="7"/>
  <c r="AS475" i="7"/>
  <c r="AW475" i="7"/>
  <c r="AD475" i="7"/>
  <c r="AH475" i="7"/>
  <c r="AL475" i="7"/>
  <c r="AP475" i="7"/>
  <c r="AT475" i="7"/>
  <c r="AX475" i="7"/>
  <c r="AE475" i="7"/>
  <c r="AI475" i="7"/>
  <c r="AM475" i="7"/>
  <c r="AQ475" i="7"/>
  <c r="AU475" i="7"/>
  <c r="AC471" i="7"/>
  <c r="AG471" i="7"/>
  <c r="AK471" i="7"/>
  <c r="AO471" i="7"/>
  <c r="AS471" i="7"/>
  <c r="AW471" i="7"/>
  <c r="AD471" i="7"/>
  <c r="AH471" i="7"/>
  <c r="AL471" i="7"/>
  <c r="AP471" i="7"/>
  <c r="AT471" i="7"/>
  <c r="AX471" i="7"/>
  <c r="AE471" i="7"/>
  <c r="AI471" i="7"/>
  <c r="AM471" i="7"/>
  <c r="AQ471" i="7"/>
  <c r="AU471" i="7"/>
  <c r="AC467" i="7"/>
  <c r="AG467" i="7"/>
  <c r="AK467" i="7"/>
  <c r="AO467" i="7"/>
  <c r="AS467" i="7"/>
  <c r="AW467" i="7"/>
  <c r="AD467" i="7"/>
  <c r="AH467" i="7"/>
  <c r="AL467" i="7"/>
  <c r="AP467" i="7"/>
  <c r="AT467" i="7"/>
  <c r="AX467" i="7"/>
  <c r="AE467" i="7"/>
  <c r="AI467" i="7"/>
  <c r="AM467" i="7"/>
  <c r="AQ467" i="7"/>
  <c r="AU467" i="7"/>
  <c r="AC463" i="7"/>
  <c r="AG463" i="7"/>
  <c r="AK463" i="7"/>
  <c r="AO463" i="7"/>
  <c r="AS463" i="7"/>
  <c r="AW463" i="7"/>
  <c r="AD463" i="7"/>
  <c r="AH463" i="7"/>
  <c r="AL463" i="7"/>
  <c r="AP463" i="7"/>
  <c r="AT463" i="7"/>
  <c r="AX463" i="7"/>
  <c r="AE463" i="7"/>
  <c r="AI463" i="7"/>
  <c r="AM463" i="7"/>
  <c r="AQ463" i="7"/>
  <c r="AU463" i="7"/>
  <c r="AC459" i="7"/>
  <c r="AG459" i="7"/>
  <c r="AK459" i="7"/>
  <c r="AO459" i="7"/>
  <c r="AS459" i="7"/>
  <c r="AW459" i="7"/>
  <c r="AD459" i="7"/>
  <c r="AH459" i="7"/>
  <c r="AL459" i="7"/>
  <c r="AP459" i="7"/>
  <c r="AT459" i="7"/>
  <c r="AX459" i="7"/>
  <c r="AE459" i="7"/>
  <c r="AI459" i="7"/>
  <c r="AM459" i="7"/>
  <c r="AQ459" i="7"/>
  <c r="AU459" i="7"/>
  <c r="AC455" i="7"/>
  <c r="AG455" i="7"/>
  <c r="AK455" i="7"/>
  <c r="AO455" i="7"/>
  <c r="AS455" i="7"/>
  <c r="AW455" i="7"/>
  <c r="AD455" i="7"/>
  <c r="AH455" i="7"/>
  <c r="AL455" i="7"/>
  <c r="AP455" i="7"/>
  <c r="AT455" i="7"/>
  <c r="AX455" i="7"/>
  <c r="AE455" i="7"/>
  <c r="AI455" i="7"/>
  <c r="AM455" i="7"/>
  <c r="AQ455" i="7"/>
  <c r="AU455" i="7"/>
  <c r="AC451" i="7"/>
  <c r="AG451" i="7"/>
  <c r="AK451" i="7"/>
  <c r="AO451" i="7"/>
  <c r="AS451" i="7"/>
  <c r="AW451" i="7"/>
  <c r="AD451" i="7"/>
  <c r="AH451" i="7"/>
  <c r="AL451" i="7"/>
  <c r="AP451" i="7"/>
  <c r="AT451" i="7"/>
  <c r="AX451" i="7"/>
  <c r="AE451" i="7"/>
  <c r="AI451" i="7"/>
  <c r="AM451" i="7"/>
  <c r="AQ451" i="7"/>
  <c r="AU451" i="7"/>
  <c r="AC447" i="7"/>
  <c r="AG447" i="7"/>
  <c r="AK447" i="7"/>
  <c r="AO447" i="7"/>
  <c r="AS447" i="7"/>
  <c r="AW447" i="7"/>
  <c r="AD447" i="7"/>
  <c r="AH447" i="7"/>
  <c r="AL447" i="7"/>
  <c r="AP447" i="7"/>
  <c r="AT447" i="7"/>
  <c r="AX447" i="7"/>
  <c r="AE447" i="7"/>
  <c r="AI447" i="7"/>
  <c r="AM447" i="7"/>
  <c r="AQ447" i="7"/>
  <c r="AU447" i="7"/>
  <c r="AC443" i="7"/>
  <c r="AG443" i="7"/>
  <c r="AK443" i="7"/>
  <c r="AO443" i="7"/>
  <c r="AS443" i="7"/>
  <c r="AW443" i="7"/>
  <c r="AD443" i="7"/>
  <c r="AH443" i="7"/>
  <c r="AL443" i="7"/>
  <c r="AP443" i="7"/>
  <c r="AT443" i="7"/>
  <c r="AX443" i="7"/>
  <c r="AE443" i="7"/>
  <c r="AI443" i="7"/>
  <c r="AM443" i="7"/>
  <c r="AQ443" i="7"/>
  <c r="AU443" i="7"/>
  <c r="AC439" i="7"/>
  <c r="AG439" i="7"/>
  <c r="AK439" i="7"/>
  <c r="AO439" i="7"/>
  <c r="AS439" i="7"/>
  <c r="AW439" i="7"/>
  <c r="AD439" i="7"/>
  <c r="AH439" i="7"/>
  <c r="AL439" i="7"/>
  <c r="AP439" i="7"/>
  <c r="AT439" i="7"/>
  <c r="AX439" i="7"/>
  <c r="AE439" i="7"/>
  <c r="AI439" i="7"/>
  <c r="AM439" i="7"/>
  <c r="AQ439" i="7"/>
  <c r="AU439" i="7"/>
  <c r="AC435" i="7"/>
  <c r="AG435" i="7"/>
  <c r="AK435" i="7"/>
  <c r="AO435" i="7"/>
  <c r="AS435" i="7"/>
  <c r="AW435" i="7"/>
  <c r="AD435" i="7"/>
  <c r="AH435" i="7"/>
  <c r="AL435" i="7"/>
  <c r="AP435" i="7"/>
  <c r="AT435" i="7"/>
  <c r="AX435" i="7"/>
  <c r="AE435" i="7"/>
  <c r="AI435" i="7"/>
  <c r="AM435" i="7"/>
  <c r="AQ435" i="7"/>
  <c r="AU435" i="7"/>
  <c r="AC431" i="7"/>
  <c r="AG431" i="7"/>
  <c r="AK431" i="7"/>
  <c r="AO431" i="7"/>
  <c r="AS431" i="7"/>
  <c r="AW431" i="7"/>
  <c r="AD431" i="7"/>
  <c r="AH431" i="7"/>
  <c r="AL431" i="7"/>
  <c r="AP431" i="7"/>
  <c r="AT431" i="7"/>
  <c r="AX431" i="7"/>
  <c r="AE431" i="7"/>
  <c r="AI431" i="7"/>
  <c r="AM431" i="7"/>
  <c r="AQ431" i="7"/>
  <c r="AU431" i="7"/>
  <c r="AC427" i="7"/>
  <c r="AG427" i="7"/>
  <c r="AK427" i="7"/>
  <c r="AO427" i="7"/>
  <c r="AS427" i="7"/>
  <c r="AW427" i="7"/>
  <c r="AD427" i="7"/>
  <c r="AH427" i="7"/>
  <c r="AL427" i="7"/>
  <c r="AP427" i="7"/>
  <c r="AT427" i="7"/>
  <c r="AX427" i="7"/>
  <c r="AE427" i="7"/>
  <c r="AI427" i="7"/>
  <c r="AM427" i="7"/>
  <c r="AQ427" i="7"/>
  <c r="AU427" i="7"/>
  <c r="AC423" i="7"/>
  <c r="AG423" i="7"/>
  <c r="AK423" i="7"/>
  <c r="AO423" i="7"/>
  <c r="AS423" i="7"/>
  <c r="AW423" i="7"/>
  <c r="AD423" i="7"/>
  <c r="AH423" i="7"/>
  <c r="AL423" i="7"/>
  <c r="AP423" i="7"/>
  <c r="AT423" i="7"/>
  <c r="AX423" i="7"/>
  <c r="AE423" i="7"/>
  <c r="AI423" i="7"/>
  <c r="AM423" i="7"/>
  <c r="AQ423" i="7"/>
  <c r="AU423" i="7"/>
  <c r="AC419" i="7"/>
  <c r="AG419" i="7"/>
  <c r="AK419" i="7"/>
  <c r="AO419" i="7"/>
  <c r="AS419" i="7"/>
  <c r="AW419" i="7"/>
  <c r="AD419" i="7"/>
  <c r="AH419" i="7"/>
  <c r="AL419" i="7"/>
  <c r="AP419" i="7"/>
  <c r="AT419" i="7"/>
  <c r="AX419" i="7"/>
  <c r="AE419" i="7"/>
  <c r="AI419" i="7"/>
  <c r="AM419" i="7"/>
  <c r="AQ419" i="7"/>
  <c r="AU419" i="7"/>
  <c r="AC415" i="7"/>
  <c r="AG415" i="7"/>
  <c r="AK415" i="7"/>
  <c r="AO415" i="7"/>
  <c r="AS415" i="7"/>
  <c r="AW415" i="7"/>
  <c r="AD415" i="7"/>
  <c r="AH415" i="7"/>
  <c r="AL415" i="7"/>
  <c r="AP415" i="7"/>
  <c r="AT415" i="7"/>
  <c r="AX415" i="7"/>
  <c r="AE415" i="7"/>
  <c r="AI415" i="7"/>
  <c r="AM415" i="7"/>
  <c r="AQ415" i="7"/>
  <c r="AU415" i="7"/>
  <c r="AC411" i="7"/>
  <c r="AG411" i="7"/>
  <c r="AK411" i="7"/>
  <c r="AO411" i="7"/>
  <c r="AS411" i="7"/>
  <c r="AW411" i="7"/>
  <c r="AD411" i="7"/>
  <c r="AH411" i="7"/>
  <c r="AL411" i="7"/>
  <c r="AP411" i="7"/>
  <c r="AT411" i="7"/>
  <c r="AX411" i="7"/>
  <c r="AE411" i="7"/>
  <c r="AI411" i="7"/>
  <c r="AM411" i="7"/>
  <c r="AQ411" i="7"/>
  <c r="AU411" i="7"/>
  <c r="AC407" i="7"/>
  <c r="AG407" i="7"/>
  <c r="AK407" i="7"/>
  <c r="AO407" i="7"/>
  <c r="AS407" i="7"/>
  <c r="AW407" i="7"/>
  <c r="AD407" i="7"/>
  <c r="AH407" i="7"/>
  <c r="AL407" i="7"/>
  <c r="AP407" i="7"/>
  <c r="AT407" i="7"/>
  <c r="AX407" i="7"/>
  <c r="AE407" i="7"/>
  <c r="AI407" i="7"/>
  <c r="AM407" i="7"/>
  <c r="AQ407" i="7"/>
  <c r="AU407" i="7"/>
  <c r="AC403" i="7"/>
  <c r="AG403" i="7"/>
  <c r="AK403" i="7"/>
  <c r="AO403" i="7"/>
  <c r="AS403" i="7"/>
  <c r="AW403" i="7"/>
  <c r="AD403" i="7"/>
  <c r="AH403" i="7"/>
  <c r="AL403" i="7"/>
  <c r="AP403" i="7"/>
  <c r="AT403" i="7"/>
  <c r="AX403" i="7"/>
  <c r="AE403" i="7"/>
  <c r="AI403" i="7"/>
  <c r="AM403" i="7"/>
  <c r="AQ403" i="7"/>
  <c r="AU403" i="7"/>
  <c r="AD399" i="7"/>
  <c r="AH399" i="7"/>
  <c r="AL399" i="7"/>
  <c r="AP399" i="7"/>
  <c r="AT399" i="7"/>
  <c r="AX399" i="7"/>
  <c r="AE399" i="7"/>
  <c r="AI399" i="7"/>
  <c r="AM399" i="7"/>
  <c r="AQ399" i="7"/>
  <c r="AU399" i="7"/>
  <c r="AF399" i="7"/>
  <c r="AJ399" i="7"/>
  <c r="AN399" i="7"/>
  <c r="AR399" i="7"/>
  <c r="AV399" i="7"/>
  <c r="AK399" i="7"/>
  <c r="AO399" i="7"/>
  <c r="AC399" i="7"/>
  <c r="AS399" i="7"/>
  <c r="AD395" i="7"/>
  <c r="AH395" i="7"/>
  <c r="AL395" i="7"/>
  <c r="AP395" i="7"/>
  <c r="AT395" i="7"/>
  <c r="AX395" i="7"/>
  <c r="AE395" i="7"/>
  <c r="AI395" i="7"/>
  <c r="AM395" i="7"/>
  <c r="AQ395" i="7"/>
  <c r="AU395" i="7"/>
  <c r="AF395" i="7"/>
  <c r="AJ395" i="7"/>
  <c r="AN395" i="7"/>
  <c r="AR395" i="7"/>
  <c r="AV395" i="7"/>
  <c r="AC395" i="7"/>
  <c r="AS395" i="7"/>
  <c r="AG395" i="7"/>
  <c r="AW395" i="7"/>
  <c r="AK395" i="7"/>
  <c r="AD391" i="7"/>
  <c r="AH391" i="7"/>
  <c r="AL391" i="7"/>
  <c r="AP391" i="7"/>
  <c r="AT391" i="7"/>
  <c r="AX391" i="7"/>
  <c r="AE391" i="7"/>
  <c r="AI391" i="7"/>
  <c r="AM391" i="7"/>
  <c r="AQ391" i="7"/>
  <c r="AU391" i="7"/>
  <c r="AF391" i="7"/>
  <c r="AJ391" i="7"/>
  <c r="AN391" i="7"/>
  <c r="AR391" i="7"/>
  <c r="AV391" i="7"/>
  <c r="AK391" i="7"/>
  <c r="AO391" i="7"/>
  <c r="AC391" i="7"/>
  <c r="AS391" i="7"/>
  <c r="AD387" i="7"/>
  <c r="AH387" i="7"/>
  <c r="AL387" i="7"/>
  <c r="AP387" i="7"/>
  <c r="AT387" i="7"/>
  <c r="AX387" i="7"/>
  <c r="AE387" i="7"/>
  <c r="AI387" i="7"/>
  <c r="AM387" i="7"/>
  <c r="AQ387" i="7"/>
  <c r="AU387" i="7"/>
  <c r="AF387" i="7"/>
  <c r="AJ387" i="7"/>
  <c r="AN387" i="7"/>
  <c r="AR387" i="7"/>
  <c r="AV387" i="7"/>
  <c r="AC387" i="7"/>
  <c r="AS387" i="7"/>
  <c r="AG387" i="7"/>
  <c r="AW387" i="7"/>
  <c r="AK387" i="7"/>
  <c r="AD383" i="7"/>
  <c r="AH383" i="7"/>
  <c r="AL383" i="7"/>
  <c r="AP383" i="7"/>
  <c r="AT383" i="7"/>
  <c r="AX383" i="7"/>
  <c r="AE383" i="7"/>
  <c r="AI383" i="7"/>
  <c r="AM383" i="7"/>
  <c r="AQ383" i="7"/>
  <c r="AU383" i="7"/>
  <c r="AF383" i="7"/>
  <c r="AJ383" i="7"/>
  <c r="AN383" i="7"/>
  <c r="AR383" i="7"/>
  <c r="AV383" i="7"/>
  <c r="AK383" i="7"/>
  <c r="AO383" i="7"/>
  <c r="AC383" i="7"/>
  <c r="AS383" i="7"/>
  <c r="AD379" i="7"/>
  <c r="AH379" i="7"/>
  <c r="AL379" i="7"/>
  <c r="AP379" i="7"/>
  <c r="AT379" i="7"/>
  <c r="AX379" i="7"/>
  <c r="AE379" i="7"/>
  <c r="AI379" i="7"/>
  <c r="AM379" i="7"/>
  <c r="AQ379" i="7"/>
  <c r="AU379" i="7"/>
  <c r="AF379" i="7"/>
  <c r="AJ379" i="7"/>
  <c r="AN379" i="7"/>
  <c r="AR379" i="7"/>
  <c r="AV379" i="7"/>
  <c r="AC379" i="7"/>
  <c r="AS379" i="7"/>
  <c r="AG379" i="7"/>
  <c r="AW379" i="7"/>
  <c r="AK379" i="7"/>
  <c r="AD375" i="7"/>
  <c r="AH375" i="7"/>
  <c r="AL375" i="7"/>
  <c r="AP375" i="7"/>
  <c r="AT375" i="7"/>
  <c r="AX375" i="7"/>
  <c r="AE375" i="7"/>
  <c r="AI375" i="7"/>
  <c r="AM375" i="7"/>
  <c r="AQ375" i="7"/>
  <c r="AU375" i="7"/>
  <c r="AF375" i="7"/>
  <c r="AJ375" i="7"/>
  <c r="AN375" i="7"/>
  <c r="AR375" i="7"/>
  <c r="AV375" i="7"/>
  <c r="AK375" i="7"/>
  <c r="AO375" i="7"/>
  <c r="AC375" i="7"/>
  <c r="AS375" i="7"/>
  <c r="AD371" i="7"/>
  <c r="AH371" i="7"/>
  <c r="AL371" i="7"/>
  <c r="AP371" i="7"/>
  <c r="AT371" i="7"/>
  <c r="AX371" i="7"/>
  <c r="AE371" i="7"/>
  <c r="AI371" i="7"/>
  <c r="AM371" i="7"/>
  <c r="AQ371" i="7"/>
  <c r="AU371" i="7"/>
  <c r="AF371" i="7"/>
  <c r="AJ371" i="7"/>
  <c r="AN371" i="7"/>
  <c r="AR371" i="7"/>
  <c r="AV371" i="7"/>
  <c r="AC371" i="7"/>
  <c r="AS371" i="7"/>
  <c r="AG371" i="7"/>
  <c r="AW371" i="7"/>
  <c r="AK371" i="7"/>
  <c r="AD367" i="7"/>
  <c r="AH367" i="7"/>
  <c r="AL367" i="7"/>
  <c r="AP367" i="7"/>
  <c r="AT367" i="7"/>
  <c r="AX367" i="7"/>
  <c r="AE367" i="7"/>
  <c r="AI367" i="7"/>
  <c r="AM367" i="7"/>
  <c r="AQ367" i="7"/>
  <c r="AU367" i="7"/>
  <c r="AF367" i="7"/>
  <c r="AJ367" i="7"/>
  <c r="AN367" i="7"/>
  <c r="AR367" i="7"/>
  <c r="AV367" i="7"/>
  <c r="AK367" i="7"/>
  <c r="AO367" i="7"/>
  <c r="AC367" i="7"/>
  <c r="AS367" i="7"/>
  <c r="AD363" i="7"/>
  <c r="AH363" i="7"/>
  <c r="AL363" i="7"/>
  <c r="AP363" i="7"/>
  <c r="AT363" i="7"/>
  <c r="AX363" i="7"/>
  <c r="AE363" i="7"/>
  <c r="AI363" i="7"/>
  <c r="AM363" i="7"/>
  <c r="AQ363" i="7"/>
  <c r="AU363" i="7"/>
  <c r="AF363" i="7"/>
  <c r="AJ363" i="7"/>
  <c r="AN363" i="7"/>
  <c r="AR363" i="7"/>
  <c r="AV363" i="7"/>
  <c r="AC363" i="7"/>
  <c r="AS363" i="7"/>
  <c r="AG363" i="7"/>
  <c r="AW363" i="7"/>
  <c r="AK363" i="7"/>
  <c r="AD359" i="7"/>
  <c r="AH359" i="7"/>
  <c r="AL359" i="7"/>
  <c r="AP359" i="7"/>
  <c r="AT359" i="7"/>
  <c r="AX359" i="7"/>
  <c r="AE359" i="7"/>
  <c r="AI359" i="7"/>
  <c r="AM359" i="7"/>
  <c r="AQ359" i="7"/>
  <c r="AU359" i="7"/>
  <c r="AF359" i="7"/>
  <c r="AJ359" i="7"/>
  <c r="AN359" i="7"/>
  <c r="AR359" i="7"/>
  <c r="AV359" i="7"/>
  <c r="AK359" i="7"/>
  <c r="AO359" i="7"/>
  <c r="AC359" i="7"/>
  <c r="AS359" i="7"/>
  <c r="AD355" i="7"/>
  <c r="AH355" i="7"/>
  <c r="AL355" i="7"/>
  <c r="AP355" i="7"/>
  <c r="AT355" i="7"/>
  <c r="AX355" i="7"/>
  <c r="AE355" i="7"/>
  <c r="AI355" i="7"/>
  <c r="AM355" i="7"/>
  <c r="AQ355" i="7"/>
  <c r="AU355" i="7"/>
  <c r="AF355" i="7"/>
  <c r="AJ355" i="7"/>
  <c r="AN355" i="7"/>
  <c r="AR355" i="7"/>
  <c r="AV355" i="7"/>
  <c r="AC355" i="7"/>
  <c r="AS355" i="7"/>
  <c r="AG355" i="7"/>
  <c r="AW355" i="7"/>
  <c r="AK355" i="7"/>
  <c r="AD351" i="7"/>
  <c r="AH351" i="7"/>
  <c r="AL351" i="7"/>
  <c r="AP351" i="7"/>
  <c r="AT351" i="7"/>
  <c r="AX351" i="7"/>
  <c r="AE351" i="7"/>
  <c r="AI351" i="7"/>
  <c r="AM351" i="7"/>
  <c r="AQ351" i="7"/>
  <c r="AU351" i="7"/>
  <c r="AF351" i="7"/>
  <c r="AJ351" i="7"/>
  <c r="AN351" i="7"/>
  <c r="AR351" i="7"/>
  <c r="AV351" i="7"/>
  <c r="AK351" i="7"/>
  <c r="AO351" i="7"/>
  <c r="AC351" i="7"/>
  <c r="AS351" i="7"/>
  <c r="AD347" i="7"/>
  <c r="AH347" i="7"/>
  <c r="AL347" i="7"/>
  <c r="AP347" i="7"/>
  <c r="AT347" i="7"/>
  <c r="AX347" i="7"/>
  <c r="AE347" i="7"/>
  <c r="AI347" i="7"/>
  <c r="AM347" i="7"/>
  <c r="AQ347" i="7"/>
  <c r="AU347" i="7"/>
  <c r="AF347" i="7"/>
  <c r="AJ347" i="7"/>
  <c r="AN347" i="7"/>
  <c r="AR347" i="7"/>
  <c r="AV347" i="7"/>
  <c r="AC347" i="7"/>
  <c r="AS347" i="7"/>
  <c r="AG347" i="7"/>
  <c r="AW347" i="7"/>
  <c r="AK347" i="7"/>
  <c r="AD343" i="7"/>
  <c r="AH343" i="7"/>
  <c r="AL343" i="7"/>
  <c r="AP343" i="7"/>
  <c r="AT343" i="7"/>
  <c r="AX343" i="7"/>
  <c r="AE343" i="7"/>
  <c r="AI343" i="7"/>
  <c r="AM343" i="7"/>
  <c r="AQ343" i="7"/>
  <c r="AU343" i="7"/>
  <c r="AF343" i="7"/>
  <c r="AJ343" i="7"/>
  <c r="AN343" i="7"/>
  <c r="AR343" i="7"/>
  <c r="AV343" i="7"/>
  <c r="AK343" i="7"/>
  <c r="AO343" i="7"/>
  <c r="AC343" i="7"/>
  <c r="AS343" i="7"/>
  <c r="AD339" i="7"/>
  <c r="AH339" i="7"/>
  <c r="AL339" i="7"/>
  <c r="AP339" i="7"/>
  <c r="AT339" i="7"/>
  <c r="AX339" i="7"/>
  <c r="AE339" i="7"/>
  <c r="AI339" i="7"/>
  <c r="AM339" i="7"/>
  <c r="AQ339" i="7"/>
  <c r="AU339" i="7"/>
  <c r="AF339" i="7"/>
  <c r="AJ339" i="7"/>
  <c r="AN339" i="7"/>
  <c r="AR339" i="7"/>
  <c r="AV339" i="7"/>
  <c r="AC339" i="7"/>
  <c r="AS339" i="7"/>
  <c r="AG339" i="7"/>
  <c r="AW339" i="7"/>
  <c r="AK339" i="7"/>
  <c r="AD335" i="7"/>
  <c r="AH335" i="7"/>
  <c r="AL335" i="7"/>
  <c r="AP335" i="7"/>
  <c r="AT335" i="7"/>
  <c r="AX335" i="7"/>
  <c r="AE335" i="7"/>
  <c r="AI335" i="7"/>
  <c r="AM335" i="7"/>
  <c r="AQ335" i="7"/>
  <c r="AU335" i="7"/>
  <c r="AF335" i="7"/>
  <c r="AJ335" i="7"/>
  <c r="AN335" i="7"/>
  <c r="AR335" i="7"/>
  <c r="AV335" i="7"/>
  <c r="AK335" i="7"/>
  <c r="AO335" i="7"/>
  <c r="AC335" i="7"/>
  <c r="AS335" i="7"/>
  <c r="AD331" i="7"/>
  <c r="AH331" i="7"/>
  <c r="AL331" i="7"/>
  <c r="AP331" i="7"/>
  <c r="AT331" i="7"/>
  <c r="AX331" i="7"/>
  <c r="AE331" i="7"/>
  <c r="AI331" i="7"/>
  <c r="AM331" i="7"/>
  <c r="AQ331" i="7"/>
  <c r="AU331" i="7"/>
  <c r="AF331" i="7"/>
  <c r="AJ331" i="7"/>
  <c r="AN331" i="7"/>
  <c r="AR331" i="7"/>
  <c r="AV331" i="7"/>
  <c r="AC331" i="7"/>
  <c r="AS331" i="7"/>
  <c r="AG331" i="7"/>
  <c r="AW331" i="7"/>
  <c r="AK331" i="7"/>
  <c r="AD327" i="7"/>
  <c r="AH327" i="7"/>
  <c r="AL327" i="7"/>
  <c r="AP327" i="7"/>
  <c r="AT327" i="7"/>
  <c r="AX327" i="7"/>
  <c r="AE327" i="7"/>
  <c r="AI327" i="7"/>
  <c r="AM327" i="7"/>
  <c r="AQ327" i="7"/>
  <c r="AU327" i="7"/>
  <c r="AF327" i="7"/>
  <c r="AJ327" i="7"/>
  <c r="AN327" i="7"/>
  <c r="AR327" i="7"/>
  <c r="AV327" i="7"/>
  <c r="AK327" i="7"/>
  <c r="AO327" i="7"/>
  <c r="AC327" i="7"/>
  <c r="AS327" i="7"/>
  <c r="AD323" i="7"/>
  <c r="AH323" i="7"/>
  <c r="AL323" i="7"/>
  <c r="AP323" i="7"/>
  <c r="AT323" i="7"/>
  <c r="AX323" i="7"/>
  <c r="AE323" i="7"/>
  <c r="AI323" i="7"/>
  <c r="AM323" i="7"/>
  <c r="AQ323" i="7"/>
  <c r="AU323" i="7"/>
  <c r="AF323" i="7"/>
  <c r="AJ323" i="7"/>
  <c r="AN323" i="7"/>
  <c r="AR323" i="7"/>
  <c r="AV323" i="7"/>
  <c r="AC323" i="7"/>
  <c r="AS323" i="7"/>
  <c r="AG323" i="7"/>
  <c r="AW323" i="7"/>
  <c r="AK323" i="7"/>
  <c r="AD319" i="7"/>
  <c r="AH319" i="7"/>
  <c r="AL319" i="7"/>
  <c r="AP319" i="7"/>
  <c r="AT319" i="7"/>
  <c r="AX319" i="7"/>
  <c r="AE319" i="7"/>
  <c r="AI319" i="7"/>
  <c r="AM319" i="7"/>
  <c r="AQ319" i="7"/>
  <c r="AU319" i="7"/>
  <c r="AF319" i="7"/>
  <c r="AJ319" i="7"/>
  <c r="AN319" i="7"/>
  <c r="AR319" i="7"/>
  <c r="AV319" i="7"/>
  <c r="AK319" i="7"/>
  <c r="AO319" i="7"/>
  <c r="AC319" i="7"/>
  <c r="AS319" i="7"/>
  <c r="AD315" i="7"/>
  <c r="AH315" i="7"/>
  <c r="AL315" i="7"/>
  <c r="AP315" i="7"/>
  <c r="AT315" i="7"/>
  <c r="AX315" i="7"/>
  <c r="AE315" i="7"/>
  <c r="AI315" i="7"/>
  <c r="AM315" i="7"/>
  <c r="AQ315" i="7"/>
  <c r="AU315" i="7"/>
  <c r="AF315" i="7"/>
  <c r="AJ315" i="7"/>
  <c r="AN315" i="7"/>
  <c r="AR315" i="7"/>
  <c r="AV315" i="7"/>
  <c r="AC315" i="7"/>
  <c r="AS315" i="7"/>
  <c r="AG315" i="7"/>
  <c r="AW315" i="7"/>
  <c r="AK315" i="7"/>
  <c r="AD311" i="7"/>
  <c r="AH311" i="7"/>
  <c r="AL311" i="7"/>
  <c r="AP311" i="7"/>
  <c r="AT311" i="7"/>
  <c r="AX311" i="7"/>
  <c r="AE311" i="7"/>
  <c r="AI311" i="7"/>
  <c r="AM311" i="7"/>
  <c r="AQ311" i="7"/>
  <c r="AU311" i="7"/>
  <c r="AF311" i="7"/>
  <c r="AJ311" i="7"/>
  <c r="AN311" i="7"/>
  <c r="AR311" i="7"/>
  <c r="AV311" i="7"/>
  <c r="AK311" i="7"/>
  <c r="AO311" i="7"/>
  <c r="AC311" i="7"/>
  <c r="AS311" i="7"/>
  <c r="AE307" i="7"/>
  <c r="AI307" i="7"/>
  <c r="AM307" i="7"/>
  <c r="AQ307" i="7"/>
  <c r="AU307" i="7"/>
  <c r="AF307" i="7"/>
  <c r="AJ307" i="7"/>
  <c r="AN307" i="7"/>
  <c r="AR307" i="7"/>
  <c r="AV307" i="7"/>
  <c r="AC307" i="7"/>
  <c r="AG307" i="7"/>
  <c r="AK307" i="7"/>
  <c r="AO307" i="7"/>
  <c r="AS307" i="7"/>
  <c r="AW307" i="7"/>
  <c r="AH307" i="7"/>
  <c r="AX307" i="7"/>
  <c r="AL307" i="7"/>
  <c r="AP307" i="7"/>
  <c r="AD307" i="7"/>
  <c r="AE303" i="7"/>
  <c r="AI303" i="7"/>
  <c r="AM303" i="7"/>
  <c r="AQ303" i="7"/>
  <c r="AU303" i="7"/>
  <c r="AF303" i="7"/>
  <c r="AJ303" i="7"/>
  <c r="AN303" i="7"/>
  <c r="AR303" i="7"/>
  <c r="AV303" i="7"/>
  <c r="AC303" i="7"/>
  <c r="AG303" i="7"/>
  <c r="AK303" i="7"/>
  <c r="AO303" i="7"/>
  <c r="AS303" i="7"/>
  <c r="AW303" i="7"/>
  <c r="AP303" i="7"/>
  <c r="AD303" i="7"/>
  <c r="AT303" i="7"/>
  <c r="AH303" i="7"/>
  <c r="AX303" i="7"/>
  <c r="AL303" i="7"/>
  <c r="AE299" i="7"/>
  <c r="AI299" i="7"/>
  <c r="AM299" i="7"/>
  <c r="AQ299" i="7"/>
  <c r="AU299" i="7"/>
  <c r="AF299" i="7"/>
  <c r="AJ299" i="7"/>
  <c r="AN299" i="7"/>
  <c r="AR299" i="7"/>
  <c r="AV299" i="7"/>
  <c r="AC299" i="7"/>
  <c r="AG299" i="7"/>
  <c r="AK299" i="7"/>
  <c r="AO299" i="7"/>
  <c r="AS299" i="7"/>
  <c r="AW299" i="7"/>
  <c r="AH299" i="7"/>
  <c r="AX299" i="7"/>
  <c r="AL299" i="7"/>
  <c r="AP299" i="7"/>
  <c r="AT299" i="7"/>
  <c r="AE295" i="7"/>
  <c r="AI295" i="7"/>
  <c r="AM295" i="7"/>
  <c r="AQ295" i="7"/>
  <c r="AU295" i="7"/>
  <c r="AF295" i="7"/>
  <c r="AJ295" i="7"/>
  <c r="AN295" i="7"/>
  <c r="AR295" i="7"/>
  <c r="AV295" i="7"/>
  <c r="AC295" i="7"/>
  <c r="AG295" i="7"/>
  <c r="AK295" i="7"/>
  <c r="AO295" i="7"/>
  <c r="AS295" i="7"/>
  <c r="AW295" i="7"/>
  <c r="AP295" i="7"/>
  <c r="AD295" i="7"/>
  <c r="AT295" i="7"/>
  <c r="AH295" i="7"/>
  <c r="AX295" i="7"/>
  <c r="AL295" i="7"/>
  <c r="AE291" i="7"/>
  <c r="AI291" i="7"/>
  <c r="AM291" i="7"/>
  <c r="AQ291" i="7"/>
  <c r="AU291" i="7"/>
  <c r="AF291" i="7"/>
  <c r="AJ291" i="7"/>
  <c r="AN291" i="7"/>
  <c r="AR291" i="7"/>
  <c r="AV291" i="7"/>
  <c r="AC291" i="7"/>
  <c r="AG291" i="7"/>
  <c r="AK291" i="7"/>
  <c r="AO291" i="7"/>
  <c r="AS291" i="7"/>
  <c r="AW291" i="7"/>
  <c r="AH291" i="7"/>
  <c r="AX291" i="7"/>
  <c r="AL291" i="7"/>
  <c r="AP291" i="7"/>
  <c r="AD291" i="7"/>
  <c r="AT291" i="7"/>
  <c r="AE287" i="7"/>
  <c r="AI287" i="7"/>
  <c r="AM287" i="7"/>
  <c r="AQ287" i="7"/>
  <c r="AU287" i="7"/>
  <c r="AF287" i="7"/>
  <c r="AJ287" i="7"/>
  <c r="AN287" i="7"/>
  <c r="AR287" i="7"/>
  <c r="AV287" i="7"/>
  <c r="AC287" i="7"/>
  <c r="AG287" i="7"/>
  <c r="AK287" i="7"/>
  <c r="AO287" i="7"/>
  <c r="AS287" i="7"/>
  <c r="AW287" i="7"/>
  <c r="AP287" i="7"/>
  <c r="AD287" i="7"/>
  <c r="AT287" i="7"/>
  <c r="AH287" i="7"/>
  <c r="AX287" i="7"/>
  <c r="AE283" i="7"/>
  <c r="AI283" i="7"/>
  <c r="AM283" i="7"/>
  <c r="AQ283" i="7"/>
  <c r="AU283" i="7"/>
  <c r="AF283" i="7"/>
  <c r="AJ283" i="7"/>
  <c r="AN283" i="7"/>
  <c r="AR283" i="7"/>
  <c r="AV283" i="7"/>
  <c r="AC283" i="7"/>
  <c r="AG283" i="7"/>
  <c r="AK283" i="7"/>
  <c r="AO283" i="7"/>
  <c r="AS283" i="7"/>
  <c r="AW283" i="7"/>
  <c r="AH283" i="7"/>
  <c r="AX283" i="7"/>
  <c r="AL283" i="7"/>
  <c r="AP283" i="7"/>
  <c r="AD283" i="7"/>
  <c r="AT283" i="7"/>
  <c r="AE279" i="7"/>
  <c r="AI279" i="7"/>
  <c r="AM279" i="7"/>
  <c r="AQ279" i="7"/>
  <c r="AU279" i="7"/>
  <c r="AF279" i="7"/>
  <c r="AJ279" i="7"/>
  <c r="AN279" i="7"/>
  <c r="AR279" i="7"/>
  <c r="AV279" i="7"/>
  <c r="AC279" i="7"/>
  <c r="AG279" i="7"/>
  <c r="AK279" i="7"/>
  <c r="AO279" i="7"/>
  <c r="AS279" i="7"/>
  <c r="AW279" i="7"/>
  <c r="AP279" i="7"/>
  <c r="AD279" i="7"/>
  <c r="AT279" i="7"/>
  <c r="AH279" i="7"/>
  <c r="AX279" i="7"/>
  <c r="AL279" i="7"/>
  <c r="AE275" i="7"/>
  <c r="AI275" i="7"/>
  <c r="AM275" i="7"/>
  <c r="AQ275" i="7"/>
  <c r="AU275" i="7"/>
  <c r="AF275" i="7"/>
  <c r="AJ275" i="7"/>
  <c r="AN275" i="7"/>
  <c r="AR275" i="7"/>
  <c r="AV275" i="7"/>
  <c r="AC275" i="7"/>
  <c r="AG275" i="7"/>
  <c r="AK275" i="7"/>
  <c r="AO275" i="7"/>
  <c r="AS275" i="7"/>
  <c r="AW275" i="7"/>
  <c r="AH275" i="7"/>
  <c r="AX275" i="7"/>
  <c r="AL275" i="7"/>
  <c r="AP275" i="7"/>
  <c r="AD275" i="7"/>
  <c r="AE271" i="7"/>
  <c r="AI271" i="7"/>
  <c r="AM271" i="7"/>
  <c r="AQ271" i="7"/>
  <c r="AU271" i="7"/>
  <c r="AF271" i="7"/>
  <c r="AJ271" i="7"/>
  <c r="AN271" i="7"/>
  <c r="AR271" i="7"/>
  <c r="AV271" i="7"/>
  <c r="AC271" i="7"/>
  <c r="AG271" i="7"/>
  <c r="AK271" i="7"/>
  <c r="AO271" i="7"/>
  <c r="AS271" i="7"/>
  <c r="AW271" i="7"/>
  <c r="AP271" i="7"/>
  <c r="AD271" i="7"/>
  <c r="AT271" i="7"/>
  <c r="AH271" i="7"/>
  <c r="AX271" i="7"/>
  <c r="AL271" i="7"/>
  <c r="AE267" i="7"/>
  <c r="AI267" i="7"/>
  <c r="AM267" i="7"/>
  <c r="AQ267" i="7"/>
  <c r="AU267" i="7"/>
  <c r="AF267" i="7"/>
  <c r="AJ267" i="7"/>
  <c r="AN267" i="7"/>
  <c r="AR267" i="7"/>
  <c r="AV267" i="7"/>
  <c r="AC267" i="7"/>
  <c r="AG267" i="7"/>
  <c r="AK267" i="7"/>
  <c r="AO267" i="7"/>
  <c r="AS267" i="7"/>
  <c r="AW267" i="7"/>
  <c r="AH267" i="7"/>
  <c r="AX267" i="7"/>
  <c r="AL267" i="7"/>
  <c r="AP267" i="7"/>
  <c r="AT267" i="7"/>
  <c r="AE263" i="7"/>
  <c r="AI263" i="7"/>
  <c r="AM263" i="7"/>
  <c r="AQ263" i="7"/>
  <c r="AU263" i="7"/>
  <c r="AF263" i="7"/>
  <c r="AJ263" i="7"/>
  <c r="AN263" i="7"/>
  <c r="AR263" i="7"/>
  <c r="AV263" i="7"/>
  <c r="AC263" i="7"/>
  <c r="AG263" i="7"/>
  <c r="AK263" i="7"/>
  <c r="AO263" i="7"/>
  <c r="AS263" i="7"/>
  <c r="AW263" i="7"/>
  <c r="AP263" i="7"/>
  <c r="AD263" i="7"/>
  <c r="AT263" i="7"/>
  <c r="AH263" i="7"/>
  <c r="AX263" i="7"/>
  <c r="AL263" i="7"/>
  <c r="AE259" i="7"/>
  <c r="AI259" i="7"/>
  <c r="AM259" i="7"/>
  <c r="AQ259" i="7"/>
  <c r="AU259" i="7"/>
  <c r="AF259" i="7"/>
  <c r="AJ259" i="7"/>
  <c r="AN259" i="7"/>
  <c r="AR259" i="7"/>
  <c r="AV259" i="7"/>
  <c r="AC259" i="7"/>
  <c r="AG259" i="7"/>
  <c r="AK259" i="7"/>
  <c r="AO259" i="7"/>
  <c r="AS259" i="7"/>
  <c r="AW259" i="7"/>
  <c r="AH259" i="7"/>
  <c r="AX259" i="7"/>
  <c r="AL259" i="7"/>
  <c r="AP259" i="7"/>
  <c r="AD259" i="7"/>
  <c r="AT259" i="7"/>
  <c r="AE255" i="7"/>
  <c r="AI255" i="7"/>
  <c r="AM255" i="7"/>
  <c r="AQ255" i="7"/>
  <c r="AU255" i="7"/>
  <c r="AF255" i="7"/>
  <c r="AJ255" i="7"/>
  <c r="AN255" i="7"/>
  <c r="AR255" i="7"/>
  <c r="AV255" i="7"/>
  <c r="AC255" i="7"/>
  <c r="AG255" i="7"/>
  <c r="AK255" i="7"/>
  <c r="AO255" i="7"/>
  <c r="AS255" i="7"/>
  <c r="AW255" i="7"/>
  <c r="AP255" i="7"/>
  <c r="AD255" i="7"/>
  <c r="AT255" i="7"/>
  <c r="AH255" i="7"/>
  <c r="AX255" i="7"/>
  <c r="AE251" i="7"/>
  <c r="AI251" i="7"/>
  <c r="AM251" i="7"/>
  <c r="AQ251" i="7"/>
  <c r="AU251" i="7"/>
  <c r="AF251" i="7"/>
  <c r="AJ251" i="7"/>
  <c r="AN251" i="7"/>
  <c r="AR251" i="7"/>
  <c r="AV251" i="7"/>
  <c r="AC251" i="7"/>
  <c r="AG251" i="7"/>
  <c r="AK251" i="7"/>
  <c r="AO251" i="7"/>
  <c r="AS251" i="7"/>
  <c r="AW251" i="7"/>
  <c r="AH251" i="7"/>
  <c r="AX251" i="7"/>
  <c r="AL251" i="7"/>
  <c r="AP251" i="7"/>
  <c r="AD251" i="7"/>
  <c r="AT251" i="7"/>
  <c r="AE247" i="7"/>
  <c r="AI247" i="7"/>
  <c r="AM247" i="7"/>
  <c r="AQ247" i="7"/>
  <c r="AU247" i="7"/>
  <c r="AF247" i="7"/>
  <c r="AJ247" i="7"/>
  <c r="AN247" i="7"/>
  <c r="AR247" i="7"/>
  <c r="AV247" i="7"/>
  <c r="AC247" i="7"/>
  <c r="AG247" i="7"/>
  <c r="AK247" i="7"/>
  <c r="AO247" i="7"/>
  <c r="AS247" i="7"/>
  <c r="AW247" i="7"/>
  <c r="AP247" i="7"/>
  <c r="AD247" i="7"/>
  <c r="AT247" i="7"/>
  <c r="AH247" i="7"/>
  <c r="AX247" i="7"/>
  <c r="AL247" i="7"/>
  <c r="AE243" i="7"/>
  <c r="AI243" i="7"/>
  <c r="AM243" i="7"/>
  <c r="AQ243" i="7"/>
  <c r="AU243" i="7"/>
  <c r="AF243" i="7"/>
  <c r="AJ243" i="7"/>
  <c r="AN243" i="7"/>
  <c r="AR243" i="7"/>
  <c r="AV243" i="7"/>
  <c r="AC243" i="7"/>
  <c r="AG243" i="7"/>
  <c r="AK243" i="7"/>
  <c r="AO243" i="7"/>
  <c r="AS243" i="7"/>
  <c r="AW243" i="7"/>
  <c r="AH243" i="7"/>
  <c r="AX243" i="7"/>
  <c r="AL243" i="7"/>
  <c r="AP243" i="7"/>
  <c r="AD243" i="7"/>
  <c r="AE239" i="7"/>
  <c r="AI239" i="7"/>
  <c r="AM239" i="7"/>
  <c r="AQ239" i="7"/>
  <c r="AU239" i="7"/>
  <c r="AF239" i="7"/>
  <c r="AJ239" i="7"/>
  <c r="AN239" i="7"/>
  <c r="AR239" i="7"/>
  <c r="AV239" i="7"/>
  <c r="AC239" i="7"/>
  <c r="AG239" i="7"/>
  <c r="AK239" i="7"/>
  <c r="AO239" i="7"/>
  <c r="AS239" i="7"/>
  <c r="AW239" i="7"/>
  <c r="AP239" i="7"/>
  <c r="AD239" i="7"/>
  <c r="AT239" i="7"/>
  <c r="AH239" i="7"/>
  <c r="AX239" i="7"/>
  <c r="AL239" i="7"/>
  <c r="AE235" i="7"/>
  <c r="AI235" i="7"/>
  <c r="AM235" i="7"/>
  <c r="AQ235" i="7"/>
  <c r="AU235" i="7"/>
  <c r="AF235" i="7"/>
  <c r="AJ235" i="7"/>
  <c r="AN235" i="7"/>
  <c r="AR235" i="7"/>
  <c r="AV235" i="7"/>
  <c r="AC235" i="7"/>
  <c r="AG235" i="7"/>
  <c r="AK235" i="7"/>
  <c r="AO235" i="7"/>
  <c r="AS235" i="7"/>
  <c r="AW235" i="7"/>
  <c r="AH235" i="7"/>
  <c r="AX235" i="7"/>
  <c r="AL235" i="7"/>
  <c r="AP235" i="7"/>
  <c r="AT235" i="7"/>
  <c r="AE231" i="7"/>
  <c r="AI231" i="7"/>
  <c r="AM231" i="7"/>
  <c r="AQ231" i="7"/>
  <c r="AU231" i="7"/>
  <c r="AF231" i="7"/>
  <c r="AJ231" i="7"/>
  <c r="AN231" i="7"/>
  <c r="AR231" i="7"/>
  <c r="AV231" i="7"/>
  <c r="AC231" i="7"/>
  <c r="AG231" i="7"/>
  <c r="AK231" i="7"/>
  <c r="AO231" i="7"/>
  <c r="AS231" i="7"/>
  <c r="AW231" i="7"/>
  <c r="AP231" i="7"/>
  <c r="AD231" i="7"/>
  <c r="AT231" i="7"/>
  <c r="AH231" i="7"/>
  <c r="AX231" i="7"/>
  <c r="AL231" i="7"/>
  <c r="AE227" i="7"/>
  <c r="AI227" i="7"/>
  <c r="AM227" i="7"/>
  <c r="AQ227" i="7"/>
  <c r="AU227" i="7"/>
  <c r="AF227" i="7"/>
  <c r="AJ227" i="7"/>
  <c r="AN227" i="7"/>
  <c r="AR227" i="7"/>
  <c r="AV227" i="7"/>
  <c r="AC227" i="7"/>
  <c r="AG227" i="7"/>
  <c r="AK227" i="7"/>
  <c r="AO227" i="7"/>
  <c r="AS227" i="7"/>
  <c r="AW227" i="7"/>
  <c r="AH227" i="7"/>
  <c r="AX227" i="7"/>
  <c r="AL227" i="7"/>
  <c r="AP227" i="7"/>
  <c r="AD227" i="7"/>
  <c r="AT227" i="7"/>
  <c r="AE223" i="7"/>
  <c r="AI223" i="7"/>
  <c r="AM223" i="7"/>
  <c r="AQ223" i="7"/>
  <c r="AU223" i="7"/>
  <c r="AF223" i="7"/>
  <c r="AJ223" i="7"/>
  <c r="AN223" i="7"/>
  <c r="AR223" i="7"/>
  <c r="AV223" i="7"/>
  <c r="AC223" i="7"/>
  <c r="AG223" i="7"/>
  <c r="AK223" i="7"/>
  <c r="AO223" i="7"/>
  <c r="AS223" i="7"/>
  <c r="AW223" i="7"/>
  <c r="AP223" i="7"/>
  <c r="AD223" i="7"/>
  <c r="AT223" i="7"/>
  <c r="AH223" i="7"/>
  <c r="AX223" i="7"/>
  <c r="AE219" i="7"/>
  <c r="AI219" i="7"/>
  <c r="AM219" i="7"/>
  <c r="AQ219" i="7"/>
  <c r="AU219" i="7"/>
  <c r="AF219" i="7"/>
  <c r="AJ219" i="7"/>
  <c r="AN219" i="7"/>
  <c r="AR219" i="7"/>
  <c r="AV219" i="7"/>
  <c r="AC219" i="7"/>
  <c r="AG219" i="7"/>
  <c r="AK219" i="7"/>
  <c r="AO219" i="7"/>
  <c r="AS219" i="7"/>
  <c r="AW219" i="7"/>
  <c r="AH219" i="7"/>
  <c r="AX219" i="7"/>
  <c r="AL219" i="7"/>
  <c r="AP219" i="7"/>
  <c r="AD219" i="7"/>
  <c r="AT219" i="7"/>
  <c r="AE215" i="7"/>
  <c r="AI215" i="7"/>
  <c r="AM215" i="7"/>
  <c r="AQ215" i="7"/>
  <c r="AU215" i="7"/>
  <c r="AF215" i="7"/>
  <c r="AJ215" i="7"/>
  <c r="AN215" i="7"/>
  <c r="AR215" i="7"/>
  <c r="AV215" i="7"/>
  <c r="AC215" i="7"/>
  <c r="AG215" i="7"/>
  <c r="AK215" i="7"/>
  <c r="AO215" i="7"/>
  <c r="AS215" i="7"/>
  <c r="AW215" i="7"/>
  <c r="AP215" i="7"/>
  <c r="AD215" i="7"/>
  <c r="AT215" i="7"/>
  <c r="AH215" i="7"/>
  <c r="AX215" i="7"/>
  <c r="AL215" i="7"/>
  <c r="AE211" i="7"/>
  <c r="AI211" i="7"/>
  <c r="AM211" i="7"/>
  <c r="AQ211" i="7"/>
  <c r="AU211" i="7"/>
  <c r="AF211" i="7"/>
  <c r="AJ211" i="7"/>
  <c r="AN211" i="7"/>
  <c r="AR211" i="7"/>
  <c r="AV211" i="7"/>
  <c r="AC211" i="7"/>
  <c r="AG211" i="7"/>
  <c r="AK211" i="7"/>
  <c r="AO211" i="7"/>
  <c r="AS211" i="7"/>
  <c r="AW211" i="7"/>
  <c r="AH211" i="7"/>
  <c r="AX211" i="7"/>
  <c r="AL211" i="7"/>
  <c r="AP211" i="7"/>
  <c r="AD211" i="7"/>
  <c r="AE207" i="7"/>
  <c r="AI207" i="7"/>
  <c r="AM207" i="7"/>
  <c r="AQ207" i="7"/>
  <c r="AU207" i="7"/>
  <c r="AF207" i="7"/>
  <c r="AJ207" i="7"/>
  <c r="AN207" i="7"/>
  <c r="AR207" i="7"/>
  <c r="AV207" i="7"/>
  <c r="AC207" i="7"/>
  <c r="AG207" i="7"/>
  <c r="AK207" i="7"/>
  <c r="AO207" i="7"/>
  <c r="AS207" i="7"/>
  <c r="AW207" i="7"/>
  <c r="AP207" i="7"/>
  <c r="AD207" i="7"/>
  <c r="AT207" i="7"/>
  <c r="AH207" i="7"/>
  <c r="AX207" i="7"/>
  <c r="AL207" i="7"/>
  <c r="AE203" i="7"/>
  <c r="AI203" i="7"/>
  <c r="AM203" i="7"/>
  <c r="AQ203" i="7"/>
  <c r="AU203" i="7"/>
  <c r="AF203" i="7"/>
  <c r="AJ203" i="7"/>
  <c r="AN203" i="7"/>
  <c r="AR203" i="7"/>
  <c r="AV203" i="7"/>
  <c r="AC203" i="7"/>
  <c r="AG203" i="7"/>
  <c r="AK203" i="7"/>
  <c r="AO203" i="7"/>
  <c r="AS203" i="7"/>
  <c r="AW203" i="7"/>
  <c r="AH203" i="7"/>
  <c r="AX203" i="7"/>
  <c r="AL203" i="7"/>
  <c r="AP203" i="7"/>
  <c r="AT203" i="7"/>
  <c r="AE199" i="7"/>
  <c r="AI199" i="7"/>
  <c r="AM199" i="7"/>
  <c r="AQ199" i="7"/>
  <c r="AU199" i="7"/>
  <c r="AF199" i="7"/>
  <c r="AJ199" i="7"/>
  <c r="AN199" i="7"/>
  <c r="AR199" i="7"/>
  <c r="AV199" i="7"/>
  <c r="AC199" i="7"/>
  <c r="AG199" i="7"/>
  <c r="AK199" i="7"/>
  <c r="AO199" i="7"/>
  <c r="AS199" i="7"/>
  <c r="AW199" i="7"/>
  <c r="AL199" i="7"/>
  <c r="AP199" i="7"/>
  <c r="AD199" i="7"/>
  <c r="AT199" i="7"/>
  <c r="AX199" i="7"/>
  <c r="AH199" i="7"/>
  <c r="AE195" i="7"/>
  <c r="AI195" i="7"/>
  <c r="AM195" i="7"/>
  <c r="AQ195" i="7"/>
  <c r="AU195" i="7"/>
  <c r="AF195" i="7"/>
  <c r="AJ195" i="7"/>
  <c r="AN195" i="7"/>
  <c r="AR195" i="7"/>
  <c r="AV195" i="7"/>
  <c r="AC195" i="7"/>
  <c r="AG195" i="7"/>
  <c r="AK195" i="7"/>
  <c r="AO195" i="7"/>
  <c r="AS195" i="7"/>
  <c r="AW195" i="7"/>
  <c r="AD195" i="7"/>
  <c r="AT195" i="7"/>
  <c r="AH195" i="7"/>
  <c r="AX195" i="7"/>
  <c r="AL195" i="7"/>
  <c r="AP195" i="7"/>
  <c r="AE191" i="7"/>
  <c r="AI191" i="7"/>
  <c r="AM191" i="7"/>
  <c r="AQ191" i="7"/>
  <c r="AU191" i="7"/>
  <c r="AF191" i="7"/>
  <c r="AJ191" i="7"/>
  <c r="AN191" i="7"/>
  <c r="AR191" i="7"/>
  <c r="AV191" i="7"/>
  <c r="AC191" i="7"/>
  <c r="AG191" i="7"/>
  <c r="AK191" i="7"/>
  <c r="AO191" i="7"/>
  <c r="AS191" i="7"/>
  <c r="AW191" i="7"/>
  <c r="AL191" i="7"/>
  <c r="AP191" i="7"/>
  <c r="AD191" i="7"/>
  <c r="AT191" i="7"/>
  <c r="AH191" i="7"/>
  <c r="AX191" i="7"/>
  <c r="AE187" i="7"/>
  <c r="AI187" i="7"/>
  <c r="AM187" i="7"/>
  <c r="AQ187" i="7"/>
  <c r="AU187" i="7"/>
  <c r="AF187" i="7"/>
  <c r="AJ187" i="7"/>
  <c r="AN187" i="7"/>
  <c r="AR187" i="7"/>
  <c r="AV187" i="7"/>
  <c r="AC187" i="7"/>
  <c r="AG187" i="7"/>
  <c r="AK187" i="7"/>
  <c r="AO187" i="7"/>
  <c r="AS187" i="7"/>
  <c r="AW187" i="7"/>
  <c r="AD187" i="7"/>
  <c r="AT187" i="7"/>
  <c r="AH187" i="7"/>
  <c r="AX187" i="7"/>
  <c r="AL187" i="7"/>
  <c r="AP187" i="7"/>
  <c r="AE183" i="7"/>
  <c r="AI183" i="7"/>
  <c r="AM183" i="7"/>
  <c r="AQ183" i="7"/>
  <c r="AU183" i="7"/>
  <c r="AF183" i="7"/>
  <c r="AJ183" i="7"/>
  <c r="AN183" i="7"/>
  <c r="AR183" i="7"/>
  <c r="AV183" i="7"/>
  <c r="AC183" i="7"/>
  <c r="AG183" i="7"/>
  <c r="AK183" i="7"/>
  <c r="AO183" i="7"/>
  <c r="AS183" i="7"/>
  <c r="AW183" i="7"/>
  <c r="AL183" i="7"/>
  <c r="AP183" i="7"/>
  <c r="AD183" i="7"/>
  <c r="AT183" i="7"/>
  <c r="AH183" i="7"/>
  <c r="AX183" i="7"/>
  <c r="AE179" i="7"/>
  <c r="AI179" i="7"/>
  <c r="AM179" i="7"/>
  <c r="AQ179" i="7"/>
  <c r="AU179" i="7"/>
  <c r="AF179" i="7"/>
  <c r="AJ179" i="7"/>
  <c r="AN179" i="7"/>
  <c r="AR179" i="7"/>
  <c r="AV179" i="7"/>
  <c r="AC179" i="7"/>
  <c r="AG179" i="7"/>
  <c r="AK179" i="7"/>
  <c r="AO179" i="7"/>
  <c r="AS179" i="7"/>
  <c r="AW179" i="7"/>
  <c r="AD179" i="7"/>
  <c r="AT179" i="7"/>
  <c r="AH179" i="7"/>
  <c r="AX179" i="7"/>
  <c r="AL179" i="7"/>
  <c r="AP179" i="7"/>
  <c r="AE175" i="7"/>
  <c r="AI175" i="7"/>
  <c r="AM175" i="7"/>
  <c r="AQ175" i="7"/>
  <c r="AU175" i="7"/>
  <c r="AF175" i="7"/>
  <c r="AJ175" i="7"/>
  <c r="AN175" i="7"/>
  <c r="AR175" i="7"/>
  <c r="AV175" i="7"/>
  <c r="AC175" i="7"/>
  <c r="AG175" i="7"/>
  <c r="AK175" i="7"/>
  <c r="AO175" i="7"/>
  <c r="AS175" i="7"/>
  <c r="AW175" i="7"/>
  <c r="AL175" i="7"/>
  <c r="AP175" i="7"/>
  <c r="AD175" i="7"/>
  <c r="AT175" i="7"/>
  <c r="AH175" i="7"/>
  <c r="AX175" i="7"/>
  <c r="AE171" i="7"/>
  <c r="AI171" i="7"/>
  <c r="AM171" i="7"/>
  <c r="AQ171" i="7"/>
  <c r="AU171" i="7"/>
  <c r="AF171" i="7"/>
  <c r="AJ171" i="7"/>
  <c r="AN171" i="7"/>
  <c r="AR171" i="7"/>
  <c r="AV171" i="7"/>
  <c r="AC171" i="7"/>
  <c r="AG171" i="7"/>
  <c r="AK171" i="7"/>
  <c r="AO171" i="7"/>
  <c r="AS171" i="7"/>
  <c r="AW171" i="7"/>
  <c r="AD171" i="7"/>
  <c r="AT171" i="7"/>
  <c r="AH171" i="7"/>
  <c r="AX171" i="7"/>
  <c r="AL171" i="7"/>
  <c r="AP171" i="7"/>
  <c r="AE167" i="7"/>
  <c r="AI167" i="7"/>
  <c r="AM167" i="7"/>
  <c r="AQ167" i="7"/>
  <c r="AU167" i="7"/>
  <c r="AF167" i="7"/>
  <c r="AJ167" i="7"/>
  <c r="AN167" i="7"/>
  <c r="AR167" i="7"/>
  <c r="AV167" i="7"/>
  <c r="AC167" i="7"/>
  <c r="AG167" i="7"/>
  <c r="AK167" i="7"/>
  <c r="AO167" i="7"/>
  <c r="AS167" i="7"/>
  <c r="AW167" i="7"/>
  <c r="AL167" i="7"/>
  <c r="AP167" i="7"/>
  <c r="AD167" i="7"/>
  <c r="AT167" i="7"/>
  <c r="AX167" i="7"/>
  <c r="AH167" i="7"/>
  <c r="AE163" i="7"/>
  <c r="AI163" i="7"/>
  <c r="AM163" i="7"/>
  <c r="AQ163" i="7"/>
  <c r="AU163" i="7"/>
  <c r="AF163" i="7"/>
  <c r="AJ163" i="7"/>
  <c r="AN163" i="7"/>
  <c r="AR163" i="7"/>
  <c r="AV163" i="7"/>
  <c r="AC163" i="7"/>
  <c r="AG163" i="7"/>
  <c r="AK163" i="7"/>
  <c r="AO163" i="7"/>
  <c r="AS163" i="7"/>
  <c r="AW163" i="7"/>
  <c r="AD163" i="7"/>
  <c r="AT163" i="7"/>
  <c r="AH163" i="7"/>
  <c r="AX163" i="7"/>
  <c r="AL163" i="7"/>
  <c r="AP163" i="7"/>
  <c r="AE159" i="7"/>
  <c r="AI159" i="7"/>
  <c r="AM159" i="7"/>
  <c r="AQ159" i="7"/>
  <c r="AU159" i="7"/>
  <c r="AF159" i="7"/>
  <c r="AJ159" i="7"/>
  <c r="AN159" i="7"/>
  <c r="AR159" i="7"/>
  <c r="AV159" i="7"/>
  <c r="AC159" i="7"/>
  <c r="AG159" i="7"/>
  <c r="AK159" i="7"/>
  <c r="AO159" i="7"/>
  <c r="AS159" i="7"/>
  <c r="AW159" i="7"/>
  <c r="AL159" i="7"/>
  <c r="AP159" i="7"/>
  <c r="AD159" i="7"/>
  <c r="AT159" i="7"/>
  <c r="AH159" i="7"/>
  <c r="AX159" i="7"/>
  <c r="AE155" i="7"/>
  <c r="AI155" i="7"/>
  <c r="AM155" i="7"/>
  <c r="AQ155" i="7"/>
  <c r="AU155" i="7"/>
  <c r="AF155" i="7"/>
  <c r="AJ155" i="7"/>
  <c r="AN155" i="7"/>
  <c r="AR155" i="7"/>
  <c r="AV155" i="7"/>
  <c r="AC155" i="7"/>
  <c r="AG155" i="7"/>
  <c r="AK155" i="7"/>
  <c r="AO155" i="7"/>
  <c r="AS155" i="7"/>
  <c r="AW155" i="7"/>
  <c r="AD155" i="7"/>
  <c r="AT155" i="7"/>
  <c r="AH155" i="7"/>
  <c r="AX155" i="7"/>
  <c r="AL155" i="7"/>
  <c r="AP155" i="7"/>
  <c r="AF151" i="7"/>
  <c r="AJ151" i="7"/>
  <c r="AN151" i="7"/>
  <c r="AR151" i="7"/>
  <c r="AV151" i="7"/>
  <c r="AC151" i="7"/>
  <c r="AG151" i="7"/>
  <c r="AK151" i="7"/>
  <c r="AO151" i="7"/>
  <c r="AS151" i="7"/>
  <c r="AW151" i="7"/>
  <c r="AD151" i="7"/>
  <c r="AH151" i="7"/>
  <c r="AL151" i="7"/>
  <c r="AP151" i="7"/>
  <c r="AT151" i="7"/>
  <c r="AX151" i="7"/>
  <c r="AM151" i="7"/>
  <c r="AQ151" i="7"/>
  <c r="AE151" i="7"/>
  <c r="AU151" i="7"/>
  <c r="AI151" i="7"/>
  <c r="AF147" i="7"/>
  <c r="AJ147" i="7"/>
  <c r="AN147" i="7"/>
  <c r="AR147" i="7"/>
  <c r="AV147" i="7"/>
  <c r="AC147" i="7"/>
  <c r="AG147" i="7"/>
  <c r="AK147" i="7"/>
  <c r="AO147" i="7"/>
  <c r="AS147" i="7"/>
  <c r="AW147" i="7"/>
  <c r="AD147" i="7"/>
  <c r="AH147" i="7"/>
  <c r="AL147" i="7"/>
  <c r="AP147" i="7"/>
  <c r="AT147" i="7"/>
  <c r="AX147" i="7"/>
  <c r="AE147" i="7"/>
  <c r="AU147" i="7"/>
  <c r="AI147" i="7"/>
  <c r="AM147" i="7"/>
  <c r="AQ147" i="7"/>
  <c r="AF143" i="7"/>
  <c r="AJ143" i="7"/>
  <c r="AN143" i="7"/>
  <c r="AR143" i="7"/>
  <c r="AV143" i="7"/>
  <c r="AC143" i="7"/>
  <c r="AG143" i="7"/>
  <c r="AK143" i="7"/>
  <c r="AO143" i="7"/>
  <c r="AS143" i="7"/>
  <c r="AW143" i="7"/>
  <c r="AD143" i="7"/>
  <c r="AH143" i="7"/>
  <c r="AL143" i="7"/>
  <c r="AP143" i="7"/>
  <c r="AT143" i="7"/>
  <c r="AX143" i="7"/>
  <c r="AM143" i="7"/>
  <c r="AQ143" i="7"/>
  <c r="AE143" i="7"/>
  <c r="AU143" i="7"/>
  <c r="AI143" i="7"/>
  <c r="AF139" i="7"/>
  <c r="AJ139" i="7"/>
  <c r="AN139" i="7"/>
  <c r="AR139" i="7"/>
  <c r="AV139" i="7"/>
  <c r="AC139" i="7"/>
  <c r="AG139" i="7"/>
  <c r="AK139" i="7"/>
  <c r="AO139" i="7"/>
  <c r="AS139" i="7"/>
  <c r="AW139" i="7"/>
  <c r="AD139" i="7"/>
  <c r="AH139" i="7"/>
  <c r="AL139" i="7"/>
  <c r="AP139" i="7"/>
  <c r="AT139" i="7"/>
  <c r="AX139" i="7"/>
  <c r="AE139" i="7"/>
  <c r="AU139" i="7"/>
  <c r="AI139" i="7"/>
  <c r="AM139" i="7"/>
  <c r="AQ139" i="7"/>
  <c r="AF135" i="7"/>
  <c r="AJ135" i="7"/>
  <c r="AN135" i="7"/>
  <c r="AR135" i="7"/>
  <c r="AV135" i="7"/>
  <c r="AC135" i="7"/>
  <c r="AG135" i="7"/>
  <c r="AK135" i="7"/>
  <c r="AO135" i="7"/>
  <c r="AS135" i="7"/>
  <c r="AW135" i="7"/>
  <c r="AD135" i="7"/>
  <c r="AH135" i="7"/>
  <c r="AL135" i="7"/>
  <c r="AP135" i="7"/>
  <c r="AT135" i="7"/>
  <c r="AX135" i="7"/>
  <c r="AM135" i="7"/>
  <c r="AQ135" i="7"/>
  <c r="AE135" i="7"/>
  <c r="AU135" i="7"/>
  <c r="AI135" i="7"/>
  <c r="AF131" i="7"/>
  <c r="AJ131" i="7"/>
  <c r="AN131" i="7"/>
  <c r="AR131" i="7"/>
  <c r="AV131" i="7"/>
  <c r="AC131" i="7"/>
  <c r="AG131" i="7"/>
  <c r="AK131" i="7"/>
  <c r="AO131" i="7"/>
  <c r="AS131" i="7"/>
  <c r="AW131" i="7"/>
  <c r="AD131" i="7"/>
  <c r="AH131" i="7"/>
  <c r="AL131" i="7"/>
  <c r="AP131" i="7"/>
  <c r="AT131" i="7"/>
  <c r="AX131" i="7"/>
  <c r="AE131" i="7"/>
  <c r="AU131" i="7"/>
  <c r="AI131" i="7"/>
  <c r="AM131" i="7"/>
  <c r="AQ131" i="7"/>
  <c r="AF127" i="7"/>
  <c r="AJ127" i="7"/>
  <c r="AN127" i="7"/>
  <c r="AR127" i="7"/>
  <c r="AV127" i="7"/>
  <c r="AC127" i="7"/>
  <c r="AG127" i="7"/>
  <c r="AK127" i="7"/>
  <c r="AO127" i="7"/>
  <c r="AS127" i="7"/>
  <c r="AW127" i="7"/>
  <c r="AD127" i="7"/>
  <c r="AH127" i="7"/>
  <c r="AL127" i="7"/>
  <c r="AP127" i="7"/>
  <c r="AT127" i="7"/>
  <c r="AX127" i="7"/>
  <c r="AM127" i="7"/>
  <c r="AQ127" i="7"/>
  <c r="AE127" i="7"/>
  <c r="AU127" i="7"/>
  <c r="AI127" i="7"/>
  <c r="AF123" i="7"/>
  <c r="AJ123" i="7"/>
  <c r="AN123" i="7"/>
  <c r="AR123" i="7"/>
  <c r="AV123" i="7"/>
  <c r="AC123" i="7"/>
  <c r="AG123" i="7"/>
  <c r="AK123" i="7"/>
  <c r="AO123" i="7"/>
  <c r="AS123" i="7"/>
  <c r="AW123" i="7"/>
  <c r="AD123" i="7"/>
  <c r="AH123" i="7"/>
  <c r="AL123" i="7"/>
  <c r="AP123" i="7"/>
  <c r="AT123" i="7"/>
  <c r="AX123" i="7"/>
  <c r="AE123" i="7"/>
  <c r="AU123" i="7"/>
  <c r="AI123" i="7"/>
  <c r="AM123" i="7"/>
  <c r="AQ123" i="7"/>
  <c r="AF119" i="7"/>
  <c r="AJ119" i="7"/>
  <c r="AN119" i="7"/>
  <c r="AR119" i="7"/>
  <c r="AV119" i="7"/>
  <c r="AC119" i="7"/>
  <c r="AG119" i="7"/>
  <c r="AK119" i="7"/>
  <c r="AO119" i="7"/>
  <c r="AS119" i="7"/>
  <c r="AW119" i="7"/>
  <c r="AD119" i="7"/>
  <c r="AH119" i="7"/>
  <c r="AL119" i="7"/>
  <c r="AP119" i="7"/>
  <c r="AT119" i="7"/>
  <c r="AX119" i="7"/>
  <c r="AM119" i="7"/>
  <c r="AQ119" i="7"/>
  <c r="AE119" i="7"/>
  <c r="AU119" i="7"/>
  <c r="AI119" i="7"/>
  <c r="AF115" i="7"/>
  <c r="AJ115" i="7"/>
  <c r="AN115" i="7"/>
  <c r="AR115" i="7"/>
  <c r="AV115" i="7"/>
  <c r="AC115" i="7"/>
  <c r="AG115" i="7"/>
  <c r="AK115" i="7"/>
  <c r="AO115" i="7"/>
  <c r="AS115" i="7"/>
  <c r="AW115" i="7"/>
  <c r="AD115" i="7"/>
  <c r="AH115" i="7"/>
  <c r="AL115" i="7"/>
  <c r="AP115" i="7"/>
  <c r="AT115" i="7"/>
  <c r="AX115" i="7"/>
  <c r="AE115" i="7"/>
  <c r="AU115" i="7"/>
  <c r="AI115" i="7"/>
  <c r="AM115" i="7"/>
  <c r="AQ115" i="7"/>
  <c r="AF111" i="7"/>
  <c r="AJ111" i="7"/>
  <c r="AN111" i="7"/>
  <c r="AR111" i="7"/>
  <c r="AV111" i="7"/>
  <c r="AC111" i="7"/>
  <c r="AG111" i="7"/>
  <c r="AK111" i="7"/>
  <c r="AO111" i="7"/>
  <c r="AS111" i="7"/>
  <c r="AW111" i="7"/>
  <c r="AD111" i="7"/>
  <c r="AH111" i="7"/>
  <c r="AL111" i="7"/>
  <c r="AP111" i="7"/>
  <c r="AT111" i="7"/>
  <c r="AX111" i="7"/>
  <c r="AM111" i="7"/>
  <c r="AQ111" i="7"/>
  <c r="AE111" i="7"/>
  <c r="AU111" i="7"/>
  <c r="AI111" i="7"/>
  <c r="AF107" i="7"/>
  <c r="AJ107" i="7"/>
  <c r="AN107" i="7"/>
  <c r="AR107" i="7"/>
  <c r="AV107" i="7"/>
  <c r="AC107" i="7"/>
  <c r="AG107" i="7"/>
  <c r="AK107" i="7"/>
  <c r="AO107" i="7"/>
  <c r="AS107" i="7"/>
  <c r="AW107" i="7"/>
  <c r="AD107" i="7"/>
  <c r="AH107" i="7"/>
  <c r="AL107" i="7"/>
  <c r="AP107" i="7"/>
  <c r="AT107" i="7"/>
  <c r="AX107" i="7"/>
  <c r="AE107" i="7"/>
  <c r="AU107" i="7"/>
  <c r="AI107" i="7"/>
  <c r="AM107" i="7"/>
  <c r="AQ107" i="7"/>
  <c r="AF103" i="7"/>
  <c r="AJ103" i="7"/>
  <c r="AN103" i="7"/>
  <c r="AR103" i="7"/>
  <c r="AV103" i="7"/>
  <c r="AC103" i="7"/>
  <c r="AG103" i="7"/>
  <c r="AK103" i="7"/>
  <c r="AO103" i="7"/>
  <c r="AS103" i="7"/>
  <c r="AW103" i="7"/>
  <c r="AD103" i="7"/>
  <c r="AH103" i="7"/>
  <c r="AL103" i="7"/>
  <c r="AP103" i="7"/>
  <c r="AT103" i="7"/>
  <c r="AX103" i="7"/>
  <c r="AM103" i="7"/>
  <c r="AQ103" i="7"/>
  <c r="AE103" i="7"/>
  <c r="AU103" i="7"/>
  <c r="AI103" i="7"/>
  <c r="AC99" i="7"/>
  <c r="AG99" i="7"/>
  <c r="AK99" i="7"/>
  <c r="AO99" i="7"/>
  <c r="AS99" i="7"/>
  <c r="AW99" i="7"/>
  <c r="AE99" i="7"/>
  <c r="AI99" i="7"/>
  <c r="AM99" i="7"/>
  <c r="AQ99" i="7"/>
  <c r="AU99" i="7"/>
  <c r="AH99" i="7"/>
  <c r="AP99" i="7"/>
  <c r="AX99" i="7"/>
  <c r="AJ99" i="7"/>
  <c r="AR99" i="7"/>
  <c r="AD99" i="7"/>
  <c r="AL99" i="7"/>
  <c r="AT99" i="7"/>
  <c r="AN99" i="7"/>
  <c r="AV99" i="7"/>
  <c r="AF99" i="7"/>
  <c r="AC95" i="7"/>
  <c r="AG95" i="7"/>
  <c r="AK95" i="7"/>
  <c r="AO95" i="7"/>
  <c r="AS95" i="7"/>
  <c r="AW95" i="7"/>
  <c r="AD95" i="7"/>
  <c r="AH95" i="7"/>
  <c r="AL95" i="7"/>
  <c r="AP95" i="7"/>
  <c r="AT95" i="7"/>
  <c r="AX95" i="7"/>
  <c r="AE95" i="7"/>
  <c r="AI95" i="7"/>
  <c r="AM95" i="7"/>
  <c r="AQ95" i="7"/>
  <c r="AU95" i="7"/>
  <c r="AN95" i="7"/>
  <c r="AR95" i="7"/>
  <c r="AF95" i="7"/>
  <c r="AV95" i="7"/>
  <c r="AJ95" i="7"/>
  <c r="AC91" i="7"/>
  <c r="AG91" i="7"/>
  <c r="AK91" i="7"/>
  <c r="AO91" i="7"/>
  <c r="AS91" i="7"/>
  <c r="AW91" i="7"/>
  <c r="AD91" i="7"/>
  <c r="AH91" i="7"/>
  <c r="AL91" i="7"/>
  <c r="AP91" i="7"/>
  <c r="AT91" i="7"/>
  <c r="AX91" i="7"/>
  <c r="AE91" i="7"/>
  <c r="AI91" i="7"/>
  <c r="AM91" i="7"/>
  <c r="AQ91" i="7"/>
  <c r="AU91" i="7"/>
  <c r="AF91" i="7"/>
  <c r="AV91" i="7"/>
  <c r="AJ91" i="7"/>
  <c r="AN91" i="7"/>
  <c r="AR91" i="7"/>
  <c r="AC87" i="7"/>
  <c r="AG87" i="7"/>
  <c r="AK87" i="7"/>
  <c r="AO87" i="7"/>
  <c r="AS87" i="7"/>
  <c r="AW87" i="7"/>
  <c r="AD87" i="7"/>
  <c r="AH87" i="7"/>
  <c r="AL87" i="7"/>
  <c r="AP87" i="7"/>
  <c r="AT87" i="7"/>
  <c r="AX87" i="7"/>
  <c r="AE87" i="7"/>
  <c r="AI87" i="7"/>
  <c r="AM87" i="7"/>
  <c r="AQ87" i="7"/>
  <c r="AU87" i="7"/>
  <c r="AN87" i="7"/>
  <c r="AR87" i="7"/>
  <c r="AF87" i="7"/>
  <c r="AV87" i="7"/>
  <c r="AJ87" i="7"/>
  <c r="AC83" i="7"/>
  <c r="AG83" i="7"/>
  <c r="AK83" i="7"/>
  <c r="AO83" i="7"/>
  <c r="AS83" i="7"/>
  <c r="AW83" i="7"/>
  <c r="AD83" i="7"/>
  <c r="AH83" i="7"/>
  <c r="AL83" i="7"/>
  <c r="AP83" i="7"/>
  <c r="AT83" i="7"/>
  <c r="AX83" i="7"/>
  <c r="AE83" i="7"/>
  <c r="AI83" i="7"/>
  <c r="AM83" i="7"/>
  <c r="AQ83" i="7"/>
  <c r="AU83" i="7"/>
  <c r="AF83" i="7"/>
  <c r="AV83" i="7"/>
  <c r="AJ83" i="7"/>
  <c r="AN83" i="7"/>
  <c r="AR83" i="7"/>
  <c r="AF79" i="7"/>
  <c r="AJ79" i="7"/>
  <c r="AN79" i="7"/>
  <c r="AC79" i="7"/>
  <c r="AG79" i="7"/>
  <c r="AK79" i="7"/>
  <c r="AO79" i="7"/>
  <c r="AS79" i="7"/>
  <c r="AW79" i="7"/>
  <c r="AI79" i="7"/>
  <c r="AQ79" i="7"/>
  <c r="AV79" i="7"/>
  <c r="AD79" i="7"/>
  <c r="AL79" i="7"/>
  <c r="AR79" i="7"/>
  <c r="AX79" i="7"/>
  <c r="AE79" i="7"/>
  <c r="AM79" i="7"/>
  <c r="AT79" i="7"/>
  <c r="AH79" i="7"/>
  <c r="AP79" i="7"/>
  <c r="AU79" i="7"/>
  <c r="AF75" i="7"/>
  <c r="AJ75" i="7"/>
  <c r="AN75" i="7"/>
  <c r="AR75" i="7"/>
  <c r="AV75" i="7"/>
  <c r="AC75" i="7"/>
  <c r="AG75" i="7"/>
  <c r="AK75" i="7"/>
  <c r="AO75" i="7"/>
  <c r="AS75" i="7"/>
  <c r="AW75" i="7"/>
  <c r="AI75" i="7"/>
  <c r="AQ75" i="7"/>
  <c r="AD75" i="7"/>
  <c r="AL75" i="7"/>
  <c r="AT75" i="7"/>
  <c r="AE75" i="7"/>
  <c r="AM75" i="7"/>
  <c r="AU75" i="7"/>
  <c r="AX75" i="7"/>
  <c r="AH75" i="7"/>
  <c r="AP75" i="7"/>
  <c r="AF71" i="7"/>
  <c r="AJ71" i="7"/>
  <c r="AN71" i="7"/>
  <c r="AR71" i="7"/>
  <c r="AV71" i="7"/>
  <c r="AC71" i="7"/>
  <c r="AG71" i="7"/>
  <c r="AK71" i="7"/>
  <c r="AO71" i="7"/>
  <c r="AS71" i="7"/>
  <c r="AW71" i="7"/>
  <c r="AI71" i="7"/>
  <c r="AQ71" i="7"/>
  <c r="AD71" i="7"/>
  <c r="AL71" i="7"/>
  <c r="AT71" i="7"/>
  <c r="AE71" i="7"/>
  <c r="AM71" i="7"/>
  <c r="AU71" i="7"/>
  <c r="AP71" i="7"/>
  <c r="AX71" i="7"/>
  <c r="AH71" i="7"/>
  <c r="AF67" i="7"/>
  <c r="AJ67" i="7"/>
  <c r="AN67" i="7"/>
  <c r="AR67" i="7"/>
  <c r="AV67" i="7"/>
  <c r="AD67" i="7"/>
  <c r="AI67" i="7"/>
  <c r="AO67" i="7"/>
  <c r="AT67" i="7"/>
  <c r="AE67" i="7"/>
  <c r="AK67" i="7"/>
  <c r="AP67" i="7"/>
  <c r="AU67" i="7"/>
  <c r="AC67" i="7"/>
  <c r="AM67" i="7"/>
  <c r="AX67" i="7"/>
  <c r="AG67" i="7"/>
  <c r="AQ67" i="7"/>
  <c r="AH67" i="7"/>
  <c r="AS67" i="7"/>
  <c r="AL67" i="7"/>
  <c r="AW67" i="7"/>
  <c r="AF63" i="7"/>
  <c r="AJ63" i="7"/>
  <c r="AN63" i="7"/>
  <c r="AR63" i="7"/>
  <c r="AV63" i="7"/>
  <c r="AG63" i="7"/>
  <c r="AL63" i="7"/>
  <c r="AQ63" i="7"/>
  <c r="AW63" i="7"/>
  <c r="AC63" i="7"/>
  <c r="AH63" i="7"/>
  <c r="AM63" i="7"/>
  <c r="AS63" i="7"/>
  <c r="AX63" i="7"/>
  <c r="AD63" i="7"/>
  <c r="AI63" i="7"/>
  <c r="AO63" i="7"/>
  <c r="AT63" i="7"/>
  <c r="AU63" i="7"/>
  <c r="AE63" i="7"/>
  <c r="AK63" i="7"/>
  <c r="AP63" i="7"/>
  <c r="AF59" i="7"/>
  <c r="AJ59" i="7"/>
  <c r="AN59" i="7"/>
  <c r="AR59" i="7"/>
  <c r="AV59" i="7"/>
  <c r="AD59" i="7"/>
  <c r="AI59" i="7"/>
  <c r="AO59" i="7"/>
  <c r="AT59" i="7"/>
  <c r="AE59" i="7"/>
  <c r="AK59" i="7"/>
  <c r="AP59" i="7"/>
  <c r="AU59" i="7"/>
  <c r="AG59" i="7"/>
  <c r="AL59" i="7"/>
  <c r="AQ59" i="7"/>
  <c r="AW59" i="7"/>
  <c r="AC59" i="7"/>
  <c r="AX59" i="7"/>
  <c r="AH59" i="7"/>
  <c r="AM59" i="7"/>
  <c r="AS59" i="7"/>
  <c r="AF55" i="7"/>
  <c r="AJ55" i="7"/>
  <c r="AN55" i="7"/>
  <c r="AR55" i="7"/>
  <c r="AV55" i="7"/>
  <c r="AG55" i="7"/>
  <c r="AL55" i="7"/>
  <c r="AQ55" i="7"/>
  <c r="AW55" i="7"/>
  <c r="AC55" i="7"/>
  <c r="AH55" i="7"/>
  <c r="AM55" i="7"/>
  <c r="AS55" i="7"/>
  <c r="AX55" i="7"/>
  <c r="AD55" i="7"/>
  <c r="AI55" i="7"/>
  <c r="AO55" i="7"/>
  <c r="AT55" i="7"/>
  <c r="AE55" i="7"/>
  <c r="AK55" i="7"/>
  <c r="AP55" i="7"/>
  <c r="AU55" i="7"/>
  <c r="AF51" i="7"/>
  <c r="AJ51" i="7"/>
  <c r="AN51" i="7"/>
  <c r="AR51" i="7"/>
  <c r="AV51" i="7"/>
  <c r="AC51" i="7"/>
  <c r="AG51" i="7"/>
  <c r="AK51" i="7"/>
  <c r="AO51" i="7"/>
  <c r="AS51" i="7"/>
  <c r="AW51" i="7"/>
  <c r="AH51" i="7"/>
  <c r="AP51" i="7"/>
  <c r="AX51" i="7"/>
  <c r="AI51" i="7"/>
  <c r="AQ51" i="7"/>
  <c r="AD51" i="7"/>
  <c r="AL51" i="7"/>
  <c r="AT51" i="7"/>
  <c r="AE51" i="7"/>
  <c r="AM51" i="7"/>
  <c r="AU51" i="7"/>
  <c r="AF47" i="7"/>
  <c r="AJ47" i="7"/>
  <c r="AN47" i="7"/>
  <c r="AR47" i="7"/>
  <c r="AV47" i="7"/>
  <c r="AC47" i="7"/>
  <c r="AG47" i="7"/>
  <c r="AK47" i="7"/>
  <c r="AO47" i="7"/>
  <c r="AS47" i="7"/>
  <c r="AW47" i="7"/>
  <c r="AH47" i="7"/>
  <c r="AP47" i="7"/>
  <c r="AX47" i="7"/>
  <c r="AI47" i="7"/>
  <c r="AQ47" i="7"/>
  <c r="AD47" i="7"/>
  <c r="AL47" i="7"/>
  <c r="AT47" i="7"/>
  <c r="AU47" i="7"/>
  <c r="AE47" i="7"/>
  <c r="AM47" i="7"/>
  <c r="AF43" i="7"/>
  <c r="AE43" i="7"/>
  <c r="AJ43" i="7"/>
  <c r="AN43" i="7"/>
  <c r="AR43" i="7"/>
  <c r="AV43" i="7"/>
  <c r="AG43" i="7"/>
  <c r="AK43" i="7"/>
  <c r="AO43" i="7"/>
  <c r="AS43" i="7"/>
  <c r="AW43" i="7"/>
  <c r="AH43" i="7"/>
  <c r="AP43" i="7"/>
  <c r="AX43" i="7"/>
  <c r="AI43" i="7"/>
  <c r="AQ43" i="7"/>
  <c r="AC43" i="7"/>
  <c r="AL43" i="7"/>
  <c r="AT43" i="7"/>
  <c r="AM43" i="7"/>
  <c r="AU43" i="7"/>
  <c r="AD43" i="7"/>
  <c r="AD39" i="7"/>
  <c r="AH39" i="7"/>
  <c r="AL39" i="7"/>
  <c r="AP39" i="7"/>
  <c r="AT39" i="7"/>
  <c r="AX39" i="7"/>
  <c r="AE39" i="7"/>
  <c r="AI39" i="7"/>
  <c r="AM39" i="7"/>
  <c r="AQ39" i="7"/>
  <c r="AU39" i="7"/>
  <c r="AF39" i="7"/>
  <c r="AJ39" i="7"/>
  <c r="AN39" i="7"/>
  <c r="AR39" i="7"/>
  <c r="AV39" i="7"/>
  <c r="AK39" i="7"/>
  <c r="AO39" i="7"/>
  <c r="AC39" i="7"/>
  <c r="AG39" i="7"/>
  <c r="AS39" i="7"/>
  <c r="AW39" i="7"/>
  <c r="AD35" i="7"/>
  <c r="AH35" i="7"/>
  <c r="AL35" i="7"/>
  <c r="AP35" i="7"/>
  <c r="AT35" i="7"/>
  <c r="AX35" i="7"/>
  <c r="AE35" i="7"/>
  <c r="AI35" i="7"/>
  <c r="AM35" i="7"/>
  <c r="AQ35" i="7"/>
  <c r="AU35" i="7"/>
  <c r="AF35" i="7"/>
  <c r="AJ35" i="7"/>
  <c r="AN35" i="7"/>
  <c r="AR35" i="7"/>
  <c r="AV35" i="7"/>
  <c r="AC35" i="7"/>
  <c r="AS35" i="7"/>
  <c r="AG35" i="7"/>
  <c r="AW35" i="7"/>
  <c r="AK35" i="7"/>
  <c r="AO35" i="7"/>
  <c r="AD31" i="7"/>
  <c r="AC31" i="7"/>
  <c r="AH31" i="7"/>
  <c r="AL31" i="7"/>
  <c r="AP31" i="7"/>
  <c r="AT31" i="7"/>
  <c r="AX31" i="7"/>
  <c r="AE31" i="7"/>
  <c r="AI31" i="7"/>
  <c r="AM31" i="7"/>
  <c r="AQ31" i="7"/>
  <c r="AU31" i="7"/>
  <c r="AF31" i="7"/>
  <c r="AJ31" i="7"/>
  <c r="AN31" i="7"/>
  <c r="AR31" i="7"/>
  <c r="AV31" i="7"/>
  <c r="AK31" i="7"/>
  <c r="AO31" i="7"/>
  <c r="AS31" i="7"/>
  <c r="AW31" i="7"/>
  <c r="AG31" i="7"/>
  <c r="AD27" i="7"/>
  <c r="AH27" i="7"/>
  <c r="AL27" i="7"/>
  <c r="AP27" i="7"/>
  <c r="AT27" i="7"/>
  <c r="AX27" i="7"/>
  <c r="AE27" i="7"/>
  <c r="AI27" i="7"/>
  <c r="AM27" i="7"/>
  <c r="AQ27" i="7"/>
  <c r="AU27" i="7"/>
  <c r="AF27" i="7"/>
  <c r="AJ27" i="7"/>
  <c r="AN27" i="7"/>
  <c r="AR27" i="7"/>
  <c r="AV27" i="7"/>
  <c r="AK27" i="7"/>
  <c r="AO27" i="7"/>
  <c r="AC27" i="7"/>
  <c r="AS27" i="7"/>
  <c r="AW27" i="7"/>
  <c r="AG27" i="7"/>
  <c r="AD23" i="7"/>
  <c r="AH23" i="7"/>
  <c r="AL23" i="7"/>
  <c r="AP23" i="7"/>
  <c r="AT23" i="7"/>
  <c r="AX23" i="7"/>
  <c r="AE23" i="7"/>
  <c r="AI23" i="7"/>
  <c r="AM23" i="7"/>
  <c r="AQ23" i="7"/>
  <c r="AU23" i="7"/>
  <c r="AF23" i="7"/>
  <c r="AJ23" i="7"/>
  <c r="AN23" i="7"/>
  <c r="AR23" i="7"/>
  <c r="AV23" i="7"/>
  <c r="AC23" i="7"/>
  <c r="AS23" i="7"/>
  <c r="AG23" i="7"/>
  <c r="AW23" i="7"/>
  <c r="AK23" i="7"/>
  <c r="AO23" i="7"/>
  <c r="AE19" i="7"/>
  <c r="AI19" i="7"/>
  <c r="AF19" i="7"/>
  <c r="AJ19" i="7"/>
  <c r="AC19" i="7"/>
  <c r="AG19" i="7"/>
  <c r="AK19" i="7"/>
  <c r="AL19" i="7"/>
  <c r="AP19" i="7"/>
  <c r="AT19" i="7"/>
  <c r="AX19" i="7"/>
  <c r="AM19" i="7"/>
  <c r="AQ19" i="7"/>
  <c r="AU19" i="7"/>
  <c r="AD19" i="7"/>
  <c r="AN19" i="7"/>
  <c r="AR19" i="7"/>
  <c r="AV19" i="7"/>
  <c r="AH19" i="7"/>
  <c r="AO19" i="7"/>
  <c r="AS19" i="7"/>
  <c r="AW19" i="7"/>
  <c r="AE15" i="7"/>
  <c r="AI15" i="7"/>
  <c r="AM15" i="7"/>
  <c r="AQ15" i="7"/>
  <c r="AU15" i="7"/>
  <c r="AF15" i="7"/>
  <c r="AJ15" i="7"/>
  <c r="AN15" i="7"/>
  <c r="AR15" i="7"/>
  <c r="AV15" i="7"/>
  <c r="AC15" i="7"/>
  <c r="AG15" i="7"/>
  <c r="AK15" i="7"/>
  <c r="AO15" i="7"/>
  <c r="AS15" i="7"/>
  <c r="AW15" i="7"/>
  <c r="AD15" i="7"/>
  <c r="AT15" i="7"/>
  <c r="AH15" i="7"/>
  <c r="AX15" i="7"/>
  <c r="AL15" i="7"/>
  <c r="AP15" i="7"/>
  <c r="AE11" i="7"/>
  <c r="AI11" i="7"/>
  <c r="AM11" i="7"/>
  <c r="AQ11" i="7"/>
  <c r="AU11" i="7"/>
  <c r="AF11" i="7"/>
  <c r="AJ11" i="7"/>
  <c r="AN11" i="7"/>
  <c r="AR11" i="7"/>
  <c r="AV11" i="7"/>
  <c r="AC11" i="7"/>
  <c r="AG11" i="7"/>
  <c r="AK11" i="7"/>
  <c r="AO11" i="7"/>
  <c r="AS11" i="7"/>
  <c r="AW11" i="7"/>
  <c r="AL11" i="7"/>
  <c r="AP11" i="7"/>
  <c r="AD11" i="7"/>
  <c r="AT11" i="7"/>
  <c r="AH11" i="7"/>
  <c r="AX11" i="7"/>
  <c r="AE7" i="7"/>
  <c r="AI7" i="7"/>
  <c r="AM7" i="7"/>
  <c r="AQ7" i="7"/>
  <c r="AU7" i="7"/>
  <c r="AF7" i="7"/>
  <c r="AJ7" i="7"/>
  <c r="AN7" i="7"/>
  <c r="AR7" i="7"/>
  <c r="AV7" i="7"/>
  <c r="AC7" i="7"/>
  <c r="AG7" i="7"/>
  <c r="AK7" i="7"/>
  <c r="AO7" i="7"/>
  <c r="AS7" i="7"/>
  <c r="AW7" i="7"/>
  <c r="AD7" i="7"/>
  <c r="AT7" i="7"/>
  <c r="AH7" i="7"/>
  <c r="AX7" i="7"/>
  <c r="AL7" i="7"/>
  <c r="AP7" i="7"/>
  <c r="AV3" i="7"/>
  <c r="AR3" i="7"/>
  <c r="AN3" i="7"/>
  <c r="AJ3" i="7"/>
  <c r="AF3" i="7"/>
  <c r="AW502" i="7"/>
  <c r="AS502" i="7"/>
  <c r="AO502" i="7"/>
  <c r="AK502" i="7"/>
  <c r="AG502" i="7"/>
  <c r="AC502" i="7"/>
  <c r="AU501" i="7"/>
  <c r="AQ501" i="7"/>
  <c r="AM501" i="7"/>
  <c r="AI501" i="7"/>
  <c r="AE501" i="7"/>
  <c r="AW500" i="7"/>
  <c r="AS500" i="7"/>
  <c r="AO500" i="7"/>
  <c r="AK500" i="7"/>
  <c r="AG500" i="7"/>
  <c r="AC500" i="7"/>
  <c r="AU499" i="7"/>
  <c r="AQ499" i="7"/>
  <c r="AM499" i="7"/>
  <c r="AI499" i="7"/>
  <c r="AE499" i="7"/>
  <c r="AW498" i="7"/>
  <c r="AP498" i="7"/>
  <c r="AV497" i="7"/>
  <c r="AN497" i="7"/>
  <c r="AF497" i="7"/>
  <c r="AT496" i="7"/>
  <c r="AL496" i="7"/>
  <c r="AD496" i="7"/>
  <c r="AR495" i="7"/>
  <c r="AJ495" i="7"/>
  <c r="AV493" i="7"/>
  <c r="AF493" i="7"/>
  <c r="AL492" i="7"/>
  <c r="AR491" i="7"/>
  <c r="AX490" i="7"/>
  <c r="AT488" i="7"/>
  <c r="AD488" i="7"/>
  <c r="AJ487" i="7"/>
  <c r="AV485" i="7"/>
  <c r="AF485" i="7"/>
  <c r="AL484" i="7"/>
  <c r="AR483" i="7"/>
  <c r="AX482" i="7"/>
  <c r="AN481" i="7"/>
  <c r="AT480" i="7"/>
  <c r="AD480" i="7"/>
  <c r="AJ479" i="7"/>
  <c r="AV477" i="7"/>
  <c r="AL476" i="7"/>
  <c r="AR475" i="7"/>
  <c r="AX474" i="7"/>
  <c r="AN473" i="7"/>
  <c r="AT472" i="7"/>
  <c r="AD472" i="7"/>
  <c r="AJ471" i="7"/>
  <c r="AV469" i="7"/>
  <c r="AF469" i="7"/>
  <c r="AL468" i="7"/>
  <c r="AR467" i="7"/>
  <c r="AX466" i="7"/>
  <c r="AN465" i="7"/>
  <c r="AT464" i="7"/>
  <c r="AD464" i="7"/>
  <c r="AJ463" i="7"/>
  <c r="AV461" i="7"/>
  <c r="AL460" i="7"/>
  <c r="AR459" i="7"/>
  <c r="AX458" i="7"/>
  <c r="AN457" i="7"/>
  <c r="AT456" i="7"/>
  <c r="AD456" i="7"/>
  <c r="AJ455" i="7"/>
  <c r="AV453" i="7"/>
  <c r="AF453" i="7"/>
  <c r="AL452" i="7"/>
  <c r="AR451" i="7"/>
  <c r="AX450" i="7"/>
  <c r="AT448" i="7"/>
  <c r="AD448" i="7"/>
  <c r="AJ447" i="7"/>
  <c r="AV445" i="7"/>
  <c r="AF445" i="7"/>
  <c r="AL444" i="7"/>
  <c r="AR443" i="7"/>
  <c r="AX442" i="7"/>
  <c r="AN441" i="7"/>
  <c r="AT440" i="7"/>
  <c r="AD440" i="7"/>
  <c r="AJ439" i="7"/>
  <c r="AV437" i="7"/>
  <c r="AL436" i="7"/>
  <c r="AR435" i="7"/>
  <c r="AX434" i="7"/>
  <c r="AN433" i="7"/>
  <c r="AT432" i="7"/>
  <c r="AD432" i="7"/>
  <c r="AJ431" i="7"/>
  <c r="AV429" i="7"/>
  <c r="AL428" i="7"/>
  <c r="AR427" i="7"/>
  <c r="AX426" i="7"/>
  <c r="AN425" i="7"/>
  <c r="AT424" i="7"/>
  <c r="AD424" i="7"/>
  <c r="AJ423" i="7"/>
  <c r="AV421" i="7"/>
  <c r="AF421" i="7"/>
  <c r="AL420" i="7"/>
  <c r="AR419" i="7"/>
  <c r="AX418" i="7"/>
  <c r="AT416" i="7"/>
  <c r="AD416" i="7"/>
  <c r="AJ415" i="7"/>
  <c r="AV413" i="7"/>
  <c r="AF413" i="7"/>
  <c r="AL412" i="7"/>
  <c r="AR411" i="7"/>
  <c r="AX410" i="7"/>
  <c r="AN409" i="7"/>
  <c r="AT408" i="7"/>
  <c r="AD408" i="7"/>
  <c r="AJ407" i="7"/>
  <c r="AV405" i="7"/>
  <c r="AL404" i="7"/>
  <c r="AR403" i="7"/>
  <c r="AX402" i="7"/>
  <c r="AG399" i="7"/>
  <c r="AI396" i="7"/>
  <c r="AK393" i="7"/>
  <c r="AO387" i="7"/>
  <c r="AQ384" i="7"/>
  <c r="AS381" i="7"/>
  <c r="AW375" i="7"/>
  <c r="AC373" i="7"/>
  <c r="AG367" i="7"/>
  <c r="AI364" i="7"/>
  <c r="AO355" i="7"/>
  <c r="AQ352" i="7"/>
  <c r="AS349" i="7"/>
  <c r="AW343" i="7"/>
  <c r="AC341" i="7"/>
  <c r="AG335" i="7"/>
  <c r="AI332" i="7"/>
  <c r="AO323" i="7"/>
  <c r="AQ320" i="7"/>
  <c r="AW311" i="7"/>
  <c r="AT307" i="7"/>
  <c r="AF296" i="7"/>
  <c r="AN284" i="7"/>
  <c r="AV272" i="7"/>
  <c r="AH261" i="7"/>
  <c r="AP249" i="7"/>
  <c r="AX237" i="7"/>
  <c r="AD203" i="7"/>
  <c r="AL161" i="7"/>
  <c r="AC489" i="7"/>
  <c r="AG489" i="7"/>
  <c r="AK489" i="7"/>
  <c r="AO489" i="7"/>
  <c r="AS489" i="7"/>
  <c r="AW489" i="7"/>
  <c r="AD489" i="7"/>
  <c r="AH489" i="7"/>
  <c r="AL489" i="7"/>
  <c r="AP489" i="7"/>
  <c r="AT489" i="7"/>
  <c r="AX489" i="7"/>
  <c r="AE489" i="7"/>
  <c r="AI489" i="7"/>
  <c r="AM489" i="7"/>
  <c r="AQ489" i="7"/>
  <c r="AU489" i="7"/>
  <c r="AC477" i="7"/>
  <c r="AG477" i="7"/>
  <c r="AK477" i="7"/>
  <c r="AO477" i="7"/>
  <c r="AS477" i="7"/>
  <c r="AW477" i="7"/>
  <c r="AD477" i="7"/>
  <c r="AH477" i="7"/>
  <c r="AL477" i="7"/>
  <c r="AP477" i="7"/>
  <c r="AT477" i="7"/>
  <c r="AX477" i="7"/>
  <c r="AE477" i="7"/>
  <c r="AI477" i="7"/>
  <c r="AM477" i="7"/>
  <c r="AQ477" i="7"/>
  <c r="AU477" i="7"/>
  <c r="AC461" i="7"/>
  <c r="AG461" i="7"/>
  <c r="AK461" i="7"/>
  <c r="AO461" i="7"/>
  <c r="AS461" i="7"/>
  <c r="AW461" i="7"/>
  <c r="AD461" i="7"/>
  <c r="AH461" i="7"/>
  <c r="AL461" i="7"/>
  <c r="AP461" i="7"/>
  <c r="AT461" i="7"/>
  <c r="AX461" i="7"/>
  <c r="AE461" i="7"/>
  <c r="AI461" i="7"/>
  <c r="AM461" i="7"/>
  <c r="AQ461" i="7"/>
  <c r="AU461" i="7"/>
  <c r="AC449" i="7"/>
  <c r="AG449" i="7"/>
  <c r="AK449" i="7"/>
  <c r="AO449" i="7"/>
  <c r="AS449" i="7"/>
  <c r="AW449" i="7"/>
  <c r="AD449" i="7"/>
  <c r="AH449" i="7"/>
  <c r="AL449" i="7"/>
  <c r="AP449" i="7"/>
  <c r="AT449" i="7"/>
  <c r="AX449" i="7"/>
  <c r="AE449" i="7"/>
  <c r="AI449" i="7"/>
  <c r="AM449" i="7"/>
  <c r="AQ449" i="7"/>
  <c r="AU449" i="7"/>
  <c r="AC437" i="7"/>
  <c r="AG437" i="7"/>
  <c r="AK437" i="7"/>
  <c r="AO437" i="7"/>
  <c r="AS437" i="7"/>
  <c r="AW437" i="7"/>
  <c r="AD437" i="7"/>
  <c r="AH437" i="7"/>
  <c r="AL437" i="7"/>
  <c r="AP437" i="7"/>
  <c r="AT437" i="7"/>
  <c r="AX437" i="7"/>
  <c r="AE437" i="7"/>
  <c r="AI437" i="7"/>
  <c r="AM437" i="7"/>
  <c r="AQ437" i="7"/>
  <c r="AU437" i="7"/>
  <c r="AC429" i="7"/>
  <c r="AG429" i="7"/>
  <c r="AK429" i="7"/>
  <c r="AO429" i="7"/>
  <c r="AS429" i="7"/>
  <c r="AW429" i="7"/>
  <c r="AD429" i="7"/>
  <c r="AH429" i="7"/>
  <c r="AL429" i="7"/>
  <c r="AP429" i="7"/>
  <c r="AT429" i="7"/>
  <c r="AX429" i="7"/>
  <c r="AE429" i="7"/>
  <c r="AI429" i="7"/>
  <c r="AM429" i="7"/>
  <c r="AQ429" i="7"/>
  <c r="AU429" i="7"/>
  <c r="AC417" i="7"/>
  <c r="AG417" i="7"/>
  <c r="AK417" i="7"/>
  <c r="AO417" i="7"/>
  <c r="AS417" i="7"/>
  <c r="AW417" i="7"/>
  <c r="AD417" i="7"/>
  <c r="AH417" i="7"/>
  <c r="AL417" i="7"/>
  <c r="AP417" i="7"/>
  <c r="AT417" i="7"/>
  <c r="AX417" i="7"/>
  <c r="AE417" i="7"/>
  <c r="AI417" i="7"/>
  <c r="AM417" i="7"/>
  <c r="AQ417" i="7"/>
  <c r="AU417" i="7"/>
  <c r="AC405" i="7"/>
  <c r="AG405" i="7"/>
  <c r="AK405" i="7"/>
  <c r="AO405" i="7"/>
  <c r="AS405" i="7"/>
  <c r="AW405" i="7"/>
  <c r="AD405" i="7"/>
  <c r="AH405" i="7"/>
  <c r="AL405" i="7"/>
  <c r="AP405" i="7"/>
  <c r="AT405" i="7"/>
  <c r="AX405" i="7"/>
  <c r="AE405" i="7"/>
  <c r="AI405" i="7"/>
  <c r="AM405" i="7"/>
  <c r="AQ405" i="7"/>
  <c r="AU405" i="7"/>
  <c r="AD389" i="7"/>
  <c r="AH389" i="7"/>
  <c r="AL389" i="7"/>
  <c r="AP389" i="7"/>
  <c r="AT389" i="7"/>
  <c r="AX389" i="7"/>
  <c r="AE389" i="7"/>
  <c r="AI389" i="7"/>
  <c r="AM389" i="7"/>
  <c r="AQ389" i="7"/>
  <c r="AU389" i="7"/>
  <c r="AF389" i="7"/>
  <c r="AJ389" i="7"/>
  <c r="AN389" i="7"/>
  <c r="AR389" i="7"/>
  <c r="AV389" i="7"/>
  <c r="AG389" i="7"/>
  <c r="AW389" i="7"/>
  <c r="AK389" i="7"/>
  <c r="AO389" i="7"/>
  <c r="AD385" i="7"/>
  <c r="AH385" i="7"/>
  <c r="AL385" i="7"/>
  <c r="AP385" i="7"/>
  <c r="AT385" i="7"/>
  <c r="AX385" i="7"/>
  <c r="AE385" i="7"/>
  <c r="AI385" i="7"/>
  <c r="AM385" i="7"/>
  <c r="AQ385" i="7"/>
  <c r="AU385" i="7"/>
  <c r="AF385" i="7"/>
  <c r="AJ385" i="7"/>
  <c r="AN385" i="7"/>
  <c r="AR385" i="7"/>
  <c r="AV385" i="7"/>
  <c r="AO385" i="7"/>
  <c r="AC385" i="7"/>
  <c r="AS385" i="7"/>
  <c r="AG385" i="7"/>
  <c r="AW385" i="7"/>
  <c r="AD369" i="7"/>
  <c r="AH369" i="7"/>
  <c r="AL369" i="7"/>
  <c r="AP369" i="7"/>
  <c r="AT369" i="7"/>
  <c r="AX369" i="7"/>
  <c r="AE369" i="7"/>
  <c r="AI369" i="7"/>
  <c r="AM369" i="7"/>
  <c r="AQ369" i="7"/>
  <c r="AU369" i="7"/>
  <c r="AF369" i="7"/>
  <c r="AJ369" i="7"/>
  <c r="AN369" i="7"/>
  <c r="AR369" i="7"/>
  <c r="AV369" i="7"/>
  <c r="AO369" i="7"/>
  <c r="AC369" i="7"/>
  <c r="AS369" i="7"/>
  <c r="AG369" i="7"/>
  <c r="AW369" i="7"/>
  <c r="AD361" i="7"/>
  <c r="AH361" i="7"/>
  <c r="AL361" i="7"/>
  <c r="AP361" i="7"/>
  <c r="AT361" i="7"/>
  <c r="AX361" i="7"/>
  <c r="AE361" i="7"/>
  <c r="AI361" i="7"/>
  <c r="AM361" i="7"/>
  <c r="AQ361" i="7"/>
  <c r="AU361" i="7"/>
  <c r="AF361" i="7"/>
  <c r="AJ361" i="7"/>
  <c r="AN361" i="7"/>
  <c r="AR361" i="7"/>
  <c r="AV361" i="7"/>
  <c r="AO361" i="7"/>
  <c r="AC361" i="7"/>
  <c r="AS361" i="7"/>
  <c r="AG361" i="7"/>
  <c r="AW361" i="7"/>
  <c r="AD345" i="7"/>
  <c r="AH345" i="7"/>
  <c r="AL345" i="7"/>
  <c r="AP345" i="7"/>
  <c r="AT345" i="7"/>
  <c r="AX345" i="7"/>
  <c r="AE345" i="7"/>
  <c r="AI345" i="7"/>
  <c r="AM345" i="7"/>
  <c r="AQ345" i="7"/>
  <c r="AU345" i="7"/>
  <c r="AF345" i="7"/>
  <c r="AJ345" i="7"/>
  <c r="AN345" i="7"/>
  <c r="AR345" i="7"/>
  <c r="AV345" i="7"/>
  <c r="AO345" i="7"/>
  <c r="AC345" i="7"/>
  <c r="AS345" i="7"/>
  <c r="AG345" i="7"/>
  <c r="AW345" i="7"/>
  <c r="AD333" i="7"/>
  <c r="AH333" i="7"/>
  <c r="AL333" i="7"/>
  <c r="AP333" i="7"/>
  <c r="AT333" i="7"/>
  <c r="AX333" i="7"/>
  <c r="AE333" i="7"/>
  <c r="AI333" i="7"/>
  <c r="AM333" i="7"/>
  <c r="AQ333" i="7"/>
  <c r="AU333" i="7"/>
  <c r="AF333" i="7"/>
  <c r="AJ333" i="7"/>
  <c r="AN333" i="7"/>
  <c r="AR333" i="7"/>
  <c r="AV333" i="7"/>
  <c r="AG333" i="7"/>
  <c r="AW333" i="7"/>
  <c r="AK333" i="7"/>
  <c r="AO333" i="7"/>
  <c r="AD329" i="7"/>
  <c r="AH329" i="7"/>
  <c r="AL329" i="7"/>
  <c r="AP329" i="7"/>
  <c r="AT329" i="7"/>
  <c r="AX329" i="7"/>
  <c r="AE329" i="7"/>
  <c r="AI329" i="7"/>
  <c r="AM329" i="7"/>
  <c r="AQ329" i="7"/>
  <c r="AU329" i="7"/>
  <c r="AF329" i="7"/>
  <c r="AJ329" i="7"/>
  <c r="AN329" i="7"/>
  <c r="AR329" i="7"/>
  <c r="AV329" i="7"/>
  <c r="AO329" i="7"/>
  <c r="AC329" i="7"/>
  <c r="AS329" i="7"/>
  <c r="AG329" i="7"/>
  <c r="AW329" i="7"/>
  <c r="AD317" i="7"/>
  <c r="AH317" i="7"/>
  <c r="AL317" i="7"/>
  <c r="AP317" i="7"/>
  <c r="AT317" i="7"/>
  <c r="AX317" i="7"/>
  <c r="AE317" i="7"/>
  <c r="AI317" i="7"/>
  <c r="AM317" i="7"/>
  <c r="AQ317" i="7"/>
  <c r="AU317" i="7"/>
  <c r="AF317" i="7"/>
  <c r="AJ317" i="7"/>
  <c r="AN317" i="7"/>
  <c r="AR317" i="7"/>
  <c r="AV317" i="7"/>
  <c r="AG317" i="7"/>
  <c r="AW317" i="7"/>
  <c r="AK317" i="7"/>
  <c r="AO317" i="7"/>
  <c r="AE305" i="7"/>
  <c r="AI305" i="7"/>
  <c r="AM305" i="7"/>
  <c r="AQ305" i="7"/>
  <c r="AU305" i="7"/>
  <c r="AF305" i="7"/>
  <c r="AJ305" i="7"/>
  <c r="AN305" i="7"/>
  <c r="AR305" i="7"/>
  <c r="AV305" i="7"/>
  <c r="AC305" i="7"/>
  <c r="AG305" i="7"/>
  <c r="AK305" i="7"/>
  <c r="AO305" i="7"/>
  <c r="AS305" i="7"/>
  <c r="AW305" i="7"/>
  <c r="AD305" i="7"/>
  <c r="AT305" i="7"/>
  <c r="AH305" i="7"/>
  <c r="AX305" i="7"/>
  <c r="AL305" i="7"/>
  <c r="AP305" i="7"/>
  <c r="AE293" i="7"/>
  <c r="AI293" i="7"/>
  <c r="AM293" i="7"/>
  <c r="AQ293" i="7"/>
  <c r="AU293" i="7"/>
  <c r="AF293" i="7"/>
  <c r="AJ293" i="7"/>
  <c r="AN293" i="7"/>
  <c r="AR293" i="7"/>
  <c r="AV293" i="7"/>
  <c r="AC293" i="7"/>
  <c r="AG293" i="7"/>
  <c r="AK293" i="7"/>
  <c r="AO293" i="7"/>
  <c r="AS293" i="7"/>
  <c r="AW293" i="7"/>
  <c r="AL293" i="7"/>
  <c r="AP293" i="7"/>
  <c r="AD293" i="7"/>
  <c r="AT293" i="7"/>
  <c r="AX293" i="7"/>
  <c r="AE281" i="7"/>
  <c r="AI281" i="7"/>
  <c r="AM281" i="7"/>
  <c r="AQ281" i="7"/>
  <c r="AU281" i="7"/>
  <c r="AF281" i="7"/>
  <c r="AJ281" i="7"/>
  <c r="AN281" i="7"/>
  <c r="AR281" i="7"/>
  <c r="AV281" i="7"/>
  <c r="AC281" i="7"/>
  <c r="AG281" i="7"/>
  <c r="AK281" i="7"/>
  <c r="AO281" i="7"/>
  <c r="AS281" i="7"/>
  <c r="AW281" i="7"/>
  <c r="AD281" i="7"/>
  <c r="AT281" i="7"/>
  <c r="AH281" i="7"/>
  <c r="AX281" i="7"/>
  <c r="AL281" i="7"/>
  <c r="AE269" i="7"/>
  <c r="AI269" i="7"/>
  <c r="AM269" i="7"/>
  <c r="AQ269" i="7"/>
  <c r="AU269" i="7"/>
  <c r="AF269" i="7"/>
  <c r="AJ269" i="7"/>
  <c r="AN269" i="7"/>
  <c r="AR269" i="7"/>
  <c r="AV269" i="7"/>
  <c r="AC269" i="7"/>
  <c r="AG269" i="7"/>
  <c r="AK269" i="7"/>
  <c r="AO269" i="7"/>
  <c r="AS269" i="7"/>
  <c r="AW269" i="7"/>
  <c r="AL269" i="7"/>
  <c r="AP269" i="7"/>
  <c r="AD269" i="7"/>
  <c r="AT269" i="7"/>
  <c r="AH269" i="7"/>
  <c r="AE257" i="7"/>
  <c r="AI257" i="7"/>
  <c r="AM257" i="7"/>
  <c r="AQ257" i="7"/>
  <c r="AU257" i="7"/>
  <c r="AF257" i="7"/>
  <c r="AJ257" i="7"/>
  <c r="AN257" i="7"/>
  <c r="AR257" i="7"/>
  <c r="AV257" i="7"/>
  <c r="AC257" i="7"/>
  <c r="AG257" i="7"/>
  <c r="AK257" i="7"/>
  <c r="AO257" i="7"/>
  <c r="AS257" i="7"/>
  <c r="AW257" i="7"/>
  <c r="AD257" i="7"/>
  <c r="AT257" i="7"/>
  <c r="AH257" i="7"/>
  <c r="AX257" i="7"/>
  <c r="AL257" i="7"/>
  <c r="AP257" i="7"/>
  <c r="AE245" i="7"/>
  <c r="AI245" i="7"/>
  <c r="AM245" i="7"/>
  <c r="AQ245" i="7"/>
  <c r="AU245" i="7"/>
  <c r="AF245" i="7"/>
  <c r="AJ245" i="7"/>
  <c r="AN245" i="7"/>
  <c r="AR245" i="7"/>
  <c r="AV245" i="7"/>
  <c r="AC245" i="7"/>
  <c r="AG245" i="7"/>
  <c r="AK245" i="7"/>
  <c r="AO245" i="7"/>
  <c r="AS245" i="7"/>
  <c r="AW245" i="7"/>
  <c r="AL245" i="7"/>
  <c r="AP245" i="7"/>
  <c r="AD245" i="7"/>
  <c r="AT245" i="7"/>
  <c r="AH245" i="7"/>
  <c r="AX245" i="7"/>
  <c r="AE233" i="7"/>
  <c r="AI233" i="7"/>
  <c r="AM233" i="7"/>
  <c r="AQ233" i="7"/>
  <c r="AU233" i="7"/>
  <c r="AF233" i="7"/>
  <c r="AJ233" i="7"/>
  <c r="AN233" i="7"/>
  <c r="AR233" i="7"/>
  <c r="AV233" i="7"/>
  <c r="AC233" i="7"/>
  <c r="AG233" i="7"/>
  <c r="AK233" i="7"/>
  <c r="AO233" i="7"/>
  <c r="AS233" i="7"/>
  <c r="AW233" i="7"/>
  <c r="AD233" i="7"/>
  <c r="AT233" i="7"/>
  <c r="AH233" i="7"/>
  <c r="AX233" i="7"/>
  <c r="AL233" i="7"/>
  <c r="AP233" i="7"/>
  <c r="AE221" i="7"/>
  <c r="AI221" i="7"/>
  <c r="AM221" i="7"/>
  <c r="AQ221" i="7"/>
  <c r="AU221" i="7"/>
  <c r="AF221" i="7"/>
  <c r="AJ221" i="7"/>
  <c r="AN221" i="7"/>
  <c r="AR221" i="7"/>
  <c r="AV221" i="7"/>
  <c r="AC221" i="7"/>
  <c r="AG221" i="7"/>
  <c r="AK221" i="7"/>
  <c r="AO221" i="7"/>
  <c r="AS221" i="7"/>
  <c r="AW221" i="7"/>
  <c r="AL221" i="7"/>
  <c r="AP221" i="7"/>
  <c r="AD221" i="7"/>
  <c r="AT221" i="7"/>
  <c r="AH221" i="7"/>
  <c r="AX221" i="7"/>
  <c r="AE213" i="7"/>
  <c r="AI213" i="7"/>
  <c r="AM213" i="7"/>
  <c r="AQ213" i="7"/>
  <c r="AU213" i="7"/>
  <c r="AF213" i="7"/>
  <c r="AJ213" i="7"/>
  <c r="AN213" i="7"/>
  <c r="AR213" i="7"/>
  <c r="AV213" i="7"/>
  <c r="AC213" i="7"/>
  <c r="AG213" i="7"/>
  <c r="AK213" i="7"/>
  <c r="AO213" i="7"/>
  <c r="AS213" i="7"/>
  <c r="AW213" i="7"/>
  <c r="AL213" i="7"/>
  <c r="AP213" i="7"/>
  <c r="AD213" i="7"/>
  <c r="AT213" i="7"/>
  <c r="AH213" i="7"/>
  <c r="AX213" i="7"/>
  <c r="AE201" i="7"/>
  <c r="AI201" i="7"/>
  <c r="AM201" i="7"/>
  <c r="AQ201" i="7"/>
  <c r="AU201" i="7"/>
  <c r="AC201" i="7"/>
  <c r="AG201" i="7"/>
  <c r="AK201" i="7"/>
  <c r="AO201" i="7"/>
  <c r="AS201" i="7"/>
  <c r="AW201" i="7"/>
  <c r="AH201" i="7"/>
  <c r="AP201" i="7"/>
  <c r="AX201" i="7"/>
  <c r="AJ201" i="7"/>
  <c r="AR201" i="7"/>
  <c r="AD201" i="7"/>
  <c r="AL201" i="7"/>
  <c r="AT201" i="7"/>
  <c r="AN201" i="7"/>
  <c r="AV201" i="7"/>
  <c r="AF201" i="7"/>
  <c r="AE193" i="7"/>
  <c r="AI193" i="7"/>
  <c r="AM193" i="7"/>
  <c r="AQ193" i="7"/>
  <c r="AU193" i="7"/>
  <c r="AF193" i="7"/>
  <c r="AJ193" i="7"/>
  <c r="AN193" i="7"/>
  <c r="AR193" i="7"/>
  <c r="AV193" i="7"/>
  <c r="AC193" i="7"/>
  <c r="AG193" i="7"/>
  <c r="AK193" i="7"/>
  <c r="AO193" i="7"/>
  <c r="AS193" i="7"/>
  <c r="AW193" i="7"/>
  <c r="AP193" i="7"/>
  <c r="AD193" i="7"/>
  <c r="AT193" i="7"/>
  <c r="AH193" i="7"/>
  <c r="AX193" i="7"/>
  <c r="AL193" i="7"/>
  <c r="AE181" i="7"/>
  <c r="AI181" i="7"/>
  <c r="AM181" i="7"/>
  <c r="AQ181" i="7"/>
  <c r="AU181" i="7"/>
  <c r="AF181" i="7"/>
  <c r="AJ181" i="7"/>
  <c r="AN181" i="7"/>
  <c r="AR181" i="7"/>
  <c r="AV181" i="7"/>
  <c r="AC181" i="7"/>
  <c r="AG181" i="7"/>
  <c r="AK181" i="7"/>
  <c r="AO181" i="7"/>
  <c r="AS181" i="7"/>
  <c r="AW181" i="7"/>
  <c r="AH181" i="7"/>
  <c r="AX181" i="7"/>
  <c r="AL181" i="7"/>
  <c r="AP181" i="7"/>
  <c r="AD181" i="7"/>
  <c r="AT181" i="7"/>
  <c r="AE169" i="7"/>
  <c r="AI169" i="7"/>
  <c r="AM169" i="7"/>
  <c r="AQ169" i="7"/>
  <c r="AU169" i="7"/>
  <c r="AF169" i="7"/>
  <c r="AJ169" i="7"/>
  <c r="AN169" i="7"/>
  <c r="AR169" i="7"/>
  <c r="AV169" i="7"/>
  <c r="AC169" i="7"/>
  <c r="AG169" i="7"/>
  <c r="AK169" i="7"/>
  <c r="AO169" i="7"/>
  <c r="AS169" i="7"/>
  <c r="AW169" i="7"/>
  <c r="AP169" i="7"/>
  <c r="AD169" i="7"/>
  <c r="AT169" i="7"/>
  <c r="AH169" i="7"/>
  <c r="AX169" i="7"/>
  <c r="AL169" i="7"/>
  <c r="AE157" i="7"/>
  <c r="AI157" i="7"/>
  <c r="AM157" i="7"/>
  <c r="AQ157" i="7"/>
  <c r="AU157" i="7"/>
  <c r="AF157" i="7"/>
  <c r="AJ157" i="7"/>
  <c r="AN157" i="7"/>
  <c r="AR157" i="7"/>
  <c r="AV157" i="7"/>
  <c r="AC157" i="7"/>
  <c r="AG157" i="7"/>
  <c r="AK157" i="7"/>
  <c r="AO157" i="7"/>
  <c r="AS157" i="7"/>
  <c r="AW157" i="7"/>
  <c r="AH157" i="7"/>
  <c r="AX157" i="7"/>
  <c r="AL157" i="7"/>
  <c r="AP157" i="7"/>
  <c r="AD157" i="7"/>
  <c r="AT157" i="7"/>
  <c r="AF149" i="7"/>
  <c r="AJ149" i="7"/>
  <c r="AN149" i="7"/>
  <c r="AR149" i="7"/>
  <c r="AV149" i="7"/>
  <c r="AC149" i="7"/>
  <c r="AG149" i="7"/>
  <c r="AK149" i="7"/>
  <c r="AO149" i="7"/>
  <c r="AS149" i="7"/>
  <c r="AW149" i="7"/>
  <c r="AD149" i="7"/>
  <c r="AH149" i="7"/>
  <c r="AL149" i="7"/>
  <c r="AP149" i="7"/>
  <c r="AT149" i="7"/>
  <c r="AX149" i="7"/>
  <c r="AI149" i="7"/>
  <c r="AM149" i="7"/>
  <c r="AQ149" i="7"/>
  <c r="AE149" i="7"/>
  <c r="AU149" i="7"/>
  <c r="AF137" i="7"/>
  <c r="AJ137" i="7"/>
  <c r="AN137" i="7"/>
  <c r="AR137" i="7"/>
  <c r="AV137" i="7"/>
  <c r="AC137" i="7"/>
  <c r="AG137" i="7"/>
  <c r="AK137" i="7"/>
  <c r="AO137" i="7"/>
  <c r="AS137" i="7"/>
  <c r="AW137" i="7"/>
  <c r="AD137" i="7"/>
  <c r="AH137" i="7"/>
  <c r="AL137" i="7"/>
  <c r="AP137" i="7"/>
  <c r="AT137" i="7"/>
  <c r="AX137" i="7"/>
  <c r="AQ137" i="7"/>
  <c r="AE137" i="7"/>
  <c r="AU137" i="7"/>
  <c r="AI137" i="7"/>
  <c r="AM137" i="7"/>
  <c r="AF125" i="7"/>
  <c r="AJ125" i="7"/>
  <c r="AN125" i="7"/>
  <c r="AR125" i="7"/>
  <c r="AV125" i="7"/>
  <c r="AC125" i="7"/>
  <c r="AG125" i="7"/>
  <c r="AK125" i="7"/>
  <c r="AO125" i="7"/>
  <c r="AS125" i="7"/>
  <c r="AW125" i="7"/>
  <c r="AD125" i="7"/>
  <c r="AH125" i="7"/>
  <c r="AL125" i="7"/>
  <c r="AP125" i="7"/>
  <c r="AT125" i="7"/>
  <c r="AX125" i="7"/>
  <c r="AI125" i="7"/>
  <c r="AM125" i="7"/>
  <c r="AQ125" i="7"/>
  <c r="AE125" i="7"/>
  <c r="AU125" i="7"/>
  <c r="AF113" i="7"/>
  <c r="AJ113" i="7"/>
  <c r="AN113" i="7"/>
  <c r="AR113" i="7"/>
  <c r="AV113" i="7"/>
  <c r="AC113" i="7"/>
  <c r="AG113" i="7"/>
  <c r="AK113" i="7"/>
  <c r="AO113" i="7"/>
  <c r="AS113" i="7"/>
  <c r="AW113" i="7"/>
  <c r="AD113" i="7"/>
  <c r="AH113" i="7"/>
  <c r="AL113" i="7"/>
  <c r="AP113" i="7"/>
  <c r="AT113" i="7"/>
  <c r="AX113" i="7"/>
  <c r="AQ113" i="7"/>
  <c r="AE113" i="7"/>
  <c r="AU113" i="7"/>
  <c r="AI113" i="7"/>
  <c r="AM113" i="7"/>
  <c r="AF101" i="7"/>
  <c r="AJ101" i="7"/>
  <c r="AN101" i="7"/>
  <c r="AR101" i="7"/>
  <c r="AV101" i="7"/>
  <c r="AC101" i="7"/>
  <c r="AG101" i="7"/>
  <c r="AK101" i="7"/>
  <c r="AO101" i="7"/>
  <c r="AS101" i="7"/>
  <c r="AW101" i="7"/>
  <c r="AD101" i="7"/>
  <c r="AH101" i="7"/>
  <c r="AL101" i="7"/>
  <c r="AP101" i="7"/>
  <c r="AT101" i="7"/>
  <c r="AX101" i="7"/>
  <c r="AI101" i="7"/>
  <c r="AM101" i="7"/>
  <c r="AQ101" i="7"/>
  <c r="AE101" i="7"/>
  <c r="AU101" i="7"/>
  <c r="AC97" i="7"/>
  <c r="AG97" i="7"/>
  <c r="AK97" i="7"/>
  <c r="AO97" i="7"/>
  <c r="AS97" i="7"/>
  <c r="AW97" i="7"/>
  <c r="AD97" i="7"/>
  <c r="AE97" i="7"/>
  <c r="AI97" i="7"/>
  <c r="AM97" i="7"/>
  <c r="AQ97" i="7"/>
  <c r="AU97" i="7"/>
  <c r="AL97" i="7"/>
  <c r="AT97" i="7"/>
  <c r="AF97" i="7"/>
  <c r="AN97" i="7"/>
  <c r="AV97" i="7"/>
  <c r="AH97" i="7"/>
  <c r="AP97" i="7"/>
  <c r="AX97" i="7"/>
  <c r="AJ97" i="7"/>
  <c r="AR97" i="7"/>
  <c r="AC85" i="7"/>
  <c r="AG85" i="7"/>
  <c r="AK85" i="7"/>
  <c r="AO85" i="7"/>
  <c r="AS85" i="7"/>
  <c r="AW85" i="7"/>
  <c r="AD85" i="7"/>
  <c r="AH85" i="7"/>
  <c r="AL85" i="7"/>
  <c r="AP85" i="7"/>
  <c r="AT85" i="7"/>
  <c r="AX85" i="7"/>
  <c r="AE85" i="7"/>
  <c r="AI85" i="7"/>
  <c r="AM85" i="7"/>
  <c r="AQ85" i="7"/>
  <c r="AU85" i="7"/>
  <c r="AJ85" i="7"/>
  <c r="AN85" i="7"/>
  <c r="AR85" i="7"/>
  <c r="AF85" i="7"/>
  <c r="AV85" i="7"/>
  <c r="AF73" i="7"/>
  <c r="AJ73" i="7"/>
  <c r="AN73" i="7"/>
  <c r="AR73" i="7"/>
  <c r="AV73" i="7"/>
  <c r="AC73" i="7"/>
  <c r="AG73" i="7"/>
  <c r="AK73" i="7"/>
  <c r="AO73" i="7"/>
  <c r="AS73" i="7"/>
  <c r="AW73" i="7"/>
  <c r="AE73" i="7"/>
  <c r="AM73" i="7"/>
  <c r="AU73" i="7"/>
  <c r="AH73" i="7"/>
  <c r="AP73" i="7"/>
  <c r="AX73" i="7"/>
  <c r="AI73" i="7"/>
  <c r="AQ73" i="7"/>
  <c r="AD73" i="7"/>
  <c r="AL73" i="7"/>
  <c r="AT73" i="7"/>
  <c r="AF61" i="7"/>
  <c r="AJ61" i="7"/>
  <c r="AN61" i="7"/>
  <c r="AR61" i="7"/>
  <c r="AV61" i="7"/>
  <c r="AC61" i="7"/>
  <c r="AH61" i="7"/>
  <c r="AM61" i="7"/>
  <c r="AS61" i="7"/>
  <c r="AX61" i="7"/>
  <c r="AD61" i="7"/>
  <c r="AI61" i="7"/>
  <c r="AO61" i="7"/>
  <c r="AT61" i="7"/>
  <c r="AE61" i="7"/>
  <c r="AK61" i="7"/>
  <c r="AP61" i="7"/>
  <c r="AU61" i="7"/>
  <c r="AW61" i="7"/>
  <c r="AG61" i="7"/>
  <c r="AL61" i="7"/>
  <c r="AQ61" i="7"/>
  <c r="AF49" i="7"/>
  <c r="AJ49" i="7"/>
  <c r="AN49" i="7"/>
  <c r="AR49" i="7"/>
  <c r="AV49" i="7"/>
  <c r="AC49" i="7"/>
  <c r="AG49" i="7"/>
  <c r="AK49" i="7"/>
  <c r="AO49" i="7"/>
  <c r="AS49" i="7"/>
  <c r="AW49" i="7"/>
  <c r="AD49" i="7"/>
  <c r="AL49" i="7"/>
  <c r="AT49" i="7"/>
  <c r="AE49" i="7"/>
  <c r="AM49" i="7"/>
  <c r="AU49" i="7"/>
  <c r="AH49" i="7"/>
  <c r="AP49" i="7"/>
  <c r="AX49" i="7"/>
  <c r="AI49" i="7"/>
  <c r="AQ49" i="7"/>
  <c r="AD41" i="7"/>
  <c r="AH41" i="7"/>
  <c r="AL41" i="7"/>
  <c r="AP41" i="7"/>
  <c r="AT41" i="7"/>
  <c r="AX41" i="7"/>
  <c r="AE41" i="7"/>
  <c r="AI41" i="7"/>
  <c r="AM41" i="7"/>
  <c r="AQ41" i="7"/>
  <c r="AU41" i="7"/>
  <c r="AF41" i="7"/>
  <c r="AJ41" i="7"/>
  <c r="AN41" i="7"/>
  <c r="AR41" i="7"/>
  <c r="AV41" i="7"/>
  <c r="AO41" i="7"/>
  <c r="AC41" i="7"/>
  <c r="AS41" i="7"/>
  <c r="AW41" i="7"/>
  <c r="AG41" i="7"/>
  <c r="AK41" i="7"/>
  <c r="AD29" i="7"/>
  <c r="AH29" i="7"/>
  <c r="AL29" i="7"/>
  <c r="AP29" i="7"/>
  <c r="AT29" i="7"/>
  <c r="AX29" i="7"/>
  <c r="AE29" i="7"/>
  <c r="AI29" i="7"/>
  <c r="AM29" i="7"/>
  <c r="AF29" i="7"/>
  <c r="AJ29" i="7"/>
  <c r="AN29" i="7"/>
  <c r="AR29" i="7"/>
  <c r="AV29" i="7"/>
  <c r="AO29" i="7"/>
  <c r="AW29" i="7"/>
  <c r="AC29" i="7"/>
  <c r="AQ29" i="7"/>
  <c r="AG29" i="7"/>
  <c r="AS29" i="7"/>
  <c r="AK29" i="7"/>
  <c r="AU29" i="7"/>
  <c r="AE17" i="7"/>
  <c r="AI17" i="7"/>
  <c r="AM17" i="7"/>
  <c r="AQ17" i="7"/>
  <c r="AU17" i="7"/>
  <c r="AF17" i="7"/>
  <c r="AJ17" i="7"/>
  <c r="AN17" i="7"/>
  <c r="AR17" i="7"/>
  <c r="AV17" i="7"/>
  <c r="AC17" i="7"/>
  <c r="AG17" i="7"/>
  <c r="AK17" i="7"/>
  <c r="AO17" i="7"/>
  <c r="AS17" i="7"/>
  <c r="AW17" i="7"/>
  <c r="AH17" i="7"/>
  <c r="AX17" i="7"/>
  <c r="AL17" i="7"/>
  <c r="AP17" i="7"/>
  <c r="AD17" i="7"/>
  <c r="AT17" i="7"/>
  <c r="AE9" i="7"/>
  <c r="AI9" i="7"/>
  <c r="AM9" i="7"/>
  <c r="AQ9" i="7"/>
  <c r="AU9" i="7"/>
  <c r="AF9" i="7"/>
  <c r="AJ9" i="7"/>
  <c r="AN9" i="7"/>
  <c r="AR9" i="7"/>
  <c r="AV9" i="7"/>
  <c r="AC9" i="7"/>
  <c r="AG9" i="7"/>
  <c r="AK9" i="7"/>
  <c r="AO9" i="7"/>
  <c r="AS9" i="7"/>
  <c r="AW9" i="7"/>
  <c r="AH9" i="7"/>
  <c r="AX9" i="7"/>
  <c r="AL9" i="7"/>
  <c r="AP9" i="7"/>
  <c r="AD9" i="7"/>
  <c r="AT9" i="7"/>
  <c r="AS501" i="7"/>
  <c r="AK501" i="7"/>
  <c r="AR497" i="7"/>
  <c r="AJ497" i="7"/>
  <c r="AV489" i="7"/>
  <c r="AF489" i="7"/>
  <c r="AV481" i="7"/>
  <c r="AF481" i="7"/>
  <c r="AN461" i="7"/>
  <c r="AF457" i="7"/>
  <c r="AF449" i="7"/>
  <c r="AF441" i="7"/>
  <c r="AN429" i="7"/>
  <c r="AN421" i="7"/>
  <c r="AV409" i="7"/>
  <c r="AF409" i="7"/>
  <c r="AC389" i="7"/>
  <c r="AK377" i="7"/>
  <c r="AS365" i="7"/>
  <c r="AK345" i="7"/>
  <c r="AS333" i="7"/>
  <c r="AE498" i="7"/>
  <c r="AI498" i="7"/>
  <c r="AM498" i="7"/>
  <c r="AQ498" i="7"/>
  <c r="AU498" i="7"/>
  <c r="AC498" i="7"/>
  <c r="AG498" i="7"/>
  <c r="AK498" i="7"/>
  <c r="AO498" i="7"/>
  <c r="AS498" i="7"/>
  <c r="AE494" i="7"/>
  <c r="AI494" i="7"/>
  <c r="AM494" i="7"/>
  <c r="AQ494" i="7"/>
  <c r="AU494" i="7"/>
  <c r="AF494" i="7"/>
  <c r="AJ494" i="7"/>
  <c r="AN494" i="7"/>
  <c r="AR494" i="7"/>
  <c r="AV494" i="7"/>
  <c r="AC494" i="7"/>
  <c r="AG494" i="7"/>
  <c r="AK494" i="7"/>
  <c r="AO494" i="7"/>
  <c r="AS494" i="7"/>
  <c r="AW494" i="7"/>
  <c r="AE490" i="7"/>
  <c r="AI490" i="7"/>
  <c r="AM490" i="7"/>
  <c r="AQ490" i="7"/>
  <c r="AU490" i="7"/>
  <c r="AF490" i="7"/>
  <c r="AJ490" i="7"/>
  <c r="AN490" i="7"/>
  <c r="AR490" i="7"/>
  <c r="AV490" i="7"/>
  <c r="AC490" i="7"/>
  <c r="AG490" i="7"/>
  <c r="AK490" i="7"/>
  <c r="AO490" i="7"/>
  <c r="AS490" i="7"/>
  <c r="AW490" i="7"/>
  <c r="AE486" i="7"/>
  <c r="AI486" i="7"/>
  <c r="AM486" i="7"/>
  <c r="AQ486" i="7"/>
  <c r="AU486" i="7"/>
  <c r="AF486" i="7"/>
  <c r="AJ486" i="7"/>
  <c r="AN486" i="7"/>
  <c r="AR486" i="7"/>
  <c r="AV486" i="7"/>
  <c r="AC486" i="7"/>
  <c r="AG486" i="7"/>
  <c r="AK486" i="7"/>
  <c r="AO486" i="7"/>
  <c r="AS486" i="7"/>
  <c r="AW486" i="7"/>
  <c r="AE482" i="7"/>
  <c r="AI482" i="7"/>
  <c r="AM482" i="7"/>
  <c r="AQ482" i="7"/>
  <c r="AU482" i="7"/>
  <c r="AF482" i="7"/>
  <c r="AJ482" i="7"/>
  <c r="AN482" i="7"/>
  <c r="AR482" i="7"/>
  <c r="AV482" i="7"/>
  <c r="AC482" i="7"/>
  <c r="AG482" i="7"/>
  <c r="AK482" i="7"/>
  <c r="AO482" i="7"/>
  <c r="AS482" i="7"/>
  <c r="AW482" i="7"/>
  <c r="AE478" i="7"/>
  <c r="AI478" i="7"/>
  <c r="AM478" i="7"/>
  <c r="AQ478" i="7"/>
  <c r="AU478" i="7"/>
  <c r="AF478" i="7"/>
  <c r="AJ478" i="7"/>
  <c r="AN478" i="7"/>
  <c r="AR478" i="7"/>
  <c r="AV478" i="7"/>
  <c r="AC478" i="7"/>
  <c r="AG478" i="7"/>
  <c r="AK478" i="7"/>
  <c r="AO478" i="7"/>
  <c r="AS478" i="7"/>
  <c r="AW478" i="7"/>
  <c r="AE474" i="7"/>
  <c r="AI474" i="7"/>
  <c r="AM474" i="7"/>
  <c r="AQ474" i="7"/>
  <c r="AU474" i="7"/>
  <c r="AF474" i="7"/>
  <c r="AJ474" i="7"/>
  <c r="AN474" i="7"/>
  <c r="AR474" i="7"/>
  <c r="AV474" i="7"/>
  <c r="AC474" i="7"/>
  <c r="AG474" i="7"/>
  <c r="AK474" i="7"/>
  <c r="AO474" i="7"/>
  <c r="AS474" i="7"/>
  <c r="AW474" i="7"/>
  <c r="AE470" i="7"/>
  <c r="AI470" i="7"/>
  <c r="AM470" i="7"/>
  <c r="AQ470" i="7"/>
  <c r="AU470" i="7"/>
  <c r="AF470" i="7"/>
  <c r="AJ470" i="7"/>
  <c r="AN470" i="7"/>
  <c r="AR470" i="7"/>
  <c r="AV470" i="7"/>
  <c r="AC470" i="7"/>
  <c r="AG470" i="7"/>
  <c r="AK470" i="7"/>
  <c r="AO470" i="7"/>
  <c r="AS470" i="7"/>
  <c r="AW470" i="7"/>
  <c r="AE466" i="7"/>
  <c r="AI466" i="7"/>
  <c r="AM466" i="7"/>
  <c r="AQ466" i="7"/>
  <c r="AU466" i="7"/>
  <c r="AF466" i="7"/>
  <c r="AJ466" i="7"/>
  <c r="AN466" i="7"/>
  <c r="AR466" i="7"/>
  <c r="AV466" i="7"/>
  <c r="AC466" i="7"/>
  <c r="AG466" i="7"/>
  <c r="AK466" i="7"/>
  <c r="AO466" i="7"/>
  <c r="AS466" i="7"/>
  <c r="AW466" i="7"/>
  <c r="AE462" i="7"/>
  <c r="AI462" i="7"/>
  <c r="AM462" i="7"/>
  <c r="AQ462" i="7"/>
  <c r="AU462" i="7"/>
  <c r="AF462" i="7"/>
  <c r="AJ462" i="7"/>
  <c r="AN462" i="7"/>
  <c r="AR462" i="7"/>
  <c r="AV462" i="7"/>
  <c r="AC462" i="7"/>
  <c r="AG462" i="7"/>
  <c r="AK462" i="7"/>
  <c r="AO462" i="7"/>
  <c r="AS462" i="7"/>
  <c r="AW462" i="7"/>
  <c r="AE458" i="7"/>
  <c r="AI458" i="7"/>
  <c r="AM458" i="7"/>
  <c r="AQ458" i="7"/>
  <c r="AU458" i="7"/>
  <c r="AF458" i="7"/>
  <c r="AJ458" i="7"/>
  <c r="AN458" i="7"/>
  <c r="AR458" i="7"/>
  <c r="AV458" i="7"/>
  <c r="AC458" i="7"/>
  <c r="AG458" i="7"/>
  <c r="AK458" i="7"/>
  <c r="AO458" i="7"/>
  <c r="AS458" i="7"/>
  <c r="AW458" i="7"/>
  <c r="AE454" i="7"/>
  <c r="AI454" i="7"/>
  <c r="AM454" i="7"/>
  <c r="AQ454" i="7"/>
  <c r="AU454" i="7"/>
  <c r="AF454" i="7"/>
  <c r="AJ454" i="7"/>
  <c r="AN454" i="7"/>
  <c r="AR454" i="7"/>
  <c r="AV454" i="7"/>
  <c r="AC454" i="7"/>
  <c r="AG454" i="7"/>
  <c r="AK454" i="7"/>
  <c r="AO454" i="7"/>
  <c r="AS454" i="7"/>
  <c r="AW454" i="7"/>
  <c r="AE450" i="7"/>
  <c r="AI450" i="7"/>
  <c r="AM450" i="7"/>
  <c r="AQ450" i="7"/>
  <c r="AU450" i="7"/>
  <c r="AF450" i="7"/>
  <c r="AJ450" i="7"/>
  <c r="AN450" i="7"/>
  <c r="AR450" i="7"/>
  <c r="AV450" i="7"/>
  <c r="AC450" i="7"/>
  <c r="AG450" i="7"/>
  <c r="AK450" i="7"/>
  <c r="AO450" i="7"/>
  <c r="AS450" i="7"/>
  <c r="AW450" i="7"/>
  <c r="AE446" i="7"/>
  <c r="AI446" i="7"/>
  <c r="AM446" i="7"/>
  <c r="AQ446" i="7"/>
  <c r="AU446" i="7"/>
  <c r="AF446" i="7"/>
  <c r="AJ446" i="7"/>
  <c r="AN446" i="7"/>
  <c r="AR446" i="7"/>
  <c r="AV446" i="7"/>
  <c r="AC446" i="7"/>
  <c r="AG446" i="7"/>
  <c r="AK446" i="7"/>
  <c r="AO446" i="7"/>
  <c r="AS446" i="7"/>
  <c r="AW446" i="7"/>
  <c r="AE442" i="7"/>
  <c r="AI442" i="7"/>
  <c r="AM442" i="7"/>
  <c r="AQ442" i="7"/>
  <c r="AU442" i="7"/>
  <c r="AF442" i="7"/>
  <c r="AJ442" i="7"/>
  <c r="AN442" i="7"/>
  <c r="AR442" i="7"/>
  <c r="AV442" i="7"/>
  <c r="AC442" i="7"/>
  <c r="AG442" i="7"/>
  <c r="AK442" i="7"/>
  <c r="AO442" i="7"/>
  <c r="AS442" i="7"/>
  <c r="AW442" i="7"/>
  <c r="AE438" i="7"/>
  <c r="AI438" i="7"/>
  <c r="AM438" i="7"/>
  <c r="AQ438" i="7"/>
  <c r="AU438" i="7"/>
  <c r="AF438" i="7"/>
  <c r="AJ438" i="7"/>
  <c r="AN438" i="7"/>
  <c r="AR438" i="7"/>
  <c r="AV438" i="7"/>
  <c r="AC438" i="7"/>
  <c r="AG438" i="7"/>
  <c r="AK438" i="7"/>
  <c r="AO438" i="7"/>
  <c r="AS438" i="7"/>
  <c r="AW438" i="7"/>
  <c r="AE434" i="7"/>
  <c r="AI434" i="7"/>
  <c r="AM434" i="7"/>
  <c r="AQ434" i="7"/>
  <c r="AU434" i="7"/>
  <c r="AF434" i="7"/>
  <c r="AJ434" i="7"/>
  <c r="AN434" i="7"/>
  <c r="AR434" i="7"/>
  <c r="AV434" i="7"/>
  <c r="AC434" i="7"/>
  <c r="AG434" i="7"/>
  <c r="AK434" i="7"/>
  <c r="AO434" i="7"/>
  <c r="AS434" i="7"/>
  <c r="AW434" i="7"/>
  <c r="AE430" i="7"/>
  <c r="AI430" i="7"/>
  <c r="AM430" i="7"/>
  <c r="AQ430" i="7"/>
  <c r="AU430" i="7"/>
  <c r="AF430" i="7"/>
  <c r="AJ430" i="7"/>
  <c r="AN430" i="7"/>
  <c r="AR430" i="7"/>
  <c r="AV430" i="7"/>
  <c r="AC430" i="7"/>
  <c r="AG430" i="7"/>
  <c r="AK430" i="7"/>
  <c r="AO430" i="7"/>
  <c r="AS430" i="7"/>
  <c r="AW430" i="7"/>
  <c r="AE426" i="7"/>
  <c r="AI426" i="7"/>
  <c r="AM426" i="7"/>
  <c r="AQ426" i="7"/>
  <c r="AU426" i="7"/>
  <c r="AF426" i="7"/>
  <c r="AJ426" i="7"/>
  <c r="AN426" i="7"/>
  <c r="AR426" i="7"/>
  <c r="AV426" i="7"/>
  <c r="AC426" i="7"/>
  <c r="AG426" i="7"/>
  <c r="AK426" i="7"/>
  <c r="AO426" i="7"/>
  <c r="AS426" i="7"/>
  <c r="AW426" i="7"/>
  <c r="AE422" i="7"/>
  <c r="AI422" i="7"/>
  <c r="AM422" i="7"/>
  <c r="AQ422" i="7"/>
  <c r="AU422" i="7"/>
  <c r="AF422" i="7"/>
  <c r="AJ422" i="7"/>
  <c r="AN422" i="7"/>
  <c r="AR422" i="7"/>
  <c r="AV422" i="7"/>
  <c r="AC422" i="7"/>
  <c r="AG422" i="7"/>
  <c r="AK422" i="7"/>
  <c r="AO422" i="7"/>
  <c r="AS422" i="7"/>
  <c r="AW422" i="7"/>
  <c r="AE418" i="7"/>
  <c r="AI418" i="7"/>
  <c r="AM418" i="7"/>
  <c r="AQ418" i="7"/>
  <c r="AU418" i="7"/>
  <c r="AF418" i="7"/>
  <c r="AJ418" i="7"/>
  <c r="AN418" i="7"/>
  <c r="AR418" i="7"/>
  <c r="AV418" i="7"/>
  <c r="AC418" i="7"/>
  <c r="AG418" i="7"/>
  <c r="AK418" i="7"/>
  <c r="AO418" i="7"/>
  <c r="AS418" i="7"/>
  <c r="AW418" i="7"/>
  <c r="AE414" i="7"/>
  <c r="AI414" i="7"/>
  <c r="AM414" i="7"/>
  <c r="AQ414" i="7"/>
  <c r="AU414" i="7"/>
  <c r="AF414" i="7"/>
  <c r="AJ414" i="7"/>
  <c r="AN414" i="7"/>
  <c r="AR414" i="7"/>
  <c r="AV414" i="7"/>
  <c r="AC414" i="7"/>
  <c r="AG414" i="7"/>
  <c r="AK414" i="7"/>
  <c r="AO414" i="7"/>
  <c r="AS414" i="7"/>
  <c r="AW414" i="7"/>
  <c r="AE410" i="7"/>
  <c r="AI410" i="7"/>
  <c r="AM410" i="7"/>
  <c r="AQ410" i="7"/>
  <c r="AU410" i="7"/>
  <c r="AF410" i="7"/>
  <c r="AJ410" i="7"/>
  <c r="AN410" i="7"/>
  <c r="AR410" i="7"/>
  <c r="AV410" i="7"/>
  <c r="AC410" i="7"/>
  <c r="AG410" i="7"/>
  <c r="AK410" i="7"/>
  <c r="AO410" i="7"/>
  <c r="AS410" i="7"/>
  <c r="AW410" i="7"/>
  <c r="AE406" i="7"/>
  <c r="AI406" i="7"/>
  <c r="AM406" i="7"/>
  <c r="AQ406" i="7"/>
  <c r="AU406" i="7"/>
  <c r="AF406" i="7"/>
  <c r="AJ406" i="7"/>
  <c r="AN406" i="7"/>
  <c r="AR406" i="7"/>
  <c r="AV406" i="7"/>
  <c r="AC406" i="7"/>
  <c r="AG406" i="7"/>
  <c r="AK406" i="7"/>
  <c r="AO406" i="7"/>
  <c r="AS406" i="7"/>
  <c r="AW406" i="7"/>
  <c r="AF402" i="7"/>
  <c r="AJ402" i="7"/>
  <c r="AD402" i="7"/>
  <c r="AH402" i="7"/>
  <c r="AL402" i="7"/>
  <c r="AE402" i="7"/>
  <c r="AM402" i="7"/>
  <c r="AQ402" i="7"/>
  <c r="AU402" i="7"/>
  <c r="AG402" i="7"/>
  <c r="AN402" i="7"/>
  <c r="AR402" i="7"/>
  <c r="AV402" i="7"/>
  <c r="AI402" i="7"/>
  <c r="AO402" i="7"/>
  <c r="AS402" i="7"/>
  <c r="AW402" i="7"/>
  <c r="AF398" i="7"/>
  <c r="AJ398" i="7"/>
  <c r="AN398" i="7"/>
  <c r="AR398" i="7"/>
  <c r="AV398" i="7"/>
  <c r="AC398" i="7"/>
  <c r="AG398" i="7"/>
  <c r="AK398" i="7"/>
  <c r="AO398" i="7"/>
  <c r="AS398" i="7"/>
  <c r="AW398" i="7"/>
  <c r="AD398" i="7"/>
  <c r="AH398" i="7"/>
  <c r="AL398" i="7"/>
  <c r="AP398" i="7"/>
  <c r="AT398" i="7"/>
  <c r="AX398" i="7"/>
  <c r="AQ398" i="7"/>
  <c r="AE398" i="7"/>
  <c r="AU398" i="7"/>
  <c r="AI398" i="7"/>
  <c r="AF394" i="7"/>
  <c r="AJ394" i="7"/>
  <c r="AN394" i="7"/>
  <c r="AR394" i="7"/>
  <c r="AV394" i="7"/>
  <c r="AC394" i="7"/>
  <c r="AG394" i="7"/>
  <c r="AK394" i="7"/>
  <c r="AO394" i="7"/>
  <c r="AS394" i="7"/>
  <c r="AW394" i="7"/>
  <c r="AD394" i="7"/>
  <c r="AH394" i="7"/>
  <c r="AL394" i="7"/>
  <c r="AP394" i="7"/>
  <c r="AT394" i="7"/>
  <c r="AX394" i="7"/>
  <c r="AI394" i="7"/>
  <c r="AM394" i="7"/>
  <c r="AQ394" i="7"/>
  <c r="AF390" i="7"/>
  <c r="AJ390" i="7"/>
  <c r="AN390" i="7"/>
  <c r="AR390" i="7"/>
  <c r="AV390" i="7"/>
  <c r="AC390" i="7"/>
  <c r="AG390" i="7"/>
  <c r="AK390" i="7"/>
  <c r="AO390" i="7"/>
  <c r="AS390" i="7"/>
  <c r="AW390" i="7"/>
  <c r="AD390" i="7"/>
  <c r="AH390" i="7"/>
  <c r="AL390" i="7"/>
  <c r="AP390" i="7"/>
  <c r="AT390" i="7"/>
  <c r="AX390" i="7"/>
  <c r="AQ390" i="7"/>
  <c r="AE390" i="7"/>
  <c r="AU390" i="7"/>
  <c r="AI390" i="7"/>
  <c r="AF386" i="7"/>
  <c r="AJ386" i="7"/>
  <c r="AN386" i="7"/>
  <c r="AR386" i="7"/>
  <c r="AV386" i="7"/>
  <c r="AC386" i="7"/>
  <c r="AG386" i="7"/>
  <c r="AK386" i="7"/>
  <c r="AO386" i="7"/>
  <c r="AS386" i="7"/>
  <c r="AW386" i="7"/>
  <c r="AD386" i="7"/>
  <c r="AH386" i="7"/>
  <c r="AL386" i="7"/>
  <c r="AP386" i="7"/>
  <c r="AT386" i="7"/>
  <c r="AX386" i="7"/>
  <c r="AI386" i="7"/>
  <c r="AM386" i="7"/>
  <c r="AQ386" i="7"/>
  <c r="AF382" i="7"/>
  <c r="AJ382" i="7"/>
  <c r="AN382" i="7"/>
  <c r="AR382" i="7"/>
  <c r="AV382" i="7"/>
  <c r="AC382" i="7"/>
  <c r="AG382" i="7"/>
  <c r="AK382" i="7"/>
  <c r="AO382" i="7"/>
  <c r="AS382" i="7"/>
  <c r="AW382" i="7"/>
  <c r="AD382" i="7"/>
  <c r="AH382" i="7"/>
  <c r="AL382" i="7"/>
  <c r="AP382" i="7"/>
  <c r="AT382" i="7"/>
  <c r="AX382" i="7"/>
  <c r="AQ382" i="7"/>
  <c r="AE382" i="7"/>
  <c r="AU382" i="7"/>
  <c r="AI382" i="7"/>
  <c r="AF378" i="7"/>
  <c r="AJ378" i="7"/>
  <c r="AN378" i="7"/>
  <c r="AR378" i="7"/>
  <c r="AV378" i="7"/>
  <c r="AC378" i="7"/>
  <c r="AG378" i="7"/>
  <c r="AK378" i="7"/>
  <c r="AO378" i="7"/>
  <c r="AS378" i="7"/>
  <c r="AW378" i="7"/>
  <c r="AD378" i="7"/>
  <c r="AH378" i="7"/>
  <c r="AL378" i="7"/>
  <c r="AP378" i="7"/>
  <c r="AT378" i="7"/>
  <c r="AX378" i="7"/>
  <c r="AI378" i="7"/>
  <c r="AM378" i="7"/>
  <c r="AQ378" i="7"/>
  <c r="AF374" i="7"/>
  <c r="AJ374" i="7"/>
  <c r="AN374" i="7"/>
  <c r="AR374" i="7"/>
  <c r="AV374" i="7"/>
  <c r="AC374" i="7"/>
  <c r="AG374" i="7"/>
  <c r="AK374" i="7"/>
  <c r="AO374" i="7"/>
  <c r="AS374" i="7"/>
  <c r="AW374" i="7"/>
  <c r="AD374" i="7"/>
  <c r="AH374" i="7"/>
  <c r="AL374" i="7"/>
  <c r="AP374" i="7"/>
  <c r="AT374" i="7"/>
  <c r="AX374" i="7"/>
  <c r="AQ374" i="7"/>
  <c r="AE374" i="7"/>
  <c r="AU374" i="7"/>
  <c r="AI374" i="7"/>
  <c r="AF370" i="7"/>
  <c r="AJ370" i="7"/>
  <c r="AN370" i="7"/>
  <c r="AR370" i="7"/>
  <c r="AV370" i="7"/>
  <c r="AC370" i="7"/>
  <c r="AG370" i="7"/>
  <c r="AK370" i="7"/>
  <c r="AO370" i="7"/>
  <c r="AS370" i="7"/>
  <c r="AW370" i="7"/>
  <c r="AD370" i="7"/>
  <c r="AH370" i="7"/>
  <c r="AL370" i="7"/>
  <c r="AP370" i="7"/>
  <c r="AT370" i="7"/>
  <c r="AX370" i="7"/>
  <c r="AI370" i="7"/>
  <c r="AM370" i="7"/>
  <c r="AQ370" i="7"/>
  <c r="AF366" i="7"/>
  <c r="AJ366" i="7"/>
  <c r="AN366" i="7"/>
  <c r="AR366" i="7"/>
  <c r="AV366" i="7"/>
  <c r="AC366" i="7"/>
  <c r="AG366" i="7"/>
  <c r="AK366" i="7"/>
  <c r="AO366" i="7"/>
  <c r="AS366" i="7"/>
  <c r="AW366" i="7"/>
  <c r="AD366" i="7"/>
  <c r="AH366" i="7"/>
  <c r="AL366" i="7"/>
  <c r="AP366" i="7"/>
  <c r="AT366" i="7"/>
  <c r="AX366" i="7"/>
  <c r="AQ366" i="7"/>
  <c r="AE366" i="7"/>
  <c r="AU366" i="7"/>
  <c r="AI366" i="7"/>
  <c r="AF362" i="7"/>
  <c r="AJ362" i="7"/>
  <c r="AN362" i="7"/>
  <c r="AR362" i="7"/>
  <c r="AV362" i="7"/>
  <c r="AC362" i="7"/>
  <c r="AG362" i="7"/>
  <c r="AK362" i="7"/>
  <c r="AO362" i="7"/>
  <c r="AS362" i="7"/>
  <c r="AW362" i="7"/>
  <c r="AD362" i="7"/>
  <c r="AH362" i="7"/>
  <c r="AL362" i="7"/>
  <c r="AP362" i="7"/>
  <c r="AT362" i="7"/>
  <c r="AX362" i="7"/>
  <c r="AI362" i="7"/>
  <c r="AM362" i="7"/>
  <c r="AQ362" i="7"/>
  <c r="AF358" i="7"/>
  <c r="AJ358" i="7"/>
  <c r="AN358" i="7"/>
  <c r="AR358" i="7"/>
  <c r="AV358" i="7"/>
  <c r="AC358" i="7"/>
  <c r="AG358" i="7"/>
  <c r="AK358" i="7"/>
  <c r="AO358" i="7"/>
  <c r="AS358" i="7"/>
  <c r="AW358" i="7"/>
  <c r="AD358" i="7"/>
  <c r="AH358" i="7"/>
  <c r="AL358" i="7"/>
  <c r="AP358" i="7"/>
  <c r="AT358" i="7"/>
  <c r="AX358" i="7"/>
  <c r="AQ358" i="7"/>
  <c r="AE358" i="7"/>
  <c r="AU358" i="7"/>
  <c r="AI358" i="7"/>
  <c r="AF354" i="7"/>
  <c r="AJ354" i="7"/>
  <c r="AN354" i="7"/>
  <c r="AR354" i="7"/>
  <c r="AV354" i="7"/>
  <c r="AC354" i="7"/>
  <c r="AG354" i="7"/>
  <c r="AK354" i="7"/>
  <c r="AO354" i="7"/>
  <c r="AS354" i="7"/>
  <c r="AW354" i="7"/>
  <c r="AD354" i="7"/>
  <c r="AH354" i="7"/>
  <c r="AL354" i="7"/>
  <c r="AP354" i="7"/>
  <c r="AT354" i="7"/>
  <c r="AX354" i="7"/>
  <c r="AI354" i="7"/>
  <c r="AM354" i="7"/>
  <c r="AQ354" i="7"/>
  <c r="AF350" i="7"/>
  <c r="AJ350" i="7"/>
  <c r="AN350" i="7"/>
  <c r="AR350" i="7"/>
  <c r="AV350" i="7"/>
  <c r="AC350" i="7"/>
  <c r="AG350" i="7"/>
  <c r="AK350" i="7"/>
  <c r="AO350" i="7"/>
  <c r="AS350" i="7"/>
  <c r="AW350" i="7"/>
  <c r="AD350" i="7"/>
  <c r="AH350" i="7"/>
  <c r="AL350" i="7"/>
  <c r="AP350" i="7"/>
  <c r="AT350" i="7"/>
  <c r="AX350" i="7"/>
  <c r="AQ350" i="7"/>
  <c r="AE350" i="7"/>
  <c r="AU350" i="7"/>
  <c r="AI350" i="7"/>
  <c r="AF346" i="7"/>
  <c r="AJ346" i="7"/>
  <c r="AN346" i="7"/>
  <c r="AR346" i="7"/>
  <c r="AV346" i="7"/>
  <c r="AC346" i="7"/>
  <c r="AG346" i="7"/>
  <c r="AK346" i="7"/>
  <c r="AO346" i="7"/>
  <c r="AS346" i="7"/>
  <c r="AW346" i="7"/>
  <c r="AD346" i="7"/>
  <c r="AH346" i="7"/>
  <c r="AL346" i="7"/>
  <c r="AP346" i="7"/>
  <c r="AT346" i="7"/>
  <c r="AX346" i="7"/>
  <c r="AI346" i="7"/>
  <c r="AM346" i="7"/>
  <c r="AQ346" i="7"/>
  <c r="AF342" i="7"/>
  <c r="AJ342" i="7"/>
  <c r="AN342" i="7"/>
  <c r="AR342" i="7"/>
  <c r="AV342" i="7"/>
  <c r="AC342" i="7"/>
  <c r="AG342" i="7"/>
  <c r="AK342" i="7"/>
  <c r="AO342" i="7"/>
  <c r="AS342" i="7"/>
  <c r="AW342" i="7"/>
  <c r="AD342" i="7"/>
  <c r="AH342" i="7"/>
  <c r="AL342" i="7"/>
  <c r="AP342" i="7"/>
  <c r="AT342" i="7"/>
  <c r="AX342" i="7"/>
  <c r="AQ342" i="7"/>
  <c r="AE342" i="7"/>
  <c r="AU342" i="7"/>
  <c r="AI342" i="7"/>
  <c r="AF338" i="7"/>
  <c r="AJ338" i="7"/>
  <c r="AN338" i="7"/>
  <c r="AR338" i="7"/>
  <c r="AV338" i="7"/>
  <c r="AC338" i="7"/>
  <c r="AG338" i="7"/>
  <c r="AK338" i="7"/>
  <c r="AO338" i="7"/>
  <c r="AS338" i="7"/>
  <c r="AW338" i="7"/>
  <c r="AD338" i="7"/>
  <c r="AH338" i="7"/>
  <c r="AL338" i="7"/>
  <c r="AP338" i="7"/>
  <c r="AT338" i="7"/>
  <c r="AX338" i="7"/>
  <c r="AI338" i="7"/>
  <c r="AM338" i="7"/>
  <c r="AQ338" i="7"/>
  <c r="AF334" i="7"/>
  <c r="AJ334" i="7"/>
  <c r="AN334" i="7"/>
  <c r="AR334" i="7"/>
  <c r="AV334" i="7"/>
  <c r="AC334" i="7"/>
  <c r="AG334" i="7"/>
  <c r="AK334" i="7"/>
  <c r="AO334" i="7"/>
  <c r="AS334" i="7"/>
  <c r="AW334" i="7"/>
  <c r="AD334" i="7"/>
  <c r="AH334" i="7"/>
  <c r="AL334" i="7"/>
  <c r="AP334" i="7"/>
  <c r="AT334" i="7"/>
  <c r="AX334" i="7"/>
  <c r="AQ334" i="7"/>
  <c r="AE334" i="7"/>
  <c r="AU334" i="7"/>
  <c r="AI334" i="7"/>
  <c r="AF330" i="7"/>
  <c r="AJ330" i="7"/>
  <c r="AN330" i="7"/>
  <c r="AR330" i="7"/>
  <c r="AV330" i="7"/>
  <c r="AC330" i="7"/>
  <c r="AG330" i="7"/>
  <c r="AK330" i="7"/>
  <c r="AO330" i="7"/>
  <c r="AS330" i="7"/>
  <c r="AW330" i="7"/>
  <c r="AD330" i="7"/>
  <c r="AH330" i="7"/>
  <c r="AL330" i="7"/>
  <c r="AP330" i="7"/>
  <c r="AT330" i="7"/>
  <c r="AX330" i="7"/>
  <c r="AI330" i="7"/>
  <c r="AM330" i="7"/>
  <c r="AQ330" i="7"/>
  <c r="AF326" i="7"/>
  <c r="AJ326" i="7"/>
  <c r="AN326" i="7"/>
  <c r="AR326" i="7"/>
  <c r="AV326" i="7"/>
  <c r="AC326" i="7"/>
  <c r="AG326" i="7"/>
  <c r="AK326" i="7"/>
  <c r="AO326" i="7"/>
  <c r="AS326" i="7"/>
  <c r="AW326" i="7"/>
  <c r="AD326" i="7"/>
  <c r="AH326" i="7"/>
  <c r="AL326" i="7"/>
  <c r="AP326" i="7"/>
  <c r="AT326" i="7"/>
  <c r="AX326" i="7"/>
  <c r="AQ326" i="7"/>
  <c r="AE326" i="7"/>
  <c r="AU326" i="7"/>
  <c r="AI326" i="7"/>
  <c r="AF322" i="7"/>
  <c r="AJ322" i="7"/>
  <c r="AN322" i="7"/>
  <c r="AR322" i="7"/>
  <c r="AV322" i="7"/>
  <c r="AC322" i="7"/>
  <c r="AG322" i="7"/>
  <c r="AK322" i="7"/>
  <c r="AO322" i="7"/>
  <c r="AS322" i="7"/>
  <c r="AW322" i="7"/>
  <c r="AD322" i="7"/>
  <c r="AH322" i="7"/>
  <c r="AL322" i="7"/>
  <c r="AP322" i="7"/>
  <c r="AT322" i="7"/>
  <c r="AX322" i="7"/>
  <c r="AI322" i="7"/>
  <c r="AM322" i="7"/>
  <c r="AQ322" i="7"/>
  <c r="AF318" i="7"/>
  <c r="AJ318" i="7"/>
  <c r="AN318" i="7"/>
  <c r="AR318" i="7"/>
  <c r="AV318" i="7"/>
  <c r="AC318" i="7"/>
  <c r="AG318" i="7"/>
  <c r="AK318" i="7"/>
  <c r="AO318" i="7"/>
  <c r="AS318" i="7"/>
  <c r="AW318" i="7"/>
  <c r="AD318" i="7"/>
  <c r="AH318" i="7"/>
  <c r="AL318" i="7"/>
  <c r="AP318" i="7"/>
  <c r="AT318" i="7"/>
  <c r="AX318" i="7"/>
  <c r="AQ318" i="7"/>
  <c r="AE318" i="7"/>
  <c r="AU318" i="7"/>
  <c r="AI318" i="7"/>
  <c r="AF314" i="7"/>
  <c r="AJ314" i="7"/>
  <c r="AN314" i="7"/>
  <c r="AR314" i="7"/>
  <c r="AV314" i="7"/>
  <c r="AC314" i="7"/>
  <c r="AG314" i="7"/>
  <c r="AK314" i="7"/>
  <c r="AO314" i="7"/>
  <c r="AS314" i="7"/>
  <c r="AW314" i="7"/>
  <c r="AD314" i="7"/>
  <c r="AH314" i="7"/>
  <c r="AL314" i="7"/>
  <c r="AP314" i="7"/>
  <c r="AT314" i="7"/>
  <c r="AX314" i="7"/>
  <c r="AI314" i="7"/>
  <c r="AM314" i="7"/>
  <c r="AQ314" i="7"/>
  <c r="AF310" i="7"/>
  <c r="AJ310" i="7"/>
  <c r="AN310" i="7"/>
  <c r="AR310" i="7"/>
  <c r="AV310" i="7"/>
  <c r="AC310" i="7"/>
  <c r="AG310" i="7"/>
  <c r="AK310" i="7"/>
  <c r="AO310" i="7"/>
  <c r="AS310" i="7"/>
  <c r="AW310" i="7"/>
  <c r="AD310" i="7"/>
  <c r="AH310" i="7"/>
  <c r="AL310" i="7"/>
  <c r="AP310" i="7"/>
  <c r="AT310" i="7"/>
  <c r="AX310" i="7"/>
  <c r="AQ310" i="7"/>
  <c r="AE310" i="7"/>
  <c r="AU310" i="7"/>
  <c r="AI310" i="7"/>
  <c r="AC306" i="7"/>
  <c r="AG306" i="7"/>
  <c r="AK306" i="7"/>
  <c r="AO306" i="7"/>
  <c r="AS306" i="7"/>
  <c r="AW306" i="7"/>
  <c r="AD306" i="7"/>
  <c r="AH306" i="7"/>
  <c r="AL306" i="7"/>
  <c r="AP306" i="7"/>
  <c r="AT306" i="7"/>
  <c r="AX306" i="7"/>
  <c r="AE306" i="7"/>
  <c r="AI306" i="7"/>
  <c r="AM306" i="7"/>
  <c r="AQ306" i="7"/>
  <c r="AU306" i="7"/>
  <c r="AN306" i="7"/>
  <c r="AR306" i="7"/>
  <c r="AF306" i="7"/>
  <c r="AV306" i="7"/>
  <c r="AJ306" i="7"/>
  <c r="AC302" i="7"/>
  <c r="AG302" i="7"/>
  <c r="AK302" i="7"/>
  <c r="AO302" i="7"/>
  <c r="AS302" i="7"/>
  <c r="AW302" i="7"/>
  <c r="AD302" i="7"/>
  <c r="AH302" i="7"/>
  <c r="AL302" i="7"/>
  <c r="AP302" i="7"/>
  <c r="AT302" i="7"/>
  <c r="AX302" i="7"/>
  <c r="AE302" i="7"/>
  <c r="AI302" i="7"/>
  <c r="AM302" i="7"/>
  <c r="AQ302" i="7"/>
  <c r="AU302" i="7"/>
  <c r="AF302" i="7"/>
  <c r="AV302" i="7"/>
  <c r="AJ302" i="7"/>
  <c r="AN302" i="7"/>
  <c r="AR302" i="7"/>
  <c r="AC298" i="7"/>
  <c r="AG298" i="7"/>
  <c r="AK298" i="7"/>
  <c r="AO298" i="7"/>
  <c r="AS298" i="7"/>
  <c r="AW298" i="7"/>
  <c r="AD298" i="7"/>
  <c r="AH298" i="7"/>
  <c r="AL298" i="7"/>
  <c r="AP298" i="7"/>
  <c r="AT298" i="7"/>
  <c r="AX298" i="7"/>
  <c r="AE298" i="7"/>
  <c r="AI298" i="7"/>
  <c r="AM298" i="7"/>
  <c r="AQ298" i="7"/>
  <c r="AU298" i="7"/>
  <c r="AN298" i="7"/>
  <c r="AR298" i="7"/>
  <c r="AF298" i="7"/>
  <c r="AV298" i="7"/>
  <c r="AJ298" i="7"/>
  <c r="AC294" i="7"/>
  <c r="AG294" i="7"/>
  <c r="AK294" i="7"/>
  <c r="AO294" i="7"/>
  <c r="AS294" i="7"/>
  <c r="AW294" i="7"/>
  <c r="AD294" i="7"/>
  <c r="AH294" i="7"/>
  <c r="AL294" i="7"/>
  <c r="AP294" i="7"/>
  <c r="AT294" i="7"/>
  <c r="AX294" i="7"/>
  <c r="AE294" i="7"/>
  <c r="AI294" i="7"/>
  <c r="AM294" i="7"/>
  <c r="AQ294" i="7"/>
  <c r="AU294" i="7"/>
  <c r="AF294" i="7"/>
  <c r="AV294" i="7"/>
  <c r="AJ294" i="7"/>
  <c r="AN294" i="7"/>
  <c r="AR294" i="7"/>
  <c r="AC290" i="7"/>
  <c r="AG290" i="7"/>
  <c r="AK290" i="7"/>
  <c r="AO290" i="7"/>
  <c r="AS290" i="7"/>
  <c r="AW290" i="7"/>
  <c r="AD290" i="7"/>
  <c r="AH290" i="7"/>
  <c r="AL290" i="7"/>
  <c r="AP290" i="7"/>
  <c r="AT290" i="7"/>
  <c r="AX290" i="7"/>
  <c r="AE290" i="7"/>
  <c r="AI290" i="7"/>
  <c r="AM290" i="7"/>
  <c r="AQ290" i="7"/>
  <c r="AU290" i="7"/>
  <c r="AN290" i="7"/>
  <c r="AR290" i="7"/>
  <c r="AF290" i="7"/>
  <c r="AV290" i="7"/>
  <c r="AC286" i="7"/>
  <c r="AG286" i="7"/>
  <c r="AK286" i="7"/>
  <c r="AO286" i="7"/>
  <c r="AS286" i="7"/>
  <c r="AW286" i="7"/>
  <c r="AD286" i="7"/>
  <c r="AH286" i="7"/>
  <c r="AL286" i="7"/>
  <c r="AP286" i="7"/>
  <c r="AT286" i="7"/>
  <c r="AX286" i="7"/>
  <c r="AE286" i="7"/>
  <c r="AI286" i="7"/>
  <c r="AM286" i="7"/>
  <c r="AQ286" i="7"/>
  <c r="AU286" i="7"/>
  <c r="AF286" i="7"/>
  <c r="AV286" i="7"/>
  <c r="AJ286" i="7"/>
  <c r="AN286" i="7"/>
  <c r="AR286" i="7"/>
  <c r="AC282" i="7"/>
  <c r="AG282" i="7"/>
  <c r="AK282" i="7"/>
  <c r="AO282" i="7"/>
  <c r="AS282" i="7"/>
  <c r="AW282" i="7"/>
  <c r="AD282" i="7"/>
  <c r="AH282" i="7"/>
  <c r="AL282" i="7"/>
  <c r="AP282" i="7"/>
  <c r="AT282" i="7"/>
  <c r="AX282" i="7"/>
  <c r="AE282" i="7"/>
  <c r="AI282" i="7"/>
  <c r="AM282" i="7"/>
  <c r="AQ282" i="7"/>
  <c r="AU282" i="7"/>
  <c r="AN282" i="7"/>
  <c r="AR282" i="7"/>
  <c r="AF282" i="7"/>
  <c r="AV282" i="7"/>
  <c r="AJ282" i="7"/>
  <c r="AC278" i="7"/>
  <c r="AG278" i="7"/>
  <c r="AK278" i="7"/>
  <c r="AO278" i="7"/>
  <c r="AS278" i="7"/>
  <c r="AW278" i="7"/>
  <c r="AD278" i="7"/>
  <c r="AH278" i="7"/>
  <c r="AL278" i="7"/>
  <c r="AP278" i="7"/>
  <c r="AT278" i="7"/>
  <c r="AX278" i="7"/>
  <c r="AE278" i="7"/>
  <c r="AI278" i="7"/>
  <c r="AM278" i="7"/>
  <c r="AQ278" i="7"/>
  <c r="AU278" i="7"/>
  <c r="AF278" i="7"/>
  <c r="AV278" i="7"/>
  <c r="AJ278" i="7"/>
  <c r="AN278" i="7"/>
  <c r="AC274" i="7"/>
  <c r="AG274" i="7"/>
  <c r="AK274" i="7"/>
  <c r="AO274" i="7"/>
  <c r="AS274" i="7"/>
  <c r="AW274" i="7"/>
  <c r="AD274" i="7"/>
  <c r="AH274" i="7"/>
  <c r="AL274" i="7"/>
  <c r="AP274" i="7"/>
  <c r="AT274" i="7"/>
  <c r="AX274" i="7"/>
  <c r="AE274" i="7"/>
  <c r="AI274" i="7"/>
  <c r="AM274" i="7"/>
  <c r="AQ274" i="7"/>
  <c r="AU274" i="7"/>
  <c r="AN274" i="7"/>
  <c r="AR274" i="7"/>
  <c r="AF274" i="7"/>
  <c r="AV274" i="7"/>
  <c r="AJ274" i="7"/>
  <c r="AC270" i="7"/>
  <c r="AG270" i="7"/>
  <c r="AK270" i="7"/>
  <c r="AO270" i="7"/>
  <c r="AS270" i="7"/>
  <c r="AW270" i="7"/>
  <c r="AD270" i="7"/>
  <c r="AH270" i="7"/>
  <c r="AL270" i="7"/>
  <c r="AP270" i="7"/>
  <c r="AT270" i="7"/>
  <c r="AX270" i="7"/>
  <c r="AE270" i="7"/>
  <c r="AI270" i="7"/>
  <c r="AM270" i="7"/>
  <c r="AQ270" i="7"/>
  <c r="AU270" i="7"/>
  <c r="AF270" i="7"/>
  <c r="AV270" i="7"/>
  <c r="AJ270" i="7"/>
  <c r="AN270" i="7"/>
  <c r="AR270" i="7"/>
  <c r="AC266" i="7"/>
  <c r="AG266" i="7"/>
  <c r="AK266" i="7"/>
  <c r="AO266" i="7"/>
  <c r="AS266" i="7"/>
  <c r="AW266" i="7"/>
  <c r="AD266" i="7"/>
  <c r="AH266" i="7"/>
  <c r="AL266" i="7"/>
  <c r="AP266" i="7"/>
  <c r="AT266" i="7"/>
  <c r="AX266" i="7"/>
  <c r="AE266" i="7"/>
  <c r="AI266" i="7"/>
  <c r="AM266" i="7"/>
  <c r="AQ266" i="7"/>
  <c r="AU266" i="7"/>
  <c r="AN266" i="7"/>
  <c r="AR266" i="7"/>
  <c r="AF266" i="7"/>
  <c r="AV266" i="7"/>
  <c r="AJ266" i="7"/>
  <c r="AC262" i="7"/>
  <c r="AG262" i="7"/>
  <c r="AK262" i="7"/>
  <c r="AO262" i="7"/>
  <c r="AS262" i="7"/>
  <c r="AW262" i="7"/>
  <c r="AD262" i="7"/>
  <c r="AH262" i="7"/>
  <c r="AL262" i="7"/>
  <c r="AP262" i="7"/>
  <c r="AT262" i="7"/>
  <c r="AX262" i="7"/>
  <c r="AE262" i="7"/>
  <c r="AI262" i="7"/>
  <c r="AM262" i="7"/>
  <c r="AQ262" i="7"/>
  <c r="AU262" i="7"/>
  <c r="AF262" i="7"/>
  <c r="AV262" i="7"/>
  <c r="AJ262" i="7"/>
  <c r="AN262" i="7"/>
  <c r="AR262" i="7"/>
  <c r="AC258" i="7"/>
  <c r="AG258" i="7"/>
  <c r="AK258" i="7"/>
  <c r="AO258" i="7"/>
  <c r="AS258" i="7"/>
  <c r="AW258" i="7"/>
  <c r="AD258" i="7"/>
  <c r="AH258" i="7"/>
  <c r="AL258" i="7"/>
  <c r="AP258" i="7"/>
  <c r="AT258" i="7"/>
  <c r="AX258" i="7"/>
  <c r="AE258" i="7"/>
  <c r="AI258" i="7"/>
  <c r="AM258" i="7"/>
  <c r="AQ258" i="7"/>
  <c r="AU258" i="7"/>
  <c r="AN258" i="7"/>
  <c r="AR258" i="7"/>
  <c r="AF258" i="7"/>
  <c r="AV258" i="7"/>
  <c r="AC254" i="7"/>
  <c r="AG254" i="7"/>
  <c r="AK254" i="7"/>
  <c r="AO254" i="7"/>
  <c r="AS254" i="7"/>
  <c r="AW254" i="7"/>
  <c r="AD254" i="7"/>
  <c r="AH254" i="7"/>
  <c r="AL254" i="7"/>
  <c r="AP254" i="7"/>
  <c r="AT254" i="7"/>
  <c r="AX254" i="7"/>
  <c r="AE254" i="7"/>
  <c r="AI254" i="7"/>
  <c r="AM254" i="7"/>
  <c r="AQ254" i="7"/>
  <c r="AU254" i="7"/>
  <c r="AF254" i="7"/>
  <c r="AV254" i="7"/>
  <c r="AJ254" i="7"/>
  <c r="AN254" i="7"/>
  <c r="AR254" i="7"/>
  <c r="AC250" i="7"/>
  <c r="AG250" i="7"/>
  <c r="AK250" i="7"/>
  <c r="AO250" i="7"/>
  <c r="AS250" i="7"/>
  <c r="AW250" i="7"/>
  <c r="AD250" i="7"/>
  <c r="AH250" i="7"/>
  <c r="AL250" i="7"/>
  <c r="AP250" i="7"/>
  <c r="AT250" i="7"/>
  <c r="AX250" i="7"/>
  <c r="AE250" i="7"/>
  <c r="AI250" i="7"/>
  <c r="AM250" i="7"/>
  <c r="AQ250" i="7"/>
  <c r="AU250" i="7"/>
  <c r="AN250" i="7"/>
  <c r="AR250" i="7"/>
  <c r="AF250" i="7"/>
  <c r="AV250" i="7"/>
  <c r="AJ250" i="7"/>
  <c r="AC246" i="7"/>
  <c r="AG246" i="7"/>
  <c r="AK246" i="7"/>
  <c r="AO246" i="7"/>
  <c r="AS246" i="7"/>
  <c r="AW246" i="7"/>
  <c r="AD246" i="7"/>
  <c r="AH246" i="7"/>
  <c r="AL246" i="7"/>
  <c r="AP246" i="7"/>
  <c r="AT246" i="7"/>
  <c r="AX246" i="7"/>
  <c r="AE246" i="7"/>
  <c r="AI246" i="7"/>
  <c r="AM246" i="7"/>
  <c r="AQ246" i="7"/>
  <c r="AU246" i="7"/>
  <c r="AF246" i="7"/>
  <c r="AV246" i="7"/>
  <c r="AJ246" i="7"/>
  <c r="AN246" i="7"/>
  <c r="AC242" i="7"/>
  <c r="AG242" i="7"/>
  <c r="AK242" i="7"/>
  <c r="AO242" i="7"/>
  <c r="AS242" i="7"/>
  <c r="AW242" i="7"/>
  <c r="AD242" i="7"/>
  <c r="AH242" i="7"/>
  <c r="AL242" i="7"/>
  <c r="AP242" i="7"/>
  <c r="AT242" i="7"/>
  <c r="AX242" i="7"/>
  <c r="AE242" i="7"/>
  <c r="AI242" i="7"/>
  <c r="AM242" i="7"/>
  <c r="AQ242" i="7"/>
  <c r="AU242" i="7"/>
  <c r="AN242" i="7"/>
  <c r="AR242" i="7"/>
  <c r="AF242" i="7"/>
  <c r="AV242" i="7"/>
  <c r="AJ242" i="7"/>
  <c r="AC238" i="7"/>
  <c r="AG238" i="7"/>
  <c r="AK238" i="7"/>
  <c r="AO238" i="7"/>
  <c r="AS238" i="7"/>
  <c r="AW238" i="7"/>
  <c r="AD238" i="7"/>
  <c r="AH238" i="7"/>
  <c r="AL238" i="7"/>
  <c r="AP238" i="7"/>
  <c r="AT238" i="7"/>
  <c r="AX238" i="7"/>
  <c r="AE238" i="7"/>
  <c r="AI238" i="7"/>
  <c r="AM238" i="7"/>
  <c r="AQ238" i="7"/>
  <c r="AU238" i="7"/>
  <c r="AF238" i="7"/>
  <c r="AV238" i="7"/>
  <c r="AJ238" i="7"/>
  <c r="AN238" i="7"/>
  <c r="AR238" i="7"/>
  <c r="AC234" i="7"/>
  <c r="AG234" i="7"/>
  <c r="AK234" i="7"/>
  <c r="AO234" i="7"/>
  <c r="AS234" i="7"/>
  <c r="AW234" i="7"/>
  <c r="AD234" i="7"/>
  <c r="AH234" i="7"/>
  <c r="AL234" i="7"/>
  <c r="AP234" i="7"/>
  <c r="AT234" i="7"/>
  <c r="AX234" i="7"/>
  <c r="AE234" i="7"/>
  <c r="AI234" i="7"/>
  <c r="AM234" i="7"/>
  <c r="AQ234" i="7"/>
  <c r="AU234" i="7"/>
  <c r="AN234" i="7"/>
  <c r="AR234" i="7"/>
  <c r="AF234" i="7"/>
  <c r="AV234" i="7"/>
  <c r="AJ234" i="7"/>
  <c r="AC230" i="7"/>
  <c r="AG230" i="7"/>
  <c r="AK230" i="7"/>
  <c r="AO230" i="7"/>
  <c r="AS230" i="7"/>
  <c r="AW230" i="7"/>
  <c r="AD230" i="7"/>
  <c r="AH230" i="7"/>
  <c r="AL230" i="7"/>
  <c r="AP230" i="7"/>
  <c r="AT230" i="7"/>
  <c r="AX230" i="7"/>
  <c r="AE230" i="7"/>
  <c r="AI230" i="7"/>
  <c r="AM230" i="7"/>
  <c r="AQ230" i="7"/>
  <c r="AU230" i="7"/>
  <c r="AF230" i="7"/>
  <c r="AV230" i="7"/>
  <c r="AJ230" i="7"/>
  <c r="AN230" i="7"/>
  <c r="AR230" i="7"/>
  <c r="AC226" i="7"/>
  <c r="AG226" i="7"/>
  <c r="AK226" i="7"/>
  <c r="AO226" i="7"/>
  <c r="AS226" i="7"/>
  <c r="AW226" i="7"/>
  <c r="AD226" i="7"/>
  <c r="AH226" i="7"/>
  <c r="AL226" i="7"/>
  <c r="AP226" i="7"/>
  <c r="AT226" i="7"/>
  <c r="AX226" i="7"/>
  <c r="AE226" i="7"/>
  <c r="AI226" i="7"/>
  <c r="AM226" i="7"/>
  <c r="AQ226" i="7"/>
  <c r="AU226" i="7"/>
  <c r="AN226" i="7"/>
  <c r="AR226" i="7"/>
  <c r="AF226" i="7"/>
  <c r="AV226" i="7"/>
  <c r="AC222" i="7"/>
  <c r="AG222" i="7"/>
  <c r="AK222" i="7"/>
  <c r="AO222" i="7"/>
  <c r="AS222" i="7"/>
  <c r="AW222" i="7"/>
  <c r="AD222" i="7"/>
  <c r="AH222" i="7"/>
  <c r="AL222" i="7"/>
  <c r="AP222" i="7"/>
  <c r="AT222" i="7"/>
  <c r="AX222" i="7"/>
  <c r="AE222" i="7"/>
  <c r="AI222" i="7"/>
  <c r="AM222" i="7"/>
  <c r="AQ222" i="7"/>
  <c r="AU222" i="7"/>
  <c r="AF222" i="7"/>
  <c r="AV222" i="7"/>
  <c r="AJ222" i="7"/>
  <c r="AN222" i="7"/>
  <c r="AR222" i="7"/>
  <c r="AC218" i="7"/>
  <c r="AG218" i="7"/>
  <c r="AK218" i="7"/>
  <c r="AO218" i="7"/>
  <c r="AS218" i="7"/>
  <c r="AW218" i="7"/>
  <c r="AD218" i="7"/>
  <c r="AH218" i="7"/>
  <c r="AL218" i="7"/>
  <c r="AP218" i="7"/>
  <c r="AT218" i="7"/>
  <c r="AX218" i="7"/>
  <c r="AE218" i="7"/>
  <c r="AI218" i="7"/>
  <c r="AM218" i="7"/>
  <c r="AQ218" i="7"/>
  <c r="AU218" i="7"/>
  <c r="AN218" i="7"/>
  <c r="AR218" i="7"/>
  <c r="AF218" i="7"/>
  <c r="AV218" i="7"/>
  <c r="AJ218" i="7"/>
  <c r="AC214" i="7"/>
  <c r="AG214" i="7"/>
  <c r="AK214" i="7"/>
  <c r="AO214" i="7"/>
  <c r="AS214" i="7"/>
  <c r="AW214" i="7"/>
  <c r="AD214" i="7"/>
  <c r="AH214" i="7"/>
  <c r="AL214" i="7"/>
  <c r="AP214" i="7"/>
  <c r="AT214" i="7"/>
  <c r="AX214" i="7"/>
  <c r="AE214" i="7"/>
  <c r="AI214" i="7"/>
  <c r="AM214" i="7"/>
  <c r="AQ214" i="7"/>
  <c r="AU214" i="7"/>
  <c r="AF214" i="7"/>
  <c r="AV214" i="7"/>
  <c r="AJ214" i="7"/>
  <c r="AN214" i="7"/>
  <c r="AC210" i="7"/>
  <c r="AG210" i="7"/>
  <c r="AK210" i="7"/>
  <c r="AO210" i="7"/>
  <c r="AS210" i="7"/>
  <c r="AW210" i="7"/>
  <c r="AD210" i="7"/>
  <c r="AH210" i="7"/>
  <c r="AL210" i="7"/>
  <c r="AP210" i="7"/>
  <c r="AT210" i="7"/>
  <c r="AX210" i="7"/>
  <c r="AE210" i="7"/>
  <c r="AI210" i="7"/>
  <c r="AM210" i="7"/>
  <c r="AQ210" i="7"/>
  <c r="AU210" i="7"/>
  <c r="AN210" i="7"/>
  <c r="AR210" i="7"/>
  <c r="AF210" i="7"/>
  <c r="AV210" i="7"/>
  <c r="AJ210" i="7"/>
  <c r="AC206" i="7"/>
  <c r="AG206" i="7"/>
  <c r="AK206" i="7"/>
  <c r="AO206" i="7"/>
  <c r="AS206" i="7"/>
  <c r="AW206" i="7"/>
  <c r="AD206" i="7"/>
  <c r="AH206" i="7"/>
  <c r="AL206" i="7"/>
  <c r="AP206" i="7"/>
  <c r="AT206" i="7"/>
  <c r="AX206" i="7"/>
  <c r="AE206" i="7"/>
  <c r="AI206" i="7"/>
  <c r="AM206" i="7"/>
  <c r="AQ206" i="7"/>
  <c r="AU206" i="7"/>
  <c r="AF206" i="7"/>
  <c r="AV206" i="7"/>
  <c r="AJ206" i="7"/>
  <c r="AN206" i="7"/>
  <c r="AR206" i="7"/>
  <c r="AC202" i="7"/>
  <c r="AG202" i="7"/>
  <c r="AK202" i="7"/>
  <c r="AO202" i="7"/>
  <c r="AS202" i="7"/>
  <c r="AW202" i="7"/>
  <c r="AD202" i="7"/>
  <c r="AH202" i="7"/>
  <c r="AL202" i="7"/>
  <c r="AP202" i="7"/>
  <c r="AT202" i="7"/>
  <c r="AX202" i="7"/>
  <c r="AE202" i="7"/>
  <c r="AI202" i="7"/>
  <c r="AM202" i="7"/>
  <c r="AQ202" i="7"/>
  <c r="AU202" i="7"/>
  <c r="AN202" i="7"/>
  <c r="AR202" i="7"/>
  <c r="AF202" i="7"/>
  <c r="AV202" i="7"/>
  <c r="AJ202" i="7"/>
  <c r="AC198" i="7"/>
  <c r="AG198" i="7"/>
  <c r="AK198" i="7"/>
  <c r="AO198" i="7"/>
  <c r="AS198" i="7"/>
  <c r="AW198" i="7"/>
  <c r="AD198" i="7"/>
  <c r="AH198" i="7"/>
  <c r="AL198" i="7"/>
  <c r="AP198" i="7"/>
  <c r="AT198" i="7"/>
  <c r="AX198" i="7"/>
  <c r="AE198" i="7"/>
  <c r="AI198" i="7"/>
  <c r="AM198" i="7"/>
  <c r="AQ198" i="7"/>
  <c r="AU198" i="7"/>
  <c r="AR198" i="7"/>
  <c r="AF198" i="7"/>
  <c r="AV198" i="7"/>
  <c r="AJ198" i="7"/>
  <c r="AN198" i="7"/>
  <c r="AC194" i="7"/>
  <c r="AG194" i="7"/>
  <c r="AK194" i="7"/>
  <c r="AO194" i="7"/>
  <c r="AS194" i="7"/>
  <c r="AW194" i="7"/>
  <c r="AD194" i="7"/>
  <c r="AH194" i="7"/>
  <c r="AL194" i="7"/>
  <c r="AP194" i="7"/>
  <c r="AT194" i="7"/>
  <c r="AX194" i="7"/>
  <c r="AE194" i="7"/>
  <c r="AI194" i="7"/>
  <c r="AM194" i="7"/>
  <c r="AQ194" i="7"/>
  <c r="AU194" i="7"/>
  <c r="AJ194" i="7"/>
  <c r="AN194" i="7"/>
  <c r="AR194" i="7"/>
  <c r="AF194" i="7"/>
  <c r="AV194" i="7"/>
  <c r="AC190" i="7"/>
  <c r="AG190" i="7"/>
  <c r="AK190" i="7"/>
  <c r="AO190" i="7"/>
  <c r="AS190" i="7"/>
  <c r="AW190" i="7"/>
  <c r="AD190" i="7"/>
  <c r="AH190" i="7"/>
  <c r="AL190" i="7"/>
  <c r="AP190" i="7"/>
  <c r="AT190" i="7"/>
  <c r="AX190" i="7"/>
  <c r="AE190" i="7"/>
  <c r="AI190" i="7"/>
  <c r="AM190" i="7"/>
  <c r="AQ190" i="7"/>
  <c r="AU190" i="7"/>
  <c r="AR190" i="7"/>
  <c r="AF190" i="7"/>
  <c r="AV190" i="7"/>
  <c r="AJ190" i="7"/>
  <c r="AN190" i="7"/>
  <c r="AC186" i="7"/>
  <c r="AG186" i="7"/>
  <c r="AK186" i="7"/>
  <c r="AO186" i="7"/>
  <c r="AS186" i="7"/>
  <c r="AW186" i="7"/>
  <c r="AD186" i="7"/>
  <c r="AH186" i="7"/>
  <c r="AL186" i="7"/>
  <c r="AP186" i="7"/>
  <c r="AT186" i="7"/>
  <c r="AX186" i="7"/>
  <c r="AE186" i="7"/>
  <c r="AI186" i="7"/>
  <c r="AM186" i="7"/>
  <c r="AQ186" i="7"/>
  <c r="AU186" i="7"/>
  <c r="AJ186" i="7"/>
  <c r="AN186" i="7"/>
  <c r="AR186" i="7"/>
  <c r="AF186" i="7"/>
  <c r="AV186" i="7"/>
  <c r="AC182" i="7"/>
  <c r="AG182" i="7"/>
  <c r="AK182" i="7"/>
  <c r="AO182" i="7"/>
  <c r="AS182" i="7"/>
  <c r="AW182" i="7"/>
  <c r="AD182" i="7"/>
  <c r="AH182" i="7"/>
  <c r="AL182" i="7"/>
  <c r="AP182" i="7"/>
  <c r="AT182" i="7"/>
  <c r="AX182" i="7"/>
  <c r="AE182" i="7"/>
  <c r="AI182" i="7"/>
  <c r="AM182" i="7"/>
  <c r="AQ182" i="7"/>
  <c r="AU182" i="7"/>
  <c r="AR182" i="7"/>
  <c r="AF182" i="7"/>
  <c r="AV182" i="7"/>
  <c r="AJ182" i="7"/>
  <c r="AN182" i="7"/>
  <c r="AC178" i="7"/>
  <c r="AG178" i="7"/>
  <c r="AK178" i="7"/>
  <c r="AO178" i="7"/>
  <c r="AS178" i="7"/>
  <c r="AW178" i="7"/>
  <c r="AD178" i="7"/>
  <c r="AH178" i="7"/>
  <c r="AL178" i="7"/>
  <c r="AP178" i="7"/>
  <c r="AT178" i="7"/>
  <c r="AX178" i="7"/>
  <c r="AE178" i="7"/>
  <c r="AI178" i="7"/>
  <c r="AM178" i="7"/>
  <c r="AQ178" i="7"/>
  <c r="AU178" i="7"/>
  <c r="AJ178" i="7"/>
  <c r="AN178" i="7"/>
  <c r="AR178" i="7"/>
  <c r="AF178" i="7"/>
  <c r="AV178" i="7"/>
  <c r="AC174" i="7"/>
  <c r="AG174" i="7"/>
  <c r="AK174" i="7"/>
  <c r="AO174" i="7"/>
  <c r="AS174" i="7"/>
  <c r="AW174" i="7"/>
  <c r="AD174" i="7"/>
  <c r="AH174" i="7"/>
  <c r="AL174" i="7"/>
  <c r="AP174" i="7"/>
  <c r="AT174" i="7"/>
  <c r="AX174" i="7"/>
  <c r="AE174" i="7"/>
  <c r="AI174" i="7"/>
  <c r="AM174" i="7"/>
  <c r="AQ174" i="7"/>
  <c r="AU174" i="7"/>
  <c r="AR174" i="7"/>
  <c r="AF174" i="7"/>
  <c r="AV174" i="7"/>
  <c r="AJ174" i="7"/>
  <c r="AN174" i="7"/>
  <c r="AC170" i="7"/>
  <c r="AG170" i="7"/>
  <c r="AK170" i="7"/>
  <c r="AO170" i="7"/>
  <c r="AS170" i="7"/>
  <c r="AW170" i="7"/>
  <c r="AD170" i="7"/>
  <c r="AH170" i="7"/>
  <c r="AL170" i="7"/>
  <c r="AP170" i="7"/>
  <c r="AT170" i="7"/>
  <c r="AX170" i="7"/>
  <c r="AE170" i="7"/>
  <c r="AI170" i="7"/>
  <c r="AM170" i="7"/>
  <c r="AQ170" i="7"/>
  <c r="AU170" i="7"/>
  <c r="AJ170" i="7"/>
  <c r="AN170" i="7"/>
  <c r="AR170" i="7"/>
  <c r="AV170" i="7"/>
  <c r="AF170" i="7"/>
  <c r="AC166" i="7"/>
  <c r="AG166" i="7"/>
  <c r="AK166" i="7"/>
  <c r="AO166" i="7"/>
  <c r="AS166" i="7"/>
  <c r="AW166" i="7"/>
  <c r="AD166" i="7"/>
  <c r="AH166" i="7"/>
  <c r="AL166" i="7"/>
  <c r="AP166" i="7"/>
  <c r="AT166" i="7"/>
  <c r="AX166" i="7"/>
  <c r="AE166" i="7"/>
  <c r="AI166" i="7"/>
  <c r="AM166" i="7"/>
  <c r="AQ166" i="7"/>
  <c r="AU166" i="7"/>
  <c r="AR166" i="7"/>
  <c r="AF166" i="7"/>
  <c r="AV166" i="7"/>
  <c r="AJ166" i="7"/>
  <c r="AN166" i="7"/>
  <c r="AC162" i="7"/>
  <c r="AG162" i="7"/>
  <c r="AK162" i="7"/>
  <c r="AO162" i="7"/>
  <c r="AS162" i="7"/>
  <c r="AW162" i="7"/>
  <c r="AD162" i="7"/>
  <c r="AH162" i="7"/>
  <c r="AL162" i="7"/>
  <c r="AP162" i="7"/>
  <c r="AT162" i="7"/>
  <c r="AX162" i="7"/>
  <c r="AE162" i="7"/>
  <c r="AI162" i="7"/>
  <c r="AM162" i="7"/>
  <c r="AQ162" i="7"/>
  <c r="AU162" i="7"/>
  <c r="AJ162" i="7"/>
  <c r="AN162" i="7"/>
  <c r="AR162" i="7"/>
  <c r="AF162" i="7"/>
  <c r="AV162" i="7"/>
  <c r="AC158" i="7"/>
  <c r="AG158" i="7"/>
  <c r="AK158" i="7"/>
  <c r="AO158" i="7"/>
  <c r="AS158" i="7"/>
  <c r="AW158" i="7"/>
  <c r="AD158" i="7"/>
  <c r="AH158" i="7"/>
  <c r="AL158" i="7"/>
  <c r="AP158" i="7"/>
  <c r="AT158" i="7"/>
  <c r="AX158" i="7"/>
  <c r="AE158" i="7"/>
  <c r="AI158" i="7"/>
  <c r="AM158" i="7"/>
  <c r="AQ158" i="7"/>
  <c r="AU158" i="7"/>
  <c r="AR158" i="7"/>
  <c r="AF158" i="7"/>
  <c r="AV158" i="7"/>
  <c r="AJ158" i="7"/>
  <c r="AN158" i="7"/>
  <c r="AC154" i="7"/>
  <c r="AG154" i="7"/>
  <c r="AK154" i="7"/>
  <c r="AO154" i="7"/>
  <c r="AS154" i="7"/>
  <c r="AW154" i="7"/>
  <c r="AD154" i="7"/>
  <c r="AH154" i="7"/>
  <c r="AL154" i="7"/>
  <c r="AP154" i="7"/>
  <c r="AT154" i="7"/>
  <c r="AX154" i="7"/>
  <c r="AE154" i="7"/>
  <c r="AI154" i="7"/>
  <c r="AM154" i="7"/>
  <c r="AQ154" i="7"/>
  <c r="AU154" i="7"/>
  <c r="AJ154" i="7"/>
  <c r="AN154" i="7"/>
  <c r="AR154" i="7"/>
  <c r="AF154" i="7"/>
  <c r="AV154" i="7"/>
  <c r="AD150" i="7"/>
  <c r="AH150" i="7"/>
  <c r="AL150" i="7"/>
  <c r="AP150" i="7"/>
  <c r="AT150" i="7"/>
  <c r="AX150" i="7"/>
  <c r="AE150" i="7"/>
  <c r="AI150" i="7"/>
  <c r="AM150" i="7"/>
  <c r="AQ150" i="7"/>
  <c r="AU150" i="7"/>
  <c r="AF150" i="7"/>
  <c r="AJ150" i="7"/>
  <c r="AN150" i="7"/>
  <c r="AR150" i="7"/>
  <c r="AV150" i="7"/>
  <c r="AC150" i="7"/>
  <c r="AS150" i="7"/>
  <c r="AG150" i="7"/>
  <c r="AW150" i="7"/>
  <c r="AK150" i="7"/>
  <c r="AO150" i="7"/>
  <c r="AD146" i="7"/>
  <c r="AH146" i="7"/>
  <c r="AL146" i="7"/>
  <c r="AP146" i="7"/>
  <c r="AT146" i="7"/>
  <c r="AX146" i="7"/>
  <c r="AE146" i="7"/>
  <c r="AI146" i="7"/>
  <c r="AM146" i="7"/>
  <c r="AQ146" i="7"/>
  <c r="AU146" i="7"/>
  <c r="AF146" i="7"/>
  <c r="AJ146" i="7"/>
  <c r="AN146" i="7"/>
  <c r="AR146" i="7"/>
  <c r="AV146" i="7"/>
  <c r="AK146" i="7"/>
  <c r="AO146" i="7"/>
  <c r="AC146" i="7"/>
  <c r="AS146" i="7"/>
  <c r="AG146" i="7"/>
  <c r="AW146" i="7"/>
  <c r="AD142" i="7"/>
  <c r="AH142" i="7"/>
  <c r="AL142" i="7"/>
  <c r="AP142" i="7"/>
  <c r="AT142" i="7"/>
  <c r="AX142" i="7"/>
  <c r="AE142" i="7"/>
  <c r="AI142" i="7"/>
  <c r="AM142" i="7"/>
  <c r="AQ142" i="7"/>
  <c r="AU142" i="7"/>
  <c r="AF142" i="7"/>
  <c r="AJ142" i="7"/>
  <c r="AN142" i="7"/>
  <c r="AR142" i="7"/>
  <c r="AV142" i="7"/>
  <c r="AC142" i="7"/>
  <c r="AS142" i="7"/>
  <c r="AG142" i="7"/>
  <c r="AW142" i="7"/>
  <c r="AK142" i="7"/>
  <c r="AO142" i="7"/>
  <c r="AD138" i="7"/>
  <c r="AH138" i="7"/>
  <c r="AL138" i="7"/>
  <c r="AP138" i="7"/>
  <c r="AT138" i="7"/>
  <c r="AX138" i="7"/>
  <c r="AE138" i="7"/>
  <c r="AI138" i="7"/>
  <c r="AM138" i="7"/>
  <c r="AQ138" i="7"/>
  <c r="AU138" i="7"/>
  <c r="AF138" i="7"/>
  <c r="AJ138" i="7"/>
  <c r="AN138" i="7"/>
  <c r="AR138" i="7"/>
  <c r="AV138" i="7"/>
  <c r="AK138" i="7"/>
  <c r="AO138" i="7"/>
  <c r="AC138" i="7"/>
  <c r="AS138" i="7"/>
  <c r="AW138" i="7"/>
  <c r="AD134" i="7"/>
  <c r="AH134" i="7"/>
  <c r="AL134" i="7"/>
  <c r="AP134" i="7"/>
  <c r="AT134" i="7"/>
  <c r="AX134" i="7"/>
  <c r="AE134" i="7"/>
  <c r="AI134" i="7"/>
  <c r="AM134" i="7"/>
  <c r="AQ134" i="7"/>
  <c r="AU134" i="7"/>
  <c r="AF134" i="7"/>
  <c r="AJ134" i="7"/>
  <c r="AN134" i="7"/>
  <c r="AR134" i="7"/>
  <c r="AV134" i="7"/>
  <c r="AC134" i="7"/>
  <c r="AS134" i="7"/>
  <c r="AG134" i="7"/>
  <c r="AW134" i="7"/>
  <c r="AK134" i="7"/>
  <c r="AO134" i="7"/>
  <c r="AD130" i="7"/>
  <c r="AH130" i="7"/>
  <c r="AL130" i="7"/>
  <c r="AP130" i="7"/>
  <c r="AT130" i="7"/>
  <c r="AX130" i="7"/>
  <c r="AE130" i="7"/>
  <c r="AI130" i="7"/>
  <c r="AM130" i="7"/>
  <c r="AQ130" i="7"/>
  <c r="AU130" i="7"/>
  <c r="AF130" i="7"/>
  <c r="AJ130" i="7"/>
  <c r="AN130" i="7"/>
  <c r="AR130" i="7"/>
  <c r="AV130" i="7"/>
  <c r="AK130" i="7"/>
  <c r="AO130" i="7"/>
  <c r="AC130" i="7"/>
  <c r="AS130" i="7"/>
  <c r="AG130" i="7"/>
  <c r="AW130" i="7"/>
  <c r="AD126" i="7"/>
  <c r="AH126" i="7"/>
  <c r="AL126" i="7"/>
  <c r="AP126" i="7"/>
  <c r="AT126" i="7"/>
  <c r="AX126" i="7"/>
  <c r="AE126" i="7"/>
  <c r="AI126" i="7"/>
  <c r="AM126" i="7"/>
  <c r="AQ126" i="7"/>
  <c r="AU126" i="7"/>
  <c r="AF126" i="7"/>
  <c r="AJ126" i="7"/>
  <c r="AN126" i="7"/>
  <c r="AR126" i="7"/>
  <c r="AV126" i="7"/>
  <c r="AC126" i="7"/>
  <c r="AS126" i="7"/>
  <c r="AG126" i="7"/>
  <c r="AW126" i="7"/>
  <c r="AK126" i="7"/>
  <c r="AO126" i="7"/>
  <c r="AD122" i="7"/>
  <c r="AH122" i="7"/>
  <c r="AL122" i="7"/>
  <c r="AP122" i="7"/>
  <c r="AT122" i="7"/>
  <c r="AX122" i="7"/>
  <c r="AE122" i="7"/>
  <c r="AI122" i="7"/>
  <c r="AM122" i="7"/>
  <c r="AQ122" i="7"/>
  <c r="AU122" i="7"/>
  <c r="AF122" i="7"/>
  <c r="AJ122" i="7"/>
  <c r="AN122" i="7"/>
  <c r="AR122" i="7"/>
  <c r="AV122" i="7"/>
  <c r="AK122" i="7"/>
  <c r="AO122" i="7"/>
  <c r="AC122" i="7"/>
  <c r="AS122" i="7"/>
  <c r="AG122" i="7"/>
  <c r="AW122" i="7"/>
  <c r="AD118" i="7"/>
  <c r="AH118" i="7"/>
  <c r="AL118" i="7"/>
  <c r="AP118" i="7"/>
  <c r="AT118" i="7"/>
  <c r="AX118" i="7"/>
  <c r="AE118" i="7"/>
  <c r="AI118" i="7"/>
  <c r="AM118" i="7"/>
  <c r="AQ118" i="7"/>
  <c r="AU118" i="7"/>
  <c r="AF118" i="7"/>
  <c r="AJ118" i="7"/>
  <c r="AN118" i="7"/>
  <c r="AR118" i="7"/>
  <c r="AV118" i="7"/>
  <c r="AC118" i="7"/>
  <c r="AS118" i="7"/>
  <c r="AG118" i="7"/>
  <c r="AW118" i="7"/>
  <c r="AK118" i="7"/>
  <c r="AO118" i="7"/>
  <c r="AD114" i="7"/>
  <c r="AH114" i="7"/>
  <c r="AL114" i="7"/>
  <c r="AP114" i="7"/>
  <c r="AT114" i="7"/>
  <c r="AX114" i="7"/>
  <c r="AE114" i="7"/>
  <c r="AI114" i="7"/>
  <c r="AM114" i="7"/>
  <c r="AQ114" i="7"/>
  <c r="AU114" i="7"/>
  <c r="AF114" i="7"/>
  <c r="AJ114" i="7"/>
  <c r="AN114" i="7"/>
  <c r="AR114" i="7"/>
  <c r="AV114" i="7"/>
  <c r="AK114" i="7"/>
  <c r="AO114" i="7"/>
  <c r="AC114" i="7"/>
  <c r="AS114" i="7"/>
  <c r="AG114" i="7"/>
  <c r="AW114" i="7"/>
  <c r="AD110" i="7"/>
  <c r="AH110" i="7"/>
  <c r="AL110" i="7"/>
  <c r="AP110" i="7"/>
  <c r="AT110" i="7"/>
  <c r="AX110" i="7"/>
  <c r="AE110" i="7"/>
  <c r="AI110" i="7"/>
  <c r="AM110" i="7"/>
  <c r="AQ110" i="7"/>
  <c r="AU110" i="7"/>
  <c r="AF110" i="7"/>
  <c r="AJ110" i="7"/>
  <c r="AN110" i="7"/>
  <c r="AR110" i="7"/>
  <c r="AV110" i="7"/>
  <c r="AC110" i="7"/>
  <c r="AS110" i="7"/>
  <c r="AG110" i="7"/>
  <c r="AW110" i="7"/>
  <c r="AK110" i="7"/>
  <c r="AO110" i="7"/>
  <c r="AD106" i="7"/>
  <c r="AH106" i="7"/>
  <c r="AL106" i="7"/>
  <c r="AP106" i="7"/>
  <c r="AT106" i="7"/>
  <c r="AX106" i="7"/>
  <c r="AE106" i="7"/>
  <c r="AI106" i="7"/>
  <c r="AM106" i="7"/>
  <c r="AQ106" i="7"/>
  <c r="AU106" i="7"/>
  <c r="AF106" i="7"/>
  <c r="AJ106" i="7"/>
  <c r="AN106" i="7"/>
  <c r="AR106" i="7"/>
  <c r="AV106" i="7"/>
  <c r="AK106" i="7"/>
  <c r="AO106" i="7"/>
  <c r="AC106" i="7"/>
  <c r="AS106" i="7"/>
  <c r="AW106" i="7"/>
  <c r="AG106" i="7"/>
  <c r="AD102" i="7"/>
  <c r="AH102" i="7"/>
  <c r="AL102" i="7"/>
  <c r="AP102" i="7"/>
  <c r="AT102" i="7"/>
  <c r="AX102" i="7"/>
  <c r="AE102" i="7"/>
  <c r="AI102" i="7"/>
  <c r="AM102" i="7"/>
  <c r="AQ102" i="7"/>
  <c r="AU102" i="7"/>
  <c r="AF102" i="7"/>
  <c r="AJ102" i="7"/>
  <c r="AN102" i="7"/>
  <c r="AR102" i="7"/>
  <c r="AV102" i="7"/>
  <c r="AC102" i="7"/>
  <c r="AS102" i="7"/>
  <c r="AG102" i="7"/>
  <c r="AW102" i="7"/>
  <c r="AK102" i="7"/>
  <c r="AO102" i="7"/>
  <c r="AE98" i="7"/>
  <c r="AI98" i="7"/>
  <c r="AM98" i="7"/>
  <c r="AQ98" i="7"/>
  <c r="AU98" i="7"/>
  <c r="AC98" i="7"/>
  <c r="AG98" i="7"/>
  <c r="AK98" i="7"/>
  <c r="AO98" i="7"/>
  <c r="AS98" i="7"/>
  <c r="AW98" i="7"/>
  <c r="AF98" i="7"/>
  <c r="AN98" i="7"/>
  <c r="AV98" i="7"/>
  <c r="AH98" i="7"/>
  <c r="AP98" i="7"/>
  <c r="AX98" i="7"/>
  <c r="AJ98" i="7"/>
  <c r="AR98" i="7"/>
  <c r="AD98" i="7"/>
  <c r="AL98" i="7"/>
  <c r="AT98" i="7"/>
  <c r="AE94" i="7"/>
  <c r="AI94" i="7"/>
  <c r="AM94" i="7"/>
  <c r="AQ94" i="7"/>
  <c r="AU94" i="7"/>
  <c r="AF94" i="7"/>
  <c r="AJ94" i="7"/>
  <c r="AN94" i="7"/>
  <c r="AR94" i="7"/>
  <c r="AV94" i="7"/>
  <c r="AC94" i="7"/>
  <c r="AG94" i="7"/>
  <c r="AK94" i="7"/>
  <c r="AO94" i="7"/>
  <c r="AS94" i="7"/>
  <c r="AW94" i="7"/>
  <c r="AD94" i="7"/>
  <c r="AT94" i="7"/>
  <c r="AH94" i="7"/>
  <c r="AX94" i="7"/>
  <c r="AL94" i="7"/>
  <c r="AP94" i="7"/>
  <c r="AE90" i="7"/>
  <c r="AI90" i="7"/>
  <c r="AM90" i="7"/>
  <c r="AQ90" i="7"/>
  <c r="AU90" i="7"/>
  <c r="AF90" i="7"/>
  <c r="AJ90" i="7"/>
  <c r="AN90" i="7"/>
  <c r="AR90" i="7"/>
  <c r="AV90" i="7"/>
  <c r="AC90" i="7"/>
  <c r="AG90" i="7"/>
  <c r="AK90" i="7"/>
  <c r="AO90" i="7"/>
  <c r="AS90" i="7"/>
  <c r="AW90" i="7"/>
  <c r="AL90" i="7"/>
  <c r="AP90" i="7"/>
  <c r="AD90" i="7"/>
  <c r="AT90" i="7"/>
  <c r="AH90" i="7"/>
  <c r="AX90" i="7"/>
  <c r="AE86" i="7"/>
  <c r="AI86" i="7"/>
  <c r="AM86" i="7"/>
  <c r="AQ86" i="7"/>
  <c r="AU86" i="7"/>
  <c r="AF86" i="7"/>
  <c r="AJ86" i="7"/>
  <c r="AN86" i="7"/>
  <c r="AR86" i="7"/>
  <c r="AV86" i="7"/>
  <c r="AC86" i="7"/>
  <c r="AG86" i="7"/>
  <c r="AK86" i="7"/>
  <c r="AO86" i="7"/>
  <c r="AS86" i="7"/>
  <c r="AW86" i="7"/>
  <c r="AD86" i="7"/>
  <c r="AT86" i="7"/>
  <c r="AH86" i="7"/>
  <c r="AX86" i="7"/>
  <c r="AL86" i="7"/>
  <c r="AP86" i="7"/>
  <c r="AE82" i="7"/>
  <c r="AI82" i="7"/>
  <c r="AM82" i="7"/>
  <c r="AQ82" i="7"/>
  <c r="AU82" i="7"/>
  <c r="AF82" i="7"/>
  <c r="AJ82" i="7"/>
  <c r="AN82" i="7"/>
  <c r="AR82" i="7"/>
  <c r="AV82" i="7"/>
  <c r="AC82" i="7"/>
  <c r="AG82" i="7"/>
  <c r="AK82" i="7"/>
  <c r="AO82" i="7"/>
  <c r="AS82" i="7"/>
  <c r="AW82" i="7"/>
  <c r="AL82" i="7"/>
  <c r="AP82" i="7"/>
  <c r="AD82" i="7"/>
  <c r="AT82" i="7"/>
  <c r="AH82" i="7"/>
  <c r="AX82" i="7"/>
  <c r="AD78" i="7"/>
  <c r="AH78" i="7"/>
  <c r="AL78" i="7"/>
  <c r="AP78" i="7"/>
  <c r="AT78" i="7"/>
  <c r="AX78" i="7"/>
  <c r="AE78" i="7"/>
  <c r="AI78" i="7"/>
  <c r="AM78" i="7"/>
  <c r="AQ78" i="7"/>
  <c r="AU78" i="7"/>
  <c r="AG78" i="7"/>
  <c r="AO78" i="7"/>
  <c r="AW78" i="7"/>
  <c r="AJ78" i="7"/>
  <c r="AR78" i="7"/>
  <c r="AC78" i="7"/>
  <c r="AK78" i="7"/>
  <c r="AS78" i="7"/>
  <c r="AV78" i="7"/>
  <c r="AF78" i="7"/>
  <c r="AN78" i="7"/>
  <c r="AD74" i="7"/>
  <c r="AH74" i="7"/>
  <c r="AL74" i="7"/>
  <c r="AP74" i="7"/>
  <c r="AT74" i="7"/>
  <c r="AX74" i="7"/>
  <c r="AE74" i="7"/>
  <c r="AI74" i="7"/>
  <c r="AM74" i="7"/>
  <c r="AQ74" i="7"/>
  <c r="AU74" i="7"/>
  <c r="AG74" i="7"/>
  <c r="AO74" i="7"/>
  <c r="AW74" i="7"/>
  <c r="AJ74" i="7"/>
  <c r="AR74" i="7"/>
  <c r="AC74" i="7"/>
  <c r="AK74" i="7"/>
  <c r="AS74" i="7"/>
  <c r="AN74" i="7"/>
  <c r="AV74" i="7"/>
  <c r="AF74" i="7"/>
  <c r="AD70" i="7"/>
  <c r="AH70" i="7"/>
  <c r="AL70" i="7"/>
  <c r="AP70" i="7"/>
  <c r="AT70" i="7"/>
  <c r="AX70" i="7"/>
  <c r="AE70" i="7"/>
  <c r="AI70" i="7"/>
  <c r="AM70" i="7"/>
  <c r="AQ70" i="7"/>
  <c r="AU70" i="7"/>
  <c r="AG70" i="7"/>
  <c r="AO70" i="7"/>
  <c r="AW70" i="7"/>
  <c r="AJ70" i="7"/>
  <c r="AR70" i="7"/>
  <c r="AC70" i="7"/>
  <c r="AK70" i="7"/>
  <c r="AS70" i="7"/>
  <c r="AF70" i="7"/>
  <c r="AN70" i="7"/>
  <c r="AV70" i="7"/>
  <c r="AD66" i="7"/>
  <c r="AH66" i="7"/>
  <c r="AL66" i="7"/>
  <c r="AP66" i="7"/>
  <c r="AT66" i="7"/>
  <c r="AX66" i="7"/>
  <c r="AE66" i="7"/>
  <c r="AJ66" i="7"/>
  <c r="AO66" i="7"/>
  <c r="AU66" i="7"/>
  <c r="AF66" i="7"/>
  <c r="AK66" i="7"/>
  <c r="AQ66" i="7"/>
  <c r="AV66" i="7"/>
  <c r="AC66" i="7"/>
  <c r="AN66" i="7"/>
  <c r="AG66" i="7"/>
  <c r="AR66" i="7"/>
  <c r="AI66" i="7"/>
  <c r="AS66" i="7"/>
  <c r="AM66" i="7"/>
  <c r="AW66" i="7"/>
  <c r="AD62" i="7"/>
  <c r="AH62" i="7"/>
  <c r="AL62" i="7"/>
  <c r="AP62" i="7"/>
  <c r="AT62" i="7"/>
  <c r="AX62" i="7"/>
  <c r="AG62" i="7"/>
  <c r="AM62" i="7"/>
  <c r="AR62" i="7"/>
  <c r="AW62" i="7"/>
  <c r="AC62" i="7"/>
  <c r="AI62" i="7"/>
  <c r="AN62" i="7"/>
  <c r="AS62" i="7"/>
  <c r="AE62" i="7"/>
  <c r="AJ62" i="7"/>
  <c r="AO62" i="7"/>
  <c r="AU62" i="7"/>
  <c r="AV62" i="7"/>
  <c r="AF62" i="7"/>
  <c r="AK62" i="7"/>
  <c r="AQ62" i="7"/>
  <c r="AD58" i="7"/>
  <c r="AH58" i="7"/>
  <c r="AL58" i="7"/>
  <c r="AP58" i="7"/>
  <c r="AT58" i="7"/>
  <c r="AX58" i="7"/>
  <c r="AE58" i="7"/>
  <c r="AJ58" i="7"/>
  <c r="AO58" i="7"/>
  <c r="AU58" i="7"/>
  <c r="AF58" i="7"/>
  <c r="AK58" i="7"/>
  <c r="AQ58" i="7"/>
  <c r="AV58" i="7"/>
  <c r="AG58" i="7"/>
  <c r="AM58" i="7"/>
  <c r="AR58" i="7"/>
  <c r="AW58" i="7"/>
  <c r="AC58" i="7"/>
  <c r="AI58" i="7"/>
  <c r="AN58" i="7"/>
  <c r="AS58" i="7"/>
  <c r="AD54" i="7"/>
  <c r="AH54" i="7"/>
  <c r="AL54" i="7"/>
  <c r="AP54" i="7"/>
  <c r="AT54" i="7"/>
  <c r="AX54" i="7"/>
  <c r="AG54" i="7"/>
  <c r="AM54" i="7"/>
  <c r="AR54" i="7"/>
  <c r="AW54" i="7"/>
  <c r="AC54" i="7"/>
  <c r="AI54" i="7"/>
  <c r="AN54" i="7"/>
  <c r="AS54" i="7"/>
  <c r="AE54" i="7"/>
  <c r="AJ54" i="7"/>
  <c r="AO54" i="7"/>
  <c r="AU54" i="7"/>
  <c r="AF54" i="7"/>
  <c r="AK54" i="7"/>
  <c r="AQ54" i="7"/>
  <c r="AV54" i="7"/>
  <c r="AD50" i="7"/>
  <c r="AH50" i="7"/>
  <c r="AL50" i="7"/>
  <c r="AP50" i="7"/>
  <c r="AT50" i="7"/>
  <c r="AX50" i="7"/>
  <c r="AE50" i="7"/>
  <c r="AI50" i="7"/>
  <c r="AM50" i="7"/>
  <c r="AQ50" i="7"/>
  <c r="AU50" i="7"/>
  <c r="AF50" i="7"/>
  <c r="AN50" i="7"/>
  <c r="AV50" i="7"/>
  <c r="AG50" i="7"/>
  <c r="AO50" i="7"/>
  <c r="AW50" i="7"/>
  <c r="AJ50" i="7"/>
  <c r="AR50" i="7"/>
  <c r="AS50" i="7"/>
  <c r="AC50" i="7"/>
  <c r="AK50" i="7"/>
  <c r="AD46" i="7"/>
  <c r="AH46" i="7"/>
  <c r="AL46" i="7"/>
  <c r="AP46" i="7"/>
  <c r="AT46" i="7"/>
  <c r="AX46" i="7"/>
  <c r="AE46" i="7"/>
  <c r="AI46" i="7"/>
  <c r="AM46" i="7"/>
  <c r="AQ46" i="7"/>
  <c r="AU46" i="7"/>
  <c r="AF46" i="7"/>
  <c r="AN46" i="7"/>
  <c r="AV46" i="7"/>
  <c r="AG46" i="7"/>
  <c r="AO46" i="7"/>
  <c r="AW46" i="7"/>
  <c r="AJ46" i="7"/>
  <c r="AR46" i="7"/>
  <c r="AK46" i="7"/>
  <c r="AS46" i="7"/>
  <c r="AC46" i="7"/>
  <c r="AF42" i="7"/>
  <c r="AJ42" i="7"/>
  <c r="AN42" i="7"/>
  <c r="AC42" i="7"/>
  <c r="AG42" i="7"/>
  <c r="AD42" i="7"/>
  <c r="AH42" i="7"/>
  <c r="AL42" i="7"/>
  <c r="AP42" i="7"/>
  <c r="AT42" i="7"/>
  <c r="AX42" i="7"/>
  <c r="AI42" i="7"/>
  <c r="AQ42" i="7"/>
  <c r="AV42" i="7"/>
  <c r="AK42" i="7"/>
  <c r="AR42" i="7"/>
  <c r="AW42" i="7"/>
  <c r="AS42" i="7"/>
  <c r="AE42" i="7"/>
  <c r="AU42" i="7"/>
  <c r="AM42" i="7"/>
  <c r="AO42" i="7"/>
  <c r="AF38" i="7"/>
  <c r="AJ38" i="7"/>
  <c r="AN38" i="7"/>
  <c r="AR38" i="7"/>
  <c r="AV38" i="7"/>
  <c r="AC38" i="7"/>
  <c r="AG38" i="7"/>
  <c r="AK38" i="7"/>
  <c r="AO38" i="7"/>
  <c r="AS38" i="7"/>
  <c r="AW38" i="7"/>
  <c r="AD38" i="7"/>
  <c r="AH38" i="7"/>
  <c r="AL38" i="7"/>
  <c r="AP38" i="7"/>
  <c r="AT38" i="7"/>
  <c r="AX38" i="7"/>
  <c r="AQ38" i="7"/>
  <c r="AE38" i="7"/>
  <c r="AU38" i="7"/>
  <c r="AI38" i="7"/>
  <c r="AM38" i="7"/>
  <c r="AF34" i="7"/>
  <c r="AJ34" i="7"/>
  <c r="AN34" i="7"/>
  <c r="AR34" i="7"/>
  <c r="AV34" i="7"/>
  <c r="AC34" i="7"/>
  <c r="AG34" i="7"/>
  <c r="AK34" i="7"/>
  <c r="AO34" i="7"/>
  <c r="AS34" i="7"/>
  <c r="AW34" i="7"/>
  <c r="AD34" i="7"/>
  <c r="AH34" i="7"/>
  <c r="AL34" i="7"/>
  <c r="AP34" i="7"/>
  <c r="AT34" i="7"/>
  <c r="AX34" i="7"/>
  <c r="AI34" i="7"/>
  <c r="AM34" i="7"/>
  <c r="AQ34" i="7"/>
  <c r="AU34" i="7"/>
  <c r="AE34" i="7"/>
  <c r="AF30" i="7"/>
  <c r="AJ30" i="7"/>
  <c r="AN30" i="7"/>
  <c r="AR30" i="7"/>
  <c r="AV30" i="7"/>
  <c r="AD30" i="7"/>
  <c r="AH30" i="7"/>
  <c r="AL30" i="7"/>
  <c r="AP30" i="7"/>
  <c r="AT30" i="7"/>
  <c r="AX30" i="7"/>
  <c r="AI30" i="7"/>
  <c r="AQ30" i="7"/>
  <c r="AC30" i="7"/>
  <c r="AK30" i="7"/>
  <c r="AS30" i="7"/>
  <c r="AE30" i="7"/>
  <c r="AM30" i="7"/>
  <c r="AU30" i="7"/>
  <c r="AG30" i="7"/>
  <c r="AO30" i="7"/>
  <c r="AW30" i="7"/>
  <c r="AF26" i="7"/>
  <c r="AJ26" i="7"/>
  <c r="AN26" i="7"/>
  <c r="AR26" i="7"/>
  <c r="AV26" i="7"/>
  <c r="AC26" i="7"/>
  <c r="AG26" i="7"/>
  <c r="AK26" i="7"/>
  <c r="AO26" i="7"/>
  <c r="AS26" i="7"/>
  <c r="AW26" i="7"/>
  <c r="AD26" i="7"/>
  <c r="AH26" i="7"/>
  <c r="AL26" i="7"/>
  <c r="AP26" i="7"/>
  <c r="AT26" i="7"/>
  <c r="AX26" i="7"/>
  <c r="AQ26" i="7"/>
  <c r="AE26" i="7"/>
  <c r="AU26" i="7"/>
  <c r="AI26" i="7"/>
  <c r="AM26" i="7"/>
  <c r="AF22" i="7"/>
  <c r="AJ22" i="7"/>
  <c r="AN22" i="7"/>
  <c r="AR22" i="7"/>
  <c r="AV22" i="7"/>
  <c r="AC22" i="7"/>
  <c r="AG22" i="7"/>
  <c r="AK22" i="7"/>
  <c r="AO22" i="7"/>
  <c r="AS22" i="7"/>
  <c r="AW22" i="7"/>
  <c r="AD22" i="7"/>
  <c r="AH22" i="7"/>
  <c r="AL22" i="7"/>
  <c r="AP22" i="7"/>
  <c r="AT22" i="7"/>
  <c r="AX22" i="7"/>
  <c r="AI22" i="7"/>
  <c r="AM22" i="7"/>
  <c r="AQ22" i="7"/>
  <c r="AE22" i="7"/>
  <c r="AU22" i="7"/>
  <c r="AC18" i="7"/>
  <c r="AG18" i="7"/>
  <c r="AK18" i="7"/>
  <c r="AO18" i="7"/>
  <c r="AS18" i="7"/>
  <c r="AW18" i="7"/>
  <c r="AD18" i="7"/>
  <c r="AH18" i="7"/>
  <c r="AL18" i="7"/>
  <c r="AP18" i="7"/>
  <c r="AT18" i="7"/>
  <c r="AX18" i="7"/>
  <c r="AE18" i="7"/>
  <c r="AI18" i="7"/>
  <c r="AM18" i="7"/>
  <c r="AQ18" i="7"/>
  <c r="AU18" i="7"/>
  <c r="AR18" i="7"/>
  <c r="AF18" i="7"/>
  <c r="AV18" i="7"/>
  <c r="AJ18" i="7"/>
  <c r="AN18" i="7"/>
  <c r="AC14" i="7"/>
  <c r="AG14" i="7"/>
  <c r="AK14" i="7"/>
  <c r="AO14" i="7"/>
  <c r="AS14" i="7"/>
  <c r="AW14" i="7"/>
  <c r="AD14" i="7"/>
  <c r="AH14" i="7"/>
  <c r="AL14" i="7"/>
  <c r="AP14" i="7"/>
  <c r="AT14" i="7"/>
  <c r="AX14" i="7"/>
  <c r="AE14" i="7"/>
  <c r="AI14" i="7"/>
  <c r="AM14" i="7"/>
  <c r="AQ14" i="7"/>
  <c r="AU14" i="7"/>
  <c r="AJ14" i="7"/>
  <c r="AN14" i="7"/>
  <c r="AR14" i="7"/>
  <c r="AF14" i="7"/>
  <c r="AV14" i="7"/>
  <c r="AC10" i="7"/>
  <c r="AG10" i="7"/>
  <c r="AK10" i="7"/>
  <c r="AO10" i="7"/>
  <c r="AS10" i="7"/>
  <c r="AW10" i="7"/>
  <c r="AD10" i="7"/>
  <c r="AH10" i="7"/>
  <c r="AL10" i="7"/>
  <c r="AP10" i="7"/>
  <c r="AT10" i="7"/>
  <c r="AX10" i="7"/>
  <c r="AE10" i="7"/>
  <c r="AI10" i="7"/>
  <c r="AM10" i="7"/>
  <c r="AQ10" i="7"/>
  <c r="AU10" i="7"/>
  <c r="AR10" i="7"/>
  <c r="AF10" i="7"/>
  <c r="AV10" i="7"/>
  <c r="AJ10" i="7"/>
  <c r="AN10" i="7"/>
  <c r="AC6" i="7"/>
  <c r="AG6" i="7"/>
  <c r="AK6" i="7"/>
  <c r="AO6" i="7"/>
  <c r="AS6" i="7"/>
  <c r="AW6" i="7"/>
  <c r="AD6" i="7"/>
  <c r="AH6" i="7"/>
  <c r="AL6" i="7"/>
  <c r="AP6" i="7"/>
  <c r="AT6" i="7"/>
  <c r="AX6" i="7"/>
  <c r="AE6" i="7"/>
  <c r="AI6" i="7"/>
  <c r="AM6" i="7"/>
  <c r="AQ6" i="7"/>
  <c r="AU6" i="7"/>
  <c r="AJ6" i="7"/>
  <c r="AN6" i="7"/>
  <c r="AR6" i="7"/>
  <c r="AF6" i="7"/>
  <c r="AV6" i="7"/>
  <c r="AC3" i="7"/>
  <c r="AU3" i="7"/>
  <c r="AQ3" i="7"/>
  <c r="AM3" i="7"/>
  <c r="AI3" i="7"/>
  <c r="AV502" i="7"/>
  <c r="AR502" i="7"/>
  <c r="AN502" i="7"/>
  <c r="AJ502" i="7"/>
  <c r="AX501" i="7"/>
  <c r="AT501" i="7"/>
  <c r="AP501" i="7"/>
  <c r="AL501" i="7"/>
  <c r="AH501" i="7"/>
  <c r="AV500" i="7"/>
  <c r="AR500" i="7"/>
  <c r="AN500" i="7"/>
  <c r="AJ500" i="7"/>
  <c r="AX499" i="7"/>
  <c r="AT499" i="7"/>
  <c r="AP499" i="7"/>
  <c r="AL499" i="7"/>
  <c r="AH499" i="7"/>
  <c r="AV498" i="7"/>
  <c r="AN498" i="7"/>
  <c r="AF498" i="7"/>
  <c r="AT497" i="7"/>
  <c r="AL497" i="7"/>
  <c r="AD497" i="7"/>
  <c r="AR496" i="7"/>
  <c r="AJ496" i="7"/>
  <c r="AX495" i="7"/>
  <c r="AP495" i="7"/>
  <c r="AF495" i="7"/>
  <c r="AL494" i="7"/>
  <c r="AR493" i="7"/>
  <c r="AX492" i="7"/>
  <c r="AH492" i="7"/>
  <c r="AN491" i="7"/>
  <c r="AT490" i="7"/>
  <c r="AD490" i="7"/>
  <c r="AJ489" i="7"/>
  <c r="AP488" i="7"/>
  <c r="AV487" i="7"/>
  <c r="AF487" i="7"/>
  <c r="AL486" i="7"/>
  <c r="AR485" i="7"/>
  <c r="AX484" i="7"/>
  <c r="AH484" i="7"/>
  <c r="AN483" i="7"/>
  <c r="AT482" i="7"/>
  <c r="AD482" i="7"/>
  <c r="AJ481" i="7"/>
  <c r="AP480" i="7"/>
  <c r="AV479" i="7"/>
  <c r="AF479" i="7"/>
  <c r="AL478" i="7"/>
  <c r="AR477" i="7"/>
  <c r="AX476" i="7"/>
  <c r="AH476" i="7"/>
  <c r="AN475" i="7"/>
  <c r="AT474" i="7"/>
  <c r="AD474" i="7"/>
  <c r="AJ473" i="7"/>
  <c r="AP472" i="7"/>
  <c r="AV471" i="7"/>
  <c r="AF471" i="7"/>
  <c r="AL470" i="7"/>
  <c r="AR469" i="7"/>
  <c r="AX468" i="7"/>
  <c r="AH468" i="7"/>
  <c r="AN467" i="7"/>
  <c r="AT466" i="7"/>
  <c r="AD466" i="7"/>
  <c r="AJ465" i="7"/>
  <c r="AP464" i="7"/>
  <c r="AV463" i="7"/>
  <c r="AF463" i="7"/>
  <c r="AL462" i="7"/>
  <c r="AR461" i="7"/>
  <c r="AX460" i="7"/>
  <c r="AH460" i="7"/>
  <c r="AN459" i="7"/>
  <c r="AT458" i="7"/>
  <c r="AD458" i="7"/>
  <c r="AJ457" i="7"/>
  <c r="AP456" i="7"/>
  <c r="AV455" i="7"/>
  <c r="AF455" i="7"/>
  <c r="AL454" i="7"/>
  <c r="AR453" i="7"/>
  <c r="AX452" i="7"/>
  <c r="AH452" i="7"/>
  <c r="AN451" i="7"/>
  <c r="AT450" i="7"/>
  <c r="AD450" i="7"/>
  <c r="AJ449" i="7"/>
  <c r="AP448" i="7"/>
  <c r="AV447" i="7"/>
  <c r="AF447" i="7"/>
  <c r="AL446" i="7"/>
  <c r="AR445" i="7"/>
  <c r="AX444" i="7"/>
  <c r="AH444" i="7"/>
  <c r="AN443" i="7"/>
  <c r="AT442" i="7"/>
  <c r="AD442" i="7"/>
  <c r="AJ441" i="7"/>
  <c r="AP440" i="7"/>
  <c r="AV439" i="7"/>
  <c r="AF439" i="7"/>
  <c r="AL438" i="7"/>
  <c r="AR437" i="7"/>
  <c r="AX436" i="7"/>
  <c r="AH436" i="7"/>
  <c r="AN435" i="7"/>
  <c r="AT434" i="7"/>
  <c r="AD434" i="7"/>
  <c r="AJ433" i="7"/>
  <c r="AP432" i="7"/>
  <c r="AV431" i="7"/>
  <c r="AF431" i="7"/>
  <c r="AL430" i="7"/>
  <c r="AR429" i="7"/>
  <c r="AX428" i="7"/>
  <c r="AH428" i="7"/>
  <c r="AN427" i="7"/>
  <c r="AT426" i="7"/>
  <c r="AD426" i="7"/>
  <c r="AJ425" i="7"/>
  <c r="AP424" i="7"/>
  <c r="AV423" i="7"/>
  <c r="AF423" i="7"/>
  <c r="AL422" i="7"/>
  <c r="AR421" i="7"/>
  <c r="AX420" i="7"/>
  <c r="AH420" i="7"/>
  <c r="AN419" i="7"/>
  <c r="AT418" i="7"/>
  <c r="AD418" i="7"/>
  <c r="AJ417" i="7"/>
  <c r="AP416" i="7"/>
  <c r="AV415" i="7"/>
  <c r="AF415" i="7"/>
  <c r="AL414" i="7"/>
  <c r="AR413" i="7"/>
  <c r="AX412" i="7"/>
  <c r="AH412" i="7"/>
  <c r="AN411" i="7"/>
  <c r="AT410" i="7"/>
  <c r="AD410" i="7"/>
  <c r="AJ409" i="7"/>
  <c r="AP408" i="7"/>
  <c r="AV407" i="7"/>
  <c r="AF407" i="7"/>
  <c r="AL406" i="7"/>
  <c r="AR405" i="7"/>
  <c r="AX404" i="7"/>
  <c r="AH404" i="7"/>
  <c r="AN403" i="7"/>
  <c r="AT402" i="7"/>
  <c r="AK401" i="7"/>
  <c r="AM398" i="7"/>
  <c r="AO395" i="7"/>
  <c r="AQ392" i="7"/>
  <c r="AS389" i="7"/>
  <c r="AU386" i="7"/>
  <c r="AW383" i="7"/>
  <c r="AC381" i="7"/>
  <c r="AE378" i="7"/>
  <c r="AG375" i="7"/>
  <c r="AI372" i="7"/>
  <c r="AK369" i="7"/>
  <c r="AM366" i="7"/>
  <c r="AO363" i="7"/>
  <c r="AQ360" i="7"/>
  <c r="AS357" i="7"/>
  <c r="AU354" i="7"/>
  <c r="AW351" i="7"/>
  <c r="AC349" i="7"/>
  <c r="AE346" i="7"/>
  <c r="AG343" i="7"/>
  <c r="AI340" i="7"/>
  <c r="AK337" i="7"/>
  <c r="AM334" i="7"/>
  <c r="AO331" i="7"/>
  <c r="AQ328" i="7"/>
  <c r="AS325" i="7"/>
  <c r="AU322" i="7"/>
  <c r="AW319" i="7"/>
  <c r="AC317" i="7"/>
  <c r="AE314" i="7"/>
  <c r="AG311" i="7"/>
  <c r="AV304" i="7"/>
  <c r="AH293" i="7"/>
  <c r="AP281" i="7"/>
  <c r="AX269" i="7"/>
  <c r="AJ258" i="7"/>
  <c r="AR246" i="7"/>
  <c r="AD235" i="7"/>
  <c r="AL223" i="7"/>
  <c r="AT211" i="7"/>
  <c r="AJ196" i="7"/>
  <c r="AG138" i="7"/>
  <c r="AD485" i="8"/>
  <c r="AE514" i="8"/>
  <c r="AM514" i="8"/>
  <c r="AY514" i="8"/>
  <c r="AI514" i="8"/>
  <c r="AU514" i="8"/>
  <c r="AQ514" i="8"/>
  <c r="AE506" i="8"/>
  <c r="AM506" i="8"/>
  <c r="AY506" i="8"/>
  <c r="AI506" i="8"/>
  <c r="AQ506" i="8"/>
  <c r="AU506" i="8"/>
  <c r="AI498" i="8"/>
  <c r="AQ498" i="8"/>
  <c r="AY498" i="8"/>
  <c r="AE498" i="8"/>
  <c r="AM498" i="8"/>
  <c r="AU498" i="8"/>
  <c r="AE490" i="8"/>
  <c r="AQ490" i="8"/>
  <c r="AY490" i="8"/>
  <c r="AM490" i="8"/>
  <c r="AU490" i="8"/>
  <c r="AI490" i="8"/>
  <c r="AE482" i="8"/>
  <c r="AQ482" i="8"/>
  <c r="AY482" i="8"/>
  <c r="AM482" i="8"/>
  <c r="AU482" i="8"/>
  <c r="AI482" i="8"/>
  <c r="AE474" i="8"/>
  <c r="AQ474" i="8"/>
  <c r="AI474" i="8"/>
  <c r="AM474" i="8"/>
  <c r="AY474" i="8"/>
  <c r="AU474" i="8"/>
  <c r="AT466" i="8"/>
  <c r="AL466" i="8"/>
  <c r="AD466" i="8"/>
  <c r="AD458" i="8"/>
  <c r="AL458" i="8"/>
  <c r="AT458" i="8"/>
  <c r="AT450" i="8"/>
  <c r="AD450" i="8"/>
  <c r="AL450" i="8"/>
  <c r="AD442" i="8"/>
  <c r="AL442" i="8"/>
  <c r="AT442" i="8"/>
  <c r="AD434" i="8"/>
  <c r="AL434" i="8"/>
  <c r="AT434" i="8"/>
  <c r="AD426" i="8"/>
  <c r="AL426" i="8"/>
  <c r="AT426" i="8"/>
  <c r="AD418" i="8"/>
  <c r="AL418" i="8"/>
  <c r="AT418" i="8"/>
  <c r="AL410" i="8"/>
  <c r="AT410" i="8"/>
  <c r="AI402" i="8"/>
  <c r="AS402" i="8"/>
  <c r="AD511" i="8"/>
  <c r="AD495" i="8"/>
  <c r="AD479" i="8"/>
  <c r="AJ463" i="8"/>
  <c r="AD447" i="8"/>
  <c r="AD431" i="8"/>
  <c r="AD415" i="8"/>
  <c r="AH399" i="8"/>
  <c r="AP383" i="8"/>
  <c r="AU367" i="8"/>
  <c r="AH351" i="8"/>
  <c r="AH335" i="8"/>
  <c r="AH319" i="8"/>
  <c r="AP303" i="8"/>
  <c r="AM199" i="8"/>
  <c r="AL3" i="8"/>
  <c r="AD3" i="8"/>
  <c r="AX3" i="8"/>
  <c r="AT3" i="8"/>
  <c r="AP3" i="8"/>
  <c r="AH3" i="8"/>
  <c r="AI512" i="8"/>
  <c r="AQ512" i="8"/>
  <c r="AE512" i="8"/>
  <c r="AM512" i="8"/>
  <c r="AY512" i="8"/>
  <c r="AU512" i="8"/>
  <c r="AI504" i="8"/>
  <c r="AQ504" i="8"/>
  <c r="AE504" i="8"/>
  <c r="AM504" i="8"/>
  <c r="AU504" i="8"/>
  <c r="AY504" i="8"/>
  <c r="AE496" i="8"/>
  <c r="AM496" i="8"/>
  <c r="AU496" i="8"/>
  <c r="AI496" i="8"/>
  <c r="AQ496" i="8"/>
  <c r="AY496" i="8"/>
  <c r="AM488" i="8"/>
  <c r="AU488" i="8"/>
  <c r="AI488" i="8"/>
  <c r="AQ488" i="8"/>
  <c r="AY488" i="8"/>
  <c r="AE488" i="8"/>
  <c r="AI480" i="8"/>
  <c r="AQ480" i="8"/>
  <c r="AM480" i="8"/>
  <c r="AU480" i="8"/>
  <c r="AY480" i="8"/>
  <c r="AE480" i="8"/>
  <c r="AE472" i="8"/>
  <c r="AI472" i="8"/>
  <c r="AY472" i="8"/>
  <c r="AM472" i="8"/>
  <c r="AU472" i="8"/>
  <c r="AQ472" i="8"/>
  <c r="AX464" i="8"/>
  <c r="AH464" i="8"/>
  <c r="AP464" i="8"/>
  <c r="AP456" i="8"/>
  <c r="AX456" i="8"/>
  <c r="AH456" i="8"/>
  <c r="AX448" i="8"/>
  <c r="AH448" i="8"/>
  <c r="AP448" i="8"/>
  <c r="AH440" i="8"/>
  <c r="AP440" i="8"/>
  <c r="AX440" i="8"/>
  <c r="AH432" i="8"/>
  <c r="AP432" i="8"/>
  <c r="AX432" i="8"/>
  <c r="AH424" i="8"/>
  <c r="AP424" i="8"/>
  <c r="AX424" i="8"/>
  <c r="AH416" i="8"/>
  <c r="AP416" i="8"/>
  <c r="AX416" i="8"/>
  <c r="AE408" i="8"/>
  <c r="AO408" i="8"/>
  <c r="AJ400" i="8"/>
  <c r="AU400" i="8"/>
  <c r="AI386" i="8"/>
  <c r="AN378" i="8"/>
  <c r="AS370" i="8"/>
  <c r="AY362" i="8"/>
  <c r="AI354" i="8"/>
  <c r="AK346" i="8"/>
  <c r="AQ338" i="8"/>
  <c r="AV330" i="8"/>
  <c r="AN306" i="8"/>
  <c r="AS298" i="8"/>
  <c r="AM518" i="8"/>
  <c r="AU518" i="8"/>
  <c r="AI518" i="8"/>
  <c r="AQ518" i="8"/>
  <c r="AY518" i="8"/>
  <c r="AE518" i="8"/>
  <c r="AE510" i="8"/>
  <c r="AQ510" i="8"/>
  <c r="AY510" i="8"/>
  <c r="AM510" i="8"/>
  <c r="AU510" i="8"/>
  <c r="AI510" i="8"/>
  <c r="AE502" i="8"/>
  <c r="AQ502" i="8"/>
  <c r="AY502" i="8"/>
  <c r="AI502" i="8"/>
  <c r="AU502" i="8"/>
  <c r="AM502" i="8"/>
  <c r="AE494" i="8"/>
  <c r="AQ494" i="8"/>
  <c r="AI494" i="8"/>
  <c r="AU494" i="8"/>
  <c r="AY494" i="8"/>
  <c r="AM494" i="8"/>
  <c r="AE486" i="8"/>
  <c r="AI486" i="8"/>
  <c r="AM486" i="8"/>
  <c r="AU486" i="8"/>
  <c r="AQ486" i="8"/>
  <c r="AY486" i="8"/>
  <c r="AE478" i="8"/>
  <c r="AM478" i="8"/>
  <c r="AY478" i="8"/>
  <c r="AI478" i="8"/>
  <c r="AQ478" i="8"/>
  <c r="AU478" i="8"/>
  <c r="AI470" i="8"/>
  <c r="AQ470" i="8"/>
  <c r="AY470" i="8"/>
  <c r="AM470" i="8"/>
  <c r="AU470" i="8"/>
  <c r="AE470" i="8"/>
  <c r="AL462" i="8"/>
  <c r="AD462" i="8"/>
  <c r="AT462" i="8"/>
  <c r="AL454" i="8"/>
  <c r="AT454" i="8"/>
  <c r="AD454" i="8"/>
  <c r="AD446" i="8"/>
  <c r="AL446" i="8"/>
  <c r="AT446" i="8"/>
  <c r="AD438" i="8"/>
  <c r="AL438" i="8"/>
  <c r="AT438" i="8"/>
  <c r="AD430" i="8"/>
  <c r="AL430" i="8"/>
  <c r="AT430" i="8"/>
  <c r="AD422" i="8"/>
  <c r="AL422" i="8"/>
  <c r="AT422" i="8"/>
  <c r="AD414" i="8"/>
  <c r="AL414" i="8"/>
  <c r="AT414" i="8"/>
  <c r="AF406" i="8"/>
  <c r="AQ406" i="8"/>
  <c r="AK398" i="8"/>
  <c r="AV398" i="8"/>
  <c r="AD493" i="8"/>
  <c r="AH465" i="8"/>
  <c r="AH437" i="8"/>
  <c r="AH417" i="8"/>
  <c r="AI397" i="8"/>
  <c r="AQ381" i="8"/>
  <c r="AI333" i="8"/>
  <c r="AW313" i="8"/>
  <c r="AI516" i="8"/>
  <c r="AQ516" i="8"/>
  <c r="AY516" i="8"/>
  <c r="AE516" i="8"/>
  <c r="AM516" i="8"/>
  <c r="AU516" i="8"/>
  <c r="AM508" i="8"/>
  <c r="AU508" i="8"/>
  <c r="AI508" i="8"/>
  <c r="AQ508" i="8"/>
  <c r="AY508" i="8"/>
  <c r="AE508" i="8"/>
  <c r="AI500" i="8"/>
  <c r="AU500" i="8"/>
  <c r="AE500" i="8"/>
  <c r="AQ500" i="8"/>
  <c r="AY500" i="8"/>
  <c r="AM500" i="8"/>
  <c r="AI492" i="8"/>
  <c r="AU492" i="8"/>
  <c r="AE492" i="8"/>
  <c r="AM492" i="8"/>
  <c r="AY492" i="8"/>
  <c r="AQ492" i="8"/>
  <c r="AI484" i="8"/>
  <c r="AM484" i="8"/>
  <c r="AE484" i="8"/>
  <c r="AQ484" i="8"/>
  <c r="AY484" i="8"/>
  <c r="AU484" i="8"/>
  <c r="AE476" i="8"/>
  <c r="AI476" i="8"/>
  <c r="AQ476" i="8"/>
  <c r="AM476" i="8"/>
  <c r="AU476" i="8"/>
  <c r="AY476" i="8"/>
  <c r="AI468" i="8"/>
  <c r="AM468" i="8"/>
  <c r="AY468" i="8"/>
  <c r="AE468" i="8"/>
  <c r="AQ468" i="8"/>
  <c r="AU468" i="8"/>
  <c r="AH460" i="8"/>
  <c r="AX460" i="8"/>
  <c r="AP460" i="8"/>
  <c r="AH452" i="8"/>
  <c r="AP452" i="8"/>
  <c r="AX452" i="8"/>
  <c r="AH444" i="8"/>
  <c r="AP444" i="8"/>
  <c r="AX444" i="8"/>
  <c r="AH436" i="8"/>
  <c r="AP436" i="8"/>
  <c r="AX436" i="8"/>
  <c r="AH428" i="8"/>
  <c r="AP428" i="8"/>
  <c r="AX428" i="8"/>
  <c r="AH420" i="8"/>
  <c r="AP420" i="8"/>
  <c r="AX420" i="8"/>
  <c r="AH412" i="8"/>
  <c r="AP412" i="8"/>
  <c r="AX412" i="8"/>
  <c r="AG404" i="8"/>
  <c r="AR404" i="8"/>
  <c r="AM396" i="8"/>
  <c r="AW396" i="8"/>
  <c r="AG449" i="8"/>
  <c r="AW449" i="8"/>
  <c r="AQ449" i="8"/>
  <c r="AN401" i="8"/>
  <c r="AK401" i="8"/>
  <c r="AM401" i="8"/>
  <c r="AF353" i="8"/>
  <c r="AV353" i="8"/>
  <c r="AU353" i="8"/>
  <c r="AW353" i="8"/>
  <c r="AX353" i="8"/>
  <c r="AR329" i="8"/>
  <c r="AP329" i="8"/>
  <c r="AS329" i="8"/>
  <c r="AY329" i="8"/>
  <c r="AT329" i="8"/>
  <c r="AM285" i="8"/>
  <c r="AF285" i="8"/>
  <c r="AV285" i="8"/>
  <c r="AL285" i="8"/>
  <c r="AW285" i="8"/>
  <c r="AE265" i="8"/>
  <c r="AU265" i="8"/>
  <c r="AN265" i="8"/>
  <c r="AO265" i="8"/>
  <c r="AL265" i="8"/>
  <c r="AH265" i="8"/>
  <c r="AO237" i="8"/>
  <c r="AL237" i="8"/>
  <c r="AM237" i="8"/>
  <c r="AN237" i="8"/>
  <c r="AJ237" i="8"/>
  <c r="AG213" i="8"/>
  <c r="AW213" i="8"/>
  <c r="AV213" i="8"/>
  <c r="AX213" i="8"/>
  <c r="AU213" i="8"/>
  <c r="AD213" i="8"/>
  <c r="AE133" i="8"/>
  <c r="AU133" i="8"/>
  <c r="AN133" i="8"/>
  <c r="AS133" i="8"/>
  <c r="AG133" i="8"/>
  <c r="AO133" i="8"/>
  <c r="AO517" i="8"/>
  <c r="AS469" i="8"/>
  <c r="AR465" i="8"/>
  <c r="AR437" i="8"/>
  <c r="AF435" i="8"/>
  <c r="AN431" i="8"/>
  <c r="AR421" i="8"/>
  <c r="AF419" i="8"/>
  <c r="AN415" i="8"/>
  <c r="AQ405" i="8"/>
  <c r="AT401" i="8"/>
  <c r="AW397" i="8"/>
  <c r="AP391" i="8"/>
  <c r="AU383" i="8"/>
  <c r="AI369" i="8"/>
  <c r="AT353" i="8"/>
  <c r="AI349" i="8"/>
  <c r="AL345" i="8"/>
  <c r="AP339" i="8"/>
  <c r="AE464" i="8"/>
  <c r="AI464" i="8"/>
  <c r="AM464" i="8"/>
  <c r="AQ464" i="8"/>
  <c r="AU464" i="8"/>
  <c r="AY464" i="8"/>
  <c r="AG464" i="8"/>
  <c r="AK464" i="8"/>
  <c r="AO464" i="8"/>
  <c r="AS464" i="8"/>
  <c r="AW464" i="8"/>
  <c r="AE460" i="8"/>
  <c r="AI460" i="8"/>
  <c r="AM460" i="8"/>
  <c r="AQ460" i="8"/>
  <c r="AU460" i="8"/>
  <c r="AY460" i="8"/>
  <c r="AG460" i="8"/>
  <c r="AK460" i="8"/>
  <c r="AO460" i="8"/>
  <c r="AS460" i="8"/>
  <c r="AW460" i="8"/>
  <c r="AE456" i="8"/>
  <c r="AI456" i="8"/>
  <c r="AM456" i="8"/>
  <c r="AQ456" i="8"/>
  <c r="AU456" i="8"/>
  <c r="AY456" i="8"/>
  <c r="AG456" i="8"/>
  <c r="AK456" i="8"/>
  <c r="AO456" i="8"/>
  <c r="AS456" i="8"/>
  <c r="AW456" i="8"/>
  <c r="AE452" i="8"/>
  <c r="AI452" i="8"/>
  <c r="AM452" i="8"/>
  <c r="AQ452" i="8"/>
  <c r="AU452" i="8"/>
  <c r="AY452" i="8"/>
  <c r="AG452" i="8"/>
  <c r="AK452" i="8"/>
  <c r="AO452" i="8"/>
  <c r="AS452" i="8"/>
  <c r="AW452" i="8"/>
  <c r="AE448" i="8"/>
  <c r="AI448" i="8"/>
  <c r="AM448" i="8"/>
  <c r="AQ448" i="8"/>
  <c r="AU448" i="8"/>
  <c r="AY448" i="8"/>
  <c r="AG448" i="8"/>
  <c r="AK448" i="8"/>
  <c r="AO448" i="8"/>
  <c r="AS448" i="8"/>
  <c r="AW448" i="8"/>
  <c r="AE444" i="8"/>
  <c r="AI444" i="8"/>
  <c r="AM444" i="8"/>
  <c r="AQ444" i="8"/>
  <c r="AU444" i="8"/>
  <c r="AY444" i="8"/>
  <c r="AG444" i="8"/>
  <c r="AK444" i="8"/>
  <c r="AO444" i="8"/>
  <c r="AS444" i="8"/>
  <c r="AW444" i="8"/>
  <c r="AE440" i="8"/>
  <c r="AI440" i="8"/>
  <c r="AM440" i="8"/>
  <c r="AQ440" i="8"/>
  <c r="AU440" i="8"/>
  <c r="AY440" i="8"/>
  <c r="AG440" i="8"/>
  <c r="AK440" i="8"/>
  <c r="AO440" i="8"/>
  <c r="AS440" i="8"/>
  <c r="AW440" i="8"/>
  <c r="AE436" i="8"/>
  <c r="AI436" i="8"/>
  <c r="AM436" i="8"/>
  <c r="AQ436" i="8"/>
  <c r="AU436" i="8"/>
  <c r="AY436" i="8"/>
  <c r="AG436" i="8"/>
  <c r="AK436" i="8"/>
  <c r="AO436" i="8"/>
  <c r="AS436" i="8"/>
  <c r="AW436" i="8"/>
  <c r="AE432" i="8"/>
  <c r="AI432" i="8"/>
  <c r="AM432" i="8"/>
  <c r="AQ432" i="8"/>
  <c r="AU432" i="8"/>
  <c r="AY432" i="8"/>
  <c r="AG432" i="8"/>
  <c r="AK432" i="8"/>
  <c r="AO432" i="8"/>
  <c r="AS432" i="8"/>
  <c r="AW432" i="8"/>
  <c r="AE428" i="8"/>
  <c r="AI428" i="8"/>
  <c r="AM428" i="8"/>
  <c r="AQ428" i="8"/>
  <c r="AU428" i="8"/>
  <c r="AY428" i="8"/>
  <c r="AG428" i="8"/>
  <c r="AK428" i="8"/>
  <c r="AO428" i="8"/>
  <c r="AS428" i="8"/>
  <c r="AW428" i="8"/>
  <c r="AE424" i="8"/>
  <c r="AI424" i="8"/>
  <c r="AM424" i="8"/>
  <c r="AQ424" i="8"/>
  <c r="AU424" i="8"/>
  <c r="AY424" i="8"/>
  <c r="AG424" i="8"/>
  <c r="AK424" i="8"/>
  <c r="AO424" i="8"/>
  <c r="AS424" i="8"/>
  <c r="AW424" i="8"/>
  <c r="AE420" i="8"/>
  <c r="AI420" i="8"/>
  <c r="AM420" i="8"/>
  <c r="AQ420" i="8"/>
  <c r="AU420" i="8"/>
  <c r="AY420" i="8"/>
  <c r="AG420" i="8"/>
  <c r="AK420" i="8"/>
  <c r="AO420" i="8"/>
  <c r="AS420" i="8"/>
  <c r="AW420" i="8"/>
  <c r="AE416" i="8"/>
  <c r="AI416" i="8"/>
  <c r="AM416" i="8"/>
  <c r="AQ416" i="8"/>
  <c r="AU416" i="8"/>
  <c r="AY416" i="8"/>
  <c r="AG416" i="8"/>
  <c r="AK416" i="8"/>
  <c r="AO416" i="8"/>
  <c r="AS416" i="8"/>
  <c r="AW416" i="8"/>
  <c r="AE412" i="8"/>
  <c r="AI412" i="8"/>
  <c r="AM412" i="8"/>
  <c r="AQ412" i="8"/>
  <c r="AU412" i="8"/>
  <c r="AY412" i="8"/>
  <c r="AG412" i="8"/>
  <c r="AK412" i="8"/>
  <c r="AO412" i="8"/>
  <c r="AS412" i="8"/>
  <c r="AW412" i="8"/>
  <c r="AD408" i="8"/>
  <c r="AH408" i="8"/>
  <c r="AL408" i="8"/>
  <c r="AP408" i="8"/>
  <c r="AT408" i="8"/>
  <c r="AX408" i="8"/>
  <c r="AF408" i="8"/>
  <c r="AK408" i="8"/>
  <c r="AQ408" i="8"/>
  <c r="AV408" i="8"/>
  <c r="AI408" i="8"/>
  <c r="AN408" i="8"/>
  <c r="AS408" i="8"/>
  <c r="AY408" i="8"/>
  <c r="AD404" i="8"/>
  <c r="AH404" i="8"/>
  <c r="AL404" i="8"/>
  <c r="AP404" i="8"/>
  <c r="AT404" i="8"/>
  <c r="AX404" i="8"/>
  <c r="AI404" i="8"/>
  <c r="AN404" i="8"/>
  <c r="AS404" i="8"/>
  <c r="AY404" i="8"/>
  <c r="AF404" i="8"/>
  <c r="AK404" i="8"/>
  <c r="AQ404" i="8"/>
  <c r="AV404" i="8"/>
  <c r="AD400" i="8"/>
  <c r="AH400" i="8"/>
  <c r="AL400" i="8"/>
  <c r="AP400" i="8"/>
  <c r="AT400" i="8"/>
  <c r="AX400" i="8"/>
  <c r="AF400" i="8"/>
  <c r="AK400" i="8"/>
  <c r="AQ400" i="8"/>
  <c r="AV400" i="8"/>
  <c r="AI400" i="8"/>
  <c r="AN400" i="8"/>
  <c r="AS400" i="8"/>
  <c r="AY400" i="8"/>
  <c r="AD396" i="8"/>
  <c r="AH396" i="8"/>
  <c r="AL396" i="8"/>
  <c r="AP396" i="8"/>
  <c r="AT396" i="8"/>
  <c r="AX396" i="8"/>
  <c r="AI396" i="8"/>
  <c r="AN396" i="8"/>
  <c r="AS396" i="8"/>
  <c r="AY396" i="8"/>
  <c r="AE396" i="8"/>
  <c r="AJ396" i="8"/>
  <c r="AF396" i="8"/>
  <c r="AK396" i="8"/>
  <c r="AQ396" i="8"/>
  <c r="AV396" i="8"/>
  <c r="AD392" i="8"/>
  <c r="AH392" i="8"/>
  <c r="AL392" i="8"/>
  <c r="AP392" i="8"/>
  <c r="AT392" i="8"/>
  <c r="AX392" i="8"/>
  <c r="AF392" i="8"/>
  <c r="AK392" i="8"/>
  <c r="AQ392" i="8"/>
  <c r="AV392" i="8"/>
  <c r="AG392" i="8"/>
  <c r="AM392" i="8"/>
  <c r="AR392" i="8"/>
  <c r="AW392" i="8"/>
  <c r="AI392" i="8"/>
  <c r="AN392" i="8"/>
  <c r="AS392" i="8"/>
  <c r="AY392" i="8"/>
  <c r="AD388" i="8"/>
  <c r="AH388" i="8"/>
  <c r="AL388" i="8"/>
  <c r="AP388" i="8"/>
  <c r="AT388" i="8"/>
  <c r="AX388" i="8"/>
  <c r="AI388" i="8"/>
  <c r="AN388" i="8"/>
  <c r="AS388" i="8"/>
  <c r="AY388" i="8"/>
  <c r="AE388" i="8"/>
  <c r="AJ388" i="8"/>
  <c r="AO388" i="8"/>
  <c r="AU388" i="8"/>
  <c r="AF388" i="8"/>
  <c r="AK388" i="8"/>
  <c r="AQ388" i="8"/>
  <c r="AV388" i="8"/>
  <c r="AD384" i="8"/>
  <c r="AH384" i="8"/>
  <c r="AL384" i="8"/>
  <c r="AP384" i="8"/>
  <c r="AT384" i="8"/>
  <c r="AX384" i="8"/>
  <c r="AF384" i="8"/>
  <c r="AK384" i="8"/>
  <c r="AQ384" i="8"/>
  <c r="AV384" i="8"/>
  <c r="AG384" i="8"/>
  <c r="AM384" i="8"/>
  <c r="AR384" i="8"/>
  <c r="AW384" i="8"/>
  <c r="AI384" i="8"/>
  <c r="AN384" i="8"/>
  <c r="AS384" i="8"/>
  <c r="AY384" i="8"/>
  <c r="AD380" i="8"/>
  <c r="AH380" i="8"/>
  <c r="AL380" i="8"/>
  <c r="AP380" i="8"/>
  <c r="AT380" i="8"/>
  <c r="AX380" i="8"/>
  <c r="AI380" i="8"/>
  <c r="AN380" i="8"/>
  <c r="AS380" i="8"/>
  <c r="AY380" i="8"/>
  <c r="AE380" i="8"/>
  <c r="AJ380" i="8"/>
  <c r="AO380" i="8"/>
  <c r="AU380" i="8"/>
  <c r="AF380" i="8"/>
  <c r="AK380" i="8"/>
  <c r="AQ380" i="8"/>
  <c r="AV380" i="8"/>
  <c r="AD376" i="8"/>
  <c r="AH376" i="8"/>
  <c r="AL376" i="8"/>
  <c r="AP376" i="8"/>
  <c r="AT376" i="8"/>
  <c r="AX376" i="8"/>
  <c r="AF376" i="8"/>
  <c r="AK376" i="8"/>
  <c r="AQ376" i="8"/>
  <c r="AV376" i="8"/>
  <c r="AG376" i="8"/>
  <c r="AM376" i="8"/>
  <c r="AR376" i="8"/>
  <c r="AW376" i="8"/>
  <c r="AI376" i="8"/>
  <c r="AN376" i="8"/>
  <c r="AS376" i="8"/>
  <c r="AY376" i="8"/>
  <c r="AD372" i="8"/>
  <c r="AH372" i="8"/>
  <c r="AL372" i="8"/>
  <c r="AP372" i="8"/>
  <c r="AT372" i="8"/>
  <c r="AX372" i="8"/>
  <c r="AI372" i="8"/>
  <c r="AN372" i="8"/>
  <c r="AS372" i="8"/>
  <c r="AY372" i="8"/>
  <c r="AE372" i="8"/>
  <c r="AJ372" i="8"/>
  <c r="AO372" i="8"/>
  <c r="AU372" i="8"/>
  <c r="AF372" i="8"/>
  <c r="AK372" i="8"/>
  <c r="AQ372" i="8"/>
  <c r="AV372" i="8"/>
  <c r="AD368" i="8"/>
  <c r="AH368" i="8"/>
  <c r="AL368" i="8"/>
  <c r="AP368" i="8"/>
  <c r="AT368" i="8"/>
  <c r="AX368" i="8"/>
  <c r="AF368" i="8"/>
  <c r="AK368" i="8"/>
  <c r="AQ368" i="8"/>
  <c r="AV368" i="8"/>
  <c r="AG368" i="8"/>
  <c r="AM368" i="8"/>
  <c r="AR368" i="8"/>
  <c r="AW368" i="8"/>
  <c r="AI368" i="8"/>
  <c r="AN368" i="8"/>
  <c r="AS368" i="8"/>
  <c r="AY368" i="8"/>
  <c r="AD364" i="8"/>
  <c r="AH364" i="8"/>
  <c r="AL364" i="8"/>
  <c r="AP364" i="8"/>
  <c r="AT364" i="8"/>
  <c r="AX364" i="8"/>
  <c r="AI364" i="8"/>
  <c r="AN364" i="8"/>
  <c r="AS364" i="8"/>
  <c r="AY364" i="8"/>
  <c r="AE364" i="8"/>
  <c r="AJ364" i="8"/>
  <c r="AO364" i="8"/>
  <c r="AU364" i="8"/>
  <c r="AF364" i="8"/>
  <c r="AK364" i="8"/>
  <c r="AQ364" i="8"/>
  <c r="AV364" i="8"/>
  <c r="AD360" i="8"/>
  <c r="AH360" i="8"/>
  <c r="AL360" i="8"/>
  <c r="AP360" i="8"/>
  <c r="AT360" i="8"/>
  <c r="AX360" i="8"/>
  <c r="AF360" i="8"/>
  <c r="AK360" i="8"/>
  <c r="AQ360" i="8"/>
  <c r="AV360" i="8"/>
  <c r="AG360" i="8"/>
  <c r="AM360" i="8"/>
  <c r="AR360" i="8"/>
  <c r="AW360" i="8"/>
  <c r="AI360" i="8"/>
  <c r="AN360" i="8"/>
  <c r="AS360" i="8"/>
  <c r="AY360" i="8"/>
  <c r="AD356" i="8"/>
  <c r="AH356" i="8"/>
  <c r="AL356" i="8"/>
  <c r="AP356" i="8"/>
  <c r="AT356" i="8"/>
  <c r="AX356" i="8"/>
  <c r="AI356" i="8"/>
  <c r="AN356" i="8"/>
  <c r="AS356" i="8"/>
  <c r="AY356" i="8"/>
  <c r="AE356" i="8"/>
  <c r="AJ356" i="8"/>
  <c r="AO356" i="8"/>
  <c r="AU356" i="8"/>
  <c r="AF356" i="8"/>
  <c r="AK356" i="8"/>
  <c r="AQ356" i="8"/>
  <c r="AV356" i="8"/>
  <c r="AD352" i="8"/>
  <c r="AH352" i="8"/>
  <c r="AL352" i="8"/>
  <c r="AP352" i="8"/>
  <c r="AT352" i="8"/>
  <c r="AX352" i="8"/>
  <c r="AF352" i="8"/>
  <c r="AK352" i="8"/>
  <c r="AI352" i="8"/>
  <c r="AJ352" i="8"/>
  <c r="AQ352" i="8"/>
  <c r="AV352" i="8"/>
  <c r="AM352" i="8"/>
  <c r="AR352" i="8"/>
  <c r="AW352" i="8"/>
  <c r="AE352" i="8"/>
  <c r="AN352" i="8"/>
  <c r="AS352" i="8"/>
  <c r="AY352" i="8"/>
  <c r="AD348" i="8"/>
  <c r="AH348" i="8"/>
  <c r="AL348" i="8"/>
  <c r="AP348" i="8"/>
  <c r="AT348" i="8"/>
  <c r="AX348" i="8"/>
  <c r="AI348" i="8"/>
  <c r="AN348" i="8"/>
  <c r="AS348" i="8"/>
  <c r="AY348" i="8"/>
  <c r="AF348" i="8"/>
  <c r="AK348" i="8"/>
  <c r="AQ348" i="8"/>
  <c r="AV348" i="8"/>
  <c r="AM348" i="8"/>
  <c r="AW348" i="8"/>
  <c r="AE348" i="8"/>
  <c r="AO348" i="8"/>
  <c r="AG348" i="8"/>
  <c r="AR348" i="8"/>
  <c r="AD344" i="8"/>
  <c r="AH344" i="8"/>
  <c r="AL344" i="8"/>
  <c r="AP344" i="8"/>
  <c r="AT344" i="8"/>
  <c r="AX344" i="8"/>
  <c r="AF344" i="8"/>
  <c r="AK344" i="8"/>
  <c r="AQ344" i="8"/>
  <c r="AV344" i="8"/>
  <c r="AI344" i="8"/>
  <c r="AN344" i="8"/>
  <c r="AS344" i="8"/>
  <c r="AY344" i="8"/>
  <c r="AE344" i="8"/>
  <c r="AO344" i="8"/>
  <c r="AG344" i="8"/>
  <c r="AR344" i="8"/>
  <c r="AJ344" i="8"/>
  <c r="AU344" i="8"/>
  <c r="AD340" i="8"/>
  <c r="AH340" i="8"/>
  <c r="AL340" i="8"/>
  <c r="AP340" i="8"/>
  <c r="AT340" i="8"/>
  <c r="AX340" i="8"/>
  <c r="AI340" i="8"/>
  <c r="AN340" i="8"/>
  <c r="AS340" i="8"/>
  <c r="AY340" i="8"/>
  <c r="AF340" i="8"/>
  <c r="AK340" i="8"/>
  <c r="AQ340" i="8"/>
  <c r="AV340" i="8"/>
  <c r="AG340" i="8"/>
  <c r="AR340" i="8"/>
  <c r="AJ340" i="8"/>
  <c r="AU340" i="8"/>
  <c r="AM340" i="8"/>
  <c r="AW340" i="8"/>
  <c r="AD336" i="8"/>
  <c r="AH336" i="8"/>
  <c r="AL336" i="8"/>
  <c r="AP336" i="8"/>
  <c r="AT336" i="8"/>
  <c r="AX336" i="8"/>
  <c r="AF336" i="8"/>
  <c r="AK336" i="8"/>
  <c r="AQ336" i="8"/>
  <c r="AV336" i="8"/>
  <c r="AI336" i="8"/>
  <c r="AN336" i="8"/>
  <c r="AS336" i="8"/>
  <c r="AY336" i="8"/>
  <c r="AJ336" i="8"/>
  <c r="AU336" i="8"/>
  <c r="AM336" i="8"/>
  <c r="AW336" i="8"/>
  <c r="AE336" i="8"/>
  <c r="AO336" i="8"/>
  <c r="AD332" i="8"/>
  <c r="AH332" i="8"/>
  <c r="AL332" i="8"/>
  <c r="AP332" i="8"/>
  <c r="AT332" i="8"/>
  <c r="AX332" i="8"/>
  <c r="AI332" i="8"/>
  <c r="AN332" i="8"/>
  <c r="AS332" i="8"/>
  <c r="AY332" i="8"/>
  <c r="AF332" i="8"/>
  <c r="AK332" i="8"/>
  <c r="AQ332" i="8"/>
  <c r="AV332" i="8"/>
  <c r="AM332" i="8"/>
  <c r="AW332" i="8"/>
  <c r="AE332" i="8"/>
  <c r="AO332" i="8"/>
  <c r="AG332" i="8"/>
  <c r="AR332" i="8"/>
  <c r="AD328" i="8"/>
  <c r="AH328" i="8"/>
  <c r="AL328" i="8"/>
  <c r="AP328" i="8"/>
  <c r="AT328" i="8"/>
  <c r="AX328" i="8"/>
  <c r="AF328" i="8"/>
  <c r="AK328" i="8"/>
  <c r="AQ328" i="8"/>
  <c r="AV328" i="8"/>
  <c r="AI328" i="8"/>
  <c r="AN328" i="8"/>
  <c r="AS328" i="8"/>
  <c r="AY328" i="8"/>
  <c r="AE328" i="8"/>
  <c r="AO328" i="8"/>
  <c r="AG328" i="8"/>
  <c r="AR328" i="8"/>
  <c r="AJ328" i="8"/>
  <c r="AU328" i="8"/>
  <c r="AD324" i="8"/>
  <c r="AH324" i="8"/>
  <c r="AL324" i="8"/>
  <c r="AP324" i="8"/>
  <c r="AT324" i="8"/>
  <c r="AX324" i="8"/>
  <c r="AI324" i="8"/>
  <c r="AN324" i="8"/>
  <c r="AS324" i="8"/>
  <c r="AY324" i="8"/>
  <c r="AF324" i="8"/>
  <c r="AK324" i="8"/>
  <c r="AQ324" i="8"/>
  <c r="AV324" i="8"/>
  <c r="AG324" i="8"/>
  <c r="AR324" i="8"/>
  <c r="AJ324" i="8"/>
  <c r="AU324" i="8"/>
  <c r="AM324" i="8"/>
  <c r="AW324" i="8"/>
  <c r="AD320" i="8"/>
  <c r="AH320" i="8"/>
  <c r="AL320" i="8"/>
  <c r="AP320" i="8"/>
  <c r="AT320" i="8"/>
  <c r="AX320" i="8"/>
  <c r="AF320" i="8"/>
  <c r="AK320" i="8"/>
  <c r="AQ320" i="8"/>
  <c r="AV320" i="8"/>
  <c r="AI320" i="8"/>
  <c r="AN320" i="8"/>
  <c r="AS320" i="8"/>
  <c r="AY320" i="8"/>
  <c r="AJ320" i="8"/>
  <c r="AU320" i="8"/>
  <c r="AM320" i="8"/>
  <c r="AW320" i="8"/>
  <c r="AE320" i="8"/>
  <c r="AO320" i="8"/>
  <c r="AD316" i="8"/>
  <c r="AH316" i="8"/>
  <c r="AL316" i="8"/>
  <c r="AP316" i="8"/>
  <c r="AT316" i="8"/>
  <c r="AX316" i="8"/>
  <c r="AI316" i="8"/>
  <c r="AN316" i="8"/>
  <c r="AS316" i="8"/>
  <c r="AY316" i="8"/>
  <c r="AF316" i="8"/>
  <c r="AK316" i="8"/>
  <c r="AQ316" i="8"/>
  <c r="AV316" i="8"/>
  <c r="AM316" i="8"/>
  <c r="AW316" i="8"/>
  <c r="AE316" i="8"/>
  <c r="AO316" i="8"/>
  <c r="AG316" i="8"/>
  <c r="AR316" i="8"/>
  <c r="AD312" i="8"/>
  <c r="AH312" i="8"/>
  <c r="AL312" i="8"/>
  <c r="AP312" i="8"/>
  <c r="AT312" i="8"/>
  <c r="AX312" i="8"/>
  <c r="AF312" i="8"/>
  <c r="AK312" i="8"/>
  <c r="AQ312" i="8"/>
  <c r="AV312" i="8"/>
  <c r="AI312" i="8"/>
  <c r="AN312" i="8"/>
  <c r="AS312" i="8"/>
  <c r="AY312" i="8"/>
  <c r="AE312" i="8"/>
  <c r="AO312" i="8"/>
  <c r="AG312" i="8"/>
  <c r="AR312" i="8"/>
  <c r="AJ312" i="8"/>
  <c r="AU312" i="8"/>
  <c r="AD308" i="8"/>
  <c r="AH308" i="8"/>
  <c r="AL308" i="8"/>
  <c r="AP308" i="8"/>
  <c r="AT308" i="8"/>
  <c r="AX308" i="8"/>
  <c r="AI308" i="8"/>
  <c r="AN308" i="8"/>
  <c r="AS308" i="8"/>
  <c r="AY308" i="8"/>
  <c r="AE308" i="8"/>
  <c r="AJ308" i="8"/>
  <c r="AO308" i="8"/>
  <c r="AF308" i="8"/>
  <c r="AK308" i="8"/>
  <c r="AQ308" i="8"/>
  <c r="AV308" i="8"/>
  <c r="AR308" i="8"/>
  <c r="AU308" i="8"/>
  <c r="AG308" i="8"/>
  <c r="AW308" i="8"/>
  <c r="AD304" i="8"/>
  <c r="AH304" i="8"/>
  <c r="AL304" i="8"/>
  <c r="AP304" i="8"/>
  <c r="AT304" i="8"/>
  <c r="AX304" i="8"/>
  <c r="AF304" i="8"/>
  <c r="AK304" i="8"/>
  <c r="AQ304" i="8"/>
  <c r="AV304" i="8"/>
  <c r="AG304" i="8"/>
  <c r="AM304" i="8"/>
  <c r="AR304" i="8"/>
  <c r="AW304" i="8"/>
  <c r="AI304" i="8"/>
  <c r="AN304" i="8"/>
  <c r="AS304" i="8"/>
  <c r="AY304" i="8"/>
  <c r="AU304" i="8"/>
  <c r="AE304" i="8"/>
  <c r="AJ304" i="8"/>
  <c r="AD300" i="8"/>
  <c r="AH300" i="8"/>
  <c r="AL300" i="8"/>
  <c r="AP300" i="8"/>
  <c r="AT300" i="8"/>
  <c r="AX300" i="8"/>
  <c r="AI300" i="8"/>
  <c r="AN300" i="8"/>
  <c r="AS300" i="8"/>
  <c r="AY300" i="8"/>
  <c r="AE300" i="8"/>
  <c r="AJ300" i="8"/>
  <c r="AO300" i="8"/>
  <c r="AU300" i="8"/>
  <c r="AF300" i="8"/>
  <c r="AK300" i="8"/>
  <c r="AQ300" i="8"/>
  <c r="AV300" i="8"/>
  <c r="AW300" i="8"/>
  <c r="AG300" i="8"/>
  <c r="AM300" i="8"/>
  <c r="AG296" i="8"/>
  <c r="AK296" i="8"/>
  <c r="AO296" i="8"/>
  <c r="AS296" i="8"/>
  <c r="AW296" i="8"/>
  <c r="AD296" i="8"/>
  <c r="AH296" i="8"/>
  <c r="AL296" i="8"/>
  <c r="AP296" i="8"/>
  <c r="AT296" i="8"/>
  <c r="AX296" i="8"/>
  <c r="AI296" i="8"/>
  <c r="AQ296" i="8"/>
  <c r="AY296" i="8"/>
  <c r="AJ296" i="8"/>
  <c r="AR296" i="8"/>
  <c r="AE296" i="8"/>
  <c r="AM296" i="8"/>
  <c r="AU296" i="8"/>
  <c r="AV296" i="8"/>
  <c r="AF296" i="8"/>
  <c r="AG292" i="8"/>
  <c r="AK292" i="8"/>
  <c r="AO292" i="8"/>
  <c r="AS292" i="8"/>
  <c r="AW292" i="8"/>
  <c r="AD292" i="8"/>
  <c r="AH292" i="8"/>
  <c r="AL292" i="8"/>
  <c r="AP292" i="8"/>
  <c r="AT292" i="8"/>
  <c r="AX292" i="8"/>
  <c r="AI292" i="8"/>
  <c r="AQ292" i="8"/>
  <c r="AY292" i="8"/>
  <c r="AJ292" i="8"/>
  <c r="AR292" i="8"/>
  <c r="AE292" i="8"/>
  <c r="AM292" i="8"/>
  <c r="AU292" i="8"/>
  <c r="AN292" i="8"/>
  <c r="AV292" i="8"/>
  <c r="AG288" i="8"/>
  <c r="AK288" i="8"/>
  <c r="AO288" i="8"/>
  <c r="AS288" i="8"/>
  <c r="AW288" i="8"/>
  <c r="AD288" i="8"/>
  <c r="AH288" i="8"/>
  <c r="AL288" i="8"/>
  <c r="AP288" i="8"/>
  <c r="AT288" i="8"/>
  <c r="AX288" i="8"/>
  <c r="AI288" i="8"/>
  <c r="AQ288" i="8"/>
  <c r="AY288" i="8"/>
  <c r="AJ288" i="8"/>
  <c r="AR288" i="8"/>
  <c r="AE288" i="8"/>
  <c r="AM288" i="8"/>
  <c r="AU288" i="8"/>
  <c r="AF288" i="8"/>
  <c r="AN288" i="8"/>
  <c r="AV288" i="8"/>
  <c r="AG284" i="8"/>
  <c r="AK284" i="8"/>
  <c r="AO284" i="8"/>
  <c r="AS284" i="8"/>
  <c r="AW284" i="8"/>
  <c r="AD284" i="8"/>
  <c r="AH284" i="8"/>
  <c r="AL284" i="8"/>
  <c r="AP284" i="8"/>
  <c r="AT284" i="8"/>
  <c r="AX284" i="8"/>
  <c r="AI284" i="8"/>
  <c r="AQ284" i="8"/>
  <c r="AY284" i="8"/>
  <c r="AJ284" i="8"/>
  <c r="AR284" i="8"/>
  <c r="AE284" i="8"/>
  <c r="AM284" i="8"/>
  <c r="AU284" i="8"/>
  <c r="AF284" i="8"/>
  <c r="AN284" i="8"/>
  <c r="AG280" i="8"/>
  <c r="AK280" i="8"/>
  <c r="AO280" i="8"/>
  <c r="AS280" i="8"/>
  <c r="AW280" i="8"/>
  <c r="AD280" i="8"/>
  <c r="AH280" i="8"/>
  <c r="AL280" i="8"/>
  <c r="AP280" i="8"/>
  <c r="AT280" i="8"/>
  <c r="AX280" i="8"/>
  <c r="AI280" i="8"/>
  <c r="AQ280" i="8"/>
  <c r="AY280" i="8"/>
  <c r="AJ280" i="8"/>
  <c r="AR280" i="8"/>
  <c r="AE280" i="8"/>
  <c r="AM280" i="8"/>
  <c r="AU280" i="8"/>
  <c r="AV280" i="8"/>
  <c r="AF280" i="8"/>
  <c r="AG276" i="8"/>
  <c r="AK276" i="8"/>
  <c r="AO276" i="8"/>
  <c r="AS276" i="8"/>
  <c r="AW276" i="8"/>
  <c r="AD276" i="8"/>
  <c r="AH276" i="8"/>
  <c r="AL276" i="8"/>
  <c r="AP276" i="8"/>
  <c r="AT276" i="8"/>
  <c r="AX276" i="8"/>
  <c r="AE276" i="8"/>
  <c r="AM276" i="8"/>
  <c r="AU276" i="8"/>
  <c r="AI276" i="8"/>
  <c r="AQ276" i="8"/>
  <c r="AY276" i="8"/>
  <c r="AJ276" i="8"/>
  <c r="AN276" i="8"/>
  <c r="AR276" i="8"/>
  <c r="AF276" i="8"/>
  <c r="AV276" i="8"/>
  <c r="AG272" i="8"/>
  <c r="AK272" i="8"/>
  <c r="AO272" i="8"/>
  <c r="AS272" i="8"/>
  <c r="AW272" i="8"/>
  <c r="AD272" i="8"/>
  <c r="AH272" i="8"/>
  <c r="AL272" i="8"/>
  <c r="AP272" i="8"/>
  <c r="AT272" i="8"/>
  <c r="AX272" i="8"/>
  <c r="AE272" i="8"/>
  <c r="AM272" i="8"/>
  <c r="AU272" i="8"/>
  <c r="AI272" i="8"/>
  <c r="AQ272" i="8"/>
  <c r="AY272" i="8"/>
  <c r="AR272" i="8"/>
  <c r="AF272" i="8"/>
  <c r="AV272" i="8"/>
  <c r="AJ272" i="8"/>
  <c r="AG268" i="8"/>
  <c r="AK268" i="8"/>
  <c r="AO268" i="8"/>
  <c r="AS268" i="8"/>
  <c r="AW268" i="8"/>
  <c r="AD268" i="8"/>
  <c r="AH268" i="8"/>
  <c r="AL268" i="8"/>
  <c r="AP268" i="8"/>
  <c r="AT268" i="8"/>
  <c r="AX268" i="8"/>
  <c r="AE268" i="8"/>
  <c r="AM268" i="8"/>
  <c r="AU268" i="8"/>
  <c r="AI268" i="8"/>
  <c r="AQ268" i="8"/>
  <c r="AY268" i="8"/>
  <c r="AJ268" i="8"/>
  <c r="AN268" i="8"/>
  <c r="AR268" i="8"/>
  <c r="AF268" i="8"/>
  <c r="AV268" i="8"/>
  <c r="AG264" i="8"/>
  <c r="AK264" i="8"/>
  <c r="AO264" i="8"/>
  <c r="AS264" i="8"/>
  <c r="AW264" i="8"/>
  <c r="AD264" i="8"/>
  <c r="AH264" i="8"/>
  <c r="AL264" i="8"/>
  <c r="AP264" i="8"/>
  <c r="AT264" i="8"/>
  <c r="AX264" i="8"/>
  <c r="AE264" i="8"/>
  <c r="AM264" i="8"/>
  <c r="AU264" i="8"/>
  <c r="AI264" i="8"/>
  <c r="AQ264" i="8"/>
  <c r="AY264" i="8"/>
  <c r="AR264" i="8"/>
  <c r="AF264" i="8"/>
  <c r="AV264" i="8"/>
  <c r="AJ264" i="8"/>
  <c r="AN264" i="8"/>
  <c r="AG260" i="8"/>
  <c r="AK260" i="8"/>
  <c r="AO260" i="8"/>
  <c r="AS260" i="8"/>
  <c r="AW260" i="8"/>
  <c r="AD260" i="8"/>
  <c r="AH260" i="8"/>
  <c r="AL260" i="8"/>
  <c r="AP260" i="8"/>
  <c r="AT260" i="8"/>
  <c r="AX260" i="8"/>
  <c r="AE260" i="8"/>
  <c r="AM260" i="8"/>
  <c r="AU260" i="8"/>
  <c r="AI260" i="8"/>
  <c r="AQ260" i="8"/>
  <c r="AY260" i="8"/>
  <c r="AJ260" i="8"/>
  <c r="AN260" i="8"/>
  <c r="AR260" i="8"/>
  <c r="AF260" i="8"/>
  <c r="AG256" i="8"/>
  <c r="AK256" i="8"/>
  <c r="AO256" i="8"/>
  <c r="AS256" i="8"/>
  <c r="AW256" i="8"/>
  <c r="AD256" i="8"/>
  <c r="AH256" i="8"/>
  <c r="AL256" i="8"/>
  <c r="AP256" i="8"/>
  <c r="AT256" i="8"/>
  <c r="AX256" i="8"/>
  <c r="AE256" i="8"/>
  <c r="AM256" i="8"/>
  <c r="AU256" i="8"/>
  <c r="AI256" i="8"/>
  <c r="AQ256" i="8"/>
  <c r="AY256" i="8"/>
  <c r="AR256" i="8"/>
  <c r="AF256" i="8"/>
  <c r="AV256" i="8"/>
  <c r="AJ256" i="8"/>
  <c r="AN256" i="8"/>
  <c r="AG252" i="8"/>
  <c r="AK252" i="8"/>
  <c r="AO252" i="8"/>
  <c r="AS252" i="8"/>
  <c r="AW252" i="8"/>
  <c r="AD252" i="8"/>
  <c r="AH252" i="8"/>
  <c r="AL252" i="8"/>
  <c r="AP252" i="8"/>
  <c r="AT252" i="8"/>
  <c r="AX252" i="8"/>
  <c r="AE252" i="8"/>
  <c r="AM252" i="8"/>
  <c r="AU252" i="8"/>
  <c r="AI252" i="8"/>
  <c r="AQ252" i="8"/>
  <c r="AY252" i="8"/>
  <c r="AJ252" i="8"/>
  <c r="AN252" i="8"/>
  <c r="AR252" i="8"/>
  <c r="AV252" i="8"/>
  <c r="AE248" i="8"/>
  <c r="AI248" i="8"/>
  <c r="AM248" i="8"/>
  <c r="AQ248" i="8"/>
  <c r="AU248" i="8"/>
  <c r="AY248" i="8"/>
  <c r="AD248" i="8"/>
  <c r="AJ248" i="8"/>
  <c r="AO248" i="8"/>
  <c r="AT248" i="8"/>
  <c r="AF248" i="8"/>
  <c r="AK248" i="8"/>
  <c r="AP248" i="8"/>
  <c r="AV248" i="8"/>
  <c r="AG248" i="8"/>
  <c r="AR248" i="8"/>
  <c r="AL248" i="8"/>
  <c r="AW248" i="8"/>
  <c r="AX248" i="8"/>
  <c r="AH248" i="8"/>
  <c r="AN248" i="8"/>
  <c r="AE244" i="8"/>
  <c r="AI244" i="8"/>
  <c r="AM244" i="8"/>
  <c r="AQ244" i="8"/>
  <c r="AU244" i="8"/>
  <c r="AY244" i="8"/>
  <c r="AG244" i="8"/>
  <c r="AL244" i="8"/>
  <c r="AR244" i="8"/>
  <c r="AW244" i="8"/>
  <c r="AH244" i="8"/>
  <c r="AN244" i="8"/>
  <c r="AS244" i="8"/>
  <c r="AX244" i="8"/>
  <c r="AJ244" i="8"/>
  <c r="AT244" i="8"/>
  <c r="AK244" i="8"/>
  <c r="AV244" i="8"/>
  <c r="AF244" i="8"/>
  <c r="AP244" i="8"/>
  <c r="AD244" i="8"/>
  <c r="AE240" i="8"/>
  <c r="AI240" i="8"/>
  <c r="AM240" i="8"/>
  <c r="AQ240" i="8"/>
  <c r="AU240" i="8"/>
  <c r="AY240" i="8"/>
  <c r="AD240" i="8"/>
  <c r="AJ240" i="8"/>
  <c r="AO240" i="8"/>
  <c r="AT240" i="8"/>
  <c r="AF240" i="8"/>
  <c r="AK240" i="8"/>
  <c r="AP240" i="8"/>
  <c r="AV240" i="8"/>
  <c r="AL240" i="8"/>
  <c r="AW240" i="8"/>
  <c r="AN240" i="8"/>
  <c r="AX240" i="8"/>
  <c r="AH240" i="8"/>
  <c r="AR240" i="8"/>
  <c r="AS240" i="8"/>
  <c r="AG240" i="8"/>
  <c r="AE236" i="8"/>
  <c r="AI236" i="8"/>
  <c r="AM236" i="8"/>
  <c r="AQ236" i="8"/>
  <c r="AU236" i="8"/>
  <c r="AY236" i="8"/>
  <c r="AG236" i="8"/>
  <c r="AL236" i="8"/>
  <c r="AR236" i="8"/>
  <c r="AW236" i="8"/>
  <c r="AH236" i="8"/>
  <c r="AN236" i="8"/>
  <c r="AS236" i="8"/>
  <c r="AX236" i="8"/>
  <c r="AD236" i="8"/>
  <c r="AO236" i="8"/>
  <c r="AF236" i="8"/>
  <c r="AP236" i="8"/>
  <c r="AK236" i="8"/>
  <c r="AT236" i="8"/>
  <c r="AV236" i="8"/>
  <c r="AJ236" i="8"/>
  <c r="AE232" i="8"/>
  <c r="AI232" i="8"/>
  <c r="AM232" i="8"/>
  <c r="AQ232" i="8"/>
  <c r="AU232" i="8"/>
  <c r="AY232" i="8"/>
  <c r="AD232" i="8"/>
  <c r="AJ232" i="8"/>
  <c r="AO232" i="8"/>
  <c r="AT232" i="8"/>
  <c r="AF232" i="8"/>
  <c r="AK232" i="8"/>
  <c r="AP232" i="8"/>
  <c r="AV232" i="8"/>
  <c r="AG232" i="8"/>
  <c r="AR232" i="8"/>
  <c r="AH232" i="8"/>
  <c r="AS232" i="8"/>
  <c r="AN232" i="8"/>
  <c r="AW232" i="8"/>
  <c r="AX232" i="8"/>
  <c r="AL232" i="8"/>
  <c r="AE228" i="8"/>
  <c r="AI228" i="8"/>
  <c r="AM228" i="8"/>
  <c r="AQ228" i="8"/>
  <c r="AU228" i="8"/>
  <c r="AY228" i="8"/>
  <c r="AG228" i="8"/>
  <c r="AL228" i="8"/>
  <c r="AR228" i="8"/>
  <c r="AW228" i="8"/>
  <c r="AH228" i="8"/>
  <c r="AN228" i="8"/>
  <c r="AS228" i="8"/>
  <c r="AX228" i="8"/>
  <c r="AJ228" i="8"/>
  <c r="AT228" i="8"/>
  <c r="AK228" i="8"/>
  <c r="AV228" i="8"/>
  <c r="AP228" i="8"/>
  <c r="AD228" i="8"/>
  <c r="AF228" i="8"/>
  <c r="AO228" i="8"/>
  <c r="AE224" i="8"/>
  <c r="AI224" i="8"/>
  <c r="AM224" i="8"/>
  <c r="AQ224" i="8"/>
  <c r="AU224" i="8"/>
  <c r="AY224" i="8"/>
  <c r="AD224" i="8"/>
  <c r="AJ224" i="8"/>
  <c r="AO224" i="8"/>
  <c r="AT224" i="8"/>
  <c r="AF224" i="8"/>
  <c r="AK224" i="8"/>
  <c r="AP224" i="8"/>
  <c r="AV224" i="8"/>
  <c r="AL224" i="8"/>
  <c r="AW224" i="8"/>
  <c r="AN224" i="8"/>
  <c r="AX224" i="8"/>
  <c r="AS224" i="8"/>
  <c r="AG224" i="8"/>
  <c r="AH224" i="8"/>
  <c r="AR224" i="8"/>
  <c r="AE220" i="8"/>
  <c r="AI220" i="8"/>
  <c r="AM220" i="8"/>
  <c r="AQ220" i="8"/>
  <c r="AU220" i="8"/>
  <c r="AY220" i="8"/>
  <c r="AG220" i="8"/>
  <c r="AL220" i="8"/>
  <c r="AR220" i="8"/>
  <c r="AW220" i="8"/>
  <c r="AH220" i="8"/>
  <c r="AN220" i="8"/>
  <c r="AS220" i="8"/>
  <c r="AX220" i="8"/>
  <c r="AD220" i="8"/>
  <c r="AO220" i="8"/>
  <c r="AF220" i="8"/>
  <c r="AP220" i="8"/>
  <c r="AV220" i="8"/>
  <c r="AJ220" i="8"/>
  <c r="AK220" i="8"/>
  <c r="AT220" i="8"/>
  <c r="AE216" i="8"/>
  <c r="AI216" i="8"/>
  <c r="AM216" i="8"/>
  <c r="AQ216" i="8"/>
  <c r="AU216" i="8"/>
  <c r="AY216" i="8"/>
  <c r="AD216" i="8"/>
  <c r="AJ216" i="8"/>
  <c r="AO216" i="8"/>
  <c r="AT216" i="8"/>
  <c r="AF216" i="8"/>
  <c r="AK216" i="8"/>
  <c r="AP216" i="8"/>
  <c r="AV216" i="8"/>
  <c r="AG216" i="8"/>
  <c r="AR216" i="8"/>
  <c r="AH216" i="8"/>
  <c r="AS216" i="8"/>
  <c r="AX216" i="8"/>
  <c r="AL216" i="8"/>
  <c r="AN216" i="8"/>
  <c r="AW216" i="8"/>
  <c r="AE212" i="8"/>
  <c r="AI212" i="8"/>
  <c r="AM212" i="8"/>
  <c r="AQ212" i="8"/>
  <c r="AU212" i="8"/>
  <c r="AY212" i="8"/>
  <c r="AG212" i="8"/>
  <c r="AL212" i="8"/>
  <c r="AR212" i="8"/>
  <c r="AW212" i="8"/>
  <c r="AH212" i="8"/>
  <c r="AN212" i="8"/>
  <c r="AS212" i="8"/>
  <c r="AX212" i="8"/>
  <c r="AJ212" i="8"/>
  <c r="AT212" i="8"/>
  <c r="AK212" i="8"/>
  <c r="AV212" i="8"/>
  <c r="AF212" i="8"/>
  <c r="AO212" i="8"/>
  <c r="AP212" i="8"/>
  <c r="AD212" i="8"/>
  <c r="AE208" i="8"/>
  <c r="AI208" i="8"/>
  <c r="AM208" i="8"/>
  <c r="AQ208" i="8"/>
  <c r="AU208" i="8"/>
  <c r="AY208" i="8"/>
  <c r="AD208" i="8"/>
  <c r="AJ208" i="8"/>
  <c r="AO208" i="8"/>
  <c r="AT208" i="8"/>
  <c r="AF208" i="8"/>
  <c r="AK208" i="8"/>
  <c r="AP208" i="8"/>
  <c r="AV208" i="8"/>
  <c r="AL208" i="8"/>
  <c r="AW208" i="8"/>
  <c r="AN208" i="8"/>
  <c r="AX208" i="8"/>
  <c r="AH208" i="8"/>
  <c r="AR208" i="8"/>
  <c r="AS208" i="8"/>
  <c r="AG208" i="8"/>
  <c r="AE204" i="8"/>
  <c r="AI204" i="8"/>
  <c r="AM204" i="8"/>
  <c r="AQ204" i="8"/>
  <c r="AU204" i="8"/>
  <c r="AY204" i="8"/>
  <c r="AG204" i="8"/>
  <c r="AL204" i="8"/>
  <c r="AR204" i="8"/>
  <c r="AW204" i="8"/>
  <c r="AH204" i="8"/>
  <c r="AN204" i="8"/>
  <c r="AS204" i="8"/>
  <c r="AX204" i="8"/>
  <c r="AD204" i="8"/>
  <c r="AO204" i="8"/>
  <c r="AF204" i="8"/>
  <c r="AP204" i="8"/>
  <c r="AK204" i="8"/>
  <c r="AT204" i="8"/>
  <c r="AV204" i="8"/>
  <c r="AJ204" i="8"/>
  <c r="AE200" i="8"/>
  <c r="AI200" i="8"/>
  <c r="AM200" i="8"/>
  <c r="AQ200" i="8"/>
  <c r="AU200" i="8"/>
  <c r="AY200" i="8"/>
  <c r="AD200" i="8"/>
  <c r="AJ200" i="8"/>
  <c r="AO200" i="8"/>
  <c r="AT200" i="8"/>
  <c r="AF200" i="8"/>
  <c r="AK200" i="8"/>
  <c r="AP200" i="8"/>
  <c r="AV200" i="8"/>
  <c r="AG200" i="8"/>
  <c r="AR200" i="8"/>
  <c r="AH200" i="8"/>
  <c r="AS200" i="8"/>
  <c r="AN200" i="8"/>
  <c r="AW200" i="8"/>
  <c r="AX200" i="8"/>
  <c r="AL200" i="8"/>
  <c r="AE196" i="8"/>
  <c r="AI196" i="8"/>
  <c r="AM196" i="8"/>
  <c r="AQ196" i="8"/>
  <c r="AU196" i="8"/>
  <c r="AY196" i="8"/>
  <c r="AG196" i="8"/>
  <c r="AL196" i="8"/>
  <c r="AR196" i="8"/>
  <c r="AW196" i="8"/>
  <c r="AH196" i="8"/>
  <c r="AN196" i="8"/>
  <c r="AS196" i="8"/>
  <c r="AX196" i="8"/>
  <c r="AJ196" i="8"/>
  <c r="AT196" i="8"/>
  <c r="AK196" i="8"/>
  <c r="AV196" i="8"/>
  <c r="AP196" i="8"/>
  <c r="AD196" i="8"/>
  <c r="AF196" i="8"/>
  <c r="AO196" i="8"/>
  <c r="AE192" i="8"/>
  <c r="AI192" i="8"/>
  <c r="AM192" i="8"/>
  <c r="AQ192" i="8"/>
  <c r="AU192" i="8"/>
  <c r="AY192" i="8"/>
  <c r="AD192" i="8"/>
  <c r="AJ192" i="8"/>
  <c r="AO192" i="8"/>
  <c r="AT192" i="8"/>
  <c r="AF192" i="8"/>
  <c r="AK192" i="8"/>
  <c r="AP192" i="8"/>
  <c r="AV192" i="8"/>
  <c r="AL192" i="8"/>
  <c r="AW192" i="8"/>
  <c r="AN192" i="8"/>
  <c r="AX192" i="8"/>
  <c r="AS192" i="8"/>
  <c r="AG192" i="8"/>
  <c r="AH192" i="8"/>
  <c r="AR192" i="8"/>
  <c r="AD188" i="8"/>
  <c r="AH188" i="8"/>
  <c r="AL188" i="8"/>
  <c r="AP188" i="8"/>
  <c r="AT188" i="8"/>
  <c r="AX188" i="8"/>
  <c r="AI188" i="8"/>
  <c r="AN188" i="8"/>
  <c r="AS188" i="8"/>
  <c r="AY188" i="8"/>
  <c r="AE188" i="8"/>
  <c r="AJ188" i="8"/>
  <c r="AO188" i="8"/>
  <c r="AU188" i="8"/>
  <c r="AF188" i="8"/>
  <c r="AQ188" i="8"/>
  <c r="AG188" i="8"/>
  <c r="AR188" i="8"/>
  <c r="AK188" i="8"/>
  <c r="AM188" i="8"/>
  <c r="AV188" i="8"/>
  <c r="AW188" i="8"/>
  <c r="AD184" i="8"/>
  <c r="AH184" i="8"/>
  <c r="AL184" i="8"/>
  <c r="AP184" i="8"/>
  <c r="AT184" i="8"/>
  <c r="AX184" i="8"/>
  <c r="AF184" i="8"/>
  <c r="AK184" i="8"/>
  <c r="AQ184" i="8"/>
  <c r="AV184" i="8"/>
  <c r="AG184" i="8"/>
  <c r="AM184" i="8"/>
  <c r="AR184" i="8"/>
  <c r="AW184" i="8"/>
  <c r="AI184" i="8"/>
  <c r="AS184" i="8"/>
  <c r="AJ184" i="8"/>
  <c r="AU184" i="8"/>
  <c r="AN184" i="8"/>
  <c r="AO184" i="8"/>
  <c r="AY184" i="8"/>
  <c r="AE184" i="8"/>
  <c r="AD180" i="8"/>
  <c r="AH180" i="8"/>
  <c r="AL180" i="8"/>
  <c r="AP180" i="8"/>
  <c r="AT180" i="8"/>
  <c r="AX180" i="8"/>
  <c r="AI180" i="8"/>
  <c r="AN180" i="8"/>
  <c r="AS180" i="8"/>
  <c r="AY180" i="8"/>
  <c r="AE180" i="8"/>
  <c r="AJ180" i="8"/>
  <c r="AO180" i="8"/>
  <c r="AU180" i="8"/>
  <c r="AK180" i="8"/>
  <c r="AV180" i="8"/>
  <c r="AM180" i="8"/>
  <c r="AW180" i="8"/>
  <c r="AQ180" i="8"/>
  <c r="AR180" i="8"/>
  <c r="AF180" i="8"/>
  <c r="AG180" i="8"/>
  <c r="AD176" i="8"/>
  <c r="AH176" i="8"/>
  <c r="AL176" i="8"/>
  <c r="AP176" i="8"/>
  <c r="AT176" i="8"/>
  <c r="AX176" i="8"/>
  <c r="AF176" i="8"/>
  <c r="AK176" i="8"/>
  <c r="AQ176" i="8"/>
  <c r="AV176" i="8"/>
  <c r="AG176" i="8"/>
  <c r="AM176" i="8"/>
  <c r="AR176" i="8"/>
  <c r="AW176" i="8"/>
  <c r="AN176" i="8"/>
  <c r="AY176" i="8"/>
  <c r="AE176" i="8"/>
  <c r="AO176" i="8"/>
  <c r="AS176" i="8"/>
  <c r="AU176" i="8"/>
  <c r="AI176" i="8"/>
  <c r="AJ176" i="8"/>
  <c r="AD172" i="8"/>
  <c r="AH172" i="8"/>
  <c r="AL172" i="8"/>
  <c r="AP172" i="8"/>
  <c r="AT172" i="8"/>
  <c r="AX172" i="8"/>
  <c r="AI172" i="8"/>
  <c r="AN172" i="8"/>
  <c r="AS172" i="8"/>
  <c r="AY172" i="8"/>
  <c r="AE172" i="8"/>
  <c r="AJ172" i="8"/>
  <c r="AO172" i="8"/>
  <c r="AU172" i="8"/>
  <c r="AF172" i="8"/>
  <c r="AQ172" i="8"/>
  <c r="AG172" i="8"/>
  <c r="AR172" i="8"/>
  <c r="AV172" i="8"/>
  <c r="AW172" i="8"/>
  <c r="AK172" i="8"/>
  <c r="AM172" i="8"/>
  <c r="AD168" i="8"/>
  <c r="AH168" i="8"/>
  <c r="AL168" i="8"/>
  <c r="AP168" i="8"/>
  <c r="AT168" i="8"/>
  <c r="AX168" i="8"/>
  <c r="AF168" i="8"/>
  <c r="AK168" i="8"/>
  <c r="AQ168" i="8"/>
  <c r="AV168" i="8"/>
  <c r="AG168" i="8"/>
  <c r="AM168" i="8"/>
  <c r="AR168" i="8"/>
  <c r="AW168" i="8"/>
  <c r="AI168" i="8"/>
  <c r="AS168" i="8"/>
  <c r="AJ168" i="8"/>
  <c r="AU168" i="8"/>
  <c r="AY168" i="8"/>
  <c r="AE168" i="8"/>
  <c r="AN168" i="8"/>
  <c r="AO168" i="8"/>
  <c r="AD164" i="8"/>
  <c r="AH164" i="8"/>
  <c r="AL164" i="8"/>
  <c r="AP164" i="8"/>
  <c r="AT164" i="8"/>
  <c r="AX164" i="8"/>
  <c r="AI164" i="8"/>
  <c r="AN164" i="8"/>
  <c r="AS164" i="8"/>
  <c r="AY164" i="8"/>
  <c r="AE164" i="8"/>
  <c r="AJ164" i="8"/>
  <c r="AO164" i="8"/>
  <c r="AU164" i="8"/>
  <c r="AK164" i="8"/>
  <c r="AV164" i="8"/>
  <c r="AM164" i="8"/>
  <c r="AW164" i="8"/>
  <c r="AF164" i="8"/>
  <c r="AG164" i="8"/>
  <c r="AQ164" i="8"/>
  <c r="AR164" i="8"/>
  <c r="AD160" i="8"/>
  <c r="AH160" i="8"/>
  <c r="AL160" i="8"/>
  <c r="AP160" i="8"/>
  <c r="AT160" i="8"/>
  <c r="AX160" i="8"/>
  <c r="AF160" i="8"/>
  <c r="AK160" i="8"/>
  <c r="AQ160" i="8"/>
  <c r="AV160" i="8"/>
  <c r="AG160" i="8"/>
  <c r="AM160" i="8"/>
  <c r="AR160" i="8"/>
  <c r="AW160" i="8"/>
  <c r="AN160" i="8"/>
  <c r="AY160" i="8"/>
  <c r="AE160" i="8"/>
  <c r="AO160" i="8"/>
  <c r="AI160" i="8"/>
  <c r="AJ160" i="8"/>
  <c r="AS160" i="8"/>
  <c r="AU160" i="8"/>
  <c r="AD156" i="8"/>
  <c r="AH156" i="8"/>
  <c r="AL156" i="8"/>
  <c r="AP156" i="8"/>
  <c r="AT156" i="8"/>
  <c r="AX156" i="8"/>
  <c r="AI156" i="8"/>
  <c r="AN156" i="8"/>
  <c r="AS156" i="8"/>
  <c r="AY156" i="8"/>
  <c r="AE156" i="8"/>
  <c r="AJ156" i="8"/>
  <c r="AO156" i="8"/>
  <c r="AU156" i="8"/>
  <c r="AF156" i="8"/>
  <c r="AQ156" i="8"/>
  <c r="AG156" i="8"/>
  <c r="AR156" i="8"/>
  <c r="AK156" i="8"/>
  <c r="AM156" i="8"/>
  <c r="AV156" i="8"/>
  <c r="AW156" i="8"/>
  <c r="AD152" i="8"/>
  <c r="AH152" i="8"/>
  <c r="AL152" i="8"/>
  <c r="AP152" i="8"/>
  <c r="AT152" i="8"/>
  <c r="AX152" i="8"/>
  <c r="AF152" i="8"/>
  <c r="AK152" i="8"/>
  <c r="AQ152" i="8"/>
  <c r="AV152" i="8"/>
  <c r="AG152" i="8"/>
  <c r="AM152" i="8"/>
  <c r="AR152" i="8"/>
  <c r="AW152" i="8"/>
  <c r="AI152" i="8"/>
  <c r="AS152" i="8"/>
  <c r="AJ152" i="8"/>
  <c r="AU152" i="8"/>
  <c r="AN152" i="8"/>
  <c r="AO152" i="8"/>
  <c r="AY152" i="8"/>
  <c r="AE152" i="8"/>
  <c r="AD148" i="8"/>
  <c r="AH148" i="8"/>
  <c r="AL148" i="8"/>
  <c r="AP148" i="8"/>
  <c r="AT148" i="8"/>
  <c r="AX148" i="8"/>
  <c r="AI148" i="8"/>
  <c r="AN148" i="8"/>
  <c r="AS148" i="8"/>
  <c r="AY148" i="8"/>
  <c r="AE148" i="8"/>
  <c r="AJ148" i="8"/>
  <c r="AO148" i="8"/>
  <c r="AU148" i="8"/>
  <c r="AK148" i="8"/>
  <c r="AV148" i="8"/>
  <c r="AM148" i="8"/>
  <c r="AW148" i="8"/>
  <c r="AQ148" i="8"/>
  <c r="AR148" i="8"/>
  <c r="AF148" i="8"/>
  <c r="AG148" i="8"/>
  <c r="AG144" i="8"/>
  <c r="AK144" i="8"/>
  <c r="AO144" i="8"/>
  <c r="AS144" i="8"/>
  <c r="AW144" i="8"/>
  <c r="AD144" i="8"/>
  <c r="AH144" i="8"/>
  <c r="AL144" i="8"/>
  <c r="AP144" i="8"/>
  <c r="AT144" i="8"/>
  <c r="AX144" i="8"/>
  <c r="AI144" i="8"/>
  <c r="AQ144" i="8"/>
  <c r="AY144" i="8"/>
  <c r="AJ144" i="8"/>
  <c r="AR144" i="8"/>
  <c r="AE144" i="8"/>
  <c r="AU144" i="8"/>
  <c r="AF144" i="8"/>
  <c r="AV144" i="8"/>
  <c r="AM144" i="8"/>
  <c r="AN144" i="8"/>
  <c r="AG140" i="8"/>
  <c r="AK140" i="8"/>
  <c r="AO140" i="8"/>
  <c r="AS140" i="8"/>
  <c r="AW140" i="8"/>
  <c r="AD140" i="8"/>
  <c r="AH140" i="8"/>
  <c r="AL140" i="8"/>
  <c r="AP140" i="8"/>
  <c r="AT140" i="8"/>
  <c r="AX140" i="8"/>
  <c r="AI140" i="8"/>
  <c r="AQ140" i="8"/>
  <c r="AY140" i="8"/>
  <c r="AJ140" i="8"/>
  <c r="AR140" i="8"/>
  <c r="AM140" i="8"/>
  <c r="AN140" i="8"/>
  <c r="AU140" i="8"/>
  <c r="AV140" i="8"/>
  <c r="AE140" i="8"/>
  <c r="AF140" i="8"/>
  <c r="AG136" i="8"/>
  <c r="AK136" i="8"/>
  <c r="AO136" i="8"/>
  <c r="AS136" i="8"/>
  <c r="AW136" i="8"/>
  <c r="AD136" i="8"/>
  <c r="AH136" i="8"/>
  <c r="AL136" i="8"/>
  <c r="AP136" i="8"/>
  <c r="AT136" i="8"/>
  <c r="AX136" i="8"/>
  <c r="AI136" i="8"/>
  <c r="AQ136" i="8"/>
  <c r="AY136" i="8"/>
  <c r="AJ136" i="8"/>
  <c r="AR136" i="8"/>
  <c r="AE136" i="8"/>
  <c r="AU136" i="8"/>
  <c r="AF136" i="8"/>
  <c r="AV136" i="8"/>
  <c r="AM136" i="8"/>
  <c r="AN136" i="8"/>
  <c r="AG132" i="8"/>
  <c r="AK132" i="8"/>
  <c r="AO132" i="8"/>
  <c r="AS132" i="8"/>
  <c r="AW132" i="8"/>
  <c r="AD132" i="8"/>
  <c r="AH132" i="8"/>
  <c r="AL132" i="8"/>
  <c r="AP132" i="8"/>
  <c r="AT132" i="8"/>
  <c r="AX132" i="8"/>
  <c r="AI132" i="8"/>
  <c r="AQ132" i="8"/>
  <c r="AY132" i="8"/>
  <c r="AJ132" i="8"/>
  <c r="AR132" i="8"/>
  <c r="AM132" i="8"/>
  <c r="AN132" i="8"/>
  <c r="AE132" i="8"/>
  <c r="AF132" i="8"/>
  <c r="AU132" i="8"/>
  <c r="AV132" i="8"/>
  <c r="AG128" i="8"/>
  <c r="AK128" i="8"/>
  <c r="AO128" i="8"/>
  <c r="AS128" i="8"/>
  <c r="AW128" i="8"/>
  <c r="AD128" i="8"/>
  <c r="AH128" i="8"/>
  <c r="AL128" i="8"/>
  <c r="AP128" i="8"/>
  <c r="AT128" i="8"/>
  <c r="AX128" i="8"/>
  <c r="AI128" i="8"/>
  <c r="AQ128" i="8"/>
  <c r="AY128" i="8"/>
  <c r="AJ128" i="8"/>
  <c r="AR128" i="8"/>
  <c r="AE128" i="8"/>
  <c r="AU128" i="8"/>
  <c r="AF128" i="8"/>
  <c r="AV128" i="8"/>
  <c r="AM128" i="8"/>
  <c r="AN128" i="8"/>
  <c r="AG124" i="8"/>
  <c r="AK124" i="8"/>
  <c r="AO124" i="8"/>
  <c r="AS124" i="8"/>
  <c r="AW124" i="8"/>
  <c r="AD124" i="8"/>
  <c r="AH124" i="8"/>
  <c r="AL124" i="8"/>
  <c r="AP124" i="8"/>
  <c r="AT124" i="8"/>
  <c r="AX124" i="8"/>
  <c r="AI124" i="8"/>
  <c r="AQ124" i="8"/>
  <c r="AY124" i="8"/>
  <c r="AJ124" i="8"/>
  <c r="AR124" i="8"/>
  <c r="AM124" i="8"/>
  <c r="AN124" i="8"/>
  <c r="AU124" i="8"/>
  <c r="AV124" i="8"/>
  <c r="AE124" i="8"/>
  <c r="AF124" i="8"/>
  <c r="AG120" i="8"/>
  <c r="AK120" i="8"/>
  <c r="AO120" i="8"/>
  <c r="AS120" i="8"/>
  <c r="AW120" i="8"/>
  <c r="AD120" i="8"/>
  <c r="AH120" i="8"/>
  <c r="AL120" i="8"/>
  <c r="AP120" i="8"/>
  <c r="AT120" i="8"/>
  <c r="AX120" i="8"/>
  <c r="AI120" i="8"/>
  <c r="AQ120" i="8"/>
  <c r="AY120" i="8"/>
  <c r="AJ120" i="8"/>
  <c r="AR120" i="8"/>
  <c r="AE120" i="8"/>
  <c r="AU120" i="8"/>
  <c r="AF120" i="8"/>
  <c r="AV120" i="8"/>
  <c r="AM120" i="8"/>
  <c r="AN120" i="8"/>
  <c r="AD116" i="8"/>
  <c r="AH116" i="8"/>
  <c r="AL116" i="8"/>
  <c r="AP116" i="8"/>
  <c r="AT116" i="8"/>
  <c r="AX116" i="8"/>
  <c r="AG116" i="8"/>
  <c r="AM116" i="8"/>
  <c r="AR116" i="8"/>
  <c r="AW116" i="8"/>
  <c r="AI116" i="8"/>
  <c r="AN116" i="8"/>
  <c r="AS116" i="8"/>
  <c r="AY116" i="8"/>
  <c r="AJ116" i="8"/>
  <c r="AU116" i="8"/>
  <c r="AK116" i="8"/>
  <c r="AV116" i="8"/>
  <c r="AE116" i="8"/>
  <c r="AF116" i="8"/>
  <c r="AO116" i="8"/>
  <c r="AQ116" i="8"/>
  <c r="AD112" i="8"/>
  <c r="AH112" i="8"/>
  <c r="AL112" i="8"/>
  <c r="AP112" i="8"/>
  <c r="AT112" i="8"/>
  <c r="AX112" i="8"/>
  <c r="AE112" i="8"/>
  <c r="AJ112" i="8"/>
  <c r="AO112" i="8"/>
  <c r="AU112" i="8"/>
  <c r="AF112" i="8"/>
  <c r="AK112" i="8"/>
  <c r="AQ112" i="8"/>
  <c r="AV112" i="8"/>
  <c r="AM112" i="8"/>
  <c r="AW112" i="8"/>
  <c r="AN112" i="8"/>
  <c r="AY112" i="8"/>
  <c r="AG112" i="8"/>
  <c r="AI112" i="8"/>
  <c r="AR112" i="8"/>
  <c r="AS112" i="8"/>
  <c r="AG108" i="8"/>
  <c r="AK108" i="8"/>
  <c r="AO108" i="8"/>
  <c r="AS108" i="8"/>
  <c r="AW108" i="8"/>
  <c r="AD108" i="8"/>
  <c r="AH108" i="8"/>
  <c r="AL108" i="8"/>
  <c r="AP108" i="8"/>
  <c r="AT108" i="8"/>
  <c r="AX108" i="8"/>
  <c r="AE108" i="8"/>
  <c r="AM108" i="8"/>
  <c r="AU108" i="8"/>
  <c r="AF108" i="8"/>
  <c r="AN108" i="8"/>
  <c r="AV108" i="8"/>
  <c r="AI108" i="8"/>
  <c r="AY108" i="8"/>
  <c r="AJ108" i="8"/>
  <c r="AQ108" i="8"/>
  <c r="AR108" i="8"/>
  <c r="AG104" i="8"/>
  <c r="AK104" i="8"/>
  <c r="AO104" i="8"/>
  <c r="AS104" i="8"/>
  <c r="AW104" i="8"/>
  <c r="AD104" i="8"/>
  <c r="AH104" i="8"/>
  <c r="AL104" i="8"/>
  <c r="AP104" i="8"/>
  <c r="AT104" i="8"/>
  <c r="AX104" i="8"/>
  <c r="AE104" i="8"/>
  <c r="AM104" i="8"/>
  <c r="AU104" i="8"/>
  <c r="AF104" i="8"/>
  <c r="AN104" i="8"/>
  <c r="AV104" i="8"/>
  <c r="AQ104" i="8"/>
  <c r="AR104" i="8"/>
  <c r="AI104" i="8"/>
  <c r="AJ104" i="8"/>
  <c r="AY104" i="8"/>
  <c r="AG100" i="8"/>
  <c r="AK100" i="8"/>
  <c r="AO100" i="8"/>
  <c r="AS100" i="8"/>
  <c r="AW100" i="8"/>
  <c r="AD100" i="8"/>
  <c r="AH100" i="8"/>
  <c r="AL100" i="8"/>
  <c r="AP100" i="8"/>
  <c r="AT100" i="8"/>
  <c r="AX100" i="8"/>
  <c r="AE100" i="8"/>
  <c r="AM100" i="8"/>
  <c r="AU100" i="8"/>
  <c r="AF100" i="8"/>
  <c r="AN100" i="8"/>
  <c r="AV100" i="8"/>
  <c r="AI100" i="8"/>
  <c r="AY100" i="8"/>
  <c r="AJ100" i="8"/>
  <c r="AQ100" i="8"/>
  <c r="AR100" i="8"/>
  <c r="AG96" i="8"/>
  <c r="AK96" i="8"/>
  <c r="AO96" i="8"/>
  <c r="AS96" i="8"/>
  <c r="AW96" i="8"/>
  <c r="AD96" i="8"/>
  <c r="AH96" i="8"/>
  <c r="AL96" i="8"/>
  <c r="AP96" i="8"/>
  <c r="AT96" i="8"/>
  <c r="AX96" i="8"/>
  <c r="AE96" i="8"/>
  <c r="AM96" i="8"/>
  <c r="AU96" i="8"/>
  <c r="AF96" i="8"/>
  <c r="AN96" i="8"/>
  <c r="AV96" i="8"/>
  <c r="AQ96" i="8"/>
  <c r="AR96" i="8"/>
  <c r="AY96" i="8"/>
  <c r="AI96" i="8"/>
  <c r="AJ96" i="8"/>
  <c r="AG92" i="8"/>
  <c r="AK92" i="8"/>
  <c r="AO92" i="8"/>
  <c r="AS92" i="8"/>
  <c r="AW92" i="8"/>
  <c r="AD92" i="8"/>
  <c r="AH92" i="8"/>
  <c r="AL92" i="8"/>
  <c r="AP92" i="8"/>
  <c r="AT92" i="8"/>
  <c r="AX92" i="8"/>
  <c r="AE92" i="8"/>
  <c r="AM92" i="8"/>
  <c r="AU92" i="8"/>
  <c r="AF92" i="8"/>
  <c r="AN92" i="8"/>
  <c r="AV92" i="8"/>
  <c r="AI92" i="8"/>
  <c r="AY92" i="8"/>
  <c r="AJ92" i="8"/>
  <c r="AQ92" i="8"/>
  <c r="AR92" i="8"/>
  <c r="AG88" i="8"/>
  <c r="AK88" i="8"/>
  <c r="AO88" i="8"/>
  <c r="AS88" i="8"/>
  <c r="AW88" i="8"/>
  <c r="AD88" i="8"/>
  <c r="AH88" i="8"/>
  <c r="AL88" i="8"/>
  <c r="AP88" i="8"/>
  <c r="AT88" i="8"/>
  <c r="AX88" i="8"/>
  <c r="AE88" i="8"/>
  <c r="AM88" i="8"/>
  <c r="AU88" i="8"/>
  <c r="AF88" i="8"/>
  <c r="AN88" i="8"/>
  <c r="AV88" i="8"/>
  <c r="AQ88" i="8"/>
  <c r="AR88" i="8"/>
  <c r="AI88" i="8"/>
  <c r="AJ88" i="8"/>
  <c r="AY88" i="8"/>
  <c r="AF84" i="8"/>
  <c r="AG84" i="8"/>
  <c r="AK84" i="8"/>
  <c r="AO84" i="8"/>
  <c r="AS84" i="8"/>
  <c r="AW84" i="8"/>
  <c r="AH84" i="8"/>
  <c r="AL84" i="8"/>
  <c r="AP84" i="8"/>
  <c r="AT84" i="8"/>
  <c r="AX84" i="8"/>
  <c r="AD84" i="8"/>
  <c r="AM84" i="8"/>
  <c r="AU84" i="8"/>
  <c r="AE84" i="8"/>
  <c r="AN84" i="8"/>
  <c r="AV84" i="8"/>
  <c r="AI84" i="8"/>
  <c r="AY84" i="8"/>
  <c r="AJ84" i="8"/>
  <c r="AQ84" i="8"/>
  <c r="AR84" i="8"/>
  <c r="AF80" i="8"/>
  <c r="AJ80" i="8"/>
  <c r="AN80" i="8"/>
  <c r="AR80" i="8"/>
  <c r="AV80" i="8"/>
  <c r="AD80" i="8"/>
  <c r="AI80" i="8"/>
  <c r="AO80" i="8"/>
  <c r="AT80" i="8"/>
  <c r="AY80" i="8"/>
  <c r="AE80" i="8"/>
  <c r="AK80" i="8"/>
  <c r="AP80" i="8"/>
  <c r="AU80" i="8"/>
  <c r="AG80" i="8"/>
  <c r="AQ80" i="8"/>
  <c r="AH80" i="8"/>
  <c r="AS80" i="8"/>
  <c r="AL80" i="8"/>
  <c r="AM80" i="8"/>
  <c r="AW80" i="8"/>
  <c r="AX80" i="8"/>
  <c r="AF76" i="8"/>
  <c r="AJ76" i="8"/>
  <c r="AN76" i="8"/>
  <c r="AR76" i="8"/>
  <c r="AV76" i="8"/>
  <c r="AG76" i="8"/>
  <c r="AL76" i="8"/>
  <c r="AQ76" i="8"/>
  <c r="AW76" i="8"/>
  <c r="AH76" i="8"/>
  <c r="AM76" i="8"/>
  <c r="AS76" i="8"/>
  <c r="AX76" i="8"/>
  <c r="AI76" i="8"/>
  <c r="AT76" i="8"/>
  <c r="AK76" i="8"/>
  <c r="AU76" i="8"/>
  <c r="AO76" i="8"/>
  <c r="AP76" i="8"/>
  <c r="AD76" i="8"/>
  <c r="AE76" i="8"/>
  <c r="AY76" i="8"/>
  <c r="AF72" i="8"/>
  <c r="AJ72" i="8"/>
  <c r="AN72" i="8"/>
  <c r="AR72" i="8"/>
  <c r="AV72" i="8"/>
  <c r="AD72" i="8"/>
  <c r="AI72" i="8"/>
  <c r="AO72" i="8"/>
  <c r="AT72" i="8"/>
  <c r="AY72" i="8"/>
  <c r="AE72" i="8"/>
  <c r="AK72" i="8"/>
  <c r="AP72" i="8"/>
  <c r="AU72" i="8"/>
  <c r="AL72" i="8"/>
  <c r="AW72" i="8"/>
  <c r="AM72" i="8"/>
  <c r="AX72" i="8"/>
  <c r="AQ72" i="8"/>
  <c r="AS72" i="8"/>
  <c r="AG72" i="8"/>
  <c r="AH72" i="8"/>
  <c r="AF68" i="8"/>
  <c r="AJ68" i="8"/>
  <c r="AN68" i="8"/>
  <c r="AR68" i="8"/>
  <c r="AV68" i="8"/>
  <c r="AG68" i="8"/>
  <c r="AL68" i="8"/>
  <c r="AQ68" i="8"/>
  <c r="AW68" i="8"/>
  <c r="AH68" i="8"/>
  <c r="AM68" i="8"/>
  <c r="AS68" i="8"/>
  <c r="AX68" i="8"/>
  <c r="AD68" i="8"/>
  <c r="AO68" i="8"/>
  <c r="AY68" i="8"/>
  <c r="AE68" i="8"/>
  <c r="AP68" i="8"/>
  <c r="AT68" i="8"/>
  <c r="AU68" i="8"/>
  <c r="AI68" i="8"/>
  <c r="AK68" i="8"/>
  <c r="AF64" i="8"/>
  <c r="AJ64" i="8"/>
  <c r="AN64" i="8"/>
  <c r="AR64" i="8"/>
  <c r="AV64" i="8"/>
  <c r="AG64" i="8"/>
  <c r="AK64" i="8"/>
  <c r="AO64" i="8"/>
  <c r="AS64" i="8"/>
  <c r="AW64" i="8"/>
  <c r="AH64" i="8"/>
  <c r="AP64" i="8"/>
  <c r="AX64" i="8"/>
  <c r="AI64" i="8"/>
  <c r="AQ64" i="8"/>
  <c r="AY64" i="8"/>
  <c r="AL64" i="8"/>
  <c r="AM64" i="8"/>
  <c r="AD64" i="8"/>
  <c r="AE64" i="8"/>
  <c r="AT64" i="8"/>
  <c r="AU64" i="8"/>
  <c r="AF60" i="8"/>
  <c r="AJ60" i="8"/>
  <c r="AN60" i="8"/>
  <c r="AR60" i="8"/>
  <c r="AV60" i="8"/>
  <c r="AG60" i="8"/>
  <c r="AK60" i="8"/>
  <c r="AO60" i="8"/>
  <c r="AS60" i="8"/>
  <c r="AW60" i="8"/>
  <c r="AH60" i="8"/>
  <c r="AP60" i="8"/>
  <c r="AX60" i="8"/>
  <c r="AI60" i="8"/>
  <c r="AQ60" i="8"/>
  <c r="AY60" i="8"/>
  <c r="AD60" i="8"/>
  <c r="AT60" i="8"/>
  <c r="AE60" i="8"/>
  <c r="AU60" i="8"/>
  <c r="AL60" i="8"/>
  <c r="AM60" i="8"/>
  <c r="AF56" i="8"/>
  <c r="AJ56" i="8"/>
  <c r="AN56" i="8"/>
  <c r="AR56" i="8"/>
  <c r="AV56" i="8"/>
  <c r="AG56" i="8"/>
  <c r="AK56" i="8"/>
  <c r="AO56" i="8"/>
  <c r="AS56" i="8"/>
  <c r="AW56" i="8"/>
  <c r="AH56" i="8"/>
  <c r="AP56" i="8"/>
  <c r="AX56" i="8"/>
  <c r="AI56" i="8"/>
  <c r="AQ56" i="8"/>
  <c r="AY56" i="8"/>
  <c r="AL56" i="8"/>
  <c r="AM56" i="8"/>
  <c r="AT56" i="8"/>
  <c r="AU56" i="8"/>
  <c r="AD56" i="8"/>
  <c r="AE56" i="8"/>
  <c r="AF52" i="8"/>
  <c r="AE52" i="8"/>
  <c r="AJ52" i="8"/>
  <c r="AN52" i="8"/>
  <c r="AR52" i="8"/>
  <c r="AV52" i="8"/>
  <c r="AG52" i="8"/>
  <c r="AK52" i="8"/>
  <c r="AO52" i="8"/>
  <c r="AS52" i="8"/>
  <c r="AW52" i="8"/>
  <c r="AH52" i="8"/>
  <c r="AP52" i="8"/>
  <c r="AX52" i="8"/>
  <c r="AI52" i="8"/>
  <c r="AQ52" i="8"/>
  <c r="AY52" i="8"/>
  <c r="AT52" i="8"/>
  <c r="AD52" i="8"/>
  <c r="AU52" i="8"/>
  <c r="AL52" i="8"/>
  <c r="AM52" i="8"/>
  <c r="AF48" i="8"/>
  <c r="AJ48" i="8"/>
  <c r="AN48" i="8"/>
  <c r="AR48" i="8"/>
  <c r="AV48" i="8"/>
  <c r="AH48" i="8"/>
  <c r="AM48" i="8"/>
  <c r="AS48" i="8"/>
  <c r="AX48" i="8"/>
  <c r="AD48" i="8"/>
  <c r="AI48" i="8"/>
  <c r="AO48" i="8"/>
  <c r="AT48" i="8"/>
  <c r="AY48" i="8"/>
  <c r="AK48" i="8"/>
  <c r="AU48" i="8"/>
  <c r="AL48" i="8"/>
  <c r="AW48" i="8"/>
  <c r="AE48" i="8"/>
  <c r="AG48" i="8"/>
  <c r="AP48" i="8"/>
  <c r="AQ48" i="8"/>
  <c r="AF44" i="8"/>
  <c r="AJ44" i="8"/>
  <c r="AN44" i="8"/>
  <c r="AR44" i="8"/>
  <c r="AV44" i="8"/>
  <c r="AG44" i="8"/>
  <c r="AK44" i="8"/>
  <c r="AO44" i="8"/>
  <c r="AS44" i="8"/>
  <c r="AW44" i="8"/>
  <c r="AD44" i="8"/>
  <c r="AL44" i="8"/>
  <c r="AT44" i="8"/>
  <c r="AE44" i="8"/>
  <c r="AM44" i="8"/>
  <c r="AU44" i="8"/>
  <c r="AH44" i="8"/>
  <c r="AX44" i="8"/>
  <c r="AI44" i="8"/>
  <c r="AY44" i="8"/>
  <c r="AP44" i="8"/>
  <c r="AQ44" i="8"/>
  <c r="AF40" i="8"/>
  <c r="AJ40" i="8"/>
  <c r="AN40" i="8"/>
  <c r="AR40" i="8"/>
  <c r="AV40" i="8"/>
  <c r="AG40" i="8"/>
  <c r="AK40" i="8"/>
  <c r="AO40" i="8"/>
  <c r="AS40" i="8"/>
  <c r="AW40" i="8"/>
  <c r="AD40" i="8"/>
  <c r="AL40" i="8"/>
  <c r="AT40" i="8"/>
  <c r="AE40" i="8"/>
  <c r="AM40" i="8"/>
  <c r="AU40" i="8"/>
  <c r="AP40" i="8"/>
  <c r="AQ40" i="8"/>
  <c r="AX40" i="8"/>
  <c r="AY40" i="8"/>
  <c r="AH40" i="8"/>
  <c r="AI40" i="8"/>
  <c r="AF36" i="8"/>
  <c r="AJ36" i="8"/>
  <c r="AN36" i="8"/>
  <c r="AR36" i="8"/>
  <c r="AV36" i="8"/>
  <c r="AG36" i="8"/>
  <c r="AK36" i="8"/>
  <c r="AO36" i="8"/>
  <c r="AS36" i="8"/>
  <c r="AW36" i="8"/>
  <c r="AD36" i="8"/>
  <c r="AL36" i="8"/>
  <c r="AT36" i="8"/>
  <c r="AE36" i="8"/>
  <c r="AM36" i="8"/>
  <c r="AU36" i="8"/>
  <c r="AH36" i="8"/>
  <c r="AX36" i="8"/>
  <c r="AI36" i="8"/>
  <c r="AY36" i="8"/>
  <c r="AP36" i="8"/>
  <c r="AQ36" i="8"/>
  <c r="AF32" i="8"/>
  <c r="AJ32" i="8"/>
  <c r="AN32" i="8"/>
  <c r="AR32" i="8"/>
  <c r="AV32" i="8"/>
  <c r="AG32" i="8"/>
  <c r="AK32" i="8"/>
  <c r="AO32" i="8"/>
  <c r="AS32" i="8"/>
  <c r="AW32" i="8"/>
  <c r="AD32" i="8"/>
  <c r="AL32" i="8"/>
  <c r="AT32" i="8"/>
  <c r="AE32" i="8"/>
  <c r="AM32" i="8"/>
  <c r="AU32" i="8"/>
  <c r="AP32" i="8"/>
  <c r="AQ32" i="8"/>
  <c r="AH32" i="8"/>
  <c r="AI32" i="8"/>
  <c r="AX32" i="8"/>
  <c r="AY32" i="8"/>
  <c r="AD28" i="8"/>
  <c r="AH28" i="8"/>
  <c r="AL28" i="8"/>
  <c r="AP28" i="8"/>
  <c r="AT28" i="8"/>
  <c r="AX28" i="8"/>
  <c r="AE28" i="8"/>
  <c r="AI28" i="8"/>
  <c r="AM28" i="8"/>
  <c r="AQ28" i="8"/>
  <c r="AU28" i="8"/>
  <c r="AY28" i="8"/>
  <c r="AJ28" i="8"/>
  <c r="AR28" i="8"/>
  <c r="AK28" i="8"/>
  <c r="AS28" i="8"/>
  <c r="AN28" i="8"/>
  <c r="AO28" i="8"/>
  <c r="AV28" i="8"/>
  <c r="AW28" i="8"/>
  <c r="AF28" i="8"/>
  <c r="AG28" i="8"/>
  <c r="AD24" i="8"/>
  <c r="AH24" i="8"/>
  <c r="AL24" i="8"/>
  <c r="AP24" i="8"/>
  <c r="AT24" i="8"/>
  <c r="AX24" i="8"/>
  <c r="AE24" i="8"/>
  <c r="AI24" i="8"/>
  <c r="AM24" i="8"/>
  <c r="AQ24" i="8"/>
  <c r="AU24" i="8"/>
  <c r="AY24" i="8"/>
  <c r="AJ24" i="8"/>
  <c r="AR24" i="8"/>
  <c r="AK24" i="8"/>
  <c r="AS24" i="8"/>
  <c r="AF24" i="8"/>
  <c r="AV24" i="8"/>
  <c r="AG24" i="8"/>
  <c r="AW24" i="8"/>
  <c r="AN24" i="8"/>
  <c r="AO24" i="8"/>
  <c r="AD20" i="8"/>
  <c r="AH20" i="8"/>
  <c r="AL20" i="8"/>
  <c r="AP20" i="8"/>
  <c r="AT20" i="8"/>
  <c r="AX20" i="8"/>
  <c r="AE20" i="8"/>
  <c r="AI20" i="8"/>
  <c r="AM20" i="8"/>
  <c r="AQ20" i="8"/>
  <c r="AU20" i="8"/>
  <c r="AY20" i="8"/>
  <c r="AJ20" i="8"/>
  <c r="AR20" i="8"/>
  <c r="AK20" i="8"/>
  <c r="AS20" i="8"/>
  <c r="AN20" i="8"/>
  <c r="AO20" i="8"/>
  <c r="AF20" i="8"/>
  <c r="AG20" i="8"/>
  <c r="AV20" i="8"/>
  <c r="AW20" i="8"/>
  <c r="AE16" i="8"/>
  <c r="AI16" i="8"/>
  <c r="AM16" i="8"/>
  <c r="AQ16" i="8"/>
  <c r="AU16" i="8"/>
  <c r="AY16" i="8"/>
  <c r="AF16" i="8"/>
  <c r="AJ16" i="8"/>
  <c r="AN16" i="8"/>
  <c r="AR16" i="8"/>
  <c r="AV16" i="8"/>
  <c r="AH16" i="8"/>
  <c r="AP16" i="8"/>
  <c r="AX16" i="8"/>
  <c r="AK16" i="8"/>
  <c r="AS16" i="8"/>
  <c r="AD16" i="8"/>
  <c r="AT16" i="8"/>
  <c r="AG16" i="8"/>
  <c r="AW16" i="8"/>
  <c r="AL16" i="8"/>
  <c r="AO16" i="8"/>
  <c r="AE12" i="8"/>
  <c r="AI12" i="8"/>
  <c r="AM12" i="8"/>
  <c r="AQ12" i="8"/>
  <c r="AU12" i="8"/>
  <c r="AY12" i="8"/>
  <c r="AF12" i="8"/>
  <c r="AJ12" i="8"/>
  <c r="AN12" i="8"/>
  <c r="AR12" i="8"/>
  <c r="AV12" i="8"/>
  <c r="AH12" i="8"/>
  <c r="AP12" i="8"/>
  <c r="AX12" i="8"/>
  <c r="AK12" i="8"/>
  <c r="AS12" i="8"/>
  <c r="AL12" i="8"/>
  <c r="AO12" i="8"/>
  <c r="AT12" i="8"/>
  <c r="AW12" i="8"/>
  <c r="AD12" i="8"/>
  <c r="AG12" i="8"/>
  <c r="AD8" i="8"/>
  <c r="AH8" i="8"/>
  <c r="AL8" i="8"/>
  <c r="AP8" i="8"/>
  <c r="AT8" i="8"/>
  <c r="AX8" i="8"/>
  <c r="AE8" i="8"/>
  <c r="AI8" i="8"/>
  <c r="AM8" i="8"/>
  <c r="AQ8" i="8"/>
  <c r="AU8" i="8"/>
  <c r="AY8" i="8"/>
  <c r="AF8" i="8"/>
  <c r="AJ8" i="8"/>
  <c r="AN8" i="8"/>
  <c r="AR8" i="8"/>
  <c r="AV8" i="8"/>
  <c r="AO8" i="8"/>
  <c r="AS8" i="8"/>
  <c r="AW8" i="8"/>
  <c r="AG8" i="8"/>
  <c r="AK8" i="8"/>
  <c r="AD4" i="8"/>
  <c r="AH4" i="8"/>
  <c r="AL4" i="8"/>
  <c r="AP4" i="8"/>
  <c r="AT4" i="8"/>
  <c r="AX4" i="8"/>
  <c r="AE4" i="8"/>
  <c r="AI4" i="8"/>
  <c r="AM4" i="8"/>
  <c r="AQ4" i="8"/>
  <c r="AU4" i="8"/>
  <c r="AY4" i="8"/>
  <c r="AF4" i="8"/>
  <c r="AJ4" i="8"/>
  <c r="AN4" i="8"/>
  <c r="AR4" i="8"/>
  <c r="AV4" i="8"/>
  <c r="AG4" i="8"/>
  <c r="AW4" i="8"/>
  <c r="AK4" i="8"/>
  <c r="AO4" i="8"/>
  <c r="AS4" i="8"/>
  <c r="Z517" i="8"/>
  <c r="AA517" i="8" s="1"/>
  <c r="AD517" i="8" s="1"/>
  <c r="Z513" i="8"/>
  <c r="AA513" i="8" s="1"/>
  <c r="AD513" i="8" s="1"/>
  <c r="Z509" i="8"/>
  <c r="AA509" i="8" s="1"/>
  <c r="AD509" i="8" s="1"/>
  <c r="Z505" i="8"/>
  <c r="AA505" i="8" s="1"/>
  <c r="AV505" i="8" s="1"/>
  <c r="Z501" i="8"/>
  <c r="AA501" i="8" s="1"/>
  <c r="AJ501" i="8" s="1"/>
  <c r="Z497" i="8"/>
  <c r="AA497" i="8" s="1"/>
  <c r="AD497" i="8" s="1"/>
  <c r="Z493" i="8"/>
  <c r="AA493" i="8" s="1"/>
  <c r="Z489" i="8"/>
  <c r="AA489" i="8" s="1"/>
  <c r="AD489" i="8" s="1"/>
  <c r="Z485" i="8"/>
  <c r="AA485" i="8" s="1"/>
  <c r="AJ485" i="8" s="1"/>
  <c r="Z481" i="8"/>
  <c r="AA481" i="8" s="1"/>
  <c r="AD481" i="8" s="1"/>
  <c r="Z477" i="8"/>
  <c r="AA477" i="8" s="1"/>
  <c r="AD477" i="8" s="1"/>
  <c r="Z473" i="8"/>
  <c r="AA473" i="8" s="1"/>
  <c r="AV473" i="8" s="1"/>
  <c r="Z469" i="8"/>
  <c r="AA469" i="8" s="1"/>
  <c r="AO469" i="8" s="1"/>
  <c r="Z465" i="8"/>
  <c r="AA465" i="8" s="1"/>
  <c r="AJ465" i="8" s="1"/>
  <c r="Z461" i="8"/>
  <c r="AA461" i="8" s="1"/>
  <c r="AF461" i="8" s="1"/>
  <c r="Z457" i="8"/>
  <c r="AA457" i="8" s="1"/>
  <c r="AH457" i="8" s="1"/>
  <c r="Z453" i="8"/>
  <c r="AA453" i="8" s="1"/>
  <c r="AF453" i="8" s="1"/>
  <c r="Z449" i="8"/>
  <c r="AA449" i="8" s="1"/>
  <c r="AK449" i="8" s="1"/>
  <c r="Z445" i="8"/>
  <c r="AA445" i="8" s="1"/>
  <c r="AR445" i="8" s="1"/>
  <c r="Z441" i="8"/>
  <c r="AA441" i="8" s="1"/>
  <c r="AX441" i="8" s="1"/>
  <c r="Z437" i="8"/>
  <c r="AA437" i="8" s="1"/>
  <c r="AJ437" i="8" s="1"/>
  <c r="Z433" i="8"/>
  <c r="AA433" i="8" s="1"/>
  <c r="AF433" i="8" s="1"/>
  <c r="Z429" i="8"/>
  <c r="AA429" i="8" s="1"/>
  <c r="AH429" i="8" s="1"/>
  <c r="Z425" i="8"/>
  <c r="AA425" i="8" s="1"/>
  <c r="AO425" i="8" s="1"/>
  <c r="Z421" i="8"/>
  <c r="AA421" i="8" s="1"/>
  <c r="AJ421" i="8" s="1"/>
  <c r="Z417" i="8"/>
  <c r="AA417" i="8" s="1"/>
  <c r="AR417" i="8" s="1"/>
  <c r="Z413" i="8"/>
  <c r="AA413" i="8" s="1"/>
  <c r="AF413" i="8" s="1"/>
  <c r="Z409" i="8"/>
  <c r="AA409" i="8" s="1"/>
  <c r="AD409" i="8" s="1"/>
  <c r="Z405" i="8"/>
  <c r="AA405" i="8" s="1"/>
  <c r="AG405" i="8" s="1"/>
  <c r="Z401" i="8"/>
  <c r="AA401" i="8" s="1"/>
  <c r="AR401" i="8" s="1"/>
  <c r="Z397" i="8"/>
  <c r="AA397" i="8" s="1"/>
  <c r="AL397" i="8" s="1"/>
  <c r="Z393" i="8"/>
  <c r="AA393" i="8" s="1"/>
  <c r="AD393" i="8" s="1"/>
  <c r="Z389" i="8"/>
  <c r="AA389" i="8" s="1"/>
  <c r="AQ389" i="8" s="1"/>
  <c r="Z385" i="8"/>
  <c r="AA385" i="8" s="1"/>
  <c r="AI385" i="8" s="1"/>
  <c r="Z381" i="8"/>
  <c r="AA381" i="8" s="1"/>
  <c r="AW381" i="8" s="1"/>
  <c r="Z377" i="8"/>
  <c r="AA377" i="8" s="1"/>
  <c r="AN377" i="8" s="1"/>
  <c r="Z373" i="8"/>
  <c r="AA373" i="8" s="1"/>
  <c r="AQ373" i="8" s="1"/>
  <c r="Z369" i="8"/>
  <c r="AA369" i="8" s="1"/>
  <c r="AD369" i="8" s="1"/>
  <c r="Z365" i="8"/>
  <c r="AA365" i="8" s="1"/>
  <c r="AL365" i="8" s="1"/>
  <c r="Z361" i="8"/>
  <c r="AA361" i="8" s="1"/>
  <c r="AF361" i="8" s="1"/>
  <c r="Z357" i="8"/>
  <c r="AA357" i="8" s="1"/>
  <c r="AG357" i="8" s="1"/>
  <c r="Z353" i="8"/>
  <c r="AA353" i="8" s="1"/>
  <c r="AJ353" i="8" s="1"/>
  <c r="Z341" i="8"/>
  <c r="AA341" i="8" s="1"/>
  <c r="AD341" i="8" s="1"/>
  <c r="Z337" i="8"/>
  <c r="AA337" i="8" s="1"/>
  <c r="AQ337" i="8" s="1"/>
  <c r="Z333" i="8"/>
  <c r="AA333" i="8" s="1"/>
  <c r="AJ333" i="8" s="1"/>
  <c r="Z329" i="8"/>
  <c r="AA329" i="8" s="1"/>
  <c r="AF329" i="8" s="1"/>
  <c r="Z325" i="8"/>
  <c r="AA325" i="8" s="1"/>
  <c r="AD325" i="8" s="1"/>
  <c r="Z321" i="8"/>
  <c r="AA321" i="8" s="1"/>
  <c r="AF321" i="8" s="1"/>
  <c r="Z317" i="8"/>
  <c r="AA317" i="8" s="1"/>
  <c r="AI317" i="8" s="1"/>
  <c r="Z313" i="8"/>
  <c r="AA313" i="8" s="1"/>
  <c r="Z309" i="8"/>
  <c r="AA309" i="8" s="1"/>
  <c r="AO309" i="8" s="1"/>
  <c r="Z305" i="8"/>
  <c r="AA305" i="8" s="1"/>
  <c r="AF305" i="8" s="1"/>
  <c r="Z293" i="8"/>
  <c r="AA293" i="8" s="1"/>
  <c r="AP293" i="8" s="1"/>
  <c r="Z289" i="8"/>
  <c r="AA289" i="8" s="1"/>
  <c r="AH289" i="8" s="1"/>
  <c r="Z285" i="8"/>
  <c r="AA285" i="8" s="1"/>
  <c r="AQ285" i="8" s="1"/>
  <c r="Z281" i="8"/>
  <c r="AA281" i="8" s="1"/>
  <c r="AQ281" i="8" s="1"/>
  <c r="Z265" i="8"/>
  <c r="AA265" i="8" s="1"/>
  <c r="AI265" i="8" s="1"/>
  <c r="Z237" i="8"/>
  <c r="AA237" i="8" s="1"/>
  <c r="AS237" i="8" s="1"/>
  <c r="Z213" i="8"/>
  <c r="AA213" i="8" s="1"/>
  <c r="AK213" i="8" s="1"/>
  <c r="Z185" i="8"/>
  <c r="AA185" i="8" s="1"/>
  <c r="AR185" i="8" s="1"/>
  <c r="Z133" i="8"/>
  <c r="AA133" i="8" s="1"/>
  <c r="AI133" i="8" s="1"/>
  <c r="AE3" i="8"/>
  <c r="AI3" i="8"/>
  <c r="AM3" i="8"/>
  <c r="AQ3" i="8"/>
  <c r="AU3" i="8"/>
  <c r="AY3" i="8"/>
  <c r="AV519" i="8"/>
  <c r="AF519" i="8"/>
  <c r="AX518" i="8"/>
  <c r="AT518" i="8"/>
  <c r="AP518" i="8"/>
  <c r="AL518" i="8"/>
  <c r="AH518" i="8"/>
  <c r="AD518" i="8"/>
  <c r="AR517" i="8"/>
  <c r="AN517" i="8"/>
  <c r="AX516" i="8"/>
  <c r="AT516" i="8"/>
  <c r="AP516" i="8"/>
  <c r="AL516" i="8"/>
  <c r="AH516" i="8"/>
  <c r="AD516" i="8"/>
  <c r="AN515" i="8"/>
  <c r="AX514" i="8"/>
  <c r="AT514" i="8"/>
  <c r="AP514" i="8"/>
  <c r="AL514" i="8"/>
  <c r="AH514" i="8"/>
  <c r="AD514" i="8"/>
  <c r="AV513" i="8"/>
  <c r="AR513" i="8"/>
  <c r="AN513" i="8"/>
  <c r="AJ513" i="8"/>
  <c r="AF513" i="8"/>
  <c r="AX512" i="8"/>
  <c r="AT512" i="8"/>
  <c r="AP512" i="8"/>
  <c r="AL512" i="8"/>
  <c r="AH512" i="8"/>
  <c r="AD512" i="8"/>
  <c r="AV511" i="8"/>
  <c r="AF511" i="8"/>
  <c r="AX510" i="8"/>
  <c r="AT510" i="8"/>
  <c r="AP510" i="8"/>
  <c r="AL510" i="8"/>
  <c r="AH510" i="8"/>
  <c r="AD510" i="8"/>
  <c r="AV509" i="8"/>
  <c r="AR509" i="8"/>
  <c r="AN509" i="8"/>
  <c r="AJ509" i="8"/>
  <c r="AF509" i="8"/>
  <c r="AX508" i="8"/>
  <c r="AT508" i="8"/>
  <c r="AP508" i="8"/>
  <c r="AL508" i="8"/>
  <c r="AH508" i="8"/>
  <c r="AD508" i="8"/>
  <c r="AX506" i="8"/>
  <c r="AT506" i="8"/>
  <c r="AP506" i="8"/>
  <c r="AL506" i="8"/>
  <c r="AH506" i="8"/>
  <c r="AD506" i="8"/>
  <c r="AJ505" i="8"/>
  <c r="AX504" i="8"/>
  <c r="AT504" i="8"/>
  <c r="AP504" i="8"/>
  <c r="AL504" i="8"/>
  <c r="AH504" i="8"/>
  <c r="AD504" i="8"/>
  <c r="AV503" i="8"/>
  <c r="AF503" i="8"/>
  <c r="AX502" i="8"/>
  <c r="AT502" i="8"/>
  <c r="AP502" i="8"/>
  <c r="AL502" i="8"/>
  <c r="AH502" i="8"/>
  <c r="AD502" i="8"/>
  <c r="AR501" i="8"/>
  <c r="AN501" i="8"/>
  <c r="AX500" i="8"/>
  <c r="AT500" i="8"/>
  <c r="AP500" i="8"/>
  <c r="AL500" i="8"/>
  <c r="AH500" i="8"/>
  <c r="AD500" i="8"/>
  <c r="AN499" i="8"/>
  <c r="AX498" i="8"/>
  <c r="AT498" i="8"/>
  <c r="AP498" i="8"/>
  <c r="AL498" i="8"/>
  <c r="AH498" i="8"/>
  <c r="AD498" i="8"/>
  <c r="AV497" i="8"/>
  <c r="AR497" i="8"/>
  <c r="AN497" i="8"/>
  <c r="AJ497" i="8"/>
  <c r="AF497" i="8"/>
  <c r="AX496" i="8"/>
  <c r="AT496" i="8"/>
  <c r="AP496" i="8"/>
  <c r="AL496" i="8"/>
  <c r="AH496" i="8"/>
  <c r="AD496" i="8"/>
  <c r="AV495" i="8"/>
  <c r="AF495" i="8"/>
  <c r="AX494" i="8"/>
  <c r="AT494" i="8"/>
  <c r="AP494" i="8"/>
  <c r="AL494" i="8"/>
  <c r="AH494" i="8"/>
  <c r="AD494" i="8"/>
  <c r="AV493" i="8"/>
  <c r="AR493" i="8"/>
  <c r="AN493" i="8"/>
  <c r="AJ493" i="8"/>
  <c r="AF493" i="8"/>
  <c r="AX492" i="8"/>
  <c r="AT492" i="8"/>
  <c r="AP492" i="8"/>
  <c r="AL492" i="8"/>
  <c r="AH492" i="8"/>
  <c r="AD492" i="8"/>
  <c r="AX490" i="8"/>
  <c r="AT490" i="8"/>
  <c r="AP490" i="8"/>
  <c r="AL490" i="8"/>
  <c r="AH490" i="8"/>
  <c r="AD490" i="8"/>
  <c r="AJ489" i="8"/>
  <c r="AX488" i="8"/>
  <c r="AT488" i="8"/>
  <c r="AP488" i="8"/>
  <c r="AL488" i="8"/>
  <c r="AH488" i="8"/>
  <c r="AD488" i="8"/>
  <c r="AV487" i="8"/>
  <c r="AF487" i="8"/>
  <c r="AX486" i="8"/>
  <c r="AT486" i="8"/>
  <c r="AP486" i="8"/>
  <c r="AL486" i="8"/>
  <c r="AH486" i="8"/>
  <c r="AD486" i="8"/>
  <c r="AR485" i="8"/>
  <c r="AN485" i="8"/>
  <c r="AX484" i="8"/>
  <c r="AT484" i="8"/>
  <c r="AP484" i="8"/>
  <c r="AL484" i="8"/>
  <c r="AH484" i="8"/>
  <c r="AD484" i="8"/>
  <c r="AN483" i="8"/>
  <c r="AX482" i="8"/>
  <c r="AT482" i="8"/>
  <c r="AP482" i="8"/>
  <c r="AL482" i="8"/>
  <c r="AH482" i="8"/>
  <c r="AD482" i="8"/>
  <c r="AV481" i="8"/>
  <c r="AR481" i="8"/>
  <c r="AN481" i="8"/>
  <c r="AJ481" i="8"/>
  <c r="AF481" i="8"/>
  <c r="AX480" i="8"/>
  <c r="AT480" i="8"/>
  <c r="AP480" i="8"/>
  <c r="AL480" i="8"/>
  <c r="AH480" i="8"/>
  <c r="AD480" i="8"/>
  <c r="AV479" i="8"/>
  <c r="AF479" i="8"/>
  <c r="AX478" i="8"/>
  <c r="AT478" i="8"/>
  <c r="AP478" i="8"/>
  <c r="AL478" i="8"/>
  <c r="AH478" i="8"/>
  <c r="AD478" i="8"/>
  <c r="AV477" i="8"/>
  <c r="AR477" i="8"/>
  <c r="AN477" i="8"/>
  <c r="AJ477" i="8"/>
  <c r="AF477" i="8"/>
  <c r="AX476" i="8"/>
  <c r="AT476" i="8"/>
  <c r="AP476" i="8"/>
  <c r="AL476" i="8"/>
  <c r="AH476" i="8"/>
  <c r="AD476" i="8"/>
  <c r="AX474" i="8"/>
  <c r="AT474" i="8"/>
  <c r="AP474" i="8"/>
  <c r="AL474" i="8"/>
  <c r="AH474" i="8"/>
  <c r="AD474" i="8"/>
  <c r="AJ473" i="8"/>
  <c r="AX472" i="8"/>
  <c r="AT472" i="8"/>
  <c r="AP472" i="8"/>
  <c r="AL472" i="8"/>
  <c r="AH472" i="8"/>
  <c r="AD472" i="8"/>
  <c r="AV471" i="8"/>
  <c r="AF471" i="8"/>
  <c r="AX470" i="8"/>
  <c r="AT470" i="8"/>
  <c r="AP470" i="8"/>
  <c r="AL470" i="8"/>
  <c r="AH470" i="8"/>
  <c r="AD470" i="8"/>
  <c r="AR469" i="8"/>
  <c r="AN469" i="8"/>
  <c r="AX468" i="8"/>
  <c r="AT468" i="8"/>
  <c r="AP468" i="8"/>
  <c r="AL468" i="8"/>
  <c r="AH468" i="8"/>
  <c r="AD468" i="8"/>
  <c r="AN467" i="8"/>
  <c r="AR466" i="8"/>
  <c r="AJ466" i="8"/>
  <c r="AX465" i="8"/>
  <c r="AP465" i="8"/>
  <c r="AV464" i="8"/>
  <c r="AN464" i="8"/>
  <c r="AF464" i="8"/>
  <c r="AD463" i="8"/>
  <c r="AR462" i="8"/>
  <c r="AJ462" i="8"/>
  <c r="AX461" i="8"/>
  <c r="AP461" i="8"/>
  <c r="AH461" i="8"/>
  <c r="AV460" i="8"/>
  <c r="AN460" i="8"/>
  <c r="AF460" i="8"/>
  <c r="AR458" i="8"/>
  <c r="AJ458" i="8"/>
  <c r="AV456" i="8"/>
  <c r="AN456" i="8"/>
  <c r="AF456" i="8"/>
  <c r="AR454" i="8"/>
  <c r="AJ454" i="8"/>
  <c r="AH453" i="8"/>
  <c r="AV452" i="8"/>
  <c r="AN452" i="8"/>
  <c r="AF452" i="8"/>
  <c r="AT451" i="8"/>
  <c r="AR450" i="8"/>
  <c r="AJ450" i="8"/>
  <c r="AX449" i="8"/>
  <c r="AP449" i="8"/>
  <c r="AH449" i="8"/>
  <c r="AV448" i="8"/>
  <c r="AN448" i="8"/>
  <c r="AF448" i="8"/>
  <c r="AL447" i="8"/>
  <c r="AR446" i="8"/>
  <c r="AJ446" i="8"/>
  <c r="AX445" i="8"/>
  <c r="AP445" i="8"/>
  <c r="AV444" i="8"/>
  <c r="AN444" i="8"/>
  <c r="AF444" i="8"/>
  <c r="AR442" i="8"/>
  <c r="AJ442" i="8"/>
  <c r="AV440" i="8"/>
  <c r="AN440" i="8"/>
  <c r="AF440" i="8"/>
  <c r="AL439" i="8"/>
  <c r="AR438" i="8"/>
  <c r="AJ438" i="8"/>
  <c r="AP437" i="8"/>
  <c r="AV436" i="8"/>
  <c r="AN436" i="8"/>
  <c r="AF436" i="8"/>
  <c r="AT435" i="8"/>
  <c r="AR434" i="8"/>
  <c r="AJ434" i="8"/>
  <c r="AX433" i="8"/>
  <c r="AP433" i="8"/>
  <c r="AH433" i="8"/>
  <c r="AV432" i="8"/>
  <c r="AN432" i="8"/>
  <c r="AF432" i="8"/>
  <c r="AL431" i="8"/>
  <c r="AR430" i="8"/>
  <c r="AJ430" i="8"/>
  <c r="AX429" i="8"/>
  <c r="AP429" i="8"/>
  <c r="AV428" i="8"/>
  <c r="AN428" i="8"/>
  <c r="AF428" i="8"/>
  <c r="AR426" i="8"/>
  <c r="AJ426" i="8"/>
  <c r="AV424" i="8"/>
  <c r="AN424" i="8"/>
  <c r="AF424" i="8"/>
  <c r="AL423" i="8"/>
  <c r="AR422" i="8"/>
  <c r="AJ422" i="8"/>
  <c r="AP421" i="8"/>
  <c r="AH421" i="8"/>
  <c r="AV420" i="8"/>
  <c r="AN420" i="8"/>
  <c r="AF420" i="8"/>
  <c r="AR418" i="8"/>
  <c r="AJ418" i="8"/>
  <c r="AX417" i="8"/>
  <c r="AP417" i="8"/>
  <c r="AV416" i="8"/>
  <c r="AN416" i="8"/>
  <c r="AF416" i="8"/>
  <c r="AL415" i="8"/>
  <c r="AR414" i="8"/>
  <c r="AJ414" i="8"/>
  <c r="AX413" i="8"/>
  <c r="AP413" i="8"/>
  <c r="AH413" i="8"/>
  <c r="AV412" i="8"/>
  <c r="AN412" i="8"/>
  <c r="AF412" i="8"/>
  <c r="AR410" i="8"/>
  <c r="AJ410" i="8"/>
  <c r="AW408" i="8"/>
  <c r="AM408" i="8"/>
  <c r="AY406" i="8"/>
  <c r="AN406" i="8"/>
  <c r="AY405" i="8"/>
  <c r="AO405" i="8"/>
  <c r="AO404" i="8"/>
  <c r="AE404" i="8"/>
  <c r="AQ402" i="8"/>
  <c r="AF402" i="8"/>
  <c r="AQ401" i="8"/>
  <c r="AG401" i="8"/>
  <c r="AR400" i="8"/>
  <c r="AG400" i="8"/>
  <c r="AS398" i="8"/>
  <c r="AI398" i="8"/>
  <c r="AT397" i="8"/>
  <c r="AU396" i="8"/>
  <c r="AG396" i="8"/>
  <c r="AI394" i="8"/>
  <c r="AJ392" i="8"/>
  <c r="AK390" i="8"/>
  <c r="AM388" i="8"/>
  <c r="AN386" i="8"/>
  <c r="AO385" i="8"/>
  <c r="AO384" i="8"/>
  <c r="AQ382" i="8"/>
  <c r="AR380" i="8"/>
  <c r="AS378" i="8"/>
  <c r="AU376" i="8"/>
  <c r="AV374" i="8"/>
  <c r="AW373" i="8"/>
  <c r="AW372" i="8"/>
  <c r="AY370" i="8"/>
  <c r="AY369" i="8"/>
  <c r="AE368" i="8"/>
  <c r="AF366" i="8"/>
  <c r="AG365" i="8"/>
  <c r="AG364" i="8"/>
  <c r="AI362" i="8"/>
  <c r="AJ360" i="8"/>
  <c r="AK359" i="8"/>
  <c r="AK358" i="8"/>
  <c r="AM356" i="8"/>
  <c r="AN354" i="8"/>
  <c r="AO353" i="8"/>
  <c r="AO352" i="8"/>
  <c r="AS350" i="8"/>
  <c r="AU348" i="8"/>
  <c r="AV346" i="8"/>
  <c r="AW344" i="8"/>
  <c r="AY342" i="8"/>
  <c r="AL329" i="8"/>
  <c r="AO325" i="8"/>
  <c r="AT317" i="8"/>
  <c r="AY309" i="8"/>
  <c r="AF252" i="8"/>
  <c r="AG465" i="8"/>
  <c r="AK465" i="8"/>
  <c r="AO465" i="8"/>
  <c r="AS465" i="8"/>
  <c r="AW465" i="8"/>
  <c r="AE465" i="8"/>
  <c r="AI465" i="8"/>
  <c r="AM465" i="8"/>
  <c r="AQ465" i="8"/>
  <c r="AU465" i="8"/>
  <c r="AY465" i="8"/>
  <c r="AK457" i="8"/>
  <c r="AE457" i="8"/>
  <c r="AU457" i="8"/>
  <c r="AG445" i="8"/>
  <c r="AK445" i="8"/>
  <c r="AO445" i="8"/>
  <c r="AS445" i="8"/>
  <c r="AW445" i="8"/>
  <c r="AE445" i="8"/>
  <c r="AI445" i="8"/>
  <c r="AM445" i="8"/>
  <c r="AQ445" i="8"/>
  <c r="AU445" i="8"/>
  <c r="AY445" i="8"/>
  <c r="AG437" i="8"/>
  <c r="AS437" i="8"/>
  <c r="AW437" i="8"/>
  <c r="AM437" i="8"/>
  <c r="AQ437" i="8"/>
  <c r="AG429" i="8"/>
  <c r="AK429" i="8"/>
  <c r="AO429" i="8"/>
  <c r="AS429" i="8"/>
  <c r="AW429" i="8"/>
  <c r="AE429" i="8"/>
  <c r="AI429" i="8"/>
  <c r="AM429" i="8"/>
  <c r="AQ429" i="8"/>
  <c r="AU429" i="8"/>
  <c r="AY429" i="8"/>
  <c r="AG417" i="8"/>
  <c r="AK417" i="8"/>
  <c r="AO417" i="8"/>
  <c r="AS417" i="8"/>
  <c r="AW417" i="8"/>
  <c r="AE417" i="8"/>
  <c r="AI417" i="8"/>
  <c r="AM417" i="8"/>
  <c r="AQ417" i="8"/>
  <c r="AU417" i="8"/>
  <c r="AY417" i="8"/>
  <c r="AN409" i="8"/>
  <c r="AK409" i="8"/>
  <c r="AM409" i="8"/>
  <c r="AF397" i="8"/>
  <c r="AJ397" i="8"/>
  <c r="AN397" i="8"/>
  <c r="AR397" i="8"/>
  <c r="AV397" i="8"/>
  <c r="AH397" i="8"/>
  <c r="AM397" i="8"/>
  <c r="AS397" i="8"/>
  <c r="AX397" i="8"/>
  <c r="AE397" i="8"/>
  <c r="AK397" i="8"/>
  <c r="AP397" i="8"/>
  <c r="AU397" i="8"/>
  <c r="AF389" i="8"/>
  <c r="AJ389" i="8"/>
  <c r="AV389" i="8"/>
  <c r="AH389" i="8"/>
  <c r="AX389" i="8"/>
  <c r="AD389" i="8"/>
  <c r="AT389" i="8"/>
  <c r="AY389" i="8"/>
  <c r="AP389" i="8"/>
  <c r="AU389" i="8"/>
  <c r="AF381" i="8"/>
  <c r="AJ381" i="8"/>
  <c r="AN381" i="8"/>
  <c r="AR381" i="8"/>
  <c r="AV381" i="8"/>
  <c r="AH381" i="8"/>
  <c r="AM381" i="8"/>
  <c r="AS381" i="8"/>
  <c r="AX381" i="8"/>
  <c r="AD381" i="8"/>
  <c r="AI381" i="8"/>
  <c r="AO381" i="8"/>
  <c r="AT381" i="8"/>
  <c r="AY381" i="8"/>
  <c r="AE381" i="8"/>
  <c r="AK381" i="8"/>
  <c r="AP381" i="8"/>
  <c r="AU381" i="8"/>
  <c r="AF369" i="8"/>
  <c r="AJ369" i="8"/>
  <c r="AN369" i="8"/>
  <c r="AR369" i="8"/>
  <c r="AV369" i="8"/>
  <c r="AE369" i="8"/>
  <c r="AK369" i="8"/>
  <c r="AP369" i="8"/>
  <c r="AU369" i="8"/>
  <c r="AG369" i="8"/>
  <c r="AL369" i="8"/>
  <c r="AQ369" i="8"/>
  <c r="AW369" i="8"/>
  <c r="AH369" i="8"/>
  <c r="AM369" i="8"/>
  <c r="AS369" i="8"/>
  <c r="AX369" i="8"/>
  <c r="AR361" i="8"/>
  <c r="AP361" i="8"/>
  <c r="AQ361" i="8"/>
  <c r="AS361" i="8"/>
  <c r="AF349" i="8"/>
  <c r="AJ349" i="8"/>
  <c r="AN349" i="8"/>
  <c r="AR349" i="8"/>
  <c r="AV349" i="8"/>
  <c r="AH349" i="8"/>
  <c r="AM349" i="8"/>
  <c r="AS349" i="8"/>
  <c r="AX349" i="8"/>
  <c r="AE349" i="8"/>
  <c r="AK349" i="8"/>
  <c r="AP349" i="8"/>
  <c r="AU349" i="8"/>
  <c r="AL349" i="8"/>
  <c r="AW349" i="8"/>
  <c r="AD349" i="8"/>
  <c r="AO349" i="8"/>
  <c r="AY349" i="8"/>
  <c r="AG349" i="8"/>
  <c r="AQ349" i="8"/>
  <c r="AF341" i="8"/>
  <c r="AJ341" i="8"/>
  <c r="AN341" i="8"/>
  <c r="AR341" i="8"/>
  <c r="AV341" i="8"/>
  <c r="AH341" i="8"/>
  <c r="AM341" i="8"/>
  <c r="AS341" i="8"/>
  <c r="AX341" i="8"/>
  <c r="AE341" i="8"/>
  <c r="AK341" i="8"/>
  <c r="AP341" i="8"/>
  <c r="AU341" i="8"/>
  <c r="AG341" i="8"/>
  <c r="AQ341" i="8"/>
  <c r="AI341" i="8"/>
  <c r="AT341" i="8"/>
  <c r="AL341" i="8"/>
  <c r="AW341" i="8"/>
  <c r="AF333" i="8"/>
  <c r="AR333" i="8"/>
  <c r="AV333" i="8"/>
  <c r="AS333" i="8"/>
  <c r="AX333" i="8"/>
  <c r="AP333" i="8"/>
  <c r="AU333" i="8"/>
  <c r="AD333" i="8"/>
  <c r="AO333" i="8"/>
  <c r="AQ333" i="8"/>
  <c r="AR321" i="8"/>
  <c r="AP321" i="8"/>
  <c r="AS321" i="8"/>
  <c r="AL321" i="8"/>
  <c r="AY321" i="8"/>
  <c r="AF313" i="8"/>
  <c r="AJ313" i="8"/>
  <c r="AN313" i="8"/>
  <c r="AR313" i="8"/>
  <c r="AV313" i="8"/>
  <c r="AE313" i="8"/>
  <c r="AK313" i="8"/>
  <c r="AP313" i="8"/>
  <c r="AU313" i="8"/>
  <c r="AH313" i="8"/>
  <c r="AM313" i="8"/>
  <c r="AS313" i="8"/>
  <c r="AX313" i="8"/>
  <c r="AD313" i="8"/>
  <c r="AO313" i="8"/>
  <c r="AY313" i="8"/>
  <c r="AG313" i="8"/>
  <c r="AQ313" i="8"/>
  <c r="AI313" i="8"/>
  <c r="AT313" i="8"/>
  <c r="AE297" i="8"/>
  <c r="AI297" i="8"/>
  <c r="AF297" i="8"/>
  <c r="AJ297" i="8"/>
  <c r="AN297" i="8"/>
  <c r="AR297" i="8"/>
  <c r="AV297" i="8"/>
  <c r="AK297" i="8"/>
  <c r="AP297" i="8"/>
  <c r="AU297" i="8"/>
  <c r="AD297" i="8"/>
  <c r="AL297" i="8"/>
  <c r="AQ297" i="8"/>
  <c r="AW297" i="8"/>
  <c r="AG297" i="8"/>
  <c r="AM297" i="8"/>
  <c r="AS297" i="8"/>
  <c r="AX297" i="8"/>
  <c r="AY297" i="8"/>
  <c r="AH297" i="8"/>
  <c r="AO297" i="8"/>
  <c r="AE289" i="8"/>
  <c r="AI289" i="8"/>
  <c r="AM289" i="8"/>
  <c r="AQ289" i="8"/>
  <c r="AU289" i="8"/>
  <c r="AY289" i="8"/>
  <c r="AF289" i="8"/>
  <c r="AJ289" i="8"/>
  <c r="AN289" i="8"/>
  <c r="AR289" i="8"/>
  <c r="AV289" i="8"/>
  <c r="AK289" i="8"/>
  <c r="AS289" i="8"/>
  <c r="AD289" i="8"/>
  <c r="AL289" i="8"/>
  <c r="AT289" i="8"/>
  <c r="AG289" i="8"/>
  <c r="AO289" i="8"/>
  <c r="AW289" i="8"/>
  <c r="AP289" i="8"/>
  <c r="AX289" i="8"/>
  <c r="AE277" i="8"/>
  <c r="AI277" i="8"/>
  <c r="AM277" i="8"/>
  <c r="AQ277" i="8"/>
  <c r="AU277" i="8"/>
  <c r="AY277" i="8"/>
  <c r="AF277" i="8"/>
  <c r="AJ277" i="8"/>
  <c r="AN277" i="8"/>
  <c r="AR277" i="8"/>
  <c r="AV277" i="8"/>
  <c r="AG277" i="8"/>
  <c r="AO277" i="8"/>
  <c r="AW277" i="8"/>
  <c r="AK277" i="8"/>
  <c r="AS277" i="8"/>
  <c r="AD277" i="8"/>
  <c r="AT277" i="8"/>
  <c r="AH277" i="8"/>
  <c r="AX277" i="8"/>
  <c r="AL277" i="8"/>
  <c r="AP277" i="8"/>
  <c r="AE273" i="8"/>
  <c r="AI273" i="8"/>
  <c r="AM273" i="8"/>
  <c r="AQ273" i="8"/>
  <c r="AU273" i="8"/>
  <c r="AY273" i="8"/>
  <c r="AF273" i="8"/>
  <c r="AJ273" i="8"/>
  <c r="AN273" i="8"/>
  <c r="AR273" i="8"/>
  <c r="AV273" i="8"/>
  <c r="AG273" i="8"/>
  <c r="AO273" i="8"/>
  <c r="AW273" i="8"/>
  <c r="AK273" i="8"/>
  <c r="AS273" i="8"/>
  <c r="AL273" i="8"/>
  <c r="AP273" i="8"/>
  <c r="AD273" i="8"/>
  <c r="AT273" i="8"/>
  <c r="AH273" i="8"/>
  <c r="AX273" i="8"/>
  <c r="AE257" i="8"/>
  <c r="AI257" i="8"/>
  <c r="AM257" i="8"/>
  <c r="AQ257" i="8"/>
  <c r="AU257" i="8"/>
  <c r="AY257" i="8"/>
  <c r="AF257" i="8"/>
  <c r="AJ257" i="8"/>
  <c r="AN257" i="8"/>
  <c r="AR257" i="8"/>
  <c r="AV257" i="8"/>
  <c r="AG257" i="8"/>
  <c r="AO257" i="8"/>
  <c r="AW257" i="8"/>
  <c r="AK257" i="8"/>
  <c r="AS257" i="8"/>
  <c r="AL257" i="8"/>
  <c r="AP257" i="8"/>
  <c r="AD257" i="8"/>
  <c r="AT257" i="8"/>
  <c r="AH257" i="8"/>
  <c r="AG249" i="8"/>
  <c r="AK249" i="8"/>
  <c r="AO249" i="8"/>
  <c r="AS249" i="8"/>
  <c r="AW249" i="8"/>
  <c r="AD249" i="8"/>
  <c r="AI249" i="8"/>
  <c r="AN249" i="8"/>
  <c r="AT249" i="8"/>
  <c r="AY249" i="8"/>
  <c r="AE249" i="8"/>
  <c r="AJ249" i="8"/>
  <c r="AP249" i="8"/>
  <c r="AU249" i="8"/>
  <c r="AF249" i="8"/>
  <c r="AQ249" i="8"/>
  <c r="AL249" i="8"/>
  <c r="AV249" i="8"/>
  <c r="AX249" i="8"/>
  <c r="AH249" i="8"/>
  <c r="AM249" i="8"/>
  <c r="AR249" i="8"/>
  <c r="AG241" i="8"/>
  <c r="AK241" i="8"/>
  <c r="AO241" i="8"/>
  <c r="AS241" i="8"/>
  <c r="AW241" i="8"/>
  <c r="AD241" i="8"/>
  <c r="AI241" i="8"/>
  <c r="AN241" i="8"/>
  <c r="AT241" i="8"/>
  <c r="AY241" i="8"/>
  <c r="AE241" i="8"/>
  <c r="AJ241" i="8"/>
  <c r="AP241" i="8"/>
  <c r="AU241" i="8"/>
  <c r="AL241" i="8"/>
  <c r="AV241" i="8"/>
  <c r="AM241" i="8"/>
  <c r="AX241" i="8"/>
  <c r="AH241" i="8"/>
  <c r="AQ241" i="8"/>
  <c r="AR241" i="8"/>
  <c r="AF241" i="8"/>
  <c r="AG229" i="8"/>
  <c r="AK229" i="8"/>
  <c r="AO229" i="8"/>
  <c r="AS229" i="8"/>
  <c r="AW229" i="8"/>
  <c r="AF229" i="8"/>
  <c r="AL229" i="8"/>
  <c r="AQ229" i="8"/>
  <c r="AV229" i="8"/>
  <c r="AH229" i="8"/>
  <c r="AM229" i="8"/>
  <c r="AR229" i="8"/>
  <c r="AX229" i="8"/>
  <c r="AI229" i="8"/>
  <c r="AT229" i="8"/>
  <c r="AJ229" i="8"/>
  <c r="AU229" i="8"/>
  <c r="AP229" i="8"/>
  <c r="AD229" i="8"/>
  <c r="AY229" i="8"/>
  <c r="AE229" i="8"/>
  <c r="AN229" i="8"/>
  <c r="AG221" i="8"/>
  <c r="AK221" i="8"/>
  <c r="AO221" i="8"/>
  <c r="AS221" i="8"/>
  <c r="AW221" i="8"/>
  <c r="AF221" i="8"/>
  <c r="AL221" i="8"/>
  <c r="AQ221" i="8"/>
  <c r="AV221" i="8"/>
  <c r="AH221" i="8"/>
  <c r="AM221" i="8"/>
  <c r="AR221" i="8"/>
  <c r="AX221" i="8"/>
  <c r="AD221" i="8"/>
  <c r="AN221" i="8"/>
  <c r="AY221" i="8"/>
  <c r="AE221" i="8"/>
  <c r="AP221" i="8"/>
  <c r="AU221" i="8"/>
  <c r="AI221" i="8"/>
  <c r="AJ221" i="8"/>
  <c r="AT221" i="8"/>
  <c r="AG209" i="8"/>
  <c r="AK209" i="8"/>
  <c r="AO209" i="8"/>
  <c r="AS209" i="8"/>
  <c r="AW209" i="8"/>
  <c r="AD209" i="8"/>
  <c r="AI209" i="8"/>
  <c r="AN209" i="8"/>
  <c r="AT209" i="8"/>
  <c r="AY209" i="8"/>
  <c r="AE209" i="8"/>
  <c r="AJ209" i="8"/>
  <c r="AP209" i="8"/>
  <c r="AU209" i="8"/>
  <c r="AL209" i="8"/>
  <c r="AV209" i="8"/>
  <c r="AM209" i="8"/>
  <c r="AX209" i="8"/>
  <c r="AH209" i="8"/>
  <c r="AQ209" i="8"/>
  <c r="AR209" i="8"/>
  <c r="AF209" i="8"/>
  <c r="AG201" i="8"/>
  <c r="AK201" i="8"/>
  <c r="AO201" i="8"/>
  <c r="AS201" i="8"/>
  <c r="AW201" i="8"/>
  <c r="AD201" i="8"/>
  <c r="AI201" i="8"/>
  <c r="AN201" i="8"/>
  <c r="AT201" i="8"/>
  <c r="AY201" i="8"/>
  <c r="AE201" i="8"/>
  <c r="AJ201" i="8"/>
  <c r="AP201" i="8"/>
  <c r="AU201" i="8"/>
  <c r="AF201" i="8"/>
  <c r="AQ201" i="8"/>
  <c r="AH201" i="8"/>
  <c r="AR201" i="8"/>
  <c r="AM201" i="8"/>
  <c r="AV201" i="8"/>
  <c r="AX201" i="8"/>
  <c r="AL201" i="8"/>
  <c r="AG193" i="8"/>
  <c r="AK193" i="8"/>
  <c r="AO193" i="8"/>
  <c r="AS193" i="8"/>
  <c r="AW193" i="8"/>
  <c r="AD193" i="8"/>
  <c r="AI193" i="8"/>
  <c r="AN193" i="8"/>
  <c r="AT193" i="8"/>
  <c r="AY193" i="8"/>
  <c r="AE193" i="8"/>
  <c r="AJ193" i="8"/>
  <c r="AP193" i="8"/>
  <c r="AU193" i="8"/>
  <c r="AL193" i="8"/>
  <c r="AV193" i="8"/>
  <c r="AM193" i="8"/>
  <c r="AX193" i="8"/>
  <c r="AR193" i="8"/>
  <c r="AF193" i="8"/>
  <c r="AH193" i="8"/>
  <c r="AQ193" i="8"/>
  <c r="AF181" i="8"/>
  <c r="AJ181" i="8"/>
  <c r="AN181" i="8"/>
  <c r="AR181" i="8"/>
  <c r="AV181" i="8"/>
  <c r="AH181" i="8"/>
  <c r="AM181" i="8"/>
  <c r="AS181" i="8"/>
  <c r="AX181" i="8"/>
  <c r="AD181" i="8"/>
  <c r="AI181" i="8"/>
  <c r="AO181" i="8"/>
  <c r="AT181" i="8"/>
  <c r="AY181" i="8"/>
  <c r="AK181" i="8"/>
  <c r="AU181" i="8"/>
  <c r="AL181" i="8"/>
  <c r="AW181" i="8"/>
  <c r="AP181" i="8"/>
  <c r="AQ181" i="8"/>
  <c r="AE181" i="8"/>
  <c r="AG181" i="8"/>
  <c r="AF173" i="8"/>
  <c r="AJ173" i="8"/>
  <c r="AN173" i="8"/>
  <c r="AR173" i="8"/>
  <c r="AV173" i="8"/>
  <c r="AH173" i="8"/>
  <c r="AM173" i="8"/>
  <c r="AS173" i="8"/>
  <c r="AX173" i="8"/>
  <c r="AD173" i="8"/>
  <c r="AI173" i="8"/>
  <c r="AO173" i="8"/>
  <c r="AT173" i="8"/>
  <c r="AY173" i="8"/>
  <c r="AE173" i="8"/>
  <c r="AP173" i="8"/>
  <c r="AG173" i="8"/>
  <c r="AQ173" i="8"/>
  <c r="AU173" i="8"/>
  <c r="AW173" i="8"/>
  <c r="AK173" i="8"/>
  <c r="AL173" i="8"/>
  <c r="AF165" i="8"/>
  <c r="AJ165" i="8"/>
  <c r="AN165" i="8"/>
  <c r="AR165" i="8"/>
  <c r="AV165" i="8"/>
  <c r="AH165" i="8"/>
  <c r="AM165" i="8"/>
  <c r="AS165" i="8"/>
  <c r="AX165" i="8"/>
  <c r="AD165" i="8"/>
  <c r="AI165" i="8"/>
  <c r="AO165" i="8"/>
  <c r="AT165" i="8"/>
  <c r="AY165" i="8"/>
  <c r="AK165" i="8"/>
  <c r="AU165" i="8"/>
  <c r="AL165" i="8"/>
  <c r="AW165" i="8"/>
  <c r="AE165" i="8"/>
  <c r="AG165" i="8"/>
  <c r="AP165" i="8"/>
  <c r="AQ165" i="8"/>
  <c r="AF157" i="8"/>
  <c r="AJ157" i="8"/>
  <c r="AN157" i="8"/>
  <c r="AR157" i="8"/>
  <c r="AV157" i="8"/>
  <c r="AH157" i="8"/>
  <c r="AM157" i="8"/>
  <c r="AS157" i="8"/>
  <c r="AX157" i="8"/>
  <c r="AD157" i="8"/>
  <c r="AI157" i="8"/>
  <c r="AO157" i="8"/>
  <c r="AT157" i="8"/>
  <c r="AY157" i="8"/>
  <c r="AE157" i="8"/>
  <c r="AP157" i="8"/>
  <c r="AG157" i="8"/>
  <c r="AQ157" i="8"/>
  <c r="AK157" i="8"/>
  <c r="AL157" i="8"/>
  <c r="AU157" i="8"/>
  <c r="AW157" i="8"/>
  <c r="AE145" i="8"/>
  <c r="AI145" i="8"/>
  <c r="AM145" i="8"/>
  <c r="AQ145" i="8"/>
  <c r="AU145" i="8"/>
  <c r="AY145" i="8"/>
  <c r="AF145" i="8"/>
  <c r="AJ145" i="8"/>
  <c r="AN145" i="8"/>
  <c r="AR145" i="8"/>
  <c r="AV145" i="8"/>
  <c r="AK145" i="8"/>
  <c r="AS145" i="8"/>
  <c r="AD145" i="8"/>
  <c r="AL145" i="8"/>
  <c r="AT145" i="8"/>
  <c r="AO145" i="8"/>
  <c r="AP145" i="8"/>
  <c r="AG145" i="8"/>
  <c r="AH145" i="8"/>
  <c r="AW145" i="8"/>
  <c r="AX145" i="8"/>
  <c r="AE137" i="8"/>
  <c r="AI137" i="8"/>
  <c r="AM137" i="8"/>
  <c r="AQ137" i="8"/>
  <c r="AU137" i="8"/>
  <c r="AY137" i="8"/>
  <c r="AF137" i="8"/>
  <c r="AJ137" i="8"/>
  <c r="AN137" i="8"/>
  <c r="AR137" i="8"/>
  <c r="AV137" i="8"/>
  <c r="AK137" i="8"/>
  <c r="AS137" i="8"/>
  <c r="AD137" i="8"/>
  <c r="AL137" i="8"/>
  <c r="AT137" i="8"/>
  <c r="AO137" i="8"/>
  <c r="AP137" i="8"/>
  <c r="AW137" i="8"/>
  <c r="AX137" i="8"/>
  <c r="AG137" i="8"/>
  <c r="AH137" i="8"/>
  <c r="AE129" i="8"/>
  <c r="AI129" i="8"/>
  <c r="AM129" i="8"/>
  <c r="AQ129" i="8"/>
  <c r="AU129" i="8"/>
  <c r="AY129" i="8"/>
  <c r="AF129" i="8"/>
  <c r="AJ129" i="8"/>
  <c r="AN129" i="8"/>
  <c r="AR129" i="8"/>
  <c r="AV129" i="8"/>
  <c r="AK129" i="8"/>
  <c r="AS129" i="8"/>
  <c r="AD129" i="8"/>
  <c r="AL129" i="8"/>
  <c r="AT129" i="8"/>
  <c r="AO129" i="8"/>
  <c r="AP129" i="8"/>
  <c r="AG129" i="8"/>
  <c r="AH129" i="8"/>
  <c r="AW129" i="8"/>
  <c r="AX129" i="8"/>
  <c r="AE121" i="8"/>
  <c r="AI121" i="8"/>
  <c r="AM121" i="8"/>
  <c r="AQ121" i="8"/>
  <c r="AU121" i="8"/>
  <c r="AY121" i="8"/>
  <c r="AF121" i="8"/>
  <c r="AJ121" i="8"/>
  <c r="AN121" i="8"/>
  <c r="AR121" i="8"/>
  <c r="AV121" i="8"/>
  <c r="AK121" i="8"/>
  <c r="AS121" i="8"/>
  <c r="AD121" i="8"/>
  <c r="AL121" i="8"/>
  <c r="AT121" i="8"/>
  <c r="AO121" i="8"/>
  <c r="AP121" i="8"/>
  <c r="AW121" i="8"/>
  <c r="AX121" i="8"/>
  <c r="AG121" i="8"/>
  <c r="AH121" i="8"/>
  <c r="AF113" i="8"/>
  <c r="AJ113" i="8"/>
  <c r="AN113" i="8"/>
  <c r="AR113" i="8"/>
  <c r="AV113" i="8"/>
  <c r="AD113" i="8"/>
  <c r="AI113" i="8"/>
  <c r="AO113" i="8"/>
  <c r="AT113" i="8"/>
  <c r="AY113" i="8"/>
  <c r="AE113" i="8"/>
  <c r="AK113" i="8"/>
  <c r="AP113" i="8"/>
  <c r="AU113" i="8"/>
  <c r="AL113" i="8"/>
  <c r="AW113" i="8"/>
  <c r="AM113" i="8"/>
  <c r="AX113" i="8"/>
  <c r="AG113" i="8"/>
  <c r="AH113" i="8"/>
  <c r="AQ113" i="8"/>
  <c r="AS113" i="8"/>
  <c r="AE105" i="8"/>
  <c r="AI105" i="8"/>
  <c r="AM105" i="8"/>
  <c r="AQ105" i="8"/>
  <c r="AU105" i="8"/>
  <c r="AY105" i="8"/>
  <c r="AF105" i="8"/>
  <c r="AJ105" i="8"/>
  <c r="AN105" i="8"/>
  <c r="AR105" i="8"/>
  <c r="AV105" i="8"/>
  <c r="AG105" i="8"/>
  <c r="AO105" i="8"/>
  <c r="AW105" i="8"/>
  <c r="AH105" i="8"/>
  <c r="AP105" i="8"/>
  <c r="AX105" i="8"/>
  <c r="AK105" i="8"/>
  <c r="AL105" i="8"/>
  <c r="AS105" i="8"/>
  <c r="AT105" i="8"/>
  <c r="AD105" i="8"/>
  <c r="AE97" i="8"/>
  <c r="AI97" i="8"/>
  <c r="AM97" i="8"/>
  <c r="AQ97" i="8"/>
  <c r="AU97" i="8"/>
  <c r="AY97" i="8"/>
  <c r="AF97" i="8"/>
  <c r="AJ97" i="8"/>
  <c r="AN97" i="8"/>
  <c r="AR97" i="8"/>
  <c r="AV97" i="8"/>
  <c r="AG97" i="8"/>
  <c r="AO97" i="8"/>
  <c r="AW97" i="8"/>
  <c r="AH97" i="8"/>
  <c r="AP97" i="8"/>
  <c r="AX97" i="8"/>
  <c r="AK97" i="8"/>
  <c r="AL97" i="8"/>
  <c r="AD97" i="8"/>
  <c r="AS97" i="8"/>
  <c r="AT97" i="8"/>
  <c r="AE85" i="8"/>
  <c r="AI85" i="8"/>
  <c r="AM85" i="8"/>
  <c r="AQ85" i="8"/>
  <c r="AU85" i="8"/>
  <c r="AY85" i="8"/>
  <c r="AF85" i="8"/>
  <c r="AJ85" i="8"/>
  <c r="AN85" i="8"/>
  <c r="AR85" i="8"/>
  <c r="AV85" i="8"/>
  <c r="AG85" i="8"/>
  <c r="AO85" i="8"/>
  <c r="AW85" i="8"/>
  <c r="AH85" i="8"/>
  <c r="AP85" i="8"/>
  <c r="AX85" i="8"/>
  <c r="AS85" i="8"/>
  <c r="AD85" i="8"/>
  <c r="AT85" i="8"/>
  <c r="AK85" i="8"/>
  <c r="AL85" i="8"/>
  <c r="AD77" i="8"/>
  <c r="AH77" i="8"/>
  <c r="AL77" i="8"/>
  <c r="AP77" i="8"/>
  <c r="AT77" i="8"/>
  <c r="AX77" i="8"/>
  <c r="AF77" i="8"/>
  <c r="AK77" i="8"/>
  <c r="AQ77" i="8"/>
  <c r="AV77" i="8"/>
  <c r="AG77" i="8"/>
  <c r="AM77" i="8"/>
  <c r="AR77" i="8"/>
  <c r="AW77" i="8"/>
  <c r="AI77" i="8"/>
  <c r="AS77" i="8"/>
  <c r="AJ77" i="8"/>
  <c r="AU77" i="8"/>
  <c r="AN77" i="8"/>
  <c r="AO77" i="8"/>
  <c r="AY77" i="8"/>
  <c r="AE77" i="8"/>
  <c r="AD69" i="8"/>
  <c r="AH69" i="8"/>
  <c r="AL69" i="8"/>
  <c r="AP69" i="8"/>
  <c r="AT69" i="8"/>
  <c r="AX69" i="8"/>
  <c r="AF69" i="8"/>
  <c r="AK69" i="8"/>
  <c r="AQ69" i="8"/>
  <c r="AV69" i="8"/>
  <c r="AG69" i="8"/>
  <c r="AM69" i="8"/>
  <c r="AR69" i="8"/>
  <c r="AW69" i="8"/>
  <c r="AN69" i="8"/>
  <c r="AY69" i="8"/>
  <c r="AE69" i="8"/>
  <c r="AO69" i="8"/>
  <c r="AS69" i="8"/>
  <c r="AU69" i="8"/>
  <c r="AI69" i="8"/>
  <c r="AJ69" i="8"/>
  <c r="AD61" i="8"/>
  <c r="AH61" i="8"/>
  <c r="AL61" i="8"/>
  <c r="AP61" i="8"/>
  <c r="AT61" i="8"/>
  <c r="AX61" i="8"/>
  <c r="AE61" i="8"/>
  <c r="AI61" i="8"/>
  <c r="AM61" i="8"/>
  <c r="AQ61" i="8"/>
  <c r="AU61" i="8"/>
  <c r="AY61" i="8"/>
  <c r="AJ61" i="8"/>
  <c r="AR61" i="8"/>
  <c r="AK61" i="8"/>
  <c r="AS61" i="8"/>
  <c r="AN61" i="8"/>
  <c r="AO61" i="8"/>
  <c r="AF61" i="8"/>
  <c r="AG61" i="8"/>
  <c r="AV61" i="8"/>
  <c r="AW61" i="8"/>
  <c r="AD53" i="8"/>
  <c r="AH53" i="8"/>
  <c r="AL53" i="8"/>
  <c r="AP53" i="8"/>
  <c r="AT53" i="8"/>
  <c r="AX53" i="8"/>
  <c r="AE53" i="8"/>
  <c r="AI53" i="8"/>
  <c r="AM53" i="8"/>
  <c r="AQ53" i="8"/>
  <c r="AU53" i="8"/>
  <c r="AY53" i="8"/>
  <c r="AJ53" i="8"/>
  <c r="AR53" i="8"/>
  <c r="AK53" i="8"/>
  <c r="AS53" i="8"/>
  <c r="AN53" i="8"/>
  <c r="AO53" i="8"/>
  <c r="AV53" i="8"/>
  <c r="AW53" i="8"/>
  <c r="AF53" i="8"/>
  <c r="AG53" i="8"/>
  <c r="AD45" i="8"/>
  <c r="AH45" i="8"/>
  <c r="AL45" i="8"/>
  <c r="AP45" i="8"/>
  <c r="AT45" i="8"/>
  <c r="AX45" i="8"/>
  <c r="AE45" i="8"/>
  <c r="AI45" i="8"/>
  <c r="AM45" i="8"/>
  <c r="AQ45" i="8"/>
  <c r="AU45" i="8"/>
  <c r="AY45" i="8"/>
  <c r="AF45" i="8"/>
  <c r="AN45" i="8"/>
  <c r="AV45" i="8"/>
  <c r="AG45" i="8"/>
  <c r="AO45" i="8"/>
  <c r="AW45" i="8"/>
  <c r="AR45" i="8"/>
  <c r="AS45" i="8"/>
  <c r="AJ45" i="8"/>
  <c r="AK45" i="8"/>
  <c r="AD37" i="8"/>
  <c r="AH37" i="8"/>
  <c r="AL37" i="8"/>
  <c r="AP37" i="8"/>
  <c r="AT37" i="8"/>
  <c r="AX37" i="8"/>
  <c r="AE37" i="8"/>
  <c r="AI37" i="8"/>
  <c r="AM37" i="8"/>
  <c r="AQ37" i="8"/>
  <c r="AU37" i="8"/>
  <c r="AY37" i="8"/>
  <c r="AF37" i="8"/>
  <c r="AN37" i="8"/>
  <c r="AV37" i="8"/>
  <c r="AG37" i="8"/>
  <c r="AO37" i="8"/>
  <c r="AW37" i="8"/>
  <c r="AR37" i="8"/>
  <c r="AS37" i="8"/>
  <c r="AJ37" i="8"/>
  <c r="AK37" i="8"/>
  <c r="AF25" i="8"/>
  <c r="AJ25" i="8"/>
  <c r="AN25" i="8"/>
  <c r="AR25" i="8"/>
  <c r="AV25" i="8"/>
  <c r="AG25" i="8"/>
  <c r="AK25" i="8"/>
  <c r="AO25" i="8"/>
  <c r="AS25" i="8"/>
  <c r="AW25" i="8"/>
  <c r="AD25" i="8"/>
  <c r="AL25" i="8"/>
  <c r="AT25" i="8"/>
  <c r="AE25" i="8"/>
  <c r="AM25" i="8"/>
  <c r="AU25" i="8"/>
  <c r="AP25" i="8"/>
  <c r="AQ25" i="8"/>
  <c r="AX25" i="8"/>
  <c r="AY25" i="8"/>
  <c r="AH25" i="8"/>
  <c r="AI25" i="8"/>
  <c r="AW505" i="8"/>
  <c r="AW497" i="8"/>
  <c r="AO497" i="8"/>
  <c r="AG497" i="8"/>
  <c r="AW477" i="8"/>
  <c r="AO477" i="8"/>
  <c r="AK477" i="8"/>
  <c r="AO473" i="8"/>
  <c r="AJ461" i="8"/>
  <c r="AJ453" i="8"/>
  <c r="AR449" i="8"/>
  <c r="AJ449" i="8"/>
  <c r="AO455" i="8"/>
  <c r="AI455" i="8"/>
  <c r="AY455" i="8"/>
  <c r="AS447" i="8"/>
  <c r="AM447" i="8"/>
  <c r="AG439" i="8"/>
  <c r="AW439" i="8"/>
  <c r="AQ439" i="8"/>
  <c r="AK431" i="8"/>
  <c r="AE431" i="8"/>
  <c r="AU431" i="8"/>
  <c r="AO423" i="8"/>
  <c r="AI423" i="8"/>
  <c r="AY423" i="8"/>
  <c r="AS415" i="8"/>
  <c r="AM415" i="8"/>
  <c r="AF407" i="8"/>
  <c r="AV407" i="8"/>
  <c r="AW407" i="8"/>
  <c r="AT407" i="8"/>
  <c r="AN399" i="8"/>
  <c r="AL399" i="8"/>
  <c r="AI399" i="8"/>
  <c r="AF391" i="8"/>
  <c r="AV391" i="8"/>
  <c r="AW391" i="8"/>
  <c r="AX391" i="8"/>
  <c r="AT391" i="8"/>
  <c r="AN383" i="8"/>
  <c r="AL383" i="8"/>
  <c r="AM383" i="8"/>
  <c r="AI383" i="8"/>
  <c r="AF375" i="8"/>
  <c r="AV375" i="8"/>
  <c r="AW375" i="8"/>
  <c r="AX375" i="8"/>
  <c r="AT375" i="8"/>
  <c r="AF355" i="8"/>
  <c r="AV355" i="8"/>
  <c r="AT355" i="8"/>
  <c r="AP355" i="8"/>
  <c r="AQ355" i="8"/>
  <c r="AN339" i="8"/>
  <c r="AI339" i="8"/>
  <c r="AG339" i="8"/>
  <c r="AH339" i="8"/>
  <c r="AM339" i="8"/>
  <c r="AN327" i="8"/>
  <c r="AL327" i="8"/>
  <c r="AI327" i="8"/>
  <c r="AE327" i="8"/>
  <c r="AK327" i="8"/>
  <c r="AN307" i="8"/>
  <c r="AI307" i="8"/>
  <c r="AE307" i="8"/>
  <c r="AG307" i="8"/>
  <c r="AS307" i="8"/>
  <c r="AJ303" i="8"/>
  <c r="AG303" i="8"/>
  <c r="AH303" i="8"/>
  <c r="AD303" i="8"/>
  <c r="AY303" i="8"/>
  <c r="AE291" i="8"/>
  <c r="AU291" i="8"/>
  <c r="AN291" i="8"/>
  <c r="AO291" i="8"/>
  <c r="AX291" i="8"/>
  <c r="AL291" i="8"/>
  <c r="AI275" i="8"/>
  <c r="AY275" i="8"/>
  <c r="AR275" i="8"/>
  <c r="AG275" i="8"/>
  <c r="AD275" i="8"/>
  <c r="AM263" i="8"/>
  <c r="AF263" i="8"/>
  <c r="AV263" i="8"/>
  <c r="AO263" i="8"/>
  <c r="AL263" i="8"/>
  <c r="AI255" i="8"/>
  <c r="AY255" i="8"/>
  <c r="AR255" i="8"/>
  <c r="AG255" i="8"/>
  <c r="AX255" i="8"/>
  <c r="AG243" i="8"/>
  <c r="AW243" i="8"/>
  <c r="AX243" i="8"/>
  <c r="AT243" i="8"/>
  <c r="AL243" i="8"/>
  <c r="AE243" i="8"/>
  <c r="AO239" i="8"/>
  <c r="AJ239" i="8"/>
  <c r="AL239" i="8"/>
  <c r="AX239" i="8"/>
  <c r="AI239" i="8"/>
  <c r="AG231" i="8"/>
  <c r="AW231" i="8"/>
  <c r="AU231" i="8"/>
  <c r="AV231" i="8"/>
  <c r="AT231" i="8"/>
  <c r="AY231" i="8"/>
  <c r="AO223" i="8"/>
  <c r="AJ223" i="8"/>
  <c r="AL223" i="8"/>
  <c r="AX223" i="8"/>
  <c r="AT223" i="8"/>
  <c r="AG215" i="8"/>
  <c r="AW215" i="8"/>
  <c r="AU215" i="8"/>
  <c r="AV215" i="8"/>
  <c r="AT215" i="8"/>
  <c r="AN215" i="8"/>
  <c r="AO207" i="8"/>
  <c r="AJ207" i="8"/>
  <c r="AL207" i="8"/>
  <c r="AX207" i="8"/>
  <c r="AI207" i="8"/>
  <c r="AG195" i="8"/>
  <c r="AW195" i="8"/>
  <c r="AX195" i="8"/>
  <c r="AT195" i="8"/>
  <c r="AL195" i="8"/>
  <c r="AF195" i="8"/>
  <c r="AF179" i="8"/>
  <c r="AV179" i="8"/>
  <c r="AT179" i="8"/>
  <c r="AP179" i="8"/>
  <c r="AM179" i="8"/>
  <c r="AG179" i="8"/>
  <c r="AF163" i="8"/>
  <c r="AV163" i="8"/>
  <c r="AT163" i="8"/>
  <c r="AP163" i="8"/>
  <c r="AM163" i="8"/>
  <c r="AQ163" i="8"/>
  <c r="AF147" i="8"/>
  <c r="AV147" i="8"/>
  <c r="AT147" i="8"/>
  <c r="AP147" i="8"/>
  <c r="AM147" i="8"/>
  <c r="AG147" i="8"/>
  <c r="AM131" i="8"/>
  <c r="AF131" i="8"/>
  <c r="AV131" i="8"/>
  <c r="AH131" i="8"/>
  <c r="AD131" i="8"/>
  <c r="AM119" i="8"/>
  <c r="AF119" i="8"/>
  <c r="AV119" i="8"/>
  <c r="AH119" i="8"/>
  <c r="AL119" i="8"/>
  <c r="AF111" i="8"/>
  <c r="AV111" i="8"/>
  <c r="AU111" i="8"/>
  <c r="AW111" i="8"/>
  <c r="AO111" i="8"/>
  <c r="AS111" i="8"/>
  <c r="AM103" i="8"/>
  <c r="AF103" i="8"/>
  <c r="AV103" i="8"/>
  <c r="AL103" i="8"/>
  <c r="AH103" i="8"/>
  <c r="AL83" i="8"/>
  <c r="AG83" i="8"/>
  <c r="AI83" i="8"/>
  <c r="AE83" i="8"/>
  <c r="AJ83" i="8"/>
  <c r="AF3" i="8"/>
  <c r="AJ3" i="8"/>
  <c r="AN3" i="8"/>
  <c r="AR3" i="8"/>
  <c r="AV3" i="8"/>
  <c r="AM519" i="8"/>
  <c r="AW518" i="8"/>
  <c r="AS518" i="8"/>
  <c r="AO518" i="8"/>
  <c r="AK518" i="8"/>
  <c r="AG518" i="8"/>
  <c r="AY517" i="8"/>
  <c r="AU517" i="8"/>
  <c r="AM517" i="8"/>
  <c r="AI517" i="8"/>
  <c r="AE517" i="8"/>
  <c r="AW516" i="8"/>
  <c r="AS516" i="8"/>
  <c r="AO516" i="8"/>
  <c r="AK516" i="8"/>
  <c r="AG516" i="8"/>
  <c r="AU515" i="8"/>
  <c r="AE515" i="8"/>
  <c r="AW514" i="8"/>
  <c r="AS514" i="8"/>
  <c r="AO514" i="8"/>
  <c r="AK514" i="8"/>
  <c r="AG514" i="8"/>
  <c r="AY513" i="8"/>
  <c r="AU513" i="8"/>
  <c r="AQ513" i="8"/>
  <c r="AM513" i="8"/>
  <c r="AI513" i="8"/>
  <c r="AE513" i="8"/>
  <c r="AW512" i="8"/>
  <c r="AS512" i="8"/>
  <c r="AO512" i="8"/>
  <c r="AK512" i="8"/>
  <c r="AG512" i="8"/>
  <c r="AM511" i="8"/>
  <c r="AW510" i="8"/>
  <c r="AS510" i="8"/>
  <c r="AO510" i="8"/>
  <c r="AK510" i="8"/>
  <c r="AG510" i="8"/>
  <c r="AY509" i="8"/>
  <c r="AU509" i="8"/>
  <c r="AQ509" i="8"/>
  <c r="AM509" i="8"/>
  <c r="AI509" i="8"/>
  <c r="AE509" i="8"/>
  <c r="AW508" i="8"/>
  <c r="AS508" i="8"/>
  <c r="AO508" i="8"/>
  <c r="AK508" i="8"/>
  <c r="AG508" i="8"/>
  <c r="AW506" i="8"/>
  <c r="AS506" i="8"/>
  <c r="AO506" i="8"/>
  <c r="AK506" i="8"/>
  <c r="AG506" i="8"/>
  <c r="AQ505" i="8"/>
  <c r="AW504" i="8"/>
  <c r="AS504" i="8"/>
  <c r="AO504" i="8"/>
  <c r="AK504" i="8"/>
  <c r="AG504" i="8"/>
  <c r="AM503" i="8"/>
  <c r="AW502" i="8"/>
  <c r="AS502" i="8"/>
  <c r="AO502" i="8"/>
  <c r="AK502" i="8"/>
  <c r="AG502" i="8"/>
  <c r="AY501" i="8"/>
  <c r="AU501" i="8"/>
  <c r="AM501" i="8"/>
  <c r="AI501" i="8"/>
  <c r="AE501" i="8"/>
  <c r="AW500" i="8"/>
  <c r="AS500" i="8"/>
  <c r="AO500" i="8"/>
  <c r="AK500" i="8"/>
  <c r="AG500" i="8"/>
  <c r="AU499" i="8"/>
  <c r="AE499" i="8"/>
  <c r="AW498" i="8"/>
  <c r="AS498" i="8"/>
  <c r="AO498" i="8"/>
  <c r="AK498" i="8"/>
  <c r="AG498" i="8"/>
  <c r="AY497" i="8"/>
  <c r="AU497" i="8"/>
  <c r="AQ497" i="8"/>
  <c r="AM497" i="8"/>
  <c r="AI497" i="8"/>
  <c r="AE497" i="8"/>
  <c r="AW496" i="8"/>
  <c r="AS496" i="8"/>
  <c r="AO496" i="8"/>
  <c r="AK496" i="8"/>
  <c r="AG496" i="8"/>
  <c r="AM495" i="8"/>
  <c r="AW494" i="8"/>
  <c r="AS494" i="8"/>
  <c r="AO494" i="8"/>
  <c r="AK494" i="8"/>
  <c r="AG494" i="8"/>
  <c r="AY493" i="8"/>
  <c r="AU493" i="8"/>
  <c r="AQ493" i="8"/>
  <c r="AM493" i="8"/>
  <c r="AI493" i="8"/>
  <c r="AE493" i="8"/>
  <c r="AW492" i="8"/>
  <c r="AS492" i="8"/>
  <c r="AO492" i="8"/>
  <c r="AK492" i="8"/>
  <c r="AG492" i="8"/>
  <c r="AW490" i="8"/>
  <c r="AS490" i="8"/>
  <c r="AO490" i="8"/>
  <c r="AK490" i="8"/>
  <c r="AG490" i="8"/>
  <c r="AQ489" i="8"/>
  <c r="AW488" i="8"/>
  <c r="AS488" i="8"/>
  <c r="AO488" i="8"/>
  <c r="AK488" i="8"/>
  <c r="AG488" i="8"/>
  <c r="AM487" i="8"/>
  <c r="AW486" i="8"/>
  <c r="AS486" i="8"/>
  <c r="AO486" i="8"/>
  <c r="AK486" i="8"/>
  <c r="AG486" i="8"/>
  <c r="AY485" i="8"/>
  <c r="AU485" i="8"/>
  <c r="AM485" i="8"/>
  <c r="AI485" i="8"/>
  <c r="AE485" i="8"/>
  <c r="AW484" i="8"/>
  <c r="AS484" i="8"/>
  <c r="AO484" i="8"/>
  <c r="AK484" i="8"/>
  <c r="AG484" i="8"/>
  <c r="AU483" i="8"/>
  <c r="AE483" i="8"/>
  <c r="AW482" i="8"/>
  <c r="AS482" i="8"/>
  <c r="AO482" i="8"/>
  <c r="AK482" i="8"/>
  <c r="AG482" i="8"/>
  <c r="AY481" i="8"/>
  <c r="AU481" i="8"/>
  <c r="AQ481" i="8"/>
  <c r="AM481" i="8"/>
  <c r="AI481" i="8"/>
  <c r="AE481" i="8"/>
  <c r="AW480" i="8"/>
  <c r="AS480" i="8"/>
  <c r="AO480" i="8"/>
  <c r="AK480" i="8"/>
  <c r="AG480" i="8"/>
  <c r="AM479" i="8"/>
  <c r="AW478" i="8"/>
  <c r="AS478" i="8"/>
  <c r="AO478" i="8"/>
  <c r="AK478" i="8"/>
  <c r="AG478" i="8"/>
  <c r="AY477" i="8"/>
  <c r="AU477" i="8"/>
  <c r="AQ477" i="8"/>
  <c r="AM477" i="8"/>
  <c r="AI477" i="8"/>
  <c r="AE477" i="8"/>
  <c r="AW476" i="8"/>
  <c r="AS476" i="8"/>
  <c r="AO476" i="8"/>
  <c r="AK476" i="8"/>
  <c r="AG476" i="8"/>
  <c r="AW474" i="8"/>
  <c r="AS474" i="8"/>
  <c r="AO474" i="8"/>
  <c r="AK474" i="8"/>
  <c r="AG474" i="8"/>
  <c r="AQ473" i="8"/>
  <c r="AW472" i="8"/>
  <c r="AS472" i="8"/>
  <c r="AO472" i="8"/>
  <c r="AK472" i="8"/>
  <c r="AG472" i="8"/>
  <c r="AM471" i="8"/>
  <c r="AW470" i="8"/>
  <c r="AS470" i="8"/>
  <c r="AO470" i="8"/>
  <c r="AK470" i="8"/>
  <c r="AG470" i="8"/>
  <c r="AY469" i="8"/>
  <c r="AU469" i="8"/>
  <c r="AM469" i="8"/>
  <c r="AI469" i="8"/>
  <c r="AE469" i="8"/>
  <c r="AW468" i="8"/>
  <c r="AS468" i="8"/>
  <c r="AO468" i="8"/>
  <c r="AK468" i="8"/>
  <c r="AG468" i="8"/>
  <c r="AU467" i="8"/>
  <c r="AX466" i="8"/>
  <c r="AP466" i="8"/>
  <c r="AV465" i="8"/>
  <c r="AN465" i="8"/>
  <c r="AF465" i="8"/>
  <c r="AT464" i="8"/>
  <c r="AL464" i="8"/>
  <c r="AD464" i="8"/>
  <c r="AX462" i="8"/>
  <c r="AP462" i="8"/>
  <c r="AV461" i="8"/>
  <c r="AN461" i="8"/>
  <c r="AT460" i="8"/>
  <c r="AL460" i="8"/>
  <c r="AD460" i="8"/>
  <c r="AX458" i="8"/>
  <c r="AP458" i="8"/>
  <c r="AN457" i="8"/>
  <c r="AT456" i="8"/>
  <c r="AL456" i="8"/>
  <c r="AD456" i="8"/>
  <c r="AX454" i="8"/>
  <c r="AP454" i="8"/>
  <c r="AV453" i="8"/>
  <c r="AT452" i="8"/>
  <c r="AL452" i="8"/>
  <c r="AD452" i="8"/>
  <c r="AX450" i="8"/>
  <c r="AP450" i="8"/>
  <c r="AV449" i="8"/>
  <c r="AN449" i="8"/>
  <c r="AF449" i="8"/>
  <c r="AT448" i="8"/>
  <c r="AL448" i="8"/>
  <c r="AD448" i="8"/>
  <c r="AJ447" i="8"/>
  <c r="AX446" i="8"/>
  <c r="AP446" i="8"/>
  <c r="AV445" i="8"/>
  <c r="AN445" i="8"/>
  <c r="AF445" i="8"/>
  <c r="AT444" i="8"/>
  <c r="AL444" i="8"/>
  <c r="AD444" i="8"/>
  <c r="AX442" i="8"/>
  <c r="AP442" i="8"/>
  <c r="AV441" i="8"/>
  <c r="AT440" i="8"/>
  <c r="AL440" i="8"/>
  <c r="AD440" i="8"/>
  <c r="AX438" i="8"/>
  <c r="AP438" i="8"/>
  <c r="AV437" i="8"/>
  <c r="AF437" i="8"/>
  <c r="AT436" i="8"/>
  <c r="AL436" i="8"/>
  <c r="AD436" i="8"/>
  <c r="AX434" i="8"/>
  <c r="AP434" i="8"/>
  <c r="AV433" i="8"/>
  <c r="AN433" i="8"/>
  <c r="AT432" i="8"/>
  <c r="AL432" i="8"/>
  <c r="AD432" i="8"/>
  <c r="AJ431" i="8"/>
  <c r="AX430" i="8"/>
  <c r="AP430" i="8"/>
  <c r="AV429" i="8"/>
  <c r="AN429" i="8"/>
  <c r="AF429" i="8"/>
  <c r="AT428" i="8"/>
  <c r="AL428" i="8"/>
  <c r="AD428" i="8"/>
  <c r="AX426" i="8"/>
  <c r="AP426" i="8"/>
  <c r="AV425" i="8"/>
  <c r="AT424" i="8"/>
  <c r="AL424" i="8"/>
  <c r="AD424" i="8"/>
  <c r="AX422" i="8"/>
  <c r="AP422" i="8"/>
  <c r="AN421" i="8"/>
  <c r="AT420" i="8"/>
  <c r="AL420" i="8"/>
  <c r="AD420" i="8"/>
  <c r="AX418" i="8"/>
  <c r="AP418" i="8"/>
  <c r="AV417" i="8"/>
  <c r="AN417" i="8"/>
  <c r="AF417" i="8"/>
  <c r="AT416" i="8"/>
  <c r="AL416" i="8"/>
  <c r="AD416" i="8"/>
  <c r="AR415" i="8"/>
  <c r="AX414" i="8"/>
  <c r="AP414" i="8"/>
  <c r="AV413" i="8"/>
  <c r="AN413" i="8"/>
  <c r="AT412" i="8"/>
  <c r="AL412" i="8"/>
  <c r="AD412" i="8"/>
  <c r="AX410" i="8"/>
  <c r="AP410" i="8"/>
  <c r="AT409" i="8"/>
  <c r="AU408" i="8"/>
  <c r="AJ408" i="8"/>
  <c r="AU407" i="8"/>
  <c r="AV406" i="8"/>
  <c r="AW405" i="8"/>
  <c r="AW404" i="8"/>
  <c r="AM404" i="8"/>
  <c r="AY402" i="8"/>
  <c r="AY401" i="8"/>
  <c r="AO401" i="8"/>
  <c r="AD401" i="8"/>
  <c r="AO400" i="8"/>
  <c r="AE400" i="8"/>
  <c r="AQ398" i="8"/>
  <c r="AQ397" i="8"/>
  <c r="AG397" i="8"/>
  <c r="AR396" i="8"/>
  <c r="AE392" i="8"/>
  <c r="AG388" i="8"/>
  <c r="AJ384" i="8"/>
  <c r="AL381" i="8"/>
  <c r="AM380" i="8"/>
  <c r="AO377" i="8"/>
  <c r="AO376" i="8"/>
  <c r="AR372" i="8"/>
  <c r="AT369" i="8"/>
  <c r="AU368" i="8"/>
  <c r="AW364" i="8"/>
  <c r="AY361" i="8"/>
  <c r="AE360" i="8"/>
  <c r="AG356" i="8"/>
  <c r="AH355" i="8"/>
  <c r="AI353" i="8"/>
  <c r="AG352" i="8"/>
  <c r="AJ348" i="8"/>
  <c r="AM344" i="8"/>
  <c r="AO340" i="8"/>
  <c r="AR336" i="8"/>
  <c r="AU332" i="8"/>
  <c r="AW328" i="8"/>
  <c r="AL313" i="8"/>
  <c r="AN272" i="8"/>
  <c r="AV260" i="8"/>
  <c r="AS248" i="8"/>
  <c r="AG461" i="8"/>
  <c r="AK461" i="8"/>
  <c r="AO461" i="8"/>
  <c r="AS461" i="8"/>
  <c r="AW461" i="8"/>
  <c r="AE461" i="8"/>
  <c r="AI461" i="8"/>
  <c r="AM461" i="8"/>
  <c r="AQ461" i="8"/>
  <c r="AU461" i="8"/>
  <c r="AY461" i="8"/>
  <c r="AK453" i="8"/>
  <c r="AO453" i="8"/>
  <c r="AS453" i="8"/>
  <c r="AE453" i="8"/>
  <c r="AI453" i="8"/>
  <c r="AM453" i="8"/>
  <c r="AU453" i="8"/>
  <c r="AY453" i="8"/>
  <c r="AS441" i="8"/>
  <c r="AM441" i="8"/>
  <c r="AG433" i="8"/>
  <c r="AK433" i="8"/>
  <c r="AO433" i="8"/>
  <c r="AS433" i="8"/>
  <c r="AW433" i="8"/>
  <c r="AE433" i="8"/>
  <c r="AI433" i="8"/>
  <c r="AM433" i="8"/>
  <c r="AQ433" i="8"/>
  <c r="AU433" i="8"/>
  <c r="AY433" i="8"/>
  <c r="AG421" i="8"/>
  <c r="AK421" i="8"/>
  <c r="AO421" i="8"/>
  <c r="AW421" i="8"/>
  <c r="AE421" i="8"/>
  <c r="AI421" i="8"/>
  <c r="AQ421" i="8"/>
  <c r="AU421" i="8"/>
  <c r="AY421" i="8"/>
  <c r="AG413" i="8"/>
  <c r="AK413" i="8"/>
  <c r="AO413" i="8"/>
  <c r="AS413" i="8"/>
  <c r="AW413" i="8"/>
  <c r="AE413" i="8"/>
  <c r="AI413" i="8"/>
  <c r="AM413" i="8"/>
  <c r="AQ413" i="8"/>
  <c r="AU413" i="8"/>
  <c r="AY413" i="8"/>
  <c r="AF405" i="8"/>
  <c r="AN405" i="8"/>
  <c r="AR405" i="8"/>
  <c r="AV405" i="8"/>
  <c r="AM405" i="8"/>
  <c r="AS405" i="8"/>
  <c r="AX405" i="8"/>
  <c r="AE405" i="8"/>
  <c r="AK405" i="8"/>
  <c r="AP405" i="8"/>
  <c r="AU405" i="8"/>
  <c r="AN393" i="8"/>
  <c r="AK393" i="8"/>
  <c r="AL393" i="8"/>
  <c r="AM393" i="8"/>
  <c r="AF385" i="8"/>
  <c r="AJ385" i="8"/>
  <c r="AN385" i="8"/>
  <c r="AR385" i="8"/>
  <c r="AV385" i="8"/>
  <c r="AE385" i="8"/>
  <c r="AK385" i="8"/>
  <c r="AP385" i="8"/>
  <c r="AU385" i="8"/>
  <c r="AG385" i="8"/>
  <c r="AL385" i="8"/>
  <c r="AQ385" i="8"/>
  <c r="AW385" i="8"/>
  <c r="AH385" i="8"/>
  <c r="AM385" i="8"/>
  <c r="AS385" i="8"/>
  <c r="AX385" i="8"/>
  <c r="AF373" i="8"/>
  <c r="AJ373" i="8"/>
  <c r="AN373" i="8"/>
  <c r="AR373" i="8"/>
  <c r="AV373" i="8"/>
  <c r="AH373" i="8"/>
  <c r="AM373" i="8"/>
  <c r="AS373" i="8"/>
  <c r="AX373" i="8"/>
  <c r="AD373" i="8"/>
  <c r="AI373" i="8"/>
  <c r="AO373" i="8"/>
  <c r="AT373" i="8"/>
  <c r="AY373" i="8"/>
  <c r="AE373" i="8"/>
  <c r="AK373" i="8"/>
  <c r="AP373" i="8"/>
  <c r="AU373" i="8"/>
  <c r="AF365" i="8"/>
  <c r="AJ365" i="8"/>
  <c r="AN365" i="8"/>
  <c r="AR365" i="8"/>
  <c r="AV365" i="8"/>
  <c r="AH365" i="8"/>
  <c r="AM365" i="8"/>
  <c r="AS365" i="8"/>
  <c r="AX365" i="8"/>
  <c r="AD365" i="8"/>
  <c r="AI365" i="8"/>
  <c r="AO365" i="8"/>
  <c r="AT365" i="8"/>
  <c r="AY365" i="8"/>
  <c r="AE365" i="8"/>
  <c r="AK365" i="8"/>
  <c r="AP365" i="8"/>
  <c r="AU365" i="8"/>
  <c r="AF357" i="8"/>
  <c r="AJ357" i="8"/>
  <c r="AN357" i="8"/>
  <c r="AR357" i="8"/>
  <c r="AV357" i="8"/>
  <c r="AH357" i="8"/>
  <c r="AM357" i="8"/>
  <c r="AS357" i="8"/>
  <c r="AX357" i="8"/>
  <c r="AD357" i="8"/>
  <c r="AI357" i="8"/>
  <c r="AO357" i="8"/>
  <c r="AT357" i="8"/>
  <c r="AY357" i="8"/>
  <c r="AE357" i="8"/>
  <c r="AK357" i="8"/>
  <c r="AP357" i="8"/>
  <c r="AU357" i="8"/>
  <c r="AF345" i="8"/>
  <c r="AJ345" i="8"/>
  <c r="AN345" i="8"/>
  <c r="AR345" i="8"/>
  <c r="AV345" i="8"/>
  <c r="AE345" i="8"/>
  <c r="AK345" i="8"/>
  <c r="AP345" i="8"/>
  <c r="AU345" i="8"/>
  <c r="AH345" i="8"/>
  <c r="AM345" i="8"/>
  <c r="AS345" i="8"/>
  <c r="AX345" i="8"/>
  <c r="AD345" i="8"/>
  <c r="AO345" i="8"/>
  <c r="AY345" i="8"/>
  <c r="AG345" i="8"/>
  <c r="AQ345" i="8"/>
  <c r="AI345" i="8"/>
  <c r="AT345" i="8"/>
  <c r="AN337" i="8"/>
  <c r="AK337" i="8"/>
  <c r="AM337" i="8"/>
  <c r="AT337" i="8"/>
  <c r="AO337" i="8"/>
  <c r="AF325" i="8"/>
  <c r="AJ325" i="8"/>
  <c r="AN325" i="8"/>
  <c r="AR325" i="8"/>
  <c r="AV325" i="8"/>
  <c r="AH325" i="8"/>
  <c r="AM325" i="8"/>
  <c r="AS325" i="8"/>
  <c r="AX325" i="8"/>
  <c r="AE325" i="8"/>
  <c r="AK325" i="8"/>
  <c r="AP325" i="8"/>
  <c r="AU325" i="8"/>
  <c r="AG325" i="8"/>
  <c r="AQ325" i="8"/>
  <c r="AI325" i="8"/>
  <c r="AT325" i="8"/>
  <c r="AL325" i="8"/>
  <c r="AW325" i="8"/>
  <c r="AF317" i="8"/>
  <c r="AJ317" i="8"/>
  <c r="AN317" i="8"/>
  <c r="AR317" i="8"/>
  <c r="AV317" i="8"/>
  <c r="AH317" i="8"/>
  <c r="AM317" i="8"/>
  <c r="AS317" i="8"/>
  <c r="AX317" i="8"/>
  <c r="AE317" i="8"/>
  <c r="AK317" i="8"/>
  <c r="AP317" i="8"/>
  <c r="AU317" i="8"/>
  <c r="AL317" i="8"/>
  <c r="AW317" i="8"/>
  <c r="AD317" i="8"/>
  <c r="AO317" i="8"/>
  <c r="AY317" i="8"/>
  <c r="AG317" i="8"/>
  <c r="AQ317" i="8"/>
  <c r="AF309" i="8"/>
  <c r="AJ309" i="8"/>
  <c r="AN309" i="8"/>
  <c r="AR309" i="8"/>
  <c r="AV309" i="8"/>
  <c r="AH309" i="8"/>
  <c r="AM309" i="8"/>
  <c r="AS309" i="8"/>
  <c r="AX309" i="8"/>
  <c r="AE309" i="8"/>
  <c r="AK309" i="8"/>
  <c r="AP309" i="8"/>
  <c r="AU309" i="8"/>
  <c r="AG309" i="8"/>
  <c r="AQ309" i="8"/>
  <c r="AI309" i="8"/>
  <c r="AT309" i="8"/>
  <c r="AL309" i="8"/>
  <c r="AW309" i="8"/>
  <c r="AF301" i="8"/>
  <c r="AJ301" i="8"/>
  <c r="AN301" i="8"/>
  <c r="AR301" i="8"/>
  <c r="AV301" i="8"/>
  <c r="AH301" i="8"/>
  <c r="AM301" i="8"/>
  <c r="AS301" i="8"/>
  <c r="AX301" i="8"/>
  <c r="AD301" i="8"/>
  <c r="AI301" i="8"/>
  <c r="AO301" i="8"/>
  <c r="AT301" i="8"/>
  <c r="AY301" i="8"/>
  <c r="AE301" i="8"/>
  <c r="AK301" i="8"/>
  <c r="AP301" i="8"/>
  <c r="AU301" i="8"/>
  <c r="AW301" i="8"/>
  <c r="AG301" i="8"/>
  <c r="AL301" i="8"/>
  <c r="AE293" i="8"/>
  <c r="AI293" i="8"/>
  <c r="AM293" i="8"/>
  <c r="AQ293" i="8"/>
  <c r="AU293" i="8"/>
  <c r="AY293" i="8"/>
  <c r="AF293" i="8"/>
  <c r="AJ293" i="8"/>
  <c r="AN293" i="8"/>
  <c r="AR293" i="8"/>
  <c r="AV293" i="8"/>
  <c r="AK293" i="8"/>
  <c r="AS293" i="8"/>
  <c r="AD293" i="8"/>
  <c r="AL293" i="8"/>
  <c r="AT293" i="8"/>
  <c r="AG293" i="8"/>
  <c r="AO293" i="8"/>
  <c r="AW293" i="8"/>
  <c r="AX293" i="8"/>
  <c r="AH293" i="8"/>
  <c r="AM281" i="8"/>
  <c r="AF281" i="8"/>
  <c r="AV281" i="8"/>
  <c r="AL281" i="8"/>
  <c r="AW281" i="8"/>
  <c r="AE269" i="8"/>
  <c r="AI269" i="8"/>
  <c r="AM269" i="8"/>
  <c r="AQ269" i="8"/>
  <c r="AU269" i="8"/>
  <c r="AY269" i="8"/>
  <c r="AF269" i="8"/>
  <c r="AJ269" i="8"/>
  <c r="AN269" i="8"/>
  <c r="AR269" i="8"/>
  <c r="AV269" i="8"/>
  <c r="AG269" i="8"/>
  <c r="AO269" i="8"/>
  <c r="AW269" i="8"/>
  <c r="AK269" i="8"/>
  <c r="AS269" i="8"/>
  <c r="AD269" i="8"/>
  <c r="AT269" i="8"/>
  <c r="AH269" i="8"/>
  <c r="AX269" i="8"/>
  <c r="AL269" i="8"/>
  <c r="AE261" i="8"/>
  <c r="AI261" i="8"/>
  <c r="AM261" i="8"/>
  <c r="AQ261" i="8"/>
  <c r="AU261" i="8"/>
  <c r="AY261" i="8"/>
  <c r="AF261" i="8"/>
  <c r="AJ261" i="8"/>
  <c r="AN261" i="8"/>
  <c r="AR261" i="8"/>
  <c r="AV261" i="8"/>
  <c r="AG261" i="8"/>
  <c r="AO261" i="8"/>
  <c r="AW261" i="8"/>
  <c r="AK261" i="8"/>
  <c r="AS261" i="8"/>
  <c r="AD261" i="8"/>
  <c r="AT261" i="8"/>
  <c r="AH261" i="8"/>
  <c r="AX261" i="8"/>
  <c r="AL261" i="8"/>
  <c r="AP261" i="8"/>
  <c r="AE253" i="8"/>
  <c r="AI253" i="8"/>
  <c r="AM253" i="8"/>
  <c r="AQ253" i="8"/>
  <c r="AU253" i="8"/>
  <c r="AY253" i="8"/>
  <c r="AF253" i="8"/>
  <c r="AJ253" i="8"/>
  <c r="AN253" i="8"/>
  <c r="AR253" i="8"/>
  <c r="AV253" i="8"/>
  <c r="AG253" i="8"/>
  <c r="AO253" i="8"/>
  <c r="AW253" i="8"/>
  <c r="AK253" i="8"/>
  <c r="AS253" i="8"/>
  <c r="AD253" i="8"/>
  <c r="AT253" i="8"/>
  <c r="AH253" i="8"/>
  <c r="AX253" i="8"/>
  <c r="AL253" i="8"/>
  <c r="AP253" i="8"/>
  <c r="AG245" i="8"/>
  <c r="AK245" i="8"/>
  <c r="AO245" i="8"/>
  <c r="AS245" i="8"/>
  <c r="AW245" i="8"/>
  <c r="AF245" i="8"/>
  <c r="AL245" i="8"/>
  <c r="AQ245" i="8"/>
  <c r="AV245" i="8"/>
  <c r="AH245" i="8"/>
  <c r="AM245" i="8"/>
  <c r="AR245" i="8"/>
  <c r="AX245" i="8"/>
  <c r="AJ245" i="8"/>
  <c r="AE245" i="8"/>
  <c r="AT245" i="8"/>
  <c r="AN245" i="8"/>
  <c r="AY245" i="8"/>
  <c r="AD245" i="8"/>
  <c r="AI245" i="8"/>
  <c r="AP245" i="8"/>
  <c r="AU245" i="8"/>
  <c r="AG233" i="8"/>
  <c r="AK233" i="8"/>
  <c r="AO233" i="8"/>
  <c r="AS233" i="8"/>
  <c r="AW233" i="8"/>
  <c r="AD233" i="8"/>
  <c r="AI233" i="8"/>
  <c r="AN233" i="8"/>
  <c r="AT233" i="8"/>
  <c r="AY233" i="8"/>
  <c r="AE233" i="8"/>
  <c r="AJ233" i="8"/>
  <c r="AP233" i="8"/>
  <c r="AU233" i="8"/>
  <c r="AF233" i="8"/>
  <c r="AQ233" i="8"/>
  <c r="AH233" i="8"/>
  <c r="AR233" i="8"/>
  <c r="AM233" i="8"/>
  <c r="AV233" i="8"/>
  <c r="AX233" i="8"/>
  <c r="AL233" i="8"/>
  <c r="AG225" i="8"/>
  <c r="AK225" i="8"/>
  <c r="AO225" i="8"/>
  <c r="AS225" i="8"/>
  <c r="AW225" i="8"/>
  <c r="AD225" i="8"/>
  <c r="AI225" i="8"/>
  <c r="AN225" i="8"/>
  <c r="AT225" i="8"/>
  <c r="AY225" i="8"/>
  <c r="AE225" i="8"/>
  <c r="AJ225" i="8"/>
  <c r="AP225" i="8"/>
  <c r="AU225" i="8"/>
  <c r="AL225" i="8"/>
  <c r="AV225" i="8"/>
  <c r="AM225" i="8"/>
  <c r="AX225" i="8"/>
  <c r="AR225" i="8"/>
  <c r="AF225" i="8"/>
  <c r="AH225" i="8"/>
  <c r="AQ225" i="8"/>
  <c r="AG217" i="8"/>
  <c r="AK217" i="8"/>
  <c r="AO217" i="8"/>
  <c r="AS217" i="8"/>
  <c r="AW217" i="8"/>
  <c r="AD217" i="8"/>
  <c r="AI217" i="8"/>
  <c r="AN217" i="8"/>
  <c r="AT217" i="8"/>
  <c r="AY217" i="8"/>
  <c r="AE217" i="8"/>
  <c r="AJ217" i="8"/>
  <c r="AP217" i="8"/>
  <c r="AU217" i="8"/>
  <c r="AF217" i="8"/>
  <c r="AQ217" i="8"/>
  <c r="AH217" i="8"/>
  <c r="AR217" i="8"/>
  <c r="AX217" i="8"/>
  <c r="AL217" i="8"/>
  <c r="AM217" i="8"/>
  <c r="AV217" i="8"/>
  <c r="AG205" i="8"/>
  <c r="AK205" i="8"/>
  <c r="AO205" i="8"/>
  <c r="AS205" i="8"/>
  <c r="AW205" i="8"/>
  <c r="AF205" i="8"/>
  <c r="AL205" i="8"/>
  <c r="AQ205" i="8"/>
  <c r="AV205" i="8"/>
  <c r="AH205" i="8"/>
  <c r="AM205" i="8"/>
  <c r="AR205" i="8"/>
  <c r="AX205" i="8"/>
  <c r="AD205" i="8"/>
  <c r="AN205" i="8"/>
  <c r="AY205" i="8"/>
  <c r="AE205" i="8"/>
  <c r="AP205" i="8"/>
  <c r="AJ205" i="8"/>
  <c r="AT205" i="8"/>
  <c r="AU205" i="8"/>
  <c r="AI205" i="8"/>
  <c r="AG197" i="8"/>
  <c r="AK197" i="8"/>
  <c r="AO197" i="8"/>
  <c r="AS197" i="8"/>
  <c r="AW197" i="8"/>
  <c r="AF197" i="8"/>
  <c r="AL197" i="8"/>
  <c r="AQ197" i="8"/>
  <c r="AV197" i="8"/>
  <c r="AH197" i="8"/>
  <c r="AM197" i="8"/>
  <c r="AR197" i="8"/>
  <c r="AX197" i="8"/>
  <c r="AI197" i="8"/>
  <c r="AT197" i="8"/>
  <c r="AJ197" i="8"/>
  <c r="AU197" i="8"/>
  <c r="AP197" i="8"/>
  <c r="AD197" i="8"/>
  <c r="AY197" i="8"/>
  <c r="AE197" i="8"/>
  <c r="AN197" i="8"/>
  <c r="AF189" i="8"/>
  <c r="AJ189" i="8"/>
  <c r="AN189" i="8"/>
  <c r="AR189" i="8"/>
  <c r="AV189" i="8"/>
  <c r="AD189" i="8"/>
  <c r="AI189" i="8"/>
  <c r="AO189" i="8"/>
  <c r="AT189" i="8"/>
  <c r="AY189" i="8"/>
  <c r="AE189" i="8"/>
  <c r="AL189" i="8"/>
  <c r="AS189" i="8"/>
  <c r="AG189" i="8"/>
  <c r="AM189" i="8"/>
  <c r="AU189" i="8"/>
  <c r="AH189" i="8"/>
  <c r="AW189" i="8"/>
  <c r="AK189" i="8"/>
  <c r="AX189" i="8"/>
  <c r="AQ189" i="8"/>
  <c r="AP189" i="8"/>
  <c r="AF177" i="8"/>
  <c r="AJ177" i="8"/>
  <c r="AN177" i="8"/>
  <c r="AR177" i="8"/>
  <c r="AV177" i="8"/>
  <c r="AE177" i="8"/>
  <c r="AK177" i="8"/>
  <c r="AP177" i="8"/>
  <c r="AU177" i="8"/>
  <c r="AG177" i="8"/>
  <c r="AL177" i="8"/>
  <c r="AQ177" i="8"/>
  <c r="AW177" i="8"/>
  <c r="AM177" i="8"/>
  <c r="AX177" i="8"/>
  <c r="AD177" i="8"/>
  <c r="AO177" i="8"/>
  <c r="AY177" i="8"/>
  <c r="AS177" i="8"/>
  <c r="AT177" i="8"/>
  <c r="AH177" i="8"/>
  <c r="AI177" i="8"/>
  <c r="AF169" i="8"/>
  <c r="AJ169" i="8"/>
  <c r="AN169" i="8"/>
  <c r="AR169" i="8"/>
  <c r="AV169" i="8"/>
  <c r="AE169" i="8"/>
  <c r="AK169" i="8"/>
  <c r="AP169" i="8"/>
  <c r="AU169" i="8"/>
  <c r="AG169" i="8"/>
  <c r="AL169" i="8"/>
  <c r="AQ169" i="8"/>
  <c r="AW169" i="8"/>
  <c r="AH169" i="8"/>
  <c r="AS169" i="8"/>
  <c r="AI169" i="8"/>
  <c r="AT169" i="8"/>
  <c r="AX169" i="8"/>
  <c r="AD169" i="8"/>
  <c r="AY169" i="8"/>
  <c r="AM169" i="8"/>
  <c r="AO169" i="8"/>
  <c r="AF161" i="8"/>
  <c r="AJ161" i="8"/>
  <c r="AN161" i="8"/>
  <c r="AR161" i="8"/>
  <c r="AV161" i="8"/>
  <c r="AE161" i="8"/>
  <c r="AK161" i="8"/>
  <c r="AP161" i="8"/>
  <c r="AU161" i="8"/>
  <c r="AG161" i="8"/>
  <c r="AL161" i="8"/>
  <c r="AQ161" i="8"/>
  <c r="AW161" i="8"/>
  <c r="AM161" i="8"/>
  <c r="AX161" i="8"/>
  <c r="AD161" i="8"/>
  <c r="AO161" i="8"/>
  <c r="AY161" i="8"/>
  <c r="AH161" i="8"/>
  <c r="AI161" i="8"/>
  <c r="AS161" i="8"/>
  <c r="AT161" i="8"/>
  <c r="AF153" i="8"/>
  <c r="AJ153" i="8"/>
  <c r="AN153" i="8"/>
  <c r="AR153" i="8"/>
  <c r="AV153" i="8"/>
  <c r="AE153" i="8"/>
  <c r="AK153" i="8"/>
  <c r="AP153" i="8"/>
  <c r="AU153" i="8"/>
  <c r="AG153" i="8"/>
  <c r="AL153" i="8"/>
  <c r="AQ153" i="8"/>
  <c r="AW153" i="8"/>
  <c r="AH153" i="8"/>
  <c r="AS153" i="8"/>
  <c r="AI153" i="8"/>
  <c r="AT153" i="8"/>
  <c r="AM153" i="8"/>
  <c r="AO153" i="8"/>
  <c r="AX153" i="8"/>
  <c r="AD153" i="8"/>
  <c r="AY153" i="8"/>
  <c r="AF149" i="8"/>
  <c r="AJ149" i="8"/>
  <c r="AN149" i="8"/>
  <c r="AR149" i="8"/>
  <c r="AV149" i="8"/>
  <c r="AH149" i="8"/>
  <c r="AM149" i="8"/>
  <c r="AS149" i="8"/>
  <c r="AX149" i="8"/>
  <c r="AD149" i="8"/>
  <c r="AI149" i="8"/>
  <c r="AO149" i="8"/>
  <c r="AT149" i="8"/>
  <c r="AY149" i="8"/>
  <c r="AK149" i="8"/>
  <c r="AU149" i="8"/>
  <c r="AL149" i="8"/>
  <c r="AW149" i="8"/>
  <c r="AP149" i="8"/>
  <c r="AQ149" i="8"/>
  <c r="AE149" i="8"/>
  <c r="AG149" i="8"/>
  <c r="AE141" i="8"/>
  <c r="AI141" i="8"/>
  <c r="AM141" i="8"/>
  <c r="AQ141" i="8"/>
  <c r="AU141" i="8"/>
  <c r="AY141" i="8"/>
  <c r="AF141" i="8"/>
  <c r="AJ141" i="8"/>
  <c r="AN141" i="8"/>
  <c r="AR141" i="8"/>
  <c r="AV141" i="8"/>
  <c r="AK141" i="8"/>
  <c r="AS141" i="8"/>
  <c r="AD141" i="8"/>
  <c r="AL141" i="8"/>
  <c r="AT141" i="8"/>
  <c r="AG141" i="8"/>
  <c r="AW141" i="8"/>
  <c r="AH141" i="8"/>
  <c r="AX141" i="8"/>
  <c r="AO141" i="8"/>
  <c r="AP141" i="8"/>
  <c r="AE125" i="8"/>
  <c r="AI125" i="8"/>
  <c r="AM125" i="8"/>
  <c r="AQ125" i="8"/>
  <c r="AU125" i="8"/>
  <c r="AY125" i="8"/>
  <c r="AF125" i="8"/>
  <c r="AJ125" i="8"/>
  <c r="AN125" i="8"/>
  <c r="AR125" i="8"/>
  <c r="AV125" i="8"/>
  <c r="AK125" i="8"/>
  <c r="AS125" i="8"/>
  <c r="AD125" i="8"/>
  <c r="AL125" i="8"/>
  <c r="AT125" i="8"/>
  <c r="AG125" i="8"/>
  <c r="AW125" i="8"/>
  <c r="AH125" i="8"/>
  <c r="AX125" i="8"/>
  <c r="AO125" i="8"/>
  <c r="AP125" i="8"/>
  <c r="AF117" i="8"/>
  <c r="AJ117" i="8"/>
  <c r="AN117" i="8"/>
  <c r="AG117" i="8"/>
  <c r="AL117" i="8"/>
  <c r="AQ117" i="8"/>
  <c r="AU117" i="8"/>
  <c r="AY117" i="8"/>
  <c r="AH117" i="8"/>
  <c r="AM117" i="8"/>
  <c r="AR117" i="8"/>
  <c r="AV117" i="8"/>
  <c r="AI117" i="8"/>
  <c r="AS117" i="8"/>
  <c r="AK117" i="8"/>
  <c r="AT117" i="8"/>
  <c r="AD117" i="8"/>
  <c r="AW117" i="8"/>
  <c r="AE117" i="8"/>
  <c r="AX117" i="8"/>
  <c r="AO117" i="8"/>
  <c r="AP117" i="8"/>
  <c r="AE109" i="8"/>
  <c r="AI109" i="8"/>
  <c r="AM109" i="8"/>
  <c r="AQ109" i="8"/>
  <c r="AU109" i="8"/>
  <c r="AY109" i="8"/>
  <c r="AF109" i="8"/>
  <c r="AJ109" i="8"/>
  <c r="AN109" i="8"/>
  <c r="AR109" i="8"/>
  <c r="AV109" i="8"/>
  <c r="AG109" i="8"/>
  <c r="AO109" i="8"/>
  <c r="AW109" i="8"/>
  <c r="AH109" i="8"/>
  <c r="AP109" i="8"/>
  <c r="AX109" i="8"/>
  <c r="AS109" i="8"/>
  <c r="AD109" i="8"/>
  <c r="AT109" i="8"/>
  <c r="AK109" i="8"/>
  <c r="AL109" i="8"/>
  <c r="AE101" i="8"/>
  <c r="AI101" i="8"/>
  <c r="AM101" i="8"/>
  <c r="AQ101" i="8"/>
  <c r="AU101" i="8"/>
  <c r="AY101" i="8"/>
  <c r="AF101" i="8"/>
  <c r="AJ101" i="8"/>
  <c r="AN101" i="8"/>
  <c r="AR101" i="8"/>
  <c r="AV101" i="8"/>
  <c r="AG101" i="8"/>
  <c r="AO101" i="8"/>
  <c r="AW101" i="8"/>
  <c r="AH101" i="8"/>
  <c r="AP101" i="8"/>
  <c r="AX101" i="8"/>
  <c r="AS101" i="8"/>
  <c r="AD101" i="8"/>
  <c r="AT101" i="8"/>
  <c r="AK101" i="8"/>
  <c r="AL101" i="8"/>
  <c r="AE93" i="8"/>
  <c r="AI93" i="8"/>
  <c r="AM93" i="8"/>
  <c r="AQ93" i="8"/>
  <c r="AU93" i="8"/>
  <c r="AY93" i="8"/>
  <c r="AF93" i="8"/>
  <c r="AJ93" i="8"/>
  <c r="AN93" i="8"/>
  <c r="AR93" i="8"/>
  <c r="AV93" i="8"/>
  <c r="AG93" i="8"/>
  <c r="AO93" i="8"/>
  <c r="AW93" i="8"/>
  <c r="AH93" i="8"/>
  <c r="AP93" i="8"/>
  <c r="AX93" i="8"/>
  <c r="AS93" i="8"/>
  <c r="AD93" i="8"/>
  <c r="AT93" i="8"/>
  <c r="AK93" i="8"/>
  <c r="AL93" i="8"/>
  <c r="AE89" i="8"/>
  <c r="AI89" i="8"/>
  <c r="AM89" i="8"/>
  <c r="AQ89" i="8"/>
  <c r="AU89" i="8"/>
  <c r="AY89" i="8"/>
  <c r="AF89" i="8"/>
  <c r="AJ89" i="8"/>
  <c r="AN89" i="8"/>
  <c r="AR89" i="8"/>
  <c r="AV89" i="8"/>
  <c r="AG89" i="8"/>
  <c r="AO89" i="8"/>
  <c r="AW89" i="8"/>
  <c r="AH89" i="8"/>
  <c r="AP89" i="8"/>
  <c r="AX89" i="8"/>
  <c r="AK89" i="8"/>
  <c r="AL89" i="8"/>
  <c r="AS89" i="8"/>
  <c r="AT89" i="8"/>
  <c r="AD89" i="8"/>
  <c r="AD81" i="8"/>
  <c r="AH81" i="8"/>
  <c r="AL81" i="8"/>
  <c r="AP81" i="8"/>
  <c r="AT81" i="8"/>
  <c r="AX81" i="8"/>
  <c r="AI81" i="8"/>
  <c r="AN81" i="8"/>
  <c r="AS81" i="8"/>
  <c r="AY81" i="8"/>
  <c r="AE81" i="8"/>
  <c r="AJ81" i="8"/>
  <c r="AO81" i="8"/>
  <c r="AU81" i="8"/>
  <c r="AF81" i="8"/>
  <c r="AQ81" i="8"/>
  <c r="AG81" i="8"/>
  <c r="AR81" i="8"/>
  <c r="AK81" i="8"/>
  <c r="AM81" i="8"/>
  <c r="AV81" i="8"/>
  <c r="AW81" i="8"/>
  <c r="AD73" i="8"/>
  <c r="AH73" i="8"/>
  <c r="AL73" i="8"/>
  <c r="AP73" i="8"/>
  <c r="AT73" i="8"/>
  <c r="AX73" i="8"/>
  <c r="AI73" i="8"/>
  <c r="AN73" i="8"/>
  <c r="AS73" i="8"/>
  <c r="AY73" i="8"/>
  <c r="AE73" i="8"/>
  <c r="AJ73" i="8"/>
  <c r="AO73" i="8"/>
  <c r="AU73" i="8"/>
  <c r="AK73" i="8"/>
  <c r="AV73" i="8"/>
  <c r="AM73" i="8"/>
  <c r="AW73" i="8"/>
  <c r="AQ73" i="8"/>
  <c r="AR73" i="8"/>
  <c r="AF73" i="8"/>
  <c r="AG73" i="8"/>
  <c r="AD65" i="8"/>
  <c r="AH65" i="8"/>
  <c r="AL65" i="8"/>
  <c r="AP65" i="8"/>
  <c r="AT65" i="8"/>
  <c r="AX65" i="8"/>
  <c r="AE65" i="8"/>
  <c r="AI65" i="8"/>
  <c r="AM65" i="8"/>
  <c r="AQ65" i="8"/>
  <c r="AU65" i="8"/>
  <c r="AY65" i="8"/>
  <c r="AJ65" i="8"/>
  <c r="AR65" i="8"/>
  <c r="AK65" i="8"/>
  <c r="AS65" i="8"/>
  <c r="AF65" i="8"/>
  <c r="AV65" i="8"/>
  <c r="AG65" i="8"/>
  <c r="AW65" i="8"/>
  <c r="AN65" i="8"/>
  <c r="AO65" i="8"/>
  <c r="AD57" i="8"/>
  <c r="AH57" i="8"/>
  <c r="AL57" i="8"/>
  <c r="AP57" i="8"/>
  <c r="AT57" i="8"/>
  <c r="AX57" i="8"/>
  <c r="AE57" i="8"/>
  <c r="AI57" i="8"/>
  <c r="AM57" i="8"/>
  <c r="AQ57" i="8"/>
  <c r="AU57" i="8"/>
  <c r="AY57" i="8"/>
  <c r="AJ57" i="8"/>
  <c r="AR57" i="8"/>
  <c r="AK57" i="8"/>
  <c r="AS57" i="8"/>
  <c r="AF57" i="8"/>
  <c r="AV57" i="8"/>
  <c r="AG57" i="8"/>
  <c r="AW57" i="8"/>
  <c r="AN57" i="8"/>
  <c r="AO57" i="8"/>
  <c r="AD49" i="8"/>
  <c r="AH49" i="8"/>
  <c r="AL49" i="8"/>
  <c r="AP49" i="8"/>
  <c r="AT49" i="8"/>
  <c r="AX49" i="8"/>
  <c r="AG49" i="8"/>
  <c r="AM49" i="8"/>
  <c r="AR49" i="8"/>
  <c r="AW49" i="8"/>
  <c r="AI49" i="8"/>
  <c r="AN49" i="8"/>
  <c r="AS49" i="8"/>
  <c r="AY49" i="8"/>
  <c r="AJ49" i="8"/>
  <c r="AU49" i="8"/>
  <c r="AK49" i="8"/>
  <c r="AV49" i="8"/>
  <c r="AE49" i="8"/>
  <c r="AF49" i="8"/>
  <c r="AO49" i="8"/>
  <c r="AQ49" i="8"/>
  <c r="AD41" i="8"/>
  <c r="AH41" i="8"/>
  <c r="AL41" i="8"/>
  <c r="AP41" i="8"/>
  <c r="AT41" i="8"/>
  <c r="AX41" i="8"/>
  <c r="AE41" i="8"/>
  <c r="AI41" i="8"/>
  <c r="AM41" i="8"/>
  <c r="AQ41" i="8"/>
  <c r="AU41" i="8"/>
  <c r="AY41" i="8"/>
  <c r="AF41" i="8"/>
  <c r="AN41" i="8"/>
  <c r="AV41" i="8"/>
  <c r="AG41" i="8"/>
  <c r="AO41" i="8"/>
  <c r="AW41" i="8"/>
  <c r="AJ41" i="8"/>
  <c r="AK41" i="8"/>
  <c r="AR41" i="8"/>
  <c r="AS41" i="8"/>
  <c r="AD33" i="8"/>
  <c r="AH33" i="8"/>
  <c r="AL33" i="8"/>
  <c r="AP33" i="8"/>
  <c r="AT33" i="8"/>
  <c r="AX33" i="8"/>
  <c r="AE33" i="8"/>
  <c r="AI33" i="8"/>
  <c r="AM33" i="8"/>
  <c r="AQ33" i="8"/>
  <c r="AU33" i="8"/>
  <c r="AY33" i="8"/>
  <c r="AF33" i="8"/>
  <c r="AN33" i="8"/>
  <c r="AV33" i="8"/>
  <c r="AG33" i="8"/>
  <c r="AO33" i="8"/>
  <c r="AW33" i="8"/>
  <c r="AJ33" i="8"/>
  <c r="AK33" i="8"/>
  <c r="AR33" i="8"/>
  <c r="AS33" i="8"/>
  <c r="AD29" i="8"/>
  <c r="AH29" i="8"/>
  <c r="AL29" i="8"/>
  <c r="AP29" i="8"/>
  <c r="AT29" i="8"/>
  <c r="AX29" i="8"/>
  <c r="AE29" i="8"/>
  <c r="AI29" i="8"/>
  <c r="AM29" i="8"/>
  <c r="AQ29" i="8"/>
  <c r="AU29" i="8"/>
  <c r="AY29" i="8"/>
  <c r="AF29" i="8"/>
  <c r="AN29" i="8"/>
  <c r="AV29" i="8"/>
  <c r="AG29" i="8"/>
  <c r="AO29" i="8"/>
  <c r="AW29" i="8"/>
  <c r="AR29" i="8"/>
  <c r="AS29" i="8"/>
  <c r="AJ29" i="8"/>
  <c r="AK29" i="8"/>
  <c r="AF21" i="8"/>
  <c r="AJ21" i="8"/>
  <c r="AN21" i="8"/>
  <c r="AR21" i="8"/>
  <c r="AV21" i="8"/>
  <c r="AG21" i="8"/>
  <c r="AK21" i="8"/>
  <c r="AO21" i="8"/>
  <c r="AS21" i="8"/>
  <c r="AW21" i="8"/>
  <c r="AD21" i="8"/>
  <c r="AL21" i="8"/>
  <c r="AT21" i="8"/>
  <c r="AE21" i="8"/>
  <c r="AM21" i="8"/>
  <c r="AU21" i="8"/>
  <c r="AH21" i="8"/>
  <c r="AX21" i="8"/>
  <c r="AI21" i="8"/>
  <c r="AY21" i="8"/>
  <c r="AP21" i="8"/>
  <c r="AQ21" i="8"/>
  <c r="AG17" i="8"/>
  <c r="AK17" i="8"/>
  <c r="AO17" i="8"/>
  <c r="AS17" i="8"/>
  <c r="AW17" i="8"/>
  <c r="AD17" i="8"/>
  <c r="AH17" i="8"/>
  <c r="AL17" i="8"/>
  <c r="AP17" i="8"/>
  <c r="AT17" i="8"/>
  <c r="AX17" i="8"/>
  <c r="AJ17" i="8"/>
  <c r="AR17" i="8"/>
  <c r="AE17" i="8"/>
  <c r="AM17" i="8"/>
  <c r="AU17" i="8"/>
  <c r="AN17" i="8"/>
  <c r="AQ17" i="8"/>
  <c r="AF17" i="8"/>
  <c r="AI17" i="8"/>
  <c r="AV17" i="8"/>
  <c r="AY17" i="8"/>
  <c r="AG13" i="8"/>
  <c r="AK13" i="8"/>
  <c r="AO13" i="8"/>
  <c r="AS13" i="8"/>
  <c r="AW13" i="8"/>
  <c r="AD13" i="8"/>
  <c r="AH13" i="8"/>
  <c r="AL13" i="8"/>
  <c r="AP13" i="8"/>
  <c r="AT13" i="8"/>
  <c r="AX13" i="8"/>
  <c r="AJ13" i="8"/>
  <c r="AR13" i="8"/>
  <c r="AE13" i="8"/>
  <c r="AM13" i="8"/>
  <c r="AU13" i="8"/>
  <c r="AF13" i="8"/>
  <c r="AV13" i="8"/>
  <c r="AI13" i="8"/>
  <c r="AY13" i="8"/>
  <c r="AN13" i="8"/>
  <c r="AQ13" i="8"/>
  <c r="AF9" i="8"/>
  <c r="AJ9" i="8"/>
  <c r="AN9" i="8"/>
  <c r="AR9" i="8"/>
  <c r="AV9" i="8"/>
  <c r="AG9" i="8"/>
  <c r="AK9" i="8"/>
  <c r="AO9" i="8"/>
  <c r="AS9" i="8"/>
  <c r="AW9" i="8"/>
  <c r="AD9" i="8"/>
  <c r="AH9" i="8"/>
  <c r="AL9" i="8"/>
  <c r="AP9" i="8"/>
  <c r="AT9" i="8"/>
  <c r="AX9" i="8"/>
  <c r="AI9" i="8"/>
  <c r="AY9" i="8"/>
  <c r="AM9" i="8"/>
  <c r="AE9" i="8"/>
  <c r="AQ9" i="8"/>
  <c r="AU9" i="8"/>
  <c r="AF5" i="8"/>
  <c r="AJ5" i="8"/>
  <c r="AN5" i="8"/>
  <c r="AR5" i="8"/>
  <c r="AV5" i="8"/>
  <c r="AG5" i="8"/>
  <c r="AK5" i="8"/>
  <c r="AO5" i="8"/>
  <c r="AS5" i="8"/>
  <c r="AW5" i="8"/>
  <c r="AD5" i="8"/>
  <c r="AH5" i="8"/>
  <c r="AL5" i="8"/>
  <c r="AP5" i="8"/>
  <c r="AT5" i="8"/>
  <c r="AX5" i="8"/>
  <c r="AQ5" i="8"/>
  <c r="AE5" i="8"/>
  <c r="AU5" i="8"/>
  <c r="AY5" i="8"/>
  <c r="AI5" i="8"/>
  <c r="AM5" i="8"/>
  <c r="AW513" i="8"/>
  <c r="AS513" i="8"/>
  <c r="AO513" i="8"/>
  <c r="AK513" i="8"/>
  <c r="AG513" i="8"/>
  <c r="AW509" i="8"/>
  <c r="AS509" i="8"/>
  <c r="AO509" i="8"/>
  <c r="AK509" i="8"/>
  <c r="AG509" i="8"/>
  <c r="AK505" i="8"/>
  <c r="AW501" i="8"/>
  <c r="AS501" i="8"/>
  <c r="AO501" i="8"/>
  <c r="AK501" i="8"/>
  <c r="AG501" i="8"/>
  <c r="AS497" i="8"/>
  <c r="AK497" i="8"/>
  <c r="AW493" i="8"/>
  <c r="AS493" i="8"/>
  <c r="AO493" i="8"/>
  <c r="AK493" i="8"/>
  <c r="AG493" i="8"/>
  <c r="AO489" i="8"/>
  <c r="AW485" i="8"/>
  <c r="AS485" i="8"/>
  <c r="AO485" i="8"/>
  <c r="AK485" i="8"/>
  <c r="AG485" i="8"/>
  <c r="AW481" i="8"/>
  <c r="AS481" i="8"/>
  <c r="AO481" i="8"/>
  <c r="AK481" i="8"/>
  <c r="AG481" i="8"/>
  <c r="AS477" i="8"/>
  <c r="AG477" i="8"/>
  <c r="AK473" i="8"/>
  <c r="AR461" i="8"/>
  <c r="AR453" i="8"/>
  <c r="AG467" i="8"/>
  <c r="AO463" i="8"/>
  <c r="AI463" i="8"/>
  <c r="AY463" i="8"/>
  <c r="AO451" i="8"/>
  <c r="AS451" i="8"/>
  <c r="AI451" i="8"/>
  <c r="AM451" i="8"/>
  <c r="AY451" i="8"/>
  <c r="AG435" i="8"/>
  <c r="AK435" i="8"/>
  <c r="AW435" i="8"/>
  <c r="AE435" i="8"/>
  <c r="AQ435" i="8"/>
  <c r="AU435" i="8"/>
  <c r="AO419" i="8"/>
  <c r="AS419" i="8"/>
  <c r="AI419" i="8"/>
  <c r="AM419" i="8"/>
  <c r="AY419" i="8"/>
  <c r="AF403" i="8"/>
  <c r="AJ403" i="8"/>
  <c r="AV403" i="8"/>
  <c r="AD403" i="8"/>
  <c r="AT403" i="8"/>
  <c r="AY403" i="8"/>
  <c r="AQ403" i="8"/>
  <c r="AW403" i="8"/>
  <c r="AF387" i="8"/>
  <c r="AJ387" i="8"/>
  <c r="AV387" i="8"/>
  <c r="AD387" i="8"/>
  <c r="AT387" i="8"/>
  <c r="AY387" i="8"/>
  <c r="AP387" i="8"/>
  <c r="AU387" i="8"/>
  <c r="AQ387" i="8"/>
  <c r="AW387" i="8"/>
  <c r="AF371" i="8"/>
  <c r="AJ371" i="8"/>
  <c r="AV371" i="8"/>
  <c r="AD371" i="8"/>
  <c r="AT371" i="8"/>
  <c r="AY371" i="8"/>
  <c r="AP371" i="8"/>
  <c r="AU371" i="8"/>
  <c r="AQ371" i="8"/>
  <c r="AW371" i="8"/>
  <c r="AR367" i="8"/>
  <c r="AQ367" i="8"/>
  <c r="AS367" i="8"/>
  <c r="AO367" i="8"/>
  <c r="AJ359" i="8"/>
  <c r="AG359" i="8"/>
  <c r="AH359" i="8"/>
  <c r="AD359" i="8"/>
  <c r="AY359" i="8"/>
  <c r="AR351" i="8"/>
  <c r="AQ351" i="8"/>
  <c r="AO351" i="8"/>
  <c r="AU351" i="8"/>
  <c r="AP351" i="8"/>
  <c r="AR343" i="8"/>
  <c r="AQ343" i="8"/>
  <c r="AO343" i="8"/>
  <c r="AP343" i="8"/>
  <c r="AU343" i="8"/>
  <c r="AR335" i="8"/>
  <c r="AQ335" i="8"/>
  <c r="AO335" i="8"/>
  <c r="AU335" i="8"/>
  <c r="AP335" i="8"/>
  <c r="AN323" i="8"/>
  <c r="AR323" i="8"/>
  <c r="AI323" i="8"/>
  <c r="AO323" i="8"/>
  <c r="AG323" i="8"/>
  <c r="AL323" i="8"/>
  <c r="AH323" i="8"/>
  <c r="AS323" i="8"/>
  <c r="AM323" i="8"/>
  <c r="AX323" i="8"/>
  <c r="AR319" i="8"/>
  <c r="AQ319" i="8"/>
  <c r="AO319" i="8"/>
  <c r="AU319" i="8"/>
  <c r="AP319" i="8"/>
  <c r="AR311" i="8"/>
  <c r="AQ311" i="8"/>
  <c r="AO311" i="8"/>
  <c r="AP311" i="8"/>
  <c r="AU311" i="8"/>
  <c r="AM295" i="8"/>
  <c r="AF295" i="8"/>
  <c r="AV295" i="8"/>
  <c r="AH295" i="8"/>
  <c r="AS295" i="8"/>
  <c r="AI287" i="8"/>
  <c r="AY287" i="8"/>
  <c r="AR287" i="8"/>
  <c r="AW287" i="8"/>
  <c r="AK287" i="8"/>
  <c r="AE279" i="8"/>
  <c r="AU279" i="8"/>
  <c r="AN279" i="8"/>
  <c r="AS279" i="8"/>
  <c r="AW279" i="8"/>
  <c r="AD279" i="8"/>
  <c r="AM271" i="8"/>
  <c r="AF271" i="8"/>
  <c r="AV271" i="8"/>
  <c r="AO271" i="8"/>
  <c r="AL271" i="8"/>
  <c r="AE259" i="8"/>
  <c r="AQ259" i="8"/>
  <c r="AU259" i="8"/>
  <c r="AJ259" i="8"/>
  <c r="AN259" i="8"/>
  <c r="AK259" i="8"/>
  <c r="AS259" i="8"/>
  <c r="AW259" i="8"/>
  <c r="AP259" i="8"/>
  <c r="AH259" i="8"/>
  <c r="AX259" i="8"/>
  <c r="AG247" i="8"/>
  <c r="AW247" i="8"/>
  <c r="AU247" i="8"/>
  <c r="AV247" i="8"/>
  <c r="AX247" i="8"/>
  <c r="AN247" i="8"/>
  <c r="AG227" i="8"/>
  <c r="AS227" i="8"/>
  <c r="AW227" i="8"/>
  <c r="AR227" i="8"/>
  <c r="AX227" i="8"/>
  <c r="AN227" i="8"/>
  <c r="AT227" i="8"/>
  <c r="AU227" i="8"/>
  <c r="AL227" i="8"/>
  <c r="AE227" i="8"/>
  <c r="AF227" i="8"/>
  <c r="AG211" i="8"/>
  <c r="AS211" i="8"/>
  <c r="AW211" i="8"/>
  <c r="AR211" i="8"/>
  <c r="AX211" i="8"/>
  <c r="AN211" i="8"/>
  <c r="AT211" i="8"/>
  <c r="AU211" i="8"/>
  <c r="AL211" i="8"/>
  <c r="AP211" i="8"/>
  <c r="AQ211" i="8"/>
  <c r="AG199" i="8"/>
  <c r="AW199" i="8"/>
  <c r="AU199" i="8"/>
  <c r="AV199" i="8"/>
  <c r="AT199" i="8"/>
  <c r="AY199" i="8"/>
  <c r="AS191" i="8"/>
  <c r="AP191" i="8"/>
  <c r="AQ191" i="8"/>
  <c r="AD191" i="8"/>
  <c r="AH191" i="8"/>
  <c r="AJ183" i="8"/>
  <c r="AG183" i="8"/>
  <c r="AH183" i="8"/>
  <c r="AI183" i="8"/>
  <c r="AO183" i="8"/>
  <c r="AE183" i="8"/>
  <c r="AR175" i="8"/>
  <c r="AQ175" i="8"/>
  <c r="AS175" i="8"/>
  <c r="AY175" i="8"/>
  <c r="AU175" i="8"/>
  <c r="AJ167" i="8"/>
  <c r="AG167" i="8"/>
  <c r="AH167" i="8"/>
  <c r="AI167" i="8"/>
  <c r="AD167" i="8"/>
  <c r="AF159" i="8"/>
  <c r="AV159" i="8"/>
  <c r="AW159" i="8"/>
  <c r="AX159" i="8"/>
  <c r="AE159" i="8"/>
  <c r="AT159" i="8"/>
  <c r="AN151" i="8"/>
  <c r="AL151" i="8"/>
  <c r="AM151" i="8"/>
  <c r="AT151" i="8"/>
  <c r="AP151" i="8"/>
  <c r="AE143" i="8"/>
  <c r="AU143" i="8"/>
  <c r="AN143" i="8"/>
  <c r="AO143" i="8"/>
  <c r="AX143" i="8"/>
  <c r="AT143" i="8"/>
  <c r="AE135" i="8"/>
  <c r="AU135" i="8"/>
  <c r="AN135" i="8"/>
  <c r="AO135" i="8"/>
  <c r="AX135" i="8"/>
  <c r="AS135" i="8"/>
  <c r="AM127" i="8"/>
  <c r="AF127" i="8"/>
  <c r="AV127" i="8"/>
  <c r="AH127" i="8"/>
  <c r="AL127" i="8"/>
  <c r="AF115" i="8"/>
  <c r="AR115" i="8"/>
  <c r="AV115" i="8"/>
  <c r="AS115" i="8"/>
  <c r="AX115" i="8"/>
  <c r="AO115" i="8"/>
  <c r="AT115" i="8"/>
  <c r="AU115" i="8"/>
  <c r="AL115" i="8"/>
  <c r="AG115" i="8"/>
  <c r="AP115" i="8"/>
  <c r="AE99" i="8"/>
  <c r="AQ99" i="8"/>
  <c r="AU99" i="8"/>
  <c r="AJ99" i="8"/>
  <c r="AN99" i="8"/>
  <c r="AK99" i="8"/>
  <c r="AS99" i="8"/>
  <c r="AT99" i="8"/>
  <c r="AO99" i="8"/>
  <c r="AX99" i="8"/>
  <c r="AG99" i="8"/>
  <c r="AM95" i="8"/>
  <c r="AF95" i="8"/>
  <c r="AV95" i="8"/>
  <c r="AL95" i="8"/>
  <c r="AH95" i="8"/>
  <c r="AE87" i="8"/>
  <c r="AU87" i="8"/>
  <c r="AN87" i="8"/>
  <c r="AS87" i="8"/>
  <c r="AG87" i="8"/>
  <c r="AO87" i="8"/>
  <c r="AL79" i="8"/>
  <c r="AE79" i="8"/>
  <c r="AF79" i="8"/>
  <c r="AG79" i="8"/>
  <c r="AM79" i="8"/>
  <c r="AD71" i="8"/>
  <c r="AT71" i="8"/>
  <c r="AO71" i="8"/>
  <c r="AQ71" i="8"/>
  <c r="AN71" i="8"/>
  <c r="AG71" i="8"/>
  <c r="AH67" i="8"/>
  <c r="AL67" i="8"/>
  <c r="AP67" i="8"/>
  <c r="AX67" i="8"/>
  <c r="AG67" i="8"/>
  <c r="AM67" i="8"/>
  <c r="AW67" i="8"/>
  <c r="AI67" i="8"/>
  <c r="AN67" i="8"/>
  <c r="AY67" i="8"/>
  <c r="AE67" i="8"/>
  <c r="AO67" i="8"/>
  <c r="AQ67" i="8"/>
  <c r="AU67" i="8"/>
  <c r="AV67" i="8"/>
  <c r="AK67" i="8"/>
  <c r="AD63" i="8"/>
  <c r="AT63" i="8"/>
  <c r="AM63" i="8"/>
  <c r="AF63" i="8"/>
  <c r="AO63" i="8"/>
  <c r="AJ63" i="8"/>
  <c r="AL55" i="8"/>
  <c r="AE55" i="8"/>
  <c r="AU55" i="8"/>
  <c r="AV55" i="8"/>
  <c r="AR55" i="8"/>
  <c r="AD51" i="8"/>
  <c r="AH51" i="8"/>
  <c r="AP51" i="8"/>
  <c r="AT51" i="8"/>
  <c r="AX51" i="8"/>
  <c r="AK51" i="8"/>
  <c r="AQ51" i="8"/>
  <c r="AV51" i="8"/>
  <c r="AM51" i="8"/>
  <c r="AR51" i="8"/>
  <c r="AW51" i="8"/>
  <c r="AS51" i="8"/>
  <c r="AJ51" i="8"/>
  <c r="AU51" i="8"/>
  <c r="AE51" i="8"/>
  <c r="AN51" i="8"/>
  <c r="AO51" i="8"/>
  <c r="AL47" i="8"/>
  <c r="AE47" i="8"/>
  <c r="AU47" i="8"/>
  <c r="AK47" i="8"/>
  <c r="AG47" i="8"/>
  <c r="AL39" i="8"/>
  <c r="AE39" i="8"/>
  <c r="AU39" i="8"/>
  <c r="AK39" i="8"/>
  <c r="AG39" i="8"/>
  <c r="AD35" i="8"/>
  <c r="AH35" i="8"/>
  <c r="AP35" i="8"/>
  <c r="AT35" i="8"/>
  <c r="AX35" i="8"/>
  <c r="AI35" i="8"/>
  <c r="AM35" i="8"/>
  <c r="AQ35" i="8"/>
  <c r="AY35" i="8"/>
  <c r="AJ35" i="8"/>
  <c r="AR35" i="8"/>
  <c r="AS35" i="8"/>
  <c r="AN35" i="8"/>
  <c r="AO35" i="8"/>
  <c r="AG35" i="8"/>
  <c r="AV35" i="8"/>
  <c r="AW35" i="8"/>
  <c r="AL31" i="8"/>
  <c r="AE31" i="8"/>
  <c r="AU31" i="8"/>
  <c r="AK31" i="8"/>
  <c r="AG31" i="8"/>
  <c r="AN23" i="8"/>
  <c r="AK23" i="8"/>
  <c r="AH23" i="8"/>
  <c r="AQ23" i="8"/>
  <c r="AD23" i="8"/>
  <c r="AG19" i="8"/>
  <c r="AK19" i="8"/>
  <c r="AH19" i="8"/>
  <c r="AL19" i="8"/>
  <c r="AF19" i="8"/>
  <c r="AR19" i="8"/>
  <c r="AV19" i="8"/>
  <c r="AI19" i="8"/>
  <c r="AS19" i="8"/>
  <c r="AW19" i="8"/>
  <c r="AP19" i="8"/>
  <c r="AE19" i="8"/>
  <c r="AQ19" i="8"/>
  <c r="AY19" i="8"/>
  <c r="AU19" i="8"/>
  <c r="AJ19" i="8"/>
  <c r="AM19" i="8"/>
  <c r="AO15" i="8"/>
  <c r="AH15" i="8"/>
  <c r="AX15" i="8"/>
  <c r="AI15" i="8"/>
  <c r="AM15" i="8"/>
  <c r="AN7" i="8"/>
  <c r="AK7" i="8"/>
  <c r="AD7" i="8"/>
  <c r="AT7" i="8"/>
  <c r="AI7" i="8"/>
  <c r="AE466" i="8"/>
  <c r="AI466" i="8"/>
  <c r="AM466" i="8"/>
  <c r="AQ466" i="8"/>
  <c r="AU466" i="8"/>
  <c r="AY466" i="8"/>
  <c r="AG466" i="8"/>
  <c r="AK466" i="8"/>
  <c r="AO466" i="8"/>
  <c r="AS466" i="8"/>
  <c r="AW466" i="8"/>
  <c r="AE462" i="8"/>
  <c r="AI462" i="8"/>
  <c r="AM462" i="8"/>
  <c r="AQ462" i="8"/>
  <c r="AU462" i="8"/>
  <c r="AY462" i="8"/>
  <c r="AG462" i="8"/>
  <c r="AK462" i="8"/>
  <c r="AO462" i="8"/>
  <c r="AS462" i="8"/>
  <c r="AW462" i="8"/>
  <c r="AE458" i="8"/>
  <c r="AI458" i="8"/>
  <c r="AM458" i="8"/>
  <c r="AQ458" i="8"/>
  <c r="AU458" i="8"/>
  <c r="AY458" i="8"/>
  <c r="AG458" i="8"/>
  <c r="AK458" i="8"/>
  <c r="AO458" i="8"/>
  <c r="AS458" i="8"/>
  <c r="AW458" i="8"/>
  <c r="AE454" i="8"/>
  <c r="AI454" i="8"/>
  <c r="AM454" i="8"/>
  <c r="AQ454" i="8"/>
  <c r="AU454" i="8"/>
  <c r="AY454" i="8"/>
  <c r="AG454" i="8"/>
  <c r="AK454" i="8"/>
  <c r="AO454" i="8"/>
  <c r="AS454" i="8"/>
  <c r="AW454" i="8"/>
  <c r="AE450" i="8"/>
  <c r="AI450" i="8"/>
  <c r="AM450" i="8"/>
  <c r="AQ450" i="8"/>
  <c r="AU450" i="8"/>
  <c r="AY450" i="8"/>
  <c r="AG450" i="8"/>
  <c r="AK450" i="8"/>
  <c r="AO450" i="8"/>
  <c r="AS450" i="8"/>
  <c r="AW450" i="8"/>
  <c r="AE446" i="8"/>
  <c r="AI446" i="8"/>
  <c r="AM446" i="8"/>
  <c r="AQ446" i="8"/>
  <c r="AU446" i="8"/>
  <c r="AY446" i="8"/>
  <c r="AG446" i="8"/>
  <c r="AK446" i="8"/>
  <c r="AO446" i="8"/>
  <c r="AS446" i="8"/>
  <c r="AW446" i="8"/>
  <c r="AE442" i="8"/>
  <c r="AI442" i="8"/>
  <c r="AM442" i="8"/>
  <c r="AQ442" i="8"/>
  <c r="AU442" i="8"/>
  <c r="AY442" i="8"/>
  <c r="AG442" i="8"/>
  <c r="AK442" i="8"/>
  <c r="AO442" i="8"/>
  <c r="AS442" i="8"/>
  <c r="AW442" i="8"/>
  <c r="AE438" i="8"/>
  <c r="AI438" i="8"/>
  <c r="AM438" i="8"/>
  <c r="AQ438" i="8"/>
  <c r="AU438" i="8"/>
  <c r="AY438" i="8"/>
  <c r="AG438" i="8"/>
  <c r="AK438" i="8"/>
  <c r="AO438" i="8"/>
  <c r="AS438" i="8"/>
  <c r="AW438" i="8"/>
  <c r="AE434" i="8"/>
  <c r="AI434" i="8"/>
  <c r="AM434" i="8"/>
  <c r="AQ434" i="8"/>
  <c r="AU434" i="8"/>
  <c r="AY434" i="8"/>
  <c r="AG434" i="8"/>
  <c r="AK434" i="8"/>
  <c r="AO434" i="8"/>
  <c r="AS434" i="8"/>
  <c r="AW434" i="8"/>
  <c r="AE430" i="8"/>
  <c r="AI430" i="8"/>
  <c r="AM430" i="8"/>
  <c r="AQ430" i="8"/>
  <c r="AU430" i="8"/>
  <c r="AY430" i="8"/>
  <c r="AG430" i="8"/>
  <c r="AK430" i="8"/>
  <c r="AO430" i="8"/>
  <c r="AS430" i="8"/>
  <c r="AW430" i="8"/>
  <c r="AE426" i="8"/>
  <c r="AI426" i="8"/>
  <c r="AM426" i="8"/>
  <c r="AQ426" i="8"/>
  <c r="AU426" i="8"/>
  <c r="AY426" i="8"/>
  <c r="AG426" i="8"/>
  <c r="AK426" i="8"/>
  <c r="AO426" i="8"/>
  <c r="AS426" i="8"/>
  <c r="AW426" i="8"/>
  <c r="AE422" i="8"/>
  <c r="AI422" i="8"/>
  <c r="AM422" i="8"/>
  <c r="AQ422" i="8"/>
  <c r="AU422" i="8"/>
  <c r="AY422" i="8"/>
  <c r="AG422" i="8"/>
  <c r="AK422" i="8"/>
  <c r="AO422" i="8"/>
  <c r="AS422" i="8"/>
  <c r="AW422" i="8"/>
  <c r="AE418" i="8"/>
  <c r="AI418" i="8"/>
  <c r="AM418" i="8"/>
  <c r="AQ418" i="8"/>
  <c r="AU418" i="8"/>
  <c r="AY418" i="8"/>
  <c r="AG418" i="8"/>
  <c r="AK418" i="8"/>
  <c r="AO418" i="8"/>
  <c r="AS418" i="8"/>
  <c r="AW418" i="8"/>
  <c r="AE414" i="8"/>
  <c r="AI414" i="8"/>
  <c r="AM414" i="8"/>
  <c r="AQ414" i="8"/>
  <c r="AU414" i="8"/>
  <c r="AY414" i="8"/>
  <c r="AG414" i="8"/>
  <c r="AK414" i="8"/>
  <c r="AO414" i="8"/>
  <c r="AS414" i="8"/>
  <c r="AW414" i="8"/>
  <c r="AD410" i="8"/>
  <c r="AE410" i="8"/>
  <c r="AI410" i="8"/>
  <c r="AM410" i="8"/>
  <c r="AQ410" i="8"/>
  <c r="AU410" i="8"/>
  <c r="AY410" i="8"/>
  <c r="AG410" i="8"/>
  <c r="AK410" i="8"/>
  <c r="AO410" i="8"/>
  <c r="AS410" i="8"/>
  <c r="AW410" i="8"/>
  <c r="AD406" i="8"/>
  <c r="AH406" i="8"/>
  <c r="AL406" i="8"/>
  <c r="AP406" i="8"/>
  <c r="AT406" i="8"/>
  <c r="AX406" i="8"/>
  <c r="AG406" i="8"/>
  <c r="AM406" i="8"/>
  <c r="AR406" i="8"/>
  <c r="AW406" i="8"/>
  <c r="AE406" i="8"/>
  <c r="AJ406" i="8"/>
  <c r="AO406" i="8"/>
  <c r="AU406" i="8"/>
  <c r="AD402" i="8"/>
  <c r="AH402" i="8"/>
  <c r="AL402" i="8"/>
  <c r="AP402" i="8"/>
  <c r="AT402" i="8"/>
  <c r="AX402" i="8"/>
  <c r="AE402" i="8"/>
  <c r="AJ402" i="8"/>
  <c r="AO402" i="8"/>
  <c r="AU402" i="8"/>
  <c r="AG402" i="8"/>
  <c r="AM402" i="8"/>
  <c r="AR402" i="8"/>
  <c r="AW402" i="8"/>
  <c r="AD398" i="8"/>
  <c r="AH398" i="8"/>
  <c r="AL398" i="8"/>
  <c r="AP398" i="8"/>
  <c r="AT398" i="8"/>
  <c r="AX398" i="8"/>
  <c r="AG398" i="8"/>
  <c r="AM398" i="8"/>
  <c r="AR398" i="8"/>
  <c r="AW398" i="8"/>
  <c r="AE398" i="8"/>
  <c r="AJ398" i="8"/>
  <c r="AO398" i="8"/>
  <c r="AU398" i="8"/>
  <c r="AD394" i="8"/>
  <c r="AH394" i="8"/>
  <c r="AL394" i="8"/>
  <c r="AP394" i="8"/>
  <c r="AT394" i="8"/>
  <c r="AX394" i="8"/>
  <c r="AE394" i="8"/>
  <c r="AJ394" i="8"/>
  <c r="AO394" i="8"/>
  <c r="AU394" i="8"/>
  <c r="AF394" i="8"/>
  <c r="AK394" i="8"/>
  <c r="AQ394" i="8"/>
  <c r="AV394" i="8"/>
  <c r="AG394" i="8"/>
  <c r="AM394" i="8"/>
  <c r="AR394" i="8"/>
  <c r="AW394" i="8"/>
  <c r="AD390" i="8"/>
  <c r="AH390" i="8"/>
  <c r="AL390" i="8"/>
  <c r="AP390" i="8"/>
  <c r="AT390" i="8"/>
  <c r="AX390" i="8"/>
  <c r="AG390" i="8"/>
  <c r="AM390" i="8"/>
  <c r="AR390" i="8"/>
  <c r="AW390" i="8"/>
  <c r="AI390" i="8"/>
  <c r="AN390" i="8"/>
  <c r="AS390" i="8"/>
  <c r="AY390" i="8"/>
  <c r="AE390" i="8"/>
  <c r="AJ390" i="8"/>
  <c r="AO390" i="8"/>
  <c r="AU390" i="8"/>
  <c r="AD386" i="8"/>
  <c r="AH386" i="8"/>
  <c r="AL386" i="8"/>
  <c r="AP386" i="8"/>
  <c r="AT386" i="8"/>
  <c r="AX386" i="8"/>
  <c r="AE386" i="8"/>
  <c r="AJ386" i="8"/>
  <c r="AO386" i="8"/>
  <c r="AU386" i="8"/>
  <c r="AF386" i="8"/>
  <c r="AK386" i="8"/>
  <c r="AQ386" i="8"/>
  <c r="AV386" i="8"/>
  <c r="AG386" i="8"/>
  <c r="AM386" i="8"/>
  <c r="AR386" i="8"/>
  <c r="AW386" i="8"/>
  <c r="AD382" i="8"/>
  <c r="AH382" i="8"/>
  <c r="AL382" i="8"/>
  <c r="AP382" i="8"/>
  <c r="AT382" i="8"/>
  <c r="AX382" i="8"/>
  <c r="AG382" i="8"/>
  <c r="AM382" i="8"/>
  <c r="AR382" i="8"/>
  <c r="AW382" i="8"/>
  <c r="AI382" i="8"/>
  <c r="AN382" i="8"/>
  <c r="AS382" i="8"/>
  <c r="AY382" i="8"/>
  <c r="AE382" i="8"/>
  <c r="AJ382" i="8"/>
  <c r="AO382" i="8"/>
  <c r="AU382" i="8"/>
  <c r="AD378" i="8"/>
  <c r="AH378" i="8"/>
  <c r="AL378" i="8"/>
  <c r="AP378" i="8"/>
  <c r="AT378" i="8"/>
  <c r="AX378" i="8"/>
  <c r="AE378" i="8"/>
  <c r="AJ378" i="8"/>
  <c r="AO378" i="8"/>
  <c r="AU378" i="8"/>
  <c r="AF378" i="8"/>
  <c r="AK378" i="8"/>
  <c r="AQ378" i="8"/>
  <c r="AV378" i="8"/>
  <c r="AG378" i="8"/>
  <c r="AM378" i="8"/>
  <c r="AR378" i="8"/>
  <c r="AW378" i="8"/>
  <c r="AD374" i="8"/>
  <c r="AH374" i="8"/>
  <c r="AL374" i="8"/>
  <c r="AP374" i="8"/>
  <c r="AT374" i="8"/>
  <c r="AX374" i="8"/>
  <c r="AG374" i="8"/>
  <c r="AM374" i="8"/>
  <c r="AR374" i="8"/>
  <c r="AW374" i="8"/>
  <c r="AI374" i="8"/>
  <c r="AN374" i="8"/>
  <c r="AS374" i="8"/>
  <c r="AY374" i="8"/>
  <c r="AE374" i="8"/>
  <c r="AJ374" i="8"/>
  <c r="AO374" i="8"/>
  <c r="AU374" i="8"/>
  <c r="AD370" i="8"/>
  <c r="AH370" i="8"/>
  <c r="AL370" i="8"/>
  <c r="AP370" i="8"/>
  <c r="AT370" i="8"/>
  <c r="AX370" i="8"/>
  <c r="AE370" i="8"/>
  <c r="AJ370" i="8"/>
  <c r="AO370" i="8"/>
  <c r="AU370" i="8"/>
  <c r="AF370" i="8"/>
  <c r="AK370" i="8"/>
  <c r="AQ370" i="8"/>
  <c r="AV370" i="8"/>
  <c r="AG370" i="8"/>
  <c r="AM370" i="8"/>
  <c r="AR370" i="8"/>
  <c r="AW370" i="8"/>
  <c r="AD366" i="8"/>
  <c r="AH366" i="8"/>
  <c r="AL366" i="8"/>
  <c r="AP366" i="8"/>
  <c r="AT366" i="8"/>
  <c r="AX366" i="8"/>
  <c r="AG366" i="8"/>
  <c r="AM366" i="8"/>
  <c r="AR366" i="8"/>
  <c r="AW366" i="8"/>
  <c r="AI366" i="8"/>
  <c r="AN366" i="8"/>
  <c r="AS366" i="8"/>
  <c r="AY366" i="8"/>
  <c r="AE366" i="8"/>
  <c r="AJ366" i="8"/>
  <c r="AO366" i="8"/>
  <c r="AU366" i="8"/>
  <c r="AD362" i="8"/>
  <c r="AH362" i="8"/>
  <c r="AL362" i="8"/>
  <c r="AP362" i="8"/>
  <c r="AT362" i="8"/>
  <c r="AX362" i="8"/>
  <c r="AE362" i="8"/>
  <c r="AJ362" i="8"/>
  <c r="AO362" i="8"/>
  <c r="AU362" i="8"/>
  <c r="AF362" i="8"/>
  <c r="AK362" i="8"/>
  <c r="AQ362" i="8"/>
  <c r="AV362" i="8"/>
  <c r="AG362" i="8"/>
  <c r="AM362" i="8"/>
  <c r="AR362" i="8"/>
  <c r="AW362" i="8"/>
  <c r="AD358" i="8"/>
  <c r="AH358" i="8"/>
  <c r="AL358" i="8"/>
  <c r="AP358" i="8"/>
  <c r="AT358" i="8"/>
  <c r="AX358" i="8"/>
  <c r="AG358" i="8"/>
  <c r="AM358" i="8"/>
  <c r="AR358" i="8"/>
  <c r="AW358" i="8"/>
  <c r="AI358" i="8"/>
  <c r="AN358" i="8"/>
  <c r="AS358" i="8"/>
  <c r="AY358" i="8"/>
  <c r="AE358" i="8"/>
  <c r="AJ358" i="8"/>
  <c r="AO358" i="8"/>
  <c r="AU358" i="8"/>
  <c r="AD354" i="8"/>
  <c r="AH354" i="8"/>
  <c r="AL354" i="8"/>
  <c r="AP354" i="8"/>
  <c r="AT354" i="8"/>
  <c r="AX354" i="8"/>
  <c r="AE354" i="8"/>
  <c r="AJ354" i="8"/>
  <c r="AO354" i="8"/>
  <c r="AU354" i="8"/>
  <c r="AF354" i="8"/>
  <c r="AK354" i="8"/>
  <c r="AQ354" i="8"/>
  <c r="AV354" i="8"/>
  <c r="AG354" i="8"/>
  <c r="AM354" i="8"/>
  <c r="AR354" i="8"/>
  <c r="AW354" i="8"/>
  <c r="AD350" i="8"/>
  <c r="AH350" i="8"/>
  <c r="AL350" i="8"/>
  <c r="AP350" i="8"/>
  <c r="AT350" i="8"/>
  <c r="AX350" i="8"/>
  <c r="AG350" i="8"/>
  <c r="AM350" i="8"/>
  <c r="AR350" i="8"/>
  <c r="AW350" i="8"/>
  <c r="AE350" i="8"/>
  <c r="AJ350" i="8"/>
  <c r="AO350" i="8"/>
  <c r="AU350" i="8"/>
  <c r="AK350" i="8"/>
  <c r="AV350" i="8"/>
  <c r="AN350" i="8"/>
  <c r="AY350" i="8"/>
  <c r="AF350" i="8"/>
  <c r="AQ350" i="8"/>
  <c r="AD346" i="8"/>
  <c r="AH346" i="8"/>
  <c r="AL346" i="8"/>
  <c r="AP346" i="8"/>
  <c r="AT346" i="8"/>
  <c r="AX346" i="8"/>
  <c r="AE346" i="8"/>
  <c r="AJ346" i="8"/>
  <c r="AO346" i="8"/>
  <c r="AU346" i="8"/>
  <c r="AG346" i="8"/>
  <c r="AM346" i="8"/>
  <c r="AR346" i="8"/>
  <c r="AW346" i="8"/>
  <c r="AN346" i="8"/>
  <c r="AY346" i="8"/>
  <c r="AF346" i="8"/>
  <c r="AQ346" i="8"/>
  <c r="AI346" i="8"/>
  <c r="AS346" i="8"/>
  <c r="AD342" i="8"/>
  <c r="AH342" i="8"/>
  <c r="AL342" i="8"/>
  <c r="AP342" i="8"/>
  <c r="AT342" i="8"/>
  <c r="AX342" i="8"/>
  <c r="AG342" i="8"/>
  <c r="AM342" i="8"/>
  <c r="AR342" i="8"/>
  <c r="AW342" i="8"/>
  <c r="AE342" i="8"/>
  <c r="AJ342" i="8"/>
  <c r="AO342" i="8"/>
  <c r="AU342" i="8"/>
  <c r="AF342" i="8"/>
  <c r="AQ342" i="8"/>
  <c r="AI342" i="8"/>
  <c r="AS342" i="8"/>
  <c r="AK342" i="8"/>
  <c r="AV342" i="8"/>
  <c r="AD338" i="8"/>
  <c r="AH338" i="8"/>
  <c r="AL338" i="8"/>
  <c r="AP338" i="8"/>
  <c r="AT338" i="8"/>
  <c r="AX338" i="8"/>
  <c r="AE338" i="8"/>
  <c r="AJ338" i="8"/>
  <c r="AO338" i="8"/>
  <c r="AU338" i="8"/>
  <c r="AG338" i="8"/>
  <c r="AM338" i="8"/>
  <c r="AR338" i="8"/>
  <c r="AW338" i="8"/>
  <c r="AI338" i="8"/>
  <c r="AS338" i="8"/>
  <c r="AK338" i="8"/>
  <c r="AV338" i="8"/>
  <c r="AN338" i="8"/>
  <c r="AY338" i="8"/>
  <c r="AD334" i="8"/>
  <c r="AH334" i="8"/>
  <c r="AL334" i="8"/>
  <c r="AP334" i="8"/>
  <c r="AT334" i="8"/>
  <c r="AX334" i="8"/>
  <c r="AG334" i="8"/>
  <c r="AM334" i="8"/>
  <c r="AR334" i="8"/>
  <c r="AW334" i="8"/>
  <c r="AE334" i="8"/>
  <c r="AJ334" i="8"/>
  <c r="AO334" i="8"/>
  <c r="AU334" i="8"/>
  <c r="AK334" i="8"/>
  <c r="AV334" i="8"/>
  <c r="AN334" i="8"/>
  <c r="AY334" i="8"/>
  <c r="AF334" i="8"/>
  <c r="AQ334" i="8"/>
  <c r="AD330" i="8"/>
  <c r="AH330" i="8"/>
  <c r="AL330" i="8"/>
  <c r="AP330" i="8"/>
  <c r="AT330" i="8"/>
  <c r="AX330" i="8"/>
  <c r="AE330" i="8"/>
  <c r="AJ330" i="8"/>
  <c r="AO330" i="8"/>
  <c r="AU330" i="8"/>
  <c r="AG330" i="8"/>
  <c r="AM330" i="8"/>
  <c r="AR330" i="8"/>
  <c r="AW330" i="8"/>
  <c r="AN330" i="8"/>
  <c r="AY330" i="8"/>
  <c r="AF330" i="8"/>
  <c r="AQ330" i="8"/>
  <c r="AI330" i="8"/>
  <c r="AS330" i="8"/>
  <c r="AD326" i="8"/>
  <c r="AH326" i="8"/>
  <c r="AL326" i="8"/>
  <c r="AP326" i="8"/>
  <c r="AT326" i="8"/>
  <c r="AX326" i="8"/>
  <c r="AG326" i="8"/>
  <c r="AM326" i="8"/>
  <c r="AR326" i="8"/>
  <c r="AW326" i="8"/>
  <c r="AE326" i="8"/>
  <c r="AJ326" i="8"/>
  <c r="AO326" i="8"/>
  <c r="AU326" i="8"/>
  <c r="AF326" i="8"/>
  <c r="AQ326" i="8"/>
  <c r="AI326" i="8"/>
  <c r="AS326" i="8"/>
  <c r="AK326" i="8"/>
  <c r="AV326" i="8"/>
  <c r="AD322" i="8"/>
  <c r="AH322" i="8"/>
  <c r="AL322" i="8"/>
  <c r="AP322" i="8"/>
  <c r="AT322" i="8"/>
  <c r="AX322" i="8"/>
  <c r="AE322" i="8"/>
  <c r="AJ322" i="8"/>
  <c r="AO322" i="8"/>
  <c r="AU322" i="8"/>
  <c r="AG322" i="8"/>
  <c r="AM322" i="8"/>
  <c r="AR322" i="8"/>
  <c r="AW322" i="8"/>
  <c r="AI322" i="8"/>
  <c r="AS322" i="8"/>
  <c r="AK322" i="8"/>
  <c r="AV322" i="8"/>
  <c r="AN322" i="8"/>
  <c r="AY322" i="8"/>
  <c r="AD318" i="8"/>
  <c r="AH318" i="8"/>
  <c r="AL318" i="8"/>
  <c r="AP318" i="8"/>
  <c r="AT318" i="8"/>
  <c r="AX318" i="8"/>
  <c r="AG318" i="8"/>
  <c r="AM318" i="8"/>
  <c r="AR318" i="8"/>
  <c r="AW318" i="8"/>
  <c r="AE318" i="8"/>
  <c r="AJ318" i="8"/>
  <c r="AO318" i="8"/>
  <c r="AU318" i="8"/>
  <c r="AK318" i="8"/>
  <c r="AV318" i="8"/>
  <c r="AN318" i="8"/>
  <c r="AY318" i="8"/>
  <c r="AF318" i="8"/>
  <c r="AQ318" i="8"/>
  <c r="AD314" i="8"/>
  <c r="AH314" i="8"/>
  <c r="AL314" i="8"/>
  <c r="AP314" i="8"/>
  <c r="AT314" i="8"/>
  <c r="AX314" i="8"/>
  <c r="AE314" i="8"/>
  <c r="AJ314" i="8"/>
  <c r="AO314" i="8"/>
  <c r="AU314" i="8"/>
  <c r="AG314" i="8"/>
  <c r="AM314" i="8"/>
  <c r="AR314" i="8"/>
  <c r="AW314" i="8"/>
  <c r="AN314" i="8"/>
  <c r="AY314" i="8"/>
  <c r="AF314" i="8"/>
  <c r="AQ314" i="8"/>
  <c r="AI314" i="8"/>
  <c r="AS314" i="8"/>
  <c r="AD310" i="8"/>
  <c r="AH310" i="8"/>
  <c r="AL310" i="8"/>
  <c r="AP310" i="8"/>
  <c r="AT310" i="8"/>
  <c r="AX310" i="8"/>
  <c r="AG310" i="8"/>
  <c r="AM310" i="8"/>
  <c r="AR310" i="8"/>
  <c r="AW310" i="8"/>
  <c r="AE310" i="8"/>
  <c r="AJ310" i="8"/>
  <c r="AO310" i="8"/>
  <c r="AU310" i="8"/>
  <c r="AF310" i="8"/>
  <c r="AQ310" i="8"/>
  <c r="AI310" i="8"/>
  <c r="AS310" i="8"/>
  <c r="AK310" i="8"/>
  <c r="AV310" i="8"/>
  <c r="AD306" i="8"/>
  <c r="AH306" i="8"/>
  <c r="AL306" i="8"/>
  <c r="AP306" i="8"/>
  <c r="AT306" i="8"/>
  <c r="AX306" i="8"/>
  <c r="AE306" i="8"/>
  <c r="AJ306" i="8"/>
  <c r="AO306" i="8"/>
  <c r="AU306" i="8"/>
  <c r="AF306" i="8"/>
  <c r="AK306" i="8"/>
  <c r="AQ306" i="8"/>
  <c r="AV306" i="8"/>
  <c r="AG306" i="8"/>
  <c r="AM306" i="8"/>
  <c r="AR306" i="8"/>
  <c r="AW306" i="8"/>
  <c r="AS306" i="8"/>
  <c r="AY306" i="8"/>
  <c r="AI306" i="8"/>
  <c r="AD302" i="8"/>
  <c r="AH302" i="8"/>
  <c r="AL302" i="8"/>
  <c r="AP302" i="8"/>
  <c r="AT302" i="8"/>
  <c r="AX302" i="8"/>
  <c r="AG302" i="8"/>
  <c r="AM302" i="8"/>
  <c r="AR302" i="8"/>
  <c r="AW302" i="8"/>
  <c r="AI302" i="8"/>
  <c r="AN302" i="8"/>
  <c r="AS302" i="8"/>
  <c r="AY302" i="8"/>
  <c r="AE302" i="8"/>
  <c r="AJ302" i="8"/>
  <c r="AO302" i="8"/>
  <c r="AU302" i="8"/>
  <c r="AV302" i="8"/>
  <c r="AF302" i="8"/>
  <c r="AK302" i="8"/>
  <c r="AD298" i="8"/>
  <c r="AH298" i="8"/>
  <c r="AL298" i="8"/>
  <c r="AP298" i="8"/>
  <c r="AT298" i="8"/>
  <c r="AX298" i="8"/>
  <c r="AE298" i="8"/>
  <c r="AJ298" i="8"/>
  <c r="AO298" i="8"/>
  <c r="AU298" i="8"/>
  <c r="AF298" i="8"/>
  <c r="AK298" i="8"/>
  <c r="AQ298" i="8"/>
  <c r="AV298" i="8"/>
  <c r="AG298" i="8"/>
  <c r="AM298" i="8"/>
  <c r="AR298" i="8"/>
  <c r="AW298" i="8"/>
  <c r="AY298" i="8"/>
  <c r="AI298" i="8"/>
  <c r="AN298" i="8"/>
  <c r="AG294" i="8"/>
  <c r="AK294" i="8"/>
  <c r="AO294" i="8"/>
  <c r="AS294" i="8"/>
  <c r="AW294" i="8"/>
  <c r="AD294" i="8"/>
  <c r="AH294" i="8"/>
  <c r="AL294" i="8"/>
  <c r="AP294" i="8"/>
  <c r="AT294" i="8"/>
  <c r="AX294" i="8"/>
  <c r="AE294" i="8"/>
  <c r="AM294" i="8"/>
  <c r="AU294" i="8"/>
  <c r="AF294" i="8"/>
  <c r="AN294" i="8"/>
  <c r="AV294" i="8"/>
  <c r="AI294" i="8"/>
  <c r="AQ294" i="8"/>
  <c r="AY294" i="8"/>
  <c r="AJ294" i="8"/>
  <c r="AR294" i="8"/>
  <c r="AG290" i="8"/>
  <c r="AK290" i="8"/>
  <c r="AO290" i="8"/>
  <c r="AS290" i="8"/>
  <c r="AW290" i="8"/>
  <c r="AD290" i="8"/>
  <c r="AH290" i="8"/>
  <c r="AL290" i="8"/>
  <c r="AP290" i="8"/>
  <c r="AT290" i="8"/>
  <c r="AX290" i="8"/>
  <c r="AE290" i="8"/>
  <c r="AM290" i="8"/>
  <c r="AU290" i="8"/>
  <c r="AF290" i="8"/>
  <c r="AN290" i="8"/>
  <c r="AV290" i="8"/>
  <c r="AI290" i="8"/>
  <c r="AQ290" i="8"/>
  <c r="AY290" i="8"/>
  <c r="AJ290" i="8"/>
  <c r="AG286" i="8"/>
  <c r="AK286" i="8"/>
  <c r="AO286" i="8"/>
  <c r="AS286" i="8"/>
  <c r="AW286" i="8"/>
  <c r="AD286" i="8"/>
  <c r="AH286" i="8"/>
  <c r="AL286" i="8"/>
  <c r="AP286" i="8"/>
  <c r="AT286" i="8"/>
  <c r="AX286" i="8"/>
  <c r="AE286" i="8"/>
  <c r="AM286" i="8"/>
  <c r="AU286" i="8"/>
  <c r="AF286" i="8"/>
  <c r="AN286" i="8"/>
  <c r="AV286" i="8"/>
  <c r="AI286" i="8"/>
  <c r="AQ286" i="8"/>
  <c r="AY286" i="8"/>
  <c r="AR286" i="8"/>
  <c r="AG282" i="8"/>
  <c r="AK282" i="8"/>
  <c r="AO282" i="8"/>
  <c r="AS282" i="8"/>
  <c r="AW282" i="8"/>
  <c r="AD282" i="8"/>
  <c r="AH282" i="8"/>
  <c r="AL282" i="8"/>
  <c r="AP282" i="8"/>
  <c r="AT282" i="8"/>
  <c r="AX282" i="8"/>
  <c r="AE282" i="8"/>
  <c r="AM282" i="8"/>
  <c r="AU282" i="8"/>
  <c r="AF282" i="8"/>
  <c r="AN282" i="8"/>
  <c r="AV282" i="8"/>
  <c r="AI282" i="8"/>
  <c r="AQ282" i="8"/>
  <c r="AY282" i="8"/>
  <c r="AJ282" i="8"/>
  <c r="AR282" i="8"/>
  <c r="AG278" i="8"/>
  <c r="AK278" i="8"/>
  <c r="AO278" i="8"/>
  <c r="AS278" i="8"/>
  <c r="AW278" i="8"/>
  <c r="AD278" i="8"/>
  <c r="AH278" i="8"/>
  <c r="AL278" i="8"/>
  <c r="AP278" i="8"/>
  <c r="AT278" i="8"/>
  <c r="AX278" i="8"/>
  <c r="AI278" i="8"/>
  <c r="AQ278" i="8"/>
  <c r="AY278" i="8"/>
  <c r="AE278" i="8"/>
  <c r="AM278" i="8"/>
  <c r="AU278" i="8"/>
  <c r="AN278" i="8"/>
  <c r="AR278" i="8"/>
  <c r="AF278" i="8"/>
  <c r="AV278" i="8"/>
  <c r="AG274" i="8"/>
  <c r="AK274" i="8"/>
  <c r="AO274" i="8"/>
  <c r="AS274" i="8"/>
  <c r="AW274" i="8"/>
  <c r="AD274" i="8"/>
  <c r="AH274" i="8"/>
  <c r="AL274" i="8"/>
  <c r="AP274" i="8"/>
  <c r="AT274" i="8"/>
  <c r="AX274" i="8"/>
  <c r="AI274" i="8"/>
  <c r="AQ274" i="8"/>
  <c r="AY274" i="8"/>
  <c r="AE274" i="8"/>
  <c r="AM274" i="8"/>
  <c r="AU274" i="8"/>
  <c r="AF274" i="8"/>
  <c r="AV274" i="8"/>
  <c r="AJ274" i="8"/>
  <c r="AN274" i="8"/>
  <c r="AR274" i="8"/>
  <c r="AG270" i="8"/>
  <c r="AK270" i="8"/>
  <c r="AO270" i="8"/>
  <c r="AS270" i="8"/>
  <c r="AW270" i="8"/>
  <c r="AD270" i="8"/>
  <c r="AH270" i="8"/>
  <c r="AL270" i="8"/>
  <c r="AP270" i="8"/>
  <c r="AT270" i="8"/>
  <c r="AX270" i="8"/>
  <c r="AI270" i="8"/>
  <c r="AQ270" i="8"/>
  <c r="AY270" i="8"/>
  <c r="AE270" i="8"/>
  <c r="AM270" i="8"/>
  <c r="AU270" i="8"/>
  <c r="AN270" i="8"/>
  <c r="AR270" i="8"/>
  <c r="AF270" i="8"/>
  <c r="AV270" i="8"/>
  <c r="AJ270" i="8"/>
  <c r="AG266" i="8"/>
  <c r="AK266" i="8"/>
  <c r="AO266" i="8"/>
  <c r="AS266" i="8"/>
  <c r="AW266" i="8"/>
  <c r="AD266" i="8"/>
  <c r="AH266" i="8"/>
  <c r="AL266" i="8"/>
  <c r="AP266" i="8"/>
  <c r="AT266" i="8"/>
  <c r="AX266" i="8"/>
  <c r="AI266" i="8"/>
  <c r="AQ266" i="8"/>
  <c r="AY266" i="8"/>
  <c r="AE266" i="8"/>
  <c r="AM266" i="8"/>
  <c r="AU266" i="8"/>
  <c r="AF266" i="8"/>
  <c r="AV266" i="8"/>
  <c r="AJ266" i="8"/>
  <c r="AN266" i="8"/>
  <c r="AG262" i="8"/>
  <c r="AK262" i="8"/>
  <c r="AO262" i="8"/>
  <c r="AS262" i="8"/>
  <c r="AW262" i="8"/>
  <c r="AD262" i="8"/>
  <c r="AH262" i="8"/>
  <c r="AL262" i="8"/>
  <c r="AP262" i="8"/>
  <c r="AT262" i="8"/>
  <c r="AX262" i="8"/>
  <c r="AI262" i="8"/>
  <c r="AQ262" i="8"/>
  <c r="AY262" i="8"/>
  <c r="AE262" i="8"/>
  <c r="AM262" i="8"/>
  <c r="AU262" i="8"/>
  <c r="AN262" i="8"/>
  <c r="AR262" i="8"/>
  <c r="AF262" i="8"/>
  <c r="AV262" i="8"/>
  <c r="AJ262" i="8"/>
  <c r="AG258" i="8"/>
  <c r="AK258" i="8"/>
  <c r="AO258" i="8"/>
  <c r="AS258" i="8"/>
  <c r="AW258" i="8"/>
  <c r="AD258" i="8"/>
  <c r="AH258" i="8"/>
  <c r="AL258" i="8"/>
  <c r="AP258" i="8"/>
  <c r="AT258" i="8"/>
  <c r="AX258" i="8"/>
  <c r="AI258" i="8"/>
  <c r="AQ258" i="8"/>
  <c r="AY258" i="8"/>
  <c r="AE258" i="8"/>
  <c r="AM258" i="8"/>
  <c r="AU258" i="8"/>
  <c r="AF258" i="8"/>
  <c r="AV258" i="8"/>
  <c r="AJ258" i="8"/>
  <c r="AN258" i="8"/>
  <c r="AR258" i="8"/>
  <c r="AG254" i="8"/>
  <c r="AK254" i="8"/>
  <c r="AO254" i="8"/>
  <c r="AS254" i="8"/>
  <c r="AW254" i="8"/>
  <c r="AD254" i="8"/>
  <c r="AH254" i="8"/>
  <c r="AL254" i="8"/>
  <c r="AP254" i="8"/>
  <c r="AT254" i="8"/>
  <c r="AX254" i="8"/>
  <c r="AI254" i="8"/>
  <c r="AQ254" i="8"/>
  <c r="AY254" i="8"/>
  <c r="AE254" i="8"/>
  <c r="AM254" i="8"/>
  <c r="AU254" i="8"/>
  <c r="AN254" i="8"/>
  <c r="AR254" i="8"/>
  <c r="AF254" i="8"/>
  <c r="AV254" i="8"/>
  <c r="AJ254" i="8"/>
  <c r="AE250" i="8"/>
  <c r="AI250" i="8"/>
  <c r="AM250" i="8"/>
  <c r="AQ250" i="8"/>
  <c r="AH250" i="8"/>
  <c r="AN250" i="8"/>
  <c r="AS250" i="8"/>
  <c r="AW250" i="8"/>
  <c r="AD250" i="8"/>
  <c r="AJ250" i="8"/>
  <c r="AO250" i="8"/>
  <c r="AT250" i="8"/>
  <c r="AX250" i="8"/>
  <c r="AF250" i="8"/>
  <c r="AP250" i="8"/>
  <c r="AY250" i="8"/>
  <c r="AK250" i="8"/>
  <c r="AU250" i="8"/>
  <c r="AV250" i="8"/>
  <c r="AG250" i="8"/>
  <c r="AL250" i="8"/>
  <c r="AR250" i="8"/>
  <c r="AE246" i="8"/>
  <c r="AI246" i="8"/>
  <c r="AM246" i="8"/>
  <c r="AQ246" i="8"/>
  <c r="AU246" i="8"/>
  <c r="AY246" i="8"/>
  <c r="AF246" i="8"/>
  <c r="AK246" i="8"/>
  <c r="AP246" i="8"/>
  <c r="AV246" i="8"/>
  <c r="AG246" i="8"/>
  <c r="AL246" i="8"/>
  <c r="AR246" i="8"/>
  <c r="AW246" i="8"/>
  <c r="AH246" i="8"/>
  <c r="AS246" i="8"/>
  <c r="AN246" i="8"/>
  <c r="AX246" i="8"/>
  <c r="AD246" i="8"/>
  <c r="AJ246" i="8"/>
  <c r="AO246" i="8"/>
  <c r="AT246" i="8"/>
  <c r="AE242" i="8"/>
  <c r="AI242" i="8"/>
  <c r="AM242" i="8"/>
  <c r="AQ242" i="8"/>
  <c r="AU242" i="8"/>
  <c r="AY242" i="8"/>
  <c r="AH242" i="8"/>
  <c r="AN242" i="8"/>
  <c r="AS242" i="8"/>
  <c r="AX242" i="8"/>
  <c r="AD242" i="8"/>
  <c r="AJ242" i="8"/>
  <c r="AO242" i="8"/>
  <c r="AT242" i="8"/>
  <c r="AK242" i="8"/>
  <c r="AV242" i="8"/>
  <c r="AL242" i="8"/>
  <c r="AW242" i="8"/>
  <c r="AG242" i="8"/>
  <c r="AP242" i="8"/>
  <c r="AR242" i="8"/>
  <c r="AF242" i="8"/>
  <c r="AE238" i="8"/>
  <c r="AI238" i="8"/>
  <c r="AM238" i="8"/>
  <c r="AQ238" i="8"/>
  <c r="AU238" i="8"/>
  <c r="AY238" i="8"/>
  <c r="AF238" i="8"/>
  <c r="AK238" i="8"/>
  <c r="AP238" i="8"/>
  <c r="AV238" i="8"/>
  <c r="AG238" i="8"/>
  <c r="AL238" i="8"/>
  <c r="AR238" i="8"/>
  <c r="AW238" i="8"/>
  <c r="AN238" i="8"/>
  <c r="AX238" i="8"/>
  <c r="AD238" i="8"/>
  <c r="AO238" i="8"/>
  <c r="AJ238" i="8"/>
  <c r="AS238" i="8"/>
  <c r="AT238" i="8"/>
  <c r="AH238" i="8"/>
  <c r="AE234" i="8"/>
  <c r="AI234" i="8"/>
  <c r="AM234" i="8"/>
  <c r="AQ234" i="8"/>
  <c r="AU234" i="8"/>
  <c r="AY234" i="8"/>
  <c r="AH234" i="8"/>
  <c r="AN234" i="8"/>
  <c r="AS234" i="8"/>
  <c r="AX234" i="8"/>
  <c r="AD234" i="8"/>
  <c r="AJ234" i="8"/>
  <c r="AO234" i="8"/>
  <c r="AT234" i="8"/>
  <c r="AF234" i="8"/>
  <c r="AP234" i="8"/>
  <c r="AG234" i="8"/>
  <c r="AR234" i="8"/>
  <c r="AL234" i="8"/>
  <c r="AV234" i="8"/>
  <c r="AW234" i="8"/>
  <c r="AK234" i="8"/>
  <c r="AE230" i="8"/>
  <c r="AI230" i="8"/>
  <c r="AM230" i="8"/>
  <c r="AQ230" i="8"/>
  <c r="AU230" i="8"/>
  <c r="AY230" i="8"/>
  <c r="AF230" i="8"/>
  <c r="AK230" i="8"/>
  <c r="AP230" i="8"/>
  <c r="AV230" i="8"/>
  <c r="AG230" i="8"/>
  <c r="AL230" i="8"/>
  <c r="AR230" i="8"/>
  <c r="AW230" i="8"/>
  <c r="AH230" i="8"/>
  <c r="AS230" i="8"/>
  <c r="AJ230" i="8"/>
  <c r="AT230" i="8"/>
  <c r="AO230" i="8"/>
  <c r="AX230" i="8"/>
  <c r="AD230" i="8"/>
  <c r="AE226" i="8"/>
  <c r="AI226" i="8"/>
  <c r="AM226" i="8"/>
  <c r="AQ226" i="8"/>
  <c r="AU226" i="8"/>
  <c r="AY226" i="8"/>
  <c r="AH226" i="8"/>
  <c r="AN226" i="8"/>
  <c r="AS226" i="8"/>
  <c r="AX226" i="8"/>
  <c r="AD226" i="8"/>
  <c r="AJ226" i="8"/>
  <c r="AO226" i="8"/>
  <c r="AT226" i="8"/>
  <c r="AK226" i="8"/>
  <c r="AV226" i="8"/>
  <c r="AL226" i="8"/>
  <c r="AW226" i="8"/>
  <c r="AR226" i="8"/>
  <c r="AF226" i="8"/>
  <c r="AG226" i="8"/>
  <c r="AP226" i="8"/>
  <c r="AE222" i="8"/>
  <c r="AI222" i="8"/>
  <c r="AM222" i="8"/>
  <c r="AQ222" i="8"/>
  <c r="AU222" i="8"/>
  <c r="AY222" i="8"/>
  <c r="AF222" i="8"/>
  <c r="AK222" i="8"/>
  <c r="AP222" i="8"/>
  <c r="AV222" i="8"/>
  <c r="AG222" i="8"/>
  <c r="AL222" i="8"/>
  <c r="AR222" i="8"/>
  <c r="AW222" i="8"/>
  <c r="AN222" i="8"/>
  <c r="AX222" i="8"/>
  <c r="AD222" i="8"/>
  <c r="AO222" i="8"/>
  <c r="AT222" i="8"/>
  <c r="AH222" i="8"/>
  <c r="AJ222" i="8"/>
  <c r="AS222" i="8"/>
  <c r="AE218" i="8"/>
  <c r="AI218" i="8"/>
  <c r="AM218" i="8"/>
  <c r="AQ218" i="8"/>
  <c r="AU218" i="8"/>
  <c r="AY218" i="8"/>
  <c r="AH218" i="8"/>
  <c r="AN218" i="8"/>
  <c r="AS218" i="8"/>
  <c r="AX218" i="8"/>
  <c r="AD218" i="8"/>
  <c r="AJ218" i="8"/>
  <c r="AO218" i="8"/>
  <c r="AT218" i="8"/>
  <c r="AF218" i="8"/>
  <c r="AP218" i="8"/>
  <c r="AG218" i="8"/>
  <c r="AR218" i="8"/>
  <c r="AW218" i="8"/>
  <c r="AK218" i="8"/>
  <c r="AL218" i="8"/>
  <c r="AV218" i="8"/>
  <c r="AE214" i="8"/>
  <c r="AI214" i="8"/>
  <c r="AM214" i="8"/>
  <c r="AQ214" i="8"/>
  <c r="AU214" i="8"/>
  <c r="AY214" i="8"/>
  <c r="AF214" i="8"/>
  <c r="AK214" i="8"/>
  <c r="AP214" i="8"/>
  <c r="AV214" i="8"/>
  <c r="AG214" i="8"/>
  <c r="AL214" i="8"/>
  <c r="AR214" i="8"/>
  <c r="AW214" i="8"/>
  <c r="AH214" i="8"/>
  <c r="AS214" i="8"/>
  <c r="AJ214" i="8"/>
  <c r="AT214" i="8"/>
  <c r="AD214" i="8"/>
  <c r="AN214" i="8"/>
  <c r="AO214" i="8"/>
  <c r="AE210" i="8"/>
  <c r="AI210" i="8"/>
  <c r="AM210" i="8"/>
  <c r="AQ210" i="8"/>
  <c r="AU210" i="8"/>
  <c r="AY210" i="8"/>
  <c r="AH210" i="8"/>
  <c r="AN210" i="8"/>
  <c r="AS210" i="8"/>
  <c r="AX210" i="8"/>
  <c r="AD210" i="8"/>
  <c r="AJ210" i="8"/>
  <c r="AO210" i="8"/>
  <c r="AT210" i="8"/>
  <c r="AK210" i="8"/>
  <c r="AV210" i="8"/>
  <c r="AL210" i="8"/>
  <c r="AW210" i="8"/>
  <c r="AG210" i="8"/>
  <c r="AP210" i="8"/>
  <c r="AR210" i="8"/>
  <c r="AF210" i="8"/>
  <c r="AE206" i="8"/>
  <c r="AI206" i="8"/>
  <c r="AM206" i="8"/>
  <c r="AQ206" i="8"/>
  <c r="AU206" i="8"/>
  <c r="AY206" i="8"/>
  <c r="AF206" i="8"/>
  <c r="AK206" i="8"/>
  <c r="AP206" i="8"/>
  <c r="AV206" i="8"/>
  <c r="AG206" i="8"/>
  <c r="AL206" i="8"/>
  <c r="AR206" i="8"/>
  <c r="AW206" i="8"/>
  <c r="AN206" i="8"/>
  <c r="AX206" i="8"/>
  <c r="AD206" i="8"/>
  <c r="AO206" i="8"/>
  <c r="AJ206" i="8"/>
  <c r="AS206" i="8"/>
  <c r="AT206" i="8"/>
  <c r="AH206" i="8"/>
  <c r="AE202" i="8"/>
  <c r="AI202" i="8"/>
  <c r="AM202" i="8"/>
  <c r="AQ202" i="8"/>
  <c r="AU202" i="8"/>
  <c r="AY202" i="8"/>
  <c r="AH202" i="8"/>
  <c r="AN202" i="8"/>
  <c r="AS202" i="8"/>
  <c r="AX202" i="8"/>
  <c r="AD202" i="8"/>
  <c r="AJ202" i="8"/>
  <c r="AO202" i="8"/>
  <c r="AT202" i="8"/>
  <c r="AF202" i="8"/>
  <c r="AP202" i="8"/>
  <c r="AG202" i="8"/>
  <c r="AR202" i="8"/>
  <c r="AL202" i="8"/>
  <c r="AV202" i="8"/>
  <c r="AW202" i="8"/>
  <c r="AK202" i="8"/>
  <c r="AE198" i="8"/>
  <c r="AI198" i="8"/>
  <c r="AM198" i="8"/>
  <c r="AQ198" i="8"/>
  <c r="AU198" i="8"/>
  <c r="AY198" i="8"/>
  <c r="AF198" i="8"/>
  <c r="AK198" i="8"/>
  <c r="AP198" i="8"/>
  <c r="AV198" i="8"/>
  <c r="AG198" i="8"/>
  <c r="AL198" i="8"/>
  <c r="AR198" i="8"/>
  <c r="AW198" i="8"/>
  <c r="AH198" i="8"/>
  <c r="AS198" i="8"/>
  <c r="AJ198" i="8"/>
  <c r="AT198" i="8"/>
  <c r="AO198" i="8"/>
  <c r="AX198" i="8"/>
  <c r="AD198" i="8"/>
  <c r="AN198" i="8"/>
  <c r="AE194" i="8"/>
  <c r="AI194" i="8"/>
  <c r="AM194" i="8"/>
  <c r="AQ194" i="8"/>
  <c r="AU194" i="8"/>
  <c r="AY194" i="8"/>
  <c r="AH194" i="8"/>
  <c r="AN194" i="8"/>
  <c r="AS194" i="8"/>
  <c r="AX194" i="8"/>
  <c r="AD194" i="8"/>
  <c r="AJ194" i="8"/>
  <c r="AO194" i="8"/>
  <c r="AT194" i="8"/>
  <c r="AK194" i="8"/>
  <c r="AV194" i="8"/>
  <c r="AL194" i="8"/>
  <c r="AW194" i="8"/>
  <c r="AR194" i="8"/>
  <c r="AF194" i="8"/>
  <c r="AG194" i="8"/>
  <c r="AP194" i="8"/>
  <c r="AD190" i="8"/>
  <c r="AH190" i="8"/>
  <c r="AI190" i="8"/>
  <c r="AM190" i="8"/>
  <c r="AQ190" i="8"/>
  <c r="AU190" i="8"/>
  <c r="AY190" i="8"/>
  <c r="AE190" i="8"/>
  <c r="AK190" i="8"/>
  <c r="AP190" i="8"/>
  <c r="AV190" i="8"/>
  <c r="AF190" i="8"/>
  <c r="AL190" i="8"/>
  <c r="AR190" i="8"/>
  <c r="AW190" i="8"/>
  <c r="AN190" i="8"/>
  <c r="AX190" i="8"/>
  <c r="AO190" i="8"/>
  <c r="AT190" i="8"/>
  <c r="AG190" i="8"/>
  <c r="AJ190" i="8"/>
  <c r="AS190" i="8"/>
  <c r="AD186" i="8"/>
  <c r="AH186" i="8"/>
  <c r="AL186" i="8"/>
  <c r="AP186" i="8"/>
  <c r="AT186" i="8"/>
  <c r="AX186" i="8"/>
  <c r="AE186" i="8"/>
  <c r="AJ186" i="8"/>
  <c r="AO186" i="8"/>
  <c r="AU186" i="8"/>
  <c r="AF186" i="8"/>
  <c r="AK186" i="8"/>
  <c r="AQ186" i="8"/>
  <c r="AV186" i="8"/>
  <c r="AG186" i="8"/>
  <c r="AR186" i="8"/>
  <c r="AI186" i="8"/>
  <c r="AS186" i="8"/>
  <c r="AM186" i="8"/>
  <c r="AN186" i="8"/>
  <c r="AW186" i="8"/>
  <c r="AY186" i="8"/>
  <c r="AD182" i="8"/>
  <c r="AH182" i="8"/>
  <c r="AL182" i="8"/>
  <c r="AP182" i="8"/>
  <c r="AT182" i="8"/>
  <c r="AX182" i="8"/>
  <c r="AG182" i="8"/>
  <c r="AM182" i="8"/>
  <c r="AR182" i="8"/>
  <c r="AW182" i="8"/>
  <c r="AI182" i="8"/>
  <c r="AN182" i="8"/>
  <c r="AS182" i="8"/>
  <c r="AY182" i="8"/>
  <c r="AJ182" i="8"/>
  <c r="AU182" i="8"/>
  <c r="AK182" i="8"/>
  <c r="AV182" i="8"/>
  <c r="AO182" i="8"/>
  <c r="AQ182" i="8"/>
  <c r="AE182" i="8"/>
  <c r="AF182" i="8"/>
  <c r="AD178" i="8"/>
  <c r="AH178" i="8"/>
  <c r="AL178" i="8"/>
  <c r="AP178" i="8"/>
  <c r="AT178" i="8"/>
  <c r="AX178" i="8"/>
  <c r="AE178" i="8"/>
  <c r="AJ178" i="8"/>
  <c r="AO178" i="8"/>
  <c r="AU178" i="8"/>
  <c r="AF178" i="8"/>
  <c r="AK178" i="8"/>
  <c r="AQ178" i="8"/>
  <c r="AV178" i="8"/>
  <c r="AM178" i="8"/>
  <c r="AW178" i="8"/>
  <c r="AN178" i="8"/>
  <c r="AY178" i="8"/>
  <c r="AR178" i="8"/>
  <c r="AS178" i="8"/>
  <c r="AG178" i="8"/>
  <c r="AI178" i="8"/>
  <c r="AD174" i="8"/>
  <c r="AH174" i="8"/>
  <c r="AL174" i="8"/>
  <c r="AP174" i="8"/>
  <c r="AT174" i="8"/>
  <c r="AX174" i="8"/>
  <c r="AG174" i="8"/>
  <c r="AM174" i="8"/>
  <c r="AR174" i="8"/>
  <c r="AW174" i="8"/>
  <c r="AI174" i="8"/>
  <c r="AN174" i="8"/>
  <c r="AS174" i="8"/>
  <c r="AY174" i="8"/>
  <c r="AE174" i="8"/>
  <c r="AO174" i="8"/>
  <c r="AF174" i="8"/>
  <c r="AQ174" i="8"/>
  <c r="AU174" i="8"/>
  <c r="AV174" i="8"/>
  <c r="AJ174" i="8"/>
  <c r="AK174" i="8"/>
  <c r="AD170" i="8"/>
  <c r="AH170" i="8"/>
  <c r="AL170" i="8"/>
  <c r="AP170" i="8"/>
  <c r="AT170" i="8"/>
  <c r="AX170" i="8"/>
  <c r="AE170" i="8"/>
  <c r="AJ170" i="8"/>
  <c r="AO170" i="8"/>
  <c r="AU170" i="8"/>
  <c r="AF170" i="8"/>
  <c r="AK170" i="8"/>
  <c r="AQ170" i="8"/>
  <c r="AV170" i="8"/>
  <c r="AG170" i="8"/>
  <c r="AR170" i="8"/>
  <c r="AI170" i="8"/>
  <c r="AS170" i="8"/>
  <c r="AW170" i="8"/>
  <c r="AY170" i="8"/>
  <c r="AM170" i="8"/>
  <c r="AN170" i="8"/>
  <c r="AD166" i="8"/>
  <c r="AH166" i="8"/>
  <c r="AL166" i="8"/>
  <c r="AP166" i="8"/>
  <c r="AT166" i="8"/>
  <c r="AX166" i="8"/>
  <c r="AG166" i="8"/>
  <c r="AM166" i="8"/>
  <c r="AR166" i="8"/>
  <c r="AW166" i="8"/>
  <c r="AI166" i="8"/>
  <c r="AN166" i="8"/>
  <c r="AS166" i="8"/>
  <c r="AY166" i="8"/>
  <c r="AJ166" i="8"/>
  <c r="AU166" i="8"/>
  <c r="AK166" i="8"/>
  <c r="AV166" i="8"/>
  <c r="AE166" i="8"/>
  <c r="AF166" i="8"/>
  <c r="AO166" i="8"/>
  <c r="AQ166" i="8"/>
  <c r="AD162" i="8"/>
  <c r="AH162" i="8"/>
  <c r="AL162" i="8"/>
  <c r="AP162" i="8"/>
  <c r="AT162" i="8"/>
  <c r="AX162" i="8"/>
  <c r="AE162" i="8"/>
  <c r="AJ162" i="8"/>
  <c r="AO162" i="8"/>
  <c r="AU162" i="8"/>
  <c r="AF162" i="8"/>
  <c r="AK162" i="8"/>
  <c r="AQ162" i="8"/>
  <c r="AV162" i="8"/>
  <c r="AM162" i="8"/>
  <c r="AW162" i="8"/>
  <c r="AN162" i="8"/>
  <c r="AY162" i="8"/>
  <c r="AG162" i="8"/>
  <c r="AI162" i="8"/>
  <c r="AR162" i="8"/>
  <c r="AS162" i="8"/>
  <c r="AD158" i="8"/>
  <c r="AH158" i="8"/>
  <c r="AL158" i="8"/>
  <c r="AP158" i="8"/>
  <c r="AT158" i="8"/>
  <c r="AX158" i="8"/>
  <c r="AG158" i="8"/>
  <c r="AM158" i="8"/>
  <c r="AR158" i="8"/>
  <c r="AW158" i="8"/>
  <c r="AI158" i="8"/>
  <c r="AN158" i="8"/>
  <c r="AS158" i="8"/>
  <c r="AY158" i="8"/>
  <c r="AE158" i="8"/>
  <c r="AO158" i="8"/>
  <c r="AF158" i="8"/>
  <c r="AQ158" i="8"/>
  <c r="AJ158" i="8"/>
  <c r="AK158" i="8"/>
  <c r="AU158" i="8"/>
  <c r="AV158" i="8"/>
  <c r="AD154" i="8"/>
  <c r="AH154" i="8"/>
  <c r="AL154" i="8"/>
  <c r="AP154" i="8"/>
  <c r="AT154" i="8"/>
  <c r="AX154" i="8"/>
  <c r="AE154" i="8"/>
  <c r="AJ154" i="8"/>
  <c r="AO154" i="8"/>
  <c r="AU154" i="8"/>
  <c r="AF154" i="8"/>
  <c r="AK154" i="8"/>
  <c r="AQ154" i="8"/>
  <c r="AV154" i="8"/>
  <c r="AG154" i="8"/>
  <c r="AR154" i="8"/>
  <c r="AI154" i="8"/>
  <c r="AS154" i="8"/>
  <c r="AM154" i="8"/>
  <c r="AN154" i="8"/>
  <c r="AW154" i="8"/>
  <c r="AY154" i="8"/>
  <c r="AD150" i="8"/>
  <c r="AH150" i="8"/>
  <c r="AL150" i="8"/>
  <c r="AP150" i="8"/>
  <c r="AT150" i="8"/>
  <c r="AX150" i="8"/>
  <c r="AG150" i="8"/>
  <c r="AM150" i="8"/>
  <c r="AR150" i="8"/>
  <c r="AW150" i="8"/>
  <c r="AI150" i="8"/>
  <c r="AN150" i="8"/>
  <c r="AS150" i="8"/>
  <c r="AY150" i="8"/>
  <c r="AJ150" i="8"/>
  <c r="AU150" i="8"/>
  <c r="AK150" i="8"/>
  <c r="AV150" i="8"/>
  <c r="AO150" i="8"/>
  <c r="AQ150" i="8"/>
  <c r="AE150" i="8"/>
  <c r="AF150" i="8"/>
  <c r="AG146" i="8"/>
  <c r="AK146" i="8"/>
  <c r="AO146" i="8"/>
  <c r="AS146" i="8"/>
  <c r="AD146" i="8"/>
  <c r="AH146" i="8"/>
  <c r="AL146" i="8"/>
  <c r="AP146" i="8"/>
  <c r="AT146" i="8"/>
  <c r="AX146" i="8"/>
  <c r="AE146" i="8"/>
  <c r="AM146" i="8"/>
  <c r="AU146" i="8"/>
  <c r="AF146" i="8"/>
  <c r="AN146" i="8"/>
  <c r="AV146" i="8"/>
  <c r="AI146" i="8"/>
  <c r="AW146" i="8"/>
  <c r="AJ146" i="8"/>
  <c r="AY146" i="8"/>
  <c r="AQ146" i="8"/>
  <c r="AR146" i="8"/>
  <c r="AG142" i="8"/>
  <c r="AK142" i="8"/>
  <c r="AO142" i="8"/>
  <c r="AS142" i="8"/>
  <c r="AW142" i="8"/>
  <c r="AD142" i="8"/>
  <c r="AH142" i="8"/>
  <c r="AL142" i="8"/>
  <c r="AP142" i="8"/>
  <c r="AT142" i="8"/>
  <c r="AX142" i="8"/>
  <c r="AE142" i="8"/>
  <c r="AM142" i="8"/>
  <c r="AU142" i="8"/>
  <c r="AF142" i="8"/>
  <c r="AN142" i="8"/>
  <c r="AV142" i="8"/>
  <c r="AQ142" i="8"/>
  <c r="AR142" i="8"/>
  <c r="AI142" i="8"/>
  <c r="AJ142" i="8"/>
  <c r="AY142" i="8"/>
  <c r="AG138" i="8"/>
  <c r="AK138" i="8"/>
  <c r="AO138" i="8"/>
  <c r="AS138" i="8"/>
  <c r="AW138" i="8"/>
  <c r="AD138" i="8"/>
  <c r="AH138" i="8"/>
  <c r="AL138" i="8"/>
  <c r="AP138" i="8"/>
  <c r="AT138" i="8"/>
  <c r="AX138" i="8"/>
  <c r="AE138" i="8"/>
  <c r="AM138" i="8"/>
  <c r="AU138" i="8"/>
  <c r="AF138" i="8"/>
  <c r="AN138" i="8"/>
  <c r="AV138" i="8"/>
  <c r="AI138" i="8"/>
  <c r="AY138" i="8"/>
  <c r="AJ138" i="8"/>
  <c r="AQ138" i="8"/>
  <c r="AR138" i="8"/>
  <c r="AG134" i="8"/>
  <c r="AK134" i="8"/>
  <c r="AO134" i="8"/>
  <c r="AS134" i="8"/>
  <c r="AW134" i="8"/>
  <c r="AD134" i="8"/>
  <c r="AH134" i="8"/>
  <c r="AL134" i="8"/>
  <c r="AP134" i="8"/>
  <c r="AT134" i="8"/>
  <c r="AX134" i="8"/>
  <c r="AE134" i="8"/>
  <c r="AM134" i="8"/>
  <c r="AU134" i="8"/>
  <c r="AF134" i="8"/>
  <c r="AN134" i="8"/>
  <c r="AV134" i="8"/>
  <c r="AQ134" i="8"/>
  <c r="AR134" i="8"/>
  <c r="AY134" i="8"/>
  <c r="AI134" i="8"/>
  <c r="AJ134" i="8"/>
  <c r="AG130" i="8"/>
  <c r="AK130" i="8"/>
  <c r="AO130" i="8"/>
  <c r="AS130" i="8"/>
  <c r="AW130" i="8"/>
  <c r="AD130" i="8"/>
  <c r="AH130" i="8"/>
  <c r="AL130" i="8"/>
  <c r="AP130" i="8"/>
  <c r="AT130" i="8"/>
  <c r="AX130" i="8"/>
  <c r="AE130" i="8"/>
  <c r="AM130" i="8"/>
  <c r="AU130" i="8"/>
  <c r="AF130" i="8"/>
  <c r="AN130" i="8"/>
  <c r="AV130" i="8"/>
  <c r="AI130" i="8"/>
  <c r="AY130" i="8"/>
  <c r="AJ130" i="8"/>
  <c r="AQ130" i="8"/>
  <c r="AR130" i="8"/>
  <c r="AG126" i="8"/>
  <c r="AK126" i="8"/>
  <c r="AO126" i="8"/>
  <c r="AS126" i="8"/>
  <c r="AW126" i="8"/>
  <c r="AD126" i="8"/>
  <c r="AH126" i="8"/>
  <c r="AL126" i="8"/>
  <c r="AP126" i="8"/>
  <c r="AT126" i="8"/>
  <c r="AX126" i="8"/>
  <c r="AE126" i="8"/>
  <c r="AM126" i="8"/>
  <c r="AU126" i="8"/>
  <c r="AF126" i="8"/>
  <c r="AN126" i="8"/>
  <c r="AV126" i="8"/>
  <c r="AQ126" i="8"/>
  <c r="AR126" i="8"/>
  <c r="AI126" i="8"/>
  <c r="AJ126" i="8"/>
  <c r="AY126" i="8"/>
  <c r="AG122" i="8"/>
  <c r="AK122" i="8"/>
  <c r="AO122" i="8"/>
  <c r="AS122" i="8"/>
  <c r="AW122" i="8"/>
  <c r="AD122" i="8"/>
  <c r="AH122" i="8"/>
  <c r="AL122" i="8"/>
  <c r="AP122" i="8"/>
  <c r="AT122" i="8"/>
  <c r="AX122" i="8"/>
  <c r="AE122" i="8"/>
  <c r="AM122" i="8"/>
  <c r="AU122" i="8"/>
  <c r="AF122" i="8"/>
  <c r="AN122" i="8"/>
  <c r="AV122" i="8"/>
  <c r="AI122" i="8"/>
  <c r="AY122" i="8"/>
  <c r="AJ122" i="8"/>
  <c r="AQ122" i="8"/>
  <c r="AR122" i="8"/>
  <c r="AG118" i="8"/>
  <c r="AK118" i="8"/>
  <c r="AO118" i="8"/>
  <c r="AS118" i="8"/>
  <c r="AW118" i="8"/>
  <c r="AD118" i="8"/>
  <c r="AH118" i="8"/>
  <c r="AL118" i="8"/>
  <c r="AP118" i="8"/>
  <c r="AT118" i="8"/>
  <c r="AX118" i="8"/>
  <c r="AE118" i="8"/>
  <c r="AM118" i="8"/>
  <c r="AU118" i="8"/>
  <c r="AF118" i="8"/>
  <c r="AN118" i="8"/>
  <c r="AV118" i="8"/>
  <c r="AQ118" i="8"/>
  <c r="AR118" i="8"/>
  <c r="AY118" i="8"/>
  <c r="AI118" i="8"/>
  <c r="AJ118" i="8"/>
  <c r="AD114" i="8"/>
  <c r="AH114" i="8"/>
  <c r="AL114" i="8"/>
  <c r="AP114" i="8"/>
  <c r="AT114" i="8"/>
  <c r="AX114" i="8"/>
  <c r="AI114" i="8"/>
  <c r="AN114" i="8"/>
  <c r="AS114" i="8"/>
  <c r="AY114" i="8"/>
  <c r="AE114" i="8"/>
  <c r="AJ114" i="8"/>
  <c r="AO114" i="8"/>
  <c r="AU114" i="8"/>
  <c r="AK114" i="8"/>
  <c r="AV114" i="8"/>
  <c r="AM114" i="8"/>
  <c r="AW114" i="8"/>
  <c r="AF114" i="8"/>
  <c r="AG114" i="8"/>
  <c r="AQ114" i="8"/>
  <c r="AR114" i="8"/>
  <c r="AG110" i="8"/>
  <c r="AK110" i="8"/>
  <c r="AO110" i="8"/>
  <c r="AD110" i="8"/>
  <c r="AH110" i="8"/>
  <c r="AL110" i="8"/>
  <c r="AP110" i="8"/>
  <c r="AT110" i="8"/>
  <c r="AX110" i="8"/>
  <c r="AI110" i="8"/>
  <c r="AQ110" i="8"/>
  <c r="AV110" i="8"/>
  <c r="AJ110" i="8"/>
  <c r="AR110" i="8"/>
  <c r="AW110" i="8"/>
  <c r="AM110" i="8"/>
  <c r="AY110" i="8"/>
  <c r="AN110" i="8"/>
  <c r="AE110" i="8"/>
  <c r="AF110" i="8"/>
  <c r="AS110" i="8"/>
  <c r="AU110" i="8"/>
  <c r="AG106" i="8"/>
  <c r="AK106" i="8"/>
  <c r="AO106" i="8"/>
  <c r="AS106" i="8"/>
  <c r="AW106" i="8"/>
  <c r="AD106" i="8"/>
  <c r="AH106" i="8"/>
  <c r="AL106" i="8"/>
  <c r="AP106" i="8"/>
  <c r="AT106" i="8"/>
  <c r="AX106" i="8"/>
  <c r="AI106" i="8"/>
  <c r="AQ106" i="8"/>
  <c r="AY106" i="8"/>
  <c r="AJ106" i="8"/>
  <c r="AR106" i="8"/>
  <c r="AE106" i="8"/>
  <c r="AU106" i="8"/>
  <c r="AF106" i="8"/>
  <c r="AV106" i="8"/>
  <c r="AM106" i="8"/>
  <c r="AN106" i="8"/>
  <c r="AG102" i="8"/>
  <c r="AK102" i="8"/>
  <c r="AO102" i="8"/>
  <c r="AS102" i="8"/>
  <c r="AW102" i="8"/>
  <c r="AD102" i="8"/>
  <c r="AH102" i="8"/>
  <c r="AL102" i="8"/>
  <c r="AP102" i="8"/>
  <c r="AT102" i="8"/>
  <c r="AX102" i="8"/>
  <c r="AI102" i="8"/>
  <c r="AQ102" i="8"/>
  <c r="AY102" i="8"/>
  <c r="AJ102" i="8"/>
  <c r="AR102" i="8"/>
  <c r="AM102" i="8"/>
  <c r="AN102" i="8"/>
  <c r="AU102" i="8"/>
  <c r="AV102" i="8"/>
  <c r="AE102" i="8"/>
  <c r="AF102" i="8"/>
  <c r="AG98" i="8"/>
  <c r="AK98" i="8"/>
  <c r="AO98" i="8"/>
  <c r="AS98" i="8"/>
  <c r="AW98" i="8"/>
  <c r="AD98" i="8"/>
  <c r="AH98" i="8"/>
  <c r="AL98" i="8"/>
  <c r="AP98" i="8"/>
  <c r="AT98" i="8"/>
  <c r="AX98" i="8"/>
  <c r="AI98" i="8"/>
  <c r="AQ98" i="8"/>
  <c r="AY98" i="8"/>
  <c r="AJ98" i="8"/>
  <c r="AR98" i="8"/>
  <c r="AE98" i="8"/>
  <c r="AU98" i="8"/>
  <c r="AF98" i="8"/>
  <c r="AV98" i="8"/>
  <c r="AM98" i="8"/>
  <c r="AN98" i="8"/>
  <c r="AG94" i="8"/>
  <c r="AK94" i="8"/>
  <c r="AO94" i="8"/>
  <c r="AS94" i="8"/>
  <c r="AW94" i="8"/>
  <c r="AD94" i="8"/>
  <c r="AH94" i="8"/>
  <c r="AL94" i="8"/>
  <c r="AP94" i="8"/>
  <c r="AT94" i="8"/>
  <c r="AX94" i="8"/>
  <c r="AI94" i="8"/>
  <c r="AQ94" i="8"/>
  <c r="AY94" i="8"/>
  <c r="AJ94" i="8"/>
  <c r="AR94" i="8"/>
  <c r="AM94" i="8"/>
  <c r="AN94" i="8"/>
  <c r="AE94" i="8"/>
  <c r="AF94" i="8"/>
  <c r="AU94" i="8"/>
  <c r="AV94" i="8"/>
  <c r="AG90" i="8"/>
  <c r="AK90" i="8"/>
  <c r="AO90" i="8"/>
  <c r="AS90" i="8"/>
  <c r="AW90" i="8"/>
  <c r="AD90" i="8"/>
  <c r="AH90" i="8"/>
  <c r="AL90" i="8"/>
  <c r="AP90" i="8"/>
  <c r="AT90" i="8"/>
  <c r="AX90" i="8"/>
  <c r="AI90" i="8"/>
  <c r="AQ90" i="8"/>
  <c r="AY90" i="8"/>
  <c r="AJ90" i="8"/>
  <c r="AR90" i="8"/>
  <c r="AE90" i="8"/>
  <c r="AU90" i="8"/>
  <c r="AF90" i="8"/>
  <c r="AV90" i="8"/>
  <c r="AM90" i="8"/>
  <c r="AN90" i="8"/>
  <c r="AG86" i="8"/>
  <c r="AK86" i="8"/>
  <c r="AO86" i="8"/>
  <c r="AS86" i="8"/>
  <c r="AW86" i="8"/>
  <c r="AD86" i="8"/>
  <c r="AH86" i="8"/>
  <c r="AL86" i="8"/>
  <c r="AP86" i="8"/>
  <c r="AT86" i="8"/>
  <c r="AX86" i="8"/>
  <c r="AI86" i="8"/>
  <c r="AQ86" i="8"/>
  <c r="AY86" i="8"/>
  <c r="AJ86" i="8"/>
  <c r="AR86" i="8"/>
  <c r="AM86" i="8"/>
  <c r="AN86" i="8"/>
  <c r="AU86" i="8"/>
  <c r="AV86" i="8"/>
  <c r="AE86" i="8"/>
  <c r="AF86" i="8"/>
  <c r="AF82" i="8"/>
  <c r="AJ82" i="8"/>
  <c r="AN82" i="8"/>
  <c r="AR82" i="8"/>
  <c r="AV82" i="8"/>
  <c r="AH82" i="8"/>
  <c r="AM82" i="8"/>
  <c r="AS82" i="8"/>
  <c r="AX82" i="8"/>
  <c r="AD82" i="8"/>
  <c r="AI82" i="8"/>
  <c r="AO82" i="8"/>
  <c r="AT82" i="8"/>
  <c r="AY82" i="8"/>
  <c r="AE82" i="8"/>
  <c r="AP82" i="8"/>
  <c r="AG82" i="8"/>
  <c r="AQ82" i="8"/>
  <c r="AK82" i="8"/>
  <c r="AL82" i="8"/>
  <c r="AU82" i="8"/>
  <c r="AW82" i="8"/>
  <c r="AF78" i="8"/>
  <c r="AJ78" i="8"/>
  <c r="AN78" i="8"/>
  <c r="AR78" i="8"/>
  <c r="AV78" i="8"/>
  <c r="AE78" i="8"/>
  <c r="AK78" i="8"/>
  <c r="AP78" i="8"/>
  <c r="AU78" i="8"/>
  <c r="AG78" i="8"/>
  <c r="AL78" i="8"/>
  <c r="AQ78" i="8"/>
  <c r="AW78" i="8"/>
  <c r="AH78" i="8"/>
  <c r="AS78" i="8"/>
  <c r="AI78" i="8"/>
  <c r="AT78" i="8"/>
  <c r="AM78" i="8"/>
  <c r="AO78" i="8"/>
  <c r="AD78" i="8"/>
  <c r="AX78" i="8"/>
  <c r="AY78" i="8"/>
  <c r="AF74" i="8"/>
  <c r="AJ74" i="8"/>
  <c r="AN74" i="8"/>
  <c r="AR74" i="8"/>
  <c r="AV74" i="8"/>
  <c r="AH74" i="8"/>
  <c r="AM74" i="8"/>
  <c r="AS74" i="8"/>
  <c r="AX74" i="8"/>
  <c r="AD74" i="8"/>
  <c r="AI74" i="8"/>
  <c r="AO74" i="8"/>
  <c r="AT74" i="8"/>
  <c r="AY74" i="8"/>
  <c r="AK74" i="8"/>
  <c r="AU74" i="8"/>
  <c r="AL74" i="8"/>
  <c r="AW74" i="8"/>
  <c r="AP74" i="8"/>
  <c r="AQ74" i="8"/>
  <c r="AE74" i="8"/>
  <c r="AG74" i="8"/>
  <c r="AF70" i="8"/>
  <c r="AJ70" i="8"/>
  <c r="AN70" i="8"/>
  <c r="AR70" i="8"/>
  <c r="AV70" i="8"/>
  <c r="AE70" i="8"/>
  <c r="AK70" i="8"/>
  <c r="AP70" i="8"/>
  <c r="AU70" i="8"/>
  <c r="AG70" i="8"/>
  <c r="AL70" i="8"/>
  <c r="AQ70" i="8"/>
  <c r="AW70" i="8"/>
  <c r="AM70" i="8"/>
  <c r="AX70" i="8"/>
  <c r="AD70" i="8"/>
  <c r="AO70" i="8"/>
  <c r="AY70" i="8"/>
  <c r="AS70" i="8"/>
  <c r="AT70" i="8"/>
  <c r="AH70" i="8"/>
  <c r="AI70" i="8"/>
  <c r="AF66" i="8"/>
  <c r="AJ66" i="8"/>
  <c r="AN66" i="8"/>
  <c r="AR66" i="8"/>
  <c r="AV66" i="8"/>
  <c r="AG66" i="8"/>
  <c r="AK66" i="8"/>
  <c r="AO66" i="8"/>
  <c r="AD66" i="8"/>
  <c r="AL66" i="8"/>
  <c r="AS66" i="8"/>
  <c r="AX66" i="8"/>
  <c r="AE66" i="8"/>
  <c r="AM66" i="8"/>
  <c r="AT66" i="8"/>
  <c r="AY66" i="8"/>
  <c r="AP66" i="8"/>
  <c r="AQ66" i="8"/>
  <c r="AU66" i="8"/>
  <c r="AW66" i="8"/>
  <c r="AH66" i="8"/>
  <c r="AI66" i="8"/>
  <c r="AF62" i="8"/>
  <c r="AJ62" i="8"/>
  <c r="AN62" i="8"/>
  <c r="AR62" i="8"/>
  <c r="AV62" i="8"/>
  <c r="AG62" i="8"/>
  <c r="AK62" i="8"/>
  <c r="AO62" i="8"/>
  <c r="AS62" i="8"/>
  <c r="AW62" i="8"/>
  <c r="AD62" i="8"/>
  <c r="AL62" i="8"/>
  <c r="AT62" i="8"/>
  <c r="AE62" i="8"/>
  <c r="AM62" i="8"/>
  <c r="AU62" i="8"/>
  <c r="AH62" i="8"/>
  <c r="AX62" i="8"/>
  <c r="AI62" i="8"/>
  <c r="AY62" i="8"/>
  <c r="AP62" i="8"/>
  <c r="AQ62" i="8"/>
  <c r="AF58" i="8"/>
  <c r="AJ58" i="8"/>
  <c r="AN58" i="8"/>
  <c r="AR58" i="8"/>
  <c r="AV58" i="8"/>
  <c r="AG58" i="8"/>
  <c r="AK58" i="8"/>
  <c r="AO58" i="8"/>
  <c r="AS58" i="8"/>
  <c r="AW58" i="8"/>
  <c r="AD58" i="8"/>
  <c r="AL58" i="8"/>
  <c r="AT58" i="8"/>
  <c r="AE58" i="8"/>
  <c r="AM58" i="8"/>
  <c r="AU58" i="8"/>
  <c r="AP58" i="8"/>
  <c r="AQ58" i="8"/>
  <c r="AH58" i="8"/>
  <c r="AI58" i="8"/>
  <c r="AX58" i="8"/>
  <c r="AY58" i="8"/>
  <c r="AF54" i="8"/>
  <c r="AJ54" i="8"/>
  <c r="AN54" i="8"/>
  <c r="AR54" i="8"/>
  <c r="AV54" i="8"/>
  <c r="AG54" i="8"/>
  <c r="AK54" i="8"/>
  <c r="AO54" i="8"/>
  <c r="AS54" i="8"/>
  <c r="AW54" i="8"/>
  <c r="AD54" i="8"/>
  <c r="AL54" i="8"/>
  <c r="AT54" i="8"/>
  <c r="AE54" i="8"/>
  <c r="AM54" i="8"/>
  <c r="AU54" i="8"/>
  <c r="AH54" i="8"/>
  <c r="AX54" i="8"/>
  <c r="AI54" i="8"/>
  <c r="AY54" i="8"/>
  <c r="AP54" i="8"/>
  <c r="AQ54" i="8"/>
  <c r="AF50" i="8"/>
  <c r="AJ50" i="8"/>
  <c r="AN50" i="8"/>
  <c r="AR50" i="8"/>
  <c r="AV50" i="8"/>
  <c r="AG50" i="8"/>
  <c r="AL50" i="8"/>
  <c r="AQ50" i="8"/>
  <c r="AW50" i="8"/>
  <c r="AH50" i="8"/>
  <c r="AM50" i="8"/>
  <c r="AS50" i="8"/>
  <c r="AX50" i="8"/>
  <c r="AI50" i="8"/>
  <c r="AT50" i="8"/>
  <c r="AK50" i="8"/>
  <c r="AU50" i="8"/>
  <c r="AD50" i="8"/>
  <c r="AY50" i="8"/>
  <c r="AE50" i="8"/>
  <c r="AO50" i="8"/>
  <c r="AP50" i="8"/>
  <c r="AF46" i="8"/>
  <c r="AJ46" i="8"/>
  <c r="AN46" i="8"/>
  <c r="AR46" i="8"/>
  <c r="AV46" i="8"/>
  <c r="AG46" i="8"/>
  <c r="AK46" i="8"/>
  <c r="AO46" i="8"/>
  <c r="AS46" i="8"/>
  <c r="AW46" i="8"/>
  <c r="AH46" i="8"/>
  <c r="AP46" i="8"/>
  <c r="AX46" i="8"/>
  <c r="AI46" i="8"/>
  <c r="AQ46" i="8"/>
  <c r="AY46" i="8"/>
  <c r="AL46" i="8"/>
  <c r="AM46" i="8"/>
  <c r="AT46" i="8"/>
  <c r="AU46" i="8"/>
  <c r="AD46" i="8"/>
  <c r="AE46" i="8"/>
  <c r="AF42" i="8"/>
  <c r="AJ42" i="8"/>
  <c r="AN42" i="8"/>
  <c r="AR42" i="8"/>
  <c r="AV42" i="8"/>
  <c r="AG42" i="8"/>
  <c r="AK42" i="8"/>
  <c r="AO42" i="8"/>
  <c r="AS42" i="8"/>
  <c r="AW42" i="8"/>
  <c r="AH42" i="8"/>
  <c r="AP42" i="8"/>
  <c r="AX42" i="8"/>
  <c r="AI42" i="8"/>
  <c r="AQ42" i="8"/>
  <c r="AY42" i="8"/>
  <c r="AD42" i="8"/>
  <c r="AT42" i="8"/>
  <c r="AE42" i="8"/>
  <c r="AU42" i="8"/>
  <c r="AL42" i="8"/>
  <c r="AM42" i="8"/>
  <c r="AF38" i="8"/>
  <c r="AJ38" i="8"/>
  <c r="AN38" i="8"/>
  <c r="AR38" i="8"/>
  <c r="AV38" i="8"/>
  <c r="AG38" i="8"/>
  <c r="AK38" i="8"/>
  <c r="AO38" i="8"/>
  <c r="AS38" i="8"/>
  <c r="AW38" i="8"/>
  <c r="AH38" i="8"/>
  <c r="AP38" i="8"/>
  <c r="AX38" i="8"/>
  <c r="AI38" i="8"/>
  <c r="AQ38" i="8"/>
  <c r="AY38" i="8"/>
  <c r="AL38" i="8"/>
  <c r="AM38" i="8"/>
  <c r="AD38" i="8"/>
  <c r="AE38" i="8"/>
  <c r="AT38" i="8"/>
  <c r="AU38" i="8"/>
  <c r="AF34" i="8"/>
  <c r="AJ34" i="8"/>
  <c r="AN34" i="8"/>
  <c r="AR34" i="8"/>
  <c r="AV34" i="8"/>
  <c r="AG34" i="8"/>
  <c r="AK34" i="8"/>
  <c r="AO34" i="8"/>
  <c r="AS34" i="8"/>
  <c r="AW34" i="8"/>
  <c r="AH34" i="8"/>
  <c r="AP34" i="8"/>
  <c r="AX34" i="8"/>
  <c r="AI34" i="8"/>
  <c r="AQ34" i="8"/>
  <c r="AY34" i="8"/>
  <c r="AD34" i="8"/>
  <c r="AT34" i="8"/>
  <c r="AE34" i="8"/>
  <c r="AU34" i="8"/>
  <c r="AL34" i="8"/>
  <c r="AM34" i="8"/>
  <c r="AF30" i="8"/>
  <c r="AJ30" i="8"/>
  <c r="AN30" i="8"/>
  <c r="AR30" i="8"/>
  <c r="AV30" i="8"/>
  <c r="AG30" i="8"/>
  <c r="AK30" i="8"/>
  <c r="AO30" i="8"/>
  <c r="AS30" i="8"/>
  <c r="AW30" i="8"/>
  <c r="AH30" i="8"/>
  <c r="AP30" i="8"/>
  <c r="AX30" i="8"/>
  <c r="AI30" i="8"/>
  <c r="AQ30" i="8"/>
  <c r="AY30" i="8"/>
  <c r="AL30" i="8"/>
  <c r="AM30" i="8"/>
  <c r="AT30" i="8"/>
  <c r="AU30" i="8"/>
  <c r="AD30" i="8"/>
  <c r="AE30" i="8"/>
  <c r="AD26" i="8"/>
  <c r="AH26" i="8"/>
  <c r="AL26" i="8"/>
  <c r="AP26" i="8"/>
  <c r="AT26" i="8"/>
  <c r="AX26" i="8"/>
  <c r="AE26" i="8"/>
  <c r="AI26" i="8"/>
  <c r="AM26" i="8"/>
  <c r="AQ26" i="8"/>
  <c r="AU26" i="8"/>
  <c r="AY26" i="8"/>
  <c r="AF26" i="8"/>
  <c r="AN26" i="8"/>
  <c r="AV26" i="8"/>
  <c r="AG26" i="8"/>
  <c r="AO26" i="8"/>
  <c r="AW26" i="8"/>
  <c r="AJ26" i="8"/>
  <c r="AK26" i="8"/>
  <c r="AR26" i="8"/>
  <c r="AS26" i="8"/>
  <c r="AD22" i="8"/>
  <c r="AH22" i="8"/>
  <c r="AL22" i="8"/>
  <c r="AP22" i="8"/>
  <c r="AT22" i="8"/>
  <c r="AX22" i="8"/>
  <c r="AE22" i="8"/>
  <c r="AI22" i="8"/>
  <c r="AM22" i="8"/>
  <c r="AQ22" i="8"/>
  <c r="AU22" i="8"/>
  <c r="AY22" i="8"/>
  <c r="AF22" i="8"/>
  <c r="AN22" i="8"/>
  <c r="AV22" i="8"/>
  <c r="AG22" i="8"/>
  <c r="AO22" i="8"/>
  <c r="AW22" i="8"/>
  <c r="AR22" i="8"/>
  <c r="AS22" i="8"/>
  <c r="AJ22" i="8"/>
  <c r="AK22" i="8"/>
  <c r="AE18" i="8"/>
  <c r="AI18" i="8"/>
  <c r="AM18" i="8"/>
  <c r="AQ18" i="8"/>
  <c r="AU18" i="8"/>
  <c r="AY18" i="8"/>
  <c r="AF18" i="8"/>
  <c r="AJ18" i="8"/>
  <c r="AN18" i="8"/>
  <c r="AR18" i="8"/>
  <c r="AV18" i="8"/>
  <c r="AD18" i="8"/>
  <c r="AL18" i="8"/>
  <c r="AT18" i="8"/>
  <c r="AG18" i="8"/>
  <c r="AO18" i="8"/>
  <c r="AW18" i="8"/>
  <c r="AH18" i="8"/>
  <c r="AX18" i="8"/>
  <c r="AK18" i="8"/>
  <c r="AP18" i="8"/>
  <c r="AS18" i="8"/>
  <c r="AE14" i="8"/>
  <c r="AI14" i="8"/>
  <c r="AM14" i="8"/>
  <c r="AQ14" i="8"/>
  <c r="AU14" i="8"/>
  <c r="AY14" i="8"/>
  <c r="AF14" i="8"/>
  <c r="AJ14" i="8"/>
  <c r="AN14" i="8"/>
  <c r="AR14" i="8"/>
  <c r="AV14" i="8"/>
  <c r="AD14" i="8"/>
  <c r="AL14" i="8"/>
  <c r="AT14" i="8"/>
  <c r="AG14" i="8"/>
  <c r="AO14" i="8"/>
  <c r="AW14" i="8"/>
  <c r="AP14" i="8"/>
  <c r="AS14" i="8"/>
  <c r="AH14" i="8"/>
  <c r="AK14" i="8"/>
  <c r="AX14" i="8"/>
  <c r="AD10" i="8"/>
  <c r="AH10" i="8"/>
  <c r="AL10" i="8"/>
  <c r="AP10" i="8"/>
  <c r="AT10" i="8"/>
  <c r="AX10" i="8"/>
  <c r="AE10" i="8"/>
  <c r="AI10" i="8"/>
  <c r="AM10" i="8"/>
  <c r="AQ10" i="8"/>
  <c r="AU10" i="8"/>
  <c r="AY10" i="8"/>
  <c r="AF10" i="8"/>
  <c r="AJ10" i="8"/>
  <c r="AN10" i="8"/>
  <c r="AR10" i="8"/>
  <c r="AV10" i="8"/>
  <c r="AS10" i="8"/>
  <c r="AG10" i="8"/>
  <c r="AW10" i="8"/>
  <c r="AK10" i="8"/>
  <c r="AO10" i="8"/>
  <c r="AD6" i="8"/>
  <c r="AH6" i="8"/>
  <c r="AL6" i="8"/>
  <c r="AP6" i="8"/>
  <c r="AT6" i="8"/>
  <c r="AX6" i="8"/>
  <c r="AE6" i="8"/>
  <c r="AI6" i="8"/>
  <c r="AM6" i="8"/>
  <c r="AQ6" i="8"/>
  <c r="AU6" i="8"/>
  <c r="AY6" i="8"/>
  <c r="AF6" i="8"/>
  <c r="AJ6" i="8"/>
  <c r="AN6" i="8"/>
  <c r="AR6" i="8"/>
  <c r="AV6" i="8"/>
  <c r="AK6" i="8"/>
  <c r="AO6" i="8"/>
  <c r="AG6" i="8"/>
  <c r="AS6" i="8"/>
  <c r="AW6" i="8"/>
  <c r="Z519" i="8"/>
  <c r="AA519" i="8" s="1"/>
  <c r="AD519" i="8" s="1"/>
  <c r="Z515" i="8"/>
  <c r="AA515" i="8" s="1"/>
  <c r="AD515" i="8" s="1"/>
  <c r="Z511" i="8"/>
  <c r="AA511" i="8" s="1"/>
  <c r="AJ511" i="8" s="1"/>
  <c r="Z507" i="8"/>
  <c r="AA507" i="8" s="1"/>
  <c r="Z503" i="8"/>
  <c r="AA503" i="8" s="1"/>
  <c r="AD503" i="8" s="1"/>
  <c r="Z499" i="8"/>
  <c r="AA499" i="8" s="1"/>
  <c r="AD499" i="8" s="1"/>
  <c r="Z495" i="8"/>
  <c r="AA495" i="8" s="1"/>
  <c r="Z491" i="8"/>
  <c r="AA491" i="8" s="1"/>
  <c r="Z487" i="8"/>
  <c r="AA487" i="8" s="1"/>
  <c r="AD487" i="8" s="1"/>
  <c r="Z483" i="8"/>
  <c r="AA483" i="8" s="1"/>
  <c r="AD483" i="8" s="1"/>
  <c r="Z479" i="8"/>
  <c r="AA479" i="8" s="1"/>
  <c r="Z475" i="8"/>
  <c r="AA475" i="8" s="1"/>
  <c r="Z471" i="8"/>
  <c r="AA471" i="8" s="1"/>
  <c r="AD471" i="8" s="1"/>
  <c r="Z467" i="8"/>
  <c r="AA467" i="8" s="1"/>
  <c r="AI467" i="8" s="1"/>
  <c r="Z463" i="8"/>
  <c r="AA463" i="8" s="1"/>
  <c r="AL463" i="8" s="1"/>
  <c r="Z459" i="8"/>
  <c r="AA459" i="8" s="1"/>
  <c r="AK459" i="8" s="1"/>
  <c r="Z455" i="8"/>
  <c r="AA455" i="8" s="1"/>
  <c r="AD455" i="8" s="1"/>
  <c r="Z451" i="8"/>
  <c r="AA451" i="8" s="1"/>
  <c r="AJ451" i="8" s="1"/>
  <c r="Z447" i="8"/>
  <c r="AA447" i="8" s="1"/>
  <c r="AK447" i="8" s="1"/>
  <c r="Z443" i="8"/>
  <c r="AA443" i="8" s="1"/>
  <c r="AJ443" i="8" s="1"/>
  <c r="Z439" i="8"/>
  <c r="AA439" i="8" s="1"/>
  <c r="AV439" i="8" s="1"/>
  <c r="Z435" i="8"/>
  <c r="AA435" i="8" s="1"/>
  <c r="AL435" i="8" s="1"/>
  <c r="Z431" i="8"/>
  <c r="AA431" i="8" s="1"/>
  <c r="AF431" i="8" s="1"/>
  <c r="Z427" i="8"/>
  <c r="AA427" i="8" s="1"/>
  <c r="AJ427" i="8" s="1"/>
  <c r="Z423" i="8"/>
  <c r="AA423" i="8" s="1"/>
  <c r="AV423" i="8" s="1"/>
  <c r="Z419" i="8"/>
  <c r="AA419" i="8" s="1"/>
  <c r="AT419" i="8" s="1"/>
  <c r="Z415" i="8"/>
  <c r="AA415" i="8" s="1"/>
  <c r="AF415" i="8" s="1"/>
  <c r="Z411" i="8"/>
  <c r="AA411" i="8" s="1"/>
  <c r="AJ411" i="8" s="1"/>
  <c r="Z407" i="8"/>
  <c r="AA407" i="8" s="1"/>
  <c r="AX407" i="8" s="1"/>
  <c r="Z403" i="8"/>
  <c r="AA403" i="8" s="1"/>
  <c r="AP403" i="8" s="1"/>
  <c r="Z399" i="8"/>
  <c r="AA399" i="8" s="1"/>
  <c r="AS399" i="8" s="1"/>
  <c r="Z395" i="8"/>
  <c r="AA395" i="8" s="1"/>
  <c r="AX395" i="8" s="1"/>
  <c r="Z391" i="8"/>
  <c r="AA391" i="8" s="1"/>
  <c r="AJ391" i="8" s="1"/>
  <c r="Z387" i="8"/>
  <c r="AA387" i="8" s="1"/>
  <c r="AM387" i="8" s="1"/>
  <c r="Z383" i="8"/>
  <c r="AA383" i="8" s="1"/>
  <c r="AR383" i="8" s="1"/>
  <c r="Z379" i="8"/>
  <c r="AA379" i="8" s="1"/>
  <c r="AM379" i="8" s="1"/>
  <c r="Z375" i="8"/>
  <c r="AA375" i="8" s="1"/>
  <c r="AE375" i="8" s="1"/>
  <c r="Z371" i="8"/>
  <c r="AA371" i="8" s="1"/>
  <c r="AN371" i="8" s="1"/>
  <c r="Z367" i="8"/>
  <c r="AA367" i="8" s="1"/>
  <c r="AK367" i="8" s="1"/>
  <c r="Z363" i="8"/>
  <c r="AA363" i="8" s="1"/>
  <c r="AH363" i="8" s="1"/>
  <c r="Z359" i="8"/>
  <c r="AA359" i="8" s="1"/>
  <c r="AP359" i="8" s="1"/>
  <c r="Z355" i="8"/>
  <c r="AA355" i="8" s="1"/>
  <c r="AJ355" i="8" s="1"/>
  <c r="Z351" i="8"/>
  <c r="AA351" i="8" s="1"/>
  <c r="AF351" i="8" s="1"/>
  <c r="Z347" i="8"/>
  <c r="AA347" i="8" s="1"/>
  <c r="AK347" i="8" s="1"/>
  <c r="Z343" i="8"/>
  <c r="AA343" i="8" s="1"/>
  <c r="AF343" i="8" s="1"/>
  <c r="Z339" i="8"/>
  <c r="AA339" i="8" s="1"/>
  <c r="AR339" i="8" s="1"/>
  <c r="Z335" i="8"/>
  <c r="AA335" i="8" s="1"/>
  <c r="AF335" i="8" s="1"/>
  <c r="Z331" i="8"/>
  <c r="AA331" i="8" s="1"/>
  <c r="AK331" i="8" s="1"/>
  <c r="Z327" i="8"/>
  <c r="AA327" i="8" s="1"/>
  <c r="AR327" i="8" s="1"/>
  <c r="Z323" i="8"/>
  <c r="AA323" i="8" s="1"/>
  <c r="AF323" i="8" s="1"/>
  <c r="Z319" i="8"/>
  <c r="AA319" i="8" s="1"/>
  <c r="AF319" i="8" s="1"/>
  <c r="Z315" i="8"/>
  <c r="AA315" i="8" s="1"/>
  <c r="AU315" i="8" s="1"/>
  <c r="Z311" i="8"/>
  <c r="AA311" i="8" s="1"/>
  <c r="AX311" i="8" s="1"/>
  <c r="Z307" i="8"/>
  <c r="AA307" i="8" s="1"/>
  <c r="AR307" i="8" s="1"/>
  <c r="Z303" i="8"/>
  <c r="AA303" i="8" s="1"/>
  <c r="AN303" i="8" s="1"/>
  <c r="Z299" i="8"/>
  <c r="AA299" i="8" s="1"/>
  <c r="AS299" i="8" s="1"/>
  <c r="Z295" i="8"/>
  <c r="AA295" i="8" s="1"/>
  <c r="AQ295" i="8" s="1"/>
  <c r="Z291" i="8"/>
  <c r="AA291" i="8" s="1"/>
  <c r="AI291" i="8" s="1"/>
  <c r="Z287" i="8"/>
  <c r="AA287" i="8" s="1"/>
  <c r="AM287" i="8" s="1"/>
  <c r="Z283" i="8"/>
  <c r="AA283" i="8" s="1"/>
  <c r="AQ283" i="8" s="1"/>
  <c r="Z279" i="8"/>
  <c r="AA279" i="8" s="1"/>
  <c r="AI279" i="8" s="1"/>
  <c r="Z275" i="8"/>
  <c r="AA275" i="8" s="1"/>
  <c r="AL275" i="8" s="1"/>
  <c r="Z271" i="8"/>
  <c r="AA271" i="8" s="1"/>
  <c r="AQ271" i="8" s="1"/>
  <c r="Z267" i="8"/>
  <c r="AA267" i="8" s="1"/>
  <c r="AI267" i="8" s="1"/>
  <c r="Z263" i="8"/>
  <c r="AA263" i="8" s="1"/>
  <c r="AQ263" i="8" s="1"/>
  <c r="Z259" i="8"/>
  <c r="AA259" i="8" s="1"/>
  <c r="AI259" i="8" s="1"/>
  <c r="Z255" i="8"/>
  <c r="AA255" i="8" s="1"/>
  <c r="AM255" i="8" s="1"/>
  <c r="Z251" i="8"/>
  <c r="AA251" i="8" s="1"/>
  <c r="AQ251" i="8" s="1"/>
  <c r="Z247" i="8"/>
  <c r="AA247" i="8" s="1"/>
  <c r="AK247" i="8" s="1"/>
  <c r="Z243" i="8"/>
  <c r="AA243" i="8" s="1"/>
  <c r="AK243" i="8" s="1"/>
  <c r="Z239" i="8"/>
  <c r="AA239" i="8" s="1"/>
  <c r="AS239" i="8" s="1"/>
  <c r="Z235" i="8"/>
  <c r="AA235" i="8" s="1"/>
  <c r="AS235" i="8" s="1"/>
  <c r="Z231" i="8"/>
  <c r="AA231" i="8" s="1"/>
  <c r="AK231" i="8" s="1"/>
  <c r="Z227" i="8"/>
  <c r="AA227" i="8" s="1"/>
  <c r="AK227" i="8" s="1"/>
  <c r="Z223" i="8"/>
  <c r="AA223" i="8" s="1"/>
  <c r="AS223" i="8" s="1"/>
  <c r="Z219" i="8"/>
  <c r="AA219" i="8" s="1"/>
  <c r="AS219" i="8" s="1"/>
  <c r="Z215" i="8"/>
  <c r="AA215" i="8" s="1"/>
  <c r="AK215" i="8" s="1"/>
  <c r="Z211" i="8"/>
  <c r="AA211" i="8" s="1"/>
  <c r="AK211" i="8" s="1"/>
  <c r="Z207" i="8"/>
  <c r="AA207" i="8" s="1"/>
  <c r="AS207" i="8" s="1"/>
  <c r="Z203" i="8"/>
  <c r="AA203" i="8" s="1"/>
  <c r="AS203" i="8" s="1"/>
  <c r="Z199" i="8"/>
  <c r="AA199" i="8" s="1"/>
  <c r="AK199" i="8" s="1"/>
  <c r="Z195" i="8"/>
  <c r="AA195" i="8" s="1"/>
  <c r="AK195" i="8" s="1"/>
  <c r="Z191" i="8"/>
  <c r="AA191" i="8" s="1"/>
  <c r="AG191" i="8" s="1"/>
  <c r="Z187" i="8"/>
  <c r="AA187" i="8" s="1"/>
  <c r="AR187" i="8" s="1"/>
  <c r="Z183" i="8"/>
  <c r="AA183" i="8" s="1"/>
  <c r="AN183" i="8" s="1"/>
  <c r="Z179" i="8"/>
  <c r="AA179" i="8" s="1"/>
  <c r="AJ179" i="8" s="1"/>
  <c r="Z175" i="8"/>
  <c r="AA175" i="8" s="1"/>
  <c r="AF175" i="8" s="1"/>
  <c r="Z171" i="8"/>
  <c r="AA171" i="8" s="1"/>
  <c r="AR171" i="8" s="1"/>
  <c r="Z167" i="8"/>
  <c r="AA167" i="8" s="1"/>
  <c r="AN167" i="8" s="1"/>
  <c r="Z163" i="8"/>
  <c r="AA163" i="8" s="1"/>
  <c r="AJ163" i="8" s="1"/>
  <c r="Z159" i="8"/>
  <c r="AA159" i="8" s="1"/>
  <c r="AJ159" i="8" s="1"/>
  <c r="Z155" i="8"/>
  <c r="AA155" i="8" s="1"/>
  <c r="AR155" i="8" s="1"/>
  <c r="Z151" i="8"/>
  <c r="AA151" i="8" s="1"/>
  <c r="AR151" i="8" s="1"/>
  <c r="Z147" i="8"/>
  <c r="AA147" i="8" s="1"/>
  <c r="AJ147" i="8" s="1"/>
  <c r="Z143" i="8"/>
  <c r="AA143" i="8" s="1"/>
  <c r="AI143" i="8" s="1"/>
  <c r="Z139" i="8"/>
  <c r="AA139" i="8" s="1"/>
  <c r="AQ139" i="8" s="1"/>
  <c r="Z135" i="8"/>
  <c r="AA135" i="8" s="1"/>
  <c r="AI135" i="8" s="1"/>
  <c r="Z131" i="8"/>
  <c r="AA131" i="8" s="1"/>
  <c r="AQ131" i="8" s="1"/>
  <c r="Z127" i="8"/>
  <c r="AA127" i="8" s="1"/>
  <c r="AQ127" i="8" s="1"/>
  <c r="Z123" i="8"/>
  <c r="AA123" i="8" s="1"/>
  <c r="AI123" i="8" s="1"/>
  <c r="Z119" i="8"/>
  <c r="AA119" i="8" s="1"/>
  <c r="AQ119" i="8" s="1"/>
  <c r="Z115" i="8"/>
  <c r="AA115" i="8" s="1"/>
  <c r="AJ115" i="8" s="1"/>
  <c r="Z111" i="8"/>
  <c r="AA111" i="8" s="1"/>
  <c r="AJ111" i="8" s="1"/>
  <c r="Z107" i="8"/>
  <c r="AA107" i="8" s="1"/>
  <c r="AQ107" i="8" s="1"/>
  <c r="Z103" i="8"/>
  <c r="AA103" i="8" s="1"/>
  <c r="AQ103" i="8" s="1"/>
  <c r="Z99" i="8"/>
  <c r="AA99" i="8" s="1"/>
  <c r="AI99" i="8" s="1"/>
  <c r="Z95" i="8"/>
  <c r="AA95" i="8" s="1"/>
  <c r="AQ95" i="8" s="1"/>
  <c r="Z91" i="8"/>
  <c r="AA91" i="8" s="1"/>
  <c r="AI91" i="8" s="1"/>
  <c r="Z87" i="8"/>
  <c r="AA87" i="8" s="1"/>
  <c r="AI87" i="8" s="1"/>
  <c r="Z83" i="8"/>
  <c r="AA83" i="8" s="1"/>
  <c r="AP83" i="8" s="1"/>
  <c r="Z79" i="8"/>
  <c r="AA79" i="8" s="1"/>
  <c r="AP79" i="8" s="1"/>
  <c r="Z75" i="8"/>
  <c r="AA75" i="8" s="1"/>
  <c r="AH75" i="8" s="1"/>
  <c r="Z71" i="8"/>
  <c r="AA71" i="8" s="1"/>
  <c r="AH71" i="8" s="1"/>
  <c r="Z67" i="8"/>
  <c r="AA67" i="8" s="1"/>
  <c r="AD67" i="8" s="1"/>
  <c r="Z63" i="8"/>
  <c r="AA63" i="8" s="1"/>
  <c r="AH63" i="8" s="1"/>
  <c r="Z59" i="8"/>
  <c r="AA59" i="8" s="1"/>
  <c r="AP59" i="8" s="1"/>
  <c r="Z55" i="8"/>
  <c r="AA55" i="8" s="1"/>
  <c r="AP55" i="8" s="1"/>
  <c r="Z51" i="8"/>
  <c r="AA51" i="8" s="1"/>
  <c r="AL51" i="8" s="1"/>
  <c r="Z47" i="8"/>
  <c r="AA47" i="8" s="1"/>
  <c r="AP47" i="8" s="1"/>
  <c r="Z43" i="8"/>
  <c r="AA43" i="8" s="1"/>
  <c r="AH43" i="8" s="1"/>
  <c r="Z39" i="8"/>
  <c r="AA39" i="8" s="1"/>
  <c r="AP39" i="8" s="1"/>
  <c r="Z35" i="8"/>
  <c r="AA35" i="8" s="1"/>
  <c r="AL35" i="8" s="1"/>
  <c r="Z31" i="8"/>
  <c r="AA31" i="8" s="1"/>
  <c r="AP31" i="8" s="1"/>
  <c r="Z27" i="8"/>
  <c r="AA27" i="8" s="1"/>
  <c r="AJ27" i="8" s="1"/>
  <c r="Z23" i="8"/>
  <c r="AA23" i="8" s="1"/>
  <c r="AR23" i="8" s="1"/>
  <c r="Z19" i="8"/>
  <c r="AA19" i="8" s="1"/>
  <c r="AD19" i="8" s="1"/>
  <c r="Z15" i="8"/>
  <c r="AA15" i="8" s="1"/>
  <c r="AS15" i="8" s="1"/>
  <c r="Z11" i="8"/>
  <c r="AA11" i="8" s="1"/>
  <c r="AJ11" i="8" s="1"/>
  <c r="Z7" i="8"/>
  <c r="AA7" i="8" s="1"/>
  <c r="AR7" i="8" s="1"/>
  <c r="AG3" i="8"/>
  <c r="AK3" i="8"/>
  <c r="AO3" i="8"/>
  <c r="AS3" i="8"/>
  <c r="AT519" i="8"/>
  <c r="AP519" i="8"/>
  <c r="AL519" i="8"/>
  <c r="AV518" i="8"/>
  <c r="AR518" i="8"/>
  <c r="AN518" i="8"/>
  <c r="AJ518" i="8"/>
  <c r="AX517" i="8"/>
  <c r="AT517" i="8"/>
  <c r="AP517" i="8"/>
  <c r="AL517" i="8"/>
  <c r="AH517" i="8"/>
  <c r="AV516" i="8"/>
  <c r="AR516" i="8"/>
  <c r="AN516" i="8"/>
  <c r="AJ516" i="8"/>
  <c r="AX515" i="8"/>
  <c r="AT515" i="8"/>
  <c r="AP515" i="8"/>
  <c r="AL515" i="8"/>
  <c r="AH515" i="8"/>
  <c r="AV514" i="8"/>
  <c r="AR514" i="8"/>
  <c r="AN514" i="8"/>
  <c r="AJ514" i="8"/>
  <c r="AX513" i="8"/>
  <c r="AT513" i="8"/>
  <c r="AP513" i="8"/>
  <c r="AL513" i="8"/>
  <c r="AH513" i="8"/>
  <c r="AV512" i="8"/>
  <c r="AR512" i="8"/>
  <c r="AN512" i="8"/>
  <c r="AJ512" i="8"/>
  <c r="AT511" i="8"/>
  <c r="AP511" i="8"/>
  <c r="AV510" i="8"/>
  <c r="AR510" i="8"/>
  <c r="AN510" i="8"/>
  <c r="AJ510" i="8"/>
  <c r="AX509" i="8"/>
  <c r="AT509" i="8"/>
  <c r="AP509" i="8"/>
  <c r="AL509" i="8"/>
  <c r="AH509" i="8"/>
  <c r="AV508" i="8"/>
  <c r="AR508" i="8"/>
  <c r="AN508" i="8"/>
  <c r="AJ508" i="8"/>
  <c r="AX507" i="8"/>
  <c r="AH507" i="8"/>
  <c r="AV506" i="8"/>
  <c r="AR506" i="8"/>
  <c r="AN506" i="8"/>
  <c r="AJ506" i="8"/>
  <c r="AL505" i="8"/>
  <c r="AV504" i="8"/>
  <c r="AR504" i="8"/>
  <c r="AN504" i="8"/>
  <c r="AJ504" i="8"/>
  <c r="AT503" i="8"/>
  <c r="AP503" i="8"/>
  <c r="AL503" i="8"/>
  <c r="AV502" i="8"/>
  <c r="AR502" i="8"/>
  <c r="AN502" i="8"/>
  <c r="AJ502" i="8"/>
  <c r="AX501" i="8"/>
  <c r="AT501" i="8"/>
  <c r="AP501" i="8"/>
  <c r="AL501" i="8"/>
  <c r="AH501" i="8"/>
  <c r="AV500" i="8"/>
  <c r="AR500" i="8"/>
  <c r="AN500" i="8"/>
  <c r="AJ500" i="8"/>
  <c r="AX499" i="8"/>
  <c r="AT499" i="8"/>
  <c r="AP499" i="8"/>
  <c r="AL499" i="8"/>
  <c r="AH499" i="8"/>
  <c r="AV498" i="8"/>
  <c r="AR498" i="8"/>
  <c r="AN498" i="8"/>
  <c r="AJ498" i="8"/>
  <c r="AX497" i="8"/>
  <c r="AT497" i="8"/>
  <c r="AP497" i="8"/>
  <c r="AL497" i="8"/>
  <c r="AH497" i="8"/>
  <c r="AV496" i="8"/>
  <c r="AR496" i="8"/>
  <c r="AN496" i="8"/>
  <c r="AJ496" i="8"/>
  <c r="AT495" i="8"/>
  <c r="AP495" i="8"/>
  <c r="AV494" i="8"/>
  <c r="AR494" i="8"/>
  <c r="AN494" i="8"/>
  <c r="AJ494" i="8"/>
  <c r="AX493" i="8"/>
  <c r="AT493" i="8"/>
  <c r="AP493" i="8"/>
  <c r="AL493" i="8"/>
  <c r="AH493" i="8"/>
  <c r="AV492" i="8"/>
  <c r="AR492" i="8"/>
  <c r="AN492" i="8"/>
  <c r="AJ492" i="8"/>
  <c r="AX491" i="8"/>
  <c r="AH491" i="8"/>
  <c r="AV490" i="8"/>
  <c r="AR490" i="8"/>
  <c r="AN490" i="8"/>
  <c r="AJ490" i="8"/>
  <c r="AL489" i="8"/>
  <c r="AV488" i="8"/>
  <c r="AR488" i="8"/>
  <c r="AN488" i="8"/>
  <c r="AJ488" i="8"/>
  <c r="AT487" i="8"/>
  <c r="AP487" i="8"/>
  <c r="AL487" i="8"/>
  <c r="AV486" i="8"/>
  <c r="AR486" i="8"/>
  <c r="AN486" i="8"/>
  <c r="AJ486" i="8"/>
  <c r="AX485" i="8"/>
  <c r="AT485" i="8"/>
  <c r="AP485" i="8"/>
  <c r="AL485" i="8"/>
  <c r="AH485" i="8"/>
  <c r="AV484" i="8"/>
  <c r="AR484" i="8"/>
  <c r="AN484" i="8"/>
  <c r="AJ484" i="8"/>
  <c r="AX483" i="8"/>
  <c r="AT483" i="8"/>
  <c r="AP483" i="8"/>
  <c r="AL483" i="8"/>
  <c r="AH483" i="8"/>
  <c r="AV482" i="8"/>
  <c r="AR482" i="8"/>
  <c r="AN482" i="8"/>
  <c r="AJ482" i="8"/>
  <c r="AX481" i="8"/>
  <c r="AT481" i="8"/>
  <c r="AP481" i="8"/>
  <c r="AL481" i="8"/>
  <c r="AH481" i="8"/>
  <c r="AV480" i="8"/>
  <c r="AR480" i="8"/>
  <c r="AN480" i="8"/>
  <c r="AJ480" i="8"/>
  <c r="AT479" i="8"/>
  <c r="AP479" i="8"/>
  <c r="AV478" i="8"/>
  <c r="AR478" i="8"/>
  <c r="AN478" i="8"/>
  <c r="AJ478" i="8"/>
  <c r="AX477" i="8"/>
  <c r="AT477" i="8"/>
  <c r="AP477" i="8"/>
  <c r="AL477" i="8"/>
  <c r="AH477" i="8"/>
  <c r="AV476" i="8"/>
  <c r="AR476" i="8"/>
  <c r="AN476" i="8"/>
  <c r="AJ476" i="8"/>
  <c r="AX475" i="8"/>
  <c r="AH475" i="8"/>
  <c r="AV474" i="8"/>
  <c r="AR474" i="8"/>
  <c r="AN474" i="8"/>
  <c r="AJ474" i="8"/>
  <c r="AL473" i="8"/>
  <c r="AV472" i="8"/>
  <c r="AR472" i="8"/>
  <c r="AN472" i="8"/>
  <c r="AJ472" i="8"/>
  <c r="AT471" i="8"/>
  <c r="AP471" i="8"/>
  <c r="AL471" i="8"/>
  <c r="AV470" i="8"/>
  <c r="AR470" i="8"/>
  <c r="AN470" i="8"/>
  <c r="AJ470" i="8"/>
  <c r="AX469" i="8"/>
  <c r="AT469" i="8"/>
  <c r="AP469" i="8"/>
  <c r="AL469" i="8"/>
  <c r="AH469" i="8"/>
  <c r="AV468" i="8"/>
  <c r="AR468" i="8"/>
  <c r="AN468" i="8"/>
  <c r="AJ468" i="8"/>
  <c r="AX467" i="8"/>
  <c r="AT467" i="8"/>
  <c r="AP467" i="8"/>
  <c r="AL467" i="8"/>
  <c r="AH467" i="8"/>
  <c r="AV466" i="8"/>
  <c r="AN466" i="8"/>
  <c r="AF466" i="8"/>
  <c r="AT465" i="8"/>
  <c r="AL465" i="8"/>
  <c r="AD465" i="8"/>
  <c r="AR464" i="8"/>
  <c r="AJ464" i="8"/>
  <c r="AH463" i="8"/>
  <c r="AV462" i="8"/>
  <c r="AN462" i="8"/>
  <c r="AF462" i="8"/>
  <c r="AT461" i="8"/>
  <c r="AL461" i="8"/>
  <c r="AD461" i="8"/>
  <c r="AR460" i="8"/>
  <c r="AJ460" i="8"/>
  <c r="AX459" i="8"/>
  <c r="AV458" i="8"/>
  <c r="AN458" i="8"/>
  <c r="AF458" i="8"/>
  <c r="AD457" i="8"/>
  <c r="AR456" i="8"/>
  <c r="AJ456" i="8"/>
  <c r="AX455" i="8"/>
  <c r="AP455" i="8"/>
  <c r="AH455" i="8"/>
  <c r="AV454" i="8"/>
  <c r="AN454" i="8"/>
  <c r="AF454" i="8"/>
  <c r="AT453" i="8"/>
  <c r="AL453" i="8"/>
  <c r="AD453" i="8"/>
  <c r="AR452" i="8"/>
  <c r="AJ452" i="8"/>
  <c r="AX451" i="8"/>
  <c r="AP451" i="8"/>
  <c r="AH451" i="8"/>
  <c r="AV450" i="8"/>
  <c r="AN450" i="8"/>
  <c r="AF450" i="8"/>
  <c r="AT449" i="8"/>
  <c r="AL449" i="8"/>
  <c r="AD449" i="8"/>
  <c r="AR448" i="8"/>
  <c r="AJ448" i="8"/>
  <c r="AH447" i="8"/>
  <c r="AV446" i="8"/>
  <c r="AN446" i="8"/>
  <c r="AF446" i="8"/>
  <c r="AT445" i="8"/>
  <c r="AL445" i="8"/>
  <c r="AD445" i="8"/>
  <c r="AR444" i="8"/>
  <c r="AJ444" i="8"/>
  <c r="AX443" i="8"/>
  <c r="AV442" i="8"/>
  <c r="AN442" i="8"/>
  <c r="AF442" i="8"/>
  <c r="AD441" i="8"/>
  <c r="AR440" i="8"/>
  <c r="AJ440" i="8"/>
  <c r="AX439" i="8"/>
  <c r="AP439" i="8"/>
  <c r="AH439" i="8"/>
  <c r="AV438" i="8"/>
  <c r="AN438" i="8"/>
  <c r="AF438" i="8"/>
  <c r="AT437" i="8"/>
  <c r="AL437" i="8"/>
  <c r="AD437" i="8"/>
  <c r="AR436" i="8"/>
  <c r="AJ436" i="8"/>
  <c r="AX435" i="8"/>
  <c r="AP435" i="8"/>
  <c r="AH435" i="8"/>
  <c r="AV434" i="8"/>
  <c r="AN434" i="8"/>
  <c r="AF434" i="8"/>
  <c r="AT433" i="8"/>
  <c r="AL433" i="8"/>
  <c r="AD433" i="8"/>
  <c r="AR432" i="8"/>
  <c r="AJ432" i="8"/>
  <c r="AH431" i="8"/>
  <c r="AV430" i="8"/>
  <c r="AN430" i="8"/>
  <c r="AF430" i="8"/>
  <c r="AT429" i="8"/>
  <c r="AL429" i="8"/>
  <c r="AD429" i="8"/>
  <c r="AR428" i="8"/>
  <c r="AJ428" i="8"/>
  <c r="AX427" i="8"/>
  <c r="AV426" i="8"/>
  <c r="AN426" i="8"/>
  <c r="AF426" i="8"/>
  <c r="AD425" i="8"/>
  <c r="AR424" i="8"/>
  <c r="AJ424" i="8"/>
  <c r="AX423" i="8"/>
  <c r="AP423" i="8"/>
  <c r="AH423" i="8"/>
  <c r="AV422" i="8"/>
  <c r="AN422" i="8"/>
  <c r="AF422" i="8"/>
  <c r="AT421" i="8"/>
  <c r="AL421" i="8"/>
  <c r="AD421" i="8"/>
  <c r="AR420" i="8"/>
  <c r="AJ420" i="8"/>
  <c r="AX419" i="8"/>
  <c r="AP419" i="8"/>
  <c r="AH419" i="8"/>
  <c r="AV418" i="8"/>
  <c r="AN418" i="8"/>
  <c r="AF418" i="8"/>
  <c r="AT417" i="8"/>
  <c r="AL417" i="8"/>
  <c r="AD417" i="8"/>
  <c r="AR416" i="8"/>
  <c r="AJ416" i="8"/>
  <c r="AH415" i="8"/>
  <c r="AV414" i="8"/>
  <c r="AN414" i="8"/>
  <c r="AF414" i="8"/>
  <c r="AT413" i="8"/>
  <c r="AL413" i="8"/>
  <c r="AD413" i="8"/>
  <c r="AR412" i="8"/>
  <c r="AJ412" i="8"/>
  <c r="AX411" i="8"/>
  <c r="AV410" i="8"/>
  <c r="AN410" i="8"/>
  <c r="AF410" i="8"/>
  <c r="AR408" i="8"/>
  <c r="AG408" i="8"/>
  <c r="AH407" i="8"/>
  <c r="AS406" i="8"/>
  <c r="AI406" i="8"/>
  <c r="AT405" i="8"/>
  <c r="AI405" i="8"/>
  <c r="AU404" i="8"/>
  <c r="AJ404" i="8"/>
  <c r="AU403" i="8"/>
  <c r="AK403" i="8"/>
  <c r="AV402" i="8"/>
  <c r="AK402" i="8"/>
  <c r="AW401" i="8"/>
  <c r="AL401" i="8"/>
  <c r="AW400" i="8"/>
  <c r="AM400" i="8"/>
  <c r="AM399" i="8"/>
  <c r="AY398" i="8"/>
  <c r="AN398" i="8"/>
  <c r="AY397" i="8"/>
  <c r="AO397" i="8"/>
  <c r="AD397" i="8"/>
  <c r="AO396" i="8"/>
  <c r="AS394" i="8"/>
  <c r="AT393" i="8"/>
  <c r="AU392" i="8"/>
  <c r="AV390" i="8"/>
  <c r="AW389" i="8"/>
  <c r="AW388" i="8"/>
  <c r="AX387" i="8"/>
  <c r="AY386" i="8"/>
  <c r="AY385" i="8"/>
  <c r="AD385" i="8"/>
  <c r="AE384" i="8"/>
  <c r="AE383" i="8"/>
  <c r="AF382" i="8"/>
  <c r="AG381" i="8"/>
  <c r="AG380" i="8"/>
  <c r="AI378" i="8"/>
  <c r="AJ376" i="8"/>
  <c r="AK375" i="8"/>
  <c r="AK374" i="8"/>
  <c r="AL373" i="8"/>
  <c r="AM372" i="8"/>
  <c r="AM371" i="8"/>
  <c r="AN370" i="8"/>
  <c r="AO369" i="8"/>
  <c r="AO368" i="8"/>
  <c r="AP367" i="8"/>
  <c r="AQ366" i="8"/>
  <c r="AQ365" i="8"/>
  <c r="AR364" i="8"/>
  <c r="AS362" i="8"/>
  <c r="AU360" i="8"/>
  <c r="AU359" i="8"/>
  <c r="AV358" i="8"/>
  <c r="AW357" i="8"/>
  <c r="AW356" i="8"/>
  <c r="AX355" i="8"/>
  <c r="AY354" i="8"/>
  <c r="AY353" i="8"/>
  <c r="AD353" i="8"/>
  <c r="AS351" i="8"/>
  <c r="AT349" i="8"/>
  <c r="AW345" i="8"/>
  <c r="AX343" i="8"/>
  <c r="AY341" i="8"/>
  <c r="AE340" i="8"/>
  <c r="AF338" i="8"/>
  <c r="AG336" i="8"/>
  <c r="AI334" i="8"/>
  <c r="AJ332" i="8"/>
  <c r="AK330" i="8"/>
  <c r="AM328" i="8"/>
  <c r="AN326" i="8"/>
  <c r="AO324" i="8"/>
  <c r="AQ322" i="8"/>
  <c r="AR320" i="8"/>
  <c r="AS318" i="8"/>
  <c r="AU316" i="8"/>
  <c r="AV314" i="8"/>
  <c r="AW312" i="8"/>
  <c r="AY310" i="8"/>
  <c r="AD309" i="8"/>
  <c r="AQ301" i="8"/>
  <c r="AT297" i="8"/>
  <c r="AF292" i="8"/>
  <c r="AJ286" i="8"/>
  <c r="AN280" i="8"/>
  <c r="AP269" i="8"/>
  <c r="AX257" i="8"/>
  <c r="AO244" i="8"/>
  <c r="AP167" i="8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AG475" i="8" l="1"/>
  <c r="AK475" i="8"/>
  <c r="AO475" i="8"/>
  <c r="AW475" i="8"/>
  <c r="AS475" i="8"/>
  <c r="AO507" i="8"/>
  <c r="AW507" i="8"/>
  <c r="AK507" i="8"/>
  <c r="AS507" i="8"/>
  <c r="AG507" i="8"/>
  <c r="AD11" i="8"/>
  <c r="AK11" i="8"/>
  <c r="AS27" i="8"/>
  <c r="AN43" i="8"/>
  <c r="AD43" i="8"/>
  <c r="AG107" i="8"/>
  <c r="AM139" i="8"/>
  <c r="AE203" i="8"/>
  <c r="AI219" i="8"/>
  <c r="AI235" i="8"/>
  <c r="AV251" i="8"/>
  <c r="AO299" i="8"/>
  <c r="AR379" i="8"/>
  <c r="AO395" i="8"/>
  <c r="AG411" i="8"/>
  <c r="AI427" i="8"/>
  <c r="AW443" i="8"/>
  <c r="AE507" i="8"/>
  <c r="AU59" i="8"/>
  <c r="AK75" i="8"/>
  <c r="AD75" i="8"/>
  <c r="AS91" i="8"/>
  <c r="AE91" i="8"/>
  <c r="AN123" i="8"/>
  <c r="AI155" i="8"/>
  <c r="AW171" i="8"/>
  <c r="AN171" i="8"/>
  <c r="AG187" i="8"/>
  <c r="AN267" i="8"/>
  <c r="AH283" i="8"/>
  <c r="AH315" i="8"/>
  <c r="AI315" i="8"/>
  <c r="AG331" i="8"/>
  <c r="AH347" i="8"/>
  <c r="AN347" i="8"/>
  <c r="AI363" i="8"/>
  <c r="AT427" i="8"/>
  <c r="AT443" i="8"/>
  <c r="AN507" i="8"/>
  <c r="AD377" i="8"/>
  <c r="AV427" i="8"/>
  <c r="AK185" i="8"/>
  <c r="AN185" i="8"/>
  <c r="AE377" i="8"/>
  <c r="AU425" i="8"/>
  <c r="AL283" i="8"/>
  <c r="AF459" i="8"/>
  <c r="AV459" i="8"/>
  <c r="AN459" i="8"/>
  <c r="AK491" i="8"/>
  <c r="AW491" i="8"/>
  <c r="AG491" i="8"/>
  <c r="AS491" i="8"/>
  <c r="AO491" i="8"/>
  <c r="AE11" i="8"/>
  <c r="AL27" i="8"/>
  <c r="AV27" i="8"/>
  <c r="AT43" i="8"/>
  <c r="AL107" i="8"/>
  <c r="AF107" i="8"/>
  <c r="AD139" i="8"/>
  <c r="AV139" i="8"/>
  <c r="AL203" i="8"/>
  <c r="AM203" i="8"/>
  <c r="AO203" i="8"/>
  <c r="AE219" i="8"/>
  <c r="AO219" i="8"/>
  <c r="AE235" i="8"/>
  <c r="AO235" i="8"/>
  <c r="AO251" i="8"/>
  <c r="AF251" i="8"/>
  <c r="AL299" i="8"/>
  <c r="AR299" i="8"/>
  <c r="AK379" i="8"/>
  <c r="AL395" i="8"/>
  <c r="AQ411" i="8"/>
  <c r="AY427" i="8"/>
  <c r="AQ443" i="8"/>
  <c r="AG443" i="8"/>
  <c r="AE491" i="8"/>
  <c r="AV59" i="8"/>
  <c r="AE75" i="8"/>
  <c r="AT75" i="8"/>
  <c r="AW91" i="8"/>
  <c r="AU91" i="8"/>
  <c r="AO123" i="8"/>
  <c r="AG155" i="8"/>
  <c r="AI171" i="8"/>
  <c r="AL187" i="8"/>
  <c r="AP267" i="8"/>
  <c r="AE267" i="8"/>
  <c r="AS283" i="8"/>
  <c r="AG315" i="8"/>
  <c r="AH331" i="8"/>
  <c r="AN331" i="8"/>
  <c r="AG347" i="8"/>
  <c r="AN363" i="8"/>
  <c r="AU331" i="8"/>
  <c r="AV411" i="8"/>
  <c r="AJ425" i="8"/>
  <c r="AL185" i="8"/>
  <c r="AS305" i="8"/>
  <c r="AP305" i="8"/>
  <c r="AG377" i="8"/>
  <c r="AK425" i="8"/>
  <c r="AX281" i="8"/>
  <c r="AH379" i="8"/>
  <c r="AG409" i="8"/>
  <c r="AL425" i="8"/>
  <c r="AL441" i="8"/>
  <c r="AL457" i="8"/>
  <c r="AL475" i="8"/>
  <c r="AO479" i="8"/>
  <c r="AS479" i="8"/>
  <c r="AG479" i="8"/>
  <c r="AK479" i="8"/>
  <c r="AW479" i="8"/>
  <c r="AG495" i="8"/>
  <c r="AO495" i="8"/>
  <c r="AK495" i="8"/>
  <c r="AW495" i="8"/>
  <c r="AS495" i="8"/>
  <c r="AQ7" i="8"/>
  <c r="AG7" i="8"/>
  <c r="AE15" i="8"/>
  <c r="AT15" i="8"/>
  <c r="AM23" i="8"/>
  <c r="AG23" i="8"/>
  <c r="AP27" i="8"/>
  <c r="AO31" i="8"/>
  <c r="AX31" i="8"/>
  <c r="AV39" i="8"/>
  <c r="AH39" i="8"/>
  <c r="AP43" i="8"/>
  <c r="AY47" i="8"/>
  <c r="AN55" i="8"/>
  <c r="AS63" i="8"/>
  <c r="AP63" i="8"/>
  <c r="AW71" i="8"/>
  <c r="AY79" i="8"/>
  <c r="AX79" i="8"/>
  <c r="AT87" i="8"/>
  <c r="AP95" i="8"/>
  <c r="AY95" i="8"/>
  <c r="AX107" i="8"/>
  <c r="AY107" i="8"/>
  <c r="AD127" i="8"/>
  <c r="AY127" i="8"/>
  <c r="AJ135" i="8"/>
  <c r="AW139" i="8"/>
  <c r="AS143" i="8"/>
  <c r="AQ143" i="8"/>
  <c r="AH151" i="8"/>
  <c r="AY159" i="8"/>
  <c r="AU167" i="8"/>
  <c r="AV167" i="8"/>
  <c r="AL175" i="8"/>
  <c r="AX183" i="8"/>
  <c r="AT191" i="8"/>
  <c r="AD199" i="8"/>
  <c r="AS199" i="8"/>
  <c r="AD203" i="8"/>
  <c r="AD219" i="8"/>
  <c r="AJ235" i="8"/>
  <c r="AH235" i="8"/>
  <c r="AQ247" i="8"/>
  <c r="AD251" i="8"/>
  <c r="AI251" i="8"/>
  <c r="AG271" i="8"/>
  <c r="AP279" i="8"/>
  <c r="AL287" i="8"/>
  <c r="AW295" i="8"/>
  <c r="AI295" i="8"/>
  <c r="AI299" i="8"/>
  <c r="AE311" i="8"/>
  <c r="AE319" i="8"/>
  <c r="AN319" i="8"/>
  <c r="AE335" i="8"/>
  <c r="AL335" i="8"/>
  <c r="AI343" i="8"/>
  <c r="AE351" i="8"/>
  <c r="AL351" i="8"/>
  <c r="AX359" i="8"/>
  <c r="AW359" i="8"/>
  <c r="AV359" i="8"/>
  <c r="AI367" i="8"/>
  <c r="AL367" i="8"/>
  <c r="AG379" i="8"/>
  <c r="AS411" i="8"/>
  <c r="AE427" i="8"/>
  <c r="AE463" i="8"/>
  <c r="AO281" i="8"/>
  <c r="AD281" i="8"/>
  <c r="AR281" i="8"/>
  <c r="AY281" i="8"/>
  <c r="AI281" i="8"/>
  <c r="AD337" i="8"/>
  <c r="AI337" i="8"/>
  <c r="AH337" i="8"/>
  <c r="AE337" i="8"/>
  <c r="AJ337" i="8"/>
  <c r="AH393" i="8"/>
  <c r="AG393" i="8"/>
  <c r="AE393" i="8"/>
  <c r="AJ393" i="8"/>
  <c r="AY441" i="8"/>
  <c r="AI441" i="8"/>
  <c r="AO441" i="8"/>
  <c r="AX363" i="8"/>
  <c r="AY393" i="8"/>
  <c r="AR419" i="8"/>
  <c r="AJ423" i="8"/>
  <c r="AR431" i="8"/>
  <c r="AR435" i="8"/>
  <c r="AR447" i="8"/>
  <c r="AV457" i="8"/>
  <c r="AR459" i="8"/>
  <c r="AR463" i="8"/>
  <c r="AY467" i="8"/>
  <c r="AQ471" i="8"/>
  <c r="AE473" i="8"/>
  <c r="AU473" i="8"/>
  <c r="AI475" i="8"/>
  <c r="AY475" i="8"/>
  <c r="AQ479" i="8"/>
  <c r="AI483" i="8"/>
  <c r="AY483" i="8"/>
  <c r="AQ487" i="8"/>
  <c r="AE489" i="8"/>
  <c r="AU489" i="8"/>
  <c r="AI491" i="8"/>
  <c r="AY491" i="8"/>
  <c r="AQ495" i="8"/>
  <c r="AI499" i="8"/>
  <c r="AY499" i="8"/>
  <c r="AQ503" i="8"/>
  <c r="AE505" i="8"/>
  <c r="AU505" i="8"/>
  <c r="AI507" i="8"/>
  <c r="AY507" i="8"/>
  <c r="AQ511" i="8"/>
  <c r="AI515" i="8"/>
  <c r="AY515" i="8"/>
  <c r="AQ519" i="8"/>
  <c r="AS59" i="8"/>
  <c r="AW59" i="8"/>
  <c r="AN59" i="8"/>
  <c r="AQ59" i="8"/>
  <c r="AX59" i="8"/>
  <c r="AH59" i="8"/>
  <c r="AQ75" i="8"/>
  <c r="AU75" i="8"/>
  <c r="AN75" i="8"/>
  <c r="AM75" i="8"/>
  <c r="AP75" i="8"/>
  <c r="AV83" i="8"/>
  <c r="AQ83" i="8"/>
  <c r="AY83" i="8"/>
  <c r="AW83" i="8"/>
  <c r="AX83" i="8"/>
  <c r="AH83" i="8"/>
  <c r="AH91" i="8"/>
  <c r="AT91" i="8"/>
  <c r="AK91" i="8"/>
  <c r="AJ91" i="8"/>
  <c r="AQ91" i="8"/>
  <c r="AP103" i="8"/>
  <c r="AW103" i="8"/>
  <c r="AD103" i="8"/>
  <c r="AR103" i="8"/>
  <c r="AY103" i="8"/>
  <c r="AI103" i="8"/>
  <c r="AI111" i="8"/>
  <c r="AD111" i="8"/>
  <c r="AQ111" i="8"/>
  <c r="AP111" i="8"/>
  <c r="AR111" i="8"/>
  <c r="AT119" i="8"/>
  <c r="AK119" i="8"/>
  <c r="AW119" i="8"/>
  <c r="AR119" i="8"/>
  <c r="AY119" i="8"/>
  <c r="AI119" i="8"/>
  <c r="AT123" i="8"/>
  <c r="AP123" i="8"/>
  <c r="AG123" i="8"/>
  <c r="AJ123" i="8"/>
  <c r="AQ123" i="8"/>
  <c r="AL131" i="8"/>
  <c r="AS131" i="8"/>
  <c r="AW131" i="8"/>
  <c r="AR131" i="8"/>
  <c r="AY131" i="8"/>
  <c r="AI131" i="8"/>
  <c r="AS147" i="8"/>
  <c r="AW147" i="8"/>
  <c r="AK147" i="8"/>
  <c r="AO147" i="8"/>
  <c r="AR147" i="8"/>
  <c r="AX155" i="8"/>
  <c r="AS155" i="8"/>
  <c r="AU155" i="8"/>
  <c r="AY155" i="8"/>
  <c r="AD155" i="8"/>
  <c r="AJ155" i="8"/>
  <c r="AH163" i="8"/>
  <c r="AW163" i="8"/>
  <c r="AK163" i="8"/>
  <c r="AO163" i="8"/>
  <c r="AR163" i="8"/>
  <c r="AM171" i="8"/>
  <c r="AS171" i="8"/>
  <c r="AU171" i="8"/>
  <c r="AY171" i="8"/>
  <c r="AD171" i="8"/>
  <c r="AJ171" i="8"/>
  <c r="AS179" i="8"/>
  <c r="AW179" i="8"/>
  <c r="AK179" i="8"/>
  <c r="AO179" i="8"/>
  <c r="AR179" i="8"/>
  <c r="AX187" i="8"/>
  <c r="AS187" i="8"/>
  <c r="AU187" i="8"/>
  <c r="AY187" i="8"/>
  <c r="AD187" i="8"/>
  <c r="AJ187" i="8"/>
  <c r="AE195" i="8"/>
  <c r="AU195" i="8"/>
  <c r="AN195" i="8"/>
  <c r="AR195" i="8"/>
  <c r="AS195" i="8"/>
  <c r="AH207" i="8"/>
  <c r="AY207" i="8"/>
  <c r="AM207" i="8"/>
  <c r="AF207" i="8"/>
  <c r="AE207" i="8"/>
  <c r="AK207" i="8"/>
  <c r="AM215" i="8"/>
  <c r="AI215" i="8"/>
  <c r="AQ215" i="8"/>
  <c r="AP215" i="8"/>
  <c r="AS215" i="8"/>
  <c r="AR223" i="8"/>
  <c r="AY223" i="8"/>
  <c r="AM223" i="8"/>
  <c r="AF223" i="8"/>
  <c r="AE223" i="8"/>
  <c r="AK223" i="8"/>
  <c r="AD231" i="8"/>
  <c r="AI231" i="8"/>
  <c r="AQ231" i="8"/>
  <c r="AP231" i="8"/>
  <c r="AS231" i="8"/>
  <c r="AH239" i="8"/>
  <c r="AY239" i="8"/>
  <c r="AM239" i="8"/>
  <c r="AF239" i="8"/>
  <c r="AE239" i="8"/>
  <c r="AK239" i="8"/>
  <c r="AQ243" i="8"/>
  <c r="AU243" i="8"/>
  <c r="AN243" i="8"/>
  <c r="AR243" i="8"/>
  <c r="AS243" i="8"/>
  <c r="AT255" i="8"/>
  <c r="AH255" i="8"/>
  <c r="AS255" i="8"/>
  <c r="AN255" i="8"/>
  <c r="AU255" i="8"/>
  <c r="AE255" i="8"/>
  <c r="AX263" i="8"/>
  <c r="AG263" i="8"/>
  <c r="AR263" i="8"/>
  <c r="AY263" i="8"/>
  <c r="AI263" i="8"/>
  <c r="AH267" i="8"/>
  <c r="AW267" i="8"/>
  <c r="AK267" i="8"/>
  <c r="AJ267" i="8"/>
  <c r="AQ267" i="8"/>
  <c r="AX275" i="8"/>
  <c r="AP275" i="8"/>
  <c r="AS275" i="8"/>
  <c r="AN275" i="8"/>
  <c r="AU275" i="8"/>
  <c r="AE275" i="8"/>
  <c r="AK283" i="8"/>
  <c r="AW283" i="8"/>
  <c r="AR283" i="8"/>
  <c r="AY283" i="8"/>
  <c r="AI283" i="8"/>
  <c r="AD291" i="8"/>
  <c r="AP291" i="8"/>
  <c r="AG291" i="8"/>
  <c r="AJ291" i="8"/>
  <c r="AQ291" i="8"/>
  <c r="AK303" i="8"/>
  <c r="AT303" i="8"/>
  <c r="AX303" i="8"/>
  <c r="AW303" i="8"/>
  <c r="AV303" i="8"/>
  <c r="AF303" i="8"/>
  <c r="AW307" i="8"/>
  <c r="AU307" i="8"/>
  <c r="AY307" i="8"/>
  <c r="AD307" i="8"/>
  <c r="AJ307" i="8"/>
  <c r="AP315" i="8"/>
  <c r="AW315" i="8"/>
  <c r="AY315" i="8"/>
  <c r="AD315" i="8"/>
  <c r="AJ315" i="8"/>
  <c r="AS327" i="8"/>
  <c r="AY327" i="8"/>
  <c r="AD327" i="8"/>
  <c r="AG327" i="8"/>
  <c r="AJ327" i="8"/>
  <c r="AP331" i="8"/>
  <c r="AW331" i="8"/>
  <c r="AY331" i="8"/>
  <c r="AD331" i="8"/>
  <c r="AJ331" i="8"/>
  <c r="AU339" i="8"/>
  <c r="AW339" i="8"/>
  <c r="AY339" i="8"/>
  <c r="AD339" i="8"/>
  <c r="AJ339" i="8"/>
  <c r="AP347" i="8"/>
  <c r="AW347" i="8"/>
  <c r="AY347" i="8"/>
  <c r="AD347" i="8"/>
  <c r="AJ347" i="8"/>
  <c r="AL355" i="8"/>
  <c r="AK355" i="8"/>
  <c r="AO355" i="8"/>
  <c r="AR355" i="8"/>
  <c r="AW363" i="8"/>
  <c r="AU363" i="8"/>
  <c r="AY363" i="8"/>
  <c r="AD363" i="8"/>
  <c r="AJ363" i="8"/>
  <c r="AO375" i="8"/>
  <c r="AS375" i="8"/>
  <c r="AQ375" i="8"/>
  <c r="AR375" i="8"/>
  <c r="AY383" i="8"/>
  <c r="AD383" i="8"/>
  <c r="AH383" i="8"/>
  <c r="AG383" i="8"/>
  <c r="AJ383" i="8"/>
  <c r="AO391" i="8"/>
  <c r="AS391" i="8"/>
  <c r="AQ391" i="8"/>
  <c r="AR391" i="8"/>
  <c r="AY399" i="8"/>
  <c r="AD399" i="8"/>
  <c r="AG399" i="8"/>
  <c r="AJ399" i="8"/>
  <c r="AO407" i="8"/>
  <c r="AQ407" i="8"/>
  <c r="AR407" i="8"/>
  <c r="AY415" i="8"/>
  <c r="AI415" i="8"/>
  <c r="AO415" i="8"/>
  <c r="AU423" i="8"/>
  <c r="AE423" i="8"/>
  <c r="AK423" i="8"/>
  <c r="AQ431" i="8"/>
  <c r="AW431" i="8"/>
  <c r="AG431" i="8"/>
  <c r="AM439" i="8"/>
  <c r="AS439" i="8"/>
  <c r="AY447" i="8"/>
  <c r="AI447" i="8"/>
  <c r="AO447" i="8"/>
  <c r="AU455" i="8"/>
  <c r="AE455" i="8"/>
  <c r="AK455" i="8"/>
  <c r="AQ459" i="8"/>
  <c r="AW459" i="8"/>
  <c r="AG459" i="8"/>
  <c r="AR457" i="8"/>
  <c r="AW473" i="8"/>
  <c r="AO321" i="8"/>
  <c r="AT321" i="8"/>
  <c r="AM321" i="8"/>
  <c r="AK321" i="8"/>
  <c r="AN321" i="8"/>
  <c r="AG333" i="8"/>
  <c r="AW333" i="8"/>
  <c r="AK333" i="8"/>
  <c r="AM333" i="8"/>
  <c r="AN333" i="8"/>
  <c r="AM361" i="8"/>
  <c r="AL361" i="8"/>
  <c r="AK361" i="8"/>
  <c r="AN361" i="8"/>
  <c r="AK389" i="8"/>
  <c r="AO389" i="8"/>
  <c r="AS389" i="8"/>
  <c r="AR389" i="8"/>
  <c r="AH409" i="8"/>
  <c r="AE409" i="8"/>
  <c r="AJ409" i="8"/>
  <c r="AY437" i="8"/>
  <c r="AI437" i="8"/>
  <c r="AO437" i="8"/>
  <c r="AQ457" i="8"/>
  <c r="AW457" i="8"/>
  <c r="AG457" i="8"/>
  <c r="AS319" i="8"/>
  <c r="AS379" i="8"/>
  <c r="AH395" i="8"/>
  <c r="AD411" i="8"/>
  <c r="AT415" i="8"/>
  <c r="AD419" i="8"/>
  <c r="AX421" i="8"/>
  <c r="AT423" i="8"/>
  <c r="AH425" i="8"/>
  <c r="AT431" i="8"/>
  <c r="AX437" i="8"/>
  <c r="AT439" i="8"/>
  <c r="AH441" i="8"/>
  <c r="AT447" i="8"/>
  <c r="AP453" i="8"/>
  <c r="AL455" i="8"/>
  <c r="AR467" i="8"/>
  <c r="AF469" i="8"/>
  <c r="AV469" i="8"/>
  <c r="AJ471" i="8"/>
  <c r="AN473" i="8"/>
  <c r="AR475" i="8"/>
  <c r="AJ479" i="8"/>
  <c r="AR483" i="8"/>
  <c r="AF485" i="8"/>
  <c r="AV485" i="8"/>
  <c r="AJ487" i="8"/>
  <c r="AN489" i="8"/>
  <c r="AR491" i="8"/>
  <c r="AJ495" i="8"/>
  <c r="AR499" i="8"/>
  <c r="AF501" i="8"/>
  <c r="AV501" i="8"/>
  <c r="AJ503" i="8"/>
  <c r="AN505" i="8"/>
  <c r="AR507" i="8"/>
  <c r="AR515" i="8"/>
  <c r="AF517" i="8"/>
  <c r="AV517" i="8"/>
  <c r="AJ519" i="8"/>
  <c r="AY325" i="8"/>
  <c r="AT333" i="8"/>
  <c r="AO341" i="8"/>
  <c r="AS355" i="8"/>
  <c r="AM363" i="8"/>
  <c r="AH371" i="8"/>
  <c r="AY377" i="8"/>
  <c r="AT385" i="8"/>
  <c r="AO393" i="8"/>
  <c r="AK399" i="8"/>
  <c r="AH403" i="8"/>
  <c r="AE407" i="8"/>
  <c r="AY409" i="8"/>
  <c r="AJ413" i="8"/>
  <c r="AV415" i="8"/>
  <c r="AN419" i="8"/>
  <c r="AF423" i="8"/>
  <c r="AR425" i="8"/>
  <c r="AJ429" i="8"/>
  <c r="AV431" i="8"/>
  <c r="AN435" i="8"/>
  <c r="AF439" i="8"/>
  <c r="AR441" i="8"/>
  <c r="AJ445" i="8"/>
  <c r="AG469" i="8"/>
  <c r="AW469" i="8"/>
  <c r="AS517" i="8"/>
  <c r="AX133" i="8"/>
  <c r="AT133" i="8"/>
  <c r="AK133" i="8"/>
  <c r="AJ133" i="8"/>
  <c r="AQ133" i="8"/>
  <c r="AY185" i="8"/>
  <c r="AM185" i="8"/>
  <c r="AH185" i="8"/>
  <c r="AG185" i="8"/>
  <c r="AE185" i="8"/>
  <c r="AJ185" i="8"/>
  <c r="AP213" i="8"/>
  <c r="AJ213" i="8"/>
  <c r="AR213" i="8"/>
  <c r="AQ213" i="8"/>
  <c r="AS213" i="8"/>
  <c r="AI237" i="8"/>
  <c r="AP237" i="8"/>
  <c r="AD237" i="8"/>
  <c r="AH237" i="8"/>
  <c r="AF237" i="8"/>
  <c r="AK237" i="8"/>
  <c r="AT265" i="8"/>
  <c r="AS265" i="8"/>
  <c r="AG265" i="8"/>
  <c r="AJ265" i="8"/>
  <c r="AQ265" i="8"/>
  <c r="AX285" i="8"/>
  <c r="AO285" i="8"/>
  <c r="AD285" i="8"/>
  <c r="AR285" i="8"/>
  <c r="AY285" i="8"/>
  <c r="AI285" i="8"/>
  <c r="AD305" i="8"/>
  <c r="AM305" i="8"/>
  <c r="AL305" i="8"/>
  <c r="AK305" i="8"/>
  <c r="AN305" i="8"/>
  <c r="AI329" i="8"/>
  <c r="AO329" i="8"/>
  <c r="AM329" i="8"/>
  <c r="AK329" i="8"/>
  <c r="AN329" i="8"/>
  <c r="AS353" i="8"/>
  <c r="AQ353" i="8"/>
  <c r="AP353" i="8"/>
  <c r="AR353" i="8"/>
  <c r="AX377" i="8"/>
  <c r="AW377" i="8"/>
  <c r="AU377" i="8"/>
  <c r="AV377" i="8"/>
  <c r="AF377" i="8"/>
  <c r="AH401" i="8"/>
  <c r="AE401" i="8"/>
  <c r="AJ401" i="8"/>
  <c r="AQ425" i="8"/>
  <c r="AW425" i="8"/>
  <c r="AG425" i="8"/>
  <c r="AM449" i="8"/>
  <c r="AS449" i="8"/>
  <c r="AG337" i="8"/>
  <c r="AW365" i="8"/>
  <c r="AL405" i="8"/>
  <c r="AF421" i="8"/>
  <c r="AH445" i="8"/>
  <c r="AD473" i="8"/>
  <c r="AD255" i="8"/>
  <c r="AT287" i="8"/>
  <c r="AM307" i="8"/>
  <c r="AE323" i="8"/>
  <c r="AE339" i="8"/>
  <c r="AM355" i="8"/>
  <c r="AS371" i="8"/>
  <c r="AH387" i="8"/>
  <c r="AM403" i="8"/>
  <c r="AJ419" i="8"/>
  <c r="AJ435" i="8"/>
  <c r="AD501" i="8"/>
  <c r="AQ11" i="8"/>
  <c r="AD27" i="8"/>
  <c r="AF27" i="8"/>
  <c r="AF43" i="8"/>
  <c r="AM43" i="8"/>
  <c r="AV107" i="8"/>
  <c r="AM107" i="8"/>
  <c r="AH139" i="8"/>
  <c r="AF139" i="8"/>
  <c r="AI203" i="8"/>
  <c r="AV219" i="8"/>
  <c r="AM219" i="8"/>
  <c r="AL235" i="8"/>
  <c r="AM235" i="8"/>
  <c r="AT251" i="8"/>
  <c r="AM251" i="8"/>
  <c r="AH299" i="8"/>
  <c r="AK299" i="8"/>
  <c r="AL379" i="8"/>
  <c r="AR395" i="8"/>
  <c r="AO427" i="8"/>
  <c r="AU475" i="8"/>
  <c r="AU507" i="8"/>
  <c r="AJ59" i="8"/>
  <c r="AL59" i="8"/>
  <c r="AR75" i="8"/>
  <c r="AN91" i="8"/>
  <c r="AX123" i="8"/>
  <c r="AE123" i="8"/>
  <c r="AL155" i="8"/>
  <c r="AN155" i="8"/>
  <c r="AE171" i="8"/>
  <c r="AI187" i="8"/>
  <c r="AN187" i="8"/>
  <c r="AS267" i="8"/>
  <c r="AF283" i="8"/>
  <c r="AM283" i="8"/>
  <c r="AI331" i="8"/>
  <c r="AM347" i="8"/>
  <c r="AG363" i="8"/>
  <c r="AU459" i="8"/>
  <c r="AN491" i="8"/>
  <c r="AO361" i="8"/>
  <c r="AJ441" i="8"/>
  <c r="AO185" i="8"/>
  <c r="AY305" i="8"/>
  <c r="AR305" i="8"/>
  <c r="AJ377" i="8"/>
  <c r="AE425" i="8"/>
  <c r="AI361" i="8"/>
  <c r="AF441" i="8"/>
  <c r="AS363" i="8"/>
  <c r="AP489" i="8"/>
  <c r="AP505" i="8"/>
  <c r="AL507" i="8"/>
  <c r="AF463" i="8"/>
  <c r="AV463" i="8"/>
  <c r="AN463" i="8"/>
  <c r="AK511" i="8"/>
  <c r="AW511" i="8"/>
  <c r="AG511" i="8"/>
  <c r="AS511" i="8"/>
  <c r="AO511" i="8"/>
  <c r="AU7" i="8"/>
  <c r="AP7" i="8"/>
  <c r="AW7" i="8"/>
  <c r="AJ7" i="8"/>
  <c r="AU11" i="8"/>
  <c r="AV11" i="8"/>
  <c r="AP11" i="8"/>
  <c r="AW11" i="8"/>
  <c r="AG11" i="8"/>
  <c r="AJ15" i="8"/>
  <c r="AV15" i="8"/>
  <c r="AD15" i="8"/>
  <c r="AK15" i="8"/>
  <c r="AU23" i="8"/>
  <c r="AI23" i="8"/>
  <c r="AW23" i="8"/>
  <c r="AJ23" i="8"/>
  <c r="AU27" i="8"/>
  <c r="AY27" i="8"/>
  <c r="AO27" i="8"/>
  <c r="AR27" i="8"/>
  <c r="AV31" i="8"/>
  <c r="AR31" i="8"/>
  <c r="AQ31" i="8"/>
  <c r="AH31" i="8"/>
  <c r="AO39" i="8"/>
  <c r="AR39" i="8"/>
  <c r="AQ39" i="8"/>
  <c r="AX39" i="8"/>
  <c r="AW43" i="8"/>
  <c r="AS43" i="8"/>
  <c r="AY43" i="8"/>
  <c r="AI43" i="8"/>
  <c r="AO47" i="8"/>
  <c r="AV47" i="8"/>
  <c r="AQ47" i="8"/>
  <c r="AX47" i="8"/>
  <c r="AH47" i="8"/>
  <c r="AK55" i="8"/>
  <c r="AW55" i="8"/>
  <c r="AQ55" i="8"/>
  <c r="AX55" i="8"/>
  <c r="AH55" i="8"/>
  <c r="AG63" i="8"/>
  <c r="AY63" i="8"/>
  <c r="AI63" i="8"/>
  <c r="AS71" i="8"/>
  <c r="AK71" i="8"/>
  <c r="AJ71" i="8"/>
  <c r="AP71" i="8"/>
  <c r="AS79" i="8"/>
  <c r="AV79" i="8"/>
  <c r="AU79" i="8"/>
  <c r="AH79" i="8"/>
  <c r="AX87" i="8"/>
  <c r="AK87" i="8"/>
  <c r="AJ87" i="8"/>
  <c r="AQ87" i="8"/>
  <c r="AW95" i="8"/>
  <c r="AD95" i="8"/>
  <c r="AR95" i="8"/>
  <c r="AI95" i="8"/>
  <c r="AP107" i="8"/>
  <c r="AD107" i="8"/>
  <c r="AR107" i="8"/>
  <c r="AI107" i="8"/>
  <c r="AK127" i="8"/>
  <c r="AW127" i="8"/>
  <c r="AR127" i="8"/>
  <c r="AI127" i="8"/>
  <c r="AD135" i="8"/>
  <c r="AP135" i="8"/>
  <c r="AG135" i="8"/>
  <c r="AQ135" i="8"/>
  <c r="AL139" i="8"/>
  <c r="AS139" i="8"/>
  <c r="AR139" i="8"/>
  <c r="AY139" i="8"/>
  <c r="AI139" i="8"/>
  <c r="AP143" i="8"/>
  <c r="AG143" i="8"/>
  <c r="AJ143" i="8"/>
  <c r="AE151" i="8"/>
  <c r="AO151" i="8"/>
  <c r="AI151" i="8"/>
  <c r="AG151" i="8"/>
  <c r="AJ151" i="8"/>
  <c r="AK159" i="8"/>
  <c r="AS159" i="8"/>
  <c r="AQ159" i="8"/>
  <c r="AR159" i="8"/>
  <c r="AO167" i="8"/>
  <c r="AX167" i="8"/>
  <c r="AW167" i="8"/>
  <c r="AF167" i="8"/>
  <c r="AT175" i="8"/>
  <c r="AO175" i="8"/>
  <c r="AM175" i="8"/>
  <c r="AN175" i="8"/>
  <c r="AY183" i="8"/>
  <c r="AU183" i="8"/>
  <c r="AW183" i="8"/>
  <c r="AV183" i="8"/>
  <c r="AF183" i="8"/>
  <c r="AX191" i="8"/>
  <c r="AL191" i="8"/>
  <c r="AJ191" i="8"/>
  <c r="AO191" i="8"/>
  <c r="AI199" i="8"/>
  <c r="AQ199" i="8"/>
  <c r="AP199" i="8"/>
  <c r="AJ203" i="8"/>
  <c r="AQ203" i="8"/>
  <c r="AY203" i="8"/>
  <c r="AH203" i="8"/>
  <c r="AK203" i="8"/>
  <c r="AU219" i="8"/>
  <c r="AQ219" i="8"/>
  <c r="AY219" i="8"/>
  <c r="AH219" i="8"/>
  <c r="AK219" i="8"/>
  <c r="AQ235" i="8"/>
  <c r="AY235" i="8"/>
  <c r="AD235" i="8"/>
  <c r="AK235" i="8"/>
  <c r="AI247" i="8"/>
  <c r="AM247" i="8"/>
  <c r="AP247" i="8"/>
  <c r="AS247" i="8"/>
  <c r="AL251" i="8"/>
  <c r="AG251" i="8"/>
  <c r="AR251" i="8"/>
  <c r="AY251" i="8"/>
  <c r="AT271" i="8"/>
  <c r="AX271" i="8"/>
  <c r="AR271" i="8"/>
  <c r="AY271" i="8"/>
  <c r="AI271" i="8"/>
  <c r="AH279" i="8"/>
  <c r="AK279" i="8"/>
  <c r="AJ279" i="8"/>
  <c r="AQ279" i="8"/>
  <c r="AX287" i="8"/>
  <c r="AO287" i="8"/>
  <c r="AN287" i="8"/>
  <c r="AU287" i="8"/>
  <c r="AE287" i="8"/>
  <c r="AK295" i="8"/>
  <c r="AR295" i="8"/>
  <c r="AY295" i="8"/>
  <c r="AX299" i="8"/>
  <c r="AG299" i="8"/>
  <c r="AE299" i="8"/>
  <c r="AN299" i="8"/>
  <c r="AK311" i="8"/>
  <c r="AI311" i="8"/>
  <c r="AL311" i="8"/>
  <c r="AN311" i="8"/>
  <c r="AK319" i="8"/>
  <c r="AI319" i="8"/>
  <c r="AL319" i="8"/>
  <c r="AK335" i="8"/>
  <c r="AI335" i="8"/>
  <c r="AN335" i="8"/>
  <c r="AK343" i="8"/>
  <c r="AE343" i="8"/>
  <c r="AL343" i="8"/>
  <c r="AN343" i="8"/>
  <c r="AK351" i="8"/>
  <c r="AI351" i="8"/>
  <c r="AN351" i="8"/>
  <c r="AT359" i="8"/>
  <c r="AF359" i="8"/>
  <c r="AM367" i="8"/>
  <c r="AN367" i="8"/>
  <c r="AE379" i="8"/>
  <c r="AI379" i="8"/>
  <c r="AN379" i="8"/>
  <c r="AG395" i="8"/>
  <c r="AE395" i="8"/>
  <c r="AI395" i="8"/>
  <c r="AN395" i="8"/>
  <c r="AM411" i="8"/>
  <c r="AU427" i="8"/>
  <c r="AK427" i="8"/>
  <c r="AM443" i="8"/>
  <c r="AS443" i="8"/>
  <c r="AU463" i="8"/>
  <c r="AK463" i="8"/>
  <c r="AS473" i="8"/>
  <c r="AS489" i="8"/>
  <c r="AO505" i="8"/>
  <c r="AO305" i="8"/>
  <c r="AU391" i="8"/>
  <c r="AS395" i="8"/>
  <c r="AX399" i="8"/>
  <c r="AS407" i="8"/>
  <c r="AQ409" i="8"/>
  <c r="AH411" i="8"/>
  <c r="AP415" i="8"/>
  <c r="AT425" i="8"/>
  <c r="AH427" i="8"/>
  <c r="AP431" i="8"/>
  <c r="AT441" i="8"/>
  <c r="AH443" i="8"/>
  <c r="AP447" i="8"/>
  <c r="AT457" i="8"/>
  <c r="AH459" i="8"/>
  <c r="AP463" i="8"/>
  <c r="AH471" i="8"/>
  <c r="AX471" i="8"/>
  <c r="AT473" i="8"/>
  <c r="AP475" i="8"/>
  <c r="AH479" i="8"/>
  <c r="AX479" i="8"/>
  <c r="AH487" i="8"/>
  <c r="AX487" i="8"/>
  <c r="AT489" i="8"/>
  <c r="AP491" i="8"/>
  <c r="AH495" i="8"/>
  <c r="AX495" i="8"/>
  <c r="AH503" i="8"/>
  <c r="AX503" i="8"/>
  <c r="AT505" i="8"/>
  <c r="AP507" i="8"/>
  <c r="AH511" i="8"/>
  <c r="AX511" i="8"/>
  <c r="AH519" i="8"/>
  <c r="AX519" i="8"/>
  <c r="AN451" i="8"/>
  <c r="AF451" i="8"/>
  <c r="AV451" i="8"/>
  <c r="AF467" i="8"/>
  <c r="AW467" i="8"/>
  <c r="AK467" i="8"/>
  <c r="AS467" i="8"/>
  <c r="AO467" i="8"/>
  <c r="AK483" i="8"/>
  <c r="AW483" i="8"/>
  <c r="AG483" i="8"/>
  <c r="AS483" i="8"/>
  <c r="AO483" i="8"/>
  <c r="AK499" i="8"/>
  <c r="AW499" i="8"/>
  <c r="AG499" i="8"/>
  <c r="AS499" i="8"/>
  <c r="AO499" i="8"/>
  <c r="AK515" i="8"/>
  <c r="AS515" i="8"/>
  <c r="AG515" i="8"/>
  <c r="AO515" i="8"/>
  <c r="AW515" i="8"/>
  <c r="AM7" i="8"/>
  <c r="AE7" i="8"/>
  <c r="AL7" i="8"/>
  <c r="AS7" i="8"/>
  <c r="AV7" i="8"/>
  <c r="AF7" i="8"/>
  <c r="AR11" i="8"/>
  <c r="AM11" i="8"/>
  <c r="AL11" i="8"/>
  <c r="AS11" i="8"/>
  <c r="AN11" i="8"/>
  <c r="AU15" i="8"/>
  <c r="AY15" i="8"/>
  <c r="AN15" i="8"/>
  <c r="AP15" i="8"/>
  <c r="AW15" i="8"/>
  <c r="AG15" i="8"/>
  <c r="AT19" i="8"/>
  <c r="AX19" i="8"/>
  <c r="AO19" i="8"/>
  <c r="AN19" i="8"/>
  <c r="AT23" i="8"/>
  <c r="AL23" i="8"/>
  <c r="AX23" i="8"/>
  <c r="AS23" i="8"/>
  <c r="AV23" i="8"/>
  <c r="AF23" i="8"/>
  <c r="AE27" i="8"/>
  <c r="AQ27" i="8"/>
  <c r="AH27" i="8"/>
  <c r="AK27" i="8"/>
  <c r="AN27" i="8"/>
  <c r="AN31" i="8"/>
  <c r="AF31" i="8"/>
  <c r="AJ31" i="8"/>
  <c r="AM31" i="8"/>
  <c r="AT31" i="8"/>
  <c r="AD31" i="8"/>
  <c r="AF35" i="8"/>
  <c r="AK35" i="8"/>
  <c r="AU35" i="8"/>
  <c r="AE35" i="8"/>
  <c r="AN39" i="8"/>
  <c r="AF39" i="8"/>
  <c r="AJ39" i="8"/>
  <c r="AM39" i="8"/>
  <c r="AT39" i="8"/>
  <c r="AD39" i="8"/>
  <c r="AV43" i="8"/>
  <c r="AK43" i="8"/>
  <c r="AU43" i="8"/>
  <c r="AE43" i="8"/>
  <c r="AL43" i="8"/>
  <c r="AN47" i="8"/>
  <c r="AF47" i="8"/>
  <c r="AR47" i="8"/>
  <c r="AM47" i="8"/>
  <c r="AT47" i="8"/>
  <c r="AD47" i="8"/>
  <c r="AY51" i="8"/>
  <c r="AI51" i="8"/>
  <c r="AG51" i="8"/>
  <c r="AF51" i="8"/>
  <c r="AJ55" i="8"/>
  <c r="AO55" i="8"/>
  <c r="AF55" i="8"/>
  <c r="AM55" i="8"/>
  <c r="AT55" i="8"/>
  <c r="AD55" i="8"/>
  <c r="AR63" i="8"/>
  <c r="AV63" i="8"/>
  <c r="AU63" i="8"/>
  <c r="AE63" i="8"/>
  <c r="AL63" i="8"/>
  <c r="AJ67" i="8"/>
  <c r="AF67" i="8"/>
  <c r="AS67" i="8"/>
  <c r="AR67" i="8"/>
  <c r="AT67" i="8"/>
  <c r="AR71" i="8"/>
  <c r="AM71" i="8"/>
  <c r="AF71" i="8"/>
  <c r="AE71" i="8"/>
  <c r="AL71" i="8"/>
  <c r="AW79" i="8"/>
  <c r="AI79" i="8"/>
  <c r="AQ79" i="8"/>
  <c r="AO79" i="8"/>
  <c r="AT79" i="8"/>
  <c r="AD79" i="8"/>
  <c r="AH87" i="8"/>
  <c r="AL87" i="8"/>
  <c r="AV87" i="8"/>
  <c r="AF87" i="8"/>
  <c r="AM87" i="8"/>
  <c r="AO95" i="8"/>
  <c r="AG95" i="8"/>
  <c r="AS95" i="8"/>
  <c r="AN95" i="8"/>
  <c r="AU95" i="8"/>
  <c r="AE95" i="8"/>
  <c r="AW99" i="8"/>
  <c r="AL99" i="8"/>
  <c r="AV99" i="8"/>
  <c r="AF99" i="8"/>
  <c r="AM99" i="8"/>
  <c r="AW107" i="8"/>
  <c r="AO107" i="8"/>
  <c r="AS107" i="8"/>
  <c r="AN107" i="8"/>
  <c r="AU107" i="8"/>
  <c r="AE107" i="8"/>
  <c r="AE115" i="8"/>
  <c r="AK115" i="8"/>
  <c r="AI115" i="8"/>
  <c r="AM115" i="8"/>
  <c r="AN115" i="8"/>
  <c r="AT127" i="8"/>
  <c r="AX127" i="8"/>
  <c r="AO127" i="8"/>
  <c r="AN127" i="8"/>
  <c r="AU127" i="8"/>
  <c r="AE127" i="8"/>
  <c r="AL135" i="8"/>
  <c r="AH135" i="8"/>
  <c r="AV135" i="8"/>
  <c r="AF135" i="8"/>
  <c r="AM135" i="8"/>
  <c r="AK139" i="8"/>
  <c r="AX139" i="8"/>
  <c r="AO139" i="8"/>
  <c r="AN139" i="8"/>
  <c r="AU139" i="8"/>
  <c r="AE139" i="8"/>
  <c r="AL143" i="8"/>
  <c r="AH143" i="8"/>
  <c r="AV143" i="8"/>
  <c r="AF143" i="8"/>
  <c r="AM143" i="8"/>
  <c r="AY151" i="8"/>
  <c r="AU151" i="8"/>
  <c r="AX151" i="8"/>
  <c r="AW151" i="8"/>
  <c r="AV151" i="8"/>
  <c r="AF151" i="8"/>
  <c r="AI159" i="8"/>
  <c r="AO159" i="8"/>
  <c r="AM159" i="8"/>
  <c r="AL159" i="8"/>
  <c r="AN159" i="8"/>
  <c r="AE167" i="8"/>
  <c r="AK167" i="8"/>
  <c r="AS167" i="8"/>
  <c r="AQ167" i="8"/>
  <c r="AR167" i="8"/>
  <c r="AK175" i="8"/>
  <c r="AP175" i="8"/>
  <c r="AD175" i="8"/>
  <c r="AH175" i="8"/>
  <c r="AG175" i="8"/>
  <c r="AJ175" i="8"/>
  <c r="AD183" i="8"/>
  <c r="AK183" i="8"/>
  <c r="AS183" i="8"/>
  <c r="AQ183" i="8"/>
  <c r="AR183" i="8"/>
  <c r="AR191" i="8"/>
  <c r="AY191" i="8"/>
  <c r="AM191" i="8"/>
  <c r="AF191" i="8"/>
  <c r="AE191" i="8"/>
  <c r="AK191" i="8"/>
  <c r="AX199" i="8"/>
  <c r="AR199" i="8"/>
  <c r="AL199" i="8"/>
  <c r="AJ199" i="8"/>
  <c r="AO199" i="8"/>
  <c r="AV203" i="8"/>
  <c r="AF203" i="8"/>
  <c r="AT203" i="8"/>
  <c r="AX203" i="8"/>
  <c r="AW203" i="8"/>
  <c r="AG203" i="8"/>
  <c r="AF211" i="8"/>
  <c r="AJ211" i="8"/>
  <c r="AI211" i="8"/>
  <c r="AM211" i="8"/>
  <c r="AO211" i="8"/>
  <c r="AL219" i="8"/>
  <c r="AF219" i="8"/>
  <c r="AT219" i="8"/>
  <c r="AX219" i="8"/>
  <c r="AW219" i="8"/>
  <c r="AG219" i="8"/>
  <c r="AQ227" i="8"/>
  <c r="AJ227" i="8"/>
  <c r="AI227" i="8"/>
  <c r="AM227" i="8"/>
  <c r="AO227" i="8"/>
  <c r="AV235" i="8"/>
  <c r="AF235" i="8"/>
  <c r="AT235" i="8"/>
  <c r="AX235" i="8"/>
  <c r="AW235" i="8"/>
  <c r="AG235" i="8"/>
  <c r="AY247" i="8"/>
  <c r="AR247" i="8"/>
  <c r="AL247" i="8"/>
  <c r="AJ247" i="8"/>
  <c r="AO247" i="8"/>
  <c r="AX251" i="8"/>
  <c r="AP251" i="8"/>
  <c r="AS251" i="8"/>
  <c r="AN251" i="8"/>
  <c r="AU251" i="8"/>
  <c r="AE251" i="8"/>
  <c r="AT259" i="8"/>
  <c r="AO259" i="8"/>
  <c r="AV259" i="8"/>
  <c r="AF259" i="8"/>
  <c r="AM259" i="8"/>
  <c r="AD271" i="8"/>
  <c r="AH271" i="8"/>
  <c r="AS271" i="8"/>
  <c r="AN271" i="8"/>
  <c r="AU271" i="8"/>
  <c r="AE271" i="8"/>
  <c r="AX279" i="8"/>
  <c r="AO279" i="8"/>
  <c r="AV279" i="8"/>
  <c r="AF279" i="8"/>
  <c r="AM279" i="8"/>
  <c r="AD287" i="8"/>
  <c r="AP287" i="8"/>
  <c r="AG287" i="8"/>
  <c r="AJ287" i="8"/>
  <c r="AQ287" i="8"/>
  <c r="AT295" i="8"/>
  <c r="AX295" i="8"/>
  <c r="AO295" i="8"/>
  <c r="AN295" i="8"/>
  <c r="AU295" i="8"/>
  <c r="AE295" i="8"/>
  <c r="AW299" i="8"/>
  <c r="AU299" i="8"/>
  <c r="AY299" i="8"/>
  <c r="AD299" i="8"/>
  <c r="AJ299" i="8"/>
  <c r="AS311" i="8"/>
  <c r="AY311" i="8"/>
  <c r="AD311" i="8"/>
  <c r="AG311" i="8"/>
  <c r="AJ311" i="8"/>
  <c r="AX319" i="8"/>
  <c r="AY319" i="8"/>
  <c r="AD319" i="8"/>
  <c r="AG319" i="8"/>
  <c r="AJ319" i="8"/>
  <c r="AU323" i="8"/>
  <c r="AW323" i="8"/>
  <c r="AY323" i="8"/>
  <c r="AD323" i="8"/>
  <c r="AJ323" i="8"/>
  <c r="AX335" i="8"/>
  <c r="AY335" i="8"/>
  <c r="AD335" i="8"/>
  <c r="AG335" i="8"/>
  <c r="AJ335" i="8"/>
  <c r="AS343" i="8"/>
  <c r="AY343" i="8"/>
  <c r="AD343" i="8"/>
  <c r="AG343" i="8"/>
  <c r="AJ343" i="8"/>
  <c r="AX351" i="8"/>
  <c r="AY351" i="8"/>
  <c r="AD351" i="8"/>
  <c r="AG351" i="8"/>
  <c r="AJ351" i="8"/>
  <c r="AO359" i="8"/>
  <c r="AS359" i="8"/>
  <c r="AQ359" i="8"/>
  <c r="AR359" i="8"/>
  <c r="AY367" i="8"/>
  <c r="AD367" i="8"/>
  <c r="AH367" i="8"/>
  <c r="AG367" i="8"/>
  <c r="AJ367" i="8"/>
  <c r="AL371" i="8"/>
  <c r="AK371" i="8"/>
  <c r="AO371" i="8"/>
  <c r="AR371" i="8"/>
  <c r="AW379" i="8"/>
  <c r="AU379" i="8"/>
  <c r="AY379" i="8"/>
  <c r="AD379" i="8"/>
  <c r="AJ379" i="8"/>
  <c r="AL387" i="8"/>
  <c r="AK387" i="8"/>
  <c r="AO387" i="8"/>
  <c r="AR387" i="8"/>
  <c r="AW395" i="8"/>
  <c r="AU395" i="8"/>
  <c r="AY395" i="8"/>
  <c r="AD395" i="8"/>
  <c r="AJ395" i="8"/>
  <c r="AL403" i="8"/>
  <c r="AO403" i="8"/>
  <c r="AR403" i="8"/>
  <c r="AY411" i="8"/>
  <c r="AI411" i="8"/>
  <c r="AO411" i="8"/>
  <c r="AU419" i="8"/>
  <c r="AE419" i="8"/>
  <c r="AK419" i="8"/>
  <c r="AQ427" i="8"/>
  <c r="AW427" i="8"/>
  <c r="AG427" i="8"/>
  <c r="AM435" i="8"/>
  <c r="AS435" i="8"/>
  <c r="AY443" i="8"/>
  <c r="AI443" i="8"/>
  <c r="AO443" i="8"/>
  <c r="AU451" i="8"/>
  <c r="AE451" i="8"/>
  <c r="AK451" i="8"/>
  <c r="AQ463" i="8"/>
  <c r="AW463" i="8"/>
  <c r="AG463" i="8"/>
  <c r="AJ457" i="8"/>
  <c r="AG489" i="8"/>
  <c r="AW489" i="8"/>
  <c r="AS505" i="8"/>
  <c r="AP281" i="8"/>
  <c r="AG281" i="8"/>
  <c r="AS281" i="8"/>
  <c r="AN281" i="8"/>
  <c r="AU281" i="8"/>
  <c r="AE281" i="8"/>
  <c r="AW337" i="8"/>
  <c r="AX337" i="8"/>
  <c r="AU337" i="8"/>
  <c r="AV337" i="8"/>
  <c r="AF337" i="8"/>
  <c r="AX393" i="8"/>
  <c r="AW393" i="8"/>
  <c r="AU393" i="8"/>
  <c r="AV393" i="8"/>
  <c r="AF393" i="8"/>
  <c r="AH405" i="8"/>
  <c r="AJ405" i="8"/>
  <c r="AM421" i="8"/>
  <c r="AS421" i="8"/>
  <c r="AU441" i="8"/>
  <c r="AE441" i="8"/>
  <c r="AK441" i="8"/>
  <c r="AQ453" i="8"/>
  <c r="AW453" i="8"/>
  <c r="AG453" i="8"/>
  <c r="AK315" i="8"/>
  <c r="AP375" i="8"/>
  <c r="AG389" i="8"/>
  <c r="AE399" i="8"/>
  <c r="AX403" i="8"/>
  <c r="AV421" i="8"/>
  <c r="AR423" i="8"/>
  <c r="AF425" i="8"/>
  <c r="AN437" i="8"/>
  <c r="AJ439" i="8"/>
  <c r="AR451" i="8"/>
  <c r="AN453" i="8"/>
  <c r="AJ455" i="8"/>
  <c r="AM467" i="8"/>
  <c r="AQ469" i="8"/>
  <c r="AE471" i="8"/>
  <c r="AU471" i="8"/>
  <c r="AI473" i="8"/>
  <c r="AY473" i="8"/>
  <c r="AM475" i="8"/>
  <c r="AE479" i="8"/>
  <c r="AU479" i="8"/>
  <c r="AM483" i="8"/>
  <c r="AQ485" i="8"/>
  <c r="AE487" i="8"/>
  <c r="AU487" i="8"/>
  <c r="AI489" i="8"/>
  <c r="AY489" i="8"/>
  <c r="AM491" i="8"/>
  <c r="AE495" i="8"/>
  <c r="AU495" i="8"/>
  <c r="AM499" i="8"/>
  <c r="AQ501" i="8"/>
  <c r="AE503" i="8"/>
  <c r="AU503" i="8"/>
  <c r="AI505" i="8"/>
  <c r="AY505" i="8"/>
  <c r="AM507" i="8"/>
  <c r="AE511" i="8"/>
  <c r="AU511" i="8"/>
  <c r="AM515" i="8"/>
  <c r="AQ517" i="8"/>
  <c r="AE519" i="8"/>
  <c r="AU519" i="8"/>
  <c r="AR59" i="8"/>
  <c r="AO59" i="8"/>
  <c r="AF59" i="8"/>
  <c r="AM59" i="8"/>
  <c r="AT59" i="8"/>
  <c r="AD59" i="8"/>
  <c r="AO75" i="8"/>
  <c r="AJ75" i="8"/>
  <c r="AI75" i="8"/>
  <c r="AG75" i="8"/>
  <c r="AL75" i="8"/>
  <c r="AU83" i="8"/>
  <c r="AF83" i="8"/>
  <c r="AS83" i="8"/>
  <c r="AR83" i="8"/>
  <c r="AT83" i="8"/>
  <c r="AD83" i="8"/>
  <c r="AG91" i="8"/>
  <c r="AL91" i="8"/>
  <c r="AV91" i="8"/>
  <c r="AF91" i="8"/>
  <c r="AM91" i="8"/>
  <c r="AO103" i="8"/>
  <c r="AG103" i="8"/>
  <c r="AS103" i="8"/>
  <c r="AN103" i="8"/>
  <c r="AU103" i="8"/>
  <c r="AE103" i="8"/>
  <c r="AH111" i="8"/>
  <c r="AX111" i="8"/>
  <c r="AL111" i="8"/>
  <c r="AK111" i="8"/>
  <c r="AN111" i="8"/>
  <c r="AS119" i="8"/>
  <c r="AX119" i="8"/>
  <c r="AO119" i="8"/>
  <c r="AN119" i="8"/>
  <c r="AU119" i="8"/>
  <c r="AE119" i="8"/>
  <c r="AD123" i="8"/>
  <c r="AH123" i="8"/>
  <c r="AV123" i="8"/>
  <c r="AF123" i="8"/>
  <c r="AM123" i="8"/>
  <c r="AK131" i="8"/>
  <c r="AX131" i="8"/>
  <c r="AO131" i="8"/>
  <c r="AN131" i="8"/>
  <c r="AU131" i="8"/>
  <c r="AE131" i="8"/>
  <c r="AQ147" i="8"/>
  <c r="AL147" i="8"/>
  <c r="AE147" i="8"/>
  <c r="AI147" i="8"/>
  <c r="AN147" i="8"/>
  <c r="AW155" i="8"/>
  <c r="AH155" i="8"/>
  <c r="AP155" i="8"/>
  <c r="AT155" i="8"/>
  <c r="AV155" i="8"/>
  <c r="AF155" i="8"/>
  <c r="AG163" i="8"/>
  <c r="AL163" i="8"/>
  <c r="AE163" i="8"/>
  <c r="AI163" i="8"/>
  <c r="AN163" i="8"/>
  <c r="AL171" i="8"/>
  <c r="AH171" i="8"/>
  <c r="AP171" i="8"/>
  <c r="AT171" i="8"/>
  <c r="AV171" i="8"/>
  <c r="AF171" i="8"/>
  <c r="AQ179" i="8"/>
  <c r="AL179" i="8"/>
  <c r="AE179" i="8"/>
  <c r="AI179" i="8"/>
  <c r="AN179" i="8"/>
  <c r="AW187" i="8"/>
  <c r="AH187" i="8"/>
  <c r="AP187" i="8"/>
  <c r="AT187" i="8"/>
  <c r="AV187" i="8"/>
  <c r="AF187" i="8"/>
  <c r="AQ195" i="8"/>
  <c r="AJ195" i="8"/>
  <c r="AI195" i="8"/>
  <c r="AM195" i="8"/>
  <c r="AO195" i="8"/>
  <c r="AT207" i="8"/>
  <c r="AN207" i="8"/>
  <c r="AV207" i="8"/>
  <c r="AU207" i="8"/>
  <c r="AW207" i="8"/>
  <c r="AG207" i="8"/>
  <c r="AY215" i="8"/>
  <c r="AR215" i="8"/>
  <c r="AL215" i="8"/>
  <c r="AJ215" i="8"/>
  <c r="AO215" i="8"/>
  <c r="AI223" i="8"/>
  <c r="AN223" i="8"/>
  <c r="AV223" i="8"/>
  <c r="AU223" i="8"/>
  <c r="AW223" i="8"/>
  <c r="AG223" i="8"/>
  <c r="AX231" i="8"/>
  <c r="AR231" i="8"/>
  <c r="AL231" i="8"/>
  <c r="AJ231" i="8"/>
  <c r="AO231" i="8"/>
  <c r="AT239" i="8"/>
  <c r="AN239" i="8"/>
  <c r="AV239" i="8"/>
  <c r="AU239" i="8"/>
  <c r="AW239" i="8"/>
  <c r="AG239" i="8"/>
  <c r="AF243" i="8"/>
  <c r="AJ243" i="8"/>
  <c r="AI243" i="8"/>
  <c r="AM243" i="8"/>
  <c r="AO243" i="8"/>
  <c r="AP255" i="8"/>
  <c r="AW255" i="8"/>
  <c r="AK255" i="8"/>
  <c r="AJ255" i="8"/>
  <c r="AQ255" i="8"/>
  <c r="AD263" i="8"/>
  <c r="AH263" i="8"/>
  <c r="AS263" i="8"/>
  <c r="AN263" i="8"/>
  <c r="AU263" i="8"/>
  <c r="AE263" i="8"/>
  <c r="AT267" i="8"/>
  <c r="AO267" i="8"/>
  <c r="AV267" i="8"/>
  <c r="AF267" i="8"/>
  <c r="AM267" i="8"/>
  <c r="AH275" i="8"/>
  <c r="AW275" i="8"/>
  <c r="AK275" i="8"/>
  <c r="AJ275" i="8"/>
  <c r="AQ275" i="8"/>
  <c r="AD283" i="8"/>
  <c r="AX283" i="8"/>
  <c r="AO283" i="8"/>
  <c r="AN283" i="8"/>
  <c r="AU283" i="8"/>
  <c r="AE283" i="8"/>
  <c r="AS291" i="8"/>
  <c r="AH291" i="8"/>
  <c r="AV291" i="8"/>
  <c r="AF291" i="8"/>
  <c r="AM291" i="8"/>
  <c r="AE303" i="8"/>
  <c r="AO303" i="8"/>
  <c r="AS303" i="8"/>
  <c r="AQ303" i="8"/>
  <c r="AR303" i="8"/>
  <c r="AH307" i="8"/>
  <c r="AQ307" i="8"/>
  <c r="AP307" i="8"/>
  <c r="AT307" i="8"/>
  <c r="AV307" i="8"/>
  <c r="AF307" i="8"/>
  <c r="AE315" i="8"/>
  <c r="AQ315" i="8"/>
  <c r="AT315" i="8"/>
  <c r="AV315" i="8"/>
  <c r="AF315" i="8"/>
  <c r="AH327" i="8"/>
  <c r="AT327" i="8"/>
  <c r="AW327" i="8"/>
  <c r="AV327" i="8"/>
  <c r="AF327" i="8"/>
  <c r="AE331" i="8"/>
  <c r="AQ331" i="8"/>
  <c r="AT331" i="8"/>
  <c r="AV331" i="8"/>
  <c r="AF331" i="8"/>
  <c r="AK339" i="8"/>
  <c r="AQ339" i="8"/>
  <c r="AT339" i="8"/>
  <c r="AV339" i="8"/>
  <c r="AF339" i="8"/>
  <c r="AE347" i="8"/>
  <c r="AQ347" i="8"/>
  <c r="AT347" i="8"/>
  <c r="AV347" i="8"/>
  <c r="AF347" i="8"/>
  <c r="AG355" i="8"/>
  <c r="AE355" i="8"/>
  <c r="AI355" i="8"/>
  <c r="AN355" i="8"/>
  <c r="AQ363" i="8"/>
  <c r="AP363" i="8"/>
  <c r="AT363" i="8"/>
  <c r="AV363" i="8"/>
  <c r="AF363" i="8"/>
  <c r="AI375" i="8"/>
  <c r="AM375" i="8"/>
  <c r="AL375" i="8"/>
  <c r="AN375" i="8"/>
  <c r="AT383" i="8"/>
  <c r="AX383" i="8"/>
  <c r="AW383" i="8"/>
  <c r="AV383" i="8"/>
  <c r="AF383" i="8"/>
  <c r="AI391" i="8"/>
  <c r="AM391" i="8"/>
  <c r="AL391" i="8"/>
  <c r="AN391" i="8"/>
  <c r="AT399" i="8"/>
  <c r="AW399" i="8"/>
  <c r="AV399" i="8"/>
  <c r="AF399" i="8"/>
  <c r="AI407" i="8"/>
  <c r="AL407" i="8"/>
  <c r="AN407" i="8"/>
  <c r="AU415" i="8"/>
  <c r="AE415" i="8"/>
  <c r="AK415" i="8"/>
  <c r="AQ423" i="8"/>
  <c r="AW423" i="8"/>
  <c r="AG423" i="8"/>
  <c r="AM431" i="8"/>
  <c r="AS431" i="8"/>
  <c r="AY439" i="8"/>
  <c r="AI439" i="8"/>
  <c r="AO439" i="8"/>
  <c r="AU447" i="8"/>
  <c r="AE447" i="8"/>
  <c r="AQ455" i="8"/>
  <c r="AW455" i="8"/>
  <c r="AG455" i="8"/>
  <c r="AM459" i="8"/>
  <c r="AS459" i="8"/>
  <c r="AD321" i="8"/>
  <c r="AI321" i="8"/>
  <c r="AH321" i="8"/>
  <c r="AE321" i="8"/>
  <c r="AJ321" i="8"/>
  <c r="AY333" i="8"/>
  <c r="AL333" i="8"/>
  <c r="AE333" i="8"/>
  <c r="AH333" i="8"/>
  <c r="AH361" i="8"/>
  <c r="AG361" i="8"/>
  <c r="AE361" i="8"/>
  <c r="AJ361" i="8"/>
  <c r="AE389" i="8"/>
  <c r="AI389" i="8"/>
  <c r="AM389" i="8"/>
  <c r="AN389" i="8"/>
  <c r="AX409" i="8"/>
  <c r="AU409" i="8"/>
  <c r="AV409" i="8"/>
  <c r="AF409" i="8"/>
  <c r="AU437" i="8"/>
  <c r="AE437" i="8"/>
  <c r="AK437" i="8"/>
  <c r="AM457" i="8"/>
  <c r="AS457" i="8"/>
  <c r="AP323" i="8"/>
  <c r="AL357" i="8"/>
  <c r="AE367" i="8"/>
  <c r="AX371" i="8"/>
  <c r="AE403" i="8"/>
  <c r="AD405" i="8"/>
  <c r="AW409" i="8"/>
  <c r="AL411" i="8"/>
  <c r="AL419" i="8"/>
  <c r="AP425" i="8"/>
  <c r="AD427" i="8"/>
  <c r="AD435" i="8"/>
  <c r="AP441" i="8"/>
  <c r="AD443" i="8"/>
  <c r="AD451" i="8"/>
  <c r="AX453" i="8"/>
  <c r="AT455" i="8"/>
  <c r="AP457" i="8"/>
  <c r="AL459" i="8"/>
  <c r="AT463" i="8"/>
  <c r="AD467" i="8"/>
  <c r="AV467" i="8"/>
  <c r="AJ469" i="8"/>
  <c r="AN471" i="8"/>
  <c r="AR473" i="8"/>
  <c r="AF475" i="8"/>
  <c r="AV475" i="8"/>
  <c r="AN479" i="8"/>
  <c r="AF483" i="8"/>
  <c r="AV483" i="8"/>
  <c r="AN487" i="8"/>
  <c r="AR489" i="8"/>
  <c r="AF491" i="8"/>
  <c r="AV491" i="8"/>
  <c r="AN495" i="8"/>
  <c r="AF499" i="8"/>
  <c r="AV499" i="8"/>
  <c r="AN503" i="8"/>
  <c r="AR505" i="8"/>
  <c r="AF507" i="8"/>
  <c r="AV507" i="8"/>
  <c r="AN511" i="8"/>
  <c r="AF515" i="8"/>
  <c r="AV515" i="8"/>
  <c r="AJ517" i="8"/>
  <c r="AN519" i="8"/>
  <c r="AX327" i="8"/>
  <c r="AS335" i="8"/>
  <c r="AQ357" i="8"/>
  <c r="AG373" i="8"/>
  <c r="AX379" i="8"/>
  <c r="AS387" i="8"/>
  <c r="AM395" i="8"/>
  <c r="AU399" i="8"/>
  <c r="AS403" i="8"/>
  <c r="AP407" i="8"/>
  <c r="AF411" i="8"/>
  <c r="AR413" i="8"/>
  <c r="AJ417" i="8"/>
  <c r="AV419" i="8"/>
  <c r="AN423" i="8"/>
  <c r="AF427" i="8"/>
  <c r="AR429" i="8"/>
  <c r="AJ433" i="8"/>
  <c r="AV435" i="8"/>
  <c r="AN439" i="8"/>
  <c r="AF443" i="8"/>
  <c r="AK469" i="8"/>
  <c r="AG517" i="8"/>
  <c r="AW517" i="8"/>
  <c r="AH133" i="8"/>
  <c r="AL133" i="8"/>
  <c r="AV133" i="8"/>
  <c r="AF133" i="8"/>
  <c r="AM133" i="8"/>
  <c r="AD185" i="8"/>
  <c r="AT185" i="8"/>
  <c r="AW185" i="8"/>
  <c r="AU185" i="8"/>
  <c r="AV185" i="8"/>
  <c r="AF185" i="8"/>
  <c r="AN213" i="8"/>
  <c r="AT213" i="8"/>
  <c r="AM213" i="8"/>
  <c r="AL213" i="8"/>
  <c r="AO213" i="8"/>
  <c r="AU237" i="8"/>
  <c r="AE237" i="8"/>
  <c r="AX237" i="8"/>
  <c r="AV237" i="8"/>
  <c r="AW237" i="8"/>
  <c r="AG237" i="8"/>
  <c r="AD265" i="8"/>
  <c r="AK265" i="8"/>
  <c r="AV265" i="8"/>
  <c r="AF265" i="8"/>
  <c r="AM265" i="8"/>
  <c r="AP285" i="8"/>
  <c r="AG285" i="8"/>
  <c r="AS285" i="8"/>
  <c r="AN285" i="8"/>
  <c r="AU285" i="8"/>
  <c r="AE285" i="8"/>
  <c r="AT305" i="8"/>
  <c r="AH305" i="8"/>
  <c r="AG305" i="8"/>
  <c r="AE305" i="8"/>
  <c r="AJ305" i="8"/>
  <c r="AQ329" i="8"/>
  <c r="AD329" i="8"/>
  <c r="AH329" i="8"/>
  <c r="AE329" i="8"/>
  <c r="AJ329" i="8"/>
  <c r="AM353" i="8"/>
  <c r="AL353" i="8"/>
  <c r="AK353" i="8"/>
  <c r="AN353" i="8"/>
  <c r="AS377" i="8"/>
  <c r="AQ377" i="8"/>
  <c r="AP377" i="8"/>
  <c r="AR377" i="8"/>
  <c r="AX401" i="8"/>
  <c r="AU401" i="8"/>
  <c r="AV401" i="8"/>
  <c r="AF401" i="8"/>
  <c r="AM425" i="8"/>
  <c r="AS425" i="8"/>
  <c r="AY449" i="8"/>
  <c r="AI449" i="8"/>
  <c r="AO449" i="8"/>
  <c r="AQ321" i="8"/>
  <c r="AL389" i="8"/>
  <c r="AL409" i="8"/>
  <c r="AD505" i="8"/>
  <c r="AT263" i="8"/>
  <c r="AD295" i="8"/>
  <c r="AM311" i="8"/>
  <c r="AM327" i="8"/>
  <c r="AM343" i="8"/>
  <c r="AE359" i="8"/>
  <c r="AU375" i="8"/>
  <c r="AK391" i="8"/>
  <c r="AM407" i="8"/>
  <c r="AD423" i="8"/>
  <c r="AD439" i="8"/>
  <c r="AD469" i="8"/>
  <c r="AT11" i="8"/>
  <c r="AF11" i="8"/>
  <c r="AX27" i="8"/>
  <c r="AJ43" i="8"/>
  <c r="AO379" i="8"/>
  <c r="AK395" i="8"/>
  <c r="AW411" i="8"/>
  <c r="AJ459" i="8"/>
  <c r="AE475" i="8"/>
  <c r="AU491" i="8"/>
  <c r="AE59" i="8"/>
  <c r="AS75" i="8"/>
  <c r="AO91" i="8"/>
  <c r="AK123" i="8"/>
  <c r="AU123" i="8"/>
  <c r="AE155" i="8"/>
  <c r="AG171" i="8"/>
  <c r="AE187" i="8"/>
  <c r="AX267" i="8"/>
  <c r="AU267" i="8"/>
  <c r="AV283" i="8"/>
  <c r="AM315" i="8"/>
  <c r="AN315" i="8"/>
  <c r="AM331" i="8"/>
  <c r="AI347" i="8"/>
  <c r="AE363" i="8"/>
  <c r="AE459" i="8"/>
  <c r="AN475" i="8"/>
  <c r="AO409" i="8"/>
  <c r="AV443" i="8"/>
  <c r="AS185" i="8"/>
  <c r="AQ305" i="8"/>
  <c r="AH377" i="8"/>
  <c r="AP473" i="8"/>
  <c r="AL491" i="8"/>
  <c r="AN447" i="8"/>
  <c r="AV447" i="8"/>
  <c r="AF447" i="8"/>
  <c r="AU347" i="8"/>
  <c r="AT361" i="8"/>
  <c r="AI377" i="8"/>
  <c r="AP411" i="8"/>
  <c r="AX415" i="8"/>
  <c r="AP427" i="8"/>
  <c r="AX431" i="8"/>
  <c r="AP443" i="8"/>
  <c r="AX447" i="8"/>
  <c r="AP459" i="8"/>
  <c r="AX463" i="8"/>
  <c r="AH473" i="8"/>
  <c r="AX473" i="8"/>
  <c r="AT475" i="8"/>
  <c r="AL479" i="8"/>
  <c r="AH489" i="8"/>
  <c r="AX489" i="8"/>
  <c r="AT491" i="8"/>
  <c r="AL495" i="8"/>
  <c r="AH505" i="8"/>
  <c r="AX505" i="8"/>
  <c r="AT507" i="8"/>
  <c r="AL511" i="8"/>
  <c r="AN455" i="8"/>
  <c r="AF455" i="8"/>
  <c r="AV455" i="8"/>
  <c r="AO471" i="8"/>
  <c r="AG471" i="8"/>
  <c r="AS471" i="8"/>
  <c r="AW471" i="8"/>
  <c r="AK471" i="8"/>
  <c r="AG487" i="8"/>
  <c r="AO487" i="8"/>
  <c r="AW487" i="8"/>
  <c r="AK487" i="8"/>
  <c r="AS487" i="8"/>
  <c r="AK503" i="8"/>
  <c r="AW503" i="8"/>
  <c r="AG503" i="8"/>
  <c r="AO503" i="8"/>
  <c r="AS503" i="8"/>
  <c r="AG519" i="8"/>
  <c r="AO519" i="8"/>
  <c r="AW519" i="8"/>
  <c r="AS519" i="8"/>
  <c r="AK519" i="8"/>
  <c r="AY7" i="8"/>
  <c r="AX7" i="8"/>
  <c r="AH7" i="8"/>
  <c r="AO7" i="8"/>
  <c r="AI11" i="8"/>
  <c r="AY11" i="8"/>
  <c r="AX11" i="8"/>
  <c r="AH11" i="8"/>
  <c r="AO11" i="8"/>
  <c r="AR15" i="8"/>
  <c r="AQ15" i="8"/>
  <c r="AF15" i="8"/>
  <c r="AL15" i="8"/>
  <c r="AE23" i="8"/>
  <c r="AY23" i="8"/>
  <c r="AP23" i="8"/>
  <c r="AO23" i="8"/>
  <c r="AM27" i="8"/>
  <c r="AT27" i="8"/>
  <c r="AI27" i="8"/>
  <c r="AW27" i="8"/>
  <c r="AG27" i="8"/>
  <c r="AW31" i="8"/>
  <c r="AS31" i="8"/>
  <c r="AY31" i="8"/>
  <c r="AI31" i="8"/>
  <c r="AW39" i="8"/>
  <c r="AS39" i="8"/>
  <c r="AY39" i="8"/>
  <c r="AI39" i="8"/>
  <c r="AG43" i="8"/>
  <c r="AO43" i="8"/>
  <c r="AR43" i="8"/>
  <c r="AQ43" i="8"/>
  <c r="AX43" i="8"/>
  <c r="AW47" i="8"/>
  <c r="AS47" i="8"/>
  <c r="AJ47" i="8"/>
  <c r="AI47" i="8"/>
  <c r="AS55" i="8"/>
  <c r="AG55" i="8"/>
  <c r="AY55" i="8"/>
  <c r="AI55" i="8"/>
  <c r="AK63" i="8"/>
  <c r="AW63" i="8"/>
  <c r="AN63" i="8"/>
  <c r="AQ63" i="8"/>
  <c r="AX63" i="8"/>
  <c r="AI71" i="8"/>
  <c r="AY71" i="8"/>
  <c r="AV71" i="8"/>
  <c r="AU71" i="8"/>
  <c r="AX71" i="8"/>
  <c r="AN79" i="8"/>
  <c r="AR79" i="8"/>
  <c r="AK79" i="8"/>
  <c r="AJ79" i="8"/>
  <c r="AP87" i="8"/>
  <c r="AW87" i="8"/>
  <c r="AD87" i="8"/>
  <c r="AR87" i="8"/>
  <c r="AY87" i="8"/>
  <c r="AX95" i="8"/>
  <c r="AT95" i="8"/>
  <c r="AK95" i="8"/>
  <c r="AJ95" i="8"/>
  <c r="AH99" i="8"/>
  <c r="AP99" i="8"/>
  <c r="AD99" i="8"/>
  <c r="AR99" i="8"/>
  <c r="AY99" i="8"/>
  <c r="AH107" i="8"/>
  <c r="AT107" i="8"/>
  <c r="AK107" i="8"/>
  <c r="AJ107" i="8"/>
  <c r="AQ115" i="8"/>
  <c r="AW115" i="8"/>
  <c r="AY115" i="8"/>
  <c r="AD115" i="8"/>
  <c r="AH115" i="8"/>
  <c r="AS127" i="8"/>
  <c r="AP127" i="8"/>
  <c r="AG127" i="8"/>
  <c r="AJ127" i="8"/>
  <c r="AT135" i="8"/>
  <c r="AK135" i="8"/>
  <c r="AW135" i="8"/>
  <c r="AR135" i="8"/>
  <c r="AY135" i="8"/>
  <c r="AT139" i="8"/>
  <c r="AP139" i="8"/>
  <c r="AG139" i="8"/>
  <c r="AJ139" i="8"/>
  <c r="AD143" i="8"/>
  <c r="AK143" i="8"/>
  <c r="AW143" i="8"/>
  <c r="AR143" i="8"/>
  <c r="AY143" i="8"/>
  <c r="AD151" i="8"/>
  <c r="AK151" i="8"/>
  <c r="AS151" i="8"/>
  <c r="AQ151" i="8"/>
  <c r="AU159" i="8"/>
  <c r="AP159" i="8"/>
  <c r="AD159" i="8"/>
  <c r="AH159" i="8"/>
  <c r="AG159" i="8"/>
  <c r="AY167" i="8"/>
  <c r="AT167" i="8"/>
  <c r="AM167" i="8"/>
  <c r="AL167" i="8"/>
  <c r="AI175" i="8"/>
  <c r="AE175" i="8"/>
  <c r="AX175" i="8"/>
  <c r="AW175" i="8"/>
  <c r="AV175" i="8"/>
  <c r="AP183" i="8"/>
  <c r="AT183" i="8"/>
  <c r="AM183" i="8"/>
  <c r="AL183" i="8"/>
  <c r="AI191" i="8"/>
  <c r="AN191" i="8"/>
  <c r="AV191" i="8"/>
  <c r="AU191" i="8"/>
  <c r="AW191" i="8"/>
  <c r="AN199" i="8"/>
  <c r="AH199" i="8"/>
  <c r="AF199" i="8"/>
  <c r="AE199" i="8"/>
  <c r="AU203" i="8"/>
  <c r="AP203" i="8"/>
  <c r="AN203" i="8"/>
  <c r="AR203" i="8"/>
  <c r="AE211" i="8"/>
  <c r="AV211" i="8"/>
  <c r="AY211" i="8"/>
  <c r="AD211" i="8"/>
  <c r="AH211" i="8"/>
  <c r="AJ219" i="8"/>
  <c r="AP219" i="8"/>
  <c r="AN219" i="8"/>
  <c r="AR219" i="8"/>
  <c r="AP227" i="8"/>
  <c r="AV227" i="8"/>
  <c r="AY227" i="8"/>
  <c r="AD227" i="8"/>
  <c r="AH227" i="8"/>
  <c r="AU235" i="8"/>
  <c r="AP235" i="8"/>
  <c r="AN235" i="8"/>
  <c r="AR235" i="8"/>
  <c r="AT247" i="8"/>
  <c r="AD247" i="8"/>
  <c r="AH247" i="8"/>
  <c r="AF247" i="8"/>
  <c r="AE247" i="8"/>
  <c r="AH251" i="8"/>
  <c r="AW251" i="8"/>
  <c r="AK251" i="8"/>
  <c r="AJ251" i="8"/>
  <c r="AL259" i="8"/>
  <c r="AD259" i="8"/>
  <c r="AG259" i="8"/>
  <c r="AR259" i="8"/>
  <c r="AY259" i="8"/>
  <c r="AP271" i="8"/>
  <c r="AW271" i="8"/>
  <c r="AK271" i="8"/>
  <c r="AJ271" i="8"/>
  <c r="AT279" i="8"/>
  <c r="AL279" i="8"/>
  <c r="AG279" i="8"/>
  <c r="AR279" i="8"/>
  <c r="AY279" i="8"/>
  <c r="AS287" i="8"/>
  <c r="AH287" i="8"/>
  <c r="AV287" i="8"/>
  <c r="AF287" i="8"/>
  <c r="AL295" i="8"/>
  <c r="AP295" i="8"/>
  <c r="AG295" i="8"/>
  <c r="AJ295" i="8"/>
  <c r="AM299" i="8"/>
  <c r="AQ299" i="8"/>
  <c r="AP299" i="8"/>
  <c r="AT299" i="8"/>
  <c r="AV299" i="8"/>
  <c r="AF299" i="8"/>
  <c r="AH311" i="8"/>
  <c r="AT311" i="8"/>
  <c r="AW311" i="8"/>
  <c r="AV311" i="8"/>
  <c r="AF311" i="8"/>
  <c r="AM319" i="8"/>
  <c r="AT319" i="8"/>
  <c r="AW319" i="8"/>
  <c r="AV319" i="8"/>
  <c r="AK323" i="8"/>
  <c r="AQ323" i="8"/>
  <c r="AT323" i="8"/>
  <c r="AV323" i="8"/>
  <c r="AM335" i="8"/>
  <c r="AT335" i="8"/>
  <c r="AW335" i="8"/>
  <c r="AV335" i="8"/>
  <c r="AH343" i="8"/>
  <c r="AT343" i="8"/>
  <c r="AW343" i="8"/>
  <c r="AV343" i="8"/>
  <c r="AM351" i="8"/>
  <c r="AT351" i="8"/>
  <c r="AW351" i="8"/>
  <c r="AV351" i="8"/>
  <c r="AI359" i="8"/>
  <c r="AM359" i="8"/>
  <c r="AL359" i="8"/>
  <c r="AN359" i="8"/>
  <c r="AT367" i="8"/>
  <c r="AX367" i="8"/>
  <c r="AW367" i="8"/>
  <c r="AV367" i="8"/>
  <c r="AF367" i="8"/>
  <c r="AG371" i="8"/>
  <c r="AE371" i="8"/>
  <c r="AI371" i="8"/>
  <c r="AQ379" i="8"/>
  <c r="AP379" i="8"/>
  <c r="AT379" i="8"/>
  <c r="AV379" i="8"/>
  <c r="AF379" i="8"/>
  <c r="AG387" i="8"/>
  <c r="AE387" i="8"/>
  <c r="AI387" i="8"/>
  <c r="AN387" i="8"/>
  <c r="AQ395" i="8"/>
  <c r="AP395" i="8"/>
  <c r="AT395" i="8"/>
  <c r="AV395" i="8"/>
  <c r="AF395" i="8"/>
  <c r="AG403" i="8"/>
  <c r="AI403" i="8"/>
  <c r="AN403" i="8"/>
  <c r="AU411" i="8"/>
  <c r="AE411" i="8"/>
  <c r="AK411" i="8"/>
  <c r="AQ419" i="8"/>
  <c r="AW419" i="8"/>
  <c r="AG419" i="8"/>
  <c r="AM427" i="8"/>
  <c r="AS427" i="8"/>
  <c r="AY435" i="8"/>
  <c r="AI435" i="8"/>
  <c r="AO435" i="8"/>
  <c r="AU443" i="8"/>
  <c r="AE443" i="8"/>
  <c r="AK443" i="8"/>
  <c r="AQ451" i="8"/>
  <c r="AW451" i="8"/>
  <c r="AG451" i="8"/>
  <c r="AM463" i="8"/>
  <c r="AS463" i="8"/>
  <c r="AE467" i="8"/>
  <c r="AK489" i="8"/>
  <c r="AG505" i="8"/>
  <c r="AH281" i="8"/>
  <c r="AT281" i="8"/>
  <c r="AK281" i="8"/>
  <c r="AJ281" i="8"/>
  <c r="AY337" i="8"/>
  <c r="AL337" i="8"/>
  <c r="AS337" i="8"/>
  <c r="AP337" i="8"/>
  <c r="AR337" i="8"/>
  <c r="AS393" i="8"/>
  <c r="AQ393" i="8"/>
  <c r="AP393" i="8"/>
  <c r="AR393" i="8"/>
  <c r="AQ441" i="8"/>
  <c r="AW441" i="8"/>
  <c r="AG441" i="8"/>
  <c r="AG321" i="8"/>
  <c r="AD361" i="8"/>
  <c r="AK383" i="8"/>
  <c r="AE391" i="8"/>
  <c r="AP399" i="8"/>
  <c r="AK407" i="8"/>
  <c r="AI409" i="8"/>
  <c r="AR411" i="8"/>
  <c r="AJ415" i="8"/>
  <c r="AN425" i="8"/>
  <c r="AR427" i="8"/>
  <c r="AR439" i="8"/>
  <c r="AN441" i="8"/>
  <c r="AR443" i="8"/>
  <c r="AR455" i="8"/>
  <c r="AF457" i="8"/>
  <c r="AQ467" i="8"/>
  <c r="AI471" i="8"/>
  <c r="AY471" i="8"/>
  <c r="AM473" i="8"/>
  <c r="AQ475" i="8"/>
  <c r="AI479" i="8"/>
  <c r="AY479" i="8"/>
  <c r="AQ483" i="8"/>
  <c r="AI487" i="8"/>
  <c r="AY487" i="8"/>
  <c r="AM489" i="8"/>
  <c r="AQ491" i="8"/>
  <c r="AI495" i="8"/>
  <c r="AY495" i="8"/>
  <c r="AQ499" i="8"/>
  <c r="AI503" i="8"/>
  <c r="AY503" i="8"/>
  <c r="AM505" i="8"/>
  <c r="AQ507" i="8"/>
  <c r="AI511" i="8"/>
  <c r="AY511" i="8"/>
  <c r="AQ515" i="8"/>
  <c r="AI519" i="8"/>
  <c r="AY519" i="8"/>
  <c r="AK59" i="8"/>
  <c r="AG59" i="8"/>
  <c r="AY59" i="8"/>
  <c r="AI59" i="8"/>
  <c r="AF75" i="8"/>
  <c r="AV75" i="8"/>
  <c r="AY75" i="8"/>
  <c r="AW75" i="8"/>
  <c r="AX75" i="8"/>
  <c r="AK83" i="8"/>
  <c r="AO83" i="8"/>
  <c r="AN83" i="8"/>
  <c r="AM83" i="8"/>
  <c r="AX91" i="8"/>
  <c r="AP91" i="8"/>
  <c r="AD91" i="8"/>
  <c r="AR91" i="8"/>
  <c r="AY91" i="8"/>
  <c r="AX103" i="8"/>
  <c r="AT103" i="8"/>
  <c r="AK103" i="8"/>
  <c r="AJ103" i="8"/>
  <c r="AT111" i="8"/>
  <c r="AY111" i="8"/>
  <c r="AM111" i="8"/>
  <c r="AG111" i="8"/>
  <c r="AE111" i="8"/>
  <c r="AD119" i="8"/>
  <c r="AP119" i="8"/>
  <c r="AG119" i="8"/>
  <c r="AJ119" i="8"/>
  <c r="AL123" i="8"/>
  <c r="AS123" i="8"/>
  <c r="AW123" i="8"/>
  <c r="AR123" i="8"/>
  <c r="AY123" i="8"/>
  <c r="AT131" i="8"/>
  <c r="AP131" i="8"/>
  <c r="AG131" i="8"/>
  <c r="AJ131" i="8"/>
  <c r="AH147" i="8"/>
  <c r="AX147" i="8"/>
  <c r="AU147" i="8"/>
  <c r="AY147" i="8"/>
  <c r="AD147" i="8"/>
  <c r="AM155" i="8"/>
  <c r="AQ155" i="8"/>
  <c r="AK155" i="8"/>
  <c r="AO155" i="8"/>
  <c r="AS163" i="8"/>
  <c r="AX163" i="8"/>
  <c r="AU163" i="8"/>
  <c r="AY163" i="8"/>
  <c r="AD163" i="8"/>
  <c r="AX171" i="8"/>
  <c r="AQ171" i="8"/>
  <c r="AK171" i="8"/>
  <c r="AO171" i="8"/>
  <c r="AH179" i="8"/>
  <c r="AX179" i="8"/>
  <c r="AU179" i="8"/>
  <c r="AY179" i="8"/>
  <c r="AD179" i="8"/>
  <c r="AM187" i="8"/>
  <c r="AQ187" i="8"/>
  <c r="AK187" i="8"/>
  <c r="AO187" i="8"/>
  <c r="AP195" i="8"/>
  <c r="AV195" i="8"/>
  <c r="AY195" i="8"/>
  <c r="AD195" i="8"/>
  <c r="AH195" i="8"/>
  <c r="AR207" i="8"/>
  <c r="AD207" i="8"/>
  <c r="AQ207" i="8"/>
  <c r="AP207" i="8"/>
  <c r="AX215" i="8"/>
  <c r="AD215" i="8"/>
  <c r="AH215" i="8"/>
  <c r="AF215" i="8"/>
  <c r="AE215" i="8"/>
  <c r="AH223" i="8"/>
  <c r="AD223" i="8"/>
  <c r="AQ223" i="8"/>
  <c r="AP223" i="8"/>
  <c r="AM231" i="8"/>
  <c r="AN231" i="8"/>
  <c r="AH231" i="8"/>
  <c r="AF231" i="8"/>
  <c r="AE231" i="8"/>
  <c r="AR239" i="8"/>
  <c r="AD239" i="8"/>
  <c r="AQ239" i="8"/>
  <c r="AP239" i="8"/>
  <c r="AP243" i="8"/>
  <c r="AV243" i="8"/>
  <c r="AY243" i="8"/>
  <c r="AD243" i="8"/>
  <c r="AH243" i="8"/>
  <c r="AL255" i="8"/>
  <c r="AO255" i="8"/>
  <c r="AV255" i="8"/>
  <c r="AF255" i="8"/>
  <c r="AP263" i="8"/>
  <c r="AW263" i="8"/>
  <c r="AK263" i="8"/>
  <c r="AJ263" i="8"/>
  <c r="AL267" i="8"/>
  <c r="AD267" i="8"/>
  <c r="AG267" i="8"/>
  <c r="AR267" i="8"/>
  <c r="AY267" i="8"/>
  <c r="AT275" i="8"/>
  <c r="AO275" i="8"/>
  <c r="AV275" i="8"/>
  <c r="AF275" i="8"/>
  <c r="AM275" i="8"/>
  <c r="AT283" i="8"/>
  <c r="AP283" i="8"/>
  <c r="AG283" i="8"/>
  <c r="AJ283" i="8"/>
  <c r="AT291" i="8"/>
  <c r="AK291" i="8"/>
  <c r="AW291" i="8"/>
  <c r="AR291" i="8"/>
  <c r="AY291" i="8"/>
  <c r="AU303" i="8"/>
  <c r="AI303" i="8"/>
  <c r="AM303" i="8"/>
  <c r="AL303" i="8"/>
  <c r="AX307" i="8"/>
  <c r="AL307" i="8"/>
  <c r="AK307" i="8"/>
  <c r="AO307" i="8"/>
  <c r="AS315" i="8"/>
  <c r="AX315" i="8"/>
  <c r="AL315" i="8"/>
  <c r="AO315" i="8"/>
  <c r="AR315" i="8"/>
  <c r="AU327" i="8"/>
  <c r="AP327" i="8"/>
  <c r="AO327" i="8"/>
  <c r="AQ327" i="8"/>
  <c r="AS331" i="8"/>
  <c r="AX331" i="8"/>
  <c r="AL331" i="8"/>
  <c r="AO331" i="8"/>
  <c r="AR331" i="8"/>
  <c r="AX339" i="8"/>
  <c r="AS339" i="8"/>
  <c r="AL339" i="8"/>
  <c r="AO339" i="8"/>
  <c r="AS347" i="8"/>
  <c r="AX347" i="8"/>
  <c r="AL347" i="8"/>
  <c r="AO347" i="8"/>
  <c r="AR347" i="8"/>
  <c r="AW355" i="8"/>
  <c r="AU355" i="8"/>
  <c r="AY355" i="8"/>
  <c r="AD355" i="8"/>
  <c r="AL363" i="8"/>
  <c r="AK363" i="8"/>
  <c r="AO363" i="8"/>
  <c r="AR363" i="8"/>
  <c r="AY375" i="8"/>
  <c r="AD375" i="8"/>
  <c r="AH375" i="8"/>
  <c r="AG375" i="8"/>
  <c r="AJ375" i="8"/>
  <c r="AO383" i="8"/>
  <c r="AS383" i="8"/>
  <c r="AQ383" i="8"/>
  <c r="AY391" i="8"/>
  <c r="AD391" i="8"/>
  <c r="AH391" i="8"/>
  <c r="AG391" i="8"/>
  <c r="AO399" i="8"/>
  <c r="AQ399" i="8"/>
  <c r="AR399" i="8"/>
  <c r="AY407" i="8"/>
  <c r="AD407" i="8"/>
  <c r="AG407" i="8"/>
  <c r="AJ407" i="8"/>
  <c r="AQ415" i="8"/>
  <c r="AW415" i="8"/>
  <c r="AG415" i="8"/>
  <c r="AM423" i="8"/>
  <c r="AS423" i="8"/>
  <c r="AY431" i="8"/>
  <c r="AI431" i="8"/>
  <c r="AO431" i="8"/>
  <c r="AU439" i="8"/>
  <c r="AE439" i="8"/>
  <c r="AK439" i="8"/>
  <c r="AQ447" i="8"/>
  <c r="AW447" i="8"/>
  <c r="AG447" i="8"/>
  <c r="AM455" i="8"/>
  <c r="AS455" i="8"/>
  <c r="AY459" i="8"/>
  <c r="AI459" i="8"/>
  <c r="AO459" i="8"/>
  <c r="AG473" i="8"/>
  <c r="AW321" i="8"/>
  <c r="AX321" i="8"/>
  <c r="AU321" i="8"/>
  <c r="AV321" i="8"/>
  <c r="AX361" i="8"/>
  <c r="AW361" i="8"/>
  <c r="AU361" i="8"/>
  <c r="AV361" i="8"/>
  <c r="AS409" i="8"/>
  <c r="AP409" i="8"/>
  <c r="AR409" i="8"/>
  <c r="AY457" i="8"/>
  <c r="AI457" i="8"/>
  <c r="AO457" i="8"/>
  <c r="AT377" i="8"/>
  <c r="AI393" i="8"/>
  <c r="AT411" i="8"/>
  <c r="AX425" i="8"/>
  <c r="AL427" i="8"/>
  <c r="AL443" i="8"/>
  <c r="AL451" i="8"/>
  <c r="AX457" i="8"/>
  <c r="AT459" i="8"/>
  <c r="AJ467" i="8"/>
  <c r="AR471" i="8"/>
  <c r="AF473" i="8"/>
  <c r="AJ475" i="8"/>
  <c r="AR479" i="8"/>
  <c r="AJ483" i="8"/>
  <c r="AR487" i="8"/>
  <c r="AF489" i="8"/>
  <c r="AV489" i="8"/>
  <c r="AJ491" i="8"/>
  <c r="AR495" i="8"/>
  <c r="AJ499" i="8"/>
  <c r="AR503" i="8"/>
  <c r="AF505" i="8"/>
  <c r="AJ507" i="8"/>
  <c r="AR511" i="8"/>
  <c r="AJ515" i="8"/>
  <c r="AR519" i="8"/>
  <c r="AW329" i="8"/>
  <c r="AI401" i="8"/>
  <c r="AN411" i="8"/>
  <c r="AN427" i="8"/>
  <c r="AR433" i="8"/>
  <c r="AN443" i="8"/>
  <c r="AK517" i="8"/>
  <c r="AP133" i="8"/>
  <c r="AW133" i="8"/>
  <c r="AD133" i="8"/>
  <c r="AR133" i="8"/>
  <c r="AY133" i="8"/>
  <c r="AX185" i="8"/>
  <c r="AI185" i="8"/>
  <c r="AQ185" i="8"/>
  <c r="AP185" i="8"/>
  <c r="AY213" i="8"/>
  <c r="AE213" i="8"/>
  <c r="AI213" i="8"/>
  <c r="AH213" i="8"/>
  <c r="AF213" i="8"/>
  <c r="AT237" i="8"/>
  <c r="AY237" i="8"/>
  <c r="AR237" i="8"/>
  <c r="AQ237" i="8"/>
  <c r="AX265" i="8"/>
  <c r="AP265" i="8"/>
  <c r="AW265" i="8"/>
  <c r="AR265" i="8"/>
  <c r="AY265" i="8"/>
  <c r="AH285" i="8"/>
  <c r="AT285" i="8"/>
  <c r="AK285" i="8"/>
  <c r="AJ285" i="8"/>
  <c r="AI305" i="8"/>
  <c r="AX305" i="8"/>
  <c r="AW305" i="8"/>
  <c r="AU305" i="8"/>
  <c r="AV305" i="8"/>
  <c r="AG329" i="8"/>
  <c r="AX329" i="8"/>
  <c r="AU329" i="8"/>
  <c r="AV329" i="8"/>
  <c r="AH353" i="8"/>
  <c r="AG353" i="8"/>
  <c r="AE353" i="8"/>
  <c r="AM377" i="8"/>
  <c r="AL377" i="8"/>
  <c r="AK377" i="8"/>
  <c r="AS401" i="8"/>
  <c r="AP401" i="8"/>
  <c r="AY425" i="8"/>
  <c r="AI425" i="8"/>
  <c r="AU449" i="8"/>
  <c r="AE449" i="8"/>
  <c r="AD459" i="8"/>
  <c r="AD475" i="8"/>
  <c r="AD491" i="8"/>
  <c r="AD507" i="8"/>
  <c r="Y523" i="2"/>
  <c r="V627" i="6" s="1"/>
  <c r="X523" i="2"/>
  <c r="U627" i="6" s="1"/>
  <c r="W523" i="2"/>
  <c r="T627" i="6" s="1"/>
  <c r="V523" i="2"/>
  <c r="S627" i="6" s="1"/>
  <c r="U523" i="2"/>
  <c r="R627" i="6" s="1"/>
  <c r="T523" i="2"/>
  <c r="Q627" i="6" s="1"/>
  <c r="S523" i="2"/>
  <c r="P627" i="6" s="1"/>
  <c r="R523" i="2"/>
  <c r="O627" i="6" s="1"/>
  <c r="Q523" i="2"/>
  <c r="N627" i="6" s="1"/>
  <c r="P523" i="2"/>
  <c r="M627" i="6" s="1"/>
  <c r="O523" i="2"/>
  <c r="L627" i="6" s="1"/>
  <c r="N523" i="2"/>
  <c r="K627" i="6" s="1"/>
  <c r="M523" i="2"/>
  <c r="J627" i="6" s="1"/>
  <c r="L523" i="2"/>
  <c r="I627" i="6" s="1"/>
  <c r="K523" i="2"/>
  <c r="J523" i="2"/>
  <c r="F523" i="2"/>
  <c r="E523" i="2"/>
  <c r="D523" i="2" s="1"/>
  <c r="Y522" i="2"/>
  <c r="V626" i="6" s="1"/>
  <c r="X522" i="2"/>
  <c r="U626" i="6" s="1"/>
  <c r="W522" i="2"/>
  <c r="T626" i="6" s="1"/>
  <c r="V522" i="2"/>
  <c r="S626" i="6" s="1"/>
  <c r="U522" i="2"/>
  <c r="R626" i="6" s="1"/>
  <c r="T522" i="2"/>
  <c r="Q626" i="6" s="1"/>
  <c r="S522" i="2"/>
  <c r="P626" i="6" s="1"/>
  <c r="R522" i="2"/>
  <c r="O626" i="6" s="1"/>
  <c r="Q522" i="2"/>
  <c r="N626" i="6" s="1"/>
  <c r="P522" i="2"/>
  <c r="M626" i="6" s="1"/>
  <c r="O522" i="2"/>
  <c r="L626" i="6" s="1"/>
  <c r="N522" i="2"/>
  <c r="K626" i="6" s="1"/>
  <c r="M522" i="2"/>
  <c r="J626" i="6" s="1"/>
  <c r="L522" i="2"/>
  <c r="I626" i="6" s="1"/>
  <c r="K522" i="2"/>
  <c r="H626" i="6" s="1"/>
  <c r="J522" i="2"/>
  <c r="G626" i="6" s="1"/>
  <c r="F522" i="2"/>
  <c r="E522" i="2"/>
  <c r="D522" i="2" s="1"/>
  <c r="Y521" i="2"/>
  <c r="V625" i="6" s="1"/>
  <c r="W9" i="5" s="1"/>
  <c r="X521" i="2"/>
  <c r="U625" i="6" s="1"/>
  <c r="V9" i="5" s="1"/>
  <c r="W521" i="2"/>
  <c r="T625" i="6" s="1"/>
  <c r="U9" i="5" s="1"/>
  <c r="V521" i="2"/>
  <c r="S625" i="6" s="1"/>
  <c r="T9" i="5" s="1"/>
  <c r="U521" i="2"/>
  <c r="R625" i="6" s="1"/>
  <c r="S9" i="5" s="1"/>
  <c r="T521" i="2"/>
  <c r="Q625" i="6" s="1"/>
  <c r="R9" i="5" s="1"/>
  <c r="S521" i="2"/>
  <c r="P625" i="6" s="1"/>
  <c r="Q9" i="5" s="1"/>
  <c r="R521" i="2"/>
  <c r="O625" i="6" s="1"/>
  <c r="P9" i="5" s="1"/>
  <c r="Q521" i="2"/>
  <c r="N625" i="6" s="1"/>
  <c r="O9" i="5" s="1"/>
  <c r="P521" i="2"/>
  <c r="M625" i="6" s="1"/>
  <c r="N9" i="5" s="1"/>
  <c r="O521" i="2"/>
  <c r="L625" i="6" s="1"/>
  <c r="M9" i="5" s="1"/>
  <c r="N521" i="2"/>
  <c r="K625" i="6" s="1"/>
  <c r="L9" i="5" s="1"/>
  <c r="M521" i="2"/>
  <c r="J625" i="6" s="1"/>
  <c r="K9" i="5" s="1"/>
  <c r="L521" i="2"/>
  <c r="I625" i="6" s="1"/>
  <c r="J9" i="5" s="1"/>
  <c r="K521" i="2"/>
  <c r="J521" i="2"/>
  <c r="F521" i="2"/>
  <c r="E521" i="2"/>
  <c r="D521" i="2" s="1"/>
  <c r="Y520" i="2"/>
  <c r="V624" i="6" s="1"/>
  <c r="X520" i="2"/>
  <c r="U624" i="6" s="1"/>
  <c r="W520" i="2"/>
  <c r="T624" i="6" s="1"/>
  <c r="V520" i="2"/>
  <c r="S624" i="6" s="1"/>
  <c r="U520" i="2"/>
  <c r="R624" i="6" s="1"/>
  <c r="T520" i="2"/>
  <c r="Q624" i="6" s="1"/>
  <c r="S520" i="2"/>
  <c r="P624" i="6" s="1"/>
  <c r="R520" i="2"/>
  <c r="O624" i="6" s="1"/>
  <c r="Q520" i="2"/>
  <c r="N624" i="6" s="1"/>
  <c r="P520" i="2"/>
  <c r="M624" i="6" s="1"/>
  <c r="O520" i="2"/>
  <c r="L624" i="6" s="1"/>
  <c r="N520" i="2"/>
  <c r="K624" i="6" s="1"/>
  <c r="M520" i="2"/>
  <c r="J624" i="6" s="1"/>
  <c r="L520" i="2"/>
  <c r="I624" i="6" s="1"/>
  <c r="K520" i="2"/>
  <c r="H624" i="6" s="1"/>
  <c r="J520" i="2"/>
  <c r="G624" i="6" s="1"/>
  <c r="I520" i="2"/>
  <c r="H520" i="2"/>
  <c r="E624" i="6" s="1"/>
  <c r="F520" i="2"/>
  <c r="E520" i="2"/>
  <c r="D520" i="2" s="1"/>
  <c r="Y519" i="2"/>
  <c r="V623" i="6" s="1"/>
  <c r="X519" i="2"/>
  <c r="U623" i="6" s="1"/>
  <c r="W519" i="2"/>
  <c r="T623" i="6" s="1"/>
  <c r="V519" i="2"/>
  <c r="S623" i="6" s="1"/>
  <c r="U519" i="2"/>
  <c r="R623" i="6" s="1"/>
  <c r="T519" i="2"/>
  <c r="Q623" i="6" s="1"/>
  <c r="S519" i="2"/>
  <c r="P623" i="6" s="1"/>
  <c r="R519" i="2"/>
  <c r="O623" i="6" s="1"/>
  <c r="Q519" i="2"/>
  <c r="N623" i="6" s="1"/>
  <c r="P519" i="2"/>
  <c r="M623" i="6" s="1"/>
  <c r="O519" i="2"/>
  <c r="L623" i="6" s="1"/>
  <c r="N519" i="2"/>
  <c r="K623" i="6" s="1"/>
  <c r="M519" i="2"/>
  <c r="J623" i="6" s="1"/>
  <c r="L519" i="2"/>
  <c r="I623" i="6" s="1"/>
  <c r="K519" i="2"/>
  <c r="J519" i="2"/>
  <c r="F519" i="2"/>
  <c r="E519" i="2"/>
  <c r="D519" i="2" s="1"/>
  <c r="Y518" i="2"/>
  <c r="V622" i="6" s="1"/>
  <c r="X518" i="2"/>
  <c r="U622" i="6" s="1"/>
  <c r="W518" i="2"/>
  <c r="T622" i="6" s="1"/>
  <c r="V518" i="2"/>
  <c r="S622" i="6" s="1"/>
  <c r="U518" i="2"/>
  <c r="R622" i="6" s="1"/>
  <c r="T518" i="2"/>
  <c r="Q622" i="6" s="1"/>
  <c r="S518" i="2"/>
  <c r="P622" i="6" s="1"/>
  <c r="R518" i="2"/>
  <c r="O622" i="6" s="1"/>
  <c r="Q518" i="2"/>
  <c r="N622" i="6" s="1"/>
  <c r="P518" i="2"/>
  <c r="M622" i="6" s="1"/>
  <c r="O518" i="2"/>
  <c r="L622" i="6" s="1"/>
  <c r="N518" i="2"/>
  <c r="K622" i="6" s="1"/>
  <c r="M518" i="2"/>
  <c r="J622" i="6" s="1"/>
  <c r="L518" i="2"/>
  <c r="I622" i="6" s="1"/>
  <c r="K518" i="2"/>
  <c r="J518" i="2"/>
  <c r="G622" i="6" s="1"/>
  <c r="F518" i="2"/>
  <c r="E518" i="2"/>
  <c r="D518" i="2" s="1"/>
  <c r="Y517" i="2"/>
  <c r="V621" i="6" s="1"/>
  <c r="X517" i="2"/>
  <c r="U621" i="6" s="1"/>
  <c r="W517" i="2"/>
  <c r="T621" i="6" s="1"/>
  <c r="V517" i="2"/>
  <c r="S621" i="6" s="1"/>
  <c r="U517" i="2"/>
  <c r="R621" i="6" s="1"/>
  <c r="T517" i="2"/>
  <c r="Q621" i="6" s="1"/>
  <c r="S517" i="2"/>
  <c r="P621" i="6" s="1"/>
  <c r="R517" i="2"/>
  <c r="O621" i="6" s="1"/>
  <c r="Q517" i="2"/>
  <c r="N621" i="6" s="1"/>
  <c r="P517" i="2"/>
  <c r="M621" i="6" s="1"/>
  <c r="O517" i="2"/>
  <c r="L621" i="6" s="1"/>
  <c r="N517" i="2"/>
  <c r="K621" i="6" s="1"/>
  <c r="M517" i="2"/>
  <c r="J621" i="6" s="1"/>
  <c r="L517" i="2"/>
  <c r="I621" i="6" s="1"/>
  <c r="K517" i="2"/>
  <c r="H621" i="6" s="1"/>
  <c r="J517" i="2"/>
  <c r="I517" i="2"/>
  <c r="F621" i="6" s="1"/>
  <c r="F517" i="2"/>
  <c r="E517" i="2"/>
  <c r="D517" i="2" s="1"/>
  <c r="Y516" i="2"/>
  <c r="V620" i="6" s="1"/>
  <c r="X516" i="2"/>
  <c r="U620" i="6" s="1"/>
  <c r="W516" i="2"/>
  <c r="T620" i="6" s="1"/>
  <c r="V516" i="2"/>
  <c r="S620" i="6" s="1"/>
  <c r="U516" i="2"/>
  <c r="R620" i="6" s="1"/>
  <c r="T516" i="2"/>
  <c r="Q620" i="6" s="1"/>
  <c r="S516" i="2"/>
  <c r="P620" i="6" s="1"/>
  <c r="R516" i="2"/>
  <c r="O620" i="6" s="1"/>
  <c r="Q516" i="2"/>
  <c r="N620" i="6" s="1"/>
  <c r="P516" i="2"/>
  <c r="M620" i="6" s="1"/>
  <c r="O516" i="2"/>
  <c r="L620" i="6" s="1"/>
  <c r="N516" i="2"/>
  <c r="K620" i="6" s="1"/>
  <c r="M516" i="2"/>
  <c r="J620" i="6" s="1"/>
  <c r="L516" i="2"/>
  <c r="I620" i="6" s="1"/>
  <c r="K516" i="2"/>
  <c r="J516" i="2"/>
  <c r="G620" i="6" s="1"/>
  <c r="F516" i="2"/>
  <c r="E516" i="2"/>
  <c r="Y515" i="2"/>
  <c r="V619" i="6" s="1"/>
  <c r="W35" i="5" s="1"/>
  <c r="X515" i="2"/>
  <c r="U619" i="6" s="1"/>
  <c r="V35" i="5" s="1"/>
  <c r="W515" i="2"/>
  <c r="T619" i="6" s="1"/>
  <c r="U35" i="5" s="1"/>
  <c r="V515" i="2"/>
  <c r="S619" i="6" s="1"/>
  <c r="T35" i="5" s="1"/>
  <c r="U515" i="2"/>
  <c r="R619" i="6" s="1"/>
  <c r="S35" i="5" s="1"/>
  <c r="T515" i="2"/>
  <c r="Q619" i="6" s="1"/>
  <c r="R35" i="5" s="1"/>
  <c r="S515" i="2"/>
  <c r="P619" i="6" s="1"/>
  <c r="Q35" i="5" s="1"/>
  <c r="R515" i="2"/>
  <c r="O619" i="6" s="1"/>
  <c r="P35" i="5" s="1"/>
  <c r="Q515" i="2"/>
  <c r="N619" i="6" s="1"/>
  <c r="O35" i="5" s="1"/>
  <c r="P515" i="2"/>
  <c r="M619" i="6" s="1"/>
  <c r="N35" i="5" s="1"/>
  <c r="O515" i="2"/>
  <c r="L619" i="6" s="1"/>
  <c r="M35" i="5" s="1"/>
  <c r="N515" i="2"/>
  <c r="K619" i="6" s="1"/>
  <c r="L35" i="5" s="1"/>
  <c r="M515" i="2"/>
  <c r="J619" i="6" s="1"/>
  <c r="K35" i="5" s="1"/>
  <c r="L515" i="2"/>
  <c r="I619" i="6" s="1"/>
  <c r="J35" i="5" s="1"/>
  <c r="K515" i="2"/>
  <c r="H619" i="6" s="1"/>
  <c r="I35" i="5" s="1"/>
  <c r="J515" i="2"/>
  <c r="F515" i="2"/>
  <c r="E515" i="2"/>
  <c r="D515" i="2" s="1"/>
  <c r="Y514" i="2"/>
  <c r="V617" i="6" s="1"/>
  <c r="X514" i="2"/>
  <c r="U617" i="6" s="1"/>
  <c r="W514" i="2"/>
  <c r="T617" i="6" s="1"/>
  <c r="V514" i="2"/>
  <c r="S617" i="6" s="1"/>
  <c r="U514" i="2"/>
  <c r="R617" i="6" s="1"/>
  <c r="T514" i="2"/>
  <c r="Q617" i="6" s="1"/>
  <c r="S514" i="2"/>
  <c r="P617" i="6" s="1"/>
  <c r="R514" i="2"/>
  <c r="O617" i="6" s="1"/>
  <c r="Q514" i="2"/>
  <c r="N617" i="6" s="1"/>
  <c r="P514" i="2"/>
  <c r="M617" i="6" s="1"/>
  <c r="O514" i="2"/>
  <c r="L617" i="6" s="1"/>
  <c r="N514" i="2"/>
  <c r="K617" i="6" s="1"/>
  <c r="M514" i="2"/>
  <c r="J617" i="6" s="1"/>
  <c r="L514" i="2"/>
  <c r="I617" i="6" s="1"/>
  <c r="K514" i="2"/>
  <c r="J514" i="2"/>
  <c r="G617" i="6" s="1"/>
  <c r="F514" i="2"/>
  <c r="E514" i="2"/>
  <c r="D514" i="2" s="1"/>
  <c r="Y513" i="2"/>
  <c r="V616" i="6" s="1"/>
  <c r="X513" i="2"/>
  <c r="U616" i="6" s="1"/>
  <c r="W513" i="2"/>
  <c r="T616" i="6" s="1"/>
  <c r="V513" i="2"/>
  <c r="S616" i="6" s="1"/>
  <c r="U513" i="2"/>
  <c r="R616" i="6" s="1"/>
  <c r="T513" i="2"/>
  <c r="Q616" i="6" s="1"/>
  <c r="S513" i="2"/>
  <c r="P616" i="6" s="1"/>
  <c r="R513" i="2"/>
  <c r="O616" i="6" s="1"/>
  <c r="Q513" i="2"/>
  <c r="N616" i="6" s="1"/>
  <c r="P513" i="2"/>
  <c r="M616" i="6" s="1"/>
  <c r="O513" i="2"/>
  <c r="L616" i="6" s="1"/>
  <c r="N513" i="2"/>
  <c r="K616" i="6" s="1"/>
  <c r="M513" i="2"/>
  <c r="J616" i="6" s="1"/>
  <c r="L513" i="2"/>
  <c r="I616" i="6" s="1"/>
  <c r="K513" i="2"/>
  <c r="H616" i="6" s="1"/>
  <c r="J513" i="2"/>
  <c r="I513" i="2"/>
  <c r="F616" i="6" s="1"/>
  <c r="F513" i="2"/>
  <c r="E513" i="2"/>
  <c r="D513" i="2" s="1"/>
  <c r="Y512" i="2"/>
  <c r="V615" i="6" s="1"/>
  <c r="X512" i="2"/>
  <c r="U615" i="6" s="1"/>
  <c r="W512" i="2"/>
  <c r="T615" i="6" s="1"/>
  <c r="V512" i="2"/>
  <c r="S615" i="6" s="1"/>
  <c r="U512" i="2"/>
  <c r="R615" i="6" s="1"/>
  <c r="T512" i="2"/>
  <c r="Q615" i="6" s="1"/>
  <c r="S512" i="2"/>
  <c r="P615" i="6" s="1"/>
  <c r="R512" i="2"/>
  <c r="O615" i="6" s="1"/>
  <c r="Q512" i="2"/>
  <c r="N615" i="6" s="1"/>
  <c r="P512" i="2"/>
  <c r="M615" i="6" s="1"/>
  <c r="O512" i="2"/>
  <c r="L615" i="6" s="1"/>
  <c r="N512" i="2"/>
  <c r="K615" i="6" s="1"/>
  <c r="M512" i="2"/>
  <c r="J615" i="6" s="1"/>
  <c r="L512" i="2"/>
  <c r="I615" i="6" s="1"/>
  <c r="K512" i="2"/>
  <c r="J512" i="2"/>
  <c r="G615" i="6" s="1"/>
  <c r="F512" i="2"/>
  <c r="E512" i="2"/>
  <c r="Y511" i="2"/>
  <c r="V614" i="6" s="1"/>
  <c r="X511" i="2"/>
  <c r="U614" i="6" s="1"/>
  <c r="W511" i="2"/>
  <c r="T614" i="6" s="1"/>
  <c r="V511" i="2"/>
  <c r="S614" i="6" s="1"/>
  <c r="U511" i="2"/>
  <c r="R614" i="6" s="1"/>
  <c r="T511" i="2"/>
  <c r="Q614" i="6" s="1"/>
  <c r="S511" i="2"/>
  <c r="P614" i="6" s="1"/>
  <c r="R511" i="2"/>
  <c r="O614" i="6" s="1"/>
  <c r="Q511" i="2"/>
  <c r="N614" i="6" s="1"/>
  <c r="P511" i="2"/>
  <c r="M614" i="6" s="1"/>
  <c r="O511" i="2"/>
  <c r="L614" i="6" s="1"/>
  <c r="N511" i="2"/>
  <c r="K614" i="6" s="1"/>
  <c r="M511" i="2"/>
  <c r="J614" i="6" s="1"/>
  <c r="L511" i="2"/>
  <c r="I614" i="6" s="1"/>
  <c r="K511" i="2"/>
  <c r="H614" i="6" s="1"/>
  <c r="J511" i="2"/>
  <c r="F511" i="2"/>
  <c r="E511" i="2"/>
  <c r="D511" i="2" s="1"/>
  <c r="Y510" i="2"/>
  <c r="V612" i="6" s="1"/>
  <c r="X510" i="2"/>
  <c r="U612" i="6" s="1"/>
  <c r="W510" i="2"/>
  <c r="T612" i="6" s="1"/>
  <c r="V510" i="2"/>
  <c r="S612" i="6" s="1"/>
  <c r="U510" i="2"/>
  <c r="R612" i="6" s="1"/>
  <c r="T510" i="2"/>
  <c r="Q612" i="6" s="1"/>
  <c r="S510" i="2"/>
  <c r="P612" i="6" s="1"/>
  <c r="R510" i="2"/>
  <c r="O612" i="6" s="1"/>
  <c r="Q510" i="2"/>
  <c r="N612" i="6" s="1"/>
  <c r="P510" i="2"/>
  <c r="M612" i="6" s="1"/>
  <c r="O510" i="2"/>
  <c r="L612" i="6" s="1"/>
  <c r="N510" i="2"/>
  <c r="K612" i="6" s="1"/>
  <c r="M510" i="2"/>
  <c r="J612" i="6" s="1"/>
  <c r="L510" i="2"/>
  <c r="I612" i="6" s="1"/>
  <c r="K510" i="2"/>
  <c r="J510" i="2"/>
  <c r="G612" i="6" s="1"/>
  <c r="F510" i="2"/>
  <c r="E510" i="2"/>
  <c r="D510" i="2"/>
  <c r="Y509" i="2"/>
  <c r="V610" i="6" s="1"/>
  <c r="X509" i="2"/>
  <c r="U610" i="6" s="1"/>
  <c r="W509" i="2"/>
  <c r="T610" i="6" s="1"/>
  <c r="V509" i="2"/>
  <c r="S610" i="6" s="1"/>
  <c r="U509" i="2"/>
  <c r="R610" i="6" s="1"/>
  <c r="T509" i="2"/>
  <c r="Q610" i="6" s="1"/>
  <c r="S509" i="2"/>
  <c r="P610" i="6" s="1"/>
  <c r="R509" i="2"/>
  <c r="O610" i="6" s="1"/>
  <c r="Q509" i="2"/>
  <c r="N610" i="6" s="1"/>
  <c r="P509" i="2"/>
  <c r="M610" i="6" s="1"/>
  <c r="O509" i="2"/>
  <c r="L610" i="6" s="1"/>
  <c r="N509" i="2"/>
  <c r="K610" i="6" s="1"/>
  <c r="M509" i="2"/>
  <c r="J610" i="6" s="1"/>
  <c r="L509" i="2"/>
  <c r="I610" i="6" s="1"/>
  <c r="K509" i="2"/>
  <c r="H610" i="6" s="1"/>
  <c r="J509" i="2"/>
  <c r="F509" i="2"/>
  <c r="E509" i="2"/>
  <c r="D509" i="2" s="1"/>
  <c r="Y508" i="2"/>
  <c r="V609" i="6" s="1"/>
  <c r="X508" i="2"/>
  <c r="U609" i="6" s="1"/>
  <c r="W508" i="2"/>
  <c r="T609" i="6" s="1"/>
  <c r="V508" i="2"/>
  <c r="S609" i="6" s="1"/>
  <c r="U508" i="2"/>
  <c r="R609" i="6" s="1"/>
  <c r="T508" i="2"/>
  <c r="Q609" i="6" s="1"/>
  <c r="S508" i="2"/>
  <c r="P609" i="6" s="1"/>
  <c r="R508" i="2"/>
  <c r="O609" i="6" s="1"/>
  <c r="Q508" i="2"/>
  <c r="N609" i="6" s="1"/>
  <c r="P508" i="2"/>
  <c r="M609" i="6" s="1"/>
  <c r="O508" i="2"/>
  <c r="L609" i="6" s="1"/>
  <c r="N508" i="2"/>
  <c r="K609" i="6" s="1"/>
  <c r="M508" i="2"/>
  <c r="J609" i="6" s="1"/>
  <c r="L508" i="2"/>
  <c r="I609" i="6" s="1"/>
  <c r="K508" i="2"/>
  <c r="J508" i="2"/>
  <c r="G609" i="6" s="1"/>
  <c r="H508" i="2"/>
  <c r="E609" i="6" s="1"/>
  <c r="F508" i="2"/>
  <c r="E508" i="2"/>
  <c r="D508" i="2"/>
  <c r="Y507" i="2"/>
  <c r="V608" i="6" s="1"/>
  <c r="X507" i="2"/>
  <c r="U608" i="6" s="1"/>
  <c r="W507" i="2"/>
  <c r="T608" i="6" s="1"/>
  <c r="V507" i="2"/>
  <c r="S608" i="6" s="1"/>
  <c r="U507" i="2"/>
  <c r="R608" i="6" s="1"/>
  <c r="T507" i="2"/>
  <c r="Q608" i="6" s="1"/>
  <c r="S507" i="2"/>
  <c r="P608" i="6" s="1"/>
  <c r="R507" i="2"/>
  <c r="O608" i="6" s="1"/>
  <c r="Q507" i="2"/>
  <c r="N608" i="6" s="1"/>
  <c r="P507" i="2"/>
  <c r="M608" i="6" s="1"/>
  <c r="O507" i="2"/>
  <c r="L608" i="6" s="1"/>
  <c r="N507" i="2"/>
  <c r="K608" i="6" s="1"/>
  <c r="M507" i="2"/>
  <c r="J608" i="6" s="1"/>
  <c r="L507" i="2"/>
  <c r="I608" i="6" s="1"/>
  <c r="K507" i="2"/>
  <c r="H608" i="6" s="1"/>
  <c r="J507" i="2"/>
  <c r="G608" i="6" s="1"/>
  <c r="I507" i="2"/>
  <c r="F608" i="6" s="1"/>
  <c r="F507" i="2"/>
  <c r="E507" i="2"/>
  <c r="D507" i="2" s="1"/>
  <c r="Y506" i="2"/>
  <c r="V607" i="6" s="1"/>
  <c r="W3" i="5" s="1"/>
  <c r="X506" i="2"/>
  <c r="U607" i="6" s="1"/>
  <c r="V3" i="5" s="1"/>
  <c r="W506" i="2"/>
  <c r="T607" i="6" s="1"/>
  <c r="U3" i="5" s="1"/>
  <c r="V506" i="2"/>
  <c r="S607" i="6" s="1"/>
  <c r="T3" i="5" s="1"/>
  <c r="U506" i="2"/>
  <c r="R607" i="6" s="1"/>
  <c r="S3" i="5" s="1"/>
  <c r="T506" i="2"/>
  <c r="Q607" i="6" s="1"/>
  <c r="R3" i="5" s="1"/>
  <c r="S506" i="2"/>
  <c r="P607" i="6" s="1"/>
  <c r="Q3" i="5" s="1"/>
  <c r="R506" i="2"/>
  <c r="O607" i="6" s="1"/>
  <c r="P3" i="5" s="1"/>
  <c r="Q506" i="2"/>
  <c r="N607" i="6" s="1"/>
  <c r="O3" i="5" s="1"/>
  <c r="P506" i="2"/>
  <c r="M607" i="6" s="1"/>
  <c r="N3" i="5" s="1"/>
  <c r="O506" i="2"/>
  <c r="L607" i="6" s="1"/>
  <c r="M3" i="5" s="1"/>
  <c r="N506" i="2"/>
  <c r="K607" i="6" s="1"/>
  <c r="L3" i="5" s="1"/>
  <c r="M506" i="2"/>
  <c r="J607" i="6" s="1"/>
  <c r="K3" i="5" s="1"/>
  <c r="L506" i="2"/>
  <c r="I607" i="6" s="1"/>
  <c r="J3" i="5" s="1"/>
  <c r="K506" i="2"/>
  <c r="J506" i="2"/>
  <c r="F506" i="2"/>
  <c r="D506" i="2" s="1"/>
  <c r="E506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I505" i="2" s="1"/>
  <c r="J505" i="2"/>
  <c r="H505" i="2"/>
  <c r="F505" i="2"/>
  <c r="E505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I504" i="2" s="1"/>
  <c r="J504" i="2"/>
  <c r="F504" i="2"/>
  <c r="E504" i="2"/>
  <c r="Y503" i="2"/>
  <c r="V605" i="6" s="1"/>
  <c r="X503" i="2"/>
  <c r="U605" i="6" s="1"/>
  <c r="W503" i="2"/>
  <c r="T605" i="6" s="1"/>
  <c r="V503" i="2"/>
  <c r="S605" i="6" s="1"/>
  <c r="U503" i="2"/>
  <c r="R605" i="6" s="1"/>
  <c r="T503" i="2"/>
  <c r="Q605" i="6" s="1"/>
  <c r="S503" i="2"/>
  <c r="P605" i="6" s="1"/>
  <c r="R503" i="2"/>
  <c r="O605" i="6" s="1"/>
  <c r="Q503" i="2"/>
  <c r="N605" i="6" s="1"/>
  <c r="P503" i="2"/>
  <c r="M605" i="6" s="1"/>
  <c r="O503" i="2"/>
  <c r="L605" i="6" s="1"/>
  <c r="N503" i="2"/>
  <c r="K605" i="6" s="1"/>
  <c r="M503" i="2"/>
  <c r="J605" i="6" s="1"/>
  <c r="L503" i="2"/>
  <c r="I605" i="6" s="1"/>
  <c r="K503" i="2"/>
  <c r="H605" i="6" s="1"/>
  <c r="J503" i="2"/>
  <c r="G605" i="6" s="1"/>
  <c r="I503" i="2"/>
  <c r="F605" i="6" s="1"/>
  <c r="F503" i="2"/>
  <c r="E503" i="2"/>
  <c r="D503" i="2" s="1"/>
  <c r="Y502" i="2"/>
  <c r="V604" i="6" s="1"/>
  <c r="X502" i="2"/>
  <c r="U604" i="6" s="1"/>
  <c r="W502" i="2"/>
  <c r="T604" i="6" s="1"/>
  <c r="V502" i="2"/>
  <c r="S604" i="6" s="1"/>
  <c r="U502" i="2"/>
  <c r="R604" i="6" s="1"/>
  <c r="T502" i="2"/>
  <c r="Q604" i="6" s="1"/>
  <c r="S502" i="2"/>
  <c r="P604" i="6" s="1"/>
  <c r="R502" i="2"/>
  <c r="O604" i="6" s="1"/>
  <c r="Q502" i="2"/>
  <c r="N604" i="6" s="1"/>
  <c r="P502" i="2"/>
  <c r="M604" i="6" s="1"/>
  <c r="O502" i="2"/>
  <c r="L604" i="6" s="1"/>
  <c r="N502" i="2"/>
  <c r="K604" i="6" s="1"/>
  <c r="M502" i="2"/>
  <c r="J604" i="6" s="1"/>
  <c r="L502" i="2"/>
  <c r="I604" i="6" s="1"/>
  <c r="K502" i="2"/>
  <c r="J502" i="2"/>
  <c r="F502" i="2"/>
  <c r="D502" i="2" s="1"/>
  <c r="E502" i="2"/>
  <c r="Y501" i="2"/>
  <c r="V603" i="6" s="1"/>
  <c r="X501" i="2"/>
  <c r="U603" i="6" s="1"/>
  <c r="W501" i="2"/>
  <c r="T603" i="6" s="1"/>
  <c r="V501" i="2"/>
  <c r="S603" i="6" s="1"/>
  <c r="U501" i="2"/>
  <c r="R603" i="6" s="1"/>
  <c r="T501" i="2"/>
  <c r="Q603" i="6" s="1"/>
  <c r="S501" i="2"/>
  <c r="P603" i="6" s="1"/>
  <c r="R501" i="2"/>
  <c r="O603" i="6" s="1"/>
  <c r="Q501" i="2"/>
  <c r="N603" i="6" s="1"/>
  <c r="P501" i="2"/>
  <c r="M603" i="6" s="1"/>
  <c r="O501" i="2"/>
  <c r="L603" i="6" s="1"/>
  <c r="N501" i="2"/>
  <c r="K603" i="6" s="1"/>
  <c r="M501" i="2"/>
  <c r="J603" i="6" s="1"/>
  <c r="L501" i="2"/>
  <c r="I603" i="6" s="1"/>
  <c r="K501" i="2"/>
  <c r="H603" i="6" s="1"/>
  <c r="J501" i="2"/>
  <c r="G603" i="6" s="1"/>
  <c r="H501" i="2"/>
  <c r="F501" i="2"/>
  <c r="E501" i="2"/>
  <c r="Y500" i="2"/>
  <c r="V602" i="6" s="1"/>
  <c r="X500" i="2"/>
  <c r="U602" i="6" s="1"/>
  <c r="W500" i="2"/>
  <c r="T602" i="6" s="1"/>
  <c r="V500" i="2"/>
  <c r="S602" i="6" s="1"/>
  <c r="U500" i="2"/>
  <c r="R602" i="6" s="1"/>
  <c r="T500" i="2"/>
  <c r="Q602" i="6" s="1"/>
  <c r="S500" i="2"/>
  <c r="P602" i="6" s="1"/>
  <c r="R500" i="2"/>
  <c r="O602" i="6" s="1"/>
  <c r="Q500" i="2"/>
  <c r="N602" i="6" s="1"/>
  <c r="P500" i="2"/>
  <c r="M602" i="6" s="1"/>
  <c r="O500" i="2"/>
  <c r="L602" i="6" s="1"/>
  <c r="N500" i="2"/>
  <c r="K602" i="6" s="1"/>
  <c r="M500" i="2"/>
  <c r="J602" i="6" s="1"/>
  <c r="L500" i="2"/>
  <c r="I602" i="6" s="1"/>
  <c r="K500" i="2"/>
  <c r="J500" i="2"/>
  <c r="F500" i="2"/>
  <c r="E500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H499" i="2" s="1"/>
  <c r="G499" i="2" s="1"/>
  <c r="I499" i="2"/>
  <c r="F499" i="2"/>
  <c r="E499" i="2"/>
  <c r="D499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I498" i="2" s="1"/>
  <c r="J498" i="2"/>
  <c r="H498" i="2" s="1"/>
  <c r="F498" i="2"/>
  <c r="E498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 s="1"/>
  <c r="F497" i="2"/>
  <c r="E497" i="2"/>
  <c r="D497" i="2" s="1"/>
  <c r="Y496" i="2"/>
  <c r="V601" i="6" s="1"/>
  <c r="X496" i="2"/>
  <c r="U601" i="6" s="1"/>
  <c r="W496" i="2"/>
  <c r="T601" i="6" s="1"/>
  <c r="V496" i="2"/>
  <c r="S601" i="6" s="1"/>
  <c r="U496" i="2"/>
  <c r="R601" i="6" s="1"/>
  <c r="T496" i="2"/>
  <c r="Q601" i="6" s="1"/>
  <c r="S496" i="2"/>
  <c r="P601" i="6" s="1"/>
  <c r="R496" i="2"/>
  <c r="O601" i="6" s="1"/>
  <c r="Q496" i="2"/>
  <c r="N601" i="6" s="1"/>
  <c r="P496" i="2"/>
  <c r="M601" i="6" s="1"/>
  <c r="O496" i="2"/>
  <c r="L601" i="6" s="1"/>
  <c r="N496" i="2"/>
  <c r="K601" i="6" s="1"/>
  <c r="M496" i="2"/>
  <c r="J601" i="6" s="1"/>
  <c r="L496" i="2"/>
  <c r="I601" i="6" s="1"/>
  <c r="K496" i="2"/>
  <c r="J496" i="2"/>
  <c r="F496" i="2"/>
  <c r="E496" i="2"/>
  <c r="Y495" i="2"/>
  <c r="V600" i="6" s="1"/>
  <c r="X495" i="2"/>
  <c r="U600" i="6" s="1"/>
  <c r="W495" i="2"/>
  <c r="T600" i="6" s="1"/>
  <c r="V495" i="2"/>
  <c r="S600" i="6" s="1"/>
  <c r="U495" i="2"/>
  <c r="R600" i="6" s="1"/>
  <c r="T495" i="2"/>
  <c r="Q600" i="6" s="1"/>
  <c r="S495" i="2"/>
  <c r="P600" i="6" s="1"/>
  <c r="R495" i="2"/>
  <c r="O600" i="6" s="1"/>
  <c r="Q495" i="2"/>
  <c r="N600" i="6" s="1"/>
  <c r="P495" i="2"/>
  <c r="M600" i="6" s="1"/>
  <c r="O495" i="2"/>
  <c r="L600" i="6" s="1"/>
  <c r="N495" i="2"/>
  <c r="K600" i="6" s="1"/>
  <c r="M495" i="2"/>
  <c r="J600" i="6" s="1"/>
  <c r="L495" i="2"/>
  <c r="I600" i="6" s="1"/>
  <c r="K495" i="2"/>
  <c r="H600" i="6" s="1"/>
  <c r="J495" i="2"/>
  <c r="G600" i="6" s="1"/>
  <c r="F495" i="2"/>
  <c r="E495" i="2"/>
  <c r="D495" i="2" s="1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I494" i="2" s="1"/>
  <c r="J494" i="2"/>
  <c r="H494" i="2" s="1"/>
  <c r="F494" i="2"/>
  <c r="D494" i="2" s="1"/>
  <c r="E494" i="2"/>
  <c r="Y493" i="2"/>
  <c r="V599" i="6" s="1"/>
  <c r="X493" i="2"/>
  <c r="U599" i="6" s="1"/>
  <c r="W493" i="2"/>
  <c r="T599" i="6" s="1"/>
  <c r="V493" i="2"/>
  <c r="S599" i="6" s="1"/>
  <c r="U493" i="2"/>
  <c r="R599" i="6" s="1"/>
  <c r="T493" i="2"/>
  <c r="Q599" i="6" s="1"/>
  <c r="S493" i="2"/>
  <c r="P599" i="6" s="1"/>
  <c r="R493" i="2"/>
  <c r="O599" i="6" s="1"/>
  <c r="Q493" i="2"/>
  <c r="N599" i="6" s="1"/>
  <c r="P493" i="2"/>
  <c r="M599" i="6" s="1"/>
  <c r="O493" i="2"/>
  <c r="L599" i="6" s="1"/>
  <c r="N493" i="2"/>
  <c r="K599" i="6" s="1"/>
  <c r="M493" i="2"/>
  <c r="J599" i="6" s="1"/>
  <c r="L493" i="2"/>
  <c r="I599" i="6" s="1"/>
  <c r="K493" i="2"/>
  <c r="H599" i="6" s="1"/>
  <c r="J493" i="2"/>
  <c r="I493" i="2"/>
  <c r="F599" i="6" s="1"/>
  <c r="F493" i="2"/>
  <c r="E493" i="2"/>
  <c r="Y492" i="2"/>
  <c r="V597" i="6" s="1"/>
  <c r="X492" i="2"/>
  <c r="U597" i="6" s="1"/>
  <c r="W492" i="2"/>
  <c r="T597" i="6" s="1"/>
  <c r="V492" i="2"/>
  <c r="S597" i="6" s="1"/>
  <c r="U492" i="2"/>
  <c r="R597" i="6" s="1"/>
  <c r="T492" i="2"/>
  <c r="Q597" i="6" s="1"/>
  <c r="S492" i="2"/>
  <c r="P597" i="6" s="1"/>
  <c r="R492" i="2"/>
  <c r="O597" i="6" s="1"/>
  <c r="Q492" i="2"/>
  <c r="N597" i="6" s="1"/>
  <c r="P492" i="2"/>
  <c r="M597" i="6" s="1"/>
  <c r="O492" i="2"/>
  <c r="L597" i="6" s="1"/>
  <c r="N492" i="2"/>
  <c r="K597" i="6" s="1"/>
  <c r="M492" i="2"/>
  <c r="J597" i="6" s="1"/>
  <c r="L492" i="2"/>
  <c r="I597" i="6" s="1"/>
  <c r="K492" i="2"/>
  <c r="J492" i="2"/>
  <c r="G597" i="6" s="1"/>
  <c r="H492" i="2"/>
  <c r="F492" i="2"/>
  <c r="E492" i="2"/>
  <c r="D492" i="2" s="1"/>
  <c r="Y491" i="2"/>
  <c r="V596" i="6" s="1"/>
  <c r="X491" i="2"/>
  <c r="U596" i="6" s="1"/>
  <c r="W491" i="2"/>
  <c r="T596" i="6" s="1"/>
  <c r="V491" i="2"/>
  <c r="S596" i="6" s="1"/>
  <c r="U491" i="2"/>
  <c r="R596" i="6" s="1"/>
  <c r="T491" i="2"/>
  <c r="Q596" i="6" s="1"/>
  <c r="S491" i="2"/>
  <c r="P596" i="6" s="1"/>
  <c r="R491" i="2"/>
  <c r="O596" i="6" s="1"/>
  <c r="Q491" i="2"/>
  <c r="N596" i="6" s="1"/>
  <c r="P491" i="2"/>
  <c r="M596" i="6" s="1"/>
  <c r="O491" i="2"/>
  <c r="L596" i="6" s="1"/>
  <c r="N491" i="2"/>
  <c r="K596" i="6" s="1"/>
  <c r="M491" i="2"/>
  <c r="J596" i="6" s="1"/>
  <c r="L491" i="2"/>
  <c r="I596" i="6" s="1"/>
  <c r="K491" i="2"/>
  <c r="J491" i="2"/>
  <c r="F491" i="2"/>
  <c r="E491" i="2"/>
  <c r="Y490" i="2"/>
  <c r="V595" i="6" s="1"/>
  <c r="X490" i="2"/>
  <c r="U595" i="6" s="1"/>
  <c r="W490" i="2"/>
  <c r="T595" i="6" s="1"/>
  <c r="V490" i="2"/>
  <c r="S595" i="6" s="1"/>
  <c r="U490" i="2"/>
  <c r="R595" i="6" s="1"/>
  <c r="T490" i="2"/>
  <c r="Q595" i="6" s="1"/>
  <c r="S490" i="2"/>
  <c r="P595" i="6" s="1"/>
  <c r="R490" i="2"/>
  <c r="O595" i="6" s="1"/>
  <c r="Q490" i="2"/>
  <c r="N595" i="6" s="1"/>
  <c r="P490" i="2"/>
  <c r="M595" i="6" s="1"/>
  <c r="O490" i="2"/>
  <c r="L595" i="6" s="1"/>
  <c r="N490" i="2"/>
  <c r="K595" i="6" s="1"/>
  <c r="M490" i="2"/>
  <c r="J595" i="6" s="1"/>
  <c r="L490" i="2"/>
  <c r="I595" i="6" s="1"/>
  <c r="K490" i="2"/>
  <c r="J490" i="2"/>
  <c r="F490" i="2"/>
  <c r="E490" i="2"/>
  <c r="Y489" i="2"/>
  <c r="V594" i="6" s="1"/>
  <c r="X489" i="2"/>
  <c r="U594" i="6" s="1"/>
  <c r="W489" i="2"/>
  <c r="T594" i="6" s="1"/>
  <c r="V489" i="2"/>
  <c r="S594" i="6" s="1"/>
  <c r="U489" i="2"/>
  <c r="R594" i="6" s="1"/>
  <c r="T489" i="2"/>
  <c r="Q594" i="6" s="1"/>
  <c r="S489" i="2"/>
  <c r="P594" i="6" s="1"/>
  <c r="R489" i="2"/>
  <c r="O594" i="6" s="1"/>
  <c r="Q489" i="2"/>
  <c r="N594" i="6" s="1"/>
  <c r="P489" i="2"/>
  <c r="M594" i="6" s="1"/>
  <c r="O489" i="2"/>
  <c r="L594" i="6" s="1"/>
  <c r="N489" i="2"/>
  <c r="K594" i="6" s="1"/>
  <c r="M489" i="2"/>
  <c r="J594" i="6" s="1"/>
  <c r="L489" i="2"/>
  <c r="I594" i="6" s="1"/>
  <c r="K489" i="2"/>
  <c r="H594" i="6" s="1"/>
  <c r="J489" i="2"/>
  <c r="G594" i="6" s="1"/>
  <c r="I489" i="2"/>
  <c r="F594" i="6" s="1"/>
  <c r="F489" i="2"/>
  <c r="E489" i="2"/>
  <c r="D489" i="2"/>
  <c r="Y488" i="2"/>
  <c r="V593" i="6" s="1"/>
  <c r="X488" i="2"/>
  <c r="U593" i="6" s="1"/>
  <c r="W488" i="2"/>
  <c r="T593" i="6" s="1"/>
  <c r="V488" i="2"/>
  <c r="S593" i="6" s="1"/>
  <c r="U488" i="2"/>
  <c r="R593" i="6" s="1"/>
  <c r="T488" i="2"/>
  <c r="Q593" i="6" s="1"/>
  <c r="S488" i="2"/>
  <c r="P593" i="6" s="1"/>
  <c r="R488" i="2"/>
  <c r="O593" i="6" s="1"/>
  <c r="Q488" i="2"/>
  <c r="N593" i="6" s="1"/>
  <c r="P488" i="2"/>
  <c r="M593" i="6" s="1"/>
  <c r="O488" i="2"/>
  <c r="L593" i="6" s="1"/>
  <c r="N488" i="2"/>
  <c r="K593" i="6" s="1"/>
  <c r="M488" i="2"/>
  <c r="J593" i="6" s="1"/>
  <c r="L488" i="2"/>
  <c r="I593" i="6" s="1"/>
  <c r="K488" i="2"/>
  <c r="J488" i="2"/>
  <c r="F488" i="2"/>
  <c r="E488" i="2"/>
  <c r="D488" i="2"/>
  <c r="Y487" i="2"/>
  <c r="V592" i="6" s="1"/>
  <c r="X487" i="2"/>
  <c r="U592" i="6" s="1"/>
  <c r="W487" i="2"/>
  <c r="T592" i="6" s="1"/>
  <c r="V487" i="2"/>
  <c r="S592" i="6" s="1"/>
  <c r="U487" i="2"/>
  <c r="R592" i="6" s="1"/>
  <c r="T487" i="2"/>
  <c r="Q592" i="6" s="1"/>
  <c r="S487" i="2"/>
  <c r="P592" i="6" s="1"/>
  <c r="R487" i="2"/>
  <c r="O592" i="6" s="1"/>
  <c r="Q487" i="2"/>
  <c r="N592" i="6" s="1"/>
  <c r="P487" i="2"/>
  <c r="M592" i="6" s="1"/>
  <c r="O487" i="2"/>
  <c r="L592" i="6" s="1"/>
  <c r="N487" i="2"/>
  <c r="K592" i="6" s="1"/>
  <c r="M487" i="2"/>
  <c r="J592" i="6" s="1"/>
  <c r="L487" i="2"/>
  <c r="I592" i="6" s="1"/>
  <c r="K487" i="2"/>
  <c r="H592" i="6" s="1"/>
  <c r="J487" i="2"/>
  <c r="F487" i="2"/>
  <c r="E487" i="2"/>
  <c r="Y486" i="2"/>
  <c r="V591" i="6" s="1"/>
  <c r="X486" i="2"/>
  <c r="U591" i="6" s="1"/>
  <c r="W486" i="2"/>
  <c r="T591" i="6" s="1"/>
  <c r="V486" i="2"/>
  <c r="S591" i="6" s="1"/>
  <c r="U486" i="2"/>
  <c r="R591" i="6" s="1"/>
  <c r="T486" i="2"/>
  <c r="Q591" i="6" s="1"/>
  <c r="S486" i="2"/>
  <c r="P591" i="6" s="1"/>
  <c r="R486" i="2"/>
  <c r="O591" i="6" s="1"/>
  <c r="Q486" i="2"/>
  <c r="N591" i="6" s="1"/>
  <c r="P486" i="2"/>
  <c r="M591" i="6" s="1"/>
  <c r="O486" i="2"/>
  <c r="L591" i="6" s="1"/>
  <c r="N486" i="2"/>
  <c r="K591" i="6" s="1"/>
  <c r="M486" i="2"/>
  <c r="J591" i="6" s="1"/>
  <c r="L486" i="2"/>
  <c r="I591" i="6" s="1"/>
  <c r="K486" i="2"/>
  <c r="J486" i="2"/>
  <c r="F486" i="2"/>
  <c r="D486" i="2" s="1"/>
  <c r="E486" i="2"/>
  <c r="Y485" i="2"/>
  <c r="V590" i="6" s="1"/>
  <c r="X485" i="2"/>
  <c r="U590" i="6" s="1"/>
  <c r="W485" i="2"/>
  <c r="T590" i="6" s="1"/>
  <c r="V485" i="2"/>
  <c r="S590" i="6" s="1"/>
  <c r="U485" i="2"/>
  <c r="R590" i="6" s="1"/>
  <c r="T485" i="2"/>
  <c r="Q590" i="6" s="1"/>
  <c r="S485" i="2"/>
  <c r="P590" i="6" s="1"/>
  <c r="R485" i="2"/>
  <c r="O590" i="6" s="1"/>
  <c r="Q485" i="2"/>
  <c r="N590" i="6" s="1"/>
  <c r="P485" i="2"/>
  <c r="M590" i="6" s="1"/>
  <c r="O485" i="2"/>
  <c r="L590" i="6" s="1"/>
  <c r="N485" i="2"/>
  <c r="K590" i="6" s="1"/>
  <c r="M485" i="2"/>
  <c r="J590" i="6" s="1"/>
  <c r="L485" i="2"/>
  <c r="I590" i="6" s="1"/>
  <c r="K485" i="2"/>
  <c r="J485" i="2"/>
  <c r="G590" i="6" s="1"/>
  <c r="F485" i="2"/>
  <c r="D485" i="2" s="1"/>
  <c r="E485" i="2"/>
  <c r="Y484" i="2"/>
  <c r="V589" i="6" s="1"/>
  <c r="X484" i="2"/>
  <c r="U589" i="6" s="1"/>
  <c r="W484" i="2"/>
  <c r="T589" i="6" s="1"/>
  <c r="V484" i="2"/>
  <c r="S589" i="6" s="1"/>
  <c r="U484" i="2"/>
  <c r="R589" i="6" s="1"/>
  <c r="T484" i="2"/>
  <c r="Q589" i="6" s="1"/>
  <c r="S484" i="2"/>
  <c r="P589" i="6" s="1"/>
  <c r="R484" i="2"/>
  <c r="O589" i="6" s="1"/>
  <c r="Q484" i="2"/>
  <c r="N589" i="6" s="1"/>
  <c r="P484" i="2"/>
  <c r="M589" i="6" s="1"/>
  <c r="O484" i="2"/>
  <c r="L589" i="6" s="1"/>
  <c r="N484" i="2"/>
  <c r="K589" i="6" s="1"/>
  <c r="M484" i="2"/>
  <c r="J589" i="6" s="1"/>
  <c r="L484" i="2"/>
  <c r="I589" i="6" s="1"/>
  <c r="K484" i="2"/>
  <c r="J484" i="2"/>
  <c r="G589" i="6" s="1"/>
  <c r="F484" i="2"/>
  <c r="E484" i="2"/>
  <c r="Y483" i="2"/>
  <c r="V588" i="6" s="1"/>
  <c r="X483" i="2"/>
  <c r="U588" i="6" s="1"/>
  <c r="W483" i="2"/>
  <c r="T588" i="6" s="1"/>
  <c r="V483" i="2"/>
  <c r="S588" i="6" s="1"/>
  <c r="U483" i="2"/>
  <c r="R588" i="6" s="1"/>
  <c r="T483" i="2"/>
  <c r="Q588" i="6" s="1"/>
  <c r="S483" i="2"/>
  <c r="P588" i="6" s="1"/>
  <c r="R483" i="2"/>
  <c r="O588" i="6" s="1"/>
  <c r="Q483" i="2"/>
  <c r="N588" i="6" s="1"/>
  <c r="P483" i="2"/>
  <c r="M588" i="6" s="1"/>
  <c r="O483" i="2"/>
  <c r="L588" i="6" s="1"/>
  <c r="N483" i="2"/>
  <c r="K588" i="6" s="1"/>
  <c r="M483" i="2"/>
  <c r="J588" i="6" s="1"/>
  <c r="L483" i="2"/>
  <c r="I588" i="6" s="1"/>
  <c r="K483" i="2"/>
  <c r="H588" i="6" s="1"/>
  <c r="J483" i="2"/>
  <c r="I483" i="2"/>
  <c r="F588" i="6" s="1"/>
  <c r="F483" i="2"/>
  <c r="E483" i="2"/>
  <c r="D483" i="2" s="1"/>
  <c r="Y482" i="2"/>
  <c r="V587" i="6" s="1"/>
  <c r="X482" i="2"/>
  <c r="U587" i="6" s="1"/>
  <c r="W482" i="2"/>
  <c r="T587" i="6" s="1"/>
  <c r="V482" i="2"/>
  <c r="S587" i="6" s="1"/>
  <c r="U482" i="2"/>
  <c r="R587" i="6" s="1"/>
  <c r="T482" i="2"/>
  <c r="Q587" i="6" s="1"/>
  <c r="S482" i="2"/>
  <c r="P587" i="6" s="1"/>
  <c r="R482" i="2"/>
  <c r="O587" i="6" s="1"/>
  <c r="Q482" i="2"/>
  <c r="N587" i="6" s="1"/>
  <c r="P482" i="2"/>
  <c r="M587" i="6" s="1"/>
  <c r="O482" i="2"/>
  <c r="L587" i="6" s="1"/>
  <c r="N482" i="2"/>
  <c r="K587" i="6" s="1"/>
  <c r="M482" i="2"/>
  <c r="J587" i="6" s="1"/>
  <c r="L482" i="2"/>
  <c r="I587" i="6" s="1"/>
  <c r="K482" i="2"/>
  <c r="J482" i="2"/>
  <c r="F482" i="2"/>
  <c r="E482" i="2"/>
  <c r="Y481" i="2"/>
  <c r="V586" i="6" s="1"/>
  <c r="X481" i="2"/>
  <c r="U586" i="6" s="1"/>
  <c r="W481" i="2"/>
  <c r="T586" i="6" s="1"/>
  <c r="V481" i="2"/>
  <c r="S586" i="6" s="1"/>
  <c r="U481" i="2"/>
  <c r="R586" i="6" s="1"/>
  <c r="T481" i="2"/>
  <c r="Q586" i="6" s="1"/>
  <c r="S481" i="2"/>
  <c r="P586" i="6" s="1"/>
  <c r="R481" i="2"/>
  <c r="O586" i="6" s="1"/>
  <c r="Q481" i="2"/>
  <c r="N586" i="6" s="1"/>
  <c r="P481" i="2"/>
  <c r="M586" i="6" s="1"/>
  <c r="O481" i="2"/>
  <c r="L586" i="6" s="1"/>
  <c r="N481" i="2"/>
  <c r="K586" i="6" s="1"/>
  <c r="M481" i="2"/>
  <c r="J586" i="6" s="1"/>
  <c r="L481" i="2"/>
  <c r="I586" i="6" s="1"/>
  <c r="K481" i="2"/>
  <c r="H586" i="6" s="1"/>
  <c r="J481" i="2"/>
  <c r="G586" i="6" s="1"/>
  <c r="I481" i="2"/>
  <c r="F586" i="6" s="1"/>
  <c r="H481" i="2"/>
  <c r="F481" i="2"/>
  <c r="E481" i="2"/>
  <c r="D481" i="2"/>
  <c r="Y480" i="2"/>
  <c r="V585" i="6" s="1"/>
  <c r="X480" i="2"/>
  <c r="U585" i="6" s="1"/>
  <c r="W480" i="2"/>
  <c r="T585" i="6" s="1"/>
  <c r="V480" i="2"/>
  <c r="S585" i="6" s="1"/>
  <c r="U480" i="2"/>
  <c r="R585" i="6" s="1"/>
  <c r="T480" i="2"/>
  <c r="Q585" i="6" s="1"/>
  <c r="S480" i="2"/>
  <c r="P585" i="6" s="1"/>
  <c r="R480" i="2"/>
  <c r="O585" i="6" s="1"/>
  <c r="Q480" i="2"/>
  <c r="N585" i="6" s="1"/>
  <c r="P480" i="2"/>
  <c r="M585" i="6" s="1"/>
  <c r="O480" i="2"/>
  <c r="L585" i="6" s="1"/>
  <c r="N480" i="2"/>
  <c r="K585" i="6" s="1"/>
  <c r="M480" i="2"/>
  <c r="J585" i="6" s="1"/>
  <c r="L480" i="2"/>
  <c r="I585" i="6" s="1"/>
  <c r="K480" i="2"/>
  <c r="J480" i="2"/>
  <c r="F480" i="2"/>
  <c r="E480" i="2"/>
  <c r="D480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H479" i="2" s="1"/>
  <c r="G479" i="2" s="1"/>
  <c r="I479" i="2"/>
  <c r="F479" i="2"/>
  <c r="E479" i="2"/>
  <c r="Y478" i="2"/>
  <c r="V584" i="6" s="1"/>
  <c r="X478" i="2"/>
  <c r="U584" i="6" s="1"/>
  <c r="W478" i="2"/>
  <c r="T584" i="6" s="1"/>
  <c r="V478" i="2"/>
  <c r="S584" i="6" s="1"/>
  <c r="U478" i="2"/>
  <c r="R584" i="6" s="1"/>
  <c r="T478" i="2"/>
  <c r="Q584" i="6" s="1"/>
  <c r="S478" i="2"/>
  <c r="P584" i="6" s="1"/>
  <c r="R478" i="2"/>
  <c r="O584" i="6" s="1"/>
  <c r="Q478" i="2"/>
  <c r="N584" i="6" s="1"/>
  <c r="P478" i="2"/>
  <c r="M584" i="6" s="1"/>
  <c r="O478" i="2"/>
  <c r="L584" i="6" s="1"/>
  <c r="N478" i="2"/>
  <c r="K584" i="6" s="1"/>
  <c r="M478" i="2"/>
  <c r="J584" i="6" s="1"/>
  <c r="L478" i="2"/>
  <c r="I584" i="6" s="1"/>
  <c r="K478" i="2"/>
  <c r="J478" i="2"/>
  <c r="F478" i="2"/>
  <c r="D478" i="2" s="1"/>
  <c r="E478" i="2"/>
  <c r="Y477" i="2"/>
  <c r="V582" i="6" s="1"/>
  <c r="W58" i="5" s="1"/>
  <c r="X477" i="2"/>
  <c r="U582" i="6" s="1"/>
  <c r="V58" i="5" s="1"/>
  <c r="W477" i="2"/>
  <c r="T582" i="6" s="1"/>
  <c r="U58" i="5" s="1"/>
  <c r="V477" i="2"/>
  <c r="S582" i="6" s="1"/>
  <c r="T58" i="5" s="1"/>
  <c r="U477" i="2"/>
  <c r="R582" i="6" s="1"/>
  <c r="S58" i="5" s="1"/>
  <c r="T477" i="2"/>
  <c r="Q582" i="6" s="1"/>
  <c r="R58" i="5" s="1"/>
  <c r="S477" i="2"/>
  <c r="P582" i="6" s="1"/>
  <c r="Q58" i="5" s="1"/>
  <c r="R477" i="2"/>
  <c r="O582" i="6" s="1"/>
  <c r="P58" i="5" s="1"/>
  <c r="Q477" i="2"/>
  <c r="N582" i="6" s="1"/>
  <c r="O58" i="5" s="1"/>
  <c r="P477" i="2"/>
  <c r="M582" i="6" s="1"/>
  <c r="N58" i="5" s="1"/>
  <c r="O477" i="2"/>
  <c r="L582" i="6" s="1"/>
  <c r="M58" i="5" s="1"/>
  <c r="N477" i="2"/>
  <c r="K582" i="6" s="1"/>
  <c r="L58" i="5" s="1"/>
  <c r="M477" i="2"/>
  <c r="J582" i="6" s="1"/>
  <c r="K58" i="5" s="1"/>
  <c r="L477" i="2"/>
  <c r="I582" i="6" s="1"/>
  <c r="J58" i="5" s="1"/>
  <c r="K477" i="2"/>
  <c r="J477" i="2"/>
  <c r="G582" i="6" s="1"/>
  <c r="H58" i="5" s="1"/>
  <c r="F477" i="2"/>
  <c r="D477" i="2" s="1"/>
  <c r="E477" i="2"/>
  <c r="Y476" i="2"/>
  <c r="V581" i="6" s="1"/>
  <c r="X476" i="2"/>
  <c r="U581" i="6" s="1"/>
  <c r="W476" i="2"/>
  <c r="T581" i="6" s="1"/>
  <c r="V476" i="2"/>
  <c r="S581" i="6" s="1"/>
  <c r="U476" i="2"/>
  <c r="R581" i="6" s="1"/>
  <c r="T476" i="2"/>
  <c r="Q581" i="6" s="1"/>
  <c r="S476" i="2"/>
  <c r="P581" i="6" s="1"/>
  <c r="R476" i="2"/>
  <c r="O581" i="6" s="1"/>
  <c r="Q476" i="2"/>
  <c r="N581" i="6" s="1"/>
  <c r="P476" i="2"/>
  <c r="M581" i="6" s="1"/>
  <c r="O476" i="2"/>
  <c r="L581" i="6" s="1"/>
  <c r="N476" i="2"/>
  <c r="K581" i="6" s="1"/>
  <c r="M476" i="2"/>
  <c r="J581" i="6" s="1"/>
  <c r="L476" i="2"/>
  <c r="I581" i="6" s="1"/>
  <c r="K476" i="2"/>
  <c r="J476" i="2"/>
  <c r="G581" i="6" s="1"/>
  <c r="F476" i="2"/>
  <c r="E476" i="2"/>
  <c r="Y475" i="2"/>
  <c r="V580" i="6" s="1"/>
  <c r="X475" i="2"/>
  <c r="U580" i="6" s="1"/>
  <c r="W475" i="2"/>
  <c r="T580" i="6" s="1"/>
  <c r="V475" i="2"/>
  <c r="S580" i="6" s="1"/>
  <c r="U475" i="2"/>
  <c r="R580" i="6" s="1"/>
  <c r="T475" i="2"/>
  <c r="Q580" i="6" s="1"/>
  <c r="S475" i="2"/>
  <c r="P580" i="6" s="1"/>
  <c r="R475" i="2"/>
  <c r="O580" i="6" s="1"/>
  <c r="Q475" i="2"/>
  <c r="N580" i="6" s="1"/>
  <c r="P475" i="2"/>
  <c r="M580" i="6" s="1"/>
  <c r="O475" i="2"/>
  <c r="L580" i="6" s="1"/>
  <c r="N475" i="2"/>
  <c r="K580" i="6" s="1"/>
  <c r="M475" i="2"/>
  <c r="J580" i="6" s="1"/>
  <c r="L475" i="2"/>
  <c r="I580" i="6" s="1"/>
  <c r="K475" i="2"/>
  <c r="H580" i="6" s="1"/>
  <c r="J475" i="2"/>
  <c r="I475" i="2"/>
  <c r="F580" i="6" s="1"/>
  <c r="F475" i="2"/>
  <c r="E475" i="2"/>
  <c r="D475" i="2" s="1"/>
  <c r="Y474" i="2"/>
  <c r="V578" i="6" s="1"/>
  <c r="X474" i="2"/>
  <c r="U578" i="6" s="1"/>
  <c r="W474" i="2"/>
  <c r="T578" i="6" s="1"/>
  <c r="V474" i="2"/>
  <c r="S578" i="6" s="1"/>
  <c r="U474" i="2"/>
  <c r="R578" i="6" s="1"/>
  <c r="T474" i="2"/>
  <c r="Q578" i="6" s="1"/>
  <c r="S474" i="2"/>
  <c r="P578" i="6" s="1"/>
  <c r="R474" i="2"/>
  <c r="O578" i="6" s="1"/>
  <c r="Q474" i="2"/>
  <c r="N578" i="6" s="1"/>
  <c r="P474" i="2"/>
  <c r="M578" i="6" s="1"/>
  <c r="O474" i="2"/>
  <c r="L578" i="6" s="1"/>
  <c r="N474" i="2"/>
  <c r="K578" i="6" s="1"/>
  <c r="M474" i="2"/>
  <c r="J578" i="6" s="1"/>
  <c r="L474" i="2"/>
  <c r="I578" i="6" s="1"/>
  <c r="K474" i="2"/>
  <c r="J474" i="2"/>
  <c r="F474" i="2"/>
  <c r="E474" i="2"/>
  <c r="Y473" i="2"/>
  <c r="V576" i="6" s="1"/>
  <c r="X473" i="2"/>
  <c r="U576" i="6" s="1"/>
  <c r="W473" i="2"/>
  <c r="T576" i="6" s="1"/>
  <c r="V473" i="2"/>
  <c r="S576" i="6" s="1"/>
  <c r="U473" i="2"/>
  <c r="R576" i="6" s="1"/>
  <c r="T473" i="2"/>
  <c r="Q576" i="6" s="1"/>
  <c r="S473" i="2"/>
  <c r="P576" i="6" s="1"/>
  <c r="R473" i="2"/>
  <c r="O576" i="6" s="1"/>
  <c r="Q473" i="2"/>
  <c r="N576" i="6" s="1"/>
  <c r="P473" i="2"/>
  <c r="M576" i="6" s="1"/>
  <c r="O473" i="2"/>
  <c r="L576" i="6" s="1"/>
  <c r="N473" i="2"/>
  <c r="K576" i="6" s="1"/>
  <c r="M473" i="2"/>
  <c r="J576" i="6" s="1"/>
  <c r="L473" i="2"/>
  <c r="I576" i="6" s="1"/>
  <c r="K473" i="2"/>
  <c r="H576" i="6" s="1"/>
  <c r="J473" i="2"/>
  <c r="G576" i="6" s="1"/>
  <c r="I473" i="2"/>
  <c r="F576" i="6" s="1"/>
  <c r="H473" i="2"/>
  <c r="F473" i="2"/>
  <c r="E473" i="2"/>
  <c r="D473" i="2" s="1"/>
  <c r="Y472" i="2"/>
  <c r="V575" i="6" s="1"/>
  <c r="X472" i="2"/>
  <c r="U575" i="6" s="1"/>
  <c r="W472" i="2"/>
  <c r="T575" i="6" s="1"/>
  <c r="V472" i="2"/>
  <c r="S575" i="6" s="1"/>
  <c r="U472" i="2"/>
  <c r="R575" i="6" s="1"/>
  <c r="T472" i="2"/>
  <c r="Q575" i="6" s="1"/>
  <c r="S472" i="2"/>
  <c r="P575" i="6" s="1"/>
  <c r="R472" i="2"/>
  <c r="O575" i="6" s="1"/>
  <c r="Q472" i="2"/>
  <c r="N575" i="6" s="1"/>
  <c r="P472" i="2"/>
  <c r="M575" i="6" s="1"/>
  <c r="O472" i="2"/>
  <c r="L575" i="6" s="1"/>
  <c r="N472" i="2"/>
  <c r="K575" i="6" s="1"/>
  <c r="M472" i="2"/>
  <c r="J575" i="6" s="1"/>
  <c r="L472" i="2"/>
  <c r="I575" i="6" s="1"/>
  <c r="K472" i="2"/>
  <c r="J472" i="2"/>
  <c r="F472" i="2"/>
  <c r="D472" i="2" s="1"/>
  <c r="E472" i="2"/>
  <c r="Y471" i="2"/>
  <c r="V574" i="6" s="1"/>
  <c r="W57" i="5" s="1"/>
  <c r="X471" i="2"/>
  <c r="U574" i="6" s="1"/>
  <c r="V57" i="5" s="1"/>
  <c r="W471" i="2"/>
  <c r="T574" i="6" s="1"/>
  <c r="U57" i="5" s="1"/>
  <c r="V471" i="2"/>
  <c r="S574" i="6" s="1"/>
  <c r="T57" i="5" s="1"/>
  <c r="U471" i="2"/>
  <c r="R574" i="6" s="1"/>
  <c r="S57" i="5" s="1"/>
  <c r="T471" i="2"/>
  <c r="Q574" i="6" s="1"/>
  <c r="R57" i="5" s="1"/>
  <c r="S471" i="2"/>
  <c r="P574" i="6" s="1"/>
  <c r="Q57" i="5" s="1"/>
  <c r="R471" i="2"/>
  <c r="O574" i="6" s="1"/>
  <c r="P57" i="5" s="1"/>
  <c r="Q471" i="2"/>
  <c r="N574" i="6" s="1"/>
  <c r="O57" i="5" s="1"/>
  <c r="P471" i="2"/>
  <c r="M574" i="6" s="1"/>
  <c r="N57" i="5" s="1"/>
  <c r="O471" i="2"/>
  <c r="L574" i="6" s="1"/>
  <c r="M57" i="5" s="1"/>
  <c r="N471" i="2"/>
  <c r="K574" i="6" s="1"/>
  <c r="L57" i="5" s="1"/>
  <c r="M471" i="2"/>
  <c r="J574" i="6" s="1"/>
  <c r="K57" i="5" s="1"/>
  <c r="L471" i="2"/>
  <c r="I574" i="6" s="1"/>
  <c r="J57" i="5" s="1"/>
  <c r="K471" i="2"/>
  <c r="J471" i="2"/>
  <c r="G574" i="6" s="1"/>
  <c r="H57" i="5" s="1"/>
  <c r="H471" i="2"/>
  <c r="F471" i="2"/>
  <c r="E471" i="2"/>
  <c r="D471" i="2" s="1"/>
  <c r="Y470" i="2"/>
  <c r="V573" i="6" s="1"/>
  <c r="X470" i="2"/>
  <c r="U573" i="6" s="1"/>
  <c r="W470" i="2"/>
  <c r="T573" i="6" s="1"/>
  <c r="V470" i="2"/>
  <c r="S573" i="6" s="1"/>
  <c r="U470" i="2"/>
  <c r="R573" i="6" s="1"/>
  <c r="T470" i="2"/>
  <c r="Q573" i="6" s="1"/>
  <c r="S470" i="2"/>
  <c r="P573" i="6" s="1"/>
  <c r="R470" i="2"/>
  <c r="O573" i="6" s="1"/>
  <c r="Q470" i="2"/>
  <c r="N573" i="6" s="1"/>
  <c r="P470" i="2"/>
  <c r="M573" i="6" s="1"/>
  <c r="O470" i="2"/>
  <c r="L573" i="6" s="1"/>
  <c r="N470" i="2"/>
  <c r="K573" i="6" s="1"/>
  <c r="M470" i="2"/>
  <c r="J573" i="6" s="1"/>
  <c r="L470" i="2"/>
  <c r="I573" i="6" s="1"/>
  <c r="K470" i="2"/>
  <c r="J470" i="2"/>
  <c r="F470" i="2"/>
  <c r="E470" i="2"/>
  <c r="Y469" i="2"/>
  <c r="V571" i="6" s="1"/>
  <c r="X469" i="2"/>
  <c r="U571" i="6" s="1"/>
  <c r="W469" i="2"/>
  <c r="T571" i="6" s="1"/>
  <c r="V469" i="2"/>
  <c r="S571" i="6" s="1"/>
  <c r="U469" i="2"/>
  <c r="R571" i="6" s="1"/>
  <c r="T469" i="2"/>
  <c r="Q571" i="6" s="1"/>
  <c r="S469" i="2"/>
  <c r="P571" i="6" s="1"/>
  <c r="R469" i="2"/>
  <c r="O571" i="6" s="1"/>
  <c r="Q469" i="2"/>
  <c r="N571" i="6" s="1"/>
  <c r="P469" i="2"/>
  <c r="M571" i="6" s="1"/>
  <c r="O469" i="2"/>
  <c r="L571" i="6" s="1"/>
  <c r="N469" i="2"/>
  <c r="K571" i="6" s="1"/>
  <c r="M469" i="2"/>
  <c r="J571" i="6" s="1"/>
  <c r="L469" i="2"/>
  <c r="I571" i="6" s="1"/>
  <c r="K469" i="2"/>
  <c r="H571" i="6" s="1"/>
  <c r="J469" i="2"/>
  <c r="F469" i="2"/>
  <c r="E469" i="2"/>
  <c r="D469" i="2" s="1"/>
  <c r="Y468" i="2"/>
  <c r="V569" i="6" s="1"/>
  <c r="X468" i="2"/>
  <c r="U569" i="6" s="1"/>
  <c r="W468" i="2"/>
  <c r="T569" i="6" s="1"/>
  <c r="V468" i="2"/>
  <c r="S569" i="6" s="1"/>
  <c r="U468" i="2"/>
  <c r="R569" i="6" s="1"/>
  <c r="T468" i="2"/>
  <c r="Q569" i="6" s="1"/>
  <c r="S468" i="2"/>
  <c r="P569" i="6" s="1"/>
  <c r="R468" i="2"/>
  <c r="O569" i="6" s="1"/>
  <c r="Q468" i="2"/>
  <c r="N569" i="6" s="1"/>
  <c r="P468" i="2"/>
  <c r="M569" i="6" s="1"/>
  <c r="O468" i="2"/>
  <c r="L569" i="6" s="1"/>
  <c r="N468" i="2"/>
  <c r="K569" i="6" s="1"/>
  <c r="M468" i="2"/>
  <c r="J569" i="6" s="1"/>
  <c r="L468" i="2"/>
  <c r="I569" i="6" s="1"/>
  <c r="K468" i="2"/>
  <c r="J468" i="2"/>
  <c r="F468" i="2"/>
  <c r="D468" i="2" s="1"/>
  <c r="E468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 s="1"/>
  <c r="F467" i="2"/>
  <c r="E467" i="2"/>
  <c r="Y466" i="2"/>
  <c r="V568" i="6" s="1"/>
  <c r="W12" i="5" s="1"/>
  <c r="X466" i="2"/>
  <c r="U568" i="6" s="1"/>
  <c r="V12" i="5" s="1"/>
  <c r="W466" i="2"/>
  <c r="T568" i="6" s="1"/>
  <c r="U12" i="5" s="1"/>
  <c r="V466" i="2"/>
  <c r="S568" i="6" s="1"/>
  <c r="T12" i="5" s="1"/>
  <c r="U466" i="2"/>
  <c r="R568" i="6" s="1"/>
  <c r="S12" i="5" s="1"/>
  <c r="T466" i="2"/>
  <c r="Q568" i="6" s="1"/>
  <c r="R12" i="5" s="1"/>
  <c r="S466" i="2"/>
  <c r="P568" i="6" s="1"/>
  <c r="Q12" i="5" s="1"/>
  <c r="R466" i="2"/>
  <c r="O568" i="6" s="1"/>
  <c r="P12" i="5" s="1"/>
  <c r="Q466" i="2"/>
  <c r="N568" i="6" s="1"/>
  <c r="O12" i="5" s="1"/>
  <c r="P466" i="2"/>
  <c r="M568" i="6" s="1"/>
  <c r="N12" i="5" s="1"/>
  <c r="O466" i="2"/>
  <c r="L568" i="6" s="1"/>
  <c r="M12" i="5" s="1"/>
  <c r="N466" i="2"/>
  <c r="K568" i="6" s="1"/>
  <c r="L12" i="5" s="1"/>
  <c r="M466" i="2"/>
  <c r="J568" i="6" s="1"/>
  <c r="K12" i="5" s="1"/>
  <c r="L466" i="2"/>
  <c r="I568" i="6" s="1"/>
  <c r="J12" i="5" s="1"/>
  <c r="K466" i="2"/>
  <c r="J466" i="2"/>
  <c r="F466" i="2"/>
  <c r="E466" i="2"/>
  <c r="Y465" i="2"/>
  <c r="V567" i="6" s="1"/>
  <c r="X465" i="2"/>
  <c r="U567" i="6" s="1"/>
  <c r="W465" i="2"/>
  <c r="T567" i="6" s="1"/>
  <c r="V465" i="2"/>
  <c r="S567" i="6" s="1"/>
  <c r="U465" i="2"/>
  <c r="R567" i="6" s="1"/>
  <c r="T465" i="2"/>
  <c r="Q567" i="6" s="1"/>
  <c r="S465" i="2"/>
  <c r="P567" i="6" s="1"/>
  <c r="R465" i="2"/>
  <c r="O567" i="6" s="1"/>
  <c r="Q465" i="2"/>
  <c r="N567" i="6" s="1"/>
  <c r="P465" i="2"/>
  <c r="M567" i="6" s="1"/>
  <c r="O465" i="2"/>
  <c r="L567" i="6" s="1"/>
  <c r="N465" i="2"/>
  <c r="K567" i="6" s="1"/>
  <c r="M465" i="2"/>
  <c r="J567" i="6" s="1"/>
  <c r="L465" i="2"/>
  <c r="I567" i="6" s="1"/>
  <c r="K465" i="2"/>
  <c r="H567" i="6" s="1"/>
  <c r="J465" i="2"/>
  <c r="F465" i="2"/>
  <c r="E465" i="2"/>
  <c r="D465" i="2" s="1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I464" i="2" s="1"/>
  <c r="J464" i="2"/>
  <c r="H464" i="2" s="1"/>
  <c r="G464" i="2" s="1"/>
  <c r="F464" i="2"/>
  <c r="D464" i="2" s="1"/>
  <c r="E464" i="2"/>
  <c r="Y463" i="2"/>
  <c r="V566" i="6" s="1"/>
  <c r="X463" i="2"/>
  <c r="U566" i="6" s="1"/>
  <c r="W463" i="2"/>
  <c r="T566" i="6" s="1"/>
  <c r="V463" i="2"/>
  <c r="S566" i="6" s="1"/>
  <c r="U463" i="2"/>
  <c r="R566" i="6" s="1"/>
  <c r="T463" i="2"/>
  <c r="Q566" i="6" s="1"/>
  <c r="S463" i="2"/>
  <c r="P566" i="6" s="1"/>
  <c r="R463" i="2"/>
  <c r="O566" i="6" s="1"/>
  <c r="Q463" i="2"/>
  <c r="N566" i="6" s="1"/>
  <c r="P463" i="2"/>
  <c r="M566" i="6" s="1"/>
  <c r="O463" i="2"/>
  <c r="L566" i="6" s="1"/>
  <c r="N463" i="2"/>
  <c r="K566" i="6" s="1"/>
  <c r="M463" i="2"/>
  <c r="J566" i="6" s="1"/>
  <c r="L463" i="2"/>
  <c r="I566" i="6" s="1"/>
  <c r="K463" i="2"/>
  <c r="H566" i="6" s="1"/>
  <c r="J463" i="2"/>
  <c r="G566" i="6" s="1"/>
  <c r="I463" i="2"/>
  <c r="F566" i="6" s="1"/>
  <c r="H463" i="2"/>
  <c r="F463" i="2"/>
  <c r="E463" i="2"/>
  <c r="Y462" i="2"/>
  <c r="V565" i="6" s="1"/>
  <c r="X462" i="2"/>
  <c r="U565" i="6" s="1"/>
  <c r="W462" i="2"/>
  <c r="T565" i="6" s="1"/>
  <c r="V462" i="2"/>
  <c r="S565" i="6" s="1"/>
  <c r="U462" i="2"/>
  <c r="R565" i="6" s="1"/>
  <c r="T462" i="2"/>
  <c r="Q565" i="6" s="1"/>
  <c r="S462" i="2"/>
  <c r="P565" i="6" s="1"/>
  <c r="R462" i="2"/>
  <c r="O565" i="6" s="1"/>
  <c r="Q462" i="2"/>
  <c r="N565" i="6" s="1"/>
  <c r="P462" i="2"/>
  <c r="M565" i="6" s="1"/>
  <c r="O462" i="2"/>
  <c r="L565" i="6" s="1"/>
  <c r="N462" i="2"/>
  <c r="K565" i="6" s="1"/>
  <c r="M462" i="2"/>
  <c r="J565" i="6" s="1"/>
  <c r="L462" i="2"/>
  <c r="I565" i="6" s="1"/>
  <c r="K462" i="2"/>
  <c r="J462" i="2"/>
  <c r="F462" i="2"/>
  <c r="E462" i="2"/>
  <c r="Y461" i="2"/>
  <c r="V564" i="6" s="1"/>
  <c r="X461" i="2"/>
  <c r="U564" i="6" s="1"/>
  <c r="W461" i="2"/>
  <c r="T564" i="6" s="1"/>
  <c r="V461" i="2"/>
  <c r="S564" i="6" s="1"/>
  <c r="U461" i="2"/>
  <c r="R564" i="6" s="1"/>
  <c r="T461" i="2"/>
  <c r="Q564" i="6" s="1"/>
  <c r="S461" i="2"/>
  <c r="P564" i="6" s="1"/>
  <c r="R461" i="2"/>
  <c r="O564" i="6" s="1"/>
  <c r="Q461" i="2"/>
  <c r="N564" i="6" s="1"/>
  <c r="P461" i="2"/>
  <c r="M564" i="6" s="1"/>
  <c r="O461" i="2"/>
  <c r="L564" i="6" s="1"/>
  <c r="N461" i="2"/>
  <c r="K564" i="6" s="1"/>
  <c r="M461" i="2"/>
  <c r="J564" i="6" s="1"/>
  <c r="L461" i="2"/>
  <c r="I564" i="6" s="1"/>
  <c r="K461" i="2"/>
  <c r="H564" i="6" s="1"/>
  <c r="J461" i="2"/>
  <c r="F461" i="2"/>
  <c r="E461" i="2"/>
  <c r="D461" i="2" s="1"/>
  <c r="Y460" i="2"/>
  <c r="V562" i="6" s="1"/>
  <c r="X460" i="2"/>
  <c r="U562" i="6" s="1"/>
  <c r="W460" i="2"/>
  <c r="T562" i="6" s="1"/>
  <c r="V460" i="2"/>
  <c r="S562" i="6" s="1"/>
  <c r="U460" i="2"/>
  <c r="R562" i="6" s="1"/>
  <c r="T460" i="2"/>
  <c r="Q562" i="6" s="1"/>
  <c r="S460" i="2"/>
  <c r="P562" i="6" s="1"/>
  <c r="R460" i="2"/>
  <c r="O562" i="6" s="1"/>
  <c r="Q460" i="2"/>
  <c r="N562" i="6" s="1"/>
  <c r="P460" i="2"/>
  <c r="M562" i="6" s="1"/>
  <c r="O460" i="2"/>
  <c r="L562" i="6" s="1"/>
  <c r="N460" i="2"/>
  <c r="K562" i="6" s="1"/>
  <c r="M460" i="2"/>
  <c r="J562" i="6" s="1"/>
  <c r="L460" i="2"/>
  <c r="I562" i="6" s="1"/>
  <c r="K460" i="2"/>
  <c r="J460" i="2"/>
  <c r="F460" i="2"/>
  <c r="E460" i="2"/>
  <c r="Y459" i="2"/>
  <c r="V561" i="6" s="1"/>
  <c r="X459" i="2"/>
  <c r="U561" i="6" s="1"/>
  <c r="W459" i="2"/>
  <c r="T561" i="6" s="1"/>
  <c r="V459" i="2"/>
  <c r="S561" i="6" s="1"/>
  <c r="U459" i="2"/>
  <c r="R561" i="6" s="1"/>
  <c r="T459" i="2"/>
  <c r="Q561" i="6" s="1"/>
  <c r="S459" i="2"/>
  <c r="P561" i="6" s="1"/>
  <c r="R459" i="2"/>
  <c r="O561" i="6" s="1"/>
  <c r="Q459" i="2"/>
  <c r="N561" i="6" s="1"/>
  <c r="P459" i="2"/>
  <c r="M561" i="6" s="1"/>
  <c r="O459" i="2"/>
  <c r="L561" i="6" s="1"/>
  <c r="N459" i="2"/>
  <c r="K561" i="6" s="1"/>
  <c r="M459" i="2"/>
  <c r="J561" i="6" s="1"/>
  <c r="L459" i="2"/>
  <c r="I561" i="6" s="1"/>
  <c r="K459" i="2"/>
  <c r="H561" i="6" s="1"/>
  <c r="J459" i="2"/>
  <c r="G561" i="6" s="1"/>
  <c r="I459" i="2"/>
  <c r="F561" i="6" s="1"/>
  <c r="F459" i="2"/>
  <c r="E459" i="2"/>
  <c r="D459" i="2" s="1"/>
  <c r="Y458" i="2"/>
  <c r="V560" i="6" s="1"/>
  <c r="X458" i="2"/>
  <c r="U560" i="6" s="1"/>
  <c r="W458" i="2"/>
  <c r="T560" i="6" s="1"/>
  <c r="V458" i="2"/>
  <c r="S560" i="6" s="1"/>
  <c r="U458" i="2"/>
  <c r="R560" i="6" s="1"/>
  <c r="T458" i="2"/>
  <c r="Q560" i="6" s="1"/>
  <c r="S458" i="2"/>
  <c r="P560" i="6" s="1"/>
  <c r="R458" i="2"/>
  <c r="O560" i="6" s="1"/>
  <c r="Q458" i="2"/>
  <c r="N560" i="6" s="1"/>
  <c r="P458" i="2"/>
  <c r="M560" i="6" s="1"/>
  <c r="O458" i="2"/>
  <c r="L560" i="6" s="1"/>
  <c r="N458" i="2"/>
  <c r="K560" i="6" s="1"/>
  <c r="M458" i="2"/>
  <c r="J560" i="6" s="1"/>
  <c r="L458" i="2"/>
  <c r="I560" i="6" s="1"/>
  <c r="K458" i="2"/>
  <c r="J458" i="2"/>
  <c r="F458" i="2"/>
  <c r="D458" i="2" s="1"/>
  <c r="E458" i="2"/>
  <c r="Y457" i="2"/>
  <c r="V559" i="6" s="1"/>
  <c r="X457" i="2"/>
  <c r="U559" i="6" s="1"/>
  <c r="W457" i="2"/>
  <c r="T559" i="6" s="1"/>
  <c r="V457" i="2"/>
  <c r="S559" i="6" s="1"/>
  <c r="U457" i="2"/>
  <c r="R559" i="6" s="1"/>
  <c r="T457" i="2"/>
  <c r="Q559" i="6" s="1"/>
  <c r="S457" i="2"/>
  <c r="P559" i="6" s="1"/>
  <c r="R457" i="2"/>
  <c r="O559" i="6" s="1"/>
  <c r="Q457" i="2"/>
  <c r="N559" i="6" s="1"/>
  <c r="P457" i="2"/>
  <c r="M559" i="6" s="1"/>
  <c r="O457" i="2"/>
  <c r="L559" i="6" s="1"/>
  <c r="N457" i="2"/>
  <c r="K559" i="6" s="1"/>
  <c r="M457" i="2"/>
  <c r="J559" i="6" s="1"/>
  <c r="L457" i="2"/>
  <c r="I559" i="6" s="1"/>
  <c r="K457" i="2"/>
  <c r="J457" i="2"/>
  <c r="G559" i="6" s="1"/>
  <c r="H457" i="2"/>
  <c r="F457" i="2"/>
  <c r="E457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I456" i="2" s="1"/>
  <c r="J456" i="2"/>
  <c r="H456" i="2" s="1"/>
  <c r="G456" i="2" s="1"/>
  <c r="F456" i="2"/>
  <c r="E456" i="2"/>
  <c r="Y455" i="2"/>
  <c r="V557" i="6" s="1"/>
  <c r="X455" i="2"/>
  <c r="U557" i="6" s="1"/>
  <c r="W455" i="2"/>
  <c r="T557" i="6" s="1"/>
  <c r="V455" i="2"/>
  <c r="S557" i="6" s="1"/>
  <c r="U455" i="2"/>
  <c r="R557" i="6" s="1"/>
  <c r="T455" i="2"/>
  <c r="Q557" i="6" s="1"/>
  <c r="S455" i="2"/>
  <c r="P557" i="6" s="1"/>
  <c r="R455" i="2"/>
  <c r="O557" i="6" s="1"/>
  <c r="Q455" i="2"/>
  <c r="N557" i="6" s="1"/>
  <c r="P455" i="2"/>
  <c r="M557" i="6" s="1"/>
  <c r="O455" i="2"/>
  <c r="L557" i="6" s="1"/>
  <c r="N455" i="2"/>
  <c r="K557" i="6" s="1"/>
  <c r="M455" i="2"/>
  <c r="J557" i="6" s="1"/>
  <c r="L455" i="2"/>
  <c r="I557" i="6" s="1"/>
  <c r="K455" i="2"/>
  <c r="H557" i="6" s="1"/>
  <c r="J455" i="2"/>
  <c r="F455" i="2"/>
  <c r="E455" i="2"/>
  <c r="D455" i="2" s="1"/>
  <c r="Y454" i="2"/>
  <c r="V556" i="6" s="1"/>
  <c r="X454" i="2"/>
  <c r="U556" i="6" s="1"/>
  <c r="W454" i="2"/>
  <c r="T556" i="6" s="1"/>
  <c r="V454" i="2"/>
  <c r="S556" i="6" s="1"/>
  <c r="U454" i="2"/>
  <c r="R556" i="6" s="1"/>
  <c r="T454" i="2"/>
  <c r="Q556" i="6" s="1"/>
  <c r="S454" i="2"/>
  <c r="P556" i="6" s="1"/>
  <c r="R454" i="2"/>
  <c r="O556" i="6" s="1"/>
  <c r="Q454" i="2"/>
  <c r="N556" i="6" s="1"/>
  <c r="P454" i="2"/>
  <c r="M556" i="6" s="1"/>
  <c r="O454" i="2"/>
  <c r="L556" i="6" s="1"/>
  <c r="N454" i="2"/>
  <c r="K556" i="6" s="1"/>
  <c r="M454" i="2"/>
  <c r="J556" i="6" s="1"/>
  <c r="L454" i="2"/>
  <c r="I556" i="6" s="1"/>
  <c r="K454" i="2"/>
  <c r="J454" i="2"/>
  <c r="F454" i="2"/>
  <c r="D454" i="2" s="1"/>
  <c r="E454" i="2"/>
  <c r="Y453" i="2"/>
  <c r="V555" i="6" s="1"/>
  <c r="X453" i="2"/>
  <c r="U555" i="6" s="1"/>
  <c r="W453" i="2"/>
  <c r="T555" i="6" s="1"/>
  <c r="V453" i="2"/>
  <c r="S555" i="6" s="1"/>
  <c r="U453" i="2"/>
  <c r="R555" i="6" s="1"/>
  <c r="T453" i="2"/>
  <c r="Q555" i="6" s="1"/>
  <c r="S453" i="2"/>
  <c r="P555" i="6" s="1"/>
  <c r="R453" i="2"/>
  <c r="O555" i="6" s="1"/>
  <c r="Q453" i="2"/>
  <c r="N555" i="6" s="1"/>
  <c r="P453" i="2"/>
  <c r="M555" i="6" s="1"/>
  <c r="O453" i="2"/>
  <c r="L555" i="6" s="1"/>
  <c r="N453" i="2"/>
  <c r="K555" i="6" s="1"/>
  <c r="M453" i="2"/>
  <c r="J555" i="6" s="1"/>
  <c r="L453" i="2"/>
  <c r="I555" i="6" s="1"/>
  <c r="K453" i="2"/>
  <c r="H555" i="6" s="1"/>
  <c r="J453" i="2"/>
  <c r="G555" i="6" s="1"/>
  <c r="I453" i="2"/>
  <c r="F555" i="6" s="1"/>
  <c r="H453" i="2"/>
  <c r="F453" i="2"/>
  <c r="E453" i="2"/>
  <c r="Y452" i="2"/>
  <c r="V554" i="6" s="1"/>
  <c r="X452" i="2"/>
  <c r="U554" i="6" s="1"/>
  <c r="W452" i="2"/>
  <c r="T554" i="6" s="1"/>
  <c r="V452" i="2"/>
  <c r="S554" i="6" s="1"/>
  <c r="U452" i="2"/>
  <c r="R554" i="6" s="1"/>
  <c r="T452" i="2"/>
  <c r="Q554" i="6" s="1"/>
  <c r="S452" i="2"/>
  <c r="P554" i="6" s="1"/>
  <c r="R452" i="2"/>
  <c r="O554" i="6" s="1"/>
  <c r="Q452" i="2"/>
  <c r="N554" i="6" s="1"/>
  <c r="P452" i="2"/>
  <c r="M554" i="6" s="1"/>
  <c r="O452" i="2"/>
  <c r="L554" i="6" s="1"/>
  <c r="N452" i="2"/>
  <c r="K554" i="6" s="1"/>
  <c r="M452" i="2"/>
  <c r="J554" i="6" s="1"/>
  <c r="L452" i="2"/>
  <c r="K452" i="2"/>
  <c r="J452" i="2"/>
  <c r="G554" i="6" s="1"/>
  <c r="F452" i="2"/>
  <c r="D452" i="2" s="1"/>
  <c r="E452" i="2"/>
  <c r="Y451" i="2"/>
  <c r="V553" i="6" s="1"/>
  <c r="X451" i="2"/>
  <c r="U553" i="6" s="1"/>
  <c r="W451" i="2"/>
  <c r="T553" i="6" s="1"/>
  <c r="V451" i="2"/>
  <c r="S553" i="6" s="1"/>
  <c r="U451" i="2"/>
  <c r="R553" i="6" s="1"/>
  <c r="T451" i="2"/>
  <c r="Q553" i="6" s="1"/>
  <c r="S451" i="2"/>
  <c r="P553" i="6" s="1"/>
  <c r="R451" i="2"/>
  <c r="O553" i="6" s="1"/>
  <c r="Q451" i="2"/>
  <c r="N553" i="6" s="1"/>
  <c r="P451" i="2"/>
  <c r="M553" i="6" s="1"/>
  <c r="O451" i="2"/>
  <c r="L553" i="6" s="1"/>
  <c r="N451" i="2"/>
  <c r="K553" i="6" s="1"/>
  <c r="M451" i="2"/>
  <c r="J553" i="6" s="1"/>
  <c r="L451" i="2"/>
  <c r="I553" i="6" s="1"/>
  <c r="K451" i="2"/>
  <c r="J451" i="2"/>
  <c r="G553" i="6" s="1"/>
  <c r="H451" i="2"/>
  <c r="F451" i="2"/>
  <c r="E451" i="2"/>
  <c r="Y450" i="2"/>
  <c r="V552" i="6" s="1"/>
  <c r="W56" i="5" s="1"/>
  <c r="X450" i="2"/>
  <c r="U552" i="6" s="1"/>
  <c r="V56" i="5" s="1"/>
  <c r="W450" i="2"/>
  <c r="T552" i="6" s="1"/>
  <c r="U56" i="5" s="1"/>
  <c r="V450" i="2"/>
  <c r="S552" i="6" s="1"/>
  <c r="T56" i="5" s="1"/>
  <c r="U450" i="2"/>
  <c r="R552" i="6" s="1"/>
  <c r="S56" i="5" s="1"/>
  <c r="T450" i="2"/>
  <c r="Q552" i="6" s="1"/>
  <c r="R56" i="5" s="1"/>
  <c r="S450" i="2"/>
  <c r="P552" i="6" s="1"/>
  <c r="Q56" i="5" s="1"/>
  <c r="R450" i="2"/>
  <c r="O552" i="6" s="1"/>
  <c r="P56" i="5" s="1"/>
  <c r="Q450" i="2"/>
  <c r="N552" i="6" s="1"/>
  <c r="O56" i="5" s="1"/>
  <c r="P450" i="2"/>
  <c r="M552" i="6" s="1"/>
  <c r="N56" i="5" s="1"/>
  <c r="O450" i="2"/>
  <c r="L552" i="6" s="1"/>
  <c r="M56" i="5" s="1"/>
  <c r="N450" i="2"/>
  <c r="K552" i="6" s="1"/>
  <c r="L56" i="5" s="1"/>
  <c r="M450" i="2"/>
  <c r="J552" i="6" s="1"/>
  <c r="K56" i="5" s="1"/>
  <c r="L450" i="2"/>
  <c r="I552" i="6" s="1"/>
  <c r="J56" i="5" s="1"/>
  <c r="K450" i="2"/>
  <c r="J450" i="2"/>
  <c r="G552" i="6" s="1"/>
  <c r="H56" i="5" s="1"/>
  <c r="F450" i="2"/>
  <c r="E450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I449" i="2" s="1"/>
  <c r="J449" i="2"/>
  <c r="H449" i="2" s="1"/>
  <c r="F449" i="2"/>
  <c r="E449" i="2"/>
  <c r="D449" i="2" s="1"/>
  <c r="Y448" i="2"/>
  <c r="V549" i="6" s="1"/>
  <c r="X448" i="2"/>
  <c r="U549" i="6" s="1"/>
  <c r="W448" i="2"/>
  <c r="T549" i="6" s="1"/>
  <c r="V448" i="2"/>
  <c r="S549" i="6" s="1"/>
  <c r="U448" i="2"/>
  <c r="R549" i="6" s="1"/>
  <c r="T448" i="2"/>
  <c r="Q549" i="6" s="1"/>
  <c r="S448" i="2"/>
  <c r="P549" i="6" s="1"/>
  <c r="R448" i="2"/>
  <c r="O549" i="6" s="1"/>
  <c r="Q448" i="2"/>
  <c r="N549" i="6" s="1"/>
  <c r="P448" i="2"/>
  <c r="M549" i="6" s="1"/>
  <c r="O448" i="2"/>
  <c r="L549" i="6" s="1"/>
  <c r="N448" i="2"/>
  <c r="K549" i="6" s="1"/>
  <c r="M448" i="2"/>
  <c r="J549" i="6" s="1"/>
  <c r="L448" i="2"/>
  <c r="I549" i="6" s="1"/>
  <c r="K448" i="2"/>
  <c r="J448" i="2"/>
  <c r="F448" i="2"/>
  <c r="E448" i="2"/>
  <c r="Y447" i="2"/>
  <c r="V548" i="6" s="1"/>
  <c r="X447" i="2"/>
  <c r="U548" i="6" s="1"/>
  <c r="W447" i="2"/>
  <c r="T548" i="6" s="1"/>
  <c r="V447" i="2"/>
  <c r="S548" i="6" s="1"/>
  <c r="U447" i="2"/>
  <c r="R548" i="6" s="1"/>
  <c r="T447" i="2"/>
  <c r="Q548" i="6" s="1"/>
  <c r="S447" i="2"/>
  <c r="P548" i="6" s="1"/>
  <c r="R447" i="2"/>
  <c r="O548" i="6" s="1"/>
  <c r="Q447" i="2"/>
  <c r="N548" i="6" s="1"/>
  <c r="P447" i="2"/>
  <c r="M548" i="6" s="1"/>
  <c r="O447" i="2"/>
  <c r="L548" i="6" s="1"/>
  <c r="N447" i="2"/>
  <c r="K548" i="6" s="1"/>
  <c r="M447" i="2"/>
  <c r="J548" i="6" s="1"/>
  <c r="L447" i="2"/>
  <c r="I548" i="6" s="1"/>
  <c r="K447" i="2"/>
  <c r="H548" i="6" s="1"/>
  <c r="J447" i="2"/>
  <c r="G548" i="6" s="1"/>
  <c r="I447" i="2"/>
  <c r="F548" i="6" s="1"/>
  <c r="F447" i="2"/>
  <c r="E447" i="2"/>
  <c r="D447" i="2" s="1"/>
  <c r="Y446" i="2"/>
  <c r="V546" i="6" s="1"/>
  <c r="X446" i="2"/>
  <c r="U546" i="6" s="1"/>
  <c r="W446" i="2"/>
  <c r="T546" i="6" s="1"/>
  <c r="V446" i="2"/>
  <c r="S546" i="6" s="1"/>
  <c r="U446" i="2"/>
  <c r="R546" i="6" s="1"/>
  <c r="T446" i="2"/>
  <c r="Q546" i="6" s="1"/>
  <c r="S446" i="2"/>
  <c r="P546" i="6" s="1"/>
  <c r="R446" i="2"/>
  <c r="O546" i="6" s="1"/>
  <c r="Q446" i="2"/>
  <c r="N546" i="6" s="1"/>
  <c r="P446" i="2"/>
  <c r="M546" i="6" s="1"/>
  <c r="O446" i="2"/>
  <c r="L546" i="6" s="1"/>
  <c r="N446" i="2"/>
  <c r="K546" i="6" s="1"/>
  <c r="M446" i="2"/>
  <c r="J546" i="6" s="1"/>
  <c r="L446" i="2"/>
  <c r="I546" i="6" s="1"/>
  <c r="K446" i="2"/>
  <c r="J446" i="2"/>
  <c r="G546" i="6" s="1"/>
  <c r="H446" i="2"/>
  <c r="F446" i="2"/>
  <c r="D446" i="2" s="1"/>
  <c r="E446" i="2"/>
  <c r="Y445" i="2"/>
  <c r="V545" i="6" s="1"/>
  <c r="X445" i="2"/>
  <c r="U545" i="6" s="1"/>
  <c r="W445" i="2"/>
  <c r="T545" i="6" s="1"/>
  <c r="V445" i="2"/>
  <c r="S545" i="6" s="1"/>
  <c r="U445" i="2"/>
  <c r="R545" i="6" s="1"/>
  <c r="T445" i="2"/>
  <c r="Q545" i="6" s="1"/>
  <c r="S445" i="2"/>
  <c r="P545" i="6" s="1"/>
  <c r="R445" i="2"/>
  <c r="O545" i="6" s="1"/>
  <c r="Q445" i="2"/>
  <c r="N545" i="6" s="1"/>
  <c r="P445" i="2"/>
  <c r="M545" i="6" s="1"/>
  <c r="O445" i="2"/>
  <c r="L545" i="6" s="1"/>
  <c r="N445" i="2"/>
  <c r="K545" i="6" s="1"/>
  <c r="M445" i="2"/>
  <c r="J545" i="6" s="1"/>
  <c r="L445" i="2"/>
  <c r="I545" i="6" s="1"/>
  <c r="K445" i="2"/>
  <c r="H545" i="6" s="1"/>
  <c r="J445" i="2"/>
  <c r="G545" i="6" s="1"/>
  <c r="I445" i="2"/>
  <c r="F545" i="6" s="1"/>
  <c r="H445" i="2"/>
  <c r="F445" i="2"/>
  <c r="E445" i="2"/>
  <c r="Y444" i="2"/>
  <c r="V544" i="6" s="1"/>
  <c r="X444" i="2"/>
  <c r="U544" i="6" s="1"/>
  <c r="W444" i="2"/>
  <c r="T544" i="6" s="1"/>
  <c r="V444" i="2"/>
  <c r="S544" i="6" s="1"/>
  <c r="U444" i="2"/>
  <c r="R544" i="6" s="1"/>
  <c r="T444" i="2"/>
  <c r="Q544" i="6" s="1"/>
  <c r="S444" i="2"/>
  <c r="P544" i="6" s="1"/>
  <c r="R444" i="2"/>
  <c r="O544" i="6" s="1"/>
  <c r="Q444" i="2"/>
  <c r="N544" i="6" s="1"/>
  <c r="P444" i="2"/>
  <c r="M544" i="6" s="1"/>
  <c r="O444" i="2"/>
  <c r="L544" i="6" s="1"/>
  <c r="N444" i="2"/>
  <c r="K544" i="6" s="1"/>
  <c r="M444" i="2"/>
  <c r="J544" i="6" s="1"/>
  <c r="L444" i="2"/>
  <c r="K444" i="2"/>
  <c r="J444" i="2"/>
  <c r="G544" i="6" s="1"/>
  <c r="F444" i="2"/>
  <c r="D444" i="2" s="1"/>
  <c r="E444" i="2"/>
  <c r="Y443" i="2"/>
  <c r="V542" i="6" s="1"/>
  <c r="X443" i="2"/>
  <c r="U542" i="6" s="1"/>
  <c r="W443" i="2"/>
  <c r="T542" i="6" s="1"/>
  <c r="V443" i="2"/>
  <c r="S542" i="6" s="1"/>
  <c r="U443" i="2"/>
  <c r="R542" i="6" s="1"/>
  <c r="T443" i="2"/>
  <c r="Q542" i="6" s="1"/>
  <c r="S443" i="2"/>
  <c r="P542" i="6" s="1"/>
  <c r="R443" i="2"/>
  <c r="O542" i="6" s="1"/>
  <c r="Q443" i="2"/>
  <c r="N542" i="6" s="1"/>
  <c r="P443" i="2"/>
  <c r="M542" i="6" s="1"/>
  <c r="O443" i="2"/>
  <c r="L542" i="6" s="1"/>
  <c r="N443" i="2"/>
  <c r="K542" i="6" s="1"/>
  <c r="M443" i="2"/>
  <c r="J542" i="6" s="1"/>
  <c r="L443" i="2"/>
  <c r="I542" i="6" s="1"/>
  <c r="K443" i="2"/>
  <c r="J443" i="2"/>
  <c r="G542" i="6" s="1"/>
  <c r="H443" i="2"/>
  <c r="F443" i="2"/>
  <c r="E443" i="2"/>
  <c r="Y442" i="2"/>
  <c r="V541" i="6" s="1"/>
  <c r="X442" i="2"/>
  <c r="U541" i="6" s="1"/>
  <c r="W442" i="2"/>
  <c r="T541" i="6" s="1"/>
  <c r="V442" i="2"/>
  <c r="S541" i="6" s="1"/>
  <c r="U442" i="2"/>
  <c r="R541" i="6" s="1"/>
  <c r="T442" i="2"/>
  <c r="Q541" i="6" s="1"/>
  <c r="S442" i="2"/>
  <c r="P541" i="6" s="1"/>
  <c r="R442" i="2"/>
  <c r="O541" i="6" s="1"/>
  <c r="Q442" i="2"/>
  <c r="N541" i="6" s="1"/>
  <c r="P442" i="2"/>
  <c r="M541" i="6" s="1"/>
  <c r="O442" i="2"/>
  <c r="L541" i="6" s="1"/>
  <c r="N442" i="2"/>
  <c r="K541" i="6" s="1"/>
  <c r="M442" i="2"/>
  <c r="J541" i="6" s="1"/>
  <c r="L442" i="2"/>
  <c r="I541" i="6" s="1"/>
  <c r="K442" i="2"/>
  <c r="J442" i="2"/>
  <c r="G541" i="6" s="1"/>
  <c r="F442" i="2"/>
  <c r="E442" i="2"/>
  <c r="Y441" i="2"/>
  <c r="V539" i="6" s="1"/>
  <c r="X441" i="2"/>
  <c r="U539" i="6" s="1"/>
  <c r="W441" i="2"/>
  <c r="T539" i="6" s="1"/>
  <c r="V441" i="2"/>
  <c r="S539" i="6" s="1"/>
  <c r="U441" i="2"/>
  <c r="R539" i="6" s="1"/>
  <c r="T441" i="2"/>
  <c r="Q539" i="6" s="1"/>
  <c r="S441" i="2"/>
  <c r="P539" i="6" s="1"/>
  <c r="R441" i="2"/>
  <c r="O539" i="6" s="1"/>
  <c r="Q441" i="2"/>
  <c r="N539" i="6" s="1"/>
  <c r="P441" i="2"/>
  <c r="M539" i="6" s="1"/>
  <c r="O441" i="2"/>
  <c r="L539" i="6" s="1"/>
  <c r="N441" i="2"/>
  <c r="K539" i="6" s="1"/>
  <c r="M441" i="2"/>
  <c r="J539" i="6" s="1"/>
  <c r="L441" i="2"/>
  <c r="I539" i="6" s="1"/>
  <c r="K441" i="2"/>
  <c r="H539" i="6" s="1"/>
  <c r="J441" i="2"/>
  <c r="F441" i="2"/>
  <c r="E441" i="2"/>
  <c r="D441" i="2" s="1"/>
  <c r="Y440" i="2"/>
  <c r="V538" i="6" s="1"/>
  <c r="X440" i="2"/>
  <c r="U538" i="6" s="1"/>
  <c r="W440" i="2"/>
  <c r="T538" i="6" s="1"/>
  <c r="V440" i="2"/>
  <c r="S538" i="6" s="1"/>
  <c r="U440" i="2"/>
  <c r="R538" i="6" s="1"/>
  <c r="T440" i="2"/>
  <c r="Q538" i="6" s="1"/>
  <c r="S440" i="2"/>
  <c r="P538" i="6" s="1"/>
  <c r="R440" i="2"/>
  <c r="O538" i="6" s="1"/>
  <c r="Q440" i="2"/>
  <c r="N538" i="6" s="1"/>
  <c r="P440" i="2"/>
  <c r="M538" i="6" s="1"/>
  <c r="O440" i="2"/>
  <c r="L538" i="6" s="1"/>
  <c r="N440" i="2"/>
  <c r="K538" i="6" s="1"/>
  <c r="M440" i="2"/>
  <c r="J538" i="6" s="1"/>
  <c r="L440" i="2"/>
  <c r="I538" i="6" s="1"/>
  <c r="K440" i="2"/>
  <c r="J440" i="2"/>
  <c r="F440" i="2"/>
  <c r="E440" i="2"/>
  <c r="D440" i="2"/>
  <c r="Y439" i="2"/>
  <c r="V537" i="6" s="1"/>
  <c r="X439" i="2"/>
  <c r="U537" i="6" s="1"/>
  <c r="W439" i="2"/>
  <c r="T537" i="6" s="1"/>
  <c r="V439" i="2"/>
  <c r="S537" i="6" s="1"/>
  <c r="U439" i="2"/>
  <c r="R537" i="6" s="1"/>
  <c r="T439" i="2"/>
  <c r="Q537" i="6" s="1"/>
  <c r="S439" i="2"/>
  <c r="P537" i="6" s="1"/>
  <c r="R439" i="2"/>
  <c r="O537" i="6" s="1"/>
  <c r="Q439" i="2"/>
  <c r="N537" i="6" s="1"/>
  <c r="P439" i="2"/>
  <c r="M537" i="6" s="1"/>
  <c r="O439" i="2"/>
  <c r="L537" i="6" s="1"/>
  <c r="N439" i="2"/>
  <c r="K537" i="6" s="1"/>
  <c r="M439" i="2"/>
  <c r="J537" i="6" s="1"/>
  <c r="L439" i="2"/>
  <c r="I537" i="6" s="1"/>
  <c r="K439" i="2"/>
  <c r="H537" i="6" s="1"/>
  <c r="J439" i="2"/>
  <c r="F439" i="2"/>
  <c r="E439" i="2"/>
  <c r="D439" i="2" s="1"/>
  <c r="Y438" i="2"/>
  <c r="V536" i="6" s="1"/>
  <c r="X438" i="2"/>
  <c r="U536" i="6" s="1"/>
  <c r="W438" i="2"/>
  <c r="T536" i="6" s="1"/>
  <c r="V438" i="2"/>
  <c r="S536" i="6" s="1"/>
  <c r="U438" i="2"/>
  <c r="R536" i="6" s="1"/>
  <c r="T438" i="2"/>
  <c r="Q536" i="6" s="1"/>
  <c r="S438" i="2"/>
  <c r="P536" i="6" s="1"/>
  <c r="R438" i="2"/>
  <c r="O536" i="6" s="1"/>
  <c r="Q438" i="2"/>
  <c r="N536" i="6" s="1"/>
  <c r="P438" i="2"/>
  <c r="M536" i="6" s="1"/>
  <c r="O438" i="2"/>
  <c r="L536" i="6" s="1"/>
  <c r="N438" i="2"/>
  <c r="K536" i="6" s="1"/>
  <c r="M438" i="2"/>
  <c r="J536" i="6" s="1"/>
  <c r="L438" i="2"/>
  <c r="I536" i="6" s="1"/>
  <c r="K438" i="2"/>
  <c r="J438" i="2"/>
  <c r="G536" i="6" s="1"/>
  <c r="H438" i="2"/>
  <c r="F438" i="2"/>
  <c r="D438" i="2" s="1"/>
  <c r="E438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 s="1"/>
  <c r="F437" i="2"/>
  <c r="E437" i="2"/>
  <c r="Y436" i="2"/>
  <c r="V535" i="6" s="1"/>
  <c r="X436" i="2"/>
  <c r="U535" i="6" s="1"/>
  <c r="W436" i="2"/>
  <c r="T535" i="6" s="1"/>
  <c r="V436" i="2"/>
  <c r="S535" i="6" s="1"/>
  <c r="U436" i="2"/>
  <c r="R535" i="6" s="1"/>
  <c r="T436" i="2"/>
  <c r="Q535" i="6" s="1"/>
  <c r="S436" i="2"/>
  <c r="P535" i="6" s="1"/>
  <c r="R436" i="2"/>
  <c r="O535" i="6" s="1"/>
  <c r="Q436" i="2"/>
  <c r="N535" i="6" s="1"/>
  <c r="P436" i="2"/>
  <c r="M535" i="6" s="1"/>
  <c r="O436" i="2"/>
  <c r="L535" i="6" s="1"/>
  <c r="N436" i="2"/>
  <c r="K535" i="6" s="1"/>
  <c r="M436" i="2"/>
  <c r="J535" i="6" s="1"/>
  <c r="L436" i="2"/>
  <c r="I535" i="6" s="1"/>
  <c r="K436" i="2"/>
  <c r="H535" i="6" s="1"/>
  <c r="J436" i="2"/>
  <c r="I436" i="2"/>
  <c r="F535" i="6" s="1"/>
  <c r="F436" i="2"/>
  <c r="E436" i="2"/>
  <c r="Y435" i="2"/>
  <c r="V533" i="6" s="1"/>
  <c r="X435" i="2"/>
  <c r="U533" i="6" s="1"/>
  <c r="W435" i="2"/>
  <c r="T533" i="6" s="1"/>
  <c r="V435" i="2"/>
  <c r="S533" i="6" s="1"/>
  <c r="U435" i="2"/>
  <c r="R533" i="6" s="1"/>
  <c r="T435" i="2"/>
  <c r="Q533" i="6" s="1"/>
  <c r="S435" i="2"/>
  <c r="P533" i="6" s="1"/>
  <c r="R435" i="2"/>
  <c r="O533" i="6" s="1"/>
  <c r="Q435" i="2"/>
  <c r="N533" i="6" s="1"/>
  <c r="P435" i="2"/>
  <c r="M533" i="6" s="1"/>
  <c r="O435" i="2"/>
  <c r="L533" i="6" s="1"/>
  <c r="N435" i="2"/>
  <c r="K533" i="6" s="1"/>
  <c r="M435" i="2"/>
  <c r="J533" i="6" s="1"/>
  <c r="L435" i="2"/>
  <c r="I533" i="6" s="1"/>
  <c r="K435" i="2"/>
  <c r="J435" i="2"/>
  <c r="G533" i="6" s="1"/>
  <c r="F435" i="2"/>
  <c r="E435" i="2"/>
  <c r="D435" i="2" s="1"/>
  <c r="Y434" i="2"/>
  <c r="V532" i="6" s="1"/>
  <c r="X434" i="2"/>
  <c r="U532" i="6" s="1"/>
  <c r="W434" i="2"/>
  <c r="T532" i="6" s="1"/>
  <c r="V434" i="2"/>
  <c r="S532" i="6" s="1"/>
  <c r="U434" i="2"/>
  <c r="R532" i="6" s="1"/>
  <c r="T434" i="2"/>
  <c r="Q532" i="6" s="1"/>
  <c r="S434" i="2"/>
  <c r="P532" i="6" s="1"/>
  <c r="R434" i="2"/>
  <c r="O532" i="6" s="1"/>
  <c r="Q434" i="2"/>
  <c r="N532" i="6" s="1"/>
  <c r="P434" i="2"/>
  <c r="M532" i="6" s="1"/>
  <c r="O434" i="2"/>
  <c r="L532" i="6" s="1"/>
  <c r="N434" i="2"/>
  <c r="K532" i="6" s="1"/>
  <c r="M434" i="2"/>
  <c r="J532" i="6" s="1"/>
  <c r="L434" i="2"/>
  <c r="I532" i="6" s="1"/>
  <c r="K434" i="2"/>
  <c r="H532" i="6" s="1"/>
  <c r="J434" i="2"/>
  <c r="F434" i="2"/>
  <c r="E434" i="2"/>
  <c r="D434" i="2" s="1"/>
  <c r="Y433" i="2"/>
  <c r="V531" i="6" s="1"/>
  <c r="X433" i="2"/>
  <c r="U531" i="6" s="1"/>
  <c r="W433" i="2"/>
  <c r="T531" i="6" s="1"/>
  <c r="V433" i="2"/>
  <c r="S531" i="6" s="1"/>
  <c r="U433" i="2"/>
  <c r="R531" i="6" s="1"/>
  <c r="T433" i="2"/>
  <c r="Q531" i="6" s="1"/>
  <c r="S433" i="2"/>
  <c r="P531" i="6" s="1"/>
  <c r="R433" i="2"/>
  <c r="O531" i="6" s="1"/>
  <c r="Q433" i="2"/>
  <c r="N531" i="6" s="1"/>
  <c r="P433" i="2"/>
  <c r="M531" i="6" s="1"/>
  <c r="O433" i="2"/>
  <c r="L531" i="6" s="1"/>
  <c r="N433" i="2"/>
  <c r="K531" i="6" s="1"/>
  <c r="M433" i="2"/>
  <c r="J531" i="6" s="1"/>
  <c r="L433" i="2"/>
  <c r="I531" i="6" s="1"/>
  <c r="K433" i="2"/>
  <c r="J433" i="2"/>
  <c r="G531" i="6" s="1"/>
  <c r="H433" i="2"/>
  <c r="E531" i="6" s="1"/>
  <c r="F433" i="2"/>
  <c r="E433" i="2"/>
  <c r="Y432" i="2"/>
  <c r="V530" i="6" s="1"/>
  <c r="X432" i="2"/>
  <c r="U530" i="6" s="1"/>
  <c r="W432" i="2"/>
  <c r="T530" i="6" s="1"/>
  <c r="V432" i="2"/>
  <c r="S530" i="6" s="1"/>
  <c r="U432" i="2"/>
  <c r="R530" i="6" s="1"/>
  <c r="T432" i="2"/>
  <c r="Q530" i="6" s="1"/>
  <c r="S432" i="2"/>
  <c r="P530" i="6" s="1"/>
  <c r="R432" i="2"/>
  <c r="O530" i="6" s="1"/>
  <c r="Q432" i="2"/>
  <c r="N530" i="6" s="1"/>
  <c r="P432" i="2"/>
  <c r="M530" i="6" s="1"/>
  <c r="O432" i="2"/>
  <c r="L530" i="6" s="1"/>
  <c r="N432" i="2"/>
  <c r="K530" i="6" s="1"/>
  <c r="M432" i="2"/>
  <c r="J530" i="6" s="1"/>
  <c r="L432" i="2"/>
  <c r="I530" i="6" s="1"/>
  <c r="K432" i="2"/>
  <c r="H530" i="6" s="1"/>
  <c r="J432" i="2"/>
  <c r="I432" i="2"/>
  <c r="F530" i="6" s="1"/>
  <c r="F432" i="2"/>
  <c r="E432" i="2"/>
  <c r="Y431" i="2"/>
  <c r="V528" i="6" s="1"/>
  <c r="X431" i="2"/>
  <c r="U528" i="6" s="1"/>
  <c r="W431" i="2"/>
  <c r="T528" i="6" s="1"/>
  <c r="V431" i="2"/>
  <c r="S528" i="6" s="1"/>
  <c r="U431" i="2"/>
  <c r="R528" i="6" s="1"/>
  <c r="T431" i="2"/>
  <c r="Q528" i="6" s="1"/>
  <c r="S431" i="2"/>
  <c r="P528" i="6" s="1"/>
  <c r="R431" i="2"/>
  <c r="O528" i="6" s="1"/>
  <c r="Q431" i="2"/>
  <c r="N528" i="6" s="1"/>
  <c r="P431" i="2"/>
  <c r="M528" i="6" s="1"/>
  <c r="O431" i="2"/>
  <c r="L528" i="6" s="1"/>
  <c r="N431" i="2"/>
  <c r="K528" i="6" s="1"/>
  <c r="M431" i="2"/>
  <c r="J528" i="6" s="1"/>
  <c r="L431" i="2"/>
  <c r="I528" i="6" s="1"/>
  <c r="K431" i="2"/>
  <c r="J431" i="2"/>
  <c r="G528" i="6" s="1"/>
  <c r="F431" i="2"/>
  <c r="E431" i="2"/>
  <c r="D431" i="2" s="1"/>
  <c r="Y430" i="2"/>
  <c r="V527" i="6" s="1"/>
  <c r="X430" i="2"/>
  <c r="U527" i="6" s="1"/>
  <c r="W430" i="2"/>
  <c r="T527" i="6" s="1"/>
  <c r="V430" i="2"/>
  <c r="S527" i="6" s="1"/>
  <c r="U430" i="2"/>
  <c r="R527" i="6" s="1"/>
  <c r="T430" i="2"/>
  <c r="Q527" i="6" s="1"/>
  <c r="S430" i="2"/>
  <c r="P527" i="6" s="1"/>
  <c r="R430" i="2"/>
  <c r="O527" i="6" s="1"/>
  <c r="Q430" i="2"/>
  <c r="N527" i="6" s="1"/>
  <c r="P430" i="2"/>
  <c r="M527" i="6" s="1"/>
  <c r="O430" i="2"/>
  <c r="L527" i="6" s="1"/>
  <c r="N430" i="2"/>
  <c r="K527" i="6" s="1"/>
  <c r="M430" i="2"/>
  <c r="J527" i="6" s="1"/>
  <c r="L430" i="2"/>
  <c r="I527" i="6" s="1"/>
  <c r="K430" i="2"/>
  <c r="H527" i="6" s="1"/>
  <c r="J430" i="2"/>
  <c r="F430" i="2"/>
  <c r="E430" i="2"/>
  <c r="D430" i="2" s="1"/>
  <c r="Y429" i="2"/>
  <c r="V525" i="6" s="1"/>
  <c r="X429" i="2"/>
  <c r="U525" i="6" s="1"/>
  <c r="W429" i="2"/>
  <c r="T525" i="6" s="1"/>
  <c r="V429" i="2"/>
  <c r="S525" i="6" s="1"/>
  <c r="U429" i="2"/>
  <c r="R525" i="6" s="1"/>
  <c r="T429" i="2"/>
  <c r="Q525" i="6" s="1"/>
  <c r="S429" i="2"/>
  <c r="P525" i="6" s="1"/>
  <c r="R429" i="2"/>
  <c r="O525" i="6" s="1"/>
  <c r="Q429" i="2"/>
  <c r="N525" i="6" s="1"/>
  <c r="P429" i="2"/>
  <c r="M525" i="6" s="1"/>
  <c r="O429" i="2"/>
  <c r="L525" i="6" s="1"/>
  <c r="N429" i="2"/>
  <c r="K525" i="6" s="1"/>
  <c r="M429" i="2"/>
  <c r="J525" i="6" s="1"/>
  <c r="L429" i="2"/>
  <c r="I525" i="6" s="1"/>
  <c r="K429" i="2"/>
  <c r="J429" i="2"/>
  <c r="G525" i="6" s="1"/>
  <c r="H429" i="2"/>
  <c r="E525" i="6" s="1"/>
  <c r="F429" i="2"/>
  <c r="E429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F428" i="2"/>
  <c r="E428" i="2"/>
  <c r="Y427" i="2"/>
  <c r="V523" i="6" s="1"/>
  <c r="X427" i="2"/>
  <c r="U523" i="6" s="1"/>
  <c r="W427" i="2"/>
  <c r="T523" i="6" s="1"/>
  <c r="V427" i="2"/>
  <c r="S523" i="6" s="1"/>
  <c r="U427" i="2"/>
  <c r="R523" i="6" s="1"/>
  <c r="T427" i="2"/>
  <c r="Q523" i="6" s="1"/>
  <c r="S427" i="2"/>
  <c r="P523" i="6" s="1"/>
  <c r="R427" i="2"/>
  <c r="O523" i="6" s="1"/>
  <c r="Q427" i="2"/>
  <c r="N523" i="6" s="1"/>
  <c r="P427" i="2"/>
  <c r="M523" i="6" s="1"/>
  <c r="O427" i="2"/>
  <c r="L523" i="6" s="1"/>
  <c r="N427" i="2"/>
  <c r="K523" i="6" s="1"/>
  <c r="M427" i="2"/>
  <c r="J523" i="6" s="1"/>
  <c r="L427" i="2"/>
  <c r="I523" i="6" s="1"/>
  <c r="K427" i="2"/>
  <c r="J427" i="2"/>
  <c r="G523" i="6" s="1"/>
  <c r="F427" i="2"/>
  <c r="E427" i="2"/>
  <c r="D427" i="2" s="1"/>
  <c r="Y426" i="2"/>
  <c r="V521" i="6" s="1"/>
  <c r="X426" i="2"/>
  <c r="U521" i="6" s="1"/>
  <c r="W426" i="2"/>
  <c r="T521" i="6" s="1"/>
  <c r="V426" i="2"/>
  <c r="S521" i="6" s="1"/>
  <c r="U426" i="2"/>
  <c r="R521" i="6" s="1"/>
  <c r="T426" i="2"/>
  <c r="Q521" i="6" s="1"/>
  <c r="S426" i="2"/>
  <c r="P521" i="6" s="1"/>
  <c r="R426" i="2"/>
  <c r="O521" i="6" s="1"/>
  <c r="Q426" i="2"/>
  <c r="N521" i="6" s="1"/>
  <c r="P426" i="2"/>
  <c r="M521" i="6" s="1"/>
  <c r="O426" i="2"/>
  <c r="L521" i="6" s="1"/>
  <c r="N426" i="2"/>
  <c r="K521" i="6" s="1"/>
  <c r="M426" i="2"/>
  <c r="J521" i="6" s="1"/>
  <c r="L426" i="2"/>
  <c r="I521" i="6" s="1"/>
  <c r="K426" i="2"/>
  <c r="J426" i="2"/>
  <c r="F426" i="2"/>
  <c r="E426" i="2"/>
  <c r="D426" i="2" s="1"/>
  <c r="Y425" i="2"/>
  <c r="V520" i="6" s="1"/>
  <c r="X425" i="2"/>
  <c r="U520" i="6" s="1"/>
  <c r="W425" i="2"/>
  <c r="T520" i="6" s="1"/>
  <c r="V425" i="2"/>
  <c r="S520" i="6" s="1"/>
  <c r="U425" i="2"/>
  <c r="R520" i="6" s="1"/>
  <c r="T425" i="2"/>
  <c r="Q520" i="6" s="1"/>
  <c r="S425" i="2"/>
  <c r="P520" i="6" s="1"/>
  <c r="R425" i="2"/>
  <c r="O520" i="6" s="1"/>
  <c r="Q425" i="2"/>
  <c r="N520" i="6" s="1"/>
  <c r="P425" i="2"/>
  <c r="M520" i="6" s="1"/>
  <c r="O425" i="2"/>
  <c r="L520" i="6" s="1"/>
  <c r="N425" i="2"/>
  <c r="K520" i="6" s="1"/>
  <c r="M425" i="2"/>
  <c r="J520" i="6" s="1"/>
  <c r="L425" i="2"/>
  <c r="I520" i="6" s="1"/>
  <c r="K425" i="2"/>
  <c r="J425" i="2"/>
  <c r="F425" i="2"/>
  <c r="E425" i="2"/>
  <c r="D425" i="2"/>
  <c r="Y424" i="2"/>
  <c r="V519" i="6" s="1"/>
  <c r="X424" i="2"/>
  <c r="U519" i="6" s="1"/>
  <c r="W424" i="2"/>
  <c r="T519" i="6" s="1"/>
  <c r="V424" i="2"/>
  <c r="S519" i="6" s="1"/>
  <c r="U424" i="2"/>
  <c r="R519" i="6" s="1"/>
  <c r="T424" i="2"/>
  <c r="Q519" i="6" s="1"/>
  <c r="S424" i="2"/>
  <c r="P519" i="6" s="1"/>
  <c r="R424" i="2"/>
  <c r="O519" i="6" s="1"/>
  <c r="Q424" i="2"/>
  <c r="N519" i="6" s="1"/>
  <c r="P424" i="2"/>
  <c r="M519" i="6" s="1"/>
  <c r="O424" i="2"/>
  <c r="L519" i="6" s="1"/>
  <c r="N424" i="2"/>
  <c r="K519" i="6" s="1"/>
  <c r="M424" i="2"/>
  <c r="J519" i="6" s="1"/>
  <c r="L424" i="2"/>
  <c r="I519" i="6" s="1"/>
  <c r="K424" i="2"/>
  <c r="H519" i="6" s="1"/>
  <c r="J424" i="2"/>
  <c r="F424" i="2"/>
  <c r="E424" i="2"/>
  <c r="D424" i="2" s="1"/>
  <c r="Y423" i="2"/>
  <c r="V517" i="6" s="1"/>
  <c r="X423" i="2"/>
  <c r="U517" i="6" s="1"/>
  <c r="W423" i="2"/>
  <c r="T517" i="6" s="1"/>
  <c r="V423" i="2"/>
  <c r="S517" i="6" s="1"/>
  <c r="U423" i="2"/>
  <c r="R517" i="6" s="1"/>
  <c r="T423" i="2"/>
  <c r="Q517" i="6" s="1"/>
  <c r="S423" i="2"/>
  <c r="P517" i="6" s="1"/>
  <c r="R423" i="2"/>
  <c r="O517" i="6" s="1"/>
  <c r="Q423" i="2"/>
  <c r="N517" i="6" s="1"/>
  <c r="P423" i="2"/>
  <c r="M517" i="6" s="1"/>
  <c r="O423" i="2"/>
  <c r="L517" i="6" s="1"/>
  <c r="N423" i="2"/>
  <c r="K517" i="6" s="1"/>
  <c r="M423" i="2"/>
  <c r="J517" i="6" s="1"/>
  <c r="L423" i="2"/>
  <c r="I517" i="6" s="1"/>
  <c r="K423" i="2"/>
  <c r="J423" i="2"/>
  <c r="G517" i="6" s="1"/>
  <c r="H423" i="2"/>
  <c r="E517" i="6" s="1"/>
  <c r="F423" i="2"/>
  <c r="E423" i="2"/>
  <c r="D423" i="2"/>
  <c r="Y422" i="2"/>
  <c r="V516" i="6" s="1"/>
  <c r="X422" i="2"/>
  <c r="U516" i="6" s="1"/>
  <c r="W422" i="2"/>
  <c r="T516" i="6" s="1"/>
  <c r="V422" i="2"/>
  <c r="S516" i="6" s="1"/>
  <c r="U422" i="2"/>
  <c r="R516" i="6" s="1"/>
  <c r="T422" i="2"/>
  <c r="Q516" i="6" s="1"/>
  <c r="S422" i="2"/>
  <c r="P516" i="6" s="1"/>
  <c r="R422" i="2"/>
  <c r="O516" i="6" s="1"/>
  <c r="Q422" i="2"/>
  <c r="N516" i="6" s="1"/>
  <c r="P422" i="2"/>
  <c r="M516" i="6" s="1"/>
  <c r="O422" i="2"/>
  <c r="L516" i="6" s="1"/>
  <c r="N422" i="2"/>
  <c r="K516" i="6" s="1"/>
  <c r="M422" i="2"/>
  <c r="J516" i="6" s="1"/>
  <c r="L422" i="2"/>
  <c r="I516" i="6" s="1"/>
  <c r="K422" i="2"/>
  <c r="H516" i="6" s="1"/>
  <c r="J422" i="2"/>
  <c r="I422" i="2"/>
  <c r="F516" i="6" s="1"/>
  <c r="F422" i="2"/>
  <c r="E422" i="2"/>
  <c r="Y421" i="2"/>
  <c r="V515" i="6" s="1"/>
  <c r="X421" i="2"/>
  <c r="U515" i="6" s="1"/>
  <c r="W421" i="2"/>
  <c r="T515" i="6" s="1"/>
  <c r="V421" i="2"/>
  <c r="S515" i="6" s="1"/>
  <c r="U421" i="2"/>
  <c r="R515" i="6" s="1"/>
  <c r="T421" i="2"/>
  <c r="Q515" i="6" s="1"/>
  <c r="S421" i="2"/>
  <c r="P515" i="6" s="1"/>
  <c r="R421" i="2"/>
  <c r="O515" i="6" s="1"/>
  <c r="Q421" i="2"/>
  <c r="N515" i="6" s="1"/>
  <c r="P421" i="2"/>
  <c r="M515" i="6" s="1"/>
  <c r="O421" i="2"/>
  <c r="L515" i="6" s="1"/>
  <c r="N421" i="2"/>
  <c r="K515" i="6" s="1"/>
  <c r="M421" i="2"/>
  <c r="J515" i="6" s="1"/>
  <c r="L421" i="2"/>
  <c r="K421" i="2"/>
  <c r="J421" i="2"/>
  <c r="G515" i="6" s="1"/>
  <c r="F421" i="2"/>
  <c r="E421" i="2"/>
  <c r="Y420" i="2"/>
  <c r="V514" i="6" s="1"/>
  <c r="X420" i="2"/>
  <c r="U514" i="6" s="1"/>
  <c r="W420" i="2"/>
  <c r="T514" i="6" s="1"/>
  <c r="V420" i="2"/>
  <c r="S514" i="6" s="1"/>
  <c r="U420" i="2"/>
  <c r="R514" i="6" s="1"/>
  <c r="T420" i="2"/>
  <c r="Q514" i="6" s="1"/>
  <c r="S420" i="2"/>
  <c r="P514" i="6" s="1"/>
  <c r="R420" i="2"/>
  <c r="O514" i="6" s="1"/>
  <c r="Q420" i="2"/>
  <c r="N514" i="6" s="1"/>
  <c r="P420" i="2"/>
  <c r="M514" i="6" s="1"/>
  <c r="O420" i="2"/>
  <c r="L514" i="6" s="1"/>
  <c r="N420" i="2"/>
  <c r="K514" i="6" s="1"/>
  <c r="M420" i="2"/>
  <c r="J514" i="6" s="1"/>
  <c r="L420" i="2"/>
  <c r="I514" i="6" s="1"/>
  <c r="K420" i="2"/>
  <c r="J420" i="2"/>
  <c r="F420" i="2"/>
  <c r="E420" i="2"/>
  <c r="D420" i="2" s="1"/>
  <c r="Y419" i="2"/>
  <c r="V513" i="6" s="1"/>
  <c r="W26" i="5" s="1"/>
  <c r="X419" i="2"/>
  <c r="U513" i="6" s="1"/>
  <c r="V26" i="5" s="1"/>
  <c r="W419" i="2"/>
  <c r="T513" i="6" s="1"/>
  <c r="U26" i="5" s="1"/>
  <c r="V419" i="2"/>
  <c r="S513" i="6" s="1"/>
  <c r="T26" i="5" s="1"/>
  <c r="U419" i="2"/>
  <c r="R513" i="6" s="1"/>
  <c r="S26" i="5" s="1"/>
  <c r="T419" i="2"/>
  <c r="Q513" i="6" s="1"/>
  <c r="R26" i="5" s="1"/>
  <c r="S419" i="2"/>
  <c r="P513" i="6" s="1"/>
  <c r="Q26" i="5" s="1"/>
  <c r="R419" i="2"/>
  <c r="O513" i="6" s="1"/>
  <c r="P26" i="5" s="1"/>
  <c r="Q419" i="2"/>
  <c r="N513" i="6" s="1"/>
  <c r="O26" i="5" s="1"/>
  <c r="P419" i="2"/>
  <c r="M513" i="6" s="1"/>
  <c r="N26" i="5" s="1"/>
  <c r="O419" i="2"/>
  <c r="L513" i="6" s="1"/>
  <c r="M26" i="5" s="1"/>
  <c r="N419" i="2"/>
  <c r="K513" i="6" s="1"/>
  <c r="L26" i="5" s="1"/>
  <c r="M419" i="2"/>
  <c r="J513" i="6" s="1"/>
  <c r="K26" i="5" s="1"/>
  <c r="L419" i="2"/>
  <c r="I513" i="6" s="1"/>
  <c r="J26" i="5" s="1"/>
  <c r="K419" i="2"/>
  <c r="H513" i="6" s="1"/>
  <c r="I26" i="5" s="1"/>
  <c r="J419" i="2"/>
  <c r="F419" i="2"/>
  <c r="E419" i="2"/>
  <c r="D419" i="2" s="1"/>
  <c r="Y418" i="2"/>
  <c r="V512" i="6" s="1"/>
  <c r="X418" i="2"/>
  <c r="U512" i="6" s="1"/>
  <c r="W418" i="2"/>
  <c r="T512" i="6" s="1"/>
  <c r="V418" i="2"/>
  <c r="S512" i="6" s="1"/>
  <c r="U418" i="2"/>
  <c r="R512" i="6" s="1"/>
  <c r="T418" i="2"/>
  <c r="Q512" i="6" s="1"/>
  <c r="S418" i="2"/>
  <c r="P512" i="6" s="1"/>
  <c r="R418" i="2"/>
  <c r="O512" i="6" s="1"/>
  <c r="Q418" i="2"/>
  <c r="N512" i="6" s="1"/>
  <c r="P418" i="2"/>
  <c r="M512" i="6" s="1"/>
  <c r="O418" i="2"/>
  <c r="L512" i="6" s="1"/>
  <c r="N418" i="2"/>
  <c r="K512" i="6" s="1"/>
  <c r="M418" i="2"/>
  <c r="J512" i="6" s="1"/>
  <c r="L418" i="2"/>
  <c r="I512" i="6" s="1"/>
  <c r="K418" i="2"/>
  <c r="J418" i="2"/>
  <c r="G512" i="6" s="1"/>
  <c r="H418" i="2"/>
  <c r="E512" i="6" s="1"/>
  <c r="F418" i="2"/>
  <c r="E418" i="2"/>
  <c r="D418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H417" i="2" s="1"/>
  <c r="I417" i="2"/>
  <c r="F417" i="2"/>
  <c r="E417" i="2"/>
  <c r="Y416" i="2"/>
  <c r="V511" i="6" s="1"/>
  <c r="X416" i="2"/>
  <c r="U511" i="6" s="1"/>
  <c r="W416" i="2"/>
  <c r="T511" i="6" s="1"/>
  <c r="V416" i="2"/>
  <c r="S511" i="6" s="1"/>
  <c r="U416" i="2"/>
  <c r="R511" i="6" s="1"/>
  <c r="T416" i="2"/>
  <c r="Q511" i="6" s="1"/>
  <c r="S416" i="2"/>
  <c r="P511" i="6" s="1"/>
  <c r="R416" i="2"/>
  <c r="O511" i="6" s="1"/>
  <c r="Q416" i="2"/>
  <c r="N511" i="6" s="1"/>
  <c r="P416" i="2"/>
  <c r="M511" i="6" s="1"/>
  <c r="O416" i="2"/>
  <c r="L511" i="6" s="1"/>
  <c r="N416" i="2"/>
  <c r="K511" i="6" s="1"/>
  <c r="M416" i="2"/>
  <c r="J511" i="6" s="1"/>
  <c r="L416" i="2"/>
  <c r="K416" i="2"/>
  <c r="J416" i="2"/>
  <c r="G511" i="6" s="1"/>
  <c r="F416" i="2"/>
  <c r="E416" i="2"/>
  <c r="D416" i="2" s="1"/>
  <c r="Y415" i="2"/>
  <c r="V510" i="6" s="1"/>
  <c r="X415" i="2"/>
  <c r="U510" i="6" s="1"/>
  <c r="W415" i="2"/>
  <c r="T510" i="6" s="1"/>
  <c r="V415" i="2"/>
  <c r="S510" i="6" s="1"/>
  <c r="U415" i="2"/>
  <c r="R510" i="6" s="1"/>
  <c r="T415" i="2"/>
  <c r="Q510" i="6" s="1"/>
  <c r="S415" i="2"/>
  <c r="P510" i="6" s="1"/>
  <c r="R415" i="2"/>
  <c r="O510" i="6" s="1"/>
  <c r="Q415" i="2"/>
  <c r="N510" i="6" s="1"/>
  <c r="P415" i="2"/>
  <c r="M510" i="6" s="1"/>
  <c r="O415" i="2"/>
  <c r="L510" i="6" s="1"/>
  <c r="N415" i="2"/>
  <c r="K510" i="6" s="1"/>
  <c r="M415" i="2"/>
  <c r="J510" i="6" s="1"/>
  <c r="L415" i="2"/>
  <c r="I510" i="6" s="1"/>
  <c r="K415" i="2"/>
  <c r="H510" i="6" s="1"/>
  <c r="J415" i="2"/>
  <c r="I415" i="2"/>
  <c r="F510" i="6" s="1"/>
  <c r="F415" i="2"/>
  <c r="E415" i="2"/>
  <c r="Y414" i="2"/>
  <c r="V506" i="6" s="1"/>
  <c r="X414" i="2"/>
  <c r="U506" i="6" s="1"/>
  <c r="W414" i="2"/>
  <c r="T506" i="6" s="1"/>
  <c r="V414" i="2"/>
  <c r="S506" i="6" s="1"/>
  <c r="U414" i="2"/>
  <c r="R506" i="6" s="1"/>
  <c r="T414" i="2"/>
  <c r="Q506" i="6" s="1"/>
  <c r="S414" i="2"/>
  <c r="P506" i="6" s="1"/>
  <c r="R414" i="2"/>
  <c r="O506" i="6" s="1"/>
  <c r="Q414" i="2"/>
  <c r="N506" i="6" s="1"/>
  <c r="P414" i="2"/>
  <c r="M506" i="6" s="1"/>
  <c r="O414" i="2"/>
  <c r="L506" i="6" s="1"/>
  <c r="N414" i="2"/>
  <c r="K506" i="6" s="1"/>
  <c r="M414" i="2"/>
  <c r="J506" i="6" s="1"/>
  <c r="L414" i="2"/>
  <c r="I506" i="6" s="1"/>
  <c r="K414" i="2"/>
  <c r="J414" i="2"/>
  <c r="G506" i="6" s="1"/>
  <c r="F414" i="2"/>
  <c r="E414" i="2"/>
  <c r="D414" i="2" s="1"/>
  <c r="Y413" i="2"/>
  <c r="V505" i="6" s="1"/>
  <c r="X413" i="2"/>
  <c r="U505" i="6" s="1"/>
  <c r="W413" i="2"/>
  <c r="T505" i="6" s="1"/>
  <c r="V413" i="2"/>
  <c r="S505" i="6" s="1"/>
  <c r="U413" i="2"/>
  <c r="R505" i="6" s="1"/>
  <c r="T413" i="2"/>
  <c r="Q505" i="6" s="1"/>
  <c r="S413" i="2"/>
  <c r="P505" i="6" s="1"/>
  <c r="R413" i="2"/>
  <c r="O505" i="6" s="1"/>
  <c r="Q413" i="2"/>
  <c r="N505" i="6" s="1"/>
  <c r="P413" i="2"/>
  <c r="M505" i="6" s="1"/>
  <c r="O413" i="2"/>
  <c r="L505" i="6" s="1"/>
  <c r="N413" i="2"/>
  <c r="K505" i="6" s="1"/>
  <c r="M413" i="2"/>
  <c r="J505" i="6" s="1"/>
  <c r="L413" i="2"/>
  <c r="I505" i="6" s="1"/>
  <c r="K413" i="2"/>
  <c r="J413" i="2"/>
  <c r="F413" i="2"/>
  <c r="E413" i="2"/>
  <c r="D413" i="2" s="1"/>
  <c r="Y412" i="2"/>
  <c r="V504" i="6" s="1"/>
  <c r="W25" i="5" s="1"/>
  <c r="X412" i="2"/>
  <c r="U504" i="6" s="1"/>
  <c r="V25" i="5" s="1"/>
  <c r="W412" i="2"/>
  <c r="T504" i="6" s="1"/>
  <c r="U25" i="5" s="1"/>
  <c r="V412" i="2"/>
  <c r="S504" i="6" s="1"/>
  <c r="T25" i="5" s="1"/>
  <c r="U412" i="2"/>
  <c r="R504" i="6" s="1"/>
  <c r="S25" i="5" s="1"/>
  <c r="T412" i="2"/>
  <c r="Q504" i="6" s="1"/>
  <c r="R25" i="5" s="1"/>
  <c r="S412" i="2"/>
  <c r="P504" i="6" s="1"/>
  <c r="Q25" i="5" s="1"/>
  <c r="R412" i="2"/>
  <c r="O504" i="6" s="1"/>
  <c r="P25" i="5" s="1"/>
  <c r="Q412" i="2"/>
  <c r="N504" i="6" s="1"/>
  <c r="O25" i="5" s="1"/>
  <c r="P412" i="2"/>
  <c r="M504" i="6" s="1"/>
  <c r="N25" i="5" s="1"/>
  <c r="O412" i="2"/>
  <c r="L504" i="6" s="1"/>
  <c r="M25" i="5" s="1"/>
  <c r="N412" i="2"/>
  <c r="K504" i="6" s="1"/>
  <c r="L25" i="5" s="1"/>
  <c r="M412" i="2"/>
  <c r="J504" i="6" s="1"/>
  <c r="K25" i="5" s="1"/>
  <c r="L412" i="2"/>
  <c r="I504" i="6" s="1"/>
  <c r="J25" i="5" s="1"/>
  <c r="K412" i="2"/>
  <c r="J412" i="2"/>
  <c r="F412" i="2"/>
  <c r="E412" i="2"/>
  <c r="D412" i="2"/>
  <c r="Y411" i="2"/>
  <c r="V503" i="6" s="1"/>
  <c r="X411" i="2"/>
  <c r="U503" i="6" s="1"/>
  <c r="W411" i="2"/>
  <c r="T503" i="6" s="1"/>
  <c r="V411" i="2"/>
  <c r="S503" i="6" s="1"/>
  <c r="U411" i="2"/>
  <c r="R503" i="6" s="1"/>
  <c r="T411" i="2"/>
  <c r="Q503" i="6" s="1"/>
  <c r="S411" i="2"/>
  <c r="P503" i="6" s="1"/>
  <c r="R411" i="2"/>
  <c r="O503" i="6" s="1"/>
  <c r="Q411" i="2"/>
  <c r="N503" i="6" s="1"/>
  <c r="P411" i="2"/>
  <c r="M503" i="6" s="1"/>
  <c r="O411" i="2"/>
  <c r="L503" i="6" s="1"/>
  <c r="N411" i="2"/>
  <c r="K503" i="6" s="1"/>
  <c r="M411" i="2"/>
  <c r="J503" i="6" s="1"/>
  <c r="L411" i="2"/>
  <c r="I503" i="6" s="1"/>
  <c r="K411" i="2"/>
  <c r="H503" i="6" s="1"/>
  <c r="J411" i="2"/>
  <c r="F411" i="2"/>
  <c r="E411" i="2"/>
  <c r="D411" i="2" s="1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H410" i="2"/>
  <c r="F410" i="2"/>
  <c r="E410" i="2"/>
  <c r="D410" i="2"/>
  <c r="Y409" i="2"/>
  <c r="V501" i="6" s="1"/>
  <c r="X409" i="2"/>
  <c r="U501" i="6" s="1"/>
  <c r="W409" i="2"/>
  <c r="T501" i="6" s="1"/>
  <c r="V409" i="2"/>
  <c r="S501" i="6" s="1"/>
  <c r="U409" i="2"/>
  <c r="R501" i="6" s="1"/>
  <c r="T409" i="2"/>
  <c r="Q501" i="6" s="1"/>
  <c r="S409" i="2"/>
  <c r="P501" i="6" s="1"/>
  <c r="R409" i="2"/>
  <c r="O501" i="6" s="1"/>
  <c r="Q409" i="2"/>
  <c r="N501" i="6" s="1"/>
  <c r="P409" i="2"/>
  <c r="M501" i="6" s="1"/>
  <c r="O409" i="2"/>
  <c r="L501" i="6" s="1"/>
  <c r="N409" i="2"/>
  <c r="K501" i="6" s="1"/>
  <c r="M409" i="2"/>
  <c r="J501" i="6" s="1"/>
  <c r="L409" i="2"/>
  <c r="I501" i="6" s="1"/>
  <c r="K409" i="2"/>
  <c r="H501" i="6" s="1"/>
  <c r="J409" i="2"/>
  <c r="I409" i="2"/>
  <c r="F501" i="6" s="1"/>
  <c r="F409" i="2"/>
  <c r="E409" i="2"/>
  <c r="Y408" i="2"/>
  <c r="V500" i="6" s="1"/>
  <c r="X408" i="2"/>
  <c r="U500" i="6" s="1"/>
  <c r="W408" i="2"/>
  <c r="T500" i="6" s="1"/>
  <c r="V408" i="2"/>
  <c r="S500" i="6" s="1"/>
  <c r="U408" i="2"/>
  <c r="R500" i="6" s="1"/>
  <c r="T408" i="2"/>
  <c r="Q500" i="6" s="1"/>
  <c r="S408" i="2"/>
  <c r="P500" i="6" s="1"/>
  <c r="R408" i="2"/>
  <c r="O500" i="6" s="1"/>
  <c r="Q408" i="2"/>
  <c r="N500" i="6" s="1"/>
  <c r="P408" i="2"/>
  <c r="M500" i="6" s="1"/>
  <c r="O408" i="2"/>
  <c r="L500" i="6" s="1"/>
  <c r="N408" i="2"/>
  <c r="K500" i="6" s="1"/>
  <c r="M408" i="2"/>
  <c r="J500" i="6" s="1"/>
  <c r="L408" i="2"/>
  <c r="K408" i="2"/>
  <c r="J408" i="2"/>
  <c r="G500" i="6" s="1"/>
  <c r="F408" i="2"/>
  <c r="E408" i="2"/>
  <c r="Y407" i="2"/>
  <c r="V498" i="6" s="1"/>
  <c r="X407" i="2"/>
  <c r="U498" i="6" s="1"/>
  <c r="W407" i="2"/>
  <c r="T498" i="6" s="1"/>
  <c r="V407" i="2"/>
  <c r="S498" i="6" s="1"/>
  <c r="U407" i="2"/>
  <c r="R498" i="6" s="1"/>
  <c r="T407" i="2"/>
  <c r="Q498" i="6" s="1"/>
  <c r="S407" i="2"/>
  <c r="P498" i="6" s="1"/>
  <c r="R407" i="2"/>
  <c r="O498" i="6" s="1"/>
  <c r="Q407" i="2"/>
  <c r="N498" i="6" s="1"/>
  <c r="P407" i="2"/>
  <c r="M498" i="6" s="1"/>
  <c r="O407" i="2"/>
  <c r="L498" i="6" s="1"/>
  <c r="N407" i="2"/>
  <c r="K498" i="6" s="1"/>
  <c r="M407" i="2"/>
  <c r="J498" i="6" s="1"/>
  <c r="L407" i="2"/>
  <c r="I498" i="6" s="1"/>
  <c r="K407" i="2"/>
  <c r="H498" i="6" s="1"/>
  <c r="J407" i="2"/>
  <c r="I407" i="2"/>
  <c r="F498" i="6" s="1"/>
  <c r="F407" i="2"/>
  <c r="E407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I406" i="2" s="1"/>
  <c r="J406" i="2"/>
  <c r="H406" i="2" s="1"/>
  <c r="F406" i="2"/>
  <c r="E406" i="2"/>
  <c r="D406" i="2" s="1"/>
  <c r="Y405" i="2"/>
  <c r="V497" i="6" s="1"/>
  <c r="X405" i="2"/>
  <c r="U497" i="6" s="1"/>
  <c r="W405" i="2"/>
  <c r="T497" i="6" s="1"/>
  <c r="V405" i="2"/>
  <c r="S497" i="6" s="1"/>
  <c r="U405" i="2"/>
  <c r="R497" i="6" s="1"/>
  <c r="T405" i="2"/>
  <c r="Q497" i="6" s="1"/>
  <c r="S405" i="2"/>
  <c r="P497" i="6" s="1"/>
  <c r="R405" i="2"/>
  <c r="O497" i="6" s="1"/>
  <c r="Q405" i="2"/>
  <c r="N497" i="6" s="1"/>
  <c r="P405" i="2"/>
  <c r="M497" i="6" s="1"/>
  <c r="O405" i="2"/>
  <c r="L497" i="6" s="1"/>
  <c r="N405" i="2"/>
  <c r="K497" i="6" s="1"/>
  <c r="M405" i="2"/>
  <c r="J497" i="6" s="1"/>
  <c r="L405" i="2"/>
  <c r="I497" i="6" s="1"/>
  <c r="K405" i="2"/>
  <c r="J405" i="2"/>
  <c r="F405" i="2"/>
  <c r="E405" i="2"/>
  <c r="D405" i="2" s="1"/>
  <c r="Y404" i="2"/>
  <c r="V496" i="6" s="1"/>
  <c r="W24" i="5" s="1"/>
  <c r="X404" i="2"/>
  <c r="U496" i="6" s="1"/>
  <c r="V24" i="5" s="1"/>
  <c r="W404" i="2"/>
  <c r="T496" i="6" s="1"/>
  <c r="U24" i="5" s="1"/>
  <c r="V404" i="2"/>
  <c r="S496" i="6" s="1"/>
  <c r="T24" i="5" s="1"/>
  <c r="U404" i="2"/>
  <c r="R496" i="6" s="1"/>
  <c r="S24" i="5" s="1"/>
  <c r="T404" i="2"/>
  <c r="Q496" i="6" s="1"/>
  <c r="R24" i="5" s="1"/>
  <c r="S404" i="2"/>
  <c r="P496" i="6" s="1"/>
  <c r="Q24" i="5" s="1"/>
  <c r="R404" i="2"/>
  <c r="O496" i="6" s="1"/>
  <c r="P24" i="5" s="1"/>
  <c r="Q404" i="2"/>
  <c r="N496" i="6" s="1"/>
  <c r="O24" i="5" s="1"/>
  <c r="P404" i="2"/>
  <c r="M496" i="6" s="1"/>
  <c r="N24" i="5" s="1"/>
  <c r="O404" i="2"/>
  <c r="L496" i="6" s="1"/>
  <c r="M24" i="5" s="1"/>
  <c r="N404" i="2"/>
  <c r="K496" i="6" s="1"/>
  <c r="L24" i="5" s="1"/>
  <c r="M404" i="2"/>
  <c r="J496" i="6" s="1"/>
  <c r="K24" i="5" s="1"/>
  <c r="L404" i="2"/>
  <c r="I496" i="6" s="1"/>
  <c r="J24" i="5" s="1"/>
  <c r="K404" i="2"/>
  <c r="J404" i="2"/>
  <c r="F404" i="2"/>
  <c r="E404" i="2"/>
  <c r="D404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I403" i="2" s="1"/>
  <c r="J403" i="2"/>
  <c r="H403" i="2" s="1"/>
  <c r="F403" i="2"/>
  <c r="E403" i="2"/>
  <c r="D403" i="2" s="1"/>
  <c r="Y402" i="2"/>
  <c r="V494" i="6" s="1"/>
  <c r="X402" i="2"/>
  <c r="U494" i="6" s="1"/>
  <c r="W402" i="2"/>
  <c r="T494" i="6" s="1"/>
  <c r="V402" i="2"/>
  <c r="S494" i="6" s="1"/>
  <c r="U402" i="2"/>
  <c r="R494" i="6" s="1"/>
  <c r="T402" i="2"/>
  <c r="Q494" i="6" s="1"/>
  <c r="S402" i="2"/>
  <c r="P494" i="6" s="1"/>
  <c r="R402" i="2"/>
  <c r="O494" i="6" s="1"/>
  <c r="Q402" i="2"/>
  <c r="N494" i="6" s="1"/>
  <c r="P402" i="2"/>
  <c r="M494" i="6" s="1"/>
  <c r="O402" i="2"/>
  <c r="L494" i="6" s="1"/>
  <c r="N402" i="2"/>
  <c r="K494" i="6" s="1"/>
  <c r="M402" i="2"/>
  <c r="J494" i="6" s="1"/>
  <c r="L402" i="2"/>
  <c r="I494" i="6" s="1"/>
  <c r="K402" i="2"/>
  <c r="J402" i="2"/>
  <c r="G494" i="6" s="1"/>
  <c r="H402" i="2"/>
  <c r="E494" i="6" s="1"/>
  <c r="F402" i="2"/>
  <c r="E402" i="2"/>
  <c r="D402" i="2"/>
  <c r="Y401" i="2"/>
  <c r="V492" i="6" s="1"/>
  <c r="W23" i="5" s="1"/>
  <c r="X401" i="2"/>
  <c r="U492" i="6" s="1"/>
  <c r="V23" i="5" s="1"/>
  <c r="W401" i="2"/>
  <c r="T492" i="6" s="1"/>
  <c r="U23" i="5" s="1"/>
  <c r="V401" i="2"/>
  <c r="S492" i="6" s="1"/>
  <c r="T23" i="5" s="1"/>
  <c r="U401" i="2"/>
  <c r="R492" i="6" s="1"/>
  <c r="S23" i="5" s="1"/>
  <c r="T401" i="2"/>
  <c r="Q492" i="6" s="1"/>
  <c r="R23" i="5" s="1"/>
  <c r="S401" i="2"/>
  <c r="P492" i="6" s="1"/>
  <c r="Q23" i="5" s="1"/>
  <c r="R401" i="2"/>
  <c r="O492" i="6" s="1"/>
  <c r="P23" i="5" s="1"/>
  <c r="Q401" i="2"/>
  <c r="N492" i="6" s="1"/>
  <c r="O23" i="5" s="1"/>
  <c r="P401" i="2"/>
  <c r="M492" i="6" s="1"/>
  <c r="N23" i="5" s="1"/>
  <c r="O401" i="2"/>
  <c r="L492" i="6" s="1"/>
  <c r="M23" i="5" s="1"/>
  <c r="N401" i="2"/>
  <c r="K492" i="6" s="1"/>
  <c r="L23" i="5" s="1"/>
  <c r="M401" i="2"/>
  <c r="J492" i="6" s="1"/>
  <c r="K23" i="5" s="1"/>
  <c r="L401" i="2"/>
  <c r="I492" i="6" s="1"/>
  <c r="J23" i="5" s="1"/>
  <c r="K401" i="2"/>
  <c r="H492" i="6" s="1"/>
  <c r="I23" i="5" s="1"/>
  <c r="J401" i="2"/>
  <c r="I401" i="2"/>
  <c r="F492" i="6" s="1"/>
  <c r="G23" i="5" s="1"/>
  <c r="F401" i="2"/>
  <c r="E401" i="2"/>
  <c r="Y400" i="2"/>
  <c r="V491" i="6" s="1"/>
  <c r="X400" i="2"/>
  <c r="U491" i="6" s="1"/>
  <c r="W400" i="2"/>
  <c r="T491" i="6" s="1"/>
  <c r="V400" i="2"/>
  <c r="S491" i="6" s="1"/>
  <c r="U400" i="2"/>
  <c r="R491" i="6" s="1"/>
  <c r="T400" i="2"/>
  <c r="Q491" i="6" s="1"/>
  <c r="S400" i="2"/>
  <c r="P491" i="6" s="1"/>
  <c r="R400" i="2"/>
  <c r="O491" i="6" s="1"/>
  <c r="Q400" i="2"/>
  <c r="N491" i="6" s="1"/>
  <c r="P400" i="2"/>
  <c r="M491" i="6" s="1"/>
  <c r="O400" i="2"/>
  <c r="L491" i="6" s="1"/>
  <c r="N400" i="2"/>
  <c r="K491" i="6" s="1"/>
  <c r="M400" i="2"/>
  <c r="J491" i="6" s="1"/>
  <c r="L400" i="2"/>
  <c r="K400" i="2"/>
  <c r="J400" i="2"/>
  <c r="G491" i="6" s="1"/>
  <c r="F400" i="2"/>
  <c r="E400" i="2"/>
  <c r="D400" i="2" s="1"/>
  <c r="Y399" i="2"/>
  <c r="V490" i="6" s="1"/>
  <c r="X399" i="2"/>
  <c r="U490" i="6" s="1"/>
  <c r="W399" i="2"/>
  <c r="T490" i="6" s="1"/>
  <c r="V399" i="2"/>
  <c r="S490" i="6" s="1"/>
  <c r="U399" i="2"/>
  <c r="R490" i="6" s="1"/>
  <c r="T399" i="2"/>
  <c r="Q490" i="6" s="1"/>
  <c r="S399" i="2"/>
  <c r="P490" i="6" s="1"/>
  <c r="R399" i="2"/>
  <c r="O490" i="6" s="1"/>
  <c r="Q399" i="2"/>
  <c r="N490" i="6" s="1"/>
  <c r="P399" i="2"/>
  <c r="M490" i="6" s="1"/>
  <c r="O399" i="2"/>
  <c r="L490" i="6" s="1"/>
  <c r="N399" i="2"/>
  <c r="K490" i="6" s="1"/>
  <c r="M399" i="2"/>
  <c r="J490" i="6" s="1"/>
  <c r="L399" i="2"/>
  <c r="I490" i="6" s="1"/>
  <c r="K399" i="2"/>
  <c r="H490" i="6" s="1"/>
  <c r="J399" i="2"/>
  <c r="I399" i="2"/>
  <c r="F490" i="6" s="1"/>
  <c r="F399" i="2"/>
  <c r="E399" i="2"/>
  <c r="Y398" i="2"/>
  <c r="V488" i="6" s="1"/>
  <c r="X398" i="2"/>
  <c r="U488" i="6" s="1"/>
  <c r="W398" i="2"/>
  <c r="T488" i="6" s="1"/>
  <c r="V398" i="2"/>
  <c r="S488" i="6" s="1"/>
  <c r="U398" i="2"/>
  <c r="R488" i="6" s="1"/>
  <c r="T398" i="2"/>
  <c r="Q488" i="6" s="1"/>
  <c r="S398" i="2"/>
  <c r="P488" i="6" s="1"/>
  <c r="R398" i="2"/>
  <c r="O488" i="6" s="1"/>
  <c r="Q398" i="2"/>
  <c r="N488" i="6" s="1"/>
  <c r="P398" i="2"/>
  <c r="M488" i="6" s="1"/>
  <c r="O398" i="2"/>
  <c r="L488" i="6" s="1"/>
  <c r="N398" i="2"/>
  <c r="K488" i="6" s="1"/>
  <c r="M398" i="2"/>
  <c r="J488" i="6" s="1"/>
  <c r="L398" i="2"/>
  <c r="I488" i="6" s="1"/>
  <c r="K398" i="2"/>
  <c r="J398" i="2"/>
  <c r="G488" i="6" s="1"/>
  <c r="F398" i="2"/>
  <c r="E398" i="2"/>
  <c r="D398" i="2" s="1"/>
  <c r="Y397" i="2"/>
  <c r="V487" i="6" s="1"/>
  <c r="X397" i="2"/>
  <c r="U487" i="6" s="1"/>
  <c r="W397" i="2"/>
  <c r="T487" i="6" s="1"/>
  <c r="V397" i="2"/>
  <c r="S487" i="6" s="1"/>
  <c r="U397" i="2"/>
  <c r="R487" i="6" s="1"/>
  <c r="T397" i="2"/>
  <c r="Q487" i="6" s="1"/>
  <c r="S397" i="2"/>
  <c r="P487" i="6" s="1"/>
  <c r="R397" i="2"/>
  <c r="O487" i="6" s="1"/>
  <c r="Q397" i="2"/>
  <c r="N487" i="6" s="1"/>
  <c r="P397" i="2"/>
  <c r="M487" i="6" s="1"/>
  <c r="O397" i="2"/>
  <c r="L487" i="6" s="1"/>
  <c r="N397" i="2"/>
  <c r="K487" i="6" s="1"/>
  <c r="M397" i="2"/>
  <c r="J487" i="6" s="1"/>
  <c r="L397" i="2"/>
  <c r="I487" i="6" s="1"/>
  <c r="K397" i="2"/>
  <c r="J397" i="2"/>
  <c r="F397" i="2"/>
  <c r="E397" i="2"/>
  <c r="D397" i="2" s="1"/>
  <c r="Y396" i="2"/>
  <c r="V486" i="6" s="1"/>
  <c r="X396" i="2"/>
  <c r="U486" i="6" s="1"/>
  <c r="W396" i="2"/>
  <c r="T486" i="6" s="1"/>
  <c r="V396" i="2"/>
  <c r="S486" i="6" s="1"/>
  <c r="U396" i="2"/>
  <c r="R486" i="6" s="1"/>
  <c r="T396" i="2"/>
  <c r="Q486" i="6" s="1"/>
  <c r="S396" i="2"/>
  <c r="P486" i="6" s="1"/>
  <c r="R396" i="2"/>
  <c r="O486" i="6" s="1"/>
  <c r="Q396" i="2"/>
  <c r="N486" i="6" s="1"/>
  <c r="P396" i="2"/>
  <c r="M486" i="6" s="1"/>
  <c r="O396" i="2"/>
  <c r="L486" i="6" s="1"/>
  <c r="N396" i="2"/>
  <c r="K486" i="6" s="1"/>
  <c r="M396" i="2"/>
  <c r="J486" i="6" s="1"/>
  <c r="L396" i="2"/>
  <c r="I486" i="6" s="1"/>
  <c r="K396" i="2"/>
  <c r="J396" i="2"/>
  <c r="F396" i="2"/>
  <c r="E396" i="2"/>
  <c r="D396" i="2"/>
  <c r="Y395" i="2"/>
  <c r="V485" i="6" s="1"/>
  <c r="X395" i="2"/>
  <c r="U485" i="6" s="1"/>
  <c r="W395" i="2"/>
  <c r="T485" i="6" s="1"/>
  <c r="V395" i="2"/>
  <c r="S485" i="6" s="1"/>
  <c r="U395" i="2"/>
  <c r="R485" i="6" s="1"/>
  <c r="T395" i="2"/>
  <c r="Q485" i="6" s="1"/>
  <c r="S395" i="2"/>
  <c r="P485" i="6" s="1"/>
  <c r="R395" i="2"/>
  <c r="O485" i="6" s="1"/>
  <c r="Q395" i="2"/>
  <c r="N485" i="6" s="1"/>
  <c r="P395" i="2"/>
  <c r="M485" i="6" s="1"/>
  <c r="O395" i="2"/>
  <c r="L485" i="6" s="1"/>
  <c r="N395" i="2"/>
  <c r="K485" i="6" s="1"/>
  <c r="M395" i="2"/>
  <c r="J485" i="6" s="1"/>
  <c r="L395" i="2"/>
  <c r="I485" i="6" s="1"/>
  <c r="K395" i="2"/>
  <c r="H485" i="6" s="1"/>
  <c r="J395" i="2"/>
  <c r="F395" i="2"/>
  <c r="E395" i="2"/>
  <c r="D395" i="2" s="1"/>
  <c r="Y394" i="2"/>
  <c r="V482" i="6" s="1"/>
  <c r="X394" i="2"/>
  <c r="U482" i="6" s="1"/>
  <c r="W394" i="2"/>
  <c r="T482" i="6" s="1"/>
  <c r="V394" i="2"/>
  <c r="S482" i="6" s="1"/>
  <c r="U394" i="2"/>
  <c r="R482" i="6" s="1"/>
  <c r="T394" i="2"/>
  <c r="Q482" i="6" s="1"/>
  <c r="S394" i="2"/>
  <c r="P482" i="6" s="1"/>
  <c r="R394" i="2"/>
  <c r="O482" i="6" s="1"/>
  <c r="Q394" i="2"/>
  <c r="N482" i="6" s="1"/>
  <c r="P394" i="2"/>
  <c r="M482" i="6" s="1"/>
  <c r="O394" i="2"/>
  <c r="L482" i="6" s="1"/>
  <c r="N394" i="2"/>
  <c r="K482" i="6" s="1"/>
  <c r="M394" i="2"/>
  <c r="J482" i="6" s="1"/>
  <c r="L394" i="2"/>
  <c r="I482" i="6" s="1"/>
  <c r="K394" i="2"/>
  <c r="J394" i="2"/>
  <c r="G482" i="6" s="1"/>
  <c r="H394" i="2"/>
  <c r="E482" i="6" s="1"/>
  <c r="F394" i="2"/>
  <c r="E394" i="2"/>
  <c r="D394" i="2"/>
  <c r="Y393" i="2"/>
  <c r="V481" i="6" s="1"/>
  <c r="X393" i="2"/>
  <c r="U481" i="6" s="1"/>
  <c r="W393" i="2"/>
  <c r="T481" i="6" s="1"/>
  <c r="V393" i="2"/>
  <c r="S481" i="6" s="1"/>
  <c r="U393" i="2"/>
  <c r="R481" i="6" s="1"/>
  <c r="T393" i="2"/>
  <c r="Q481" i="6" s="1"/>
  <c r="S393" i="2"/>
  <c r="P481" i="6" s="1"/>
  <c r="R393" i="2"/>
  <c r="O481" i="6" s="1"/>
  <c r="Q393" i="2"/>
  <c r="N481" i="6" s="1"/>
  <c r="P393" i="2"/>
  <c r="M481" i="6" s="1"/>
  <c r="O393" i="2"/>
  <c r="L481" i="6" s="1"/>
  <c r="N393" i="2"/>
  <c r="K481" i="6" s="1"/>
  <c r="M393" i="2"/>
  <c r="J481" i="6" s="1"/>
  <c r="L393" i="2"/>
  <c r="I481" i="6" s="1"/>
  <c r="K393" i="2"/>
  <c r="H481" i="6" s="1"/>
  <c r="J393" i="2"/>
  <c r="I393" i="2"/>
  <c r="F481" i="6" s="1"/>
  <c r="F393" i="2"/>
  <c r="E393" i="2"/>
  <c r="Y392" i="2"/>
  <c r="V480" i="6" s="1"/>
  <c r="X392" i="2"/>
  <c r="U480" i="6" s="1"/>
  <c r="W392" i="2"/>
  <c r="T480" i="6" s="1"/>
  <c r="V392" i="2"/>
  <c r="S480" i="6" s="1"/>
  <c r="U392" i="2"/>
  <c r="R480" i="6" s="1"/>
  <c r="T392" i="2"/>
  <c r="Q480" i="6" s="1"/>
  <c r="S392" i="2"/>
  <c r="P480" i="6" s="1"/>
  <c r="R392" i="2"/>
  <c r="O480" i="6" s="1"/>
  <c r="Q392" i="2"/>
  <c r="N480" i="6" s="1"/>
  <c r="P392" i="2"/>
  <c r="M480" i="6" s="1"/>
  <c r="O392" i="2"/>
  <c r="L480" i="6" s="1"/>
  <c r="N392" i="2"/>
  <c r="K480" i="6" s="1"/>
  <c r="M392" i="2"/>
  <c r="J480" i="6" s="1"/>
  <c r="L392" i="2"/>
  <c r="K392" i="2"/>
  <c r="J392" i="2"/>
  <c r="G480" i="6" s="1"/>
  <c r="F392" i="2"/>
  <c r="E392" i="2"/>
  <c r="Y391" i="2"/>
  <c r="V478" i="6" s="1"/>
  <c r="X391" i="2"/>
  <c r="U478" i="6" s="1"/>
  <c r="W391" i="2"/>
  <c r="T478" i="6" s="1"/>
  <c r="V391" i="2"/>
  <c r="S478" i="6" s="1"/>
  <c r="U391" i="2"/>
  <c r="R478" i="6" s="1"/>
  <c r="T391" i="2"/>
  <c r="Q478" i="6" s="1"/>
  <c r="S391" i="2"/>
  <c r="P478" i="6" s="1"/>
  <c r="R391" i="2"/>
  <c r="O478" i="6" s="1"/>
  <c r="Q391" i="2"/>
  <c r="N478" i="6" s="1"/>
  <c r="P391" i="2"/>
  <c r="M478" i="6" s="1"/>
  <c r="O391" i="2"/>
  <c r="L478" i="6" s="1"/>
  <c r="N391" i="2"/>
  <c r="K478" i="6" s="1"/>
  <c r="M391" i="2"/>
  <c r="J478" i="6" s="1"/>
  <c r="L391" i="2"/>
  <c r="I478" i="6" s="1"/>
  <c r="K391" i="2"/>
  <c r="H478" i="6" s="1"/>
  <c r="J391" i="2"/>
  <c r="I391" i="2"/>
  <c r="F478" i="6" s="1"/>
  <c r="F391" i="2"/>
  <c r="E391" i="2"/>
  <c r="Y390" i="2"/>
  <c r="V477" i="6" s="1"/>
  <c r="X390" i="2"/>
  <c r="U477" i="6" s="1"/>
  <c r="W390" i="2"/>
  <c r="T477" i="6" s="1"/>
  <c r="V390" i="2"/>
  <c r="S477" i="6" s="1"/>
  <c r="U390" i="2"/>
  <c r="R477" i="6" s="1"/>
  <c r="T390" i="2"/>
  <c r="Q477" i="6" s="1"/>
  <c r="S390" i="2"/>
  <c r="P477" i="6" s="1"/>
  <c r="R390" i="2"/>
  <c r="O477" i="6" s="1"/>
  <c r="Q390" i="2"/>
  <c r="N477" i="6" s="1"/>
  <c r="P390" i="2"/>
  <c r="M477" i="6" s="1"/>
  <c r="O390" i="2"/>
  <c r="L477" i="6" s="1"/>
  <c r="N390" i="2"/>
  <c r="K477" i="6" s="1"/>
  <c r="M390" i="2"/>
  <c r="J477" i="6" s="1"/>
  <c r="L390" i="2"/>
  <c r="I477" i="6" s="1"/>
  <c r="K390" i="2"/>
  <c r="J390" i="2"/>
  <c r="G477" i="6" s="1"/>
  <c r="F390" i="2"/>
  <c r="E390" i="2"/>
  <c r="D390" i="2" s="1"/>
  <c r="Y389" i="2"/>
  <c r="V476" i="6" s="1"/>
  <c r="X389" i="2"/>
  <c r="U476" i="6" s="1"/>
  <c r="W389" i="2"/>
  <c r="T476" i="6" s="1"/>
  <c r="V389" i="2"/>
  <c r="S476" i="6" s="1"/>
  <c r="U389" i="2"/>
  <c r="R476" i="6" s="1"/>
  <c r="T389" i="2"/>
  <c r="Q476" i="6" s="1"/>
  <c r="S389" i="2"/>
  <c r="P476" i="6" s="1"/>
  <c r="R389" i="2"/>
  <c r="O476" i="6" s="1"/>
  <c r="Q389" i="2"/>
  <c r="N476" i="6" s="1"/>
  <c r="P389" i="2"/>
  <c r="M476" i="6" s="1"/>
  <c r="O389" i="2"/>
  <c r="L476" i="6" s="1"/>
  <c r="N389" i="2"/>
  <c r="K476" i="6" s="1"/>
  <c r="M389" i="2"/>
  <c r="J476" i="6" s="1"/>
  <c r="L389" i="2"/>
  <c r="I476" i="6" s="1"/>
  <c r="K389" i="2"/>
  <c r="J389" i="2"/>
  <c r="F389" i="2"/>
  <c r="E389" i="2"/>
  <c r="D389" i="2" s="1"/>
  <c r="Y388" i="2"/>
  <c r="V475" i="6" s="1"/>
  <c r="X388" i="2"/>
  <c r="U475" i="6" s="1"/>
  <c r="W388" i="2"/>
  <c r="T475" i="6" s="1"/>
  <c r="V388" i="2"/>
  <c r="S475" i="6" s="1"/>
  <c r="U388" i="2"/>
  <c r="R475" i="6" s="1"/>
  <c r="T388" i="2"/>
  <c r="Q475" i="6" s="1"/>
  <c r="S388" i="2"/>
  <c r="P475" i="6" s="1"/>
  <c r="R388" i="2"/>
  <c r="O475" i="6" s="1"/>
  <c r="Q388" i="2"/>
  <c r="N475" i="6" s="1"/>
  <c r="P388" i="2"/>
  <c r="M475" i="6" s="1"/>
  <c r="O388" i="2"/>
  <c r="L475" i="6" s="1"/>
  <c r="N388" i="2"/>
  <c r="K475" i="6" s="1"/>
  <c r="M388" i="2"/>
  <c r="J475" i="6" s="1"/>
  <c r="L388" i="2"/>
  <c r="I475" i="6" s="1"/>
  <c r="K388" i="2"/>
  <c r="J388" i="2"/>
  <c r="F388" i="2"/>
  <c r="E388" i="2"/>
  <c r="D388" i="2"/>
  <c r="Y387" i="2"/>
  <c r="V57" i="6" s="1"/>
  <c r="W41" i="5" s="1"/>
  <c r="X387" i="2"/>
  <c r="U57" i="6" s="1"/>
  <c r="V41" i="5" s="1"/>
  <c r="W387" i="2"/>
  <c r="T57" i="6" s="1"/>
  <c r="U41" i="5" s="1"/>
  <c r="V387" i="2"/>
  <c r="S57" i="6" s="1"/>
  <c r="T41" i="5" s="1"/>
  <c r="U387" i="2"/>
  <c r="R57" i="6" s="1"/>
  <c r="S41" i="5" s="1"/>
  <c r="T387" i="2"/>
  <c r="Q57" i="6" s="1"/>
  <c r="R41" i="5" s="1"/>
  <c r="S387" i="2"/>
  <c r="P57" i="6" s="1"/>
  <c r="Q41" i="5" s="1"/>
  <c r="R387" i="2"/>
  <c r="O57" i="6" s="1"/>
  <c r="P41" i="5" s="1"/>
  <c r="Q387" i="2"/>
  <c r="N57" i="6" s="1"/>
  <c r="O41" i="5" s="1"/>
  <c r="P387" i="2"/>
  <c r="M57" i="6" s="1"/>
  <c r="N41" i="5" s="1"/>
  <c r="O387" i="2"/>
  <c r="L57" i="6" s="1"/>
  <c r="M41" i="5" s="1"/>
  <c r="N387" i="2"/>
  <c r="K57" i="6" s="1"/>
  <c r="L41" i="5" s="1"/>
  <c r="M387" i="2"/>
  <c r="J57" i="6" s="1"/>
  <c r="K41" i="5" s="1"/>
  <c r="L387" i="2"/>
  <c r="I57" i="6" s="1"/>
  <c r="J41" i="5" s="1"/>
  <c r="K387" i="2"/>
  <c r="H57" i="6" s="1"/>
  <c r="I41" i="5" s="1"/>
  <c r="J387" i="2"/>
  <c r="F387" i="2"/>
  <c r="E387" i="2"/>
  <c r="D387" i="2" s="1"/>
  <c r="Y386" i="2"/>
  <c r="V474" i="6" s="1"/>
  <c r="X386" i="2"/>
  <c r="U474" i="6" s="1"/>
  <c r="W386" i="2"/>
  <c r="T474" i="6" s="1"/>
  <c r="V386" i="2"/>
  <c r="S474" i="6" s="1"/>
  <c r="U386" i="2"/>
  <c r="R474" i="6" s="1"/>
  <c r="T386" i="2"/>
  <c r="Q474" i="6" s="1"/>
  <c r="S386" i="2"/>
  <c r="P474" i="6" s="1"/>
  <c r="R386" i="2"/>
  <c r="O474" i="6" s="1"/>
  <c r="Q386" i="2"/>
  <c r="N474" i="6" s="1"/>
  <c r="P386" i="2"/>
  <c r="M474" i="6" s="1"/>
  <c r="O386" i="2"/>
  <c r="L474" i="6" s="1"/>
  <c r="N386" i="2"/>
  <c r="K474" i="6" s="1"/>
  <c r="M386" i="2"/>
  <c r="J474" i="6" s="1"/>
  <c r="L386" i="2"/>
  <c r="I474" i="6" s="1"/>
  <c r="K386" i="2"/>
  <c r="J386" i="2"/>
  <c r="G474" i="6" s="1"/>
  <c r="H386" i="2"/>
  <c r="E474" i="6" s="1"/>
  <c r="F386" i="2"/>
  <c r="E386" i="2"/>
  <c r="D386" i="2"/>
  <c r="Y385" i="2"/>
  <c r="V473" i="6" s="1"/>
  <c r="X385" i="2"/>
  <c r="U473" i="6" s="1"/>
  <c r="W385" i="2"/>
  <c r="T473" i="6" s="1"/>
  <c r="V385" i="2"/>
  <c r="S473" i="6" s="1"/>
  <c r="U385" i="2"/>
  <c r="R473" i="6" s="1"/>
  <c r="T385" i="2"/>
  <c r="Q473" i="6" s="1"/>
  <c r="S385" i="2"/>
  <c r="P473" i="6" s="1"/>
  <c r="R385" i="2"/>
  <c r="O473" i="6" s="1"/>
  <c r="Q385" i="2"/>
  <c r="N473" i="6" s="1"/>
  <c r="P385" i="2"/>
  <c r="M473" i="6" s="1"/>
  <c r="O385" i="2"/>
  <c r="L473" i="6" s="1"/>
  <c r="N385" i="2"/>
  <c r="K473" i="6" s="1"/>
  <c r="M385" i="2"/>
  <c r="J473" i="6" s="1"/>
  <c r="L385" i="2"/>
  <c r="I473" i="6" s="1"/>
  <c r="K385" i="2"/>
  <c r="H473" i="6" s="1"/>
  <c r="J385" i="2"/>
  <c r="I385" i="2"/>
  <c r="F473" i="6" s="1"/>
  <c r="F385" i="2"/>
  <c r="E385" i="2"/>
  <c r="Y384" i="2"/>
  <c r="V472" i="6" s="1"/>
  <c r="W55" i="5" s="1"/>
  <c r="X384" i="2"/>
  <c r="U472" i="6" s="1"/>
  <c r="V55" i="5" s="1"/>
  <c r="W384" i="2"/>
  <c r="T472" i="6" s="1"/>
  <c r="U55" i="5" s="1"/>
  <c r="V384" i="2"/>
  <c r="S472" i="6" s="1"/>
  <c r="T55" i="5" s="1"/>
  <c r="U384" i="2"/>
  <c r="R472" i="6" s="1"/>
  <c r="S55" i="5" s="1"/>
  <c r="T384" i="2"/>
  <c r="Q472" i="6" s="1"/>
  <c r="R55" i="5" s="1"/>
  <c r="S384" i="2"/>
  <c r="P472" i="6" s="1"/>
  <c r="Q55" i="5" s="1"/>
  <c r="R384" i="2"/>
  <c r="O472" i="6" s="1"/>
  <c r="P55" i="5" s="1"/>
  <c r="Q384" i="2"/>
  <c r="N472" i="6" s="1"/>
  <c r="O55" i="5" s="1"/>
  <c r="P384" i="2"/>
  <c r="M472" i="6" s="1"/>
  <c r="N55" i="5" s="1"/>
  <c r="O384" i="2"/>
  <c r="L472" i="6" s="1"/>
  <c r="M55" i="5" s="1"/>
  <c r="N384" i="2"/>
  <c r="K472" i="6" s="1"/>
  <c r="L55" i="5" s="1"/>
  <c r="M384" i="2"/>
  <c r="J472" i="6" s="1"/>
  <c r="K55" i="5" s="1"/>
  <c r="L384" i="2"/>
  <c r="K384" i="2"/>
  <c r="J384" i="2"/>
  <c r="G472" i="6" s="1"/>
  <c r="H55" i="5" s="1"/>
  <c r="F384" i="2"/>
  <c r="E384" i="2"/>
  <c r="D384" i="2" s="1"/>
  <c r="Y383" i="2"/>
  <c r="V471" i="6" s="1"/>
  <c r="X383" i="2"/>
  <c r="U471" i="6" s="1"/>
  <c r="W383" i="2"/>
  <c r="T471" i="6" s="1"/>
  <c r="V383" i="2"/>
  <c r="S471" i="6" s="1"/>
  <c r="U383" i="2"/>
  <c r="R471" i="6" s="1"/>
  <c r="T383" i="2"/>
  <c r="Q471" i="6" s="1"/>
  <c r="S383" i="2"/>
  <c r="P471" i="6" s="1"/>
  <c r="R383" i="2"/>
  <c r="O471" i="6" s="1"/>
  <c r="Q383" i="2"/>
  <c r="N471" i="6" s="1"/>
  <c r="P383" i="2"/>
  <c r="M471" i="6" s="1"/>
  <c r="O383" i="2"/>
  <c r="L471" i="6" s="1"/>
  <c r="N383" i="2"/>
  <c r="K471" i="6" s="1"/>
  <c r="M383" i="2"/>
  <c r="J471" i="6" s="1"/>
  <c r="L383" i="2"/>
  <c r="I471" i="6" s="1"/>
  <c r="K383" i="2"/>
  <c r="H471" i="6" s="1"/>
  <c r="J383" i="2"/>
  <c r="I383" i="2"/>
  <c r="F471" i="6" s="1"/>
  <c r="F383" i="2"/>
  <c r="E383" i="2"/>
  <c r="Y382" i="2"/>
  <c r="V470" i="6" s="1"/>
  <c r="X382" i="2"/>
  <c r="U470" i="6" s="1"/>
  <c r="W382" i="2"/>
  <c r="T470" i="6" s="1"/>
  <c r="V382" i="2"/>
  <c r="S470" i="6" s="1"/>
  <c r="U382" i="2"/>
  <c r="R470" i="6" s="1"/>
  <c r="T382" i="2"/>
  <c r="Q470" i="6" s="1"/>
  <c r="S382" i="2"/>
  <c r="P470" i="6" s="1"/>
  <c r="R382" i="2"/>
  <c r="O470" i="6" s="1"/>
  <c r="Q382" i="2"/>
  <c r="N470" i="6" s="1"/>
  <c r="P382" i="2"/>
  <c r="M470" i="6" s="1"/>
  <c r="O382" i="2"/>
  <c r="L470" i="6" s="1"/>
  <c r="N382" i="2"/>
  <c r="K470" i="6" s="1"/>
  <c r="M382" i="2"/>
  <c r="J470" i="6" s="1"/>
  <c r="L382" i="2"/>
  <c r="I470" i="6" s="1"/>
  <c r="K382" i="2"/>
  <c r="J382" i="2"/>
  <c r="G470" i="6" s="1"/>
  <c r="F382" i="2"/>
  <c r="E382" i="2"/>
  <c r="D382" i="2" s="1"/>
  <c r="Y381" i="2"/>
  <c r="V469" i="6" s="1"/>
  <c r="X381" i="2"/>
  <c r="U469" i="6" s="1"/>
  <c r="W381" i="2"/>
  <c r="T469" i="6" s="1"/>
  <c r="V381" i="2"/>
  <c r="S469" i="6" s="1"/>
  <c r="U381" i="2"/>
  <c r="R469" i="6" s="1"/>
  <c r="T381" i="2"/>
  <c r="Q469" i="6" s="1"/>
  <c r="S381" i="2"/>
  <c r="P469" i="6" s="1"/>
  <c r="R381" i="2"/>
  <c r="O469" i="6" s="1"/>
  <c r="Q381" i="2"/>
  <c r="N469" i="6" s="1"/>
  <c r="P381" i="2"/>
  <c r="M469" i="6" s="1"/>
  <c r="O381" i="2"/>
  <c r="L469" i="6" s="1"/>
  <c r="N381" i="2"/>
  <c r="K469" i="6" s="1"/>
  <c r="M381" i="2"/>
  <c r="J469" i="6" s="1"/>
  <c r="L381" i="2"/>
  <c r="I469" i="6" s="1"/>
  <c r="K381" i="2"/>
  <c r="J381" i="2"/>
  <c r="F381" i="2"/>
  <c r="E381" i="2"/>
  <c r="D381" i="2" s="1"/>
  <c r="Y380" i="2"/>
  <c r="V468" i="6" s="1"/>
  <c r="X380" i="2"/>
  <c r="U468" i="6" s="1"/>
  <c r="W380" i="2"/>
  <c r="T468" i="6" s="1"/>
  <c r="V380" i="2"/>
  <c r="S468" i="6" s="1"/>
  <c r="U380" i="2"/>
  <c r="R468" i="6" s="1"/>
  <c r="T380" i="2"/>
  <c r="Q468" i="6" s="1"/>
  <c r="S380" i="2"/>
  <c r="P468" i="6" s="1"/>
  <c r="R380" i="2"/>
  <c r="O468" i="6" s="1"/>
  <c r="Q380" i="2"/>
  <c r="N468" i="6" s="1"/>
  <c r="P380" i="2"/>
  <c r="M468" i="6" s="1"/>
  <c r="O380" i="2"/>
  <c r="L468" i="6" s="1"/>
  <c r="N380" i="2"/>
  <c r="K468" i="6" s="1"/>
  <c r="M380" i="2"/>
  <c r="J468" i="6" s="1"/>
  <c r="L380" i="2"/>
  <c r="I468" i="6" s="1"/>
  <c r="K380" i="2"/>
  <c r="J380" i="2"/>
  <c r="F380" i="2"/>
  <c r="E380" i="2"/>
  <c r="D380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I379" i="2" s="1"/>
  <c r="J379" i="2"/>
  <c r="H379" i="2" s="1"/>
  <c r="G379" i="2" s="1"/>
  <c r="F379" i="2"/>
  <c r="E379" i="2"/>
  <c r="D379" i="2" s="1"/>
  <c r="Y378" i="2"/>
  <c r="V466" i="6" s="1"/>
  <c r="W21" i="5" s="1"/>
  <c r="X378" i="2"/>
  <c r="U466" i="6" s="1"/>
  <c r="V21" i="5" s="1"/>
  <c r="W378" i="2"/>
  <c r="T466" i="6" s="1"/>
  <c r="U21" i="5" s="1"/>
  <c r="V378" i="2"/>
  <c r="S466" i="6" s="1"/>
  <c r="T21" i="5" s="1"/>
  <c r="U378" i="2"/>
  <c r="R466" i="6" s="1"/>
  <c r="S21" i="5" s="1"/>
  <c r="T378" i="2"/>
  <c r="Q466" i="6" s="1"/>
  <c r="R21" i="5" s="1"/>
  <c r="S378" i="2"/>
  <c r="P466" i="6" s="1"/>
  <c r="Q21" i="5" s="1"/>
  <c r="R378" i="2"/>
  <c r="O466" i="6" s="1"/>
  <c r="P21" i="5" s="1"/>
  <c r="Q378" i="2"/>
  <c r="N466" i="6" s="1"/>
  <c r="O21" i="5" s="1"/>
  <c r="P378" i="2"/>
  <c r="M466" i="6" s="1"/>
  <c r="N21" i="5" s="1"/>
  <c r="O378" i="2"/>
  <c r="L466" i="6" s="1"/>
  <c r="M21" i="5" s="1"/>
  <c r="N378" i="2"/>
  <c r="K466" i="6" s="1"/>
  <c r="L21" i="5" s="1"/>
  <c r="M378" i="2"/>
  <c r="J466" i="6" s="1"/>
  <c r="K21" i="5" s="1"/>
  <c r="L378" i="2"/>
  <c r="I466" i="6" s="1"/>
  <c r="J21" i="5" s="1"/>
  <c r="K378" i="2"/>
  <c r="J378" i="2"/>
  <c r="G466" i="6" s="1"/>
  <c r="H21" i="5" s="1"/>
  <c r="H378" i="2"/>
  <c r="E466" i="6" s="1"/>
  <c r="F21" i="5" s="1"/>
  <c r="F378" i="2"/>
  <c r="E378" i="2"/>
  <c r="D378" i="2"/>
  <c r="Y377" i="2"/>
  <c r="V465" i="6" s="1"/>
  <c r="X377" i="2"/>
  <c r="U465" i="6" s="1"/>
  <c r="W377" i="2"/>
  <c r="T465" i="6" s="1"/>
  <c r="V377" i="2"/>
  <c r="S465" i="6" s="1"/>
  <c r="U377" i="2"/>
  <c r="R465" i="6" s="1"/>
  <c r="T377" i="2"/>
  <c r="Q465" i="6" s="1"/>
  <c r="S377" i="2"/>
  <c r="P465" i="6" s="1"/>
  <c r="R377" i="2"/>
  <c r="O465" i="6" s="1"/>
  <c r="Q377" i="2"/>
  <c r="N465" i="6" s="1"/>
  <c r="P377" i="2"/>
  <c r="M465" i="6" s="1"/>
  <c r="O377" i="2"/>
  <c r="L465" i="6" s="1"/>
  <c r="N377" i="2"/>
  <c r="K465" i="6" s="1"/>
  <c r="M377" i="2"/>
  <c r="J465" i="6" s="1"/>
  <c r="L377" i="2"/>
  <c r="I465" i="6" s="1"/>
  <c r="K377" i="2"/>
  <c r="H465" i="6" s="1"/>
  <c r="J377" i="2"/>
  <c r="I377" i="2"/>
  <c r="F465" i="6" s="1"/>
  <c r="F377" i="2"/>
  <c r="E377" i="2"/>
  <c r="Y376" i="2"/>
  <c r="V464" i="6" s="1"/>
  <c r="X376" i="2"/>
  <c r="U464" i="6" s="1"/>
  <c r="W376" i="2"/>
  <c r="T464" i="6" s="1"/>
  <c r="V376" i="2"/>
  <c r="S464" i="6" s="1"/>
  <c r="U376" i="2"/>
  <c r="R464" i="6" s="1"/>
  <c r="T376" i="2"/>
  <c r="Q464" i="6" s="1"/>
  <c r="S376" i="2"/>
  <c r="P464" i="6" s="1"/>
  <c r="R376" i="2"/>
  <c r="O464" i="6" s="1"/>
  <c r="Q376" i="2"/>
  <c r="N464" i="6" s="1"/>
  <c r="P376" i="2"/>
  <c r="M464" i="6" s="1"/>
  <c r="O376" i="2"/>
  <c r="L464" i="6" s="1"/>
  <c r="N376" i="2"/>
  <c r="K464" i="6" s="1"/>
  <c r="M376" i="2"/>
  <c r="J464" i="6" s="1"/>
  <c r="L376" i="2"/>
  <c r="K376" i="2"/>
  <c r="J376" i="2"/>
  <c r="G464" i="6" s="1"/>
  <c r="F376" i="2"/>
  <c r="E376" i="2"/>
  <c r="Y375" i="2"/>
  <c r="V463" i="6" s="1"/>
  <c r="W54" i="5" s="1"/>
  <c r="X375" i="2"/>
  <c r="U463" i="6" s="1"/>
  <c r="V54" i="5" s="1"/>
  <c r="W375" i="2"/>
  <c r="T463" i="6" s="1"/>
  <c r="U54" i="5" s="1"/>
  <c r="V375" i="2"/>
  <c r="S463" i="6" s="1"/>
  <c r="T54" i="5" s="1"/>
  <c r="U375" i="2"/>
  <c r="R463" i="6" s="1"/>
  <c r="S54" i="5" s="1"/>
  <c r="T375" i="2"/>
  <c r="Q463" i="6" s="1"/>
  <c r="R54" i="5" s="1"/>
  <c r="S375" i="2"/>
  <c r="P463" i="6" s="1"/>
  <c r="Q54" i="5" s="1"/>
  <c r="R375" i="2"/>
  <c r="O463" i="6" s="1"/>
  <c r="P54" i="5" s="1"/>
  <c r="Q375" i="2"/>
  <c r="N463" i="6" s="1"/>
  <c r="O54" i="5" s="1"/>
  <c r="P375" i="2"/>
  <c r="M463" i="6" s="1"/>
  <c r="N54" i="5" s="1"/>
  <c r="O375" i="2"/>
  <c r="L463" i="6" s="1"/>
  <c r="M54" i="5" s="1"/>
  <c r="N375" i="2"/>
  <c r="K463" i="6" s="1"/>
  <c r="L54" i="5" s="1"/>
  <c r="M375" i="2"/>
  <c r="J463" i="6" s="1"/>
  <c r="K54" i="5" s="1"/>
  <c r="L375" i="2"/>
  <c r="I463" i="6" s="1"/>
  <c r="J54" i="5" s="1"/>
  <c r="K375" i="2"/>
  <c r="H463" i="6" s="1"/>
  <c r="I54" i="5" s="1"/>
  <c r="J375" i="2"/>
  <c r="I375" i="2"/>
  <c r="F463" i="6" s="1"/>
  <c r="G54" i="5" s="1"/>
  <c r="F375" i="2"/>
  <c r="E375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I374" i="2" s="1"/>
  <c r="J374" i="2"/>
  <c r="H374" i="2" s="1"/>
  <c r="F374" i="2"/>
  <c r="E374" i="2"/>
  <c r="D374" i="2" s="1"/>
  <c r="Y373" i="2"/>
  <c r="V460" i="6" s="1"/>
  <c r="X373" i="2"/>
  <c r="U460" i="6" s="1"/>
  <c r="W373" i="2"/>
  <c r="T460" i="6" s="1"/>
  <c r="V373" i="2"/>
  <c r="S460" i="6" s="1"/>
  <c r="U373" i="2"/>
  <c r="R460" i="6" s="1"/>
  <c r="T373" i="2"/>
  <c r="Q460" i="6" s="1"/>
  <c r="S373" i="2"/>
  <c r="P460" i="6" s="1"/>
  <c r="R373" i="2"/>
  <c r="O460" i="6" s="1"/>
  <c r="Q373" i="2"/>
  <c r="N460" i="6" s="1"/>
  <c r="P373" i="2"/>
  <c r="M460" i="6" s="1"/>
  <c r="O373" i="2"/>
  <c r="L460" i="6" s="1"/>
  <c r="N373" i="2"/>
  <c r="K460" i="6" s="1"/>
  <c r="M373" i="2"/>
  <c r="J460" i="6" s="1"/>
  <c r="L373" i="2"/>
  <c r="I460" i="6" s="1"/>
  <c r="K373" i="2"/>
  <c r="J373" i="2"/>
  <c r="F373" i="2"/>
  <c r="E373" i="2"/>
  <c r="D373" i="2" s="1"/>
  <c r="Y372" i="2"/>
  <c r="V458" i="6" s="1"/>
  <c r="X372" i="2"/>
  <c r="U458" i="6" s="1"/>
  <c r="W372" i="2"/>
  <c r="T458" i="6" s="1"/>
  <c r="V372" i="2"/>
  <c r="S458" i="6" s="1"/>
  <c r="U372" i="2"/>
  <c r="R458" i="6" s="1"/>
  <c r="T372" i="2"/>
  <c r="Q458" i="6" s="1"/>
  <c r="S372" i="2"/>
  <c r="P458" i="6" s="1"/>
  <c r="R372" i="2"/>
  <c r="O458" i="6" s="1"/>
  <c r="Q372" i="2"/>
  <c r="N458" i="6" s="1"/>
  <c r="P372" i="2"/>
  <c r="M458" i="6" s="1"/>
  <c r="O372" i="2"/>
  <c r="L458" i="6" s="1"/>
  <c r="N372" i="2"/>
  <c r="K458" i="6" s="1"/>
  <c r="M372" i="2"/>
  <c r="J458" i="6" s="1"/>
  <c r="L372" i="2"/>
  <c r="I458" i="6" s="1"/>
  <c r="K372" i="2"/>
  <c r="J372" i="2"/>
  <c r="F372" i="2"/>
  <c r="E372" i="2"/>
  <c r="D372" i="2"/>
  <c r="Y371" i="2"/>
  <c r="V456" i="6" s="1"/>
  <c r="X371" i="2"/>
  <c r="U456" i="6" s="1"/>
  <c r="W371" i="2"/>
  <c r="T456" i="6" s="1"/>
  <c r="V371" i="2"/>
  <c r="S456" i="6" s="1"/>
  <c r="U371" i="2"/>
  <c r="R456" i="6" s="1"/>
  <c r="T371" i="2"/>
  <c r="Q456" i="6" s="1"/>
  <c r="S371" i="2"/>
  <c r="P456" i="6" s="1"/>
  <c r="R371" i="2"/>
  <c r="O456" i="6" s="1"/>
  <c r="Q371" i="2"/>
  <c r="N456" i="6" s="1"/>
  <c r="P371" i="2"/>
  <c r="M456" i="6" s="1"/>
  <c r="O371" i="2"/>
  <c r="L456" i="6" s="1"/>
  <c r="N371" i="2"/>
  <c r="K456" i="6" s="1"/>
  <c r="M371" i="2"/>
  <c r="J456" i="6" s="1"/>
  <c r="L371" i="2"/>
  <c r="I456" i="6" s="1"/>
  <c r="K371" i="2"/>
  <c r="H456" i="6" s="1"/>
  <c r="J371" i="2"/>
  <c r="F371" i="2"/>
  <c r="E371" i="2"/>
  <c r="Y370" i="2"/>
  <c r="V454" i="6" s="1"/>
  <c r="X370" i="2"/>
  <c r="U454" i="6" s="1"/>
  <c r="W370" i="2"/>
  <c r="T454" i="6" s="1"/>
  <c r="V370" i="2"/>
  <c r="S454" i="6" s="1"/>
  <c r="U370" i="2"/>
  <c r="R454" i="6" s="1"/>
  <c r="T370" i="2"/>
  <c r="Q454" i="6" s="1"/>
  <c r="S370" i="2"/>
  <c r="P454" i="6" s="1"/>
  <c r="R370" i="2"/>
  <c r="O454" i="6" s="1"/>
  <c r="Q370" i="2"/>
  <c r="N454" i="6" s="1"/>
  <c r="P370" i="2"/>
  <c r="M454" i="6" s="1"/>
  <c r="O370" i="2"/>
  <c r="L454" i="6" s="1"/>
  <c r="N370" i="2"/>
  <c r="K454" i="6" s="1"/>
  <c r="M370" i="2"/>
  <c r="J454" i="6" s="1"/>
  <c r="L370" i="2"/>
  <c r="K370" i="2"/>
  <c r="J370" i="2"/>
  <c r="G454" i="6" s="1"/>
  <c r="F370" i="2"/>
  <c r="E370" i="2"/>
  <c r="Y369" i="2"/>
  <c r="V452" i="6" s="1"/>
  <c r="X369" i="2"/>
  <c r="U452" i="6" s="1"/>
  <c r="W369" i="2"/>
  <c r="T452" i="6" s="1"/>
  <c r="V369" i="2"/>
  <c r="S452" i="6" s="1"/>
  <c r="U369" i="2"/>
  <c r="R452" i="6" s="1"/>
  <c r="T369" i="2"/>
  <c r="Q452" i="6" s="1"/>
  <c r="S369" i="2"/>
  <c r="P452" i="6" s="1"/>
  <c r="R369" i="2"/>
  <c r="O452" i="6" s="1"/>
  <c r="Q369" i="2"/>
  <c r="N452" i="6" s="1"/>
  <c r="P369" i="2"/>
  <c r="M452" i="6" s="1"/>
  <c r="O369" i="2"/>
  <c r="L452" i="6" s="1"/>
  <c r="N369" i="2"/>
  <c r="K452" i="6" s="1"/>
  <c r="M369" i="2"/>
  <c r="J452" i="6" s="1"/>
  <c r="L369" i="2"/>
  <c r="I452" i="6" s="1"/>
  <c r="K369" i="2"/>
  <c r="H452" i="6" s="1"/>
  <c r="J369" i="2"/>
  <c r="I369" i="2"/>
  <c r="F452" i="6" s="1"/>
  <c r="F369" i="2"/>
  <c r="E369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H368" i="2" s="1"/>
  <c r="K368" i="2"/>
  <c r="I368" i="2" s="1"/>
  <c r="J368" i="2"/>
  <c r="F368" i="2"/>
  <c r="E368" i="2"/>
  <c r="D368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I367" i="2" s="1"/>
  <c r="J367" i="2"/>
  <c r="H367" i="2" s="1"/>
  <c r="F367" i="2"/>
  <c r="E367" i="2"/>
  <c r="Y366" i="2"/>
  <c r="V450" i="6" s="1"/>
  <c r="X366" i="2"/>
  <c r="U450" i="6" s="1"/>
  <c r="W366" i="2"/>
  <c r="T450" i="6" s="1"/>
  <c r="V366" i="2"/>
  <c r="S450" i="6" s="1"/>
  <c r="U366" i="2"/>
  <c r="R450" i="6" s="1"/>
  <c r="T366" i="2"/>
  <c r="Q450" i="6" s="1"/>
  <c r="S366" i="2"/>
  <c r="P450" i="6" s="1"/>
  <c r="R366" i="2"/>
  <c r="O450" i="6" s="1"/>
  <c r="Q366" i="2"/>
  <c r="N450" i="6" s="1"/>
  <c r="P366" i="2"/>
  <c r="M450" i="6" s="1"/>
  <c r="O366" i="2"/>
  <c r="L450" i="6" s="1"/>
  <c r="N366" i="2"/>
  <c r="K450" i="6" s="1"/>
  <c r="M366" i="2"/>
  <c r="J450" i="6" s="1"/>
  <c r="L366" i="2"/>
  <c r="K366" i="2"/>
  <c r="J366" i="2"/>
  <c r="G450" i="6" s="1"/>
  <c r="F366" i="2"/>
  <c r="E366" i="2"/>
  <c r="Y365" i="2"/>
  <c r="V448" i="6" s="1"/>
  <c r="X365" i="2"/>
  <c r="U448" i="6" s="1"/>
  <c r="W365" i="2"/>
  <c r="T448" i="6" s="1"/>
  <c r="V365" i="2"/>
  <c r="S448" i="6" s="1"/>
  <c r="U365" i="2"/>
  <c r="R448" i="6" s="1"/>
  <c r="T365" i="2"/>
  <c r="Q448" i="6" s="1"/>
  <c r="S365" i="2"/>
  <c r="P448" i="6" s="1"/>
  <c r="R365" i="2"/>
  <c r="O448" i="6" s="1"/>
  <c r="Q365" i="2"/>
  <c r="N448" i="6" s="1"/>
  <c r="P365" i="2"/>
  <c r="M448" i="6" s="1"/>
  <c r="O365" i="2"/>
  <c r="L448" i="6" s="1"/>
  <c r="N365" i="2"/>
  <c r="K448" i="6" s="1"/>
  <c r="M365" i="2"/>
  <c r="J448" i="6" s="1"/>
  <c r="L365" i="2"/>
  <c r="I448" i="6" s="1"/>
  <c r="K365" i="2"/>
  <c r="H448" i="6" s="1"/>
  <c r="J365" i="2"/>
  <c r="I365" i="2"/>
  <c r="F448" i="6" s="1"/>
  <c r="F365" i="2"/>
  <c r="E365" i="2"/>
  <c r="Y364" i="2"/>
  <c r="V447" i="6" s="1"/>
  <c r="X364" i="2"/>
  <c r="U447" i="6" s="1"/>
  <c r="W364" i="2"/>
  <c r="T447" i="6" s="1"/>
  <c r="V364" i="2"/>
  <c r="S447" i="6" s="1"/>
  <c r="U364" i="2"/>
  <c r="R447" i="6" s="1"/>
  <c r="T364" i="2"/>
  <c r="Q447" i="6" s="1"/>
  <c r="S364" i="2"/>
  <c r="P447" i="6" s="1"/>
  <c r="R364" i="2"/>
  <c r="O447" i="6" s="1"/>
  <c r="Q364" i="2"/>
  <c r="N447" i="6" s="1"/>
  <c r="P364" i="2"/>
  <c r="M447" i="6" s="1"/>
  <c r="O364" i="2"/>
  <c r="L447" i="6" s="1"/>
  <c r="N364" i="2"/>
  <c r="K447" i="6" s="1"/>
  <c r="M364" i="2"/>
  <c r="J447" i="6" s="1"/>
  <c r="L364" i="2"/>
  <c r="I447" i="6" s="1"/>
  <c r="K364" i="2"/>
  <c r="J364" i="2"/>
  <c r="G447" i="6" s="1"/>
  <c r="F364" i="2"/>
  <c r="E364" i="2"/>
  <c r="D364" i="2" s="1"/>
  <c r="Y363" i="2"/>
  <c r="V446" i="6" s="1"/>
  <c r="X363" i="2"/>
  <c r="U446" i="6" s="1"/>
  <c r="W363" i="2"/>
  <c r="T446" i="6" s="1"/>
  <c r="V363" i="2"/>
  <c r="S446" i="6" s="1"/>
  <c r="U363" i="2"/>
  <c r="R446" i="6" s="1"/>
  <c r="T363" i="2"/>
  <c r="Q446" i="6" s="1"/>
  <c r="S363" i="2"/>
  <c r="P446" i="6" s="1"/>
  <c r="R363" i="2"/>
  <c r="O446" i="6" s="1"/>
  <c r="Q363" i="2"/>
  <c r="N446" i="6" s="1"/>
  <c r="P363" i="2"/>
  <c r="M446" i="6" s="1"/>
  <c r="O363" i="2"/>
  <c r="L446" i="6" s="1"/>
  <c r="N363" i="2"/>
  <c r="K446" i="6" s="1"/>
  <c r="M363" i="2"/>
  <c r="J446" i="6" s="1"/>
  <c r="L363" i="2"/>
  <c r="I446" i="6" s="1"/>
  <c r="K363" i="2"/>
  <c r="J363" i="2"/>
  <c r="F363" i="2"/>
  <c r="E363" i="2"/>
  <c r="D363" i="2" s="1"/>
  <c r="Y362" i="2"/>
  <c r="V445" i="6" s="1"/>
  <c r="X362" i="2"/>
  <c r="U445" i="6" s="1"/>
  <c r="W362" i="2"/>
  <c r="T445" i="6" s="1"/>
  <c r="V362" i="2"/>
  <c r="S445" i="6" s="1"/>
  <c r="U362" i="2"/>
  <c r="R445" i="6" s="1"/>
  <c r="T362" i="2"/>
  <c r="Q445" i="6" s="1"/>
  <c r="S362" i="2"/>
  <c r="P445" i="6" s="1"/>
  <c r="R362" i="2"/>
  <c r="O445" i="6" s="1"/>
  <c r="Q362" i="2"/>
  <c r="N445" i="6" s="1"/>
  <c r="P362" i="2"/>
  <c r="M445" i="6" s="1"/>
  <c r="O362" i="2"/>
  <c r="L445" i="6" s="1"/>
  <c r="N362" i="2"/>
  <c r="K445" i="6" s="1"/>
  <c r="M362" i="2"/>
  <c r="J445" i="6" s="1"/>
  <c r="L362" i="2"/>
  <c r="I445" i="6" s="1"/>
  <c r="K362" i="2"/>
  <c r="J362" i="2"/>
  <c r="F362" i="2"/>
  <c r="E362" i="2"/>
  <c r="D362" i="2"/>
  <c r="Y361" i="2"/>
  <c r="V444" i="6" s="1"/>
  <c r="X361" i="2"/>
  <c r="U444" i="6" s="1"/>
  <c r="W361" i="2"/>
  <c r="T444" i="6" s="1"/>
  <c r="V361" i="2"/>
  <c r="S444" i="6" s="1"/>
  <c r="U361" i="2"/>
  <c r="R444" i="6" s="1"/>
  <c r="T361" i="2"/>
  <c r="Q444" i="6" s="1"/>
  <c r="S361" i="2"/>
  <c r="P444" i="6" s="1"/>
  <c r="R361" i="2"/>
  <c r="O444" i="6" s="1"/>
  <c r="Q361" i="2"/>
  <c r="N444" i="6" s="1"/>
  <c r="P361" i="2"/>
  <c r="M444" i="6" s="1"/>
  <c r="O361" i="2"/>
  <c r="L444" i="6" s="1"/>
  <c r="N361" i="2"/>
  <c r="K444" i="6" s="1"/>
  <c r="M361" i="2"/>
  <c r="J444" i="6" s="1"/>
  <c r="L361" i="2"/>
  <c r="I444" i="6" s="1"/>
  <c r="K361" i="2"/>
  <c r="H444" i="6" s="1"/>
  <c r="J361" i="2"/>
  <c r="F361" i="2"/>
  <c r="E361" i="2"/>
  <c r="D361" i="2" s="1"/>
  <c r="Y360" i="2"/>
  <c r="V441" i="6" s="1"/>
  <c r="X360" i="2"/>
  <c r="U441" i="6" s="1"/>
  <c r="W360" i="2"/>
  <c r="T441" i="6" s="1"/>
  <c r="V360" i="2"/>
  <c r="S441" i="6" s="1"/>
  <c r="U360" i="2"/>
  <c r="R441" i="6" s="1"/>
  <c r="T360" i="2"/>
  <c r="Q441" i="6" s="1"/>
  <c r="S360" i="2"/>
  <c r="P441" i="6" s="1"/>
  <c r="R360" i="2"/>
  <c r="O441" i="6" s="1"/>
  <c r="Q360" i="2"/>
  <c r="N441" i="6" s="1"/>
  <c r="P360" i="2"/>
  <c r="M441" i="6" s="1"/>
  <c r="O360" i="2"/>
  <c r="L441" i="6" s="1"/>
  <c r="N360" i="2"/>
  <c r="K441" i="6" s="1"/>
  <c r="M360" i="2"/>
  <c r="J441" i="6" s="1"/>
  <c r="L360" i="2"/>
  <c r="I441" i="6" s="1"/>
  <c r="K360" i="2"/>
  <c r="J360" i="2"/>
  <c r="G441" i="6" s="1"/>
  <c r="H360" i="2"/>
  <c r="F360" i="2"/>
  <c r="E360" i="2"/>
  <c r="D360" i="2"/>
  <c r="Y359" i="2"/>
  <c r="V440" i="6" s="1"/>
  <c r="X359" i="2"/>
  <c r="U440" i="6" s="1"/>
  <c r="W359" i="2"/>
  <c r="T440" i="6" s="1"/>
  <c r="V359" i="2"/>
  <c r="S440" i="6" s="1"/>
  <c r="U359" i="2"/>
  <c r="R440" i="6" s="1"/>
  <c r="T359" i="2"/>
  <c r="Q440" i="6" s="1"/>
  <c r="S359" i="2"/>
  <c r="P440" i="6" s="1"/>
  <c r="R359" i="2"/>
  <c r="O440" i="6" s="1"/>
  <c r="Q359" i="2"/>
  <c r="N440" i="6" s="1"/>
  <c r="P359" i="2"/>
  <c r="M440" i="6" s="1"/>
  <c r="O359" i="2"/>
  <c r="L440" i="6" s="1"/>
  <c r="N359" i="2"/>
  <c r="K440" i="6" s="1"/>
  <c r="M359" i="2"/>
  <c r="J440" i="6" s="1"/>
  <c r="L359" i="2"/>
  <c r="I440" i="6" s="1"/>
  <c r="K359" i="2"/>
  <c r="H440" i="6" s="1"/>
  <c r="J359" i="2"/>
  <c r="I359" i="2"/>
  <c r="F440" i="6" s="1"/>
  <c r="F359" i="2"/>
  <c r="E359" i="2"/>
  <c r="Y358" i="2"/>
  <c r="V439" i="6" s="1"/>
  <c r="X358" i="2"/>
  <c r="U439" i="6" s="1"/>
  <c r="W358" i="2"/>
  <c r="T439" i="6" s="1"/>
  <c r="V358" i="2"/>
  <c r="S439" i="6" s="1"/>
  <c r="U358" i="2"/>
  <c r="R439" i="6" s="1"/>
  <c r="T358" i="2"/>
  <c r="Q439" i="6" s="1"/>
  <c r="S358" i="2"/>
  <c r="P439" i="6" s="1"/>
  <c r="R358" i="2"/>
  <c r="O439" i="6" s="1"/>
  <c r="Q358" i="2"/>
  <c r="N439" i="6" s="1"/>
  <c r="P358" i="2"/>
  <c r="M439" i="6" s="1"/>
  <c r="O358" i="2"/>
  <c r="L439" i="6" s="1"/>
  <c r="N358" i="2"/>
  <c r="K439" i="6" s="1"/>
  <c r="M358" i="2"/>
  <c r="J439" i="6" s="1"/>
  <c r="L358" i="2"/>
  <c r="K358" i="2"/>
  <c r="J358" i="2"/>
  <c r="G439" i="6" s="1"/>
  <c r="F358" i="2"/>
  <c r="E358" i="2"/>
  <c r="D358" i="2" s="1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F357" i="2"/>
  <c r="E357" i="2"/>
  <c r="Y356" i="2"/>
  <c r="V435" i="6" s="1"/>
  <c r="X356" i="2"/>
  <c r="U435" i="6" s="1"/>
  <c r="W356" i="2"/>
  <c r="T435" i="6" s="1"/>
  <c r="V356" i="2"/>
  <c r="S435" i="6" s="1"/>
  <c r="U356" i="2"/>
  <c r="R435" i="6" s="1"/>
  <c r="T356" i="2"/>
  <c r="Q435" i="6" s="1"/>
  <c r="S356" i="2"/>
  <c r="P435" i="6" s="1"/>
  <c r="R356" i="2"/>
  <c r="O435" i="6" s="1"/>
  <c r="Q356" i="2"/>
  <c r="N435" i="6" s="1"/>
  <c r="P356" i="2"/>
  <c r="M435" i="6" s="1"/>
  <c r="O356" i="2"/>
  <c r="L435" i="6" s="1"/>
  <c r="N356" i="2"/>
  <c r="K435" i="6" s="1"/>
  <c r="M356" i="2"/>
  <c r="J435" i="6" s="1"/>
  <c r="L356" i="2"/>
  <c r="I435" i="6" s="1"/>
  <c r="K356" i="2"/>
  <c r="J356" i="2"/>
  <c r="G435" i="6" s="1"/>
  <c r="F356" i="2"/>
  <c r="E356" i="2"/>
  <c r="D356" i="2" s="1"/>
  <c r="Y355" i="2"/>
  <c r="V434" i="6" s="1"/>
  <c r="X355" i="2"/>
  <c r="U434" i="6" s="1"/>
  <c r="W355" i="2"/>
  <c r="T434" i="6" s="1"/>
  <c r="V355" i="2"/>
  <c r="S434" i="6" s="1"/>
  <c r="U355" i="2"/>
  <c r="R434" i="6" s="1"/>
  <c r="T355" i="2"/>
  <c r="Q434" i="6" s="1"/>
  <c r="S355" i="2"/>
  <c r="P434" i="6" s="1"/>
  <c r="R355" i="2"/>
  <c r="O434" i="6" s="1"/>
  <c r="Q355" i="2"/>
  <c r="N434" i="6" s="1"/>
  <c r="P355" i="2"/>
  <c r="M434" i="6" s="1"/>
  <c r="O355" i="2"/>
  <c r="L434" i="6" s="1"/>
  <c r="N355" i="2"/>
  <c r="K434" i="6" s="1"/>
  <c r="M355" i="2"/>
  <c r="J434" i="6" s="1"/>
  <c r="L355" i="2"/>
  <c r="I434" i="6" s="1"/>
  <c r="K355" i="2"/>
  <c r="J355" i="2"/>
  <c r="F355" i="2"/>
  <c r="E355" i="2"/>
  <c r="D355" i="2" s="1"/>
  <c r="Y354" i="2"/>
  <c r="V433" i="6" s="1"/>
  <c r="X354" i="2"/>
  <c r="U433" i="6" s="1"/>
  <c r="W354" i="2"/>
  <c r="T433" i="6" s="1"/>
  <c r="V354" i="2"/>
  <c r="S433" i="6" s="1"/>
  <c r="U354" i="2"/>
  <c r="R433" i="6" s="1"/>
  <c r="T354" i="2"/>
  <c r="Q433" i="6" s="1"/>
  <c r="S354" i="2"/>
  <c r="P433" i="6" s="1"/>
  <c r="R354" i="2"/>
  <c r="O433" i="6" s="1"/>
  <c r="Q354" i="2"/>
  <c r="N433" i="6" s="1"/>
  <c r="P354" i="2"/>
  <c r="M433" i="6" s="1"/>
  <c r="O354" i="2"/>
  <c r="L433" i="6" s="1"/>
  <c r="N354" i="2"/>
  <c r="K433" i="6" s="1"/>
  <c r="M354" i="2"/>
  <c r="J433" i="6" s="1"/>
  <c r="L354" i="2"/>
  <c r="I433" i="6" s="1"/>
  <c r="K354" i="2"/>
  <c r="J354" i="2"/>
  <c r="F354" i="2"/>
  <c r="E354" i="2"/>
  <c r="D354" i="2"/>
  <c r="Y353" i="2"/>
  <c r="V432" i="6" s="1"/>
  <c r="X353" i="2"/>
  <c r="U432" i="6" s="1"/>
  <c r="W353" i="2"/>
  <c r="T432" i="6" s="1"/>
  <c r="V353" i="2"/>
  <c r="S432" i="6" s="1"/>
  <c r="U353" i="2"/>
  <c r="R432" i="6" s="1"/>
  <c r="T353" i="2"/>
  <c r="Q432" i="6" s="1"/>
  <c r="S353" i="2"/>
  <c r="P432" i="6" s="1"/>
  <c r="R353" i="2"/>
  <c r="O432" i="6" s="1"/>
  <c r="Q353" i="2"/>
  <c r="N432" i="6" s="1"/>
  <c r="P353" i="2"/>
  <c r="M432" i="6" s="1"/>
  <c r="O353" i="2"/>
  <c r="L432" i="6" s="1"/>
  <c r="N353" i="2"/>
  <c r="K432" i="6" s="1"/>
  <c r="M353" i="2"/>
  <c r="J432" i="6" s="1"/>
  <c r="L353" i="2"/>
  <c r="I432" i="6" s="1"/>
  <c r="K353" i="2"/>
  <c r="H432" i="6" s="1"/>
  <c r="J353" i="2"/>
  <c r="F353" i="2"/>
  <c r="E353" i="2"/>
  <c r="D353" i="2" s="1"/>
  <c r="Y352" i="2"/>
  <c r="V431" i="6" s="1"/>
  <c r="X352" i="2"/>
  <c r="U431" i="6" s="1"/>
  <c r="W352" i="2"/>
  <c r="T431" i="6" s="1"/>
  <c r="V352" i="2"/>
  <c r="S431" i="6" s="1"/>
  <c r="U352" i="2"/>
  <c r="R431" i="6" s="1"/>
  <c r="T352" i="2"/>
  <c r="Q431" i="6" s="1"/>
  <c r="S352" i="2"/>
  <c r="P431" i="6" s="1"/>
  <c r="R352" i="2"/>
  <c r="O431" i="6" s="1"/>
  <c r="Q352" i="2"/>
  <c r="N431" i="6" s="1"/>
  <c r="P352" i="2"/>
  <c r="M431" i="6" s="1"/>
  <c r="O352" i="2"/>
  <c r="L431" i="6" s="1"/>
  <c r="N352" i="2"/>
  <c r="K431" i="6" s="1"/>
  <c r="M352" i="2"/>
  <c r="J431" i="6" s="1"/>
  <c r="L352" i="2"/>
  <c r="I431" i="6" s="1"/>
  <c r="K352" i="2"/>
  <c r="J352" i="2"/>
  <c r="G431" i="6" s="1"/>
  <c r="H352" i="2"/>
  <c r="F352" i="2"/>
  <c r="E352" i="2"/>
  <c r="D352" i="2"/>
  <c r="Y351" i="2"/>
  <c r="V430" i="6" s="1"/>
  <c r="X351" i="2"/>
  <c r="U430" i="6" s="1"/>
  <c r="W351" i="2"/>
  <c r="T430" i="6" s="1"/>
  <c r="V351" i="2"/>
  <c r="S430" i="6" s="1"/>
  <c r="U351" i="2"/>
  <c r="R430" i="6" s="1"/>
  <c r="T351" i="2"/>
  <c r="Q430" i="6" s="1"/>
  <c r="S351" i="2"/>
  <c r="P430" i="6" s="1"/>
  <c r="R351" i="2"/>
  <c r="O430" i="6" s="1"/>
  <c r="Q351" i="2"/>
  <c r="N430" i="6" s="1"/>
  <c r="P351" i="2"/>
  <c r="M430" i="6" s="1"/>
  <c r="O351" i="2"/>
  <c r="L430" i="6" s="1"/>
  <c r="N351" i="2"/>
  <c r="K430" i="6" s="1"/>
  <c r="M351" i="2"/>
  <c r="J430" i="6" s="1"/>
  <c r="L351" i="2"/>
  <c r="I430" i="6" s="1"/>
  <c r="K351" i="2"/>
  <c r="H430" i="6" s="1"/>
  <c r="J351" i="2"/>
  <c r="I351" i="2"/>
  <c r="F430" i="6" s="1"/>
  <c r="F351" i="2"/>
  <c r="E351" i="2"/>
  <c r="Y350" i="2"/>
  <c r="V428" i="6" s="1"/>
  <c r="X350" i="2"/>
  <c r="U428" i="6" s="1"/>
  <c r="W350" i="2"/>
  <c r="T428" i="6" s="1"/>
  <c r="V350" i="2"/>
  <c r="S428" i="6" s="1"/>
  <c r="U350" i="2"/>
  <c r="R428" i="6" s="1"/>
  <c r="T350" i="2"/>
  <c r="Q428" i="6" s="1"/>
  <c r="S350" i="2"/>
  <c r="P428" i="6" s="1"/>
  <c r="R350" i="2"/>
  <c r="O428" i="6" s="1"/>
  <c r="Q350" i="2"/>
  <c r="N428" i="6" s="1"/>
  <c r="P350" i="2"/>
  <c r="M428" i="6" s="1"/>
  <c r="O350" i="2"/>
  <c r="L428" i="6" s="1"/>
  <c r="N350" i="2"/>
  <c r="K428" i="6" s="1"/>
  <c r="M350" i="2"/>
  <c r="J428" i="6" s="1"/>
  <c r="L350" i="2"/>
  <c r="K350" i="2"/>
  <c r="J350" i="2"/>
  <c r="G428" i="6" s="1"/>
  <c r="F350" i="2"/>
  <c r="E350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F349" i="2"/>
  <c r="E349" i="2"/>
  <c r="Y348" i="2"/>
  <c r="V425" i="6" s="1"/>
  <c r="W8" i="5" s="1"/>
  <c r="X348" i="2"/>
  <c r="U425" i="6" s="1"/>
  <c r="V8" i="5" s="1"/>
  <c r="W348" i="2"/>
  <c r="T425" i="6" s="1"/>
  <c r="U8" i="5" s="1"/>
  <c r="V348" i="2"/>
  <c r="S425" i="6" s="1"/>
  <c r="T8" i="5" s="1"/>
  <c r="U348" i="2"/>
  <c r="R425" i="6" s="1"/>
  <c r="S8" i="5" s="1"/>
  <c r="T348" i="2"/>
  <c r="Q425" i="6" s="1"/>
  <c r="R8" i="5" s="1"/>
  <c r="S348" i="2"/>
  <c r="P425" i="6" s="1"/>
  <c r="Q8" i="5" s="1"/>
  <c r="R348" i="2"/>
  <c r="O425" i="6" s="1"/>
  <c r="P8" i="5" s="1"/>
  <c r="Q348" i="2"/>
  <c r="N425" i="6" s="1"/>
  <c r="O8" i="5" s="1"/>
  <c r="P348" i="2"/>
  <c r="M425" i="6" s="1"/>
  <c r="N8" i="5" s="1"/>
  <c r="O348" i="2"/>
  <c r="L425" i="6" s="1"/>
  <c r="M8" i="5" s="1"/>
  <c r="N348" i="2"/>
  <c r="K425" i="6" s="1"/>
  <c r="L8" i="5" s="1"/>
  <c r="M348" i="2"/>
  <c r="J425" i="6" s="1"/>
  <c r="K8" i="5" s="1"/>
  <c r="L348" i="2"/>
  <c r="I425" i="6" s="1"/>
  <c r="J8" i="5" s="1"/>
  <c r="K348" i="2"/>
  <c r="J348" i="2"/>
  <c r="G425" i="6" s="1"/>
  <c r="H8" i="5" s="1"/>
  <c r="F348" i="2"/>
  <c r="E348" i="2"/>
  <c r="D348" i="2" s="1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I347" i="2" s="1"/>
  <c r="J347" i="2"/>
  <c r="F347" i="2"/>
  <c r="E347" i="2"/>
  <c r="D347" i="2" s="1"/>
  <c r="Y346" i="2"/>
  <c r="V422" i="6" s="1"/>
  <c r="X346" i="2"/>
  <c r="U422" i="6" s="1"/>
  <c r="W346" i="2"/>
  <c r="T422" i="6" s="1"/>
  <c r="V346" i="2"/>
  <c r="S422" i="6" s="1"/>
  <c r="U346" i="2"/>
  <c r="R422" i="6" s="1"/>
  <c r="T346" i="2"/>
  <c r="Q422" i="6" s="1"/>
  <c r="S346" i="2"/>
  <c r="P422" i="6" s="1"/>
  <c r="R346" i="2"/>
  <c r="O422" i="6" s="1"/>
  <c r="Q346" i="2"/>
  <c r="N422" i="6" s="1"/>
  <c r="P346" i="2"/>
  <c r="M422" i="6" s="1"/>
  <c r="O346" i="2"/>
  <c r="L422" i="6" s="1"/>
  <c r="N346" i="2"/>
  <c r="K422" i="6" s="1"/>
  <c r="M346" i="2"/>
  <c r="J422" i="6" s="1"/>
  <c r="L346" i="2"/>
  <c r="I422" i="6" s="1"/>
  <c r="K346" i="2"/>
  <c r="J346" i="2"/>
  <c r="F346" i="2"/>
  <c r="E346" i="2"/>
  <c r="D346" i="2"/>
  <c r="Y345" i="2"/>
  <c r="V421" i="6" s="1"/>
  <c r="X345" i="2"/>
  <c r="U421" i="6" s="1"/>
  <c r="W345" i="2"/>
  <c r="T421" i="6" s="1"/>
  <c r="V345" i="2"/>
  <c r="S421" i="6" s="1"/>
  <c r="U345" i="2"/>
  <c r="R421" i="6" s="1"/>
  <c r="T345" i="2"/>
  <c r="Q421" i="6" s="1"/>
  <c r="S345" i="2"/>
  <c r="P421" i="6" s="1"/>
  <c r="R345" i="2"/>
  <c r="O421" i="6" s="1"/>
  <c r="Q345" i="2"/>
  <c r="N421" i="6" s="1"/>
  <c r="P345" i="2"/>
  <c r="M421" i="6" s="1"/>
  <c r="O345" i="2"/>
  <c r="L421" i="6" s="1"/>
  <c r="N345" i="2"/>
  <c r="K421" i="6" s="1"/>
  <c r="M345" i="2"/>
  <c r="J421" i="6" s="1"/>
  <c r="L345" i="2"/>
  <c r="I421" i="6" s="1"/>
  <c r="K345" i="2"/>
  <c r="H421" i="6" s="1"/>
  <c r="J345" i="2"/>
  <c r="F345" i="2"/>
  <c r="E345" i="2"/>
  <c r="D345" i="2" s="1"/>
  <c r="Y344" i="2"/>
  <c r="V420" i="6" s="1"/>
  <c r="X344" i="2"/>
  <c r="U420" i="6" s="1"/>
  <c r="W344" i="2"/>
  <c r="T420" i="6" s="1"/>
  <c r="V344" i="2"/>
  <c r="S420" i="6" s="1"/>
  <c r="U344" i="2"/>
  <c r="R420" i="6" s="1"/>
  <c r="T344" i="2"/>
  <c r="Q420" i="6" s="1"/>
  <c r="S344" i="2"/>
  <c r="P420" i="6" s="1"/>
  <c r="R344" i="2"/>
  <c r="O420" i="6" s="1"/>
  <c r="Q344" i="2"/>
  <c r="N420" i="6" s="1"/>
  <c r="P344" i="2"/>
  <c r="M420" i="6" s="1"/>
  <c r="O344" i="2"/>
  <c r="L420" i="6" s="1"/>
  <c r="N344" i="2"/>
  <c r="K420" i="6" s="1"/>
  <c r="M344" i="2"/>
  <c r="J420" i="6" s="1"/>
  <c r="L344" i="2"/>
  <c r="I420" i="6" s="1"/>
  <c r="K344" i="2"/>
  <c r="J344" i="2"/>
  <c r="G420" i="6" s="1"/>
  <c r="H344" i="2"/>
  <c r="F344" i="2"/>
  <c r="E344" i="2"/>
  <c r="D344" i="2"/>
  <c r="Y343" i="2"/>
  <c r="V419" i="6" s="1"/>
  <c r="X343" i="2"/>
  <c r="U419" i="6" s="1"/>
  <c r="W343" i="2"/>
  <c r="T419" i="6" s="1"/>
  <c r="V343" i="2"/>
  <c r="S419" i="6" s="1"/>
  <c r="U343" i="2"/>
  <c r="R419" i="6" s="1"/>
  <c r="T343" i="2"/>
  <c r="Q419" i="6" s="1"/>
  <c r="S343" i="2"/>
  <c r="P419" i="6" s="1"/>
  <c r="R343" i="2"/>
  <c r="O419" i="6" s="1"/>
  <c r="Q343" i="2"/>
  <c r="N419" i="6" s="1"/>
  <c r="P343" i="2"/>
  <c r="M419" i="6" s="1"/>
  <c r="O343" i="2"/>
  <c r="L419" i="6" s="1"/>
  <c r="N343" i="2"/>
  <c r="K419" i="6" s="1"/>
  <c r="M343" i="2"/>
  <c r="J419" i="6" s="1"/>
  <c r="L343" i="2"/>
  <c r="I419" i="6" s="1"/>
  <c r="K343" i="2"/>
  <c r="H419" i="6" s="1"/>
  <c r="J343" i="2"/>
  <c r="I343" i="2"/>
  <c r="F419" i="6" s="1"/>
  <c r="F343" i="2"/>
  <c r="E343" i="2"/>
  <c r="Y342" i="2"/>
  <c r="V418" i="6" s="1"/>
  <c r="X342" i="2"/>
  <c r="U418" i="6" s="1"/>
  <c r="W342" i="2"/>
  <c r="T418" i="6" s="1"/>
  <c r="V342" i="2"/>
  <c r="S418" i="6" s="1"/>
  <c r="U342" i="2"/>
  <c r="R418" i="6" s="1"/>
  <c r="T342" i="2"/>
  <c r="Q418" i="6" s="1"/>
  <c r="S342" i="2"/>
  <c r="P418" i="6" s="1"/>
  <c r="R342" i="2"/>
  <c r="O418" i="6" s="1"/>
  <c r="Q342" i="2"/>
  <c r="N418" i="6" s="1"/>
  <c r="P342" i="2"/>
  <c r="M418" i="6" s="1"/>
  <c r="O342" i="2"/>
  <c r="L418" i="6" s="1"/>
  <c r="N342" i="2"/>
  <c r="K418" i="6" s="1"/>
  <c r="M342" i="2"/>
  <c r="J418" i="6" s="1"/>
  <c r="L342" i="2"/>
  <c r="K342" i="2"/>
  <c r="J342" i="2"/>
  <c r="G418" i="6" s="1"/>
  <c r="F342" i="2"/>
  <c r="E342" i="2"/>
  <c r="D342" i="2" s="1"/>
  <c r="Y341" i="2"/>
  <c r="V416" i="6" s="1"/>
  <c r="X341" i="2"/>
  <c r="U416" i="6" s="1"/>
  <c r="W341" i="2"/>
  <c r="T416" i="6" s="1"/>
  <c r="V341" i="2"/>
  <c r="S416" i="6" s="1"/>
  <c r="U341" i="2"/>
  <c r="R416" i="6" s="1"/>
  <c r="T341" i="2"/>
  <c r="Q416" i="6" s="1"/>
  <c r="S341" i="2"/>
  <c r="P416" i="6" s="1"/>
  <c r="R341" i="2"/>
  <c r="O416" i="6" s="1"/>
  <c r="Q341" i="2"/>
  <c r="N416" i="6" s="1"/>
  <c r="P341" i="2"/>
  <c r="M416" i="6" s="1"/>
  <c r="O341" i="2"/>
  <c r="L416" i="6" s="1"/>
  <c r="N341" i="2"/>
  <c r="K416" i="6" s="1"/>
  <c r="M341" i="2"/>
  <c r="J416" i="6" s="1"/>
  <c r="L341" i="2"/>
  <c r="I416" i="6" s="1"/>
  <c r="K341" i="2"/>
  <c r="H416" i="6" s="1"/>
  <c r="J341" i="2"/>
  <c r="I341" i="2"/>
  <c r="F416" i="6" s="1"/>
  <c r="F341" i="2"/>
  <c r="E341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I340" i="2" s="1"/>
  <c r="J340" i="2"/>
  <c r="H340" i="2" s="1"/>
  <c r="F340" i="2"/>
  <c r="E340" i="2"/>
  <c r="D340" i="2" s="1"/>
  <c r="Y339" i="2"/>
  <c r="V414" i="6" s="1"/>
  <c r="X339" i="2"/>
  <c r="U414" i="6" s="1"/>
  <c r="W339" i="2"/>
  <c r="T414" i="6" s="1"/>
  <c r="V339" i="2"/>
  <c r="S414" i="6" s="1"/>
  <c r="U339" i="2"/>
  <c r="R414" i="6" s="1"/>
  <c r="T339" i="2"/>
  <c r="Q414" i="6" s="1"/>
  <c r="S339" i="2"/>
  <c r="P414" i="6" s="1"/>
  <c r="R339" i="2"/>
  <c r="O414" i="6" s="1"/>
  <c r="Q339" i="2"/>
  <c r="N414" i="6" s="1"/>
  <c r="P339" i="2"/>
  <c r="M414" i="6" s="1"/>
  <c r="O339" i="2"/>
  <c r="L414" i="6" s="1"/>
  <c r="N339" i="2"/>
  <c r="K414" i="6" s="1"/>
  <c r="M339" i="2"/>
  <c r="J414" i="6" s="1"/>
  <c r="L339" i="2"/>
  <c r="I414" i="6" s="1"/>
  <c r="K339" i="2"/>
  <c r="J339" i="2"/>
  <c r="F339" i="2"/>
  <c r="E339" i="2"/>
  <c r="D339" i="2" s="1"/>
  <c r="Y338" i="2"/>
  <c r="V413" i="6" s="1"/>
  <c r="X338" i="2"/>
  <c r="U413" i="6" s="1"/>
  <c r="W338" i="2"/>
  <c r="T413" i="6" s="1"/>
  <c r="V338" i="2"/>
  <c r="S413" i="6" s="1"/>
  <c r="U338" i="2"/>
  <c r="R413" i="6" s="1"/>
  <c r="T338" i="2"/>
  <c r="Q413" i="6" s="1"/>
  <c r="S338" i="2"/>
  <c r="P413" i="6" s="1"/>
  <c r="R338" i="2"/>
  <c r="O413" i="6" s="1"/>
  <c r="Q338" i="2"/>
  <c r="N413" i="6" s="1"/>
  <c r="P338" i="2"/>
  <c r="M413" i="6" s="1"/>
  <c r="O338" i="2"/>
  <c r="L413" i="6" s="1"/>
  <c r="N338" i="2"/>
  <c r="K413" i="6" s="1"/>
  <c r="M338" i="2"/>
  <c r="J413" i="6" s="1"/>
  <c r="L338" i="2"/>
  <c r="I413" i="6" s="1"/>
  <c r="K338" i="2"/>
  <c r="J338" i="2"/>
  <c r="F338" i="2"/>
  <c r="E338" i="2"/>
  <c r="D338" i="2"/>
  <c r="Y337" i="2"/>
  <c r="V412" i="6" s="1"/>
  <c r="X337" i="2"/>
  <c r="U412" i="6" s="1"/>
  <c r="W337" i="2"/>
  <c r="T412" i="6" s="1"/>
  <c r="V337" i="2"/>
  <c r="S412" i="6" s="1"/>
  <c r="U337" i="2"/>
  <c r="R412" i="6" s="1"/>
  <c r="T337" i="2"/>
  <c r="Q412" i="6" s="1"/>
  <c r="S337" i="2"/>
  <c r="P412" i="6" s="1"/>
  <c r="R337" i="2"/>
  <c r="O412" i="6" s="1"/>
  <c r="Q337" i="2"/>
  <c r="N412" i="6" s="1"/>
  <c r="P337" i="2"/>
  <c r="M412" i="6" s="1"/>
  <c r="O337" i="2"/>
  <c r="L412" i="6" s="1"/>
  <c r="N337" i="2"/>
  <c r="K412" i="6" s="1"/>
  <c r="M337" i="2"/>
  <c r="J412" i="6" s="1"/>
  <c r="L337" i="2"/>
  <c r="I412" i="6" s="1"/>
  <c r="K337" i="2"/>
  <c r="H412" i="6" s="1"/>
  <c r="J337" i="2"/>
  <c r="F337" i="2"/>
  <c r="E337" i="2"/>
  <c r="D337" i="2" s="1"/>
  <c r="Y336" i="2"/>
  <c r="V411" i="6" s="1"/>
  <c r="X336" i="2"/>
  <c r="U411" i="6" s="1"/>
  <c r="W336" i="2"/>
  <c r="T411" i="6" s="1"/>
  <c r="V336" i="2"/>
  <c r="S411" i="6" s="1"/>
  <c r="U336" i="2"/>
  <c r="R411" i="6" s="1"/>
  <c r="T336" i="2"/>
  <c r="Q411" i="6" s="1"/>
  <c r="S336" i="2"/>
  <c r="P411" i="6" s="1"/>
  <c r="R336" i="2"/>
  <c r="O411" i="6" s="1"/>
  <c r="Q336" i="2"/>
  <c r="N411" i="6" s="1"/>
  <c r="P336" i="2"/>
  <c r="M411" i="6" s="1"/>
  <c r="O336" i="2"/>
  <c r="L411" i="6" s="1"/>
  <c r="N336" i="2"/>
  <c r="K411" i="6" s="1"/>
  <c r="M336" i="2"/>
  <c r="J411" i="6" s="1"/>
  <c r="L336" i="2"/>
  <c r="I411" i="6" s="1"/>
  <c r="K336" i="2"/>
  <c r="J336" i="2"/>
  <c r="G411" i="6" s="1"/>
  <c r="H336" i="2"/>
  <c r="F336" i="2"/>
  <c r="E336" i="2"/>
  <c r="D336" i="2"/>
  <c r="Y335" i="2"/>
  <c r="V410" i="6" s="1"/>
  <c r="X335" i="2"/>
  <c r="U410" i="6" s="1"/>
  <c r="W335" i="2"/>
  <c r="T410" i="6" s="1"/>
  <c r="V335" i="2"/>
  <c r="S410" i="6" s="1"/>
  <c r="U335" i="2"/>
  <c r="R410" i="6" s="1"/>
  <c r="T335" i="2"/>
  <c r="Q410" i="6" s="1"/>
  <c r="S335" i="2"/>
  <c r="P410" i="6" s="1"/>
  <c r="R335" i="2"/>
  <c r="O410" i="6" s="1"/>
  <c r="Q335" i="2"/>
  <c r="N410" i="6" s="1"/>
  <c r="P335" i="2"/>
  <c r="M410" i="6" s="1"/>
  <c r="O335" i="2"/>
  <c r="L410" i="6" s="1"/>
  <c r="N335" i="2"/>
  <c r="K410" i="6" s="1"/>
  <c r="M335" i="2"/>
  <c r="J410" i="6" s="1"/>
  <c r="L335" i="2"/>
  <c r="I410" i="6" s="1"/>
  <c r="K335" i="2"/>
  <c r="H410" i="6" s="1"/>
  <c r="J335" i="2"/>
  <c r="I335" i="2"/>
  <c r="F410" i="6" s="1"/>
  <c r="F335" i="2"/>
  <c r="E335" i="2"/>
  <c r="Y334" i="2"/>
  <c r="V409" i="6" s="1"/>
  <c r="X334" i="2"/>
  <c r="U409" i="6" s="1"/>
  <c r="W334" i="2"/>
  <c r="T409" i="6" s="1"/>
  <c r="V334" i="2"/>
  <c r="S409" i="6" s="1"/>
  <c r="U334" i="2"/>
  <c r="R409" i="6" s="1"/>
  <c r="T334" i="2"/>
  <c r="Q409" i="6" s="1"/>
  <c r="S334" i="2"/>
  <c r="P409" i="6" s="1"/>
  <c r="R334" i="2"/>
  <c r="O409" i="6" s="1"/>
  <c r="Q334" i="2"/>
  <c r="N409" i="6" s="1"/>
  <c r="P334" i="2"/>
  <c r="M409" i="6" s="1"/>
  <c r="O334" i="2"/>
  <c r="L409" i="6" s="1"/>
  <c r="N334" i="2"/>
  <c r="K409" i="6" s="1"/>
  <c r="M334" i="2"/>
  <c r="J409" i="6" s="1"/>
  <c r="L334" i="2"/>
  <c r="K334" i="2"/>
  <c r="J334" i="2"/>
  <c r="G409" i="6" s="1"/>
  <c r="F334" i="2"/>
  <c r="E334" i="2"/>
  <c r="Y333" i="2"/>
  <c r="V408" i="6" s="1"/>
  <c r="X333" i="2"/>
  <c r="U408" i="6" s="1"/>
  <c r="W333" i="2"/>
  <c r="T408" i="6" s="1"/>
  <c r="V333" i="2"/>
  <c r="S408" i="6" s="1"/>
  <c r="U333" i="2"/>
  <c r="R408" i="6" s="1"/>
  <c r="T333" i="2"/>
  <c r="Q408" i="6" s="1"/>
  <c r="S333" i="2"/>
  <c r="P408" i="6" s="1"/>
  <c r="R333" i="2"/>
  <c r="O408" i="6" s="1"/>
  <c r="Q333" i="2"/>
  <c r="N408" i="6" s="1"/>
  <c r="P333" i="2"/>
  <c r="M408" i="6" s="1"/>
  <c r="O333" i="2"/>
  <c r="L408" i="6" s="1"/>
  <c r="N333" i="2"/>
  <c r="K408" i="6" s="1"/>
  <c r="M333" i="2"/>
  <c r="J408" i="6" s="1"/>
  <c r="L333" i="2"/>
  <c r="I408" i="6" s="1"/>
  <c r="K333" i="2"/>
  <c r="H408" i="6" s="1"/>
  <c r="J333" i="2"/>
  <c r="F333" i="2"/>
  <c r="E333" i="2"/>
  <c r="Y332" i="2"/>
  <c r="V407" i="6" s="1"/>
  <c r="X332" i="2"/>
  <c r="U407" i="6" s="1"/>
  <c r="W332" i="2"/>
  <c r="T407" i="6" s="1"/>
  <c r="V332" i="2"/>
  <c r="S407" i="6" s="1"/>
  <c r="U332" i="2"/>
  <c r="R407" i="6" s="1"/>
  <c r="T332" i="2"/>
  <c r="Q407" i="6" s="1"/>
  <c r="S332" i="2"/>
  <c r="P407" i="6" s="1"/>
  <c r="R332" i="2"/>
  <c r="O407" i="6" s="1"/>
  <c r="Q332" i="2"/>
  <c r="N407" i="6" s="1"/>
  <c r="P332" i="2"/>
  <c r="M407" i="6" s="1"/>
  <c r="O332" i="2"/>
  <c r="L407" i="6" s="1"/>
  <c r="N332" i="2"/>
  <c r="K407" i="6" s="1"/>
  <c r="M332" i="2"/>
  <c r="J407" i="6" s="1"/>
  <c r="L332" i="2"/>
  <c r="I407" i="6" s="1"/>
  <c r="K332" i="2"/>
  <c r="J332" i="2"/>
  <c r="G407" i="6" s="1"/>
  <c r="F332" i="2"/>
  <c r="E332" i="2"/>
  <c r="D332" i="2" s="1"/>
  <c r="Y331" i="2"/>
  <c r="V406" i="6" s="1"/>
  <c r="X331" i="2"/>
  <c r="U406" i="6" s="1"/>
  <c r="W331" i="2"/>
  <c r="T406" i="6" s="1"/>
  <c r="V331" i="2"/>
  <c r="S406" i="6" s="1"/>
  <c r="U331" i="2"/>
  <c r="R406" i="6" s="1"/>
  <c r="T331" i="2"/>
  <c r="Q406" i="6" s="1"/>
  <c r="S331" i="2"/>
  <c r="P406" i="6" s="1"/>
  <c r="R331" i="2"/>
  <c r="O406" i="6" s="1"/>
  <c r="Q331" i="2"/>
  <c r="N406" i="6" s="1"/>
  <c r="P331" i="2"/>
  <c r="M406" i="6" s="1"/>
  <c r="O331" i="2"/>
  <c r="L406" i="6" s="1"/>
  <c r="N331" i="2"/>
  <c r="K406" i="6" s="1"/>
  <c r="M331" i="2"/>
  <c r="J406" i="6" s="1"/>
  <c r="L331" i="2"/>
  <c r="I406" i="6" s="1"/>
  <c r="K331" i="2"/>
  <c r="J331" i="2"/>
  <c r="F331" i="2"/>
  <c r="E331" i="2"/>
  <c r="D331" i="2" s="1"/>
  <c r="Y330" i="2"/>
  <c r="V405" i="6" s="1"/>
  <c r="X330" i="2"/>
  <c r="U405" i="6" s="1"/>
  <c r="W330" i="2"/>
  <c r="T405" i="6" s="1"/>
  <c r="V330" i="2"/>
  <c r="S405" i="6" s="1"/>
  <c r="U330" i="2"/>
  <c r="R405" i="6" s="1"/>
  <c r="T330" i="2"/>
  <c r="Q405" i="6" s="1"/>
  <c r="S330" i="2"/>
  <c r="P405" i="6" s="1"/>
  <c r="R330" i="2"/>
  <c r="O405" i="6" s="1"/>
  <c r="Q330" i="2"/>
  <c r="N405" i="6" s="1"/>
  <c r="P330" i="2"/>
  <c r="M405" i="6" s="1"/>
  <c r="O330" i="2"/>
  <c r="L405" i="6" s="1"/>
  <c r="N330" i="2"/>
  <c r="K405" i="6" s="1"/>
  <c r="M330" i="2"/>
  <c r="J405" i="6" s="1"/>
  <c r="L330" i="2"/>
  <c r="I405" i="6" s="1"/>
  <c r="K330" i="2"/>
  <c r="J330" i="2"/>
  <c r="F330" i="2"/>
  <c r="E330" i="2"/>
  <c r="D330" i="2"/>
  <c r="Y329" i="2"/>
  <c r="V404" i="6" s="1"/>
  <c r="X329" i="2"/>
  <c r="U404" i="6" s="1"/>
  <c r="W329" i="2"/>
  <c r="T404" i="6" s="1"/>
  <c r="V329" i="2"/>
  <c r="S404" i="6" s="1"/>
  <c r="U329" i="2"/>
  <c r="R404" i="6" s="1"/>
  <c r="T329" i="2"/>
  <c r="Q404" i="6" s="1"/>
  <c r="S329" i="2"/>
  <c r="P404" i="6" s="1"/>
  <c r="R329" i="2"/>
  <c r="O404" i="6" s="1"/>
  <c r="Q329" i="2"/>
  <c r="N404" i="6" s="1"/>
  <c r="P329" i="2"/>
  <c r="M404" i="6" s="1"/>
  <c r="O329" i="2"/>
  <c r="L404" i="6" s="1"/>
  <c r="N329" i="2"/>
  <c r="K404" i="6" s="1"/>
  <c r="M329" i="2"/>
  <c r="J404" i="6" s="1"/>
  <c r="L329" i="2"/>
  <c r="I404" i="6" s="1"/>
  <c r="K329" i="2"/>
  <c r="H404" i="6" s="1"/>
  <c r="J329" i="2"/>
  <c r="I329" i="2"/>
  <c r="F404" i="6" s="1"/>
  <c r="F329" i="2"/>
  <c r="E329" i="2"/>
  <c r="D329" i="2" s="1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H328" i="2"/>
  <c r="F328" i="2"/>
  <c r="E328" i="2"/>
  <c r="D328" i="2"/>
  <c r="Y327" i="2"/>
  <c r="V402" i="6" s="1"/>
  <c r="X327" i="2"/>
  <c r="U402" i="6" s="1"/>
  <c r="W327" i="2"/>
  <c r="T402" i="6" s="1"/>
  <c r="V327" i="2"/>
  <c r="S402" i="6" s="1"/>
  <c r="U327" i="2"/>
  <c r="R402" i="6" s="1"/>
  <c r="T327" i="2"/>
  <c r="Q402" i="6" s="1"/>
  <c r="S327" i="2"/>
  <c r="P402" i="6" s="1"/>
  <c r="R327" i="2"/>
  <c r="O402" i="6" s="1"/>
  <c r="Q327" i="2"/>
  <c r="N402" i="6" s="1"/>
  <c r="P327" i="2"/>
  <c r="M402" i="6" s="1"/>
  <c r="O327" i="2"/>
  <c r="L402" i="6" s="1"/>
  <c r="N327" i="2"/>
  <c r="K402" i="6" s="1"/>
  <c r="M327" i="2"/>
  <c r="J402" i="6" s="1"/>
  <c r="L327" i="2"/>
  <c r="I402" i="6" s="1"/>
  <c r="K327" i="2"/>
  <c r="H402" i="6" s="1"/>
  <c r="J327" i="2"/>
  <c r="I327" i="2"/>
  <c r="F402" i="6" s="1"/>
  <c r="F327" i="2"/>
  <c r="E327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H326" i="2" s="1"/>
  <c r="G326" i="2" s="1"/>
  <c r="K326" i="2"/>
  <c r="I326" i="2" s="1"/>
  <c r="J326" i="2"/>
  <c r="F326" i="2"/>
  <c r="E326" i="2"/>
  <c r="D326" i="2" s="1"/>
  <c r="Y325" i="2"/>
  <c r="V400" i="6" s="1"/>
  <c r="X325" i="2"/>
  <c r="U400" i="6" s="1"/>
  <c r="W325" i="2"/>
  <c r="T400" i="6" s="1"/>
  <c r="V325" i="2"/>
  <c r="S400" i="6" s="1"/>
  <c r="U325" i="2"/>
  <c r="R400" i="6" s="1"/>
  <c r="T325" i="2"/>
  <c r="Q400" i="6" s="1"/>
  <c r="S325" i="2"/>
  <c r="P400" i="6" s="1"/>
  <c r="R325" i="2"/>
  <c r="O400" i="6" s="1"/>
  <c r="Q325" i="2"/>
  <c r="N400" i="6" s="1"/>
  <c r="P325" i="2"/>
  <c r="M400" i="6" s="1"/>
  <c r="O325" i="2"/>
  <c r="L400" i="6" s="1"/>
  <c r="N325" i="2"/>
  <c r="K400" i="6" s="1"/>
  <c r="M325" i="2"/>
  <c r="J400" i="6" s="1"/>
  <c r="L325" i="2"/>
  <c r="I400" i="6" s="1"/>
  <c r="K325" i="2"/>
  <c r="H400" i="6" s="1"/>
  <c r="J325" i="2"/>
  <c r="F325" i="2"/>
  <c r="E325" i="2"/>
  <c r="Y324" i="2"/>
  <c r="V399" i="6" s="1"/>
  <c r="X324" i="2"/>
  <c r="U399" i="6" s="1"/>
  <c r="W324" i="2"/>
  <c r="T399" i="6" s="1"/>
  <c r="V324" i="2"/>
  <c r="S399" i="6" s="1"/>
  <c r="U324" i="2"/>
  <c r="R399" i="6" s="1"/>
  <c r="T324" i="2"/>
  <c r="Q399" i="6" s="1"/>
  <c r="S324" i="2"/>
  <c r="P399" i="6" s="1"/>
  <c r="R324" i="2"/>
  <c r="O399" i="6" s="1"/>
  <c r="Q324" i="2"/>
  <c r="N399" i="6" s="1"/>
  <c r="P324" i="2"/>
  <c r="M399" i="6" s="1"/>
  <c r="O324" i="2"/>
  <c r="L399" i="6" s="1"/>
  <c r="N324" i="2"/>
  <c r="K399" i="6" s="1"/>
  <c r="M324" i="2"/>
  <c r="J399" i="6" s="1"/>
  <c r="L324" i="2"/>
  <c r="I399" i="6" s="1"/>
  <c r="K324" i="2"/>
  <c r="J324" i="2"/>
  <c r="G399" i="6" s="1"/>
  <c r="F324" i="2"/>
  <c r="E324" i="2"/>
  <c r="D324" i="2" s="1"/>
  <c r="Y323" i="2"/>
  <c r="V398" i="6" s="1"/>
  <c r="X323" i="2"/>
  <c r="U398" i="6" s="1"/>
  <c r="W323" i="2"/>
  <c r="T398" i="6" s="1"/>
  <c r="V323" i="2"/>
  <c r="S398" i="6" s="1"/>
  <c r="U323" i="2"/>
  <c r="R398" i="6" s="1"/>
  <c r="T323" i="2"/>
  <c r="Q398" i="6" s="1"/>
  <c r="S323" i="2"/>
  <c r="P398" i="6" s="1"/>
  <c r="R323" i="2"/>
  <c r="O398" i="6" s="1"/>
  <c r="Q323" i="2"/>
  <c r="N398" i="6" s="1"/>
  <c r="P323" i="2"/>
  <c r="M398" i="6" s="1"/>
  <c r="O323" i="2"/>
  <c r="L398" i="6" s="1"/>
  <c r="N323" i="2"/>
  <c r="K398" i="6" s="1"/>
  <c r="M323" i="2"/>
  <c r="J398" i="6" s="1"/>
  <c r="L323" i="2"/>
  <c r="I398" i="6" s="1"/>
  <c r="K323" i="2"/>
  <c r="J323" i="2"/>
  <c r="F323" i="2"/>
  <c r="E323" i="2"/>
  <c r="D323" i="2" s="1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I322" i="2" s="1"/>
  <c r="J322" i="2"/>
  <c r="H322" i="2" s="1"/>
  <c r="F322" i="2"/>
  <c r="E322" i="2"/>
  <c r="D322" i="2"/>
  <c r="Y321" i="2"/>
  <c r="V395" i="6" s="1"/>
  <c r="X321" i="2"/>
  <c r="U395" i="6" s="1"/>
  <c r="W321" i="2"/>
  <c r="T395" i="6" s="1"/>
  <c r="V321" i="2"/>
  <c r="S395" i="6" s="1"/>
  <c r="U321" i="2"/>
  <c r="R395" i="6" s="1"/>
  <c r="T321" i="2"/>
  <c r="Q395" i="6" s="1"/>
  <c r="S321" i="2"/>
  <c r="P395" i="6" s="1"/>
  <c r="R321" i="2"/>
  <c r="O395" i="6" s="1"/>
  <c r="Q321" i="2"/>
  <c r="N395" i="6" s="1"/>
  <c r="P321" i="2"/>
  <c r="M395" i="6" s="1"/>
  <c r="O321" i="2"/>
  <c r="L395" i="6" s="1"/>
  <c r="N321" i="2"/>
  <c r="K395" i="6" s="1"/>
  <c r="M321" i="2"/>
  <c r="J395" i="6" s="1"/>
  <c r="L321" i="2"/>
  <c r="I395" i="6" s="1"/>
  <c r="K321" i="2"/>
  <c r="H395" i="6" s="1"/>
  <c r="J321" i="2"/>
  <c r="F321" i="2"/>
  <c r="E321" i="2"/>
  <c r="D321" i="2" s="1"/>
  <c r="Y320" i="2"/>
  <c r="V394" i="6" s="1"/>
  <c r="W7" i="5" s="1"/>
  <c r="X320" i="2"/>
  <c r="U394" i="6" s="1"/>
  <c r="V7" i="5" s="1"/>
  <c r="W320" i="2"/>
  <c r="T394" i="6" s="1"/>
  <c r="U7" i="5" s="1"/>
  <c r="V320" i="2"/>
  <c r="S394" i="6" s="1"/>
  <c r="T7" i="5" s="1"/>
  <c r="U320" i="2"/>
  <c r="R394" i="6" s="1"/>
  <c r="S7" i="5" s="1"/>
  <c r="T320" i="2"/>
  <c r="Q394" i="6" s="1"/>
  <c r="R7" i="5" s="1"/>
  <c r="S320" i="2"/>
  <c r="P394" i="6" s="1"/>
  <c r="Q7" i="5" s="1"/>
  <c r="R320" i="2"/>
  <c r="O394" i="6" s="1"/>
  <c r="P7" i="5" s="1"/>
  <c r="Q320" i="2"/>
  <c r="N394" i="6" s="1"/>
  <c r="O7" i="5" s="1"/>
  <c r="P320" i="2"/>
  <c r="M394" i="6" s="1"/>
  <c r="N7" i="5" s="1"/>
  <c r="O320" i="2"/>
  <c r="L394" i="6" s="1"/>
  <c r="M7" i="5" s="1"/>
  <c r="N320" i="2"/>
  <c r="K394" i="6" s="1"/>
  <c r="L7" i="5" s="1"/>
  <c r="M320" i="2"/>
  <c r="J394" i="6" s="1"/>
  <c r="K7" i="5" s="1"/>
  <c r="L320" i="2"/>
  <c r="I394" i="6" s="1"/>
  <c r="J7" i="5" s="1"/>
  <c r="K320" i="2"/>
  <c r="J320" i="2"/>
  <c r="G394" i="6" s="1"/>
  <c r="H7" i="5" s="1"/>
  <c r="H320" i="2"/>
  <c r="F320" i="2"/>
  <c r="E320" i="2"/>
  <c r="D320" i="2"/>
  <c r="Y319" i="2"/>
  <c r="V393" i="6" s="1"/>
  <c r="W6" i="5" s="1"/>
  <c r="X319" i="2"/>
  <c r="U393" i="6" s="1"/>
  <c r="V6" i="5" s="1"/>
  <c r="W319" i="2"/>
  <c r="T393" i="6" s="1"/>
  <c r="U6" i="5" s="1"/>
  <c r="V319" i="2"/>
  <c r="S393" i="6" s="1"/>
  <c r="T6" i="5" s="1"/>
  <c r="U319" i="2"/>
  <c r="R393" i="6" s="1"/>
  <c r="S6" i="5" s="1"/>
  <c r="T319" i="2"/>
  <c r="Q393" i="6" s="1"/>
  <c r="R6" i="5" s="1"/>
  <c r="S319" i="2"/>
  <c r="P393" i="6" s="1"/>
  <c r="Q6" i="5" s="1"/>
  <c r="R319" i="2"/>
  <c r="O393" i="6" s="1"/>
  <c r="P6" i="5" s="1"/>
  <c r="Q319" i="2"/>
  <c r="N393" i="6" s="1"/>
  <c r="O6" i="5" s="1"/>
  <c r="P319" i="2"/>
  <c r="M393" i="6" s="1"/>
  <c r="N6" i="5" s="1"/>
  <c r="O319" i="2"/>
  <c r="L393" i="6" s="1"/>
  <c r="M6" i="5" s="1"/>
  <c r="N319" i="2"/>
  <c r="K393" i="6" s="1"/>
  <c r="L6" i="5" s="1"/>
  <c r="M319" i="2"/>
  <c r="J393" i="6" s="1"/>
  <c r="K6" i="5" s="1"/>
  <c r="L319" i="2"/>
  <c r="I393" i="6" s="1"/>
  <c r="J6" i="5" s="1"/>
  <c r="K319" i="2"/>
  <c r="H393" i="6" s="1"/>
  <c r="I6" i="5" s="1"/>
  <c r="J319" i="2"/>
  <c r="I319" i="2"/>
  <c r="F393" i="6" s="1"/>
  <c r="G6" i="5" s="1"/>
  <c r="F319" i="2"/>
  <c r="E319" i="2"/>
  <c r="Y318" i="2"/>
  <c r="V392" i="6" s="1"/>
  <c r="X318" i="2"/>
  <c r="U392" i="6" s="1"/>
  <c r="W318" i="2"/>
  <c r="T392" i="6" s="1"/>
  <c r="V318" i="2"/>
  <c r="S392" i="6" s="1"/>
  <c r="U318" i="2"/>
  <c r="R392" i="6" s="1"/>
  <c r="T318" i="2"/>
  <c r="Q392" i="6" s="1"/>
  <c r="S318" i="2"/>
  <c r="P392" i="6" s="1"/>
  <c r="R318" i="2"/>
  <c r="O392" i="6" s="1"/>
  <c r="Q318" i="2"/>
  <c r="N392" i="6" s="1"/>
  <c r="P318" i="2"/>
  <c r="M392" i="6" s="1"/>
  <c r="O318" i="2"/>
  <c r="L392" i="6" s="1"/>
  <c r="N318" i="2"/>
  <c r="K392" i="6" s="1"/>
  <c r="M318" i="2"/>
  <c r="J392" i="6" s="1"/>
  <c r="L318" i="2"/>
  <c r="K318" i="2"/>
  <c r="J318" i="2"/>
  <c r="G392" i="6" s="1"/>
  <c r="F318" i="2"/>
  <c r="E318" i="2"/>
  <c r="D318" i="2" s="1"/>
  <c r="Y317" i="2"/>
  <c r="V391" i="6" s="1"/>
  <c r="X317" i="2"/>
  <c r="U391" i="6" s="1"/>
  <c r="W317" i="2"/>
  <c r="T391" i="6" s="1"/>
  <c r="V317" i="2"/>
  <c r="S391" i="6" s="1"/>
  <c r="U317" i="2"/>
  <c r="R391" i="6" s="1"/>
  <c r="T317" i="2"/>
  <c r="Q391" i="6" s="1"/>
  <c r="S317" i="2"/>
  <c r="P391" i="6" s="1"/>
  <c r="R317" i="2"/>
  <c r="O391" i="6" s="1"/>
  <c r="Q317" i="2"/>
  <c r="N391" i="6" s="1"/>
  <c r="P317" i="2"/>
  <c r="M391" i="6" s="1"/>
  <c r="O317" i="2"/>
  <c r="L391" i="6" s="1"/>
  <c r="N317" i="2"/>
  <c r="K391" i="6" s="1"/>
  <c r="M317" i="2"/>
  <c r="J391" i="6" s="1"/>
  <c r="L317" i="2"/>
  <c r="I391" i="6" s="1"/>
  <c r="K317" i="2"/>
  <c r="H391" i="6" s="1"/>
  <c r="J317" i="2"/>
  <c r="F317" i="2"/>
  <c r="E317" i="2"/>
  <c r="Y316" i="2"/>
  <c r="V389" i="6" s="1"/>
  <c r="X316" i="2"/>
  <c r="U389" i="6" s="1"/>
  <c r="W316" i="2"/>
  <c r="T389" i="6" s="1"/>
  <c r="V316" i="2"/>
  <c r="S389" i="6" s="1"/>
  <c r="U316" i="2"/>
  <c r="R389" i="6" s="1"/>
  <c r="T316" i="2"/>
  <c r="Q389" i="6" s="1"/>
  <c r="S316" i="2"/>
  <c r="P389" i="6" s="1"/>
  <c r="R316" i="2"/>
  <c r="O389" i="6" s="1"/>
  <c r="Q316" i="2"/>
  <c r="N389" i="6" s="1"/>
  <c r="P316" i="2"/>
  <c r="M389" i="6" s="1"/>
  <c r="O316" i="2"/>
  <c r="L389" i="6" s="1"/>
  <c r="N316" i="2"/>
  <c r="K389" i="6" s="1"/>
  <c r="M316" i="2"/>
  <c r="J389" i="6" s="1"/>
  <c r="L316" i="2"/>
  <c r="I389" i="6" s="1"/>
  <c r="K316" i="2"/>
  <c r="J316" i="2"/>
  <c r="G389" i="6" s="1"/>
  <c r="F316" i="2"/>
  <c r="E316" i="2"/>
  <c r="D316" i="2" s="1"/>
  <c r="Y315" i="2"/>
  <c r="V388" i="6" s="1"/>
  <c r="W5" i="5" s="1"/>
  <c r="X315" i="2"/>
  <c r="U388" i="6" s="1"/>
  <c r="V5" i="5" s="1"/>
  <c r="W315" i="2"/>
  <c r="T388" i="6" s="1"/>
  <c r="U5" i="5" s="1"/>
  <c r="V315" i="2"/>
  <c r="S388" i="6" s="1"/>
  <c r="T5" i="5" s="1"/>
  <c r="U315" i="2"/>
  <c r="R388" i="6" s="1"/>
  <c r="S5" i="5" s="1"/>
  <c r="T315" i="2"/>
  <c r="Q388" i="6" s="1"/>
  <c r="R5" i="5" s="1"/>
  <c r="S315" i="2"/>
  <c r="P388" i="6" s="1"/>
  <c r="Q5" i="5" s="1"/>
  <c r="R315" i="2"/>
  <c r="O388" i="6" s="1"/>
  <c r="P5" i="5" s="1"/>
  <c r="Q315" i="2"/>
  <c r="N388" i="6" s="1"/>
  <c r="O5" i="5" s="1"/>
  <c r="P315" i="2"/>
  <c r="M388" i="6" s="1"/>
  <c r="N5" i="5" s="1"/>
  <c r="O315" i="2"/>
  <c r="L388" i="6" s="1"/>
  <c r="M5" i="5" s="1"/>
  <c r="N315" i="2"/>
  <c r="K388" i="6" s="1"/>
  <c r="L5" i="5" s="1"/>
  <c r="M315" i="2"/>
  <c r="J388" i="6" s="1"/>
  <c r="K5" i="5" s="1"/>
  <c r="L315" i="2"/>
  <c r="I388" i="6" s="1"/>
  <c r="J5" i="5" s="1"/>
  <c r="K315" i="2"/>
  <c r="J315" i="2"/>
  <c r="F315" i="2"/>
  <c r="E315" i="2"/>
  <c r="D315" i="2" s="1"/>
  <c r="Y314" i="2"/>
  <c r="V387" i="6" s="1"/>
  <c r="X314" i="2"/>
  <c r="U387" i="6" s="1"/>
  <c r="W314" i="2"/>
  <c r="T387" i="6" s="1"/>
  <c r="V314" i="2"/>
  <c r="S387" i="6" s="1"/>
  <c r="U314" i="2"/>
  <c r="R387" i="6" s="1"/>
  <c r="T314" i="2"/>
  <c r="Q387" i="6" s="1"/>
  <c r="S314" i="2"/>
  <c r="P387" i="6" s="1"/>
  <c r="R314" i="2"/>
  <c r="O387" i="6" s="1"/>
  <c r="Q314" i="2"/>
  <c r="N387" i="6" s="1"/>
  <c r="P314" i="2"/>
  <c r="M387" i="6" s="1"/>
  <c r="O314" i="2"/>
  <c r="L387" i="6" s="1"/>
  <c r="N314" i="2"/>
  <c r="K387" i="6" s="1"/>
  <c r="M314" i="2"/>
  <c r="J387" i="6" s="1"/>
  <c r="L314" i="2"/>
  <c r="I387" i="6" s="1"/>
  <c r="K314" i="2"/>
  <c r="J314" i="2"/>
  <c r="F314" i="2"/>
  <c r="E314" i="2"/>
  <c r="D314" i="2"/>
  <c r="Y313" i="2"/>
  <c r="V386" i="6" s="1"/>
  <c r="X313" i="2"/>
  <c r="U386" i="6" s="1"/>
  <c r="W313" i="2"/>
  <c r="T386" i="6" s="1"/>
  <c r="V313" i="2"/>
  <c r="S386" i="6" s="1"/>
  <c r="U313" i="2"/>
  <c r="R386" i="6" s="1"/>
  <c r="T313" i="2"/>
  <c r="Q386" i="6" s="1"/>
  <c r="S313" i="2"/>
  <c r="P386" i="6" s="1"/>
  <c r="R313" i="2"/>
  <c r="O386" i="6" s="1"/>
  <c r="Q313" i="2"/>
  <c r="N386" i="6" s="1"/>
  <c r="P313" i="2"/>
  <c r="M386" i="6" s="1"/>
  <c r="O313" i="2"/>
  <c r="L386" i="6" s="1"/>
  <c r="N313" i="2"/>
  <c r="K386" i="6" s="1"/>
  <c r="M313" i="2"/>
  <c r="J386" i="6" s="1"/>
  <c r="L313" i="2"/>
  <c r="I386" i="6" s="1"/>
  <c r="K313" i="2"/>
  <c r="H386" i="6" s="1"/>
  <c r="J313" i="2"/>
  <c r="I313" i="2"/>
  <c r="F386" i="6" s="1"/>
  <c r="F313" i="2"/>
  <c r="E313" i="2"/>
  <c r="D313" i="2" s="1"/>
  <c r="Y312" i="2"/>
  <c r="V385" i="6" s="1"/>
  <c r="X312" i="2"/>
  <c r="U385" i="6" s="1"/>
  <c r="W312" i="2"/>
  <c r="T385" i="6" s="1"/>
  <c r="V312" i="2"/>
  <c r="S385" i="6" s="1"/>
  <c r="U312" i="2"/>
  <c r="R385" i="6" s="1"/>
  <c r="T312" i="2"/>
  <c r="Q385" i="6" s="1"/>
  <c r="S312" i="2"/>
  <c r="P385" i="6" s="1"/>
  <c r="R312" i="2"/>
  <c r="O385" i="6" s="1"/>
  <c r="Q312" i="2"/>
  <c r="N385" i="6" s="1"/>
  <c r="P312" i="2"/>
  <c r="M385" i="6" s="1"/>
  <c r="O312" i="2"/>
  <c r="L385" i="6" s="1"/>
  <c r="N312" i="2"/>
  <c r="K385" i="6" s="1"/>
  <c r="M312" i="2"/>
  <c r="J385" i="6" s="1"/>
  <c r="L312" i="2"/>
  <c r="I385" i="6" s="1"/>
  <c r="K312" i="2"/>
  <c r="J312" i="2"/>
  <c r="G385" i="6" s="1"/>
  <c r="H312" i="2"/>
  <c r="F312" i="2"/>
  <c r="D312" i="2" s="1"/>
  <c r="E312" i="2"/>
  <c r="Y311" i="2"/>
  <c r="V384" i="6" s="1"/>
  <c r="X311" i="2"/>
  <c r="U384" i="6" s="1"/>
  <c r="W311" i="2"/>
  <c r="T384" i="6" s="1"/>
  <c r="V311" i="2"/>
  <c r="S384" i="6" s="1"/>
  <c r="U311" i="2"/>
  <c r="R384" i="6" s="1"/>
  <c r="T311" i="2"/>
  <c r="Q384" i="6" s="1"/>
  <c r="S311" i="2"/>
  <c r="P384" i="6" s="1"/>
  <c r="R311" i="2"/>
  <c r="O384" i="6" s="1"/>
  <c r="Q311" i="2"/>
  <c r="N384" i="6" s="1"/>
  <c r="P311" i="2"/>
  <c r="M384" i="6" s="1"/>
  <c r="O311" i="2"/>
  <c r="L384" i="6" s="1"/>
  <c r="N311" i="2"/>
  <c r="K384" i="6" s="1"/>
  <c r="M311" i="2"/>
  <c r="J384" i="6" s="1"/>
  <c r="L311" i="2"/>
  <c r="I384" i="6" s="1"/>
  <c r="K311" i="2"/>
  <c r="H384" i="6" s="1"/>
  <c r="J311" i="2"/>
  <c r="I311" i="2"/>
  <c r="F384" i="6" s="1"/>
  <c r="F311" i="2"/>
  <c r="E311" i="2"/>
  <c r="Y310" i="2"/>
  <c r="V383" i="6" s="1"/>
  <c r="X310" i="2"/>
  <c r="U383" i="6" s="1"/>
  <c r="W310" i="2"/>
  <c r="T383" i="6" s="1"/>
  <c r="V310" i="2"/>
  <c r="S383" i="6" s="1"/>
  <c r="U310" i="2"/>
  <c r="R383" i="6" s="1"/>
  <c r="T310" i="2"/>
  <c r="Q383" i="6" s="1"/>
  <c r="S310" i="2"/>
  <c r="P383" i="6" s="1"/>
  <c r="R310" i="2"/>
  <c r="O383" i="6" s="1"/>
  <c r="Q310" i="2"/>
  <c r="N383" i="6" s="1"/>
  <c r="P310" i="2"/>
  <c r="M383" i="6" s="1"/>
  <c r="O310" i="2"/>
  <c r="L383" i="6" s="1"/>
  <c r="N310" i="2"/>
  <c r="K383" i="6" s="1"/>
  <c r="M310" i="2"/>
  <c r="J383" i="6" s="1"/>
  <c r="L310" i="2"/>
  <c r="K310" i="2"/>
  <c r="J310" i="2"/>
  <c r="G383" i="6" s="1"/>
  <c r="F310" i="2"/>
  <c r="E310" i="2"/>
  <c r="D310" i="2" s="1"/>
  <c r="Y309" i="2"/>
  <c r="V382" i="6" s="1"/>
  <c r="X309" i="2"/>
  <c r="U382" i="6" s="1"/>
  <c r="W309" i="2"/>
  <c r="T382" i="6" s="1"/>
  <c r="V309" i="2"/>
  <c r="S382" i="6" s="1"/>
  <c r="U309" i="2"/>
  <c r="R382" i="6" s="1"/>
  <c r="T309" i="2"/>
  <c r="Q382" i="6" s="1"/>
  <c r="S309" i="2"/>
  <c r="P382" i="6" s="1"/>
  <c r="R309" i="2"/>
  <c r="O382" i="6" s="1"/>
  <c r="Q309" i="2"/>
  <c r="N382" i="6" s="1"/>
  <c r="P309" i="2"/>
  <c r="M382" i="6" s="1"/>
  <c r="O309" i="2"/>
  <c r="L382" i="6" s="1"/>
  <c r="N309" i="2"/>
  <c r="K382" i="6" s="1"/>
  <c r="M309" i="2"/>
  <c r="J382" i="6" s="1"/>
  <c r="L309" i="2"/>
  <c r="I382" i="6" s="1"/>
  <c r="K309" i="2"/>
  <c r="H382" i="6" s="1"/>
  <c r="J309" i="2"/>
  <c r="F309" i="2"/>
  <c r="E309" i="2"/>
  <c r="Y308" i="2"/>
  <c r="V381" i="6" s="1"/>
  <c r="X308" i="2"/>
  <c r="U381" i="6" s="1"/>
  <c r="W308" i="2"/>
  <c r="T381" i="6" s="1"/>
  <c r="V308" i="2"/>
  <c r="S381" i="6" s="1"/>
  <c r="U308" i="2"/>
  <c r="R381" i="6" s="1"/>
  <c r="T308" i="2"/>
  <c r="Q381" i="6" s="1"/>
  <c r="S308" i="2"/>
  <c r="P381" i="6" s="1"/>
  <c r="R308" i="2"/>
  <c r="O381" i="6" s="1"/>
  <c r="Q308" i="2"/>
  <c r="N381" i="6" s="1"/>
  <c r="P308" i="2"/>
  <c r="M381" i="6" s="1"/>
  <c r="O308" i="2"/>
  <c r="L381" i="6" s="1"/>
  <c r="N308" i="2"/>
  <c r="K381" i="6" s="1"/>
  <c r="M308" i="2"/>
  <c r="J381" i="6" s="1"/>
  <c r="L308" i="2"/>
  <c r="I381" i="6" s="1"/>
  <c r="K308" i="2"/>
  <c r="J308" i="2"/>
  <c r="G381" i="6" s="1"/>
  <c r="F308" i="2"/>
  <c r="E308" i="2"/>
  <c r="D308" i="2" s="1"/>
  <c r="Y307" i="2"/>
  <c r="V380" i="6" s="1"/>
  <c r="X307" i="2"/>
  <c r="U380" i="6" s="1"/>
  <c r="W307" i="2"/>
  <c r="T380" i="6" s="1"/>
  <c r="V307" i="2"/>
  <c r="S380" i="6" s="1"/>
  <c r="U307" i="2"/>
  <c r="R380" i="6" s="1"/>
  <c r="T307" i="2"/>
  <c r="Q380" i="6" s="1"/>
  <c r="S307" i="2"/>
  <c r="P380" i="6" s="1"/>
  <c r="R307" i="2"/>
  <c r="O380" i="6" s="1"/>
  <c r="Q307" i="2"/>
  <c r="N380" i="6" s="1"/>
  <c r="P307" i="2"/>
  <c r="M380" i="6" s="1"/>
  <c r="O307" i="2"/>
  <c r="L380" i="6" s="1"/>
  <c r="N307" i="2"/>
  <c r="K380" i="6" s="1"/>
  <c r="M307" i="2"/>
  <c r="J380" i="6" s="1"/>
  <c r="L307" i="2"/>
  <c r="I380" i="6" s="1"/>
  <c r="K307" i="2"/>
  <c r="J307" i="2"/>
  <c r="F307" i="2"/>
  <c r="E307" i="2"/>
  <c r="D307" i="2" s="1"/>
  <c r="Y306" i="2"/>
  <c r="V379" i="6" s="1"/>
  <c r="X306" i="2"/>
  <c r="U379" i="6" s="1"/>
  <c r="W306" i="2"/>
  <c r="T379" i="6" s="1"/>
  <c r="V306" i="2"/>
  <c r="S379" i="6" s="1"/>
  <c r="U306" i="2"/>
  <c r="R379" i="6" s="1"/>
  <c r="T306" i="2"/>
  <c r="Q379" i="6" s="1"/>
  <c r="S306" i="2"/>
  <c r="P379" i="6" s="1"/>
  <c r="R306" i="2"/>
  <c r="O379" i="6" s="1"/>
  <c r="Q306" i="2"/>
  <c r="N379" i="6" s="1"/>
  <c r="P306" i="2"/>
  <c r="M379" i="6" s="1"/>
  <c r="O306" i="2"/>
  <c r="L379" i="6" s="1"/>
  <c r="N306" i="2"/>
  <c r="K379" i="6" s="1"/>
  <c r="M306" i="2"/>
  <c r="J379" i="6" s="1"/>
  <c r="L306" i="2"/>
  <c r="I379" i="6" s="1"/>
  <c r="K306" i="2"/>
  <c r="J306" i="2"/>
  <c r="F306" i="2"/>
  <c r="E306" i="2"/>
  <c r="D306" i="2"/>
  <c r="Y305" i="2"/>
  <c r="V378" i="6" s="1"/>
  <c r="X305" i="2"/>
  <c r="U378" i="6" s="1"/>
  <c r="W305" i="2"/>
  <c r="T378" i="6" s="1"/>
  <c r="V305" i="2"/>
  <c r="S378" i="6" s="1"/>
  <c r="U305" i="2"/>
  <c r="R378" i="6" s="1"/>
  <c r="T305" i="2"/>
  <c r="Q378" i="6" s="1"/>
  <c r="S305" i="2"/>
  <c r="P378" i="6" s="1"/>
  <c r="R305" i="2"/>
  <c r="O378" i="6" s="1"/>
  <c r="Q305" i="2"/>
  <c r="N378" i="6" s="1"/>
  <c r="P305" i="2"/>
  <c r="M378" i="6" s="1"/>
  <c r="O305" i="2"/>
  <c r="L378" i="6" s="1"/>
  <c r="N305" i="2"/>
  <c r="K378" i="6" s="1"/>
  <c r="M305" i="2"/>
  <c r="J378" i="6" s="1"/>
  <c r="L305" i="2"/>
  <c r="I378" i="6" s="1"/>
  <c r="K305" i="2"/>
  <c r="H378" i="6" s="1"/>
  <c r="J305" i="2"/>
  <c r="I305" i="2"/>
  <c r="F378" i="6" s="1"/>
  <c r="F305" i="2"/>
  <c r="E305" i="2"/>
  <c r="D305" i="2" s="1"/>
  <c r="Y304" i="2"/>
  <c r="V377" i="6" s="1"/>
  <c r="X304" i="2"/>
  <c r="U377" i="6" s="1"/>
  <c r="W304" i="2"/>
  <c r="T377" i="6" s="1"/>
  <c r="V304" i="2"/>
  <c r="S377" i="6" s="1"/>
  <c r="U304" i="2"/>
  <c r="R377" i="6" s="1"/>
  <c r="T304" i="2"/>
  <c r="Q377" i="6" s="1"/>
  <c r="S304" i="2"/>
  <c r="P377" i="6" s="1"/>
  <c r="R304" i="2"/>
  <c r="O377" i="6" s="1"/>
  <c r="Q304" i="2"/>
  <c r="N377" i="6" s="1"/>
  <c r="P304" i="2"/>
  <c r="M377" i="6" s="1"/>
  <c r="O304" i="2"/>
  <c r="L377" i="6" s="1"/>
  <c r="N304" i="2"/>
  <c r="K377" i="6" s="1"/>
  <c r="M304" i="2"/>
  <c r="J377" i="6" s="1"/>
  <c r="L304" i="2"/>
  <c r="I377" i="6" s="1"/>
  <c r="K304" i="2"/>
  <c r="J304" i="2"/>
  <c r="G377" i="6" s="1"/>
  <c r="H304" i="2"/>
  <c r="F304" i="2"/>
  <c r="D304" i="2" s="1"/>
  <c r="E304" i="2"/>
  <c r="Y303" i="2"/>
  <c r="V376" i="6" s="1"/>
  <c r="X303" i="2"/>
  <c r="U376" i="6" s="1"/>
  <c r="W303" i="2"/>
  <c r="T376" i="6" s="1"/>
  <c r="V303" i="2"/>
  <c r="S376" i="6" s="1"/>
  <c r="U303" i="2"/>
  <c r="R376" i="6" s="1"/>
  <c r="T303" i="2"/>
  <c r="Q376" i="6" s="1"/>
  <c r="S303" i="2"/>
  <c r="P376" i="6" s="1"/>
  <c r="R303" i="2"/>
  <c r="O376" i="6" s="1"/>
  <c r="Q303" i="2"/>
  <c r="N376" i="6" s="1"/>
  <c r="P303" i="2"/>
  <c r="M376" i="6" s="1"/>
  <c r="O303" i="2"/>
  <c r="L376" i="6" s="1"/>
  <c r="N303" i="2"/>
  <c r="K376" i="6" s="1"/>
  <c r="M303" i="2"/>
  <c r="J376" i="6" s="1"/>
  <c r="L303" i="2"/>
  <c r="I376" i="6" s="1"/>
  <c r="K303" i="2"/>
  <c r="H376" i="6" s="1"/>
  <c r="J303" i="2"/>
  <c r="I303" i="2"/>
  <c r="F376" i="6" s="1"/>
  <c r="F303" i="2"/>
  <c r="E303" i="2"/>
  <c r="Y302" i="2"/>
  <c r="V375" i="6" s="1"/>
  <c r="X302" i="2"/>
  <c r="U375" i="6" s="1"/>
  <c r="W302" i="2"/>
  <c r="T375" i="6" s="1"/>
  <c r="V302" i="2"/>
  <c r="S375" i="6" s="1"/>
  <c r="U302" i="2"/>
  <c r="R375" i="6" s="1"/>
  <c r="T302" i="2"/>
  <c r="Q375" i="6" s="1"/>
  <c r="S302" i="2"/>
  <c r="P375" i="6" s="1"/>
  <c r="R302" i="2"/>
  <c r="O375" i="6" s="1"/>
  <c r="Q302" i="2"/>
  <c r="N375" i="6" s="1"/>
  <c r="P302" i="2"/>
  <c r="M375" i="6" s="1"/>
  <c r="O302" i="2"/>
  <c r="L375" i="6" s="1"/>
  <c r="N302" i="2"/>
  <c r="K375" i="6" s="1"/>
  <c r="M302" i="2"/>
  <c r="J375" i="6" s="1"/>
  <c r="L302" i="2"/>
  <c r="K302" i="2"/>
  <c r="J302" i="2"/>
  <c r="G375" i="6" s="1"/>
  <c r="F302" i="2"/>
  <c r="E302" i="2"/>
  <c r="D302" i="2" s="1"/>
  <c r="Y301" i="2"/>
  <c r="V374" i="6" s="1"/>
  <c r="X301" i="2"/>
  <c r="U374" i="6" s="1"/>
  <c r="W301" i="2"/>
  <c r="T374" i="6" s="1"/>
  <c r="V301" i="2"/>
  <c r="S374" i="6" s="1"/>
  <c r="U301" i="2"/>
  <c r="R374" i="6" s="1"/>
  <c r="T301" i="2"/>
  <c r="Q374" i="6" s="1"/>
  <c r="S301" i="2"/>
  <c r="P374" i="6" s="1"/>
  <c r="R301" i="2"/>
  <c r="O374" i="6" s="1"/>
  <c r="Q301" i="2"/>
  <c r="N374" i="6" s="1"/>
  <c r="P301" i="2"/>
  <c r="M374" i="6" s="1"/>
  <c r="O301" i="2"/>
  <c r="L374" i="6" s="1"/>
  <c r="N301" i="2"/>
  <c r="K374" i="6" s="1"/>
  <c r="M301" i="2"/>
  <c r="J374" i="6" s="1"/>
  <c r="L301" i="2"/>
  <c r="I374" i="6" s="1"/>
  <c r="K301" i="2"/>
  <c r="H374" i="6" s="1"/>
  <c r="J301" i="2"/>
  <c r="F301" i="2"/>
  <c r="E301" i="2"/>
  <c r="Y300" i="2"/>
  <c r="V373" i="6" s="1"/>
  <c r="X300" i="2"/>
  <c r="U373" i="6" s="1"/>
  <c r="W300" i="2"/>
  <c r="T373" i="6" s="1"/>
  <c r="V300" i="2"/>
  <c r="S373" i="6" s="1"/>
  <c r="U300" i="2"/>
  <c r="R373" i="6" s="1"/>
  <c r="T300" i="2"/>
  <c r="Q373" i="6" s="1"/>
  <c r="S300" i="2"/>
  <c r="P373" i="6" s="1"/>
  <c r="R300" i="2"/>
  <c r="O373" i="6" s="1"/>
  <c r="Q300" i="2"/>
  <c r="N373" i="6" s="1"/>
  <c r="P300" i="2"/>
  <c r="M373" i="6" s="1"/>
  <c r="O300" i="2"/>
  <c r="L373" i="6" s="1"/>
  <c r="N300" i="2"/>
  <c r="K373" i="6" s="1"/>
  <c r="M300" i="2"/>
  <c r="J373" i="6" s="1"/>
  <c r="L300" i="2"/>
  <c r="I373" i="6" s="1"/>
  <c r="K300" i="2"/>
  <c r="J300" i="2"/>
  <c r="G373" i="6" s="1"/>
  <c r="F300" i="2"/>
  <c r="E300" i="2"/>
  <c r="D300" i="2" s="1"/>
  <c r="Y299" i="2"/>
  <c r="V372" i="6" s="1"/>
  <c r="X299" i="2"/>
  <c r="U372" i="6" s="1"/>
  <c r="W299" i="2"/>
  <c r="T372" i="6" s="1"/>
  <c r="V299" i="2"/>
  <c r="S372" i="6" s="1"/>
  <c r="U299" i="2"/>
  <c r="R372" i="6" s="1"/>
  <c r="T299" i="2"/>
  <c r="Q372" i="6" s="1"/>
  <c r="S299" i="2"/>
  <c r="P372" i="6" s="1"/>
  <c r="R299" i="2"/>
  <c r="O372" i="6" s="1"/>
  <c r="Q299" i="2"/>
  <c r="N372" i="6" s="1"/>
  <c r="P299" i="2"/>
  <c r="M372" i="6" s="1"/>
  <c r="O299" i="2"/>
  <c r="L372" i="6" s="1"/>
  <c r="N299" i="2"/>
  <c r="K372" i="6" s="1"/>
  <c r="M299" i="2"/>
  <c r="J372" i="6" s="1"/>
  <c r="L299" i="2"/>
  <c r="I372" i="6" s="1"/>
  <c r="K299" i="2"/>
  <c r="J299" i="2"/>
  <c r="F299" i="2"/>
  <c r="E299" i="2"/>
  <c r="D299" i="2" s="1"/>
  <c r="Y298" i="2"/>
  <c r="V371" i="6" s="1"/>
  <c r="X298" i="2"/>
  <c r="U371" i="6" s="1"/>
  <c r="W298" i="2"/>
  <c r="T371" i="6" s="1"/>
  <c r="V298" i="2"/>
  <c r="S371" i="6" s="1"/>
  <c r="U298" i="2"/>
  <c r="R371" i="6" s="1"/>
  <c r="T298" i="2"/>
  <c r="Q371" i="6" s="1"/>
  <c r="S298" i="2"/>
  <c r="P371" i="6" s="1"/>
  <c r="R298" i="2"/>
  <c r="O371" i="6" s="1"/>
  <c r="Q298" i="2"/>
  <c r="N371" i="6" s="1"/>
  <c r="P298" i="2"/>
  <c r="M371" i="6" s="1"/>
  <c r="O298" i="2"/>
  <c r="L371" i="6" s="1"/>
  <c r="N298" i="2"/>
  <c r="K371" i="6" s="1"/>
  <c r="M298" i="2"/>
  <c r="J371" i="6" s="1"/>
  <c r="L298" i="2"/>
  <c r="I371" i="6" s="1"/>
  <c r="K298" i="2"/>
  <c r="J298" i="2"/>
  <c r="F298" i="2"/>
  <c r="E298" i="2"/>
  <c r="D298" i="2"/>
  <c r="Y297" i="2"/>
  <c r="V370" i="6" s="1"/>
  <c r="X297" i="2"/>
  <c r="U370" i="6" s="1"/>
  <c r="W297" i="2"/>
  <c r="T370" i="6" s="1"/>
  <c r="V297" i="2"/>
  <c r="S370" i="6" s="1"/>
  <c r="U297" i="2"/>
  <c r="R370" i="6" s="1"/>
  <c r="T297" i="2"/>
  <c r="Q370" i="6" s="1"/>
  <c r="S297" i="2"/>
  <c r="P370" i="6" s="1"/>
  <c r="R297" i="2"/>
  <c r="O370" i="6" s="1"/>
  <c r="Q297" i="2"/>
  <c r="N370" i="6" s="1"/>
  <c r="P297" i="2"/>
  <c r="M370" i="6" s="1"/>
  <c r="O297" i="2"/>
  <c r="L370" i="6" s="1"/>
  <c r="N297" i="2"/>
  <c r="K370" i="6" s="1"/>
  <c r="M297" i="2"/>
  <c r="J370" i="6" s="1"/>
  <c r="L297" i="2"/>
  <c r="I370" i="6" s="1"/>
  <c r="K297" i="2"/>
  <c r="H370" i="6" s="1"/>
  <c r="J297" i="2"/>
  <c r="I297" i="2"/>
  <c r="F370" i="6" s="1"/>
  <c r="F297" i="2"/>
  <c r="E297" i="2"/>
  <c r="D297" i="2" s="1"/>
  <c r="Y296" i="2"/>
  <c r="V368" i="6" s="1"/>
  <c r="X296" i="2"/>
  <c r="U368" i="6" s="1"/>
  <c r="W296" i="2"/>
  <c r="T368" i="6" s="1"/>
  <c r="V296" i="2"/>
  <c r="S368" i="6" s="1"/>
  <c r="U296" i="2"/>
  <c r="R368" i="6" s="1"/>
  <c r="T296" i="2"/>
  <c r="Q368" i="6" s="1"/>
  <c r="S296" i="2"/>
  <c r="P368" i="6" s="1"/>
  <c r="R296" i="2"/>
  <c r="O368" i="6" s="1"/>
  <c r="Q296" i="2"/>
  <c r="N368" i="6" s="1"/>
  <c r="P296" i="2"/>
  <c r="M368" i="6" s="1"/>
  <c r="O296" i="2"/>
  <c r="L368" i="6" s="1"/>
  <c r="N296" i="2"/>
  <c r="K368" i="6" s="1"/>
  <c r="M296" i="2"/>
  <c r="J368" i="6" s="1"/>
  <c r="L296" i="2"/>
  <c r="I368" i="6" s="1"/>
  <c r="K296" i="2"/>
  <c r="J296" i="2"/>
  <c r="G368" i="6" s="1"/>
  <c r="H296" i="2"/>
  <c r="F296" i="2"/>
  <c r="D296" i="2" s="1"/>
  <c r="E296" i="2"/>
  <c r="Y295" i="2"/>
  <c r="V367" i="6" s="1"/>
  <c r="X295" i="2"/>
  <c r="U367" i="6" s="1"/>
  <c r="W295" i="2"/>
  <c r="T367" i="6" s="1"/>
  <c r="V295" i="2"/>
  <c r="S367" i="6" s="1"/>
  <c r="U295" i="2"/>
  <c r="R367" i="6" s="1"/>
  <c r="T295" i="2"/>
  <c r="Q367" i="6" s="1"/>
  <c r="S295" i="2"/>
  <c r="P367" i="6" s="1"/>
  <c r="R295" i="2"/>
  <c r="O367" i="6" s="1"/>
  <c r="Q295" i="2"/>
  <c r="N367" i="6" s="1"/>
  <c r="P295" i="2"/>
  <c r="M367" i="6" s="1"/>
  <c r="O295" i="2"/>
  <c r="L367" i="6" s="1"/>
  <c r="N295" i="2"/>
  <c r="K367" i="6" s="1"/>
  <c r="M295" i="2"/>
  <c r="J367" i="6" s="1"/>
  <c r="L295" i="2"/>
  <c r="I367" i="6" s="1"/>
  <c r="K295" i="2"/>
  <c r="H367" i="6" s="1"/>
  <c r="J295" i="2"/>
  <c r="I295" i="2"/>
  <c r="F367" i="6" s="1"/>
  <c r="F295" i="2"/>
  <c r="E295" i="2"/>
  <c r="Y294" i="2"/>
  <c r="V366" i="6" s="1"/>
  <c r="W53" i="5" s="1"/>
  <c r="X294" i="2"/>
  <c r="U366" i="6" s="1"/>
  <c r="V53" i="5" s="1"/>
  <c r="W294" i="2"/>
  <c r="T366" i="6" s="1"/>
  <c r="U53" i="5" s="1"/>
  <c r="V294" i="2"/>
  <c r="S366" i="6" s="1"/>
  <c r="T53" i="5" s="1"/>
  <c r="U294" i="2"/>
  <c r="R366" i="6" s="1"/>
  <c r="S53" i="5" s="1"/>
  <c r="T294" i="2"/>
  <c r="Q366" i="6" s="1"/>
  <c r="R53" i="5" s="1"/>
  <c r="S294" i="2"/>
  <c r="P366" i="6" s="1"/>
  <c r="Q53" i="5" s="1"/>
  <c r="R294" i="2"/>
  <c r="O366" i="6" s="1"/>
  <c r="P53" i="5" s="1"/>
  <c r="Q294" i="2"/>
  <c r="N366" i="6" s="1"/>
  <c r="O53" i="5" s="1"/>
  <c r="P294" i="2"/>
  <c r="M366" i="6" s="1"/>
  <c r="N53" i="5" s="1"/>
  <c r="O294" i="2"/>
  <c r="L366" i="6" s="1"/>
  <c r="M53" i="5" s="1"/>
  <c r="N294" i="2"/>
  <c r="K366" i="6" s="1"/>
  <c r="L53" i="5" s="1"/>
  <c r="M294" i="2"/>
  <c r="J366" i="6" s="1"/>
  <c r="K53" i="5" s="1"/>
  <c r="L294" i="2"/>
  <c r="K294" i="2"/>
  <c r="J294" i="2"/>
  <c r="G366" i="6" s="1"/>
  <c r="H53" i="5" s="1"/>
  <c r="F294" i="2"/>
  <c r="E294" i="2"/>
  <c r="D294" i="2" s="1"/>
  <c r="Y293" i="2"/>
  <c r="V365" i="6" s="1"/>
  <c r="X293" i="2"/>
  <c r="U365" i="6" s="1"/>
  <c r="W293" i="2"/>
  <c r="T365" i="6" s="1"/>
  <c r="V293" i="2"/>
  <c r="S365" i="6" s="1"/>
  <c r="U293" i="2"/>
  <c r="R365" i="6" s="1"/>
  <c r="T293" i="2"/>
  <c r="Q365" i="6" s="1"/>
  <c r="S293" i="2"/>
  <c r="P365" i="6" s="1"/>
  <c r="R293" i="2"/>
  <c r="O365" i="6" s="1"/>
  <c r="Q293" i="2"/>
  <c r="N365" i="6" s="1"/>
  <c r="P293" i="2"/>
  <c r="M365" i="6" s="1"/>
  <c r="O293" i="2"/>
  <c r="L365" i="6" s="1"/>
  <c r="N293" i="2"/>
  <c r="K365" i="6" s="1"/>
  <c r="M293" i="2"/>
  <c r="J365" i="6" s="1"/>
  <c r="L293" i="2"/>
  <c r="I365" i="6" s="1"/>
  <c r="K293" i="2"/>
  <c r="H365" i="6" s="1"/>
  <c r="J293" i="2"/>
  <c r="F293" i="2"/>
  <c r="E293" i="2"/>
  <c r="Y292" i="2"/>
  <c r="V363" i="6" s="1"/>
  <c r="X292" i="2"/>
  <c r="U363" i="6" s="1"/>
  <c r="W292" i="2"/>
  <c r="T363" i="6" s="1"/>
  <c r="V292" i="2"/>
  <c r="S363" i="6" s="1"/>
  <c r="U292" i="2"/>
  <c r="R363" i="6" s="1"/>
  <c r="T292" i="2"/>
  <c r="Q363" i="6" s="1"/>
  <c r="S292" i="2"/>
  <c r="P363" i="6" s="1"/>
  <c r="R292" i="2"/>
  <c r="O363" i="6" s="1"/>
  <c r="Q292" i="2"/>
  <c r="N363" i="6" s="1"/>
  <c r="P292" i="2"/>
  <c r="M363" i="6" s="1"/>
  <c r="O292" i="2"/>
  <c r="L363" i="6" s="1"/>
  <c r="N292" i="2"/>
  <c r="K363" i="6" s="1"/>
  <c r="M292" i="2"/>
  <c r="J363" i="6" s="1"/>
  <c r="L292" i="2"/>
  <c r="I363" i="6" s="1"/>
  <c r="K292" i="2"/>
  <c r="J292" i="2"/>
  <c r="G363" i="6" s="1"/>
  <c r="F292" i="2"/>
  <c r="E292" i="2"/>
  <c r="D292" i="2" s="1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I291" i="2" s="1"/>
  <c r="J291" i="2"/>
  <c r="H291" i="2" s="1"/>
  <c r="F291" i="2"/>
  <c r="E291" i="2"/>
  <c r="D291" i="2" s="1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H290" i="2" s="1"/>
  <c r="F290" i="2"/>
  <c r="E290" i="2"/>
  <c r="D290" i="2"/>
  <c r="Y289" i="2"/>
  <c r="V360" i="6" s="1"/>
  <c r="X289" i="2"/>
  <c r="U360" i="6" s="1"/>
  <c r="W289" i="2"/>
  <c r="T360" i="6" s="1"/>
  <c r="V289" i="2"/>
  <c r="S360" i="6" s="1"/>
  <c r="U289" i="2"/>
  <c r="R360" i="6" s="1"/>
  <c r="T289" i="2"/>
  <c r="Q360" i="6" s="1"/>
  <c r="S289" i="2"/>
  <c r="P360" i="6" s="1"/>
  <c r="R289" i="2"/>
  <c r="O360" i="6" s="1"/>
  <c r="Q289" i="2"/>
  <c r="N360" i="6" s="1"/>
  <c r="P289" i="2"/>
  <c r="M360" i="6" s="1"/>
  <c r="O289" i="2"/>
  <c r="L360" i="6" s="1"/>
  <c r="N289" i="2"/>
  <c r="K360" i="6" s="1"/>
  <c r="M289" i="2"/>
  <c r="J360" i="6" s="1"/>
  <c r="L289" i="2"/>
  <c r="I360" i="6" s="1"/>
  <c r="K289" i="2"/>
  <c r="H360" i="6" s="1"/>
  <c r="J289" i="2"/>
  <c r="I289" i="2"/>
  <c r="F360" i="6" s="1"/>
  <c r="F289" i="2"/>
  <c r="E289" i="2"/>
  <c r="D289" i="2" s="1"/>
  <c r="Y288" i="2"/>
  <c r="V359" i="6" s="1"/>
  <c r="X288" i="2"/>
  <c r="U359" i="6" s="1"/>
  <c r="W288" i="2"/>
  <c r="T359" i="6" s="1"/>
  <c r="V288" i="2"/>
  <c r="S359" i="6" s="1"/>
  <c r="U288" i="2"/>
  <c r="R359" i="6" s="1"/>
  <c r="T288" i="2"/>
  <c r="Q359" i="6" s="1"/>
  <c r="S288" i="2"/>
  <c r="P359" i="6" s="1"/>
  <c r="R288" i="2"/>
  <c r="O359" i="6" s="1"/>
  <c r="Q288" i="2"/>
  <c r="N359" i="6" s="1"/>
  <c r="P288" i="2"/>
  <c r="M359" i="6" s="1"/>
  <c r="O288" i="2"/>
  <c r="L359" i="6" s="1"/>
  <c r="N288" i="2"/>
  <c r="K359" i="6" s="1"/>
  <c r="M288" i="2"/>
  <c r="J359" i="6" s="1"/>
  <c r="L288" i="2"/>
  <c r="I359" i="6" s="1"/>
  <c r="K288" i="2"/>
  <c r="J288" i="2"/>
  <c r="G359" i="6" s="1"/>
  <c r="H288" i="2"/>
  <c r="F288" i="2"/>
  <c r="D288" i="2" s="1"/>
  <c r="E288" i="2"/>
  <c r="Y287" i="2"/>
  <c r="V357" i="6" s="1"/>
  <c r="X287" i="2"/>
  <c r="U357" i="6" s="1"/>
  <c r="W287" i="2"/>
  <c r="T357" i="6" s="1"/>
  <c r="V287" i="2"/>
  <c r="S357" i="6" s="1"/>
  <c r="U287" i="2"/>
  <c r="R357" i="6" s="1"/>
  <c r="T287" i="2"/>
  <c r="Q357" i="6" s="1"/>
  <c r="S287" i="2"/>
  <c r="P357" i="6" s="1"/>
  <c r="R287" i="2"/>
  <c r="O357" i="6" s="1"/>
  <c r="Q287" i="2"/>
  <c r="N357" i="6" s="1"/>
  <c r="P287" i="2"/>
  <c r="M357" i="6" s="1"/>
  <c r="O287" i="2"/>
  <c r="L357" i="6" s="1"/>
  <c r="N287" i="2"/>
  <c r="K357" i="6" s="1"/>
  <c r="M287" i="2"/>
  <c r="J357" i="6" s="1"/>
  <c r="L287" i="2"/>
  <c r="I357" i="6" s="1"/>
  <c r="K287" i="2"/>
  <c r="H357" i="6" s="1"/>
  <c r="J287" i="2"/>
  <c r="I287" i="2"/>
  <c r="F357" i="6" s="1"/>
  <c r="F287" i="2"/>
  <c r="E287" i="2"/>
  <c r="Y286" i="2"/>
  <c r="V356" i="6" s="1"/>
  <c r="X286" i="2"/>
  <c r="U356" i="6" s="1"/>
  <c r="W286" i="2"/>
  <c r="T356" i="6" s="1"/>
  <c r="V286" i="2"/>
  <c r="S356" i="6" s="1"/>
  <c r="U286" i="2"/>
  <c r="R356" i="6" s="1"/>
  <c r="T286" i="2"/>
  <c r="Q356" i="6" s="1"/>
  <c r="S286" i="2"/>
  <c r="P356" i="6" s="1"/>
  <c r="R286" i="2"/>
  <c r="O356" i="6" s="1"/>
  <c r="Q286" i="2"/>
  <c r="N356" i="6" s="1"/>
  <c r="P286" i="2"/>
  <c r="M356" i="6" s="1"/>
  <c r="O286" i="2"/>
  <c r="L356" i="6" s="1"/>
  <c r="N286" i="2"/>
  <c r="K356" i="6" s="1"/>
  <c r="M286" i="2"/>
  <c r="J356" i="6" s="1"/>
  <c r="L286" i="2"/>
  <c r="K286" i="2"/>
  <c r="J286" i="2"/>
  <c r="G356" i="6" s="1"/>
  <c r="F286" i="2"/>
  <c r="E286" i="2"/>
  <c r="D286" i="2" s="1"/>
  <c r="Y285" i="2"/>
  <c r="V355" i="6" s="1"/>
  <c r="X285" i="2"/>
  <c r="U355" i="6" s="1"/>
  <c r="W285" i="2"/>
  <c r="T355" i="6" s="1"/>
  <c r="V285" i="2"/>
  <c r="S355" i="6" s="1"/>
  <c r="U285" i="2"/>
  <c r="R355" i="6" s="1"/>
  <c r="T285" i="2"/>
  <c r="Q355" i="6" s="1"/>
  <c r="S285" i="2"/>
  <c r="P355" i="6" s="1"/>
  <c r="R285" i="2"/>
  <c r="O355" i="6" s="1"/>
  <c r="Q285" i="2"/>
  <c r="N355" i="6" s="1"/>
  <c r="P285" i="2"/>
  <c r="M355" i="6" s="1"/>
  <c r="O285" i="2"/>
  <c r="L355" i="6" s="1"/>
  <c r="N285" i="2"/>
  <c r="K355" i="6" s="1"/>
  <c r="M285" i="2"/>
  <c r="J355" i="6" s="1"/>
  <c r="L285" i="2"/>
  <c r="I355" i="6" s="1"/>
  <c r="K285" i="2"/>
  <c r="H355" i="6" s="1"/>
  <c r="J285" i="2"/>
  <c r="F285" i="2"/>
  <c r="E285" i="2"/>
  <c r="Y284" i="2"/>
  <c r="V354" i="6" s="1"/>
  <c r="W4" i="5" s="1"/>
  <c r="X284" i="2"/>
  <c r="U354" i="6" s="1"/>
  <c r="V4" i="5" s="1"/>
  <c r="W284" i="2"/>
  <c r="T354" i="6" s="1"/>
  <c r="U4" i="5" s="1"/>
  <c r="V284" i="2"/>
  <c r="S354" i="6" s="1"/>
  <c r="T4" i="5" s="1"/>
  <c r="U284" i="2"/>
  <c r="R354" i="6" s="1"/>
  <c r="S4" i="5" s="1"/>
  <c r="T284" i="2"/>
  <c r="Q354" i="6" s="1"/>
  <c r="R4" i="5" s="1"/>
  <c r="S284" i="2"/>
  <c r="P354" i="6" s="1"/>
  <c r="Q4" i="5" s="1"/>
  <c r="R284" i="2"/>
  <c r="O354" i="6" s="1"/>
  <c r="P4" i="5" s="1"/>
  <c r="Q284" i="2"/>
  <c r="N354" i="6" s="1"/>
  <c r="O4" i="5" s="1"/>
  <c r="P284" i="2"/>
  <c r="M354" i="6" s="1"/>
  <c r="N4" i="5" s="1"/>
  <c r="O284" i="2"/>
  <c r="L354" i="6" s="1"/>
  <c r="M4" i="5" s="1"/>
  <c r="N284" i="2"/>
  <c r="K354" i="6" s="1"/>
  <c r="L4" i="5" s="1"/>
  <c r="M284" i="2"/>
  <c r="J354" i="6" s="1"/>
  <c r="K4" i="5" s="1"/>
  <c r="L284" i="2"/>
  <c r="I354" i="6" s="1"/>
  <c r="J4" i="5" s="1"/>
  <c r="K284" i="2"/>
  <c r="J284" i="2"/>
  <c r="G354" i="6" s="1"/>
  <c r="H4" i="5" s="1"/>
  <c r="F284" i="2"/>
  <c r="E284" i="2"/>
  <c r="D284" i="2" s="1"/>
  <c r="Y283" i="2"/>
  <c r="V353" i="6" s="1"/>
  <c r="W34" i="5" s="1"/>
  <c r="X283" i="2"/>
  <c r="U353" i="6" s="1"/>
  <c r="V34" i="5" s="1"/>
  <c r="W283" i="2"/>
  <c r="T353" i="6" s="1"/>
  <c r="U34" i="5" s="1"/>
  <c r="V283" i="2"/>
  <c r="S353" i="6" s="1"/>
  <c r="T34" i="5" s="1"/>
  <c r="U283" i="2"/>
  <c r="R353" i="6" s="1"/>
  <c r="S34" i="5" s="1"/>
  <c r="T283" i="2"/>
  <c r="Q353" i="6" s="1"/>
  <c r="R34" i="5" s="1"/>
  <c r="S283" i="2"/>
  <c r="P353" i="6" s="1"/>
  <c r="Q34" i="5" s="1"/>
  <c r="R283" i="2"/>
  <c r="O353" i="6" s="1"/>
  <c r="P34" i="5" s="1"/>
  <c r="Q283" i="2"/>
  <c r="N353" i="6" s="1"/>
  <c r="O34" i="5" s="1"/>
  <c r="P283" i="2"/>
  <c r="M353" i="6" s="1"/>
  <c r="N34" i="5" s="1"/>
  <c r="O283" i="2"/>
  <c r="L353" i="6" s="1"/>
  <c r="M34" i="5" s="1"/>
  <c r="N283" i="2"/>
  <c r="K353" i="6" s="1"/>
  <c r="L34" i="5" s="1"/>
  <c r="M283" i="2"/>
  <c r="J353" i="6" s="1"/>
  <c r="K34" i="5" s="1"/>
  <c r="L283" i="2"/>
  <c r="I353" i="6" s="1"/>
  <c r="J34" i="5" s="1"/>
  <c r="K283" i="2"/>
  <c r="J283" i="2"/>
  <c r="F283" i="2"/>
  <c r="E283" i="2"/>
  <c r="D283" i="2" s="1"/>
  <c r="Y282" i="2"/>
  <c r="V352" i="6" s="1"/>
  <c r="X282" i="2"/>
  <c r="U352" i="6" s="1"/>
  <c r="W282" i="2"/>
  <c r="T352" i="6" s="1"/>
  <c r="V282" i="2"/>
  <c r="S352" i="6" s="1"/>
  <c r="U282" i="2"/>
  <c r="R352" i="6" s="1"/>
  <c r="T282" i="2"/>
  <c r="Q352" i="6" s="1"/>
  <c r="S282" i="2"/>
  <c r="P352" i="6" s="1"/>
  <c r="R282" i="2"/>
  <c r="O352" i="6" s="1"/>
  <c r="Q282" i="2"/>
  <c r="N352" i="6" s="1"/>
  <c r="P282" i="2"/>
  <c r="M352" i="6" s="1"/>
  <c r="O282" i="2"/>
  <c r="L352" i="6" s="1"/>
  <c r="N282" i="2"/>
  <c r="K352" i="6" s="1"/>
  <c r="M282" i="2"/>
  <c r="J352" i="6" s="1"/>
  <c r="L282" i="2"/>
  <c r="I352" i="6" s="1"/>
  <c r="K282" i="2"/>
  <c r="J282" i="2"/>
  <c r="F282" i="2"/>
  <c r="E282" i="2"/>
  <c r="D282" i="2"/>
  <c r="Y281" i="2"/>
  <c r="V351" i="6" s="1"/>
  <c r="X281" i="2"/>
  <c r="U351" i="6" s="1"/>
  <c r="W281" i="2"/>
  <c r="T351" i="6" s="1"/>
  <c r="V281" i="2"/>
  <c r="S351" i="6" s="1"/>
  <c r="U281" i="2"/>
  <c r="R351" i="6" s="1"/>
  <c r="T281" i="2"/>
  <c r="Q351" i="6" s="1"/>
  <c r="S281" i="2"/>
  <c r="P351" i="6" s="1"/>
  <c r="R281" i="2"/>
  <c r="O351" i="6" s="1"/>
  <c r="Q281" i="2"/>
  <c r="N351" i="6" s="1"/>
  <c r="P281" i="2"/>
  <c r="M351" i="6" s="1"/>
  <c r="O281" i="2"/>
  <c r="L351" i="6" s="1"/>
  <c r="N281" i="2"/>
  <c r="K351" i="6" s="1"/>
  <c r="M281" i="2"/>
  <c r="J351" i="6" s="1"/>
  <c r="L281" i="2"/>
  <c r="I351" i="6" s="1"/>
  <c r="K281" i="2"/>
  <c r="H351" i="6" s="1"/>
  <c r="J281" i="2"/>
  <c r="I281" i="2"/>
  <c r="F351" i="6" s="1"/>
  <c r="F281" i="2"/>
  <c r="E281" i="2"/>
  <c r="D281" i="2" s="1"/>
  <c r="Y280" i="2"/>
  <c r="V348" i="6" s="1"/>
  <c r="X280" i="2"/>
  <c r="U348" i="6" s="1"/>
  <c r="W280" i="2"/>
  <c r="T348" i="6" s="1"/>
  <c r="V280" i="2"/>
  <c r="S348" i="6" s="1"/>
  <c r="U280" i="2"/>
  <c r="R348" i="6" s="1"/>
  <c r="T280" i="2"/>
  <c r="Q348" i="6" s="1"/>
  <c r="S280" i="2"/>
  <c r="P348" i="6" s="1"/>
  <c r="R280" i="2"/>
  <c r="O348" i="6" s="1"/>
  <c r="Q280" i="2"/>
  <c r="N348" i="6" s="1"/>
  <c r="P280" i="2"/>
  <c r="M348" i="6" s="1"/>
  <c r="O280" i="2"/>
  <c r="L348" i="6" s="1"/>
  <c r="N280" i="2"/>
  <c r="K348" i="6" s="1"/>
  <c r="M280" i="2"/>
  <c r="J348" i="6" s="1"/>
  <c r="L280" i="2"/>
  <c r="I348" i="6" s="1"/>
  <c r="K280" i="2"/>
  <c r="J280" i="2"/>
  <c r="G348" i="6" s="1"/>
  <c r="H280" i="2"/>
  <c r="F280" i="2"/>
  <c r="D280" i="2" s="1"/>
  <c r="E280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F279" i="2"/>
  <c r="E279" i="2"/>
  <c r="Y278" i="2"/>
  <c r="V346" i="6" s="1"/>
  <c r="X278" i="2"/>
  <c r="U346" i="6" s="1"/>
  <c r="W278" i="2"/>
  <c r="T346" i="6" s="1"/>
  <c r="V278" i="2"/>
  <c r="S346" i="6" s="1"/>
  <c r="U278" i="2"/>
  <c r="R346" i="6" s="1"/>
  <c r="T278" i="2"/>
  <c r="Q346" i="6" s="1"/>
  <c r="S278" i="2"/>
  <c r="P346" i="6" s="1"/>
  <c r="R278" i="2"/>
  <c r="O346" i="6" s="1"/>
  <c r="Q278" i="2"/>
  <c r="N346" i="6" s="1"/>
  <c r="P278" i="2"/>
  <c r="M346" i="6" s="1"/>
  <c r="O278" i="2"/>
  <c r="L346" i="6" s="1"/>
  <c r="N278" i="2"/>
  <c r="K346" i="6" s="1"/>
  <c r="M278" i="2"/>
  <c r="J346" i="6" s="1"/>
  <c r="L278" i="2"/>
  <c r="K278" i="2"/>
  <c r="J278" i="2"/>
  <c r="G346" i="6" s="1"/>
  <c r="F278" i="2"/>
  <c r="E278" i="2"/>
  <c r="D278" i="2" s="1"/>
  <c r="Y277" i="2"/>
  <c r="V345" i="6" s="1"/>
  <c r="X277" i="2"/>
  <c r="U345" i="6" s="1"/>
  <c r="W277" i="2"/>
  <c r="T345" i="6" s="1"/>
  <c r="V277" i="2"/>
  <c r="S345" i="6" s="1"/>
  <c r="U277" i="2"/>
  <c r="R345" i="6" s="1"/>
  <c r="T277" i="2"/>
  <c r="Q345" i="6" s="1"/>
  <c r="S277" i="2"/>
  <c r="P345" i="6" s="1"/>
  <c r="R277" i="2"/>
  <c r="O345" i="6" s="1"/>
  <c r="Q277" i="2"/>
  <c r="N345" i="6" s="1"/>
  <c r="P277" i="2"/>
  <c r="M345" i="6" s="1"/>
  <c r="O277" i="2"/>
  <c r="L345" i="6" s="1"/>
  <c r="N277" i="2"/>
  <c r="K345" i="6" s="1"/>
  <c r="M277" i="2"/>
  <c r="J345" i="6" s="1"/>
  <c r="L277" i="2"/>
  <c r="I345" i="6" s="1"/>
  <c r="K277" i="2"/>
  <c r="H345" i="6" s="1"/>
  <c r="J277" i="2"/>
  <c r="F277" i="2"/>
  <c r="E277" i="2"/>
  <c r="Y276" i="2"/>
  <c r="V344" i="6" s="1"/>
  <c r="X276" i="2"/>
  <c r="U344" i="6" s="1"/>
  <c r="W276" i="2"/>
  <c r="T344" i="6" s="1"/>
  <c r="V276" i="2"/>
  <c r="S344" i="6" s="1"/>
  <c r="U276" i="2"/>
  <c r="R344" i="6" s="1"/>
  <c r="T276" i="2"/>
  <c r="Q344" i="6" s="1"/>
  <c r="S276" i="2"/>
  <c r="P344" i="6" s="1"/>
  <c r="R276" i="2"/>
  <c r="O344" i="6" s="1"/>
  <c r="Q276" i="2"/>
  <c r="N344" i="6" s="1"/>
  <c r="P276" i="2"/>
  <c r="M344" i="6" s="1"/>
  <c r="O276" i="2"/>
  <c r="L344" i="6" s="1"/>
  <c r="N276" i="2"/>
  <c r="K344" i="6" s="1"/>
  <c r="M276" i="2"/>
  <c r="J344" i="6" s="1"/>
  <c r="L276" i="2"/>
  <c r="I344" i="6" s="1"/>
  <c r="K276" i="2"/>
  <c r="J276" i="2"/>
  <c r="G344" i="6" s="1"/>
  <c r="F276" i="2"/>
  <c r="E276" i="2"/>
  <c r="D276" i="2" s="1"/>
  <c r="Y275" i="2"/>
  <c r="V343" i="6" s="1"/>
  <c r="X275" i="2"/>
  <c r="U343" i="6" s="1"/>
  <c r="W275" i="2"/>
  <c r="T343" i="6" s="1"/>
  <c r="V275" i="2"/>
  <c r="S343" i="6" s="1"/>
  <c r="U275" i="2"/>
  <c r="R343" i="6" s="1"/>
  <c r="T275" i="2"/>
  <c r="Q343" i="6" s="1"/>
  <c r="S275" i="2"/>
  <c r="P343" i="6" s="1"/>
  <c r="R275" i="2"/>
  <c r="O343" i="6" s="1"/>
  <c r="Q275" i="2"/>
  <c r="N343" i="6" s="1"/>
  <c r="P275" i="2"/>
  <c r="M343" i="6" s="1"/>
  <c r="O275" i="2"/>
  <c r="L343" i="6" s="1"/>
  <c r="N275" i="2"/>
  <c r="K343" i="6" s="1"/>
  <c r="M275" i="2"/>
  <c r="J343" i="6" s="1"/>
  <c r="L275" i="2"/>
  <c r="I343" i="6" s="1"/>
  <c r="K275" i="2"/>
  <c r="J275" i="2"/>
  <c r="F275" i="2"/>
  <c r="E275" i="2"/>
  <c r="D275" i="2" s="1"/>
  <c r="Y274" i="2"/>
  <c r="V342" i="6" s="1"/>
  <c r="X274" i="2"/>
  <c r="U342" i="6" s="1"/>
  <c r="W274" i="2"/>
  <c r="T342" i="6" s="1"/>
  <c r="V274" i="2"/>
  <c r="S342" i="6" s="1"/>
  <c r="U274" i="2"/>
  <c r="R342" i="6" s="1"/>
  <c r="T274" i="2"/>
  <c r="Q342" i="6" s="1"/>
  <c r="S274" i="2"/>
  <c r="P342" i="6" s="1"/>
  <c r="R274" i="2"/>
  <c r="O342" i="6" s="1"/>
  <c r="Q274" i="2"/>
  <c r="N342" i="6" s="1"/>
  <c r="P274" i="2"/>
  <c r="M342" i="6" s="1"/>
  <c r="O274" i="2"/>
  <c r="L342" i="6" s="1"/>
  <c r="N274" i="2"/>
  <c r="K342" i="6" s="1"/>
  <c r="M274" i="2"/>
  <c r="J342" i="6" s="1"/>
  <c r="L274" i="2"/>
  <c r="I342" i="6" s="1"/>
  <c r="K274" i="2"/>
  <c r="J274" i="2"/>
  <c r="F274" i="2"/>
  <c r="E274" i="2"/>
  <c r="D274" i="2"/>
  <c r="Y273" i="2"/>
  <c r="V341" i="6" s="1"/>
  <c r="X273" i="2"/>
  <c r="U341" i="6" s="1"/>
  <c r="W273" i="2"/>
  <c r="T341" i="6" s="1"/>
  <c r="V273" i="2"/>
  <c r="S341" i="6" s="1"/>
  <c r="U273" i="2"/>
  <c r="R341" i="6" s="1"/>
  <c r="T273" i="2"/>
  <c r="Q341" i="6" s="1"/>
  <c r="S273" i="2"/>
  <c r="P341" i="6" s="1"/>
  <c r="R273" i="2"/>
  <c r="O341" i="6" s="1"/>
  <c r="Q273" i="2"/>
  <c r="N341" i="6" s="1"/>
  <c r="P273" i="2"/>
  <c r="M341" i="6" s="1"/>
  <c r="O273" i="2"/>
  <c r="L341" i="6" s="1"/>
  <c r="N273" i="2"/>
  <c r="K341" i="6" s="1"/>
  <c r="M273" i="2"/>
  <c r="J341" i="6" s="1"/>
  <c r="L273" i="2"/>
  <c r="I341" i="6" s="1"/>
  <c r="K273" i="2"/>
  <c r="H341" i="6" s="1"/>
  <c r="J273" i="2"/>
  <c r="I273" i="2"/>
  <c r="F341" i="6" s="1"/>
  <c r="F273" i="2"/>
  <c r="E273" i="2"/>
  <c r="D273" i="2" s="1"/>
  <c r="Y272" i="2"/>
  <c r="V340" i="6" s="1"/>
  <c r="X272" i="2"/>
  <c r="U340" i="6" s="1"/>
  <c r="W272" i="2"/>
  <c r="T340" i="6" s="1"/>
  <c r="V272" i="2"/>
  <c r="S340" i="6" s="1"/>
  <c r="U272" i="2"/>
  <c r="R340" i="6" s="1"/>
  <c r="T272" i="2"/>
  <c r="Q340" i="6" s="1"/>
  <c r="S272" i="2"/>
  <c r="P340" i="6" s="1"/>
  <c r="R272" i="2"/>
  <c r="O340" i="6" s="1"/>
  <c r="Q272" i="2"/>
  <c r="N340" i="6" s="1"/>
  <c r="P272" i="2"/>
  <c r="M340" i="6" s="1"/>
  <c r="O272" i="2"/>
  <c r="L340" i="6" s="1"/>
  <c r="N272" i="2"/>
  <c r="K340" i="6" s="1"/>
  <c r="M272" i="2"/>
  <c r="J340" i="6" s="1"/>
  <c r="L272" i="2"/>
  <c r="I340" i="6" s="1"/>
  <c r="K272" i="2"/>
  <c r="J272" i="2"/>
  <c r="G340" i="6" s="1"/>
  <c r="H272" i="2"/>
  <c r="F272" i="2"/>
  <c r="D272" i="2" s="1"/>
  <c r="E272" i="2"/>
  <c r="Y271" i="2"/>
  <c r="V339" i="6" s="1"/>
  <c r="X271" i="2"/>
  <c r="U339" i="6" s="1"/>
  <c r="W271" i="2"/>
  <c r="T339" i="6" s="1"/>
  <c r="V271" i="2"/>
  <c r="S339" i="6" s="1"/>
  <c r="U271" i="2"/>
  <c r="R339" i="6" s="1"/>
  <c r="T271" i="2"/>
  <c r="Q339" i="6" s="1"/>
  <c r="S271" i="2"/>
  <c r="P339" i="6" s="1"/>
  <c r="R271" i="2"/>
  <c r="O339" i="6" s="1"/>
  <c r="Q271" i="2"/>
  <c r="N339" i="6" s="1"/>
  <c r="P271" i="2"/>
  <c r="M339" i="6" s="1"/>
  <c r="O271" i="2"/>
  <c r="L339" i="6" s="1"/>
  <c r="N271" i="2"/>
  <c r="K339" i="6" s="1"/>
  <c r="M271" i="2"/>
  <c r="J339" i="6" s="1"/>
  <c r="L271" i="2"/>
  <c r="I339" i="6" s="1"/>
  <c r="K271" i="2"/>
  <c r="H339" i="6" s="1"/>
  <c r="J271" i="2"/>
  <c r="F271" i="2"/>
  <c r="E271" i="2"/>
  <c r="Y270" i="2"/>
  <c r="V337" i="6" s="1"/>
  <c r="W33" i="5" s="1"/>
  <c r="X270" i="2"/>
  <c r="U337" i="6" s="1"/>
  <c r="V33" i="5" s="1"/>
  <c r="W270" i="2"/>
  <c r="T337" i="6" s="1"/>
  <c r="U33" i="5" s="1"/>
  <c r="V270" i="2"/>
  <c r="S337" i="6" s="1"/>
  <c r="T33" i="5" s="1"/>
  <c r="U270" i="2"/>
  <c r="R337" i="6" s="1"/>
  <c r="S33" i="5" s="1"/>
  <c r="T270" i="2"/>
  <c r="Q337" i="6" s="1"/>
  <c r="R33" i="5" s="1"/>
  <c r="S270" i="2"/>
  <c r="P337" i="6" s="1"/>
  <c r="Q33" i="5" s="1"/>
  <c r="R270" i="2"/>
  <c r="O337" i="6" s="1"/>
  <c r="P33" i="5" s="1"/>
  <c r="Q270" i="2"/>
  <c r="N337" i="6" s="1"/>
  <c r="O33" i="5" s="1"/>
  <c r="P270" i="2"/>
  <c r="M337" i="6" s="1"/>
  <c r="N33" i="5" s="1"/>
  <c r="O270" i="2"/>
  <c r="L337" i="6" s="1"/>
  <c r="M33" i="5" s="1"/>
  <c r="N270" i="2"/>
  <c r="K337" i="6" s="1"/>
  <c r="L33" i="5" s="1"/>
  <c r="M270" i="2"/>
  <c r="J337" i="6" s="1"/>
  <c r="K33" i="5" s="1"/>
  <c r="L270" i="2"/>
  <c r="K270" i="2"/>
  <c r="J270" i="2"/>
  <c r="G337" i="6" s="1"/>
  <c r="H33" i="5" s="1"/>
  <c r="F270" i="2"/>
  <c r="E270" i="2"/>
  <c r="D270" i="2" s="1"/>
  <c r="Y269" i="2"/>
  <c r="V336" i="6" s="1"/>
  <c r="W52" i="5" s="1"/>
  <c r="X269" i="2"/>
  <c r="U336" i="6" s="1"/>
  <c r="V52" i="5" s="1"/>
  <c r="W269" i="2"/>
  <c r="T336" i="6" s="1"/>
  <c r="U52" i="5" s="1"/>
  <c r="V269" i="2"/>
  <c r="S336" i="6" s="1"/>
  <c r="T52" i="5" s="1"/>
  <c r="U269" i="2"/>
  <c r="R336" i="6" s="1"/>
  <c r="S52" i="5" s="1"/>
  <c r="T269" i="2"/>
  <c r="Q336" i="6" s="1"/>
  <c r="R52" i="5" s="1"/>
  <c r="S269" i="2"/>
  <c r="P336" i="6" s="1"/>
  <c r="Q52" i="5" s="1"/>
  <c r="R269" i="2"/>
  <c r="O336" i="6" s="1"/>
  <c r="P52" i="5" s="1"/>
  <c r="Q269" i="2"/>
  <c r="N336" i="6" s="1"/>
  <c r="O52" i="5" s="1"/>
  <c r="P269" i="2"/>
  <c r="M336" i="6" s="1"/>
  <c r="N52" i="5" s="1"/>
  <c r="O269" i="2"/>
  <c r="L336" i="6" s="1"/>
  <c r="M52" i="5" s="1"/>
  <c r="N269" i="2"/>
  <c r="K336" i="6" s="1"/>
  <c r="L52" i="5" s="1"/>
  <c r="M269" i="2"/>
  <c r="J336" i="6" s="1"/>
  <c r="K52" i="5" s="1"/>
  <c r="L269" i="2"/>
  <c r="I336" i="6" s="1"/>
  <c r="J52" i="5" s="1"/>
  <c r="K269" i="2"/>
  <c r="H336" i="6" s="1"/>
  <c r="I52" i="5" s="1"/>
  <c r="J269" i="2"/>
  <c r="F269" i="2"/>
  <c r="E269" i="2"/>
  <c r="Y268" i="2"/>
  <c r="V335" i="6" s="1"/>
  <c r="X268" i="2"/>
  <c r="U335" i="6" s="1"/>
  <c r="W268" i="2"/>
  <c r="T335" i="6" s="1"/>
  <c r="V268" i="2"/>
  <c r="S335" i="6" s="1"/>
  <c r="U268" i="2"/>
  <c r="R335" i="6" s="1"/>
  <c r="T268" i="2"/>
  <c r="Q335" i="6" s="1"/>
  <c r="S268" i="2"/>
  <c r="P335" i="6" s="1"/>
  <c r="R268" i="2"/>
  <c r="O335" i="6" s="1"/>
  <c r="Q268" i="2"/>
  <c r="N335" i="6" s="1"/>
  <c r="P268" i="2"/>
  <c r="M335" i="6" s="1"/>
  <c r="O268" i="2"/>
  <c r="L335" i="6" s="1"/>
  <c r="N268" i="2"/>
  <c r="K335" i="6" s="1"/>
  <c r="M268" i="2"/>
  <c r="J335" i="6" s="1"/>
  <c r="L268" i="2"/>
  <c r="I335" i="6" s="1"/>
  <c r="K268" i="2"/>
  <c r="J268" i="2"/>
  <c r="G335" i="6" s="1"/>
  <c r="F268" i="2"/>
  <c r="E268" i="2"/>
  <c r="D268" i="2" s="1"/>
  <c r="Y267" i="2"/>
  <c r="V333" i="6" s="1"/>
  <c r="X267" i="2"/>
  <c r="U333" i="6" s="1"/>
  <c r="W267" i="2"/>
  <c r="T333" i="6" s="1"/>
  <c r="V267" i="2"/>
  <c r="S333" i="6" s="1"/>
  <c r="U267" i="2"/>
  <c r="R333" i="6" s="1"/>
  <c r="T267" i="2"/>
  <c r="Q333" i="6" s="1"/>
  <c r="S267" i="2"/>
  <c r="P333" i="6" s="1"/>
  <c r="R267" i="2"/>
  <c r="O333" i="6" s="1"/>
  <c r="Q267" i="2"/>
  <c r="N333" i="6" s="1"/>
  <c r="P267" i="2"/>
  <c r="M333" i="6" s="1"/>
  <c r="O267" i="2"/>
  <c r="L333" i="6" s="1"/>
  <c r="N267" i="2"/>
  <c r="K333" i="6" s="1"/>
  <c r="M267" i="2"/>
  <c r="J333" i="6" s="1"/>
  <c r="L267" i="2"/>
  <c r="I333" i="6" s="1"/>
  <c r="K267" i="2"/>
  <c r="J267" i="2"/>
  <c r="F267" i="2"/>
  <c r="E267" i="2"/>
  <c r="D267" i="2" s="1"/>
  <c r="Y266" i="2"/>
  <c r="V332" i="6" s="1"/>
  <c r="X266" i="2"/>
  <c r="U332" i="6" s="1"/>
  <c r="W266" i="2"/>
  <c r="T332" i="6" s="1"/>
  <c r="V266" i="2"/>
  <c r="S332" i="6" s="1"/>
  <c r="U266" i="2"/>
  <c r="R332" i="6" s="1"/>
  <c r="T266" i="2"/>
  <c r="Q332" i="6" s="1"/>
  <c r="S266" i="2"/>
  <c r="P332" i="6" s="1"/>
  <c r="R266" i="2"/>
  <c r="O332" i="6" s="1"/>
  <c r="Q266" i="2"/>
  <c r="N332" i="6" s="1"/>
  <c r="P266" i="2"/>
  <c r="M332" i="6" s="1"/>
  <c r="O266" i="2"/>
  <c r="L332" i="6" s="1"/>
  <c r="N266" i="2"/>
  <c r="K332" i="6" s="1"/>
  <c r="M266" i="2"/>
  <c r="J332" i="6" s="1"/>
  <c r="L266" i="2"/>
  <c r="I332" i="6" s="1"/>
  <c r="K266" i="2"/>
  <c r="J266" i="2"/>
  <c r="F266" i="2"/>
  <c r="E266" i="2"/>
  <c r="D266" i="2"/>
  <c r="Y265" i="2"/>
  <c r="V331" i="6" s="1"/>
  <c r="X265" i="2"/>
  <c r="U331" i="6" s="1"/>
  <c r="W265" i="2"/>
  <c r="T331" i="6" s="1"/>
  <c r="V265" i="2"/>
  <c r="S331" i="6" s="1"/>
  <c r="U265" i="2"/>
  <c r="R331" i="6" s="1"/>
  <c r="T265" i="2"/>
  <c r="Q331" i="6" s="1"/>
  <c r="S265" i="2"/>
  <c r="P331" i="6" s="1"/>
  <c r="R265" i="2"/>
  <c r="O331" i="6" s="1"/>
  <c r="Q265" i="2"/>
  <c r="N331" i="6" s="1"/>
  <c r="P265" i="2"/>
  <c r="M331" i="6" s="1"/>
  <c r="O265" i="2"/>
  <c r="L331" i="6" s="1"/>
  <c r="N265" i="2"/>
  <c r="K331" i="6" s="1"/>
  <c r="M265" i="2"/>
  <c r="J331" i="6" s="1"/>
  <c r="L265" i="2"/>
  <c r="I331" i="6" s="1"/>
  <c r="K265" i="2"/>
  <c r="H331" i="6" s="1"/>
  <c r="J265" i="2"/>
  <c r="I265" i="2"/>
  <c r="F331" i="6" s="1"/>
  <c r="F265" i="2"/>
  <c r="E265" i="2"/>
  <c r="D265" i="2" s="1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H264" i="2"/>
  <c r="F264" i="2"/>
  <c r="D264" i="2" s="1"/>
  <c r="E264" i="2"/>
  <c r="Y263" i="2"/>
  <c r="V327" i="6" s="1"/>
  <c r="X263" i="2"/>
  <c r="U327" i="6" s="1"/>
  <c r="W263" i="2"/>
  <c r="T327" i="6" s="1"/>
  <c r="V263" i="2"/>
  <c r="S327" i="6" s="1"/>
  <c r="U263" i="2"/>
  <c r="R327" i="6" s="1"/>
  <c r="T263" i="2"/>
  <c r="Q327" i="6" s="1"/>
  <c r="S263" i="2"/>
  <c r="P327" i="6" s="1"/>
  <c r="R263" i="2"/>
  <c r="O327" i="6" s="1"/>
  <c r="Q263" i="2"/>
  <c r="N327" i="6" s="1"/>
  <c r="P263" i="2"/>
  <c r="M327" i="6" s="1"/>
  <c r="O263" i="2"/>
  <c r="L327" i="6" s="1"/>
  <c r="N263" i="2"/>
  <c r="K327" i="6" s="1"/>
  <c r="M263" i="2"/>
  <c r="J327" i="6" s="1"/>
  <c r="L263" i="2"/>
  <c r="I327" i="6" s="1"/>
  <c r="K263" i="2"/>
  <c r="H327" i="6" s="1"/>
  <c r="J263" i="2"/>
  <c r="I263" i="2"/>
  <c r="F327" i="6" s="1"/>
  <c r="F263" i="2"/>
  <c r="E263" i="2"/>
  <c r="Y262" i="2"/>
  <c r="V324" i="6" s="1"/>
  <c r="X262" i="2"/>
  <c r="U324" i="6" s="1"/>
  <c r="W262" i="2"/>
  <c r="T324" i="6" s="1"/>
  <c r="V262" i="2"/>
  <c r="S324" i="6" s="1"/>
  <c r="U262" i="2"/>
  <c r="R324" i="6" s="1"/>
  <c r="T262" i="2"/>
  <c r="Q324" i="6" s="1"/>
  <c r="S262" i="2"/>
  <c r="P324" i="6" s="1"/>
  <c r="R262" i="2"/>
  <c r="O324" i="6" s="1"/>
  <c r="Q262" i="2"/>
  <c r="N324" i="6" s="1"/>
  <c r="P262" i="2"/>
  <c r="M324" i="6" s="1"/>
  <c r="O262" i="2"/>
  <c r="L324" i="6" s="1"/>
  <c r="N262" i="2"/>
  <c r="K324" i="6" s="1"/>
  <c r="M262" i="2"/>
  <c r="J324" i="6" s="1"/>
  <c r="L262" i="2"/>
  <c r="K262" i="2"/>
  <c r="J262" i="2"/>
  <c r="G324" i="6" s="1"/>
  <c r="F262" i="2"/>
  <c r="E262" i="2"/>
  <c r="D262" i="2" s="1"/>
  <c r="Y261" i="2"/>
  <c r="V323" i="6" s="1"/>
  <c r="X261" i="2"/>
  <c r="U323" i="6" s="1"/>
  <c r="W261" i="2"/>
  <c r="T323" i="6" s="1"/>
  <c r="V261" i="2"/>
  <c r="S323" i="6" s="1"/>
  <c r="U261" i="2"/>
  <c r="R323" i="6" s="1"/>
  <c r="T261" i="2"/>
  <c r="Q323" i="6" s="1"/>
  <c r="S261" i="2"/>
  <c r="P323" i="6" s="1"/>
  <c r="R261" i="2"/>
  <c r="O323" i="6" s="1"/>
  <c r="Q261" i="2"/>
  <c r="N323" i="6" s="1"/>
  <c r="P261" i="2"/>
  <c r="M323" i="6" s="1"/>
  <c r="O261" i="2"/>
  <c r="L323" i="6" s="1"/>
  <c r="N261" i="2"/>
  <c r="K323" i="6" s="1"/>
  <c r="M261" i="2"/>
  <c r="J323" i="6" s="1"/>
  <c r="L261" i="2"/>
  <c r="I323" i="6" s="1"/>
  <c r="K261" i="2"/>
  <c r="H323" i="6" s="1"/>
  <c r="J261" i="2"/>
  <c r="F261" i="2"/>
  <c r="E261" i="2"/>
  <c r="Y260" i="2"/>
  <c r="V322" i="6" s="1"/>
  <c r="X260" i="2"/>
  <c r="U322" i="6" s="1"/>
  <c r="W260" i="2"/>
  <c r="T322" i="6" s="1"/>
  <c r="V260" i="2"/>
  <c r="S322" i="6" s="1"/>
  <c r="U260" i="2"/>
  <c r="R322" i="6" s="1"/>
  <c r="T260" i="2"/>
  <c r="Q322" i="6" s="1"/>
  <c r="S260" i="2"/>
  <c r="P322" i="6" s="1"/>
  <c r="R260" i="2"/>
  <c r="O322" i="6" s="1"/>
  <c r="Q260" i="2"/>
  <c r="N322" i="6" s="1"/>
  <c r="P260" i="2"/>
  <c r="M322" i="6" s="1"/>
  <c r="O260" i="2"/>
  <c r="L322" i="6" s="1"/>
  <c r="N260" i="2"/>
  <c r="K322" i="6" s="1"/>
  <c r="M260" i="2"/>
  <c r="J322" i="6" s="1"/>
  <c r="L260" i="2"/>
  <c r="I322" i="6" s="1"/>
  <c r="K260" i="2"/>
  <c r="J260" i="2"/>
  <c r="G322" i="6" s="1"/>
  <c r="F260" i="2"/>
  <c r="E260" i="2"/>
  <c r="D260" i="2" s="1"/>
  <c r="Y259" i="2"/>
  <c r="V321" i="6" s="1"/>
  <c r="X259" i="2"/>
  <c r="U321" i="6" s="1"/>
  <c r="W259" i="2"/>
  <c r="T321" i="6" s="1"/>
  <c r="V259" i="2"/>
  <c r="S321" i="6" s="1"/>
  <c r="U259" i="2"/>
  <c r="R321" i="6" s="1"/>
  <c r="T259" i="2"/>
  <c r="Q321" i="6" s="1"/>
  <c r="S259" i="2"/>
  <c r="P321" i="6" s="1"/>
  <c r="R259" i="2"/>
  <c r="O321" i="6" s="1"/>
  <c r="Q259" i="2"/>
  <c r="N321" i="6" s="1"/>
  <c r="P259" i="2"/>
  <c r="M321" i="6" s="1"/>
  <c r="O259" i="2"/>
  <c r="L321" i="6" s="1"/>
  <c r="N259" i="2"/>
  <c r="K321" i="6" s="1"/>
  <c r="M259" i="2"/>
  <c r="J321" i="6" s="1"/>
  <c r="L259" i="2"/>
  <c r="I321" i="6" s="1"/>
  <c r="K259" i="2"/>
  <c r="J259" i="2"/>
  <c r="F259" i="2"/>
  <c r="E259" i="2"/>
  <c r="D259" i="2" s="1"/>
  <c r="Y258" i="2"/>
  <c r="V320" i="6" s="1"/>
  <c r="X258" i="2"/>
  <c r="U320" i="6" s="1"/>
  <c r="W258" i="2"/>
  <c r="T320" i="6" s="1"/>
  <c r="V258" i="2"/>
  <c r="S320" i="6" s="1"/>
  <c r="U258" i="2"/>
  <c r="R320" i="6" s="1"/>
  <c r="T258" i="2"/>
  <c r="Q320" i="6" s="1"/>
  <c r="S258" i="2"/>
  <c r="P320" i="6" s="1"/>
  <c r="R258" i="2"/>
  <c r="O320" i="6" s="1"/>
  <c r="Q258" i="2"/>
  <c r="N320" i="6" s="1"/>
  <c r="P258" i="2"/>
  <c r="M320" i="6" s="1"/>
  <c r="O258" i="2"/>
  <c r="L320" i="6" s="1"/>
  <c r="N258" i="2"/>
  <c r="K320" i="6" s="1"/>
  <c r="M258" i="2"/>
  <c r="J320" i="6" s="1"/>
  <c r="L258" i="2"/>
  <c r="I320" i="6" s="1"/>
  <c r="K258" i="2"/>
  <c r="J258" i="2"/>
  <c r="F258" i="2"/>
  <c r="E258" i="2"/>
  <c r="D258" i="2"/>
  <c r="Y257" i="2"/>
  <c r="V319" i="6" s="1"/>
  <c r="X257" i="2"/>
  <c r="U319" i="6" s="1"/>
  <c r="W257" i="2"/>
  <c r="T319" i="6" s="1"/>
  <c r="V257" i="2"/>
  <c r="S319" i="6" s="1"/>
  <c r="U257" i="2"/>
  <c r="R319" i="6" s="1"/>
  <c r="T257" i="2"/>
  <c r="Q319" i="6" s="1"/>
  <c r="S257" i="2"/>
  <c r="P319" i="6" s="1"/>
  <c r="R257" i="2"/>
  <c r="O319" i="6" s="1"/>
  <c r="Q257" i="2"/>
  <c r="N319" i="6" s="1"/>
  <c r="P257" i="2"/>
  <c r="M319" i="6" s="1"/>
  <c r="O257" i="2"/>
  <c r="L319" i="6" s="1"/>
  <c r="N257" i="2"/>
  <c r="K319" i="6" s="1"/>
  <c r="M257" i="2"/>
  <c r="J319" i="6" s="1"/>
  <c r="L257" i="2"/>
  <c r="I319" i="6" s="1"/>
  <c r="K257" i="2"/>
  <c r="H319" i="6" s="1"/>
  <c r="J257" i="2"/>
  <c r="I257" i="2"/>
  <c r="F319" i="6" s="1"/>
  <c r="F257" i="2"/>
  <c r="E257" i="2"/>
  <c r="D257" i="2" s="1"/>
  <c r="Y256" i="2"/>
  <c r="V318" i="6" s="1"/>
  <c r="X256" i="2"/>
  <c r="U318" i="6" s="1"/>
  <c r="W256" i="2"/>
  <c r="T318" i="6" s="1"/>
  <c r="V256" i="2"/>
  <c r="S318" i="6" s="1"/>
  <c r="U256" i="2"/>
  <c r="R318" i="6" s="1"/>
  <c r="T256" i="2"/>
  <c r="Q318" i="6" s="1"/>
  <c r="S256" i="2"/>
  <c r="P318" i="6" s="1"/>
  <c r="R256" i="2"/>
  <c r="O318" i="6" s="1"/>
  <c r="Q256" i="2"/>
  <c r="N318" i="6" s="1"/>
  <c r="P256" i="2"/>
  <c r="M318" i="6" s="1"/>
  <c r="O256" i="2"/>
  <c r="L318" i="6" s="1"/>
  <c r="N256" i="2"/>
  <c r="K318" i="6" s="1"/>
  <c r="M256" i="2"/>
  <c r="J318" i="6" s="1"/>
  <c r="L256" i="2"/>
  <c r="I318" i="6" s="1"/>
  <c r="K256" i="2"/>
  <c r="J256" i="2"/>
  <c r="G318" i="6" s="1"/>
  <c r="H256" i="2"/>
  <c r="F256" i="2"/>
  <c r="D256" i="2" s="1"/>
  <c r="E256" i="2"/>
  <c r="Y255" i="2"/>
  <c r="V317" i="6" s="1"/>
  <c r="X255" i="2"/>
  <c r="U317" i="6" s="1"/>
  <c r="W255" i="2"/>
  <c r="T317" i="6" s="1"/>
  <c r="V255" i="2"/>
  <c r="S317" i="6" s="1"/>
  <c r="U255" i="2"/>
  <c r="R317" i="6" s="1"/>
  <c r="T255" i="2"/>
  <c r="Q317" i="6" s="1"/>
  <c r="S255" i="2"/>
  <c r="P317" i="6" s="1"/>
  <c r="R255" i="2"/>
  <c r="O317" i="6" s="1"/>
  <c r="Q255" i="2"/>
  <c r="N317" i="6" s="1"/>
  <c r="P255" i="2"/>
  <c r="M317" i="6" s="1"/>
  <c r="O255" i="2"/>
  <c r="L317" i="6" s="1"/>
  <c r="N255" i="2"/>
  <c r="K317" i="6" s="1"/>
  <c r="M255" i="2"/>
  <c r="J317" i="6" s="1"/>
  <c r="L255" i="2"/>
  <c r="I317" i="6" s="1"/>
  <c r="K255" i="2"/>
  <c r="H317" i="6" s="1"/>
  <c r="J255" i="2"/>
  <c r="I255" i="2"/>
  <c r="F317" i="6" s="1"/>
  <c r="F255" i="2"/>
  <c r="E255" i="2"/>
  <c r="Y254" i="2"/>
  <c r="V313" i="6" s="1"/>
  <c r="X254" i="2"/>
  <c r="U313" i="6" s="1"/>
  <c r="W254" i="2"/>
  <c r="T313" i="6" s="1"/>
  <c r="V254" i="2"/>
  <c r="S313" i="6" s="1"/>
  <c r="U254" i="2"/>
  <c r="R313" i="6" s="1"/>
  <c r="T254" i="2"/>
  <c r="Q313" i="6" s="1"/>
  <c r="S254" i="2"/>
  <c r="P313" i="6" s="1"/>
  <c r="R254" i="2"/>
  <c r="O313" i="6" s="1"/>
  <c r="Q254" i="2"/>
  <c r="N313" i="6" s="1"/>
  <c r="P254" i="2"/>
  <c r="M313" i="6" s="1"/>
  <c r="O254" i="2"/>
  <c r="L313" i="6" s="1"/>
  <c r="N254" i="2"/>
  <c r="K313" i="6" s="1"/>
  <c r="M254" i="2"/>
  <c r="J313" i="6" s="1"/>
  <c r="L254" i="2"/>
  <c r="K254" i="2"/>
  <c r="J254" i="2"/>
  <c r="G313" i="6" s="1"/>
  <c r="F254" i="2"/>
  <c r="E254" i="2"/>
  <c r="D254" i="2" s="1"/>
  <c r="Y253" i="2"/>
  <c r="V312" i="6" s="1"/>
  <c r="X253" i="2"/>
  <c r="U312" i="6" s="1"/>
  <c r="W253" i="2"/>
  <c r="T312" i="6" s="1"/>
  <c r="V253" i="2"/>
  <c r="S312" i="6" s="1"/>
  <c r="U253" i="2"/>
  <c r="R312" i="6" s="1"/>
  <c r="T253" i="2"/>
  <c r="Q312" i="6" s="1"/>
  <c r="S253" i="2"/>
  <c r="P312" i="6" s="1"/>
  <c r="R253" i="2"/>
  <c r="O312" i="6" s="1"/>
  <c r="Q253" i="2"/>
  <c r="N312" i="6" s="1"/>
  <c r="P253" i="2"/>
  <c r="M312" i="6" s="1"/>
  <c r="O253" i="2"/>
  <c r="L312" i="6" s="1"/>
  <c r="N253" i="2"/>
  <c r="K312" i="6" s="1"/>
  <c r="M253" i="2"/>
  <c r="J312" i="6" s="1"/>
  <c r="L253" i="2"/>
  <c r="I312" i="6" s="1"/>
  <c r="K253" i="2"/>
  <c r="H312" i="6" s="1"/>
  <c r="J253" i="2"/>
  <c r="F253" i="2"/>
  <c r="E253" i="2"/>
  <c r="Y252" i="2"/>
  <c r="V310" i="6" s="1"/>
  <c r="X252" i="2"/>
  <c r="U310" i="6" s="1"/>
  <c r="W252" i="2"/>
  <c r="T310" i="6" s="1"/>
  <c r="V252" i="2"/>
  <c r="S310" i="6" s="1"/>
  <c r="U252" i="2"/>
  <c r="R310" i="6" s="1"/>
  <c r="T252" i="2"/>
  <c r="Q310" i="6" s="1"/>
  <c r="S252" i="2"/>
  <c r="P310" i="6" s="1"/>
  <c r="R252" i="2"/>
  <c r="O310" i="6" s="1"/>
  <c r="Q252" i="2"/>
  <c r="N310" i="6" s="1"/>
  <c r="P252" i="2"/>
  <c r="M310" i="6" s="1"/>
  <c r="O252" i="2"/>
  <c r="L310" i="6" s="1"/>
  <c r="N252" i="2"/>
  <c r="K310" i="6" s="1"/>
  <c r="M252" i="2"/>
  <c r="J310" i="6" s="1"/>
  <c r="L252" i="2"/>
  <c r="I310" i="6" s="1"/>
  <c r="K252" i="2"/>
  <c r="J252" i="2"/>
  <c r="G310" i="6" s="1"/>
  <c r="F252" i="2"/>
  <c r="E252" i="2"/>
  <c r="D252" i="2" s="1"/>
  <c r="Y251" i="2"/>
  <c r="V308" i="6" s="1"/>
  <c r="X251" i="2"/>
  <c r="U308" i="6" s="1"/>
  <c r="W251" i="2"/>
  <c r="T308" i="6" s="1"/>
  <c r="V251" i="2"/>
  <c r="S308" i="6" s="1"/>
  <c r="U251" i="2"/>
  <c r="R308" i="6" s="1"/>
  <c r="T251" i="2"/>
  <c r="Q308" i="6" s="1"/>
  <c r="S251" i="2"/>
  <c r="P308" i="6" s="1"/>
  <c r="R251" i="2"/>
  <c r="O308" i="6" s="1"/>
  <c r="Q251" i="2"/>
  <c r="N308" i="6" s="1"/>
  <c r="P251" i="2"/>
  <c r="M308" i="6" s="1"/>
  <c r="O251" i="2"/>
  <c r="L308" i="6" s="1"/>
  <c r="N251" i="2"/>
  <c r="K308" i="6" s="1"/>
  <c r="M251" i="2"/>
  <c r="J308" i="6" s="1"/>
  <c r="L251" i="2"/>
  <c r="I308" i="6" s="1"/>
  <c r="K251" i="2"/>
  <c r="J251" i="2"/>
  <c r="F251" i="2"/>
  <c r="E251" i="2"/>
  <c r="D251" i="2" s="1"/>
  <c r="Y250" i="2"/>
  <c r="V307" i="6" s="1"/>
  <c r="X250" i="2"/>
  <c r="U307" i="6" s="1"/>
  <c r="W250" i="2"/>
  <c r="T307" i="6" s="1"/>
  <c r="V250" i="2"/>
  <c r="S307" i="6" s="1"/>
  <c r="U250" i="2"/>
  <c r="R307" i="6" s="1"/>
  <c r="T250" i="2"/>
  <c r="Q307" i="6" s="1"/>
  <c r="S250" i="2"/>
  <c r="P307" i="6" s="1"/>
  <c r="R250" i="2"/>
  <c r="O307" i="6" s="1"/>
  <c r="Q250" i="2"/>
  <c r="N307" i="6" s="1"/>
  <c r="P250" i="2"/>
  <c r="M307" i="6" s="1"/>
  <c r="O250" i="2"/>
  <c r="L307" i="6" s="1"/>
  <c r="N250" i="2"/>
  <c r="K307" i="6" s="1"/>
  <c r="M250" i="2"/>
  <c r="J307" i="6" s="1"/>
  <c r="L250" i="2"/>
  <c r="I307" i="6" s="1"/>
  <c r="K250" i="2"/>
  <c r="J250" i="2"/>
  <c r="G307" i="6" s="1"/>
  <c r="F250" i="2"/>
  <c r="E250" i="2"/>
  <c r="D250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H249" i="2" s="1"/>
  <c r="G249" i="2" s="1"/>
  <c r="I249" i="2"/>
  <c r="F249" i="2"/>
  <c r="E249" i="2"/>
  <c r="D249" i="2" s="1"/>
  <c r="Y248" i="2"/>
  <c r="V305" i="6" s="1"/>
  <c r="X248" i="2"/>
  <c r="U305" i="6" s="1"/>
  <c r="W248" i="2"/>
  <c r="T305" i="6" s="1"/>
  <c r="V248" i="2"/>
  <c r="S305" i="6" s="1"/>
  <c r="U248" i="2"/>
  <c r="R305" i="6" s="1"/>
  <c r="T248" i="2"/>
  <c r="Q305" i="6" s="1"/>
  <c r="S248" i="2"/>
  <c r="P305" i="6" s="1"/>
  <c r="R248" i="2"/>
  <c r="O305" i="6" s="1"/>
  <c r="Q248" i="2"/>
  <c r="N305" i="6" s="1"/>
  <c r="P248" i="2"/>
  <c r="M305" i="6" s="1"/>
  <c r="O248" i="2"/>
  <c r="L305" i="6" s="1"/>
  <c r="N248" i="2"/>
  <c r="K305" i="6" s="1"/>
  <c r="M248" i="2"/>
  <c r="J305" i="6" s="1"/>
  <c r="L248" i="2"/>
  <c r="I305" i="6" s="1"/>
  <c r="K248" i="2"/>
  <c r="J248" i="2"/>
  <c r="G305" i="6" s="1"/>
  <c r="H248" i="2"/>
  <c r="F248" i="2"/>
  <c r="D248" i="2" s="1"/>
  <c r="E248" i="2"/>
  <c r="Y247" i="2"/>
  <c r="V304" i="6" s="1"/>
  <c r="X247" i="2"/>
  <c r="U304" i="6" s="1"/>
  <c r="W247" i="2"/>
  <c r="T304" i="6" s="1"/>
  <c r="V247" i="2"/>
  <c r="S304" i="6" s="1"/>
  <c r="U247" i="2"/>
  <c r="R304" i="6" s="1"/>
  <c r="T247" i="2"/>
  <c r="Q304" i="6" s="1"/>
  <c r="S247" i="2"/>
  <c r="P304" i="6" s="1"/>
  <c r="R247" i="2"/>
  <c r="O304" i="6" s="1"/>
  <c r="Q247" i="2"/>
  <c r="N304" i="6" s="1"/>
  <c r="P247" i="2"/>
  <c r="M304" i="6" s="1"/>
  <c r="O247" i="2"/>
  <c r="L304" i="6" s="1"/>
  <c r="N247" i="2"/>
  <c r="K304" i="6" s="1"/>
  <c r="M247" i="2"/>
  <c r="J304" i="6" s="1"/>
  <c r="L247" i="2"/>
  <c r="I304" i="6" s="1"/>
  <c r="K247" i="2"/>
  <c r="H304" i="6" s="1"/>
  <c r="J247" i="2"/>
  <c r="I247" i="2"/>
  <c r="F304" i="6" s="1"/>
  <c r="F247" i="2"/>
  <c r="E247" i="2"/>
  <c r="Y246" i="2"/>
  <c r="V303" i="6" s="1"/>
  <c r="X246" i="2"/>
  <c r="U303" i="6" s="1"/>
  <c r="W246" i="2"/>
  <c r="T303" i="6" s="1"/>
  <c r="V246" i="2"/>
  <c r="S303" i="6" s="1"/>
  <c r="U246" i="2"/>
  <c r="R303" i="6" s="1"/>
  <c r="T246" i="2"/>
  <c r="Q303" i="6" s="1"/>
  <c r="S246" i="2"/>
  <c r="P303" i="6" s="1"/>
  <c r="R246" i="2"/>
  <c r="O303" i="6" s="1"/>
  <c r="Q246" i="2"/>
  <c r="N303" i="6" s="1"/>
  <c r="P246" i="2"/>
  <c r="M303" i="6" s="1"/>
  <c r="O246" i="2"/>
  <c r="L303" i="6" s="1"/>
  <c r="N246" i="2"/>
  <c r="K303" i="6" s="1"/>
  <c r="M246" i="2"/>
  <c r="J303" i="6" s="1"/>
  <c r="L246" i="2"/>
  <c r="K246" i="2"/>
  <c r="J246" i="2"/>
  <c r="G303" i="6" s="1"/>
  <c r="F246" i="2"/>
  <c r="E246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I245" i="2" s="1"/>
  <c r="J245" i="2"/>
  <c r="F245" i="2"/>
  <c r="E245" i="2"/>
  <c r="D245" i="2" s="1"/>
  <c r="Y244" i="2"/>
  <c r="V301" i="6" s="1"/>
  <c r="X244" i="2"/>
  <c r="U301" i="6" s="1"/>
  <c r="W244" i="2"/>
  <c r="T301" i="6" s="1"/>
  <c r="V244" i="2"/>
  <c r="S301" i="6" s="1"/>
  <c r="U244" i="2"/>
  <c r="R301" i="6" s="1"/>
  <c r="T244" i="2"/>
  <c r="Q301" i="6" s="1"/>
  <c r="S244" i="2"/>
  <c r="P301" i="6" s="1"/>
  <c r="R244" i="2"/>
  <c r="O301" i="6" s="1"/>
  <c r="Q244" i="2"/>
  <c r="N301" i="6" s="1"/>
  <c r="P244" i="2"/>
  <c r="M301" i="6" s="1"/>
  <c r="O244" i="2"/>
  <c r="L301" i="6" s="1"/>
  <c r="N244" i="2"/>
  <c r="K301" i="6" s="1"/>
  <c r="M244" i="2"/>
  <c r="J301" i="6" s="1"/>
  <c r="L244" i="2"/>
  <c r="I301" i="6" s="1"/>
  <c r="K244" i="2"/>
  <c r="J244" i="2"/>
  <c r="F244" i="2"/>
  <c r="E244" i="2"/>
  <c r="D244" i="2" s="1"/>
  <c r="Y243" i="2"/>
  <c r="V299" i="6" s="1"/>
  <c r="X243" i="2"/>
  <c r="U299" i="6" s="1"/>
  <c r="W243" i="2"/>
  <c r="T299" i="6" s="1"/>
  <c r="V243" i="2"/>
  <c r="S299" i="6" s="1"/>
  <c r="U243" i="2"/>
  <c r="R299" i="6" s="1"/>
  <c r="T243" i="2"/>
  <c r="Q299" i="6" s="1"/>
  <c r="S243" i="2"/>
  <c r="P299" i="6" s="1"/>
  <c r="R243" i="2"/>
  <c r="O299" i="6" s="1"/>
  <c r="Q243" i="2"/>
  <c r="N299" i="6" s="1"/>
  <c r="P243" i="2"/>
  <c r="M299" i="6" s="1"/>
  <c r="O243" i="2"/>
  <c r="L299" i="6" s="1"/>
  <c r="N243" i="2"/>
  <c r="K299" i="6" s="1"/>
  <c r="M243" i="2"/>
  <c r="J299" i="6" s="1"/>
  <c r="L243" i="2"/>
  <c r="I299" i="6" s="1"/>
  <c r="K243" i="2"/>
  <c r="J243" i="2"/>
  <c r="F243" i="2"/>
  <c r="E243" i="2"/>
  <c r="Y242" i="2"/>
  <c r="V298" i="6" s="1"/>
  <c r="X242" i="2"/>
  <c r="U298" i="6" s="1"/>
  <c r="W242" i="2"/>
  <c r="T298" i="6" s="1"/>
  <c r="V242" i="2"/>
  <c r="S298" i="6" s="1"/>
  <c r="U242" i="2"/>
  <c r="R298" i="6" s="1"/>
  <c r="T242" i="2"/>
  <c r="Q298" i="6" s="1"/>
  <c r="S242" i="2"/>
  <c r="P298" i="6" s="1"/>
  <c r="R242" i="2"/>
  <c r="O298" i="6" s="1"/>
  <c r="Q242" i="2"/>
  <c r="N298" i="6" s="1"/>
  <c r="P242" i="2"/>
  <c r="M298" i="6" s="1"/>
  <c r="O242" i="2"/>
  <c r="L298" i="6" s="1"/>
  <c r="N242" i="2"/>
  <c r="K298" i="6" s="1"/>
  <c r="M242" i="2"/>
  <c r="J298" i="6" s="1"/>
  <c r="L242" i="2"/>
  <c r="I298" i="6" s="1"/>
  <c r="K242" i="2"/>
  <c r="J242" i="2"/>
  <c r="G298" i="6" s="1"/>
  <c r="H242" i="2"/>
  <c r="E298" i="6" s="1"/>
  <c r="F242" i="2"/>
  <c r="E242" i="2"/>
  <c r="D242" i="2" s="1"/>
  <c r="Y241" i="2"/>
  <c r="V297" i="6" s="1"/>
  <c r="X241" i="2"/>
  <c r="U297" i="6" s="1"/>
  <c r="W241" i="2"/>
  <c r="T297" i="6" s="1"/>
  <c r="V241" i="2"/>
  <c r="S297" i="6" s="1"/>
  <c r="U241" i="2"/>
  <c r="R297" i="6" s="1"/>
  <c r="T241" i="2"/>
  <c r="Q297" i="6" s="1"/>
  <c r="S241" i="2"/>
  <c r="P297" i="6" s="1"/>
  <c r="R241" i="2"/>
  <c r="O297" i="6" s="1"/>
  <c r="Q241" i="2"/>
  <c r="N297" i="6" s="1"/>
  <c r="P241" i="2"/>
  <c r="M297" i="6" s="1"/>
  <c r="O241" i="2"/>
  <c r="L297" i="6" s="1"/>
  <c r="N241" i="2"/>
  <c r="K297" i="6" s="1"/>
  <c r="M241" i="2"/>
  <c r="J297" i="6" s="1"/>
  <c r="L241" i="2"/>
  <c r="I297" i="6" s="1"/>
  <c r="K241" i="2"/>
  <c r="H297" i="6" s="1"/>
  <c r="J241" i="2"/>
  <c r="F241" i="2"/>
  <c r="E241" i="2"/>
  <c r="D241" i="2" s="1"/>
  <c r="Y240" i="2"/>
  <c r="V296" i="6" s="1"/>
  <c r="X240" i="2"/>
  <c r="U296" i="6" s="1"/>
  <c r="W240" i="2"/>
  <c r="T296" i="6" s="1"/>
  <c r="V240" i="2"/>
  <c r="S296" i="6" s="1"/>
  <c r="U240" i="2"/>
  <c r="R296" i="6" s="1"/>
  <c r="T240" i="2"/>
  <c r="Q296" i="6" s="1"/>
  <c r="S240" i="2"/>
  <c r="P296" i="6" s="1"/>
  <c r="R240" i="2"/>
  <c r="O296" i="6" s="1"/>
  <c r="Q240" i="2"/>
  <c r="N296" i="6" s="1"/>
  <c r="P240" i="2"/>
  <c r="M296" i="6" s="1"/>
  <c r="O240" i="2"/>
  <c r="L296" i="6" s="1"/>
  <c r="N240" i="2"/>
  <c r="K296" i="6" s="1"/>
  <c r="M240" i="2"/>
  <c r="J296" i="6" s="1"/>
  <c r="L240" i="2"/>
  <c r="I296" i="6" s="1"/>
  <c r="K240" i="2"/>
  <c r="J240" i="2"/>
  <c r="G296" i="6" s="1"/>
  <c r="F240" i="2"/>
  <c r="E240" i="2"/>
  <c r="D240" i="2"/>
  <c r="Y239" i="2"/>
  <c r="V293" i="6" s="1"/>
  <c r="X239" i="2"/>
  <c r="U293" i="6" s="1"/>
  <c r="W239" i="2"/>
  <c r="T293" i="6" s="1"/>
  <c r="V239" i="2"/>
  <c r="S293" i="6" s="1"/>
  <c r="U239" i="2"/>
  <c r="R293" i="6" s="1"/>
  <c r="T239" i="2"/>
  <c r="Q293" i="6" s="1"/>
  <c r="S239" i="2"/>
  <c r="P293" i="6" s="1"/>
  <c r="R239" i="2"/>
  <c r="O293" i="6" s="1"/>
  <c r="Q239" i="2"/>
  <c r="N293" i="6" s="1"/>
  <c r="P239" i="2"/>
  <c r="M293" i="6" s="1"/>
  <c r="O239" i="2"/>
  <c r="L293" i="6" s="1"/>
  <c r="N239" i="2"/>
  <c r="K293" i="6" s="1"/>
  <c r="M239" i="2"/>
  <c r="J293" i="6" s="1"/>
  <c r="L239" i="2"/>
  <c r="I293" i="6" s="1"/>
  <c r="K239" i="2"/>
  <c r="H293" i="6" s="1"/>
  <c r="J239" i="2"/>
  <c r="I239" i="2"/>
  <c r="F293" i="6" s="1"/>
  <c r="F239" i="2"/>
  <c r="E239" i="2"/>
  <c r="Y238" i="2"/>
  <c r="V292" i="6" s="1"/>
  <c r="X238" i="2"/>
  <c r="U292" i="6" s="1"/>
  <c r="W238" i="2"/>
  <c r="T292" i="6" s="1"/>
  <c r="V238" i="2"/>
  <c r="S292" i="6" s="1"/>
  <c r="U238" i="2"/>
  <c r="R292" i="6" s="1"/>
  <c r="T238" i="2"/>
  <c r="Q292" i="6" s="1"/>
  <c r="S238" i="2"/>
  <c r="P292" i="6" s="1"/>
  <c r="R238" i="2"/>
  <c r="O292" i="6" s="1"/>
  <c r="Q238" i="2"/>
  <c r="N292" i="6" s="1"/>
  <c r="P238" i="2"/>
  <c r="M292" i="6" s="1"/>
  <c r="O238" i="2"/>
  <c r="L292" i="6" s="1"/>
  <c r="N238" i="2"/>
  <c r="K292" i="6" s="1"/>
  <c r="M238" i="2"/>
  <c r="J292" i="6" s="1"/>
  <c r="L238" i="2"/>
  <c r="I292" i="6" s="1"/>
  <c r="K238" i="2"/>
  <c r="J238" i="2"/>
  <c r="G292" i="6" s="1"/>
  <c r="H238" i="2"/>
  <c r="F238" i="2"/>
  <c r="E238" i="2"/>
  <c r="D238" i="2" s="1"/>
  <c r="Y237" i="2"/>
  <c r="V291" i="6" s="1"/>
  <c r="X237" i="2"/>
  <c r="U291" i="6" s="1"/>
  <c r="W237" i="2"/>
  <c r="T291" i="6" s="1"/>
  <c r="V237" i="2"/>
  <c r="S291" i="6" s="1"/>
  <c r="U237" i="2"/>
  <c r="R291" i="6" s="1"/>
  <c r="T237" i="2"/>
  <c r="Q291" i="6" s="1"/>
  <c r="S237" i="2"/>
  <c r="P291" i="6" s="1"/>
  <c r="R237" i="2"/>
  <c r="O291" i="6" s="1"/>
  <c r="Q237" i="2"/>
  <c r="N291" i="6" s="1"/>
  <c r="P237" i="2"/>
  <c r="M291" i="6" s="1"/>
  <c r="O237" i="2"/>
  <c r="L291" i="6" s="1"/>
  <c r="N237" i="2"/>
  <c r="K291" i="6" s="1"/>
  <c r="M237" i="2"/>
  <c r="J291" i="6" s="1"/>
  <c r="L237" i="2"/>
  <c r="I291" i="6" s="1"/>
  <c r="K237" i="2"/>
  <c r="H291" i="6" s="1"/>
  <c r="J237" i="2"/>
  <c r="F237" i="2"/>
  <c r="E237" i="2"/>
  <c r="Y236" i="2"/>
  <c r="V290" i="6" s="1"/>
  <c r="W51" i="5" s="1"/>
  <c r="X236" i="2"/>
  <c r="U290" i="6" s="1"/>
  <c r="V51" i="5" s="1"/>
  <c r="W236" i="2"/>
  <c r="T290" i="6" s="1"/>
  <c r="U51" i="5" s="1"/>
  <c r="V236" i="2"/>
  <c r="S290" i="6" s="1"/>
  <c r="T51" i="5" s="1"/>
  <c r="U236" i="2"/>
  <c r="R290" i="6" s="1"/>
  <c r="S51" i="5" s="1"/>
  <c r="T236" i="2"/>
  <c r="Q290" i="6" s="1"/>
  <c r="R51" i="5" s="1"/>
  <c r="S236" i="2"/>
  <c r="P290" i="6" s="1"/>
  <c r="Q51" i="5" s="1"/>
  <c r="R236" i="2"/>
  <c r="O290" i="6" s="1"/>
  <c r="P51" i="5" s="1"/>
  <c r="Q236" i="2"/>
  <c r="N290" i="6" s="1"/>
  <c r="O51" i="5" s="1"/>
  <c r="P236" i="2"/>
  <c r="M290" i="6" s="1"/>
  <c r="N51" i="5" s="1"/>
  <c r="O236" i="2"/>
  <c r="L290" i="6" s="1"/>
  <c r="M51" i="5" s="1"/>
  <c r="N236" i="2"/>
  <c r="K290" i="6" s="1"/>
  <c r="L51" i="5" s="1"/>
  <c r="M236" i="2"/>
  <c r="J290" i="6" s="1"/>
  <c r="K51" i="5" s="1"/>
  <c r="L236" i="2"/>
  <c r="I290" i="6" s="1"/>
  <c r="J51" i="5" s="1"/>
  <c r="K236" i="2"/>
  <c r="J236" i="2"/>
  <c r="F236" i="2"/>
  <c r="E236" i="2"/>
  <c r="D236" i="2"/>
  <c r="Y235" i="2"/>
  <c r="V289" i="6" s="1"/>
  <c r="W50" i="5" s="1"/>
  <c r="X235" i="2"/>
  <c r="U289" i="6" s="1"/>
  <c r="V50" i="5" s="1"/>
  <c r="W235" i="2"/>
  <c r="T289" i="6" s="1"/>
  <c r="U50" i="5" s="1"/>
  <c r="V235" i="2"/>
  <c r="S289" i="6" s="1"/>
  <c r="T50" i="5" s="1"/>
  <c r="U235" i="2"/>
  <c r="R289" i="6" s="1"/>
  <c r="S50" i="5" s="1"/>
  <c r="T235" i="2"/>
  <c r="Q289" i="6" s="1"/>
  <c r="R50" i="5" s="1"/>
  <c r="S235" i="2"/>
  <c r="P289" i="6" s="1"/>
  <c r="Q50" i="5" s="1"/>
  <c r="R235" i="2"/>
  <c r="O289" i="6" s="1"/>
  <c r="P50" i="5" s="1"/>
  <c r="Q235" i="2"/>
  <c r="N289" i="6" s="1"/>
  <c r="O50" i="5" s="1"/>
  <c r="P235" i="2"/>
  <c r="M289" i="6" s="1"/>
  <c r="N50" i="5" s="1"/>
  <c r="O235" i="2"/>
  <c r="L289" i="6" s="1"/>
  <c r="M50" i="5" s="1"/>
  <c r="N235" i="2"/>
  <c r="K289" i="6" s="1"/>
  <c r="L50" i="5" s="1"/>
  <c r="M235" i="2"/>
  <c r="J289" i="6" s="1"/>
  <c r="K50" i="5" s="1"/>
  <c r="L235" i="2"/>
  <c r="I289" i="6" s="1"/>
  <c r="J50" i="5" s="1"/>
  <c r="K235" i="2"/>
  <c r="J235" i="2"/>
  <c r="F235" i="2"/>
  <c r="E235" i="2"/>
  <c r="D235" i="2" s="1"/>
  <c r="Y234" i="2"/>
  <c r="V288" i="6" s="1"/>
  <c r="X234" i="2"/>
  <c r="U288" i="6" s="1"/>
  <c r="W234" i="2"/>
  <c r="T288" i="6" s="1"/>
  <c r="V234" i="2"/>
  <c r="S288" i="6" s="1"/>
  <c r="U234" i="2"/>
  <c r="R288" i="6" s="1"/>
  <c r="T234" i="2"/>
  <c r="Q288" i="6" s="1"/>
  <c r="S234" i="2"/>
  <c r="P288" i="6" s="1"/>
  <c r="R234" i="2"/>
  <c r="O288" i="6" s="1"/>
  <c r="Q234" i="2"/>
  <c r="N288" i="6" s="1"/>
  <c r="P234" i="2"/>
  <c r="M288" i="6" s="1"/>
  <c r="O234" i="2"/>
  <c r="L288" i="6" s="1"/>
  <c r="N234" i="2"/>
  <c r="K288" i="6" s="1"/>
  <c r="M234" i="2"/>
  <c r="J288" i="6" s="1"/>
  <c r="L234" i="2"/>
  <c r="I288" i="6" s="1"/>
  <c r="K234" i="2"/>
  <c r="J234" i="2"/>
  <c r="G288" i="6" s="1"/>
  <c r="F234" i="2"/>
  <c r="E234" i="2"/>
  <c r="D234" i="2"/>
  <c r="Y233" i="2"/>
  <c r="V287" i="6" s="1"/>
  <c r="W49" i="5" s="1"/>
  <c r="X233" i="2"/>
  <c r="U287" i="6" s="1"/>
  <c r="V49" i="5" s="1"/>
  <c r="W233" i="2"/>
  <c r="T287" i="6" s="1"/>
  <c r="U49" i="5" s="1"/>
  <c r="V233" i="2"/>
  <c r="S287" i="6" s="1"/>
  <c r="T49" i="5" s="1"/>
  <c r="U233" i="2"/>
  <c r="R287" i="6" s="1"/>
  <c r="S49" i="5" s="1"/>
  <c r="T233" i="2"/>
  <c r="Q287" i="6" s="1"/>
  <c r="R49" i="5" s="1"/>
  <c r="S233" i="2"/>
  <c r="P287" i="6" s="1"/>
  <c r="Q49" i="5" s="1"/>
  <c r="R233" i="2"/>
  <c r="O287" i="6" s="1"/>
  <c r="P49" i="5" s="1"/>
  <c r="Q233" i="2"/>
  <c r="N287" i="6" s="1"/>
  <c r="O49" i="5" s="1"/>
  <c r="P233" i="2"/>
  <c r="M287" i="6" s="1"/>
  <c r="N49" i="5" s="1"/>
  <c r="O233" i="2"/>
  <c r="L287" i="6" s="1"/>
  <c r="M49" i="5" s="1"/>
  <c r="N233" i="2"/>
  <c r="K287" i="6" s="1"/>
  <c r="L49" i="5" s="1"/>
  <c r="M233" i="2"/>
  <c r="J287" i="6" s="1"/>
  <c r="K49" i="5" s="1"/>
  <c r="L233" i="2"/>
  <c r="I287" i="6" s="1"/>
  <c r="J49" i="5" s="1"/>
  <c r="K233" i="2"/>
  <c r="H287" i="6" s="1"/>
  <c r="I49" i="5" s="1"/>
  <c r="J233" i="2"/>
  <c r="I233" i="2"/>
  <c r="F287" i="6" s="1"/>
  <c r="G49" i="5" s="1"/>
  <c r="F233" i="2"/>
  <c r="E233" i="2"/>
  <c r="D233" i="2" s="1"/>
  <c r="Y232" i="2"/>
  <c r="V286" i="6" s="1"/>
  <c r="W48" i="5" s="1"/>
  <c r="X232" i="2"/>
  <c r="U286" i="6" s="1"/>
  <c r="V48" i="5" s="1"/>
  <c r="W232" i="2"/>
  <c r="T286" i="6" s="1"/>
  <c r="U48" i="5" s="1"/>
  <c r="V232" i="2"/>
  <c r="S286" i="6" s="1"/>
  <c r="T48" i="5" s="1"/>
  <c r="U232" i="2"/>
  <c r="R286" i="6" s="1"/>
  <c r="S48" i="5" s="1"/>
  <c r="T232" i="2"/>
  <c r="Q286" i="6" s="1"/>
  <c r="R48" i="5" s="1"/>
  <c r="S232" i="2"/>
  <c r="P286" i="6" s="1"/>
  <c r="Q48" i="5" s="1"/>
  <c r="R232" i="2"/>
  <c r="O286" i="6" s="1"/>
  <c r="P48" i="5" s="1"/>
  <c r="Q232" i="2"/>
  <c r="N286" i="6" s="1"/>
  <c r="O48" i="5" s="1"/>
  <c r="P232" i="2"/>
  <c r="M286" i="6" s="1"/>
  <c r="N48" i="5" s="1"/>
  <c r="O232" i="2"/>
  <c r="L286" i="6" s="1"/>
  <c r="M48" i="5" s="1"/>
  <c r="N232" i="2"/>
  <c r="K286" i="6" s="1"/>
  <c r="L48" i="5" s="1"/>
  <c r="M232" i="2"/>
  <c r="J286" i="6" s="1"/>
  <c r="K48" i="5" s="1"/>
  <c r="L232" i="2"/>
  <c r="I286" i="6" s="1"/>
  <c r="J48" i="5" s="1"/>
  <c r="K232" i="2"/>
  <c r="J232" i="2"/>
  <c r="G286" i="6" s="1"/>
  <c r="H48" i="5" s="1"/>
  <c r="H232" i="2"/>
  <c r="F232" i="2"/>
  <c r="D232" i="2" s="1"/>
  <c r="E232" i="2"/>
  <c r="Y231" i="2"/>
  <c r="V285" i="6" s="1"/>
  <c r="X231" i="2"/>
  <c r="U285" i="6" s="1"/>
  <c r="W231" i="2"/>
  <c r="T285" i="6" s="1"/>
  <c r="V231" i="2"/>
  <c r="S285" i="6" s="1"/>
  <c r="U231" i="2"/>
  <c r="R285" i="6" s="1"/>
  <c r="T231" i="2"/>
  <c r="Q285" i="6" s="1"/>
  <c r="S231" i="2"/>
  <c r="P285" i="6" s="1"/>
  <c r="R231" i="2"/>
  <c r="O285" i="6" s="1"/>
  <c r="Q231" i="2"/>
  <c r="N285" i="6" s="1"/>
  <c r="P231" i="2"/>
  <c r="M285" i="6" s="1"/>
  <c r="O231" i="2"/>
  <c r="L285" i="6" s="1"/>
  <c r="N231" i="2"/>
  <c r="K285" i="6" s="1"/>
  <c r="M231" i="2"/>
  <c r="J285" i="6" s="1"/>
  <c r="L231" i="2"/>
  <c r="I285" i="6" s="1"/>
  <c r="K231" i="2"/>
  <c r="H285" i="6" s="1"/>
  <c r="J231" i="2"/>
  <c r="I231" i="2"/>
  <c r="F285" i="6" s="1"/>
  <c r="F231" i="2"/>
  <c r="E231" i="2"/>
  <c r="Y230" i="2"/>
  <c r="V283" i="6" s="1"/>
  <c r="X230" i="2"/>
  <c r="U283" i="6" s="1"/>
  <c r="W230" i="2"/>
  <c r="T283" i="6" s="1"/>
  <c r="V230" i="2"/>
  <c r="S283" i="6" s="1"/>
  <c r="U230" i="2"/>
  <c r="R283" i="6" s="1"/>
  <c r="T230" i="2"/>
  <c r="Q283" i="6" s="1"/>
  <c r="S230" i="2"/>
  <c r="P283" i="6" s="1"/>
  <c r="R230" i="2"/>
  <c r="O283" i="6" s="1"/>
  <c r="Q230" i="2"/>
  <c r="N283" i="6" s="1"/>
  <c r="P230" i="2"/>
  <c r="M283" i="6" s="1"/>
  <c r="O230" i="2"/>
  <c r="L283" i="6" s="1"/>
  <c r="N230" i="2"/>
  <c r="K283" i="6" s="1"/>
  <c r="M230" i="2"/>
  <c r="J283" i="6" s="1"/>
  <c r="L230" i="2"/>
  <c r="I283" i="6" s="1"/>
  <c r="K230" i="2"/>
  <c r="J230" i="2"/>
  <c r="G283" i="6" s="1"/>
  <c r="H230" i="2"/>
  <c r="F230" i="2"/>
  <c r="E230" i="2"/>
  <c r="Y229" i="2"/>
  <c r="V282" i="6" s="1"/>
  <c r="W11" i="5" s="1"/>
  <c r="X229" i="2"/>
  <c r="U282" i="6" s="1"/>
  <c r="V11" i="5" s="1"/>
  <c r="W229" i="2"/>
  <c r="T282" i="6" s="1"/>
  <c r="U11" i="5" s="1"/>
  <c r="V229" i="2"/>
  <c r="S282" i="6" s="1"/>
  <c r="T11" i="5" s="1"/>
  <c r="U229" i="2"/>
  <c r="R282" i="6" s="1"/>
  <c r="S11" i="5" s="1"/>
  <c r="T229" i="2"/>
  <c r="Q282" i="6" s="1"/>
  <c r="R11" i="5" s="1"/>
  <c r="S229" i="2"/>
  <c r="P282" i="6" s="1"/>
  <c r="Q11" i="5" s="1"/>
  <c r="R229" i="2"/>
  <c r="O282" i="6" s="1"/>
  <c r="P11" i="5" s="1"/>
  <c r="Q229" i="2"/>
  <c r="N282" i="6" s="1"/>
  <c r="O11" i="5" s="1"/>
  <c r="P229" i="2"/>
  <c r="M282" i="6" s="1"/>
  <c r="N11" i="5" s="1"/>
  <c r="O229" i="2"/>
  <c r="L282" i="6" s="1"/>
  <c r="M11" i="5" s="1"/>
  <c r="N229" i="2"/>
  <c r="K282" i="6" s="1"/>
  <c r="L11" i="5" s="1"/>
  <c r="M229" i="2"/>
  <c r="J282" i="6" s="1"/>
  <c r="K11" i="5" s="1"/>
  <c r="L229" i="2"/>
  <c r="I282" i="6" s="1"/>
  <c r="J11" i="5" s="1"/>
  <c r="K229" i="2"/>
  <c r="H282" i="6" s="1"/>
  <c r="I11" i="5" s="1"/>
  <c r="J229" i="2"/>
  <c r="I229" i="2"/>
  <c r="F282" i="6" s="1"/>
  <c r="G11" i="5" s="1"/>
  <c r="F229" i="2"/>
  <c r="E229" i="2"/>
  <c r="Y228" i="2"/>
  <c r="V281" i="6" s="1"/>
  <c r="X228" i="2"/>
  <c r="U281" i="6" s="1"/>
  <c r="W228" i="2"/>
  <c r="T281" i="6" s="1"/>
  <c r="V228" i="2"/>
  <c r="S281" i="6" s="1"/>
  <c r="U228" i="2"/>
  <c r="R281" i="6" s="1"/>
  <c r="T228" i="2"/>
  <c r="Q281" i="6" s="1"/>
  <c r="S228" i="2"/>
  <c r="P281" i="6" s="1"/>
  <c r="R228" i="2"/>
  <c r="O281" i="6" s="1"/>
  <c r="Q228" i="2"/>
  <c r="N281" i="6" s="1"/>
  <c r="P228" i="2"/>
  <c r="M281" i="6" s="1"/>
  <c r="O228" i="2"/>
  <c r="L281" i="6" s="1"/>
  <c r="N228" i="2"/>
  <c r="K281" i="6" s="1"/>
  <c r="M228" i="2"/>
  <c r="J281" i="6" s="1"/>
  <c r="L228" i="2"/>
  <c r="I281" i="6" s="1"/>
  <c r="K228" i="2"/>
  <c r="J228" i="2"/>
  <c r="F228" i="2"/>
  <c r="E228" i="2"/>
  <c r="D228" i="2" s="1"/>
  <c r="Y227" i="2"/>
  <c r="V279" i="6" s="1"/>
  <c r="X227" i="2"/>
  <c r="U279" i="6" s="1"/>
  <c r="W227" i="2"/>
  <c r="T279" i="6" s="1"/>
  <c r="V227" i="2"/>
  <c r="S279" i="6" s="1"/>
  <c r="U227" i="2"/>
  <c r="R279" i="6" s="1"/>
  <c r="T227" i="2"/>
  <c r="Q279" i="6" s="1"/>
  <c r="S227" i="2"/>
  <c r="P279" i="6" s="1"/>
  <c r="R227" i="2"/>
  <c r="O279" i="6" s="1"/>
  <c r="Q227" i="2"/>
  <c r="N279" i="6" s="1"/>
  <c r="P227" i="2"/>
  <c r="M279" i="6" s="1"/>
  <c r="O227" i="2"/>
  <c r="L279" i="6" s="1"/>
  <c r="N227" i="2"/>
  <c r="K279" i="6" s="1"/>
  <c r="M227" i="2"/>
  <c r="J279" i="6" s="1"/>
  <c r="L227" i="2"/>
  <c r="I279" i="6" s="1"/>
  <c r="K227" i="2"/>
  <c r="J227" i="2"/>
  <c r="F227" i="2"/>
  <c r="E227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F226" i="2"/>
  <c r="D226" i="2" s="1"/>
  <c r="E226" i="2"/>
  <c r="Y225" i="2"/>
  <c r="V276" i="6" s="1"/>
  <c r="X225" i="2"/>
  <c r="U276" i="6" s="1"/>
  <c r="W225" i="2"/>
  <c r="T276" i="6" s="1"/>
  <c r="V225" i="2"/>
  <c r="S276" i="6" s="1"/>
  <c r="U225" i="2"/>
  <c r="R276" i="6" s="1"/>
  <c r="T225" i="2"/>
  <c r="Q276" i="6" s="1"/>
  <c r="S225" i="2"/>
  <c r="P276" i="6" s="1"/>
  <c r="R225" i="2"/>
  <c r="O276" i="6" s="1"/>
  <c r="Q225" i="2"/>
  <c r="N276" i="6" s="1"/>
  <c r="P225" i="2"/>
  <c r="M276" i="6" s="1"/>
  <c r="O225" i="2"/>
  <c r="L276" i="6" s="1"/>
  <c r="N225" i="2"/>
  <c r="K276" i="6" s="1"/>
  <c r="M225" i="2"/>
  <c r="J276" i="6" s="1"/>
  <c r="L225" i="2"/>
  <c r="I276" i="6" s="1"/>
  <c r="K225" i="2"/>
  <c r="H276" i="6" s="1"/>
  <c r="J225" i="2"/>
  <c r="I225" i="2"/>
  <c r="F276" i="6" s="1"/>
  <c r="F225" i="2"/>
  <c r="E225" i="2"/>
  <c r="Y224" i="2"/>
  <c r="V275" i="6" s="1"/>
  <c r="X224" i="2"/>
  <c r="U275" i="6" s="1"/>
  <c r="W224" i="2"/>
  <c r="T275" i="6" s="1"/>
  <c r="V224" i="2"/>
  <c r="S275" i="6" s="1"/>
  <c r="U224" i="2"/>
  <c r="R275" i="6" s="1"/>
  <c r="T224" i="2"/>
  <c r="Q275" i="6" s="1"/>
  <c r="S224" i="2"/>
  <c r="P275" i="6" s="1"/>
  <c r="R224" i="2"/>
  <c r="O275" i="6" s="1"/>
  <c r="Q224" i="2"/>
  <c r="N275" i="6" s="1"/>
  <c r="P224" i="2"/>
  <c r="M275" i="6" s="1"/>
  <c r="O224" i="2"/>
  <c r="L275" i="6" s="1"/>
  <c r="N224" i="2"/>
  <c r="K275" i="6" s="1"/>
  <c r="M224" i="2"/>
  <c r="J275" i="6" s="1"/>
  <c r="L224" i="2"/>
  <c r="K224" i="2"/>
  <c r="J224" i="2"/>
  <c r="G275" i="6" s="1"/>
  <c r="F224" i="2"/>
  <c r="E224" i="2"/>
  <c r="D224" i="2"/>
  <c r="Y223" i="2"/>
  <c r="V274" i="6" s="1"/>
  <c r="X223" i="2"/>
  <c r="U274" i="6" s="1"/>
  <c r="W223" i="2"/>
  <c r="T274" i="6" s="1"/>
  <c r="V223" i="2"/>
  <c r="S274" i="6" s="1"/>
  <c r="U223" i="2"/>
  <c r="R274" i="6" s="1"/>
  <c r="T223" i="2"/>
  <c r="Q274" i="6" s="1"/>
  <c r="S223" i="2"/>
  <c r="P274" i="6" s="1"/>
  <c r="R223" i="2"/>
  <c r="O274" i="6" s="1"/>
  <c r="Q223" i="2"/>
  <c r="N274" i="6" s="1"/>
  <c r="P223" i="2"/>
  <c r="M274" i="6" s="1"/>
  <c r="O223" i="2"/>
  <c r="L274" i="6" s="1"/>
  <c r="N223" i="2"/>
  <c r="K274" i="6" s="1"/>
  <c r="M223" i="2"/>
  <c r="J274" i="6" s="1"/>
  <c r="L223" i="2"/>
  <c r="I274" i="6" s="1"/>
  <c r="K223" i="2"/>
  <c r="J223" i="2"/>
  <c r="F223" i="2"/>
  <c r="E223" i="2"/>
  <c r="Y222" i="2"/>
  <c r="V273" i="6" s="1"/>
  <c r="X222" i="2"/>
  <c r="U273" i="6" s="1"/>
  <c r="W222" i="2"/>
  <c r="T273" i="6" s="1"/>
  <c r="V222" i="2"/>
  <c r="S273" i="6" s="1"/>
  <c r="U222" i="2"/>
  <c r="R273" i="6" s="1"/>
  <c r="T222" i="2"/>
  <c r="Q273" i="6" s="1"/>
  <c r="S222" i="2"/>
  <c r="P273" i="6" s="1"/>
  <c r="R222" i="2"/>
  <c r="O273" i="6" s="1"/>
  <c r="Q222" i="2"/>
  <c r="N273" i="6" s="1"/>
  <c r="P222" i="2"/>
  <c r="M273" i="6" s="1"/>
  <c r="O222" i="2"/>
  <c r="L273" i="6" s="1"/>
  <c r="N222" i="2"/>
  <c r="K273" i="6" s="1"/>
  <c r="M222" i="2"/>
  <c r="J273" i="6" s="1"/>
  <c r="L222" i="2"/>
  <c r="K222" i="2"/>
  <c r="J222" i="2"/>
  <c r="G273" i="6" s="1"/>
  <c r="F222" i="2"/>
  <c r="E222" i="2"/>
  <c r="D222" i="2"/>
  <c r="Y221" i="2"/>
  <c r="V272" i="6" s="1"/>
  <c r="X221" i="2"/>
  <c r="U272" i="6" s="1"/>
  <c r="W221" i="2"/>
  <c r="T272" i="6" s="1"/>
  <c r="V221" i="2"/>
  <c r="S272" i="6" s="1"/>
  <c r="U221" i="2"/>
  <c r="R272" i="6" s="1"/>
  <c r="T221" i="2"/>
  <c r="Q272" i="6" s="1"/>
  <c r="S221" i="2"/>
  <c r="P272" i="6" s="1"/>
  <c r="R221" i="2"/>
  <c r="O272" i="6" s="1"/>
  <c r="Q221" i="2"/>
  <c r="N272" i="6" s="1"/>
  <c r="P221" i="2"/>
  <c r="M272" i="6" s="1"/>
  <c r="O221" i="2"/>
  <c r="L272" i="6" s="1"/>
  <c r="N221" i="2"/>
  <c r="K272" i="6" s="1"/>
  <c r="M221" i="2"/>
  <c r="J272" i="6" s="1"/>
  <c r="L221" i="2"/>
  <c r="I272" i="6" s="1"/>
  <c r="K221" i="2"/>
  <c r="H272" i="6" s="1"/>
  <c r="J221" i="2"/>
  <c r="I221" i="2"/>
  <c r="F272" i="6" s="1"/>
  <c r="F221" i="2"/>
  <c r="E221" i="2"/>
  <c r="Y220" i="2"/>
  <c r="V271" i="6" s="1"/>
  <c r="X220" i="2"/>
  <c r="U271" i="6" s="1"/>
  <c r="W220" i="2"/>
  <c r="T271" i="6" s="1"/>
  <c r="V220" i="2"/>
  <c r="S271" i="6" s="1"/>
  <c r="U220" i="2"/>
  <c r="R271" i="6" s="1"/>
  <c r="T220" i="2"/>
  <c r="Q271" i="6" s="1"/>
  <c r="S220" i="2"/>
  <c r="P271" i="6" s="1"/>
  <c r="R220" i="2"/>
  <c r="O271" i="6" s="1"/>
  <c r="Q220" i="2"/>
  <c r="N271" i="6" s="1"/>
  <c r="P220" i="2"/>
  <c r="M271" i="6" s="1"/>
  <c r="O220" i="2"/>
  <c r="L271" i="6" s="1"/>
  <c r="N220" i="2"/>
  <c r="K271" i="6" s="1"/>
  <c r="M220" i="2"/>
  <c r="J271" i="6" s="1"/>
  <c r="L220" i="2"/>
  <c r="K220" i="2"/>
  <c r="J220" i="2"/>
  <c r="G271" i="6" s="1"/>
  <c r="F220" i="2"/>
  <c r="E220" i="2"/>
  <c r="D220" i="2" s="1"/>
  <c r="Y219" i="2"/>
  <c r="V270" i="6" s="1"/>
  <c r="W38" i="5" s="1"/>
  <c r="X219" i="2"/>
  <c r="U270" i="6" s="1"/>
  <c r="V38" i="5" s="1"/>
  <c r="W219" i="2"/>
  <c r="T270" i="6" s="1"/>
  <c r="U38" i="5" s="1"/>
  <c r="V219" i="2"/>
  <c r="S270" i="6" s="1"/>
  <c r="T38" i="5" s="1"/>
  <c r="U219" i="2"/>
  <c r="R270" i="6" s="1"/>
  <c r="S38" i="5" s="1"/>
  <c r="T219" i="2"/>
  <c r="Q270" i="6" s="1"/>
  <c r="R38" i="5" s="1"/>
  <c r="S219" i="2"/>
  <c r="P270" i="6" s="1"/>
  <c r="Q38" i="5" s="1"/>
  <c r="R219" i="2"/>
  <c r="O270" i="6" s="1"/>
  <c r="P38" i="5" s="1"/>
  <c r="Q219" i="2"/>
  <c r="N270" i="6" s="1"/>
  <c r="O38" i="5" s="1"/>
  <c r="P219" i="2"/>
  <c r="M270" i="6" s="1"/>
  <c r="N38" i="5" s="1"/>
  <c r="O219" i="2"/>
  <c r="L270" i="6" s="1"/>
  <c r="M38" i="5" s="1"/>
  <c r="N219" i="2"/>
  <c r="K270" i="6" s="1"/>
  <c r="L38" i="5" s="1"/>
  <c r="M219" i="2"/>
  <c r="J270" i="6" s="1"/>
  <c r="K38" i="5" s="1"/>
  <c r="L219" i="2"/>
  <c r="I270" i="6" s="1"/>
  <c r="J38" i="5" s="1"/>
  <c r="K219" i="2"/>
  <c r="J219" i="2"/>
  <c r="F219" i="2"/>
  <c r="E219" i="2"/>
  <c r="Y218" i="2"/>
  <c r="V269" i="6" s="1"/>
  <c r="X218" i="2"/>
  <c r="U269" i="6" s="1"/>
  <c r="W218" i="2"/>
  <c r="T269" i="6" s="1"/>
  <c r="V218" i="2"/>
  <c r="S269" i="6" s="1"/>
  <c r="U218" i="2"/>
  <c r="R269" i="6" s="1"/>
  <c r="T218" i="2"/>
  <c r="Q269" i="6" s="1"/>
  <c r="S218" i="2"/>
  <c r="P269" i="6" s="1"/>
  <c r="R218" i="2"/>
  <c r="O269" i="6" s="1"/>
  <c r="Q218" i="2"/>
  <c r="N269" i="6" s="1"/>
  <c r="P218" i="2"/>
  <c r="M269" i="6" s="1"/>
  <c r="O218" i="2"/>
  <c r="L269" i="6" s="1"/>
  <c r="N218" i="2"/>
  <c r="K269" i="6" s="1"/>
  <c r="M218" i="2"/>
  <c r="J269" i="6" s="1"/>
  <c r="L218" i="2"/>
  <c r="K218" i="2"/>
  <c r="J218" i="2"/>
  <c r="G269" i="6" s="1"/>
  <c r="F218" i="2"/>
  <c r="E218" i="2"/>
  <c r="D218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H217" i="2" s="1"/>
  <c r="G217" i="2" s="1"/>
  <c r="I217" i="2"/>
  <c r="F217" i="2"/>
  <c r="E217" i="2"/>
  <c r="Y216" i="2"/>
  <c r="V266" i="6" s="1"/>
  <c r="X216" i="2"/>
  <c r="U266" i="6" s="1"/>
  <c r="W216" i="2"/>
  <c r="T266" i="6" s="1"/>
  <c r="V216" i="2"/>
  <c r="S266" i="6" s="1"/>
  <c r="U216" i="2"/>
  <c r="R266" i="6" s="1"/>
  <c r="T216" i="2"/>
  <c r="Q266" i="6" s="1"/>
  <c r="S216" i="2"/>
  <c r="P266" i="6" s="1"/>
  <c r="R216" i="2"/>
  <c r="O266" i="6" s="1"/>
  <c r="Q216" i="2"/>
  <c r="N266" i="6" s="1"/>
  <c r="P216" i="2"/>
  <c r="M266" i="6" s="1"/>
  <c r="O216" i="2"/>
  <c r="L266" i="6" s="1"/>
  <c r="N216" i="2"/>
  <c r="K266" i="6" s="1"/>
  <c r="M216" i="2"/>
  <c r="J266" i="6" s="1"/>
  <c r="L216" i="2"/>
  <c r="K216" i="2"/>
  <c r="J216" i="2"/>
  <c r="G266" i="6" s="1"/>
  <c r="F216" i="2"/>
  <c r="E216" i="2"/>
  <c r="D216" i="2" s="1"/>
  <c r="Y215" i="2"/>
  <c r="V264" i="6" s="1"/>
  <c r="W32" i="5" s="1"/>
  <c r="X215" i="2"/>
  <c r="U264" i="6" s="1"/>
  <c r="V32" i="5" s="1"/>
  <c r="W215" i="2"/>
  <c r="T264" i="6" s="1"/>
  <c r="U32" i="5" s="1"/>
  <c r="V215" i="2"/>
  <c r="S264" i="6" s="1"/>
  <c r="T32" i="5" s="1"/>
  <c r="U215" i="2"/>
  <c r="R264" i="6" s="1"/>
  <c r="S32" i="5" s="1"/>
  <c r="T215" i="2"/>
  <c r="Q264" i="6" s="1"/>
  <c r="R32" i="5" s="1"/>
  <c r="S215" i="2"/>
  <c r="P264" i="6" s="1"/>
  <c r="Q32" i="5" s="1"/>
  <c r="R215" i="2"/>
  <c r="O264" i="6" s="1"/>
  <c r="P32" i="5" s="1"/>
  <c r="Q215" i="2"/>
  <c r="N264" i="6" s="1"/>
  <c r="O32" i="5" s="1"/>
  <c r="P215" i="2"/>
  <c r="M264" i="6" s="1"/>
  <c r="N32" i="5" s="1"/>
  <c r="O215" i="2"/>
  <c r="L264" i="6" s="1"/>
  <c r="M32" i="5" s="1"/>
  <c r="N215" i="2"/>
  <c r="K264" i="6" s="1"/>
  <c r="L32" i="5" s="1"/>
  <c r="M215" i="2"/>
  <c r="J264" i="6" s="1"/>
  <c r="K32" i="5" s="1"/>
  <c r="L215" i="2"/>
  <c r="I264" i="6" s="1"/>
  <c r="J32" i="5" s="1"/>
  <c r="K215" i="2"/>
  <c r="J215" i="2"/>
  <c r="F215" i="2"/>
  <c r="E215" i="2"/>
  <c r="D215" i="2" s="1"/>
  <c r="Y214" i="2"/>
  <c r="V263" i="6" s="1"/>
  <c r="X214" i="2"/>
  <c r="U263" i="6" s="1"/>
  <c r="W214" i="2"/>
  <c r="T263" i="6" s="1"/>
  <c r="V214" i="2"/>
  <c r="S263" i="6" s="1"/>
  <c r="U214" i="2"/>
  <c r="R263" i="6" s="1"/>
  <c r="T214" i="2"/>
  <c r="Q263" i="6" s="1"/>
  <c r="S214" i="2"/>
  <c r="P263" i="6" s="1"/>
  <c r="R214" i="2"/>
  <c r="O263" i="6" s="1"/>
  <c r="Q214" i="2"/>
  <c r="N263" i="6" s="1"/>
  <c r="P214" i="2"/>
  <c r="M263" i="6" s="1"/>
  <c r="O214" i="2"/>
  <c r="L263" i="6" s="1"/>
  <c r="N214" i="2"/>
  <c r="K263" i="6" s="1"/>
  <c r="M214" i="2"/>
  <c r="J263" i="6" s="1"/>
  <c r="L214" i="2"/>
  <c r="K214" i="2"/>
  <c r="J214" i="2"/>
  <c r="G263" i="6" s="1"/>
  <c r="F214" i="2"/>
  <c r="D214" i="2" s="1"/>
  <c r="E214" i="2"/>
  <c r="Y213" i="2"/>
  <c r="V262" i="6" s="1"/>
  <c r="W20" i="5" s="1"/>
  <c r="X213" i="2"/>
  <c r="U262" i="6" s="1"/>
  <c r="V20" i="5" s="1"/>
  <c r="W213" i="2"/>
  <c r="T262" i="6" s="1"/>
  <c r="U20" i="5" s="1"/>
  <c r="V213" i="2"/>
  <c r="S262" i="6" s="1"/>
  <c r="T20" i="5" s="1"/>
  <c r="U213" i="2"/>
  <c r="R262" i="6" s="1"/>
  <c r="S20" i="5" s="1"/>
  <c r="T213" i="2"/>
  <c r="Q262" i="6" s="1"/>
  <c r="R20" i="5" s="1"/>
  <c r="S213" i="2"/>
  <c r="P262" i="6" s="1"/>
  <c r="Q20" i="5" s="1"/>
  <c r="R213" i="2"/>
  <c r="O262" i="6" s="1"/>
  <c r="P20" i="5" s="1"/>
  <c r="Q213" i="2"/>
  <c r="N262" i="6" s="1"/>
  <c r="O20" i="5" s="1"/>
  <c r="P213" i="2"/>
  <c r="M262" i="6" s="1"/>
  <c r="N20" i="5" s="1"/>
  <c r="O213" i="2"/>
  <c r="L262" i="6" s="1"/>
  <c r="M20" i="5" s="1"/>
  <c r="N213" i="2"/>
  <c r="K262" i="6" s="1"/>
  <c r="L20" i="5" s="1"/>
  <c r="M213" i="2"/>
  <c r="J262" i="6" s="1"/>
  <c r="K20" i="5" s="1"/>
  <c r="L213" i="2"/>
  <c r="I262" i="6" s="1"/>
  <c r="J20" i="5" s="1"/>
  <c r="K213" i="2"/>
  <c r="H262" i="6" s="1"/>
  <c r="I20" i="5" s="1"/>
  <c r="J213" i="2"/>
  <c r="I213" i="2"/>
  <c r="F262" i="6" s="1"/>
  <c r="G20" i="5" s="1"/>
  <c r="F213" i="2"/>
  <c r="E213" i="2"/>
  <c r="Y212" i="2"/>
  <c r="V261" i="6" s="1"/>
  <c r="X212" i="2"/>
  <c r="U261" i="6" s="1"/>
  <c r="W212" i="2"/>
  <c r="T261" i="6" s="1"/>
  <c r="V212" i="2"/>
  <c r="S261" i="6" s="1"/>
  <c r="U212" i="2"/>
  <c r="R261" i="6" s="1"/>
  <c r="T212" i="2"/>
  <c r="Q261" i="6" s="1"/>
  <c r="S212" i="2"/>
  <c r="P261" i="6" s="1"/>
  <c r="R212" i="2"/>
  <c r="O261" i="6" s="1"/>
  <c r="Q212" i="2"/>
  <c r="N261" i="6" s="1"/>
  <c r="P212" i="2"/>
  <c r="M261" i="6" s="1"/>
  <c r="O212" i="2"/>
  <c r="L261" i="6" s="1"/>
  <c r="N212" i="2"/>
  <c r="K261" i="6" s="1"/>
  <c r="M212" i="2"/>
  <c r="J261" i="6" s="1"/>
  <c r="L212" i="2"/>
  <c r="I261" i="6" s="1"/>
  <c r="K212" i="2"/>
  <c r="J212" i="2"/>
  <c r="G261" i="6" s="1"/>
  <c r="F212" i="2"/>
  <c r="E212" i="2"/>
  <c r="Y211" i="2"/>
  <c r="V260" i="6" s="1"/>
  <c r="X211" i="2"/>
  <c r="U260" i="6" s="1"/>
  <c r="W211" i="2"/>
  <c r="T260" i="6" s="1"/>
  <c r="V211" i="2"/>
  <c r="S260" i="6" s="1"/>
  <c r="U211" i="2"/>
  <c r="R260" i="6" s="1"/>
  <c r="T211" i="2"/>
  <c r="Q260" i="6" s="1"/>
  <c r="S211" i="2"/>
  <c r="P260" i="6" s="1"/>
  <c r="R211" i="2"/>
  <c r="O260" i="6" s="1"/>
  <c r="Q211" i="2"/>
  <c r="N260" i="6" s="1"/>
  <c r="P211" i="2"/>
  <c r="M260" i="6" s="1"/>
  <c r="O211" i="2"/>
  <c r="L260" i="6" s="1"/>
  <c r="N211" i="2"/>
  <c r="K260" i="6" s="1"/>
  <c r="M211" i="2"/>
  <c r="J260" i="6" s="1"/>
  <c r="L211" i="2"/>
  <c r="I260" i="6" s="1"/>
  <c r="K211" i="2"/>
  <c r="H260" i="6" s="1"/>
  <c r="J211" i="2"/>
  <c r="F211" i="2"/>
  <c r="E211" i="2"/>
  <c r="Y210" i="2"/>
  <c r="V256" i="6" s="1"/>
  <c r="X210" i="2"/>
  <c r="U256" i="6" s="1"/>
  <c r="W210" i="2"/>
  <c r="T256" i="6" s="1"/>
  <c r="V210" i="2"/>
  <c r="S256" i="6" s="1"/>
  <c r="U210" i="2"/>
  <c r="R256" i="6" s="1"/>
  <c r="T210" i="2"/>
  <c r="Q256" i="6" s="1"/>
  <c r="S210" i="2"/>
  <c r="P256" i="6" s="1"/>
  <c r="R210" i="2"/>
  <c r="O256" i="6" s="1"/>
  <c r="Q210" i="2"/>
  <c r="N256" i="6" s="1"/>
  <c r="P210" i="2"/>
  <c r="M256" i="6" s="1"/>
  <c r="O210" i="2"/>
  <c r="L256" i="6" s="1"/>
  <c r="N210" i="2"/>
  <c r="K256" i="6" s="1"/>
  <c r="M210" i="2"/>
  <c r="J256" i="6" s="1"/>
  <c r="L210" i="2"/>
  <c r="K210" i="2"/>
  <c r="J210" i="2"/>
  <c r="G256" i="6" s="1"/>
  <c r="F210" i="2"/>
  <c r="E210" i="2"/>
  <c r="D210" i="2" s="1"/>
  <c r="Y209" i="2"/>
  <c r="V255" i="6" s="1"/>
  <c r="X209" i="2"/>
  <c r="U255" i="6" s="1"/>
  <c r="W209" i="2"/>
  <c r="T255" i="6" s="1"/>
  <c r="V209" i="2"/>
  <c r="S255" i="6" s="1"/>
  <c r="U209" i="2"/>
  <c r="R255" i="6" s="1"/>
  <c r="T209" i="2"/>
  <c r="Q255" i="6" s="1"/>
  <c r="S209" i="2"/>
  <c r="P255" i="6" s="1"/>
  <c r="R209" i="2"/>
  <c r="O255" i="6" s="1"/>
  <c r="Q209" i="2"/>
  <c r="N255" i="6" s="1"/>
  <c r="P209" i="2"/>
  <c r="M255" i="6" s="1"/>
  <c r="O209" i="2"/>
  <c r="L255" i="6" s="1"/>
  <c r="N209" i="2"/>
  <c r="K255" i="6" s="1"/>
  <c r="M209" i="2"/>
  <c r="J255" i="6" s="1"/>
  <c r="L209" i="2"/>
  <c r="I255" i="6" s="1"/>
  <c r="K209" i="2"/>
  <c r="H255" i="6" s="1"/>
  <c r="J209" i="2"/>
  <c r="I209" i="2"/>
  <c r="F255" i="6" s="1"/>
  <c r="F209" i="2"/>
  <c r="E209" i="2"/>
  <c r="Y208" i="2"/>
  <c r="V254" i="6" s="1"/>
  <c r="X208" i="2"/>
  <c r="U254" i="6" s="1"/>
  <c r="W208" i="2"/>
  <c r="T254" i="6" s="1"/>
  <c r="V208" i="2"/>
  <c r="S254" i="6" s="1"/>
  <c r="U208" i="2"/>
  <c r="R254" i="6" s="1"/>
  <c r="T208" i="2"/>
  <c r="Q254" i="6" s="1"/>
  <c r="S208" i="2"/>
  <c r="P254" i="6" s="1"/>
  <c r="R208" i="2"/>
  <c r="O254" i="6" s="1"/>
  <c r="Q208" i="2"/>
  <c r="N254" i="6" s="1"/>
  <c r="P208" i="2"/>
  <c r="M254" i="6" s="1"/>
  <c r="O208" i="2"/>
  <c r="L254" i="6" s="1"/>
  <c r="N208" i="2"/>
  <c r="K254" i="6" s="1"/>
  <c r="M208" i="2"/>
  <c r="J254" i="6" s="1"/>
  <c r="L208" i="2"/>
  <c r="K208" i="2"/>
  <c r="J208" i="2"/>
  <c r="G254" i="6" s="1"/>
  <c r="F208" i="2"/>
  <c r="E208" i="2"/>
  <c r="D208" i="2" s="1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F207" i="2"/>
  <c r="E207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H206" i="2" s="1"/>
  <c r="G206" i="2" s="1"/>
  <c r="K206" i="2"/>
  <c r="I206" i="2" s="1"/>
  <c r="J206" i="2"/>
  <c r="F206" i="2"/>
  <c r="E206" i="2"/>
  <c r="D206" i="2" s="1"/>
  <c r="Y205" i="2"/>
  <c r="V252" i="6" s="1"/>
  <c r="W19" i="5" s="1"/>
  <c r="X205" i="2"/>
  <c r="U252" i="6" s="1"/>
  <c r="V19" i="5" s="1"/>
  <c r="W205" i="2"/>
  <c r="T252" i="6" s="1"/>
  <c r="U19" i="5" s="1"/>
  <c r="V205" i="2"/>
  <c r="S252" i="6" s="1"/>
  <c r="T19" i="5" s="1"/>
  <c r="U205" i="2"/>
  <c r="R252" i="6" s="1"/>
  <c r="S19" i="5" s="1"/>
  <c r="T205" i="2"/>
  <c r="Q252" i="6" s="1"/>
  <c r="R19" i="5" s="1"/>
  <c r="S205" i="2"/>
  <c r="P252" i="6" s="1"/>
  <c r="Q19" i="5" s="1"/>
  <c r="R205" i="2"/>
  <c r="O252" i="6" s="1"/>
  <c r="P19" i="5" s="1"/>
  <c r="Q205" i="2"/>
  <c r="N252" i="6" s="1"/>
  <c r="O19" i="5" s="1"/>
  <c r="P205" i="2"/>
  <c r="M252" i="6" s="1"/>
  <c r="N19" i="5" s="1"/>
  <c r="O205" i="2"/>
  <c r="L252" i="6" s="1"/>
  <c r="M19" i="5" s="1"/>
  <c r="N205" i="2"/>
  <c r="K252" i="6" s="1"/>
  <c r="L19" i="5" s="1"/>
  <c r="M205" i="2"/>
  <c r="J252" i="6" s="1"/>
  <c r="K19" i="5" s="1"/>
  <c r="L205" i="2"/>
  <c r="I252" i="6" s="1"/>
  <c r="J19" i="5" s="1"/>
  <c r="K205" i="2"/>
  <c r="H252" i="6" s="1"/>
  <c r="I19" i="5" s="1"/>
  <c r="J205" i="2"/>
  <c r="F205" i="2"/>
  <c r="E205" i="2"/>
  <c r="Y204" i="2"/>
  <c r="V251" i="6" s="1"/>
  <c r="X204" i="2"/>
  <c r="U251" i="6" s="1"/>
  <c r="W204" i="2"/>
  <c r="T251" i="6" s="1"/>
  <c r="V204" i="2"/>
  <c r="S251" i="6" s="1"/>
  <c r="U204" i="2"/>
  <c r="R251" i="6" s="1"/>
  <c r="T204" i="2"/>
  <c r="Q251" i="6" s="1"/>
  <c r="S204" i="2"/>
  <c r="P251" i="6" s="1"/>
  <c r="R204" i="2"/>
  <c r="O251" i="6" s="1"/>
  <c r="Q204" i="2"/>
  <c r="N251" i="6" s="1"/>
  <c r="P204" i="2"/>
  <c r="M251" i="6" s="1"/>
  <c r="O204" i="2"/>
  <c r="L251" i="6" s="1"/>
  <c r="N204" i="2"/>
  <c r="K251" i="6" s="1"/>
  <c r="M204" i="2"/>
  <c r="J251" i="6" s="1"/>
  <c r="L204" i="2"/>
  <c r="K204" i="2"/>
  <c r="J204" i="2"/>
  <c r="G251" i="6" s="1"/>
  <c r="F204" i="2"/>
  <c r="D204" i="2" s="1"/>
  <c r="E204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I203" i="2" s="1"/>
  <c r="J203" i="2"/>
  <c r="H203" i="2"/>
  <c r="G203" i="2" s="1"/>
  <c r="F203" i="2"/>
  <c r="E203" i="2"/>
  <c r="Y202" i="2"/>
  <c r="V250" i="6" s="1"/>
  <c r="X202" i="2"/>
  <c r="U250" i="6" s="1"/>
  <c r="W202" i="2"/>
  <c r="T250" i="6" s="1"/>
  <c r="V202" i="2"/>
  <c r="S250" i="6" s="1"/>
  <c r="U202" i="2"/>
  <c r="R250" i="6" s="1"/>
  <c r="T202" i="2"/>
  <c r="Q250" i="6" s="1"/>
  <c r="S202" i="2"/>
  <c r="P250" i="6" s="1"/>
  <c r="R202" i="2"/>
  <c r="O250" i="6" s="1"/>
  <c r="Q202" i="2"/>
  <c r="N250" i="6" s="1"/>
  <c r="P202" i="2"/>
  <c r="M250" i="6" s="1"/>
  <c r="O202" i="2"/>
  <c r="L250" i="6" s="1"/>
  <c r="N202" i="2"/>
  <c r="K250" i="6" s="1"/>
  <c r="M202" i="2"/>
  <c r="J250" i="6" s="1"/>
  <c r="L202" i="2"/>
  <c r="I250" i="6" s="1"/>
  <c r="K202" i="2"/>
  <c r="J202" i="2"/>
  <c r="F202" i="2"/>
  <c r="E202" i="2"/>
  <c r="Y201" i="2"/>
  <c r="V249" i="6" s="1"/>
  <c r="X201" i="2"/>
  <c r="U249" i="6" s="1"/>
  <c r="W201" i="2"/>
  <c r="T249" i="6" s="1"/>
  <c r="V201" i="2"/>
  <c r="S249" i="6" s="1"/>
  <c r="U201" i="2"/>
  <c r="R249" i="6" s="1"/>
  <c r="T201" i="2"/>
  <c r="Q249" i="6" s="1"/>
  <c r="S201" i="2"/>
  <c r="P249" i="6" s="1"/>
  <c r="R201" i="2"/>
  <c r="O249" i="6" s="1"/>
  <c r="Q201" i="2"/>
  <c r="N249" i="6" s="1"/>
  <c r="P201" i="2"/>
  <c r="M249" i="6" s="1"/>
  <c r="O201" i="2"/>
  <c r="L249" i="6" s="1"/>
  <c r="N201" i="2"/>
  <c r="K249" i="6" s="1"/>
  <c r="M201" i="2"/>
  <c r="J249" i="6" s="1"/>
  <c r="L201" i="2"/>
  <c r="I249" i="6" s="1"/>
  <c r="K201" i="2"/>
  <c r="H249" i="6" s="1"/>
  <c r="J201" i="2"/>
  <c r="G249" i="6" s="1"/>
  <c r="I201" i="2"/>
  <c r="F249" i="6" s="1"/>
  <c r="F201" i="2"/>
  <c r="E201" i="2"/>
  <c r="D201" i="2" s="1"/>
  <c r="Y200" i="2"/>
  <c r="V248" i="6" s="1"/>
  <c r="X200" i="2"/>
  <c r="U248" i="6" s="1"/>
  <c r="W200" i="2"/>
  <c r="T248" i="6" s="1"/>
  <c r="V200" i="2"/>
  <c r="S248" i="6" s="1"/>
  <c r="U200" i="2"/>
  <c r="R248" i="6" s="1"/>
  <c r="T200" i="2"/>
  <c r="Q248" i="6" s="1"/>
  <c r="S200" i="2"/>
  <c r="P248" i="6" s="1"/>
  <c r="R200" i="2"/>
  <c r="O248" i="6" s="1"/>
  <c r="Q200" i="2"/>
  <c r="N248" i="6" s="1"/>
  <c r="P200" i="2"/>
  <c r="M248" i="6" s="1"/>
  <c r="O200" i="2"/>
  <c r="L248" i="6" s="1"/>
  <c r="N200" i="2"/>
  <c r="K248" i="6" s="1"/>
  <c r="M200" i="2"/>
  <c r="J248" i="6" s="1"/>
  <c r="L200" i="2"/>
  <c r="I248" i="6" s="1"/>
  <c r="K200" i="2"/>
  <c r="J200" i="2"/>
  <c r="F200" i="2"/>
  <c r="D200" i="2" s="1"/>
  <c r="E200" i="2"/>
  <c r="Y199" i="2"/>
  <c r="V247" i="6" s="1"/>
  <c r="X199" i="2"/>
  <c r="U247" i="6" s="1"/>
  <c r="W199" i="2"/>
  <c r="T247" i="6" s="1"/>
  <c r="V199" i="2"/>
  <c r="S247" i="6" s="1"/>
  <c r="U199" i="2"/>
  <c r="R247" i="6" s="1"/>
  <c r="T199" i="2"/>
  <c r="Q247" i="6" s="1"/>
  <c r="S199" i="2"/>
  <c r="P247" i="6" s="1"/>
  <c r="R199" i="2"/>
  <c r="O247" i="6" s="1"/>
  <c r="Q199" i="2"/>
  <c r="N247" i="6" s="1"/>
  <c r="P199" i="2"/>
  <c r="M247" i="6" s="1"/>
  <c r="O199" i="2"/>
  <c r="L247" i="6" s="1"/>
  <c r="N199" i="2"/>
  <c r="K247" i="6" s="1"/>
  <c r="M199" i="2"/>
  <c r="J247" i="6" s="1"/>
  <c r="L199" i="2"/>
  <c r="I247" i="6" s="1"/>
  <c r="K199" i="2"/>
  <c r="J199" i="2"/>
  <c r="G247" i="6" s="1"/>
  <c r="F199" i="2"/>
  <c r="E199" i="2"/>
  <c r="Y198" i="2"/>
  <c r="V246" i="6" s="1"/>
  <c r="W37" i="5" s="1"/>
  <c r="X198" i="2"/>
  <c r="U246" i="6" s="1"/>
  <c r="V37" i="5" s="1"/>
  <c r="W198" i="2"/>
  <c r="T246" i="6" s="1"/>
  <c r="U37" i="5" s="1"/>
  <c r="V198" i="2"/>
  <c r="S246" i="6" s="1"/>
  <c r="T37" i="5" s="1"/>
  <c r="U198" i="2"/>
  <c r="R246" i="6" s="1"/>
  <c r="S37" i="5" s="1"/>
  <c r="T198" i="2"/>
  <c r="Q246" i="6" s="1"/>
  <c r="R37" i="5" s="1"/>
  <c r="S198" i="2"/>
  <c r="P246" i="6" s="1"/>
  <c r="Q37" i="5" s="1"/>
  <c r="R198" i="2"/>
  <c r="O246" i="6" s="1"/>
  <c r="P37" i="5" s="1"/>
  <c r="Q198" i="2"/>
  <c r="N246" i="6" s="1"/>
  <c r="O37" i="5" s="1"/>
  <c r="P198" i="2"/>
  <c r="M246" i="6" s="1"/>
  <c r="N37" i="5" s="1"/>
  <c r="O198" i="2"/>
  <c r="L246" i="6" s="1"/>
  <c r="M37" i="5" s="1"/>
  <c r="N198" i="2"/>
  <c r="K246" i="6" s="1"/>
  <c r="L37" i="5" s="1"/>
  <c r="M198" i="2"/>
  <c r="J246" i="6" s="1"/>
  <c r="K37" i="5" s="1"/>
  <c r="L198" i="2"/>
  <c r="I246" i="6" s="1"/>
  <c r="J37" i="5" s="1"/>
  <c r="K198" i="2"/>
  <c r="J198" i="2"/>
  <c r="F198" i="2"/>
  <c r="E198" i="2"/>
  <c r="Y197" i="2"/>
  <c r="V245" i="6" s="1"/>
  <c r="X197" i="2"/>
  <c r="U245" i="6" s="1"/>
  <c r="W197" i="2"/>
  <c r="T245" i="6" s="1"/>
  <c r="V197" i="2"/>
  <c r="S245" i="6" s="1"/>
  <c r="U197" i="2"/>
  <c r="R245" i="6" s="1"/>
  <c r="T197" i="2"/>
  <c r="Q245" i="6" s="1"/>
  <c r="S197" i="2"/>
  <c r="P245" i="6" s="1"/>
  <c r="R197" i="2"/>
  <c r="O245" i="6" s="1"/>
  <c r="Q197" i="2"/>
  <c r="N245" i="6" s="1"/>
  <c r="P197" i="2"/>
  <c r="M245" i="6" s="1"/>
  <c r="O197" i="2"/>
  <c r="L245" i="6" s="1"/>
  <c r="N197" i="2"/>
  <c r="K245" i="6" s="1"/>
  <c r="M197" i="2"/>
  <c r="J245" i="6" s="1"/>
  <c r="L197" i="2"/>
  <c r="I245" i="6" s="1"/>
  <c r="K197" i="2"/>
  <c r="H245" i="6" s="1"/>
  <c r="J197" i="2"/>
  <c r="G245" i="6" s="1"/>
  <c r="I197" i="2"/>
  <c r="F245" i="6" s="1"/>
  <c r="H197" i="2"/>
  <c r="F197" i="2"/>
  <c r="E197" i="2"/>
  <c r="D197" i="2" s="1"/>
  <c r="Y196" i="2"/>
  <c r="V244" i="6" s="1"/>
  <c r="X196" i="2"/>
  <c r="U244" i="6" s="1"/>
  <c r="W196" i="2"/>
  <c r="T244" i="6" s="1"/>
  <c r="V196" i="2"/>
  <c r="S244" i="6" s="1"/>
  <c r="U196" i="2"/>
  <c r="R244" i="6" s="1"/>
  <c r="T196" i="2"/>
  <c r="Q244" i="6" s="1"/>
  <c r="S196" i="2"/>
  <c r="P244" i="6" s="1"/>
  <c r="R196" i="2"/>
  <c r="O244" i="6" s="1"/>
  <c r="Q196" i="2"/>
  <c r="N244" i="6" s="1"/>
  <c r="P196" i="2"/>
  <c r="M244" i="6" s="1"/>
  <c r="O196" i="2"/>
  <c r="L244" i="6" s="1"/>
  <c r="N196" i="2"/>
  <c r="K244" i="6" s="1"/>
  <c r="M196" i="2"/>
  <c r="J244" i="6" s="1"/>
  <c r="L196" i="2"/>
  <c r="I244" i="6" s="1"/>
  <c r="K196" i="2"/>
  <c r="J196" i="2"/>
  <c r="F196" i="2"/>
  <c r="D196" i="2" s="1"/>
  <c r="E196" i="2"/>
  <c r="Y195" i="2"/>
  <c r="V240" i="6" s="1"/>
  <c r="X195" i="2"/>
  <c r="U240" i="6" s="1"/>
  <c r="W195" i="2"/>
  <c r="T240" i="6" s="1"/>
  <c r="V195" i="2"/>
  <c r="S240" i="6" s="1"/>
  <c r="U195" i="2"/>
  <c r="R240" i="6" s="1"/>
  <c r="T195" i="2"/>
  <c r="Q240" i="6" s="1"/>
  <c r="S195" i="2"/>
  <c r="P240" i="6" s="1"/>
  <c r="R195" i="2"/>
  <c r="O240" i="6" s="1"/>
  <c r="Q195" i="2"/>
  <c r="N240" i="6" s="1"/>
  <c r="P195" i="2"/>
  <c r="M240" i="6" s="1"/>
  <c r="O195" i="2"/>
  <c r="L240" i="6" s="1"/>
  <c r="N195" i="2"/>
  <c r="K240" i="6" s="1"/>
  <c r="M195" i="2"/>
  <c r="J240" i="6" s="1"/>
  <c r="L195" i="2"/>
  <c r="I240" i="6" s="1"/>
  <c r="K195" i="2"/>
  <c r="J195" i="2"/>
  <c r="G240" i="6" s="1"/>
  <c r="F195" i="2"/>
  <c r="E195" i="2"/>
  <c r="D195" i="2" s="1"/>
  <c r="Y194" i="2"/>
  <c r="V239" i="6" s="1"/>
  <c r="W47" i="5" s="1"/>
  <c r="X194" i="2"/>
  <c r="U239" i="6" s="1"/>
  <c r="V47" i="5" s="1"/>
  <c r="W194" i="2"/>
  <c r="T239" i="6" s="1"/>
  <c r="U47" i="5" s="1"/>
  <c r="V194" i="2"/>
  <c r="S239" i="6" s="1"/>
  <c r="T47" i="5" s="1"/>
  <c r="U194" i="2"/>
  <c r="R239" i="6" s="1"/>
  <c r="S47" i="5" s="1"/>
  <c r="T194" i="2"/>
  <c r="Q239" i="6" s="1"/>
  <c r="R47" i="5" s="1"/>
  <c r="S194" i="2"/>
  <c r="P239" i="6" s="1"/>
  <c r="Q47" i="5" s="1"/>
  <c r="R194" i="2"/>
  <c r="O239" i="6" s="1"/>
  <c r="P47" i="5" s="1"/>
  <c r="Q194" i="2"/>
  <c r="N239" i="6" s="1"/>
  <c r="O47" i="5" s="1"/>
  <c r="P194" i="2"/>
  <c r="M239" i="6" s="1"/>
  <c r="N47" i="5" s="1"/>
  <c r="O194" i="2"/>
  <c r="L239" i="6" s="1"/>
  <c r="M47" i="5" s="1"/>
  <c r="N194" i="2"/>
  <c r="K239" i="6" s="1"/>
  <c r="L47" i="5" s="1"/>
  <c r="M194" i="2"/>
  <c r="J239" i="6" s="1"/>
  <c r="K47" i="5" s="1"/>
  <c r="L194" i="2"/>
  <c r="I239" i="6" s="1"/>
  <c r="J47" i="5" s="1"/>
  <c r="K194" i="2"/>
  <c r="J194" i="2"/>
  <c r="F194" i="2"/>
  <c r="E194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H193" i="2" s="1"/>
  <c r="G193" i="2" s="1"/>
  <c r="K193" i="2"/>
  <c r="J193" i="2"/>
  <c r="I193" i="2"/>
  <c r="F193" i="2"/>
  <c r="E193" i="2"/>
  <c r="D193" i="2" s="1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F192" i="2"/>
  <c r="E192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I191" i="2" s="1"/>
  <c r="J191" i="2"/>
  <c r="H191" i="2" s="1"/>
  <c r="G191" i="2" s="1"/>
  <c r="F191" i="2"/>
  <c r="E191" i="2"/>
  <c r="Y190" i="2"/>
  <c r="V235" i="6" s="1"/>
  <c r="X190" i="2"/>
  <c r="U235" i="6" s="1"/>
  <c r="W190" i="2"/>
  <c r="T235" i="6" s="1"/>
  <c r="V190" i="2"/>
  <c r="S235" i="6" s="1"/>
  <c r="U190" i="2"/>
  <c r="R235" i="6" s="1"/>
  <c r="T190" i="2"/>
  <c r="Q235" i="6" s="1"/>
  <c r="S190" i="2"/>
  <c r="P235" i="6" s="1"/>
  <c r="R190" i="2"/>
  <c r="O235" i="6" s="1"/>
  <c r="Q190" i="2"/>
  <c r="N235" i="6" s="1"/>
  <c r="P190" i="2"/>
  <c r="M235" i="6" s="1"/>
  <c r="O190" i="2"/>
  <c r="L235" i="6" s="1"/>
  <c r="N190" i="2"/>
  <c r="K235" i="6" s="1"/>
  <c r="M190" i="2"/>
  <c r="J235" i="6" s="1"/>
  <c r="L190" i="2"/>
  <c r="I235" i="6" s="1"/>
  <c r="K190" i="2"/>
  <c r="J190" i="2"/>
  <c r="F190" i="2"/>
  <c r="E190" i="2"/>
  <c r="Y189" i="2"/>
  <c r="V233" i="6" s="1"/>
  <c r="X189" i="2"/>
  <c r="U233" i="6" s="1"/>
  <c r="W189" i="2"/>
  <c r="T233" i="6" s="1"/>
  <c r="V189" i="2"/>
  <c r="S233" i="6" s="1"/>
  <c r="U189" i="2"/>
  <c r="R233" i="6" s="1"/>
  <c r="T189" i="2"/>
  <c r="Q233" i="6" s="1"/>
  <c r="S189" i="2"/>
  <c r="P233" i="6" s="1"/>
  <c r="R189" i="2"/>
  <c r="O233" i="6" s="1"/>
  <c r="Q189" i="2"/>
  <c r="N233" i="6" s="1"/>
  <c r="P189" i="2"/>
  <c r="M233" i="6" s="1"/>
  <c r="O189" i="2"/>
  <c r="L233" i="6" s="1"/>
  <c r="N189" i="2"/>
  <c r="K233" i="6" s="1"/>
  <c r="M189" i="2"/>
  <c r="J233" i="6" s="1"/>
  <c r="L189" i="2"/>
  <c r="I233" i="6" s="1"/>
  <c r="K189" i="2"/>
  <c r="H233" i="6" s="1"/>
  <c r="J189" i="2"/>
  <c r="G233" i="6" s="1"/>
  <c r="I189" i="2"/>
  <c r="F233" i="6" s="1"/>
  <c r="F189" i="2"/>
  <c r="E189" i="2"/>
  <c r="D189" i="2" s="1"/>
  <c r="Y188" i="2"/>
  <c r="V232" i="6" s="1"/>
  <c r="X188" i="2"/>
  <c r="U232" i="6" s="1"/>
  <c r="W188" i="2"/>
  <c r="T232" i="6" s="1"/>
  <c r="V188" i="2"/>
  <c r="S232" i="6" s="1"/>
  <c r="U188" i="2"/>
  <c r="R232" i="6" s="1"/>
  <c r="T188" i="2"/>
  <c r="Q232" i="6" s="1"/>
  <c r="S188" i="2"/>
  <c r="P232" i="6" s="1"/>
  <c r="R188" i="2"/>
  <c r="O232" i="6" s="1"/>
  <c r="Q188" i="2"/>
  <c r="N232" i="6" s="1"/>
  <c r="P188" i="2"/>
  <c r="M232" i="6" s="1"/>
  <c r="O188" i="2"/>
  <c r="L232" i="6" s="1"/>
  <c r="N188" i="2"/>
  <c r="K232" i="6" s="1"/>
  <c r="M188" i="2"/>
  <c r="J232" i="6" s="1"/>
  <c r="L188" i="2"/>
  <c r="I232" i="6" s="1"/>
  <c r="K188" i="2"/>
  <c r="J188" i="2"/>
  <c r="F188" i="2"/>
  <c r="D188" i="2" s="1"/>
  <c r="E188" i="2"/>
  <c r="Y187" i="2"/>
  <c r="V231" i="6" s="1"/>
  <c r="X187" i="2"/>
  <c r="U231" i="6" s="1"/>
  <c r="W187" i="2"/>
  <c r="T231" i="6" s="1"/>
  <c r="V187" i="2"/>
  <c r="S231" i="6" s="1"/>
  <c r="U187" i="2"/>
  <c r="R231" i="6" s="1"/>
  <c r="T187" i="2"/>
  <c r="Q231" i="6" s="1"/>
  <c r="S187" i="2"/>
  <c r="P231" i="6" s="1"/>
  <c r="R187" i="2"/>
  <c r="O231" i="6" s="1"/>
  <c r="Q187" i="2"/>
  <c r="N231" i="6" s="1"/>
  <c r="P187" i="2"/>
  <c r="M231" i="6" s="1"/>
  <c r="O187" i="2"/>
  <c r="L231" i="6" s="1"/>
  <c r="N187" i="2"/>
  <c r="K231" i="6" s="1"/>
  <c r="M187" i="2"/>
  <c r="J231" i="6" s="1"/>
  <c r="L187" i="2"/>
  <c r="I231" i="6" s="1"/>
  <c r="K187" i="2"/>
  <c r="J187" i="2"/>
  <c r="G231" i="6" s="1"/>
  <c r="H187" i="2"/>
  <c r="F187" i="2"/>
  <c r="E187" i="2"/>
  <c r="Y186" i="2"/>
  <c r="V229" i="6" s="1"/>
  <c r="X186" i="2"/>
  <c r="U229" i="6" s="1"/>
  <c r="W186" i="2"/>
  <c r="T229" i="6" s="1"/>
  <c r="V186" i="2"/>
  <c r="S229" i="6" s="1"/>
  <c r="U186" i="2"/>
  <c r="R229" i="6" s="1"/>
  <c r="T186" i="2"/>
  <c r="Q229" i="6" s="1"/>
  <c r="S186" i="2"/>
  <c r="P229" i="6" s="1"/>
  <c r="R186" i="2"/>
  <c r="O229" i="6" s="1"/>
  <c r="Q186" i="2"/>
  <c r="N229" i="6" s="1"/>
  <c r="P186" i="2"/>
  <c r="M229" i="6" s="1"/>
  <c r="O186" i="2"/>
  <c r="L229" i="6" s="1"/>
  <c r="N186" i="2"/>
  <c r="K229" i="6" s="1"/>
  <c r="M186" i="2"/>
  <c r="J229" i="6" s="1"/>
  <c r="L186" i="2"/>
  <c r="I229" i="6" s="1"/>
  <c r="K186" i="2"/>
  <c r="J186" i="2"/>
  <c r="F186" i="2"/>
  <c r="E186" i="2"/>
  <c r="Y185" i="2"/>
  <c r="V228" i="6" s="1"/>
  <c r="X185" i="2"/>
  <c r="U228" i="6" s="1"/>
  <c r="W185" i="2"/>
  <c r="T228" i="6" s="1"/>
  <c r="V185" i="2"/>
  <c r="S228" i="6" s="1"/>
  <c r="U185" i="2"/>
  <c r="R228" i="6" s="1"/>
  <c r="T185" i="2"/>
  <c r="Q228" i="6" s="1"/>
  <c r="S185" i="2"/>
  <c r="P228" i="6" s="1"/>
  <c r="R185" i="2"/>
  <c r="O228" i="6" s="1"/>
  <c r="Q185" i="2"/>
  <c r="N228" i="6" s="1"/>
  <c r="P185" i="2"/>
  <c r="M228" i="6" s="1"/>
  <c r="O185" i="2"/>
  <c r="L228" i="6" s="1"/>
  <c r="N185" i="2"/>
  <c r="K228" i="6" s="1"/>
  <c r="M185" i="2"/>
  <c r="J228" i="6" s="1"/>
  <c r="L185" i="2"/>
  <c r="I228" i="6" s="1"/>
  <c r="K185" i="2"/>
  <c r="H228" i="6" s="1"/>
  <c r="J185" i="2"/>
  <c r="G228" i="6" s="1"/>
  <c r="I185" i="2"/>
  <c r="F228" i="6" s="1"/>
  <c r="F185" i="2"/>
  <c r="E185" i="2"/>
  <c r="D185" i="2" s="1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H184" i="2" s="1"/>
  <c r="F184" i="2"/>
  <c r="D184" i="2" s="1"/>
  <c r="E184" i="2"/>
  <c r="Y183" i="2"/>
  <c r="V225" i="6" s="1"/>
  <c r="X183" i="2"/>
  <c r="U225" i="6" s="1"/>
  <c r="W183" i="2"/>
  <c r="T225" i="6" s="1"/>
  <c r="V183" i="2"/>
  <c r="S225" i="6" s="1"/>
  <c r="U183" i="2"/>
  <c r="R225" i="6" s="1"/>
  <c r="T183" i="2"/>
  <c r="Q225" i="6" s="1"/>
  <c r="S183" i="2"/>
  <c r="P225" i="6" s="1"/>
  <c r="R183" i="2"/>
  <c r="O225" i="6" s="1"/>
  <c r="Q183" i="2"/>
  <c r="N225" i="6" s="1"/>
  <c r="P183" i="2"/>
  <c r="M225" i="6" s="1"/>
  <c r="O183" i="2"/>
  <c r="L225" i="6" s="1"/>
  <c r="N183" i="2"/>
  <c r="K225" i="6" s="1"/>
  <c r="M183" i="2"/>
  <c r="J225" i="6" s="1"/>
  <c r="L183" i="2"/>
  <c r="I225" i="6" s="1"/>
  <c r="K183" i="2"/>
  <c r="H225" i="6" s="1"/>
  <c r="J183" i="2"/>
  <c r="G225" i="6" s="1"/>
  <c r="H183" i="2"/>
  <c r="F183" i="2"/>
  <c r="E183" i="2"/>
  <c r="Y182" i="2"/>
  <c r="V223" i="6" s="1"/>
  <c r="X182" i="2"/>
  <c r="U223" i="6" s="1"/>
  <c r="W182" i="2"/>
  <c r="T223" i="6" s="1"/>
  <c r="V182" i="2"/>
  <c r="S223" i="6" s="1"/>
  <c r="U182" i="2"/>
  <c r="R223" i="6" s="1"/>
  <c r="T182" i="2"/>
  <c r="Q223" i="6" s="1"/>
  <c r="S182" i="2"/>
  <c r="P223" i="6" s="1"/>
  <c r="R182" i="2"/>
  <c r="O223" i="6" s="1"/>
  <c r="Q182" i="2"/>
  <c r="N223" i="6" s="1"/>
  <c r="P182" i="2"/>
  <c r="M223" i="6" s="1"/>
  <c r="O182" i="2"/>
  <c r="L223" i="6" s="1"/>
  <c r="N182" i="2"/>
  <c r="K223" i="6" s="1"/>
  <c r="M182" i="2"/>
  <c r="J223" i="6" s="1"/>
  <c r="L182" i="2"/>
  <c r="I223" i="6" s="1"/>
  <c r="K182" i="2"/>
  <c r="J182" i="2"/>
  <c r="F182" i="2"/>
  <c r="E182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H181" i="2" s="1"/>
  <c r="G181" i="2" s="1"/>
  <c r="I181" i="2"/>
  <c r="F181" i="2"/>
  <c r="E181" i="2"/>
  <c r="D181" i="2" s="1"/>
  <c r="Y180" i="2"/>
  <c r="V221" i="6" s="1"/>
  <c r="X180" i="2"/>
  <c r="U221" i="6" s="1"/>
  <c r="W180" i="2"/>
  <c r="T221" i="6" s="1"/>
  <c r="V180" i="2"/>
  <c r="S221" i="6" s="1"/>
  <c r="U180" i="2"/>
  <c r="R221" i="6" s="1"/>
  <c r="T180" i="2"/>
  <c r="Q221" i="6" s="1"/>
  <c r="S180" i="2"/>
  <c r="P221" i="6" s="1"/>
  <c r="R180" i="2"/>
  <c r="O221" i="6" s="1"/>
  <c r="Q180" i="2"/>
  <c r="N221" i="6" s="1"/>
  <c r="P180" i="2"/>
  <c r="M221" i="6" s="1"/>
  <c r="O180" i="2"/>
  <c r="L221" i="6" s="1"/>
  <c r="N180" i="2"/>
  <c r="K221" i="6" s="1"/>
  <c r="M180" i="2"/>
  <c r="J221" i="6" s="1"/>
  <c r="L180" i="2"/>
  <c r="I221" i="6" s="1"/>
  <c r="K180" i="2"/>
  <c r="J180" i="2"/>
  <c r="F180" i="2"/>
  <c r="D180" i="2" s="1"/>
  <c r="E180" i="2"/>
  <c r="Y179" i="2"/>
  <c r="V220" i="6" s="1"/>
  <c r="X179" i="2"/>
  <c r="U220" i="6" s="1"/>
  <c r="W179" i="2"/>
  <c r="T220" i="6" s="1"/>
  <c r="V179" i="2"/>
  <c r="S220" i="6" s="1"/>
  <c r="U179" i="2"/>
  <c r="R220" i="6" s="1"/>
  <c r="T179" i="2"/>
  <c r="Q220" i="6" s="1"/>
  <c r="S179" i="2"/>
  <c r="P220" i="6" s="1"/>
  <c r="R179" i="2"/>
  <c r="O220" i="6" s="1"/>
  <c r="Q179" i="2"/>
  <c r="N220" i="6" s="1"/>
  <c r="P179" i="2"/>
  <c r="M220" i="6" s="1"/>
  <c r="O179" i="2"/>
  <c r="L220" i="6" s="1"/>
  <c r="N179" i="2"/>
  <c r="K220" i="6" s="1"/>
  <c r="M179" i="2"/>
  <c r="J220" i="6" s="1"/>
  <c r="L179" i="2"/>
  <c r="I220" i="6" s="1"/>
  <c r="K179" i="2"/>
  <c r="H220" i="6" s="1"/>
  <c r="J179" i="2"/>
  <c r="G220" i="6" s="1"/>
  <c r="H179" i="2"/>
  <c r="F179" i="2"/>
  <c r="E179" i="2"/>
  <c r="Y178" i="2"/>
  <c r="V219" i="6" s="1"/>
  <c r="X178" i="2"/>
  <c r="U219" i="6" s="1"/>
  <c r="W178" i="2"/>
  <c r="T219" i="6" s="1"/>
  <c r="V178" i="2"/>
  <c r="S219" i="6" s="1"/>
  <c r="U178" i="2"/>
  <c r="R219" i="6" s="1"/>
  <c r="T178" i="2"/>
  <c r="Q219" i="6" s="1"/>
  <c r="S178" i="2"/>
  <c r="P219" i="6" s="1"/>
  <c r="R178" i="2"/>
  <c r="O219" i="6" s="1"/>
  <c r="Q178" i="2"/>
  <c r="N219" i="6" s="1"/>
  <c r="P178" i="2"/>
  <c r="M219" i="6" s="1"/>
  <c r="O178" i="2"/>
  <c r="L219" i="6" s="1"/>
  <c r="N178" i="2"/>
  <c r="K219" i="6" s="1"/>
  <c r="M178" i="2"/>
  <c r="J219" i="6" s="1"/>
  <c r="L178" i="2"/>
  <c r="I219" i="6" s="1"/>
  <c r="K178" i="2"/>
  <c r="J178" i="2"/>
  <c r="F178" i="2"/>
  <c r="E178" i="2"/>
  <c r="Y177" i="2"/>
  <c r="V218" i="6" s="1"/>
  <c r="X177" i="2"/>
  <c r="U218" i="6" s="1"/>
  <c r="W177" i="2"/>
  <c r="T218" i="6" s="1"/>
  <c r="V177" i="2"/>
  <c r="S218" i="6" s="1"/>
  <c r="U177" i="2"/>
  <c r="R218" i="6" s="1"/>
  <c r="T177" i="2"/>
  <c r="Q218" i="6" s="1"/>
  <c r="S177" i="2"/>
  <c r="P218" i="6" s="1"/>
  <c r="R177" i="2"/>
  <c r="O218" i="6" s="1"/>
  <c r="Q177" i="2"/>
  <c r="N218" i="6" s="1"/>
  <c r="P177" i="2"/>
  <c r="M218" i="6" s="1"/>
  <c r="O177" i="2"/>
  <c r="L218" i="6" s="1"/>
  <c r="N177" i="2"/>
  <c r="K218" i="6" s="1"/>
  <c r="M177" i="2"/>
  <c r="J218" i="6" s="1"/>
  <c r="L177" i="2"/>
  <c r="I218" i="6" s="1"/>
  <c r="K177" i="2"/>
  <c r="H218" i="6" s="1"/>
  <c r="J177" i="2"/>
  <c r="G218" i="6" s="1"/>
  <c r="I177" i="2"/>
  <c r="F218" i="6" s="1"/>
  <c r="F177" i="2"/>
  <c r="E177" i="2"/>
  <c r="D177" i="2" s="1"/>
  <c r="Y176" i="2"/>
  <c r="V216" i="6" s="1"/>
  <c r="X176" i="2"/>
  <c r="U216" i="6" s="1"/>
  <c r="W176" i="2"/>
  <c r="T216" i="6" s="1"/>
  <c r="V176" i="2"/>
  <c r="S216" i="6" s="1"/>
  <c r="U176" i="2"/>
  <c r="R216" i="6" s="1"/>
  <c r="T176" i="2"/>
  <c r="Q216" i="6" s="1"/>
  <c r="S176" i="2"/>
  <c r="P216" i="6" s="1"/>
  <c r="R176" i="2"/>
  <c r="O216" i="6" s="1"/>
  <c r="Q176" i="2"/>
  <c r="N216" i="6" s="1"/>
  <c r="P176" i="2"/>
  <c r="M216" i="6" s="1"/>
  <c r="O176" i="2"/>
  <c r="L216" i="6" s="1"/>
  <c r="N176" i="2"/>
  <c r="K216" i="6" s="1"/>
  <c r="M176" i="2"/>
  <c r="J216" i="6" s="1"/>
  <c r="L176" i="2"/>
  <c r="I216" i="6" s="1"/>
  <c r="K176" i="2"/>
  <c r="J176" i="2"/>
  <c r="F176" i="2"/>
  <c r="D176" i="2" s="1"/>
  <c r="E176" i="2"/>
  <c r="Y175" i="2"/>
  <c r="V215" i="6" s="1"/>
  <c r="X175" i="2"/>
  <c r="U215" i="6" s="1"/>
  <c r="W175" i="2"/>
  <c r="T215" i="6" s="1"/>
  <c r="V175" i="2"/>
  <c r="S215" i="6" s="1"/>
  <c r="U175" i="2"/>
  <c r="R215" i="6" s="1"/>
  <c r="T175" i="2"/>
  <c r="Q215" i="6" s="1"/>
  <c r="S175" i="2"/>
  <c r="P215" i="6" s="1"/>
  <c r="R175" i="2"/>
  <c r="O215" i="6" s="1"/>
  <c r="Q175" i="2"/>
  <c r="N215" i="6" s="1"/>
  <c r="P175" i="2"/>
  <c r="M215" i="6" s="1"/>
  <c r="O175" i="2"/>
  <c r="L215" i="6" s="1"/>
  <c r="N175" i="2"/>
  <c r="K215" i="6" s="1"/>
  <c r="M175" i="2"/>
  <c r="J215" i="6" s="1"/>
  <c r="L175" i="2"/>
  <c r="I215" i="6" s="1"/>
  <c r="K175" i="2"/>
  <c r="H215" i="6" s="1"/>
  <c r="J175" i="2"/>
  <c r="G215" i="6" s="1"/>
  <c r="H175" i="2"/>
  <c r="F175" i="2"/>
  <c r="E175" i="2"/>
  <c r="Y174" i="2"/>
  <c r="V213" i="6" s="1"/>
  <c r="X174" i="2"/>
  <c r="U213" i="6" s="1"/>
  <c r="W174" i="2"/>
  <c r="T213" i="6" s="1"/>
  <c r="V174" i="2"/>
  <c r="S213" i="6" s="1"/>
  <c r="U174" i="2"/>
  <c r="R213" i="6" s="1"/>
  <c r="T174" i="2"/>
  <c r="Q213" i="6" s="1"/>
  <c r="S174" i="2"/>
  <c r="P213" i="6" s="1"/>
  <c r="R174" i="2"/>
  <c r="O213" i="6" s="1"/>
  <c r="Q174" i="2"/>
  <c r="N213" i="6" s="1"/>
  <c r="P174" i="2"/>
  <c r="M213" i="6" s="1"/>
  <c r="O174" i="2"/>
  <c r="L213" i="6" s="1"/>
  <c r="N174" i="2"/>
  <c r="K213" i="6" s="1"/>
  <c r="M174" i="2"/>
  <c r="J213" i="6" s="1"/>
  <c r="L174" i="2"/>
  <c r="I213" i="6" s="1"/>
  <c r="K174" i="2"/>
  <c r="J174" i="2"/>
  <c r="F174" i="2"/>
  <c r="E174" i="2"/>
  <c r="Y173" i="2"/>
  <c r="V212" i="6" s="1"/>
  <c r="X173" i="2"/>
  <c r="U212" i="6" s="1"/>
  <c r="W173" i="2"/>
  <c r="T212" i="6" s="1"/>
  <c r="V173" i="2"/>
  <c r="S212" i="6" s="1"/>
  <c r="U173" i="2"/>
  <c r="R212" i="6" s="1"/>
  <c r="T173" i="2"/>
  <c r="Q212" i="6" s="1"/>
  <c r="S173" i="2"/>
  <c r="P212" i="6" s="1"/>
  <c r="R173" i="2"/>
  <c r="O212" i="6" s="1"/>
  <c r="Q173" i="2"/>
  <c r="N212" i="6" s="1"/>
  <c r="P173" i="2"/>
  <c r="M212" i="6" s="1"/>
  <c r="O173" i="2"/>
  <c r="L212" i="6" s="1"/>
  <c r="N173" i="2"/>
  <c r="K212" i="6" s="1"/>
  <c r="M173" i="2"/>
  <c r="J212" i="6" s="1"/>
  <c r="L173" i="2"/>
  <c r="I212" i="6" s="1"/>
  <c r="K173" i="2"/>
  <c r="H212" i="6" s="1"/>
  <c r="J173" i="2"/>
  <c r="G212" i="6" s="1"/>
  <c r="I173" i="2"/>
  <c r="F212" i="6" s="1"/>
  <c r="F173" i="2"/>
  <c r="E173" i="2"/>
  <c r="D173" i="2" s="1"/>
  <c r="Y172" i="2"/>
  <c r="V211" i="6" s="1"/>
  <c r="X172" i="2"/>
  <c r="U211" i="6" s="1"/>
  <c r="W172" i="2"/>
  <c r="T211" i="6" s="1"/>
  <c r="V172" i="2"/>
  <c r="S211" i="6" s="1"/>
  <c r="U172" i="2"/>
  <c r="R211" i="6" s="1"/>
  <c r="T172" i="2"/>
  <c r="Q211" i="6" s="1"/>
  <c r="S172" i="2"/>
  <c r="P211" i="6" s="1"/>
  <c r="R172" i="2"/>
  <c r="O211" i="6" s="1"/>
  <c r="Q172" i="2"/>
  <c r="N211" i="6" s="1"/>
  <c r="P172" i="2"/>
  <c r="M211" i="6" s="1"/>
  <c r="O172" i="2"/>
  <c r="L211" i="6" s="1"/>
  <c r="N172" i="2"/>
  <c r="K211" i="6" s="1"/>
  <c r="M172" i="2"/>
  <c r="J211" i="6" s="1"/>
  <c r="L172" i="2"/>
  <c r="I211" i="6" s="1"/>
  <c r="K172" i="2"/>
  <c r="J172" i="2"/>
  <c r="F172" i="2"/>
  <c r="D172" i="2" s="1"/>
  <c r="E172" i="2"/>
  <c r="Y171" i="2"/>
  <c r="V210" i="6" s="1"/>
  <c r="X171" i="2"/>
  <c r="U210" i="6" s="1"/>
  <c r="W171" i="2"/>
  <c r="T210" i="6" s="1"/>
  <c r="V171" i="2"/>
  <c r="S210" i="6" s="1"/>
  <c r="U171" i="2"/>
  <c r="R210" i="6" s="1"/>
  <c r="T171" i="2"/>
  <c r="Q210" i="6" s="1"/>
  <c r="S171" i="2"/>
  <c r="P210" i="6" s="1"/>
  <c r="R171" i="2"/>
  <c r="O210" i="6" s="1"/>
  <c r="Q171" i="2"/>
  <c r="N210" i="6" s="1"/>
  <c r="P171" i="2"/>
  <c r="M210" i="6" s="1"/>
  <c r="O171" i="2"/>
  <c r="L210" i="6" s="1"/>
  <c r="N171" i="2"/>
  <c r="K210" i="6" s="1"/>
  <c r="M171" i="2"/>
  <c r="J210" i="6" s="1"/>
  <c r="L171" i="2"/>
  <c r="I210" i="6" s="1"/>
  <c r="K171" i="2"/>
  <c r="H210" i="6" s="1"/>
  <c r="J171" i="2"/>
  <c r="G210" i="6" s="1"/>
  <c r="H171" i="2"/>
  <c r="F171" i="2"/>
  <c r="E171" i="2"/>
  <c r="Y170" i="2"/>
  <c r="V209" i="6" s="1"/>
  <c r="X170" i="2"/>
  <c r="U209" i="6" s="1"/>
  <c r="W170" i="2"/>
  <c r="T209" i="6" s="1"/>
  <c r="V170" i="2"/>
  <c r="S209" i="6" s="1"/>
  <c r="U170" i="2"/>
  <c r="R209" i="6" s="1"/>
  <c r="T170" i="2"/>
  <c r="Q209" i="6" s="1"/>
  <c r="S170" i="2"/>
  <c r="P209" i="6" s="1"/>
  <c r="R170" i="2"/>
  <c r="O209" i="6" s="1"/>
  <c r="Q170" i="2"/>
  <c r="N209" i="6" s="1"/>
  <c r="P170" i="2"/>
  <c r="M209" i="6" s="1"/>
  <c r="O170" i="2"/>
  <c r="L209" i="6" s="1"/>
  <c r="N170" i="2"/>
  <c r="K209" i="6" s="1"/>
  <c r="M170" i="2"/>
  <c r="J209" i="6" s="1"/>
  <c r="L170" i="2"/>
  <c r="I209" i="6" s="1"/>
  <c r="K170" i="2"/>
  <c r="J170" i="2"/>
  <c r="F170" i="2"/>
  <c r="E170" i="2"/>
  <c r="Y169" i="2"/>
  <c r="V208" i="6" s="1"/>
  <c r="X169" i="2"/>
  <c r="U208" i="6" s="1"/>
  <c r="W169" i="2"/>
  <c r="T208" i="6" s="1"/>
  <c r="V169" i="2"/>
  <c r="S208" i="6" s="1"/>
  <c r="U169" i="2"/>
  <c r="R208" i="6" s="1"/>
  <c r="T169" i="2"/>
  <c r="Q208" i="6" s="1"/>
  <c r="S169" i="2"/>
  <c r="P208" i="6" s="1"/>
  <c r="R169" i="2"/>
  <c r="O208" i="6" s="1"/>
  <c r="Q169" i="2"/>
  <c r="N208" i="6" s="1"/>
  <c r="P169" i="2"/>
  <c r="M208" i="6" s="1"/>
  <c r="O169" i="2"/>
  <c r="L208" i="6" s="1"/>
  <c r="N169" i="2"/>
  <c r="K208" i="6" s="1"/>
  <c r="M169" i="2"/>
  <c r="J208" i="6" s="1"/>
  <c r="L169" i="2"/>
  <c r="I208" i="6" s="1"/>
  <c r="K169" i="2"/>
  <c r="H208" i="6" s="1"/>
  <c r="J169" i="2"/>
  <c r="G208" i="6" s="1"/>
  <c r="I169" i="2"/>
  <c r="F208" i="6" s="1"/>
  <c r="F169" i="2"/>
  <c r="E169" i="2"/>
  <c r="D169" i="2" s="1"/>
  <c r="Y168" i="2"/>
  <c r="V207" i="6" s="1"/>
  <c r="X168" i="2"/>
  <c r="U207" i="6" s="1"/>
  <c r="W168" i="2"/>
  <c r="T207" i="6" s="1"/>
  <c r="V168" i="2"/>
  <c r="S207" i="6" s="1"/>
  <c r="U168" i="2"/>
  <c r="R207" i="6" s="1"/>
  <c r="T168" i="2"/>
  <c r="Q207" i="6" s="1"/>
  <c r="S168" i="2"/>
  <c r="P207" i="6" s="1"/>
  <c r="R168" i="2"/>
  <c r="O207" i="6" s="1"/>
  <c r="Q168" i="2"/>
  <c r="N207" i="6" s="1"/>
  <c r="P168" i="2"/>
  <c r="M207" i="6" s="1"/>
  <c r="O168" i="2"/>
  <c r="L207" i="6" s="1"/>
  <c r="N168" i="2"/>
  <c r="K207" i="6" s="1"/>
  <c r="M168" i="2"/>
  <c r="J207" i="6" s="1"/>
  <c r="L168" i="2"/>
  <c r="I207" i="6" s="1"/>
  <c r="K168" i="2"/>
  <c r="J168" i="2"/>
  <c r="F168" i="2"/>
  <c r="D168" i="2" s="1"/>
  <c r="E168" i="2"/>
  <c r="Y167" i="2"/>
  <c r="V206" i="6" s="1"/>
  <c r="X167" i="2"/>
  <c r="U206" i="6" s="1"/>
  <c r="W167" i="2"/>
  <c r="T206" i="6" s="1"/>
  <c r="V167" i="2"/>
  <c r="S206" i="6" s="1"/>
  <c r="U167" i="2"/>
  <c r="R206" i="6" s="1"/>
  <c r="T167" i="2"/>
  <c r="Q206" i="6" s="1"/>
  <c r="S167" i="2"/>
  <c r="P206" i="6" s="1"/>
  <c r="R167" i="2"/>
  <c r="O206" i="6" s="1"/>
  <c r="Q167" i="2"/>
  <c r="N206" i="6" s="1"/>
  <c r="P167" i="2"/>
  <c r="M206" i="6" s="1"/>
  <c r="O167" i="2"/>
  <c r="L206" i="6" s="1"/>
  <c r="N167" i="2"/>
  <c r="K206" i="6" s="1"/>
  <c r="M167" i="2"/>
  <c r="J206" i="6" s="1"/>
  <c r="L167" i="2"/>
  <c r="I206" i="6" s="1"/>
  <c r="K167" i="2"/>
  <c r="H206" i="6" s="1"/>
  <c r="J167" i="2"/>
  <c r="G206" i="6" s="1"/>
  <c r="H167" i="2"/>
  <c r="F167" i="2"/>
  <c r="E167" i="2"/>
  <c r="Y166" i="2"/>
  <c r="V205" i="6" s="1"/>
  <c r="X166" i="2"/>
  <c r="U205" i="6" s="1"/>
  <c r="W166" i="2"/>
  <c r="T205" i="6" s="1"/>
  <c r="V166" i="2"/>
  <c r="S205" i="6" s="1"/>
  <c r="U166" i="2"/>
  <c r="R205" i="6" s="1"/>
  <c r="T166" i="2"/>
  <c r="Q205" i="6" s="1"/>
  <c r="S166" i="2"/>
  <c r="P205" i="6" s="1"/>
  <c r="R166" i="2"/>
  <c r="O205" i="6" s="1"/>
  <c r="Q166" i="2"/>
  <c r="N205" i="6" s="1"/>
  <c r="P166" i="2"/>
  <c r="M205" i="6" s="1"/>
  <c r="O166" i="2"/>
  <c r="L205" i="6" s="1"/>
  <c r="N166" i="2"/>
  <c r="K205" i="6" s="1"/>
  <c r="M166" i="2"/>
  <c r="J205" i="6" s="1"/>
  <c r="L166" i="2"/>
  <c r="I205" i="6" s="1"/>
  <c r="K166" i="2"/>
  <c r="J166" i="2"/>
  <c r="F166" i="2"/>
  <c r="E166" i="2"/>
  <c r="Y165" i="2"/>
  <c r="V204" i="6" s="1"/>
  <c r="X165" i="2"/>
  <c r="U204" i="6" s="1"/>
  <c r="W165" i="2"/>
  <c r="T204" i="6" s="1"/>
  <c r="V165" i="2"/>
  <c r="S204" i="6" s="1"/>
  <c r="U165" i="2"/>
  <c r="R204" i="6" s="1"/>
  <c r="T165" i="2"/>
  <c r="Q204" i="6" s="1"/>
  <c r="S165" i="2"/>
  <c r="P204" i="6" s="1"/>
  <c r="R165" i="2"/>
  <c r="O204" i="6" s="1"/>
  <c r="Q165" i="2"/>
  <c r="N204" i="6" s="1"/>
  <c r="P165" i="2"/>
  <c r="M204" i="6" s="1"/>
  <c r="O165" i="2"/>
  <c r="L204" i="6" s="1"/>
  <c r="N165" i="2"/>
  <c r="K204" i="6" s="1"/>
  <c r="M165" i="2"/>
  <c r="J204" i="6" s="1"/>
  <c r="L165" i="2"/>
  <c r="I204" i="6" s="1"/>
  <c r="K165" i="2"/>
  <c r="H204" i="6" s="1"/>
  <c r="J165" i="2"/>
  <c r="G204" i="6" s="1"/>
  <c r="I165" i="2"/>
  <c r="F204" i="6" s="1"/>
  <c r="F165" i="2"/>
  <c r="E165" i="2"/>
  <c r="D165" i="2" s="1"/>
  <c r="Y164" i="2"/>
  <c r="V203" i="6" s="1"/>
  <c r="X164" i="2"/>
  <c r="U203" i="6" s="1"/>
  <c r="W164" i="2"/>
  <c r="T203" i="6" s="1"/>
  <c r="V164" i="2"/>
  <c r="S203" i="6" s="1"/>
  <c r="U164" i="2"/>
  <c r="R203" i="6" s="1"/>
  <c r="T164" i="2"/>
  <c r="Q203" i="6" s="1"/>
  <c r="S164" i="2"/>
  <c r="P203" i="6" s="1"/>
  <c r="R164" i="2"/>
  <c r="O203" i="6" s="1"/>
  <c r="Q164" i="2"/>
  <c r="N203" i="6" s="1"/>
  <c r="P164" i="2"/>
  <c r="M203" i="6" s="1"/>
  <c r="O164" i="2"/>
  <c r="L203" i="6" s="1"/>
  <c r="N164" i="2"/>
  <c r="K203" i="6" s="1"/>
  <c r="M164" i="2"/>
  <c r="J203" i="6" s="1"/>
  <c r="L164" i="2"/>
  <c r="I203" i="6" s="1"/>
  <c r="K164" i="2"/>
  <c r="J164" i="2"/>
  <c r="F164" i="2"/>
  <c r="D164" i="2" s="1"/>
  <c r="E164" i="2"/>
  <c r="Y163" i="2"/>
  <c r="V201" i="6" s="1"/>
  <c r="X163" i="2"/>
  <c r="U201" i="6" s="1"/>
  <c r="W163" i="2"/>
  <c r="T201" i="6" s="1"/>
  <c r="V163" i="2"/>
  <c r="S201" i="6" s="1"/>
  <c r="U163" i="2"/>
  <c r="R201" i="6" s="1"/>
  <c r="T163" i="2"/>
  <c r="Q201" i="6" s="1"/>
  <c r="S163" i="2"/>
  <c r="P201" i="6" s="1"/>
  <c r="R163" i="2"/>
  <c r="O201" i="6" s="1"/>
  <c r="Q163" i="2"/>
  <c r="N201" i="6" s="1"/>
  <c r="P163" i="2"/>
  <c r="M201" i="6" s="1"/>
  <c r="O163" i="2"/>
  <c r="L201" i="6" s="1"/>
  <c r="N163" i="2"/>
  <c r="K201" i="6" s="1"/>
  <c r="M163" i="2"/>
  <c r="J201" i="6" s="1"/>
  <c r="L163" i="2"/>
  <c r="I201" i="6" s="1"/>
  <c r="K163" i="2"/>
  <c r="H201" i="6" s="1"/>
  <c r="J163" i="2"/>
  <c r="G201" i="6" s="1"/>
  <c r="H163" i="2"/>
  <c r="F163" i="2"/>
  <c r="E163" i="2"/>
  <c r="Y162" i="2"/>
  <c r="V200" i="6" s="1"/>
  <c r="X162" i="2"/>
  <c r="U200" i="6" s="1"/>
  <c r="W162" i="2"/>
  <c r="T200" i="6" s="1"/>
  <c r="V162" i="2"/>
  <c r="S200" i="6" s="1"/>
  <c r="U162" i="2"/>
  <c r="R200" i="6" s="1"/>
  <c r="T162" i="2"/>
  <c r="Q200" i="6" s="1"/>
  <c r="S162" i="2"/>
  <c r="P200" i="6" s="1"/>
  <c r="R162" i="2"/>
  <c r="O200" i="6" s="1"/>
  <c r="Q162" i="2"/>
  <c r="N200" i="6" s="1"/>
  <c r="P162" i="2"/>
  <c r="M200" i="6" s="1"/>
  <c r="O162" i="2"/>
  <c r="L200" i="6" s="1"/>
  <c r="N162" i="2"/>
  <c r="K200" i="6" s="1"/>
  <c r="M162" i="2"/>
  <c r="J200" i="6" s="1"/>
  <c r="L162" i="2"/>
  <c r="I200" i="6" s="1"/>
  <c r="K162" i="2"/>
  <c r="J162" i="2"/>
  <c r="F162" i="2"/>
  <c r="E162" i="2"/>
  <c r="Y161" i="2"/>
  <c r="V199" i="6" s="1"/>
  <c r="X161" i="2"/>
  <c r="U199" i="6" s="1"/>
  <c r="W161" i="2"/>
  <c r="T199" i="6" s="1"/>
  <c r="V161" i="2"/>
  <c r="S199" i="6" s="1"/>
  <c r="U161" i="2"/>
  <c r="R199" i="6" s="1"/>
  <c r="T161" i="2"/>
  <c r="Q199" i="6" s="1"/>
  <c r="S161" i="2"/>
  <c r="P199" i="6" s="1"/>
  <c r="R161" i="2"/>
  <c r="O199" i="6" s="1"/>
  <c r="Q161" i="2"/>
  <c r="N199" i="6" s="1"/>
  <c r="P161" i="2"/>
  <c r="M199" i="6" s="1"/>
  <c r="O161" i="2"/>
  <c r="L199" i="6" s="1"/>
  <c r="N161" i="2"/>
  <c r="K199" i="6" s="1"/>
  <c r="M161" i="2"/>
  <c r="J199" i="6" s="1"/>
  <c r="L161" i="2"/>
  <c r="I199" i="6" s="1"/>
  <c r="K161" i="2"/>
  <c r="H199" i="6" s="1"/>
  <c r="J161" i="2"/>
  <c r="G199" i="6" s="1"/>
  <c r="I161" i="2"/>
  <c r="F199" i="6" s="1"/>
  <c r="F161" i="2"/>
  <c r="E161" i="2"/>
  <c r="D161" i="2" s="1"/>
  <c r="Y160" i="2"/>
  <c r="V197" i="6" s="1"/>
  <c r="X160" i="2"/>
  <c r="U197" i="6" s="1"/>
  <c r="W160" i="2"/>
  <c r="T197" i="6" s="1"/>
  <c r="V160" i="2"/>
  <c r="S197" i="6" s="1"/>
  <c r="U160" i="2"/>
  <c r="R197" i="6" s="1"/>
  <c r="T160" i="2"/>
  <c r="Q197" i="6" s="1"/>
  <c r="S160" i="2"/>
  <c r="P197" i="6" s="1"/>
  <c r="R160" i="2"/>
  <c r="O197" i="6" s="1"/>
  <c r="Q160" i="2"/>
  <c r="N197" i="6" s="1"/>
  <c r="P160" i="2"/>
  <c r="M197" i="6" s="1"/>
  <c r="O160" i="2"/>
  <c r="L197" i="6" s="1"/>
  <c r="N160" i="2"/>
  <c r="K197" i="6" s="1"/>
  <c r="M160" i="2"/>
  <c r="J197" i="6" s="1"/>
  <c r="L160" i="2"/>
  <c r="I197" i="6" s="1"/>
  <c r="K160" i="2"/>
  <c r="J160" i="2"/>
  <c r="F160" i="2"/>
  <c r="D160" i="2" s="1"/>
  <c r="E160" i="2"/>
  <c r="Y159" i="2"/>
  <c r="V196" i="6" s="1"/>
  <c r="X159" i="2"/>
  <c r="U196" i="6" s="1"/>
  <c r="W159" i="2"/>
  <c r="T196" i="6" s="1"/>
  <c r="V159" i="2"/>
  <c r="S196" i="6" s="1"/>
  <c r="U159" i="2"/>
  <c r="R196" i="6" s="1"/>
  <c r="T159" i="2"/>
  <c r="Q196" i="6" s="1"/>
  <c r="S159" i="2"/>
  <c r="P196" i="6" s="1"/>
  <c r="R159" i="2"/>
  <c r="O196" i="6" s="1"/>
  <c r="Q159" i="2"/>
  <c r="N196" i="6" s="1"/>
  <c r="P159" i="2"/>
  <c r="M196" i="6" s="1"/>
  <c r="O159" i="2"/>
  <c r="L196" i="6" s="1"/>
  <c r="N159" i="2"/>
  <c r="K196" i="6" s="1"/>
  <c r="M159" i="2"/>
  <c r="J196" i="6" s="1"/>
  <c r="L159" i="2"/>
  <c r="I196" i="6" s="1"/>
  <c r="K159" i="2"/>
  <c r="H196" i="6" s="1"/>
  <c r="J159" i="2"/>
  <c r="G196" i="6" s="1"/>
  <c r="H159" i="2"/>
  <c r="F159" i="2"/>
  <c r="E159" i="2"/>
  <c r="Y158" i="2"/>
  <c r="V195" i="6" s="1"/>
  <c r="X158" i="2"/>
  <c r="U195" i="6" s="1"/>
  <c r="W158" i="2"/>
  <c r="T195" i="6" s="1"/>
  <c r="V158" i="2"/>
  <c r="S195" i="6" s="1"/>
  <c r="U158" i="2"/>
  <c r="R195" i="6" s="1"/>
  <c r="T158" i="2"/>
  <c r="Q195" i="6" s="1"/>
  <c r="S158" i="2"/>
  <c r="P195" i="6" s="1"/>
  <c r="R158" i="2"/>
  <c r="O195" i="6" s="1"/>
  <c r="Q158" i="2"/>
  <c r="N195" i="6" s="1"/>
  <c r="P158" i="2"/>
  <c r="M195" i="6" s="1"/>
  <c r="O158" i="2"/>
  <c r="L195" i="6" s="1"/>
  <c r="N158" i="2"/>
  <c r="K195" i="6" s="1"/>
  <c r="M158" i="2"/>
  <c r="J195" i="6" s="1"/>
  <c r="L158" i="2"/>
  <c r="I195" i="6" s="1"/>
  <c r="K158" i="2"/>
  <c r="J158" i="2"/>
  <c r="F158" i="2"/>
  <c r="E158" i="2"/>
  <c r="Y157" i="2"/>
  <c r="V193" i="6" s="1"/>
  <c r="X157" i="2"/>
  <c r="U193" i="6" s="1"/>
  <c r="W157" i="2"/>
  <c r="T193" i="6" s="1"/>
  <c r="V157" i="2"/>
  <c r="S193" i="6" s="1"/>
  <c r="U157" i="2"/>
  <c r="R193" i="6" s="1"/>
  <c r="T157" i="2"/>
  <c r="Q193" i="6" s="1"/>
  <c r="S157" i="2"/>
  <c r="P193" i="6" s="1"/>
  <c r="R157" i="2"/>
  <c r="O193" i="6" s="1"/>
  <c r="Q157" i="2"/>
  <c r="N193" i="6" s="1"/>
  <c r="P157" i="2"/>
  <c r="M193" i="6" s="1"/>
  <c r="O157" i="2"/>
  <c r="L193" i="6" s="1"/>
  <c r="N157" i="2"/>
  <c r="K193" i="6" s="1"/>
  <c r="M157" i="2"/>
  <c r="J193" i="6" s="1"/>
  <c r="L157" i="2"/>
  <c r="I193" i="6" s="1"/>
  <c r="K157" i="2"/>
  <c r="H193" i="6" s="1"/>
  <c r="J157" i="2"/>
  <c r="G193" i="6" s="1"/>
  <c r="I157" i="2"/>
  <c r="F193" i="6" s="1"/>
  <c r="F157" i="2"/>
  <c r="E157" i="2"/>
  <c r="D157" i="2" s="1"/>
  <c r="Y156" i="2"/>
  <c r="V191" i="6" s="1"/>
  <c r="X156" i="2"/>
  <c r="U191" i="6" s="1"/>
  <c r="W156" i="2"/>
  <c r="T191" i="6" s="1"/>
  <c r="V156" i="2"/>
  <c r="S191" i="6" s="1"/>
  <c r="U156" i="2"/>
  <c r="R191" i="6" s="1"/>
  <c r="T156" i="2"/>
  <c r="Q191" i="6" s="1"/>
  <c r="S156" i="2"/>
  <c r="P191" i="6" s="1"/>
  <c r="R156" i="2"/>
  <c r="O191" i="6" s="1"/>
  <c r="Q156" i="2"/>
  <c r="N191" i="6" s="1"/>
  <c r="P156" i="2"/>
  <c r="M191" i="6" s="1"/>
  <c r="O156" i="2"/>
  <c r="L191" i="6" s="1"/>
  <c r="N156" i="2"/>
  <c r="K191" i="6" s="1"/>
  <c r="M156" i="2"/>
  <c r="J191" i="6" s="1"/>
  <c r="L156" i="2"/>
  <c r="I191" i="6" s="1"/>
  <c r="K156" i="2"/>
  <c r="J156" i="2"/>
  <c r="F156" i="2"/>
  <c r="D156" i="2" s="1"/>
  <c r="E156" i="2"/>
  <c r="Y155" i="2"/>
  <c r="V190" i="6" s="1"/>
  <c r="X155" i="2"/>
  <c r="U190" i="6" s="1"/>
  <c r="W155" i="2"/>
  <c r="T190" i="6" s="1"/>
  <c r="V155" i="2"/>
  <c r="S190" i="6" s="1"/>
  <c r="U155" i="2"/>
  <c r="R190" i="6" s="1"/>
  <c r="T155" i="2"/>
  <c r="Q190" i="6" s="1"/>
  <c r="S155" i="2"/>
  <c r="P190" i="6" s="1"/>
  <c r="R155" i="2"/>
  <c r="O190" i="6" s="1"/>
  <c r="Q155" i="2"/>
  <c r="N190" i="6" s="1"/>
  <c r="P155" i="2"/>
  <c r="M190" i="6" s="1"/>
  <c r="O155" i="2"/>
  <c r="L190" i="6" s="1"/>
  <c r="N155" i="2"/>
  <c r="K190" i="6" s="1"/>
  <c r="M155" i="2"/>
  <c r="J190" i="6" s="1"/>
  <c r="L155" i="2"/>
  <c r="I190" i="6" s="1"/>
  <c r="K155" i="2"/>
  <c r="H190" i="6" s="1"/>
  <c r="J155" i="2"/>
  <c r="G190" i="6" s="1"/>
  <c r="H155" i="2"/>
  <c r="F155" i="2"/>
  <c r="E155" i="2"/>
  <c r="Y154" i="2"/>
  <c r="V189" i="6" s="1"/>
  <c r="W18" i="5" s="1"/>
  <c r="X154" i="2"/>
  <c r="U189" i="6" s="1"/>
  <c r="V18" i="5" s="1"/>
  <c r="W154" i="2"/>
  <c r="T189" i="6" s="1"/>
  <c r="U18" i="5" s="1"/>
  <c r="V154" i="2"/>
  <c r="S189" i="6" s="1"/>
  <c r="T18" i="5" s="1"/>
  <c r="U154" i="2"/>
  <c r="R189" i="6" s="1"/>
  <c r="S18" i="5" s="1"/>
  <c r="T154" i="2"/>
  <c r="Q189" i="6" s="1"/>
  <c r="R18" i="5" s="1"/>
  <c r="S154" i="2"/>
  <c r="P189" i="6" s="1"/>
  <c r="Q18" i="5" s="1"/>
  <c r="R154" i="2"/>
  <c r="O189" i="6" s="1"/>
  <c r="P18" i="5" s="1"/>
  <c r="Q154" i="2"/>
  <c r="N189" i="6" s="1"/>
  <c r="O18" i="5" s="1"/>
  <c r="P154" i="2"/>
  <c r="M189" i="6" s="1"/>
  <c r="N18" i="5" s="1"/>
  <c r="O154" i="2"/>
  <c r="L189" i="6" s="1"/>
  <c r="M18" i="5" s="1"/>
  <c r="N154" i="2"/>
  <c r="K189" i="6" s="1"/>
  <c r="L18" i="5" s="1"/>
  <c r="M154" i="2"/>
  <c r="J189" i="6" s="1"/>
  <c r="K18" i="5" s="1"/>
  <c r="L154" i="2"/>
  <c r="I189" i="6" s="1"/>
  <c r="J18" i="5" s="1"/>
  <c r="K154" i="2"/>
  <c r="J154" i="2"/>
  <c r="F154" i="2"/>
  <c r="E154" i="2"/>
  <c r="Y153" i="2"/>
  <c r="V188" i="6" s="1"/>
  <c r="X153" i="2"/>
  <c r="U188" i="6" s="1"/>
  <c r="W153" i="2"/>
  <c r="T188" i="6" s="1"/>
  <c r="V153" i="2"/>
  <c r="S188" i="6" s="1"/>
  <c r="U153" i="2"/>
  <c r="R188" i="6" s="1"/>
  <c r="T153" i="2"/>
  <c r="Q188" i="6" s="1"/>
  <c r="S153" i="2"/>
  <c r="P188" i="6" s="1"/>
  <c r="R153" i="2"/>
  <c r="O188" i="6" s="1"/>
  <c r="Q153" i="2"/>
  <c r="N188" i="6" s="1"/>
  <c r="P153" i="2"/>
  <c r="M188" i="6" s="1"/>
  <c r="O153" i="2"/>
  <c r="L188" i="6" s="1"/>
  <c r="N153" i="2"/>
  <c r="K188" i="6" s="1"/>
  <c r="M153" i="2"/>
  <c r="J188" i="6" s="1"/>
  <c r="L153" i="2"/>
  <c r="I188" i="6" s="1"/>
  <c r="K153" i="2"/>
  <c r="H188" i="6" s="1"/>
  <c r="J153" i="2"/>
  <c r="G188" i="6" s="1"/>
  <c r="I153" i="2"/>
  <c r="F188" i="6" s="1"/>
  <c r="F153" i="2"/>
  <c r="E153" i="2"/>
  <c r="D153" i="2" s="1"/>
  <c r="Y152" i="2"/>
  <c r="V187" i="6" s="1"/>
  <c r="W46" i="5" s="1"/>
  <c r="X152" i="2"/>
  <c r="U187" i="6" s="1"/>
  <c r="V46" i="5" s="1"/>
  <c r="W152" i="2"/>
  <c r="T187" i="6" s="1"/>
  <c r="U46" i="5" s="1"/>
  <c r="V152" i="2"/>
  <c r="S187" i="6" s="1"/>
  <c r="T46" i="5" s="1"/>
  <c r="U152" i="2"/>
  <c r="R187" i="6" s="1"/>
  <c r="S46" i="5" s="1"/>
  <c r="T152" i="2"/>
  <c r="Q187" i="6" s="1"/>
  <c r="R46" i="5" s="1"/>
  <c r="S152" i="2"/>
  <c r="P187" i="6" s="1"/>
  <c r="Q46" i="5" s="1"/>
  <c r="R152" i="2"/>
  <c r="O187" i="6" s="1"/>
  <c r="P46" i="5" s="1"/>
  <c r="Q152" i="2"/>
  <c r="N187" i="6" s="1"/>
  <c r="O46" i="5" s="1"/>
  <c r="P152" i="2"/>
  <c r="M187" i="6" s="1"/>
  <c r="N46" i="5" s="1"/>
  <c r="O152" i="2"/>
  <c r="L187" i="6" s="1"/>
  <c r="M46" i="5" s="1"/>
  <c r="N152" i="2"/>
  <c r="K187" i="6" s="1"/>
  <c r="L46" i="5" s="1"/>
  <c r="M152" i="2"/>
  <c r="J187" i="6" s="1"/>
  <c r="K46" i="5" s="1"/>
  <c r="L152" i="2"/>
  <c r="I187" i="6" s="1"/>
  <c r="J46" i="5" s="1"/>
  <c r="K152" i="2"/>
  <c r="J152" i="2"/>
  <c r="F152" i="2"/>
  <c r="D152" i="2" s="1"/>
  <c r="E152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H151" i="2" s="1"/>
  <c r="K151" i="2"/>
  <c r="I151" i="2" s="1"/>
  <c r="J151" i="2"/>
  <c r="F151" i="2"/>
  <c r="E151" i="2"/>
  <c r="D151" i="2" s="1"/>
  <c r="Y150" i="2"/>
  <c r="V184" i="6" s="1"/>
  <c r="X150" i="2"/>
  <c r="U184" i="6" s="1"/>
  <c r="W150" i="2"/>
  <c r="T184" i="6" s="1"/>
  <c r="V150" i="2"/>
  <c r="S184" i="6" s="1"/>
  <c r="U150" i="2"/>
  <c r="R184" i="6" s="1"/>
  <c r="T150" i="2"/>
  <c r="Q184" i="6" s="1"/>
  <c r="S150" i="2"/>
  <c r="P184" i="6" s="1"/>
  <c r="R150" i="2"/>
  <c r="O184" i="6" s="1"/>
  <c r="Q150" i="2"/>
  <c r="N184" i="6" s="1"/>
  <c r="P150" i="2"/>
  <c r="M184" i="6" s="1"/>
  <c r="O150" i="2"/>
  <c r="L184" i="6" s="1"/>
  <c r="N150" i="2"/>
  <c r="K184" i="6" s="1"/>
  <c r="M150" i="2"/>
  <c r="J184" i="6" s="1"/>
  <c r="L150" i="2"/>
  <c r="I184" i="6" s="1"/>
  <c r="K150" i="2"/>
  <c r="J150" i="2"/>
  <c r="F150" i="2"/>
  <c r="E150" i="2"/>
  <c r="Y149" i="2"/>
  <c r="V183" i="6" s="1"/>
  <c r="X149" i="2"/>
  <c r="U183" i="6" s="1"/>
  <c r="W149" i="2"/>
  <c r="T183" i="6" s="1"/>
  <c r="V149" i="2"/>
  <c r="S183" i="6" s="1"/>
  <c r="U149" i="2"/>
  <c r="R183" i="6" s="1"/>
  <c r="T149" i="2"/>
  <c r="Q183" i="6" s="1"/>
  <c r="S149" i="2"/>
  <c r="P183" i="6" s="1"/>
  <c r="R149" i="2"/>
  <c r="O183" i="6" s="1"/>
  <c r="Q149" i="2"/>
  <c r="N183" i="6" s="1"/>
  <c r="P149" i="2"/>
  <c r="M183" i="6" s="1"/>
  <c r="O149" i="2"/>
  <c r="L183" i="6" s="1"/>
  <c r="N149" i="2"/>
  <c r="K183" i="6" s="1"/>
  <c r="M149" i="2"/>
  <c r="J183" i="6" s="1"/>
  <c r="L149" i="2"/>
  <c r="I183" i="6" s="1"/>
  <c r="K149" i="2"/>
  <c r="J149" i="2"/>
  <c r="G183" i="6" s="1"/>
  <c r="H149" i="2"/>
  <c r="E183" i="6" s="1"/>
  <c r="F149" i="2"/>
  <c r="E149" i="2"/>
  <c r="D149" i="2" s="1"/>
  <c r="Y148" i="2"/>
  <c r="V182" i="6" s="1"/>
  <c r="X148" i="2"/>
  <c r="U182" i="6" s="1"/>
  <c r="W148" i="2"/>
  <c r="T182" i="6" s="1"/>
  <c r="V148" i="2"/>
  <c r="S182" i="6" s="1"/>
  <c r="U148" i="2"/>
  <c r="R182" i="6" s="1"/>
  <c r="T148" i="2"/>
  <c r="Q182" i="6" s="1"/>
  <c r="S148" i="2"/>
  <c r="P182" i="6" s="1"/>
  <c r="R148" i="2"/>
  <c r="O182" i="6" s="1"/>
  <c r="Q148" i="2"/>
  <c r="N182" i="6" s="1"/>
  <c r="P148" i="2"/>
  <c r="M182" i="6" s="1"/>
  <c r="O148" i="2"/>
  <c r="L182" i="6" s="1"/>
  <c r="N148" i="2"/>
  <c r="K182" i="6" s="1"/>
  <c r="M148" i="2"/>
  <c r="J182" i="6" s="1"/>
  <c r="L148" i="2"/>
  <c r="I182" i="6" s="1"/>
  <c r="K148" i="2"/>
  <c r="H182" i="6" s="1"/>
  <c r="J148" i="2"/>
  <c r="F148" i="2"/>
  <c r="E148" i="2"/>
  <c r="D148" i="2" s="1"/>
  <c r="Y147" i="2"/>
  <c r="V181" i="6" s="1"/>
  <c r="X147" i="2"/>
  <c r="U181" i="6" s="1"/>
  <c r="W147" i="2"/>
  <c r="T181" i="6" s="1"/>
  <c r="V147" i="2"/>
  <c r="S181" i="6" s="1"/>
  <c r="U147" i="2"/>
  <c r="R181" i="6" s="1"/>
  <c r="T147" i="2"/>
  <c r="Q181" i="6" s="1"/>
  <c r="S147" i="2"/>
  <c r="P181" i="6" s="1"/>
  <c r="R147" i="2"/>
  <c r="O181" i="6" s="1"/>
  <c r="Q147" i="2"/>
  <c r="N181" i="6" s="1"/>
  <c r="P147" i="2"/>
  <c r="M181" i="6" s="1"/>
  <c r="O147" i="2"/>
  <c r="L181" i="6" s="1"/>
  <c r="N147" i="2"/>
  <c r="K181" i="6" s="1"/>
  <c r="M147" i="2"/>
  <c r="J181" i="6" s="1"/>
  <c r="L147" i="2"/>
  <c r="I181" i="6" s="1"/>
  <c r="K147" i="2"/>
  <c r="J147" i="2"/>
  <c r="G181" i="6" s="1"/>
  <c r="F147" i="2"/>
  <c r="E147" i="2"/>
  <c r="D147" i="2"/>
  <c r="Y146" i="2"/>
  <c r="V180" i="6" s="1"/>
  <c r="X146" i="2"/>
  <c r="U180" i="6" s="1"/>
  <c r="W146" i="2"/>
  <c r="T180" i="6" s="1"/>
  <c r="V146" i="2"/>
  <c r="S180" i="6" s="1"/>
  <c r="U146" i="2"/>
  <c r="R180" i="6" s="1"/>
  <c r="T146" i="2"/>
  <c r="Q180" i="6" s="1"/>
  <c r="S146" i="2"/>
  <c r="P180" i="6" s="1"/>
  <c r="R146" i="2"/>
  <c r="O180" i="6" s="1"/>
  <c r="Q146" i="2"/>
  <c r="N180" i="6" s="1"/>
  <c r="P146" i="2"/>
  <c r="M180" i="6" s="1"/>
  <c r="O146" i="2"/>
  <c r="L180" i="6" s="1"/>
  <c r="N146" i="2"/>
  <c r="K180" i="6" s="1"/>
  <c r="M146" i="2"/>
  <c r="J180" i="6" s="1"/>
  <c r="L146" i="2"/>
  <c r="I180" i="6" s="1"/>
  <c r="K146" i="2"/>
  <c r="H180" i="6" s="1"/>
  <c r="J146" i="2"/>
  <c r="I146" i="2"/>
  <c r="F180" i="6" s="1"/>
  <c r="F146" i="2"/>
  <c r="E146" i="2"/>
  <c r="Y145" i="2"/>
  <c r="V179" i="6" s="1"/>
  <c r="X145" i="2"/>
  <c r="U179" i="6" s="1"/>
  <c r="W145" i="2"/>
  <c r="T179" i="6" s="1"/>
  <c r="V145" i="2"/>
  <c r="S179" i="6" s="1"/>
  <c r="U145" i="2"/>
  <c r="R179" i="6" s="1"/>
  <c r="T145" i="2"/>
  <c r="Q179" i="6" s="1"/>
  <c r="S145" i="2"/>
  <c r="P179" i="6" s="1"/>
  <c r="R145" i="2"/>
  <c r="O179" i="6" s="1"/>
  <c r="Q145" i="2"/>
  <c r="N179" i="6" s="1"/>
  <c r="P145" i="2"/>
  <c r="M179" i="6" s="1"/>
  <c r="O145" i="2"/>
  <c r="L179" i="6" s="1"/>
  <c r="N145" i="2"/>
  <c r="K179" i="6" s="1"/>
  <c r="M145" i="2"/>
  <c r="J179" i="6" s="1"/>
  <c r="L145" i="2"/>
  <c r="I179" i="6" s="1"/>
  <c r="K145" i="2"/>
  <c r="J145" i="2"/>
  <c r="G179" i="6" s="1"/>
  <c r="H145" i="2"/>
  <c r="F145" i="2"/>
  <c r="E145" i="2"/>
  <c r="D145" i="2" s="1"/>
  <c r="Y144" i="2"/>
  <c r="V178" i="6" s="1"/>
  <c r="X144" i="2"/>
  <c r="U178" i="6" s="1"/>
  <c r="W144" i="2"/>
  <c r="T178" i="6" s="1"/>
  <c r="V144" i="2"/>
  <c r="S178" i="6" s="1"/>
  <c r="U144" i="2"/>
  <c r="R178" i="6" s="1"/>
  <c r="T144" i="2"/>
  <c r="Q178" i="6" s="1"/>
  <c r="S144" i="2"/>
  <c r="P178" i="6" s="1"/>
  <c r="R144" i="2"/>
  <c r="O178" i="6" s="1"/>
  <c r="Q144" i="2"/>
  <c r="N178" i="6" s="1"/>
  <c r="P144" i="2"/>
  <c r="M178" i="6" s="1"/>
  <c r="O144" i="2"/>
  <c r="L178" i="6" s="1"/>
  <c r="N144" i="2"/>
  <c r="K178" i="6" s="1"/>
  <c r="M144" i="2"/>
  <c r="J178" i="6" s="1"/>
  <c r="L144" i="2"/>
  <c r="I178" i="6" s="1"/>
  <c r="K144" i="2"/>
  <c r="H178" i="6" s="1"/>
  <c r="J144" i="2"/>
  <c r="I144" i="2"/>
  <c r="F178" i="6" s="1"/>
  <c r="F144" i="2"/>
  <c r="E144" i="2"/>
  <c r="D144" i="2" s="1"/>
  <c r="Y143" i="2"/>
  <c r="V177" i="6" s="1"/>
  <c r="X143" i="2"/>
  <c r="U177" i="6" s="1"/>
  <c r="W143" i="2"/>
  <c r="T177" i="6" s="1"/>
  <c r="V143" i="2"/>
  <c r="S177" i="6" s="1"/>
  <c r="U143" i="2"/>
  <c r="R177" i="6" s="1"/>
  <c r="T143" i="2"/>
  <c r="Q177" i="6" s="1"/>
  <c r="S143" i="2"/>
  <c r="P177" i="6" s="1"/>
  <c r="R143" i="2"/>
  <c r="O177" i="6" s="1"/>
  <c r="Q143" i="2"/>
  <c r="N177" i="6" s="1"/>
  <c r="P143" i="2"/>
  <c r="M177" i="6" s="1"/>
  <c r="O143" i="2"/>
  <c r="L177" i="6" s="1"/>
  <c r="N143" i="2"/>
  <c r="K177" i="6" s="1"/>
  <c r="M143" i="2"/>
  <c r="J177" i="6" s="1"/>
  <c r="L143" i="2"/>
  <c r="I177" i="6" s="1"/>
  <c r="K143" i="2"/>
  <c r="J143" i="2"/>
  <c r="G177" i="6" s="1"/>
  <c r="F143" i="2"/>
  <c r="D143" i="2" s="1"/>
  <c r="E143" i="2"/>
  <c r="Y142" i="2"/>
  <c r="V176" i="6" s="1"/>
  <c r="W17" i="5" s="1"/>
  <c r="X142" i="2"/>
  <c r="U176" i="6" s="1"/>
  <c r="V17" i="5" s="1"/>
  <c r="W142" i="2"/>
  <c r="T176" i="6" s="1"/>
  <c r="U17" i="5" s="1"/>
  <c r="V142" i="2"/>
  <c r="S176" i="6" s="1"/>
  <c r="T17" i="5" s="1"/>
  <c r="U142" i="2"/>
  <c r="R176" i="6" s="1"/>
  <c r="S17" i="5" s="1"/>
  <c r="T142" i="2"/>
  <c r="Q176" i="6" s="1"/>
  <c r="R17" i="5" s="1"/>
  <c r="S142" i="2"/>
  <c r="P176" i="6" s="1"/>
  <c r="Q17" i="5" s="1"/>
  <c r="R142" i="2"/>
  <c r="O176" i="6" s="1"/>
  <c r="P17" i="5" s="1"/>
  <c r="Q142" i="2"/>
  <c r="N176" i="6" s="1"/>
  <c r="O17" i="5" s="1"/>
  <c r="P142" i="2"/>
  <c r="M176" i="6" s="1"/>
  <c r="N17" i="5" s="1"/>
  <c r="O142" i="2"/>
  <c r="L176" i="6" s="1"/>
  <c r="M17" i="5" s="1"/>
  <c r="N142" i="2"/>
  <c r="K176" i="6" s="1"/>
  <c r="L17" i="5" s="1"/>
  <c r="M142" i="2"/>
  <c r="J176" i="6" s="1"/>
  <c r="K17" i="5" s="1"/>
  <c r="L142" i="2"/>
  <c r="I176" i="6" s="1"/>
  <c r="J17" i="5" s="1"/>
  <c r="K142" i="2"/>
  <c r="H176" i="6" s="1"/>
  <c r="I17" i="5" s="1"/>
  <c r="J142" i="2"/>
  <c r="F142" i="2"/>
  <c r="E142" i="2"/>
  <c r="Y141" i="2"/>
  <c r="V175" i="6" s="1"/>
  <c r="X141" i="2"/>
  <c r="U175" i="6" s="1"/>
  <c r="W141" i="2"/>
  <c r="T175" i="6" s="1"/>
  <c r="V141" i="2"/>
  <c r="S175" i="6" s="1"/>
  <c r="U141" i="2"/>
  <c r="R175" i="6" s="1"/>
  <c r="T141" i="2"/>
  <c r="Q175" i="6" s="1"/>
  <c r="S141" i="2"/>
  <c r="P175" i="6" s="1"/>
  <c r="R141" i="2"/>
  <c r="O175" i="6" s="1"/>
  <c r="Q141" i="2"/>
  <c r="N175" i="6" s="1"/>
  <c r="P141" i="2"/>
  <c r="M175" i="6" s="1"/>
  <c r="O141" i="2"/>
  <c r="L175" i="6" s="1"/>
  <c r="N141" i="2"/>
  <c r="K175" i="6" s="1"/>
  <c r="M141" i="2"/>
  <c r="J175" i="6" s="1"/>
  <c r="L141" i="2"/>
  <c r="I175" i="6" s="1"/>
  <c r="K141" i="2"/>
  <c r="J141" i="2"/>
  <c r="G175" i="6" s="1"/>
  <c r="H141" i="2"/>
  <c r="E175" i="6" s="1"/>
  <c r="F141" i="2"/>
  <c r="E141" i="2"/>
  <c r="D141" i="2" s="1"/>
  <c r="Y140" i="2"/>
  <c r="V173" i="6" s="1"/>
  <c r="X140" i="2"/>
  <c r="U173" i="6" s="1"/>
  <c r="W140" i="2"/>
  <c r="T173" i="6" s="1"/>
  <c r="V140" i="2"/>
  <c r="S173" i="6" s="1"/>
  <c r="U140" i="2"/>
  <c r="R173" i="6" s="1"/>
  <c r="T140" i="2"/>
  <c r="Q173" i="6" s="1"/>
  <c r="S140" i="2"/>
  <c r="P173" i="6" s="1"/>
  <c r="R140" i="2"/>
  <c r="O173" i="6" s="1"/>
  <c r="Q140" i="2"/>
  <c r="N173" i="6" s="1"/>
  <c r="P140" i="2"/>
  <c r="M173" i="6" s="1"/>
  <c r="O140" i="2"/>
  <c r="L173" i="6" s="1"/>
  <c r="N140" i="2"/>
  <c r="K173" i="6" s="1"/>
  <c r="M140" i="2"/>
  <c r="J173" i="6" s="1"/>
  <c r="L140" i="2"/>
  <c r="I173" i="6" s="1"/>
  <c r="K140" i="2"/>
  <c r="H173" i="6" s="1"/>
  <c r="J140" i="2"/>
  <c r="F140" i="2"/>
  <c r="E140" i="2"/>
  <c r="D140" i="2" s="1"/>
  <c r="Y139" i="2"/>
  <c r="V172" i="6" s="1"/>
  <c r="X139" i="2"/>
  <c r="U172" i="6" s="1"/>
  <c r="W139" i="2"/>
  <c r="T172" i="6" s="1"/>
  <c r="V139" i="2"/>
  <c r="S172" i="6" s="1"/>
  <c r="U139" i="2"/>
  <c r="R172" i="6" s="1"/>
  <c r="T139" i="2"/>
  <c r="Q172" i="6" s="1"/>
  <c r="S139" i="2"/>
  <c r="P172" i="6" s="1"/>
  <c r="R139" i="2"/>
  <c r="O172" i="6" s="1"/>
  <c r="Q139" i="2"/>
  <c r="N172" i="6" s="1"/>
  <c r="P139" i="2"/>
  <c r="M172" i="6" s="1"/>
  <c r="O139" i="2"/>
  <c r="L172" i="6" s="1"/>
  <c r="N139" i="2"/>
  <c r="K172" i="6" s="1"/>
  <c r="M139" i="2"/>
  <c r="J172" i="6" s="1"/>
  <c r="L139" i="2"/>
  <c r="I172" i="6" s="1"/>
  <c r="K139" i="2"/>
  <c r="J139" i="2"/>
  <c r="G172" i="6" s="1"/>
  <c r="F139" i="2"/>
  <c r="E139" i="2"/>
  <c r="D139" i="2"/>
  <c r="Y138" i="2"/>
  <c r="V171" i="6" s="1"/>
  <c r="X138" i="2"/>
  <c r="U171" i="6" s="1"/>
  <c r="W138" i="2"/>
  <c r="T171" i="6" s="1"/>
  <c r="V138" i="2"/>
  <c r="S171" i="6" s="1"/>
  <c r="U138" i="2"/>
  <c r="R171" i="6" s="1"/>
  <c r="T138" i="2"/>
  <c r="Q171" i="6" s="1"/>
  <c r="S138" i="2"/>
  <c r="P171" i="6" s="1"/>
  <c r="R138" i="2"/>
  <c r="O171" i="6" s="1"/>
  <c r="Q138" i="2"/>
  <c r="N171" i="6" s="1"/>
  <c r="P138" i="2"/>
  <c r="M171" i="6" s="1"/>
  <c r="O138" i="2"/>
  <c r="L171" i="6" s="1"/>
  <c r="N138" i="2"/>
  <c r="K171" i="6" s="1"/>
  <c r="M138" i="2"/>
  <c r="J171" i="6" s="1"/>
  <c r="L138" i="2"/>
  <c r="I171" i="6" s="1"/>
  <c r="K138" i="2"/>
  <c r="H171" i="6" s="1"/>
  <c r="J138" i="2"/>
  <c r="I138" i="2"/>
  <c r="F171" i="6" s="1"/>
  <c r="F138" i="2"/>
  <c r="E138" i="2"/>
  <c r="Y137" i="2"/>
  <c r="V170" i="6" s="1"/>
  <c r="X137" i="2"/>
  <c r="U170" i="6" s="1"/>
  <c r="W137" i="2"/>
  <c r="T170" i="6" s="1"/>
  <c r="V137" i="2"/>
  <c r="S170" i="6" s="1"/>
  <c r="U137" i="2"/>
  <c r="R170" i="6" s="1"/>
  <c r="T137" i="2"/>
  <c r="Q170" i="6" s="1"/>
  <c r="S137" i="2"/>
  <c r="P170" i="6" s="1"/>
  <c r="R137" i="2"/>
  <c r="O170" i="6" s="1"/>
  <c r="Q137" i="2"/>
  <c r="N170" i="6" s="1"/>
  <c r="P137" i="2"/>
  <c r="M170" i="6" s="1"/>
  <c r="O137" i="2"/>
  <c r="L170" i="6" s="1"/>
  <c r="N137" i="2"/>
  <c r="K170" i="6" s="1"/>
  <c r="M137" i="2"/>
  <c r="J170" i="6" s="1"/>
  <c r="L137" i="2"/>
  <c r="I170" i="6" s="1"/>
  <c r="K137" i="2"/>
  <c r="J137" i="2"/>
  <c r="G170" i="6" s="1"/>
  <c r="H137" i="2"/>
  <c r="F137" i="2"/>
  <c r="E137" i="2"/>
  <c r="D137" i="2" s="1"/>
  <c r="Y136" i="2"/>
  <c r="V169" i="6" s="1"/>
  <c r="X136" i="2"/>
  <c r="U169" i="6" s="1"/>
  <c r="W136" i="2"/>
  <c r="T169" i="6" s="1"/>
  <c r="V136" i="2"/>
  <c r="S169" i="6" s="1"/>
  <c r="U136" i="2"/>
  <c r="R169" i="6" s="1"/>
  <c r="T136" i="2"/>
  <c r="Q169" i="6" s="1"/>
  <c r="S136" i="2"/>
  <c r="P169" i="6" s="1"/>
  <c r="R136" i="2"/>
  <c r="O169" i="6" s="1"/>
  <c r="Q136" i="2"/>
  <c r="N169" i="6" s="1"/>
  <c r="P136" i="2"/>
  <c r="M169" i="6" s="1"/>
  <c r="O136" i="2"/>
  <c r="L169" i="6" s="1"/>
  <c r="N136" i="2"/>
  <c r="K169" i="6" s="1"/>
  <c r="M136" i="2"/>
  <c r="J169" i="6" s="1"/>
  <c r="L136" i="2"/>
  <c r="I169" i="6" s="1"/>
  <c r="K136" i="2"/>
  <c r="H169" i="6" s="1"/>
  <c r="J136" i="2"/>
  <c r="I136" i="2"/>
  <c r="F169" i="6" s="1"/>
  <c r="F136" i="2"/>
  <c r="E136" i="2"/>
  <c r="D136" i="2" s="1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I135" i="2" s="1"/>
  <c r="J135" i="2"/>
  <c r="H135" i="2" s="1"/>
  <c r="G135" i="2" s="1"/>
  <c r="F135" i="2"/>
  <c r="D135" i="2" s="1"/>
  <c r="E135" i="2"/>
  <c r="Y134" i="2"/>
  <c r="V167" i="6" s="1"/>
  <c r="X134" i="2"/>
  <c r="U167" i="6" s="1"/>
  <c r="W134" i="2"/>
  <c r="T167" i="6" s="1"/>
  <c r="V134" i="2"/>
  <c r="S167" i="6" s="1"/>
  <c r="U134" i="2"/>
  <c r="R167" i="6" s="1"/>
  <c r="T134" i="2"/>
  <c r="Q167" i="6" s="1"/>
  <c r="S134" i="2"/>
  <c r="P167" i="6" s="1"/>
  <c r="R134" i="2"/>
  <c r="O167" i="6" s="1"/>
  <c r="Q134" i="2"/>
  <c r="N167" i="6" s="1"/>
  <c r="P134" i="2"/>
  <c r="M167" i="6" s="1"/>
  <c r="O134" i="2"/>
  <c r="L167" i="6" s="1"/>
  <c r="N134" i="2"/>
  <c r="K167" i="6" s="1"/>
  <c r="M134" i="2"/>
  <c r="J167" i="6" s="1"/>
  <c r="L134" i="2"/>
  <c r="I167" i="6" s="1"/>
  <c r="K134" i="2"/>
  <c r="H167" i="6" s="1"/>
  <c r="J134" i="2"/>
  <c r="F134" i="2"/>
  <c r="E134" i="2"/>
  <c r="Y133" i="2"/>
  <c r="V166" i="6" s="1"/>
  <c r="X133" i="2"/>
  <c r="U166" i="6" s="1"/>
  <c r="W133" i="2"/>
  <c r="T166" i="6" s="1"/>
  <c r="V133" i="2"/>
  <c r="S166" i="6" s="1"/>
  <c r="U133" i="2"/>
  <c r="R166" i="6" s="1"/>
  <c r="T133" i="2"/>
  <c r="Q166" i="6" s="1"/>
  <c r="S133" i="2"/>
  <c r="P166" i="6" s="1"/>
  <c r="R133" i="2"/>
  <c r="O166" i="6" s="1"/>
  <c r="Q133" i="2"/>
  <c r="N166" i="6" s="1"/>
  <c r="P133" i="2"/>
  <c r="M166" i="6" s="1"/>
  <c r="O133" i="2"/>
  <c r="L166" i="6" s="1"/>
  <c r="N133" i="2"/>
  <c r="K166" i="6" s="1"/>
  <c r="M133" i="2"/>
  <c r="J166" i="6" s="1"/>
  <c r="L133" i="2"/>
  <c r="I166" i="6" s="1"/>
  <c r="K133" i="2"/>
  <c r="J133" i="2"/>
  <c r="G166" i="6" s="1"/>
  <c r="H133" i="2"/>
  <c r="E166" i="6" s="1"/>
  <c r="F133" i="2"/>
  <c r="E133" i="2"/>
  <c r="D133" i="2" s="1"/>
  <c r="Y132" i="2"/>
  <c r="V165" i="6" s="1"/>
  <c r="X132" i="2"/>
  <c r="U165" i="6" s="1"/>
  <c r="W132" i="2"/>
  <c r="T165" i="6" s="1"/>
  <c r="V132" i="2"/>
  <c r="S165" i="6" s="1"/>
  <c r="U132" i="2"/>
  <c r="R165" i="6" s="1"/>
  <c r="T132" i="2"/>
  <c r="Q165" i="6" s="1"/>
  <c r="S132" i="2"/>
  <c r="P165" i="6" s="1"/>
  <c r="R132" i="2"/>
  <c r="O165" i="6" s="1"/>
  <c r="Q132" i="2"/>
  <c r="N165" i="6" s="1"/>
  <c r="P132" i="2"/>
  <c r="M165" i="6" s="1"/>
  <c r="O132" i="2"/>
  <c r="L165" i="6" s="1"/>
  <c r="N132" i="2"/>
  <c r="K165" i="6" s="1"/>
  <c r="M132" i="2"/>
  <c r="J165" i="6" s="1"/>
  <c r="L132" i="2"/>
  <c r="I165" i="6" s="1"/>
  <c r="K132" i="2"/>
  <c r="H165" i="6" s="1"/>
  <c r="J132" i="2"/>
  <c r="F132" i="2"/>
  <c r="E132" i="2"/>
  <c r="D132" i="2" s="1"/>
  <c r="Y131" i="2"/>
  <c r="V164" i="6" s="1"/>
  <c r="X131" i="2"/>
  <c r="U164" i="6" s="1"/>
  <c r="W131" i="2"/>
  <c r="T164" i="6" s="1"/>
  <c r="V131" i="2"/>
  <c r="S164" i="6" s="1"/>
  <c r="U131" i="2"/>
  <c r="R164" i="6" s="1"/>
  <c r="T131" i="2"/>
  <c r="Q164" i="6" s="1"/>
  <c r="S131" i="2"/>
  <c r="P164" i="6" s="1"/>
  <c r="R131" i="2"/>
  <c r="O164" i="6" s="1"/>
  <c r="Q131" i="2"/>
  <c r="N164" i="6" s="1"/>
  <c r="P131" i="2"/>
  <c r="M164" i="6" s="1"/>
  <c r="O131" i="2"/>
  <c r="L164" i="6" s="1"/>
  <c r="N131" i="2"/>
  <c r="K164" i="6" s="1"/>
  <c r="M131" i="2"/>
  <c r="J164" i="6" s="1"/>
  <c r="L131" i="2"/>
  <c r="I164" i="6" s="1"/>
  <c r="K131" i="2"/>
  <c r="J131" i="2"/>
  <c r="G164" i="6" s="1"/>
  <c r="F131" i="2"/>
  <c r="E131" i="2"/>
  <c r="D131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H130" i="2" s="1"/>
  <c r="G130" i="2" s="1"/>
  <c r="I130" i="2"/>
  <c r="F130" i="2"/>
  <c r="E130" i="2"/>
  <c r="Y129" i="2"/>
  <c r="V163" i="6" s="1"/>
  <c r="X129" i="2"/>
  <c r="U163" i="6" s="1"/>
  <c r="W129" i="2"/>
  <c r="T163" i="6" s="1"/>
  <c r="V129" i="2"/>
  <c r="S163" i="6" s="1"/>
  <c r="U129" i="2"/>
  <c r="R163" i="6" s="1"/>
  <c r="T129" i="2"/>
  <c r="Q163" i="6" s="1"/>
  <c r="S129" i="2"/>
  <c r="P163" i="6" s="1"/>
  <c r="R129" i="2"/>
  <c r="O163" i="6" s="1"/>
  <c r="Q129" i="2"/>
  <c r="N163" i="6" s="1"/>
  <c r="P129" i="2"/>
  <c r="M163" i="6" s="1"/>
  <c r="O129" i="2"/>
  <c r="L163" i="6" s="1"/>
  <c r="N129" i="2"/>
  <c r="K163" i="6" s="1"/>
  <c r="M129" i="2"/>
  <c r="J163" i="6" s="1"/>
  <c r="L129" i="2"/>
  <c r="I163" i="6" s="1"/>
  <c r="K129" i="2"/>
  <c r="J129" i="2"/>
  <c r="G163" i="6" s="1"/>
  <c r="H129" i="2"/>
  <c r="F129" i="2"/>
  <c r="E129" i="2"/>
  <c r="D129" i="2" s="1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I128" i="2" s="1"/>
  <c r="L128" i="2"/>
  <c r="K128" i="2"/>
  <c r="J128" i="2"/>
  <c r="F128" i="2"/>
  <c r="E128" i="2"/>
  <c r="D128" i="2" s="1"/>
  <c r="Y127" i="2"/>
  <c r="V162" i="6" s="1"/>
  <c r="X127" i="2"/>
  <c r="U162" i="6" s="1"/>
  <c r="W127" i="2"/>
  <c r="T162" i="6" s="1"/>
  <c r="V127" i="2"/>
  <c r="S162" i="6" s="1"/>
  <c r="U127" i="2"/>
  <c r="R162" i="6" s="1"/>
  <c r="T127" i="2"/>
  <c r="Q162" i="6" s="1"/>
  <c r="S127" i="2"/>
  <c r="P162" i="6" s="1"/>
  <c r="R127" i="2"/>
  <c r="O162" i="6" s="1"/>
  <c r="Q127" i="2"/>
  <c r="N162" i="6" s="1"/>
  <c r="P127" i="2"/>
  <c r="M162" i="6" s="1"/>
  <c r="O127" i="2"/>
  <c r="L162" i="6" s="1"/>
  <c r="N127" i="2"/>
  <c r="K162" i="6" s="1"/>
  <c r="M127" i="2"/>
  <c r="J162" i="6" s="1"/>
  <c r="L127" i="2"/>
  <c r="I162" i="6" s="1"/>
  <c r="K127" i="2"/>
  <c r="J127" i="2"/>
  <c r="G162" i="6" s="1"/>
  <c r="F127" i="2"/>
  <c r="D127" i="2" s="1"/>
  <c r="E127" i="2"/>
  <c r="Y126" i="2"/>
  <c r="V161" i="6" s="1"/>
  <c r="W44" i="5" s="1"/>
  <c r="X126" i="2"/>
  <c r="U161" i="6" s="1"/>
  <c r="V44" i="5" s="1"/>
  <c r="W126" i="2"/>
  <c r="T161" i="6" s="1"/>
  <c r="U44" i="5" s="1"/>
  <c r="V126" i="2"/>
  <c r="S161" i="6" s="1"/>
  <c r="T44" i="5" s="1"/>
  <c r="U126" i="2"/>
  <c r="R161" i="6" s="1"/>
  <c r="S44" i="5" s="1"/>
  <c r="T126" i="2"/>
  <c r="Q161" i="6" s="1"/>
  <c r="R44" i="5" s="1"/>
  <c r="S126" i="2"/>
  <c r="P161" i="6" s="1"/>
  <c r="Q44" i="5" s="1"/>
  <c r="R126" i="2"/>
  <c r="O161" i="6" s="1"/>
  <c r="P44" i="5" s="1"/>
  <c r="Q126" i="2"/>
  <c r="N161" i="6" s="1"/>
  <c r="O44" i="5" s="1"/>
  <c r="P126" i="2"/>
  <c r="M161" i="6" s="1"/>
  <c r="N44" i="5" s="1"/>
  <c r="O126" i="2"/>
  <c r="L161" i="6" s="1"/>
  <c r="M44" i="5" s="1"/>
  <c r="N126" i="2"/>
  <c r="K161" i="6" s="1"/>
  <c r="L44" i="5" s="1"/>
  <c r="M126" i="2"/>
  <c r="J161" i="6" s="1"/>
  <c r="K44" i="5" s="1"/>
  <c r="L126" i="2"/>
  <c r="I161" i="6" s="1"/>
  <c r="J44" i="5" s="1"/>
  <c r="K126" i="2"/>
  <c r="H161" i="6" s="1"/>
  <c r="I44" i="5" s="1"/>
  <c r="J126" i="2"/>
  <c r="F126" i="2"/>
  <c r="E126" i="2"/>
  <c r="Y125" i="2"/>
  <c r="V160" i="6" s="1"/>
  <c r="X125" i="2"/>
  <c r="U160" i="6" s="1"/>
  <c r="W125" i="2"/>
  <c r="T160" i="6" s="1"/>
  <c r="V125" i="2"/>
  <c r="S160" i="6" s="1"/>
  <c r="U125" i="2"/>
  <c r="R160" i="6" s="1"/>
  <c r="T125" i="2"/>
  <c r="Q160" i="6" s="1"/>
  <c r="S125" i="2"/>
  <c r="P160" i="6" s="1"/>
  <c r="R125" i="2"/>
  <c r="O160" i="6" s="1"/>
  <c r="Q125" i="2"/>
  <c r="N160" i="6" s="1"/>
  <c r="P125" i="2"/>
  <c r="M160" i="6" s="1"/>
  <c r="O125" i="2"/>
  <c r="L160" i="6" s="1"/>
  <c r="N125" i="2"/>
  <c r="K160" i="6" s="1"/>
  <c r="M125" i="2"/>
  <c r="J160" i="6" s="1"/>
  <c r="L125" i="2"/>
  <c r="I160" i="6" s="1"/>
  <c r="K125" i="2"/>
  <c r="J125" i="2"/>
  <c r="G160" i="6" s="1"/>
  <c r="H125" i="2"/>
  <c r="E160" i="6" s="1"/>
  <c r="F125" i="2"/>
  <c r="E125" i="2"/>
  <c r="D125" i="2" s="1"/>
  <c r="Y124" i="2"/>
  <c r="V159" i="6" s="1"/>
  <c r="X124" i="2"/>
  <c r="U159" i="6" s="1"/>
  <c r="W124" i="2"/>
  <c r="T159" i="6" s="1"/>
  <c r="V124" i="2"/>
  <c r="S159" i="6" s="1"/>
  <c r="U124" i="2"/>
  <c r="R159" i="6" s="1"/>
  <c r="T124" i="2"/>
  <c r="Q159" i="6" s="1"/>
  <c r="S124" i="2"/>
  <c r="P159" i="6" s="1"/>
  <c r="R124" i="2"/>
  <c r="O159" i="6" s="1"/>
  <c r="Q124" i="2"/>
  <c r="N159" i="6" s="1"/>
  <c r="P124" i="2"/>
  <c r="M159" i="6" s="1"/>
  <c r="O124" i="2"/>
  <c r="L159" i="6" s="1"/>
  <c r="N124" i="2"/>
  <c r="K159" i="6" s="1"/>
  <c r="M124" i="2"/>
  <c r="J159" i="6" s="1"/>
  <c r="L124" i="2"/>
  <c r="I159" i="6" s="1"/>
  <c r="K124" i="2"/>
  <c r="H159" i="6" s="1"/>
  <c r="J124" i="2"/>
  <c r="I124" i="2"/>
  <c r="F159" i="6" s="1"/>
  <c r="F124" i="2"/>
  <c r="E124" i="2"/>
  <c r="D124" i="2" s="1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H123" i="2" s="1"/>
  <c r="F123" i="2"/>
  <c r="D123" i="2" s="1"/>
  <c r="E123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F122" i="2"/>
  <c r="E122" i="2"/>
  <c r="Y121" i="2"/>
  <c r="V157" i="6" s="1"/>
  <c r="X121" i="2"/>
  <c r="U157" i="6" s="1"/>
  <c r="W121" i="2"/>
  <c r="T157" i="6" s="1"/>
  <c r="V121" i="2"/>
  <c r="S157" i="6" s="1"/>
  <c r="U121" i="2"/>
  <c r="R157" i="6" s="1"/>
  <c r="T121" i="2"/>
  <c r="Q157" i="6" s="1"/>
  <c r="S121" i="2"/>
  <c r="P157" i="6" s="1"/>
  <c r="R121" i="2"/>
  <c r="O157" i="6" s="1"/>
  <c r="Q121" i="2"/>
  <c r="N157" i="6" s="1"/>
  <c r="P121" i="2"/>
  <c r="M157" i="6" s="1"/>
  <c r="O121" i="2"/>
  <c r="L157" i="6" s="1"/>
  <c r="N121" i="2"/>
  <c r="K157" i="6" s="1"/>
  <c r="M121" i="2"/>
  <c r="J157" i="6" s="1"/>
  <c r="L121" i="2"/>
  <c r="I157" i="6" s="1"/>
  <c r="K121" i="2"/>
  <c r="J121" i="2"/>
  <c r="G157" i="6" s="1"/>
  <c r="H121" i="2"/>
  <c r="F121" i="2"/>
  <c r="E121" i="2"/>
  <c r="D121" i="2" s="1"/>
  <c r="Y120" i="2"/>
  <c r="V156" i="6" s="1"/>
  <c r="W16" i="5" s="1"/>
  <c r="X120" i="2"/>
  <c r="U156" i="6" s="1"/>
  <c r="V16" i="5" s="1"/>
  <c r="W120" i="2"/>
  <c r="T156" i="6" s="1"/>
  <c r="U16" i="5" s="1"/>
  <c r="V120" i="2"/>
  <c r="S156" i="6" s="1"/>
  <c r="T16" i="5" s="1"/>
  <c r="U120" i="2"/>
  <c r="R156" i="6" s="1"/>
  <c r="S16" i="5" s="1"/>
  <c r="T120" i="2"/>
  <c r="Q156" i="6" s="1"/>
  <c r="R16" i="5" s="1"/>
  <c r="S120" i="2"/>
  <c r="P156" i="6" s="1"/>
  <c r="Q16" i="5" s="1"/>
  <c r="R120" i="2"/>
  <c r="O156" i="6" s="1"/>
  <c r="P16" i="5" s="1"/>
  <c r="Q120" i="2"/>
  <c r="N156" i="6" s="1"/>
  <c r="O16" i="5" s="1"/>
  <c r="P120" i="2"/>
  <c r="M156" i="6" s="1"/>
  <c r="N16" i="5" s="1"/>
  <c r="O120" i="2"/>
  <c r="L156" i="6" s="1"/>
  <c r="M16" i="5" s="1"/>
  <c r="N120" i="2"/>
  <c r="K156" i="6" s="1"/>
  <c r="L16" i="5" s="1"/>
  <c r="M120" i="2"/>
  <c r="J156" i="6" s="1"/>
  <c r="K16" i="5" s="1"/>
  <c r="L120" i="2"/>
  <c r="I156" i="6" s="1"/>
  <c r="J16" i="5" s="1"/>
  <c r="K120" i="2"/>
  <c r="H156" i="6" s="1"/>
  <c r="I16" i="5" s="1"/>
  <c r="J120" i="2"/>
  <c r="F120" i="2"/>
  <c r="E120" i="2"/>
  <c r="D120" i="2" s="1"/>
  <c r="Y119" i="2"/>
  <c r="V155" i="6" s="1"/>
  <c r="X119" i="2"/>
  <c r="U155" i="6" s="1"/>
  <c r="W119" i="2"/>
  <c r="T155" i="6" s="1"/>
  <c r="V119" i="2"/>
  <c r="S155" i="6" s="1"/>
  <c r="U119" i="2"/>
  <c r="R155" i="6" s="1"/>
  <c r="T119" i="2"/>
  <c r="Q155" i="6" s="1"/>
  <c r="S119" i="2"/>
  <c r="P155" i="6" s="1"/>
  <c r="R119" i="2"/>
  <c r="O155" i="6" s="1"/>
  <c r="Q119" i="2"/>
  <c r="N155" i="6" s="1"/>
  <c r="P119" i="2"/>
  <c r="M155" i="6" s="1"/>
  <c r="O119" i="2"/>
  <c r="L155" i="6" s="1"/>
  <c r="N119" i="2"/>
  <c r="K155" i="6" s="1"/>
  <c r="M119" i="2"/>
  <c r="J155" i="6" s="1"/>
  <c r="L119" i="2"/>
  <c r="I155" i="6" s="1"/>
  <c r="K119" i="2"/>
  <c r="J119" i="2"/>
  <c r="G155" i="6" s="1"/>
  <c r="F119" i="2"/>
  <c r="E119" i="2"/>
  <c r="D119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I118" i="2" s="1"/>
  <c r="J118" i="2"/>
  <c r="H118" i="2" s="1"/>
  <c r="F118" i="2"/>
  <c r="E118" i="2"/>
  <c r="Y117" i="2"/>
  <c r="V151" i="6" s="1"/>
  <c r="X117" i="2"/>
  <c r="U151" i="6" s="1"/>
  <c r="W117" i="2"/>
  <c r="T151" i="6" s="1"/>
  <c r="V117" i="2"/>
  <c r="S151" i="6" s="1"/>
  <c r="U117" i="2"/>
  <c r="R151" i="6" s="1"/>
  <c r="T117" i="2"/>
  <c r="Q151" i="6" s="1"/>
  <c r="S117" i="2"/>
  <c r="P151" i="6" s="1"/>
  <c r="R117" i="2"/>
  <c r="O151" i="6" s="1"/>
  <c r="Q117" i="2"/>
  <c r="N151" i="6" s="1"/>
  <c r="P117" i="2"/>
  <c r="M151" i="6" s="1"/>
  <c r="O117" i="2"/>
  <c r="L151" i="6" s="1"/>
  <c r="N117" i="2"/>
  <c r="K151" i="6" s="1"/>
  <c r="M117" i="2"/>
  <c r="J151" i="6" s="1"/>
  <c r="L117" i="2"/>
  <c r="I151" i="6" s="1"/>
  <c r="K117" i="2"/>
  <c r="J117" i="2"/>
  <c r="G151" i="6" s="1"/>
  <c r="H117" i="2"/>
  <c r="E151" i="6" s="1"/>
  <c r="F117" i="2"/>
  <c r="E117" i="2"/>
  <c r="D117" i="2" s="1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H116" i="2" s="1"/>
  <c r="I116" i="2"/>
  <c r="F116" i="2"/>
  <c r="E116" i="2"/>
  <c r="D116" i="2" s="1"/>
  <c r="Y115" i="2"/>
  <c r="V149" i="6" s="1"/>
  <c r="W36" i="5" s="1"/>
  <c r="X115" i="2"/>
  <c r="U149" i="6" s="1"/>
  <c r="V36" i="5" s="1"/>
  <c r="W115" i="2"/>
  <c r="T149" i="6" s="1"/>
  <c r="U36" i="5" s="1"/>
  <c r="V115" i="2"/>
  <c r="S149" i="6" s="1"/>
  <c r="T36" i="5" s="1"/>
  <c r="U115" i="2"/>
  <c r="R149" i="6" s="1"/>
  <c r="S36" i="5" s="1"/>
  <c r="T115" i="2"/>
  <c r="Q149" i="6" s="1"/>
  <c r="R36" i="5" s="1"/>
  <c r="S115" i="2"/>
  <c r="P149" i="6" s="1"/>
  <c r="Q36" i="5" s="1"/>
  <c r="R115" i="2"/>
  <c r="O149" i="6" s="1"/>
  <c r="P36" i="5" s="1"/>
  <c r="Q115" i="2"/>
  <c r="N149" i="6" s="1"/>
  <c r="O36" i="5" s="1"/>
  <c r="P115" i="2"/>
  <c r="M149" i="6" s="1"/>
  <c r="N36" i="5" s="1"/>
  <c r="O115" i="2"/>
  <c r="L149" i="6" s="1"/>
  <c r="M36" i="5" s="1"/>
  <c r="N115" i="2"/>
  <c r="K149" i="6" s="1"/>
  <c r="L36" i="5" s="1"/>
  <c r="M115" i="2"/>
  <c r="J149" i="6" s="1"/>
  <c r="K36" i="5" s="1"/>
  <c r="L115" i="2"/>
  <c r="I149" i="6" s="1"/>
  <c r="J36" i="5" s="1"/>
  <c r="K115" i="2"/>
  <c r="J115" i="2"/>
  <c r="G149" i="6" s="1"/>
  <c r="H36" i="5" s="1"/>
  <c r="F115" i="2"/>
  <c r="D115" i="2" s="1"/>
  <c r="E115" i="2"/>
  <c r="Y114" i="2"/>
  <c r="V148" i="6" s="1"/>
  <c r="X114" i="2"/>
  <c r="U148" i="6" s="1"/>
  <c r="W114" i="2"/>
  <c r="T148" i="6" s="1"/>
  <c r="V114" i="2"/>
  <c r="S148" i="6" s="1"/>
  <c r="U114" i="2"/>
  <c r="R148" i="6" s="1"/>
  <c r="T114" i="2"/>
  <c r="Q148" i="6" s="1"/>
  <c r="S114" i="2"/>
  <c r="P148" i="6" s="1"/>
  <c r="R114" i="2"/>
  <c r="O148" i="6" s="1"/>
  <c r="Q114" i="2"/>
  <c r="N148" i="6" s="1"/>
  <c r="P114" i="2"/>
  <c r="M148" i="6" s="1"/>
  <c r="O114" i="2"/>
  <c r="L148" i="6" s="1"/>
  <c r="N114" i="2"/>
  <c r="K148" i="6" s="1"/>
  <c r="M114" i="2"/>
  <c r="J148" i="6" s="1"/>
  <c r="L114" i="2"/>
  <c r="I148" i="6" s="1"/>
  <c r="K114" i="2"/>
  <c r="H148" i="6" s="1"/>
  <c r="J114" i="2"/>
  <c r="I114" i="2"/>
  <c r="F148" i="6" s="1"/>
  <c r="F114" i="2"/>
  <c r="E114" i="2"/>
  <c r="Y113" i="2"/>
  <c r="V147" i="6" s="1"/>
  <c r="X113" i="2"/>
  <c r="U147" i="6" s="1"/>
  <c r="W113" i="2"/>
  <c r="T147" i="6" s="1"/>
  <c r="V113" i="2"/>
  <c r="S147" i="6" s="1"/>
  <c r="U113" i="2"/>
  <c r="R147" i="6" s="1"/>
  <c r="T113" i="2"/>
  <c r="Q147" i="6" s="1"/>
  <c r="S113" i="2"/>
  <c r="P147" i="6" s="1"/>
  <c r="R113" i="2"/>
  <c r="O147" i="6" s="1"/>
  <c r="Q113" i="2"/>
  <c r="N147" i="6" s="1"/>
  <c r="P113" i="2"/>
  <c r="M147" i="6" s="1"/>
  <c r="O113" i="2"/>
  <c r="L147" i="6" s="1"/>
  <c r="N113" i="2"/>
  <c r="K147" i="6" s="1"/>
  <c r="M113" i="2"/>
  <c r="J147" i="6" s="1"/>
  <c r="L113" i="2"/>
  <c r="I147" i="6" s="1"/>
  <c r="K113" i="2"/>
  <c r="J113" i="2"/>
  <c r="G147" i="6" s="1"/>
  <c r="H113" i="2"/>
  <c r="F113" i="2"/>
  <c r="E113" i="2"/>
  <c r="D113" i="2" s="1"/>
  <c r="Y112" i="2"/>
  <c r="V146" i="6" s="1"/>
  <c r="X112" i="2"/>
  <c r="U146" i="6" s="1"/>
  <c r="W112" i="2"/>
  <c r="T146" i="6" s="1"/>
  <c r="V112" i="2"/>
  <c r="S146" i="6" s="1"/>
  <c r="U112" i="2"/>
  <c r="R146" i="6" s="1"/>
  <c r="T112" i="2"/>
  <c r="Q146" i="6" s="1"/>
  <c r="S112" i="2"/>
  <c r="P146" i="6" s="1"/>
  <c r="R112" i="2"/>
  <c r="O146" i="6" s="1"/>
  <c r="Q112" i="2"/>
  <c r="N146" i="6" s="1"/>
  <c r="P112" i="2"/>
  <c r="M146" i="6" s="1"/>
  <c r="O112" i="2"/>
  <c r="L146" i="6" s="1"/>
  <c r="N112" i="2"/>
  <c r="K146" i="6" s="1"/>
  <c r="M112" i="2"/>
  <c r="J146" i="6" s="1"/>
  <c r="L112" i="2"/>
  <c r="I146" i="6" s="1"/>
  <c r="K112" i="2"/>
  <c r="H146" i="6" s="1"/>
  <c r="J112" i="2"/>
  <c r="F112" i="2"/>
  <c r="E112" i="2"/>
  <c r="Y111" i="2"/>
  <c r="V144" i="6" s="1"/>
  <c r="X111" i="2"/>
  <c r="U144" i="6" s="1"/>
  <c r="W111" i="2"/>
  <c r="T144" i="6" s="1"/>
  <c r="V111" i="2"/>
  <c r="S144" i="6" s="1"/>
  <c r="U111" i="2"/>
  <c r="R144" i="6" s="1"/>
  <c r="T111" i="2"/>
  <c r="Q144" i="6" s="1"/>
  <c r="S111" i="2"/>
  <c r="P144" i="6" s="1"/>
  <c r="R111" i="2"/>
  <c r="O144" i="6" s="1"/>
  <c r="Q111" i="2"/>
  <c r="N144" i="6" s="1"/>
  <c r="P111" i="2"/>
  <c r="M144" i="6" s="1"/>
  <c r="O111" i="2"/>
  <c r="L144" i="6" s="1"/>
  <c r="N111" i="2"/>
  <c r="K144" i="6" s="1"/>
  <c r="M111" i="2"/>
  <c r="J144" i="6" s="1"/>
  <c r="L111" i="2"/>
  <c r="I144" i="6" s="1"/>
  <c r="K111" i="2"/>
  <c r="J111" i="2"/>
  <c r="G144" i="6" s="1"/>
  <c r="F111" i="2"/>
  <c r="E111" i="2"/>
  <c r="D111" i="2"/>
  <c r="Y110" i="2"/>
  <c r="V143" i="6" s="1"/>
  <c r="X110" i="2"/>
  <c r="U143" i="6" s="1"/>
  <c r="W110" i="2"/>
  <c r="T143" i="6" s="1"/>
  <c r="V110" i="2"/>
  <c r="S143" i="6" s="1"/>
  <c r="U110" i="2"/>
  <c r="R143" i="6" s="1"/>
  <c r="T110" i="2"/>
  <c r="Q143" i="6" s="1"/>
  <c r="S110" i="2"/>
  <c r="P143" i="6" s="1"/>
  <c r="R110" i="2"/>
  <c r="O143" i="6" s="1"/>
  <c r="Q110" i="2"/>
  <c r="N143" i="6" s="1"/>
  <c r="P110" i="2"/>
  <c r="M143" i="6" s="1"/>
  <c r="O110" i="2"/>
  <c r="L143" i="6" s="1"/>
  <c r="N110" i="2"/>
  <c r="K143" i="6" s="1"/>
  <c r="M110" i="2"/>
  <c r="J143" i="6" s="1"/>
  <c r="L110" i="2"/>
  <c r="I143" i="6" s="1"/>
  <c r="K110" i="2"/>
  <c r="H143" i="6" s="1"/>
  <c r="J110" i="2"/>
  <c r="F110" i="2"/>
  <c r="E110" i="2"/>
  <c r="Y109" i="2"/>
  <c r="V141" i="6" s="1"/>
  <c r="X109" i="2"/>
  <c r="U141" i="6" s="1"/>
  <c r="W109" i="2"/>
  <c r="T141" i="6" s="1"/>
  <c r="V109" i="2"/>
  <c r="S141" i="6" s="1"/>
  <c r="U109" i="2"/>
  <c r="R141" i="6" s="1"/>
  <c r="T109" i="2"/>
  <c r="Q141" i="6" s="1"/>
  <c r="S109" i="2"/>
  <c r="P141" i="6" s="1"/>
  <c r="R109" i="2"/>
  <c r="O141" i="6" s="1"/>
  <c r="Q109" i="2"/>
  <c r="N141" i="6" s="1"/>
  <c r="P109" i="2"/>
  <c r="M141" i="6" s="1"/>
  <c r="O109" i="2"/>
  <c r="L141" i="6" s="1"/>
  <c r="N109" i="2"/>
  <c r="K141" i="6" s="1"/>
  <c r="M109" i="2"/>
  <c r="J141" i="6" s="1"/>
  <c r="L109" i="2"/>
  <c r="K109" i="2"/>
  <c r="J109" i="2"/>
  <c r="G141" i="6" s="1"/>
  <c r="F109" i="2"/>
  <c r="D109" i="2" s="1"/>
  <c r="E109" i="2"/>
  <c r="Y108" i="2"/>
  <c r="V139" i="6" s="1"/>
  <c r="X108" i="2"/>
  <c r="U139" i="6" s="1"/>
  <c r="W108" i="2"/>
  <c r="T139" i="6" s="1"/>
  <c r="V108" i="2"/>
  <c r="S139" i="6" s="1"/>
  <c r="U108" i="2"/>
  <c r="R139" i="6" s="1"/>
  <c r="T108" i="2"/>
  <c r="Q139" i="6" s="1"/>
  <c r="S108" i="2"/>
  <c r="P139" i="6" s="1"/>
  <c r="R108" i="2"/>
  <c r="O139" i="6" s="1"/>
  <c r="Q108" i="2"/>
  <c r="N139" i="6" s="1"/>
  <c r="P108" i="2"/>
  <c r="M139" i="6" s="1"/>
  <c r="O108" i="2"/>
  <c r="L139" i="6" s="1"/>
  <c r="N108" i="2"/>
  <c r="K139" i="6" s="1"/>
  <c r="M108" i="2"/>
  <c r="J139" i="6" s="1"/>
  <c r="L108" i="2"/>
  <c r="I139" i="6" s="1"/>
  <c r="K108" i="2"/>
  <c r="H139" i="6" s="1"/>
  <c r="J108" i="2"/>
  <c r="I108" i="2"/>
  <c r="F139" i="6" s="1"/>
  <c r="F108" i="2"/>
  <c r="E108" i="2"/>
  <c r="Y107" i="2"/>
  <c r="V138" i="6" s="1"/>
  <c r="X107" i="2"/>
  <c r="U138" i="6" s="1"/>
  <c r="W107" i="2"/>
  <c r="T138" i="6" s="1"/>
  <c r="V107" i="2"/>
  <c r="S138" i="6" s="1"/>
  <c r="U107" i="2"/>
  <c r="R138" i="6" s="1"/>
  <c r="T107" i="2"/>
  <c r="Q138" i="6" s="1"/>
  <c r="S107" i="2"/>
  <c r="P138" i="6" s="1"/>
  <c r="R107" i="2"/>
  <c r="O138" i="6" s="1"/>
  <c r="Q107" i="2"/>
  <c r="N138" i="6" s="1"/>
  <c r="P107" i="2"/>
  <c r="M138" i="6" s="1"/>
  <c r="O107" i="2"/>
  <c r="L138" i="6" s="1"/>
  <c r="N107" i="2"/>
  <c r="K138" i="6" s="1"/>
  <c r="M107" i="2"/>
  <c r="J138" i="6" s="1"/>
  <c r="L107" i="2"/>
  <c r="I138" i="6" s="1"/>
  <c r="K107" i="2"/>
  <c r="J107" i="2"/>
  <c r="G138" i="6" s="1"/>
  <c r="H107" i="2"/>
  <c r="F107" i="2"/>
  <c r="E107" i="2"/>
  <c r="D107" i="2" s="1"/>
  <c r="Y106" i="2"/>
  <c r="V137" i="6" s="1"/>
  <c r="X106" i="2"/>
  <c r="U137" i="6" s="1"/>
  <c r="W106" i="2"/>
  <c r="T137" i="6" s="1"/>
  <c r="V106" i="2"/>
  <c r="S137" i="6" s="1"/>
  <c r="U106" i="2"/>
  <c r="R137" i="6" s="1"/>
  <c r="T106" i="2"/>
  <c r="Q137" i="6" s="1"/>
  <c r="S106" i="2"/>
  <c r="P137" i="6" s="1"/>
  <c r="R106" i="2"/>
  <c r="O137" i="6" s="1"/>
  <c r="Q106" i="2"/>
  <c r="N137" i="6" s="1"/>
  <c r="P106" i="2"/>
  <c r="M137" i="6" s="1"/>
  <c r="O106" i="2"/>
  <c r="L137" i="6" s="1"/>
  <c r="N106" i="2"/>
  <c r="K137" i="6" s="1"/>
  <c r="M106" i="2"/>
  <c r="J137" i="6" s="1"/>
  <c r="L106" i="2"/>
  <c r="I137" i="6" s="1"/>
  <c r="K106" i="2"/>
  <c r="J106" i="2"/>
  <c r="F106" i="2"/>
  <c r="E106" i="2"/>
  <c r="Y105" i="2"/>
  <c r="V133" i="6" s="1"/>
  <c r="X105" i="2"/>
  <c r="U133" i="6" s="1"/>
  <c r="W105" i="2"/>
  <c r="T133" i="6" s="1"/>
  <c r="V105" i="2"/>
  <c r="S133" i="6" s="1"/>
  <c r="U105" i="2"/>
  <c r="R133" i="6" s="1"/>
  <c r="T105" i="2"/>
  <c r="Q133" i="6" s="1"/>
  <c r="S105" i="2"/>
  <c r="P133" i="6" s="1"/>
  <c r="R105" i="2"/>
  <c r="O133" i="6" s="1"/>
  <c r="Q105" i="2"/>
  <c r="N133" i="6" s="1"/>
  <c r="P105" i="2"/>
  <c r="M133" i="6" s="1"/>
  <c r="O105" i="2"/>
  <c r="L133" i="6" s="1"/>
  <c r="N105" i="2"/>
  <c r="K133" i="6" s="1"/>
  <c r="M105" i="2"/>
  <c r="J133" i="6" s="1"/>
  <c r="L105" i="2"/>
  <c r="K105" i="2"/>
  <c r="J105" i="2"/>
  <c r="G133" i="6" s="1"/>
  <c r="F105" i="2"/>
  <c r="E105" i="2"/>
  <c r="D105" i="2" s="1"/>
  <c r="Y104" i="2"/>
  <c r="V131" i="6" s="1"/>
  <c r="W15" i="5" s="1"/>
  <c r="X104" i="2"/>
  <c r="U131" i="6" s="1"/>
  <c r="V15" i="5" s="1"/>
  <c r="W104" i="2"/>
  <c r="T131" i="6" s="1"/>
  <c r="U15" i="5" s="1"/>
  <c r="V104" i="2"/>
  <c r="S131" i="6" s="1"/>
  <c r="T15" i="5" s="1"/>
  <c r="U104" i="2"/>
  <c r="R131" i="6" s="1"/>
  <c r="S15" i="5" s="1"/>
  <c r="T104" i="2"/>
  <c r="Q131" i="6" s="1"/>
  <c r="R15" i="5" s="1"/>
  <c r="S104" i="2"/>
  <c r="P131" i="6" s="1"/>
  <c r="Q15" i="5" s="1"/>
  <c r="R104" i="2"/>
  <c r="O131" i="6" s="1"/>
  <c r="P15" i="5" s="1"/>
  <c r="Q104" i="2"/>
  <c r="N131" i="6" s="1"/>
  <c r="O15" i="5" s="1"/>
  <c r="P104" i="2"/>
  <c r="M131" i="6" s="1"/>
  <c r="N15" i="5" s="1"/>
  <c r="O104" i="2"/>
  <c r="L131" i="6" s="1"/>
  <c r="M15" i="5" s="1"/>
  <c r="N104" i="2"/>
  <c r="K131" i="6" s="1"/>
  <c r="L15" i="5" s="1"/>
  <c r="M104" i="2"/>
  <c r="J131" i="6" s="1"/>
  <c r="K15" i="5" s="1"/>
  <c r="L104" i="2"/>
  <c r="I131" i="6" s="1"/>
  <c r="J15" i="5" s="1"/>
  <c r="K104" i="2"/>
  <c r="H131" i="6" s="1"/>
  <c r="I15" i="5" s="1"/>
  <c r="J104" i="2"/>
  <c r="I104" i="2"/>
  <c r="F131" i="6" s="1"/>
  <c r="G15" i="5" s="1"/>
  <c r="F104" i="2"/>
  <c r="E104" i="2"/>
  <c r="Y103" i="2"/>
  <c r="V130" i="6" s="1"/>
  <c r="X103" i="2"/>
  <c r="U130" i="6" s="1"/>
  <c r="W103" i="2"/>
  <c r="T130" i="6" s="1"/>
  <c r="V103" i="2"/>
  <c r="S130" i="6" s="1"/>
  <c r="U103" i="2"/>
  <c r="R130" i="6" s="1"/>
  <c r="T103" i="2"/>
  <c r="Q130" i="6" s="1"/>
  <c r="S103" i="2"/>
  <c r="P130" i="6" s="1"/>
  <c r="R103" i="2"/>
  <c r="O130" i="6" s="1"/>
  <c r="Q103" i="2"/>
  <c r="N130" i="6" s="1"/>
  <c r="P103" i="2"/>
  <c r="M130" i="6" s="1"/>
  <c r="O103" i="2"/>
  <c r="L130" i="6" s="1"/>
  <c r="N103" i="2"/>
  <c r="K130" i="6" s="1"/>
  <c r="M103" i="2"/>
  <c r="J130" i="6" s="1"/>
  <c r="L103" i="2"/>
  <c r="K103" i="2"/>
  <c r="J103" i="2"/>
  <c r="G130" i="6" s="1"/>
  <c r="F103" i="2"/>
  <c r="E103" i="2"/>
  <c r="D103" i="2" s="1"/>
  <c r="Y102" i="2"/>
  <c r="V129" i="6" s="1"/>
  <c r="X102" i="2"/>
  <c r="U129" i="6" s="1"/>
  <c r="W102" i="2"/>
  <c r="T129" i="6" s="1"/>
  <c r="V102" i="2"/>
  <c r="S129" i="6" s="1"/>
  <c r="U102" i="2"/>
  <c r="R129" i="6" s="1"/>
  <c r="T102" i="2"/>
  <c r="Q129" i="6" s="1"/>
  <c r="S102" i="2"/>
  <c r="P129" i="6" s="1"/>
  <c r="R102" i="2"/>
  <c r="O129" i="6" s="1"/>
  <c r="Q102" i="2"/>
  <c r="N129" i="6" s="1"/>
  <c r="P102" i="2"/>
  <c r="M129" i="6" s="1"/>
  <c r="O102" i="2"/>
  <c r="L129" i="6" s="1"/>
  <c r="N102" i="2"/>
  <c r="K129" i="6" s="1"/>
  <c r="M102" i="2"/>
  <c r="J129" i="6" s="1"/>
  <c r="L102" i="2"/>
  <c r="I129" i="6" s="1"/>
  <c r="K102" i="2"/>
  <c r="J102" i="2"/>
  <c r="F102" i="2"/>
  <c r="E102" i="2"/>
  <c r="Y101" i="2"/>
  <c r="V128" i="6" s="1"/>
  <c r="X101" i="2"/>
  <c r="U128" i="6" s="1"/>
  <c r="W101" i="2"/>
  <c r="T128" i="6" s="1"/>
  <c r="V101" i="2"/>
  <c r="S128" i="6" s="1"/>
  <c r="U101" i="2"/>
  <c r="R128" i="6" s="1"/>
  <c r="T101" i="2"/>
  <c r="Q128" i="6" s="1"/>
  <c r="S101" i="2"/>
  <c r="P128" i="6" s="1"/>
  <c r="R101" i="2"/>
  <c r="O128" i="6" s="1"/>
  <c r="Q101" i="2"/>
  <c r="N128" i="6" s="1"/>
  <c r="P101" i="2"/>
  <c r="M128" i="6" s="1"/>
  <c r="O101" i="2"/>
  <c r="L128" i="6" s="1"/>
  <c r="N101" i="2"/>
  <c r="K128" i="6" s="1"/>
  <c r="M101" i="2"/>
  <c r="J128" i="6" s="1"/>
  <c r="L101" i="2"/>
  <c r="I128" i="6" s="1"/>
  <c r="K101" i="2"/>
  <c r="H128" i="6" s="1"/>
  <c r="J101" i="2"/>
  <c r="F101" i="2"/>
  <c r="E101" i="2"/>
  <c r="D101" i="2" s="1"/>
  <c r="Y100" i="2"/>
  <c r="V127" i="6" s="1"/>
  <c r="X100" i="2"/>
  <c r="U127" i="6" s="1"/>
  <c r="W100" i="2"/>
  <c r="T127" i="6" s="1"/>
  <c r="V100" i="2"/>
  <c r="S127" i="6" s="1"/>
  <c r="U100" i="2"/>
  <c r="R127" i="6" s="1"/>
  <c r="T100" i="2"/>
  <c r="Q127" i="6" s="1"/>
  <c r="S100" i="2"/>
  <c r="P127" i="6" s="1"/>
  <c r="R100" i="2"/>
  <c r="O127" i="6" s="1"/>
  <c r="Q100" i="2"/>
  <c r="N127" i="6" s="1"/>
  <c r="P100" i="2"/>
  <c r="M127" i="6" s="1"/>
  <c r="O100" i="2"/>
  <c r="L127" i="6" s="1"/>
  <c r="N100" i="2"/>
  <c r="K127" i="6" s="1"/>
  <c r="M100" i="2"/>
  <c r="J127" i="6" s="1"/>
  <c r="L100" i="2"/>
  <c r="I127" i="6" s="1"/>
  <c r="K100" i="2"/>
  <c r="J100" i="2"/>
  <c r="F100" i="2"/>
  <c r="E100" i="2"/>
  <c r="Y99" i="2"/>
  <c r="V126" i="6" s="1"/>
  <c r="W43" i="5" s="1"/>
  <c r="X99" i="2"/>
  <c r="U126" i="6" s="1"/>
  <c r="V43" i="5" s="1"/>
  <c r="W99" i="2"/>
  <c r="T126" i="6" s="1"/>
  <c r="U43" i="5" s="1"/>
  <c r="V99" i="2"/>
  <c r="S126" i="6" s="1"/>
  <c r="T43" i="5" s="1"/>
  <c r="U99" i="2"/>
  <c r="R126" i="6" s="1"/>
  <c r="S43" i="5" s="1"/>
  <c r="T99" i="2"/>
  <c r="Q126" i="6" s="1"/>
  <c r="R43" i="5" s="1"/>
  <c r="S99" i="2"/>
  <c r="P126" i="6" s="1"/>
  <c r="Q43" i="5" s="1"/>
  <c r="R99" i="2"/>
  <c r="O126" i="6" s="1"/>
  <c r="P43" i="5" s="1"/>
  <c r="Q99" i="2"/>
  <c r="N126" i="6" s="1"/>
  <c r="O43" i="5" s="1"/>
  <c r="P99" i="2"/>
  <c r="M126" i="6" s="1"/>
  <c r="N43" i="5" s="1"/>
  <c r="O99" i="2"/>
  <c r="L126" i="6" s="1"/>
  <c r="M43" i="5" s="1"/>
  <c r="N99" i="2"/>
  <c r="K126" i="6" s="1"/>
  <c r="L43" i="5" s="1"/>
  <c r="M99" i="2"/>
  <c r="J126" i="6" s="1"/>
  <c r="K43" i="5" s="1"/>
  <c r="L99" i="2"/>
  <c r="I126" i="6" s="1"/>
  <c r="J43" i="5" s="1"/>
  <c r="K99" i="2"/>
  <c r="H126" i="6" s="1"/>
  <c r="I43" i="5" s="1"/>
  <c r="J99" i="2"/>
  <c r="G126" i="6" s="1"/>
  <c r="H43" i="5" s="1"/>
  <c r="I99" i="2"/>
  <c r="F126" i="6" s="1"/>
  <c r="G43" i="5" s="1"/>
  <c r="F99" i="2"/>
  <c r="E99" i="2"/>
  <c r="D99" i="2"/>
  <c r="Y98" i="2"/>
  <c r="V125" i="6" s="1"/>
  <c r="X98" i="2"/>
  <c r="U125" i="6" s="1"/>
  <c r="W98" i="2"/>
  <c r="T125" i="6" s="1"/>
  <c r="V98" i="2"/>
  <c r="S125" i="6" s="1"/>
  <c r="U98" i="2"/>
  <c r="R125" i="6" s="1"/>
  <c r="T98" i="2"/>
  <c r="Q125" i="6" s="1"/>
  <c r="S98" i="2"/>
  <c r="P125" i="6" s="1"/>
  <c r="R98" i="2"/>
  <c r="O125" i="6" s="1"/>
  <c r="Q98" i="2"/>
  <c r="N125" i="6" s="1"/>
  <c r="P98" i="2"/>
  <c r="M125" i="6" s="1"/>
  <c r="O98" i="2"/>
  <c r="L125" i="6" s="1"/>
  <c r="N98" i="2"/>
  <c r="K125" i="6" s="1"/>
  <c r="M98" i="2"/>
  <c r="J125" i="6" s="1"/>
  <c r="L98" i="2"/>
  <c r="I125" i="6" s="1"/>
  <c r="K98" i="2"/>
  <c r="J98" i="2"/>
  <c r="F98" i="2"/>
  <c r="E98" i="2"/>
  <c r="Y97" i="2"/>
  <c r="V124" i="6" s="1"/>
  <c r="X97" i="2"/>
  <c r="U124" i="6" s="1"/>
  <c r="W97" i="2"/>
  <c r="T124" i="6" s="1"/>
  <c r="V97" i="2"/>
  <c r="S124" i="6" s="1"/>
  <c r="U97" i="2"/>
  <c r="R124" i="6" s="1"/>
  <c r="T97" i="2"/>
  <c r="Q124" i="6" s="1"/>
  <c r="S97" i="2"/>
  <c r="P124" i="6" s="1"/>
  <c r="R97" i="2"/>
  <c r="O124" i="6" s="1"/>
  <c r="Q97" i="2"/>
  <c r="N124" i="6" s="1"/>
  <c r="P97" i="2"/>
  <c r="M124" i="6" s="1"/>
  <c r="O97" i="2"/>
  <c r="L124" i="6" s="1"/>
  <c r="N97" i="2"/>
  <c r="K124" i="6" s="1"/>
  <c r="M97" i="2"/>
  <c r="J124" i="6" s="1"/>
  <c r="L97" i="2"/>
  <c r="I124" i="6" s="1"/>
  <c r="K97" i="2"/>
  <c r="H124" i="6" s="1"/>
  <c r="J97" i="2"/>
  <c r="G124" i="6" s="1"/>
  <c r="I97" i="2"/>
  <c r="F124" i="6" s="1"/>
  <c r="H97" i="2"/>
  <c r="F97" i="2"/>
  <c r="E97" i="2"/>
  <c r="D97" i="2"/>
  <c r="Y96" i="2"/>
  <c r="V123" i="6" s="1"/>
  <c r="X96" i="2"/>
  <c r="U123" i="6" s="1"/>
  <c r="W96" i="2"/>
  <c r="T123" i="6" s="1"/>
  <c r="V96" i="2"/>
  <c r="S123" i="6" s="1"/>
  <c r="U96" i="2"/>
  <c r="R123" i="6" s="1"/>
  <c r="T96" i="2"/>
  <c r="Q123" i="6" s="1"/>
  <c r="S96" i="2"/>
  <c r="P123" i="6" s="1"/>
  <c r="R96" i="2"/>
  <c r="O123" i="6" s="1"/>
  <c r="Q96" i="2"/>
  <c r="N123" i="6" s="1"/>
  <c r="P96" i="2"/>
  <c r="M123" i="6" s="1"/>
  <c r="O96" i="2"/>
  <c r="L123" i="6" s="1"/>
  <c r="N96" i="2"/>
  <c r="K123" i="6" s="1"/>
  <c r="M96" i="2"/>
  <c r="J123" i="6" s="1"/>
  <c r="L96" i="2"/>
  <c r="I123" i="6" s="1"/>
  <c r="K96" i="2"/>
  <c r="J96" i="2"/>
  <c r="F96" i="2"/>
  <c r="D96" i="2" s="1"/>
  <c r="E96" i="2"/>
  <c r="Y95" i="2"/>
  <c r="V122" i="6" s="1"/>
  <c r="X95" i="2"/>
  <c r="U122" i="6" s="1"/>
  <c r="W95" i="2"/>
  <c r="T122" i="6" s="1"/>
  <c r="V95" i="2"/>
  <c r="S122" i="6" s="1"/>
  <c r="U95" i="2"/>
  <c r="R122" i="6" s="1"/>
  <c r="T95" i="2"/>
  <c r="Q122" i="6" s="1"/>
  <c r="S95" i="2"/>
  <c r="P122" i="6" s="1"/>
  <c r="R95" i="2"/>
  <c r="O122" i="6" s="1"/>
  <c r="Q95" i="2"/>
  <c r="N122" i="6" s="1"/>
  <c r="P95" i="2"/>
  <c r="M122" i="6" s="1"/>
  <c r="O95" i="2"/>
  <c r="L122" i="6" s="1"/>
  <c r="N95" i="2"/>
  <c r="K122" i="6" s="1"/>
  <c r="M95" i="2"/>
  <c r="J122" i="6" s="1"/>
  <c r="L95" i="2"/>
  <c r="I122" i="6" s="1"/>
  <c r="K95" i="2"/>
  <c r="J95" i="2"/>
  <c r="G122" i="6" s="1"/>
  <c r="F95" i="2"/>
  <c r="E95" i="2"/>
  <c r="D95" i="2" s="1"/>
  <c r="Y94" i="2"/>
  <c r="V121" i="6" s="1"/>
  <c r="X94" i="2"/>
  <c r="U121" i="6" s="1"/>
  <c r="W94" i="2"/>
  <c r="T121" i="6" s="1"/>
  <c r="V94" i="2"/>
  <c r="S121" i="6" s="1"/>
  <c r="U94" i="2"/>
  <c r="R121" i="6" s="1"/>
  <c r="T94" i="2"/>
  <c r="Q121" i="6" s="1"/>
  <c r="S94" i="2"/>
  <c r="P121" i="6" s="1"/>
  <c r="R94" i="2"/>
  <c r="O121" i="6" s="1"/>
  <c r="Q94" i="2"/>
  <c r="N121" i="6" s="1"/>
  <c r="P94" i="2"/>
  <c r="M121" i="6" s="1"/>
  <c r="O94" i="2"/>
  <c r="L121" i="6" s="1"/>
  <c r="N94" i="2"/>
  <c r="K121" i="6" s="1"/>
  <c r="M94" i="2"/>
  <c r="J121" i="6" s="1"/>
  <c r="L94" i="2"/>
  <c r="I121" i="6" s="1"/>
  <c r="K94" i="2"/>
  <c r="J94" i="2"/>
  <c r="F94" i="2"/>
  <c r="E94" i="2"/>
  <c r="D94" i="2" s="1"/>
  <c r="Y93" i="2"/>
  <c r="V120" i="6" s="1"/>
  <c r="X93" i="2"/>
  <c r="U120" i="6" s="1"/>
  <c r="W93" i="2"/>
  <c r="T120" i="6" s="1"/>
  <c r="V93" i="2"/>
  <c r="S120" i="6" s="1"/>
  <c r="U93" i="2"/>
  <c r="R120" i="6" s="1"/>
  <c r="T93" i="2"/>
  <c r="Q120" i="6" s="1"/>
  <c r="S93" i="2"/>
  <c r="P120" i="6" s="1"/>
  <c r="R93" i="2"/>
  <c r="O120" i="6" s="1"/>
  <c r="Q93" i="2"/>
  <c r="N120" i="6" s="1"/>
  <c r="P93" i="2"/>
  <c r="M120" i="6" s="1"/>
  <c r="O93" i="2"/>
  <c r="L120" i="6" s="1"/>
  <c r="N93" i="2"/>
  <c r="K120" i="6" s="1"/>
  <c r="M93" i="2"/>
  <c r="J120" i="6" s="1"/>
  <c r="L93" i="2"/>
  <c r="I120" i="6" s="1"/>
  <c r="K93" i="2"/>
  <c r="J93" i="2"/>
  <c r="F93" i="2"/>
  <c r="E93" i="2"/>
  <c r="D93" i="2"/>
  <c r="Y92" i="2"/>
  <c r="V119" i="6" s="1"/>
  <c r="X92" i="2"/>
  <c r="U119" i="6" s="1"/>
  <c r="W92" i="2"/>
  <c r="T119" i="6" s="1"/>
  <c r="V92" i="2"/>
  <c r="S119" i="6" s="1"/>
  <c r="U92" i="2"/>
  <c r="R119" i="6" s="1"/>
  <c r="T92" i="2"/>
  <c r="Q119" i="6" s="1"/>
  <c r="S92" i="2"/>
  <c r="P119" i="6" s="1"/>
  <c r="R92" i="2"/>
  <c r="O119" i="6" s="1"/>
  <c r="Q92" i="2"/>
  <c r="N119" i="6" s="1"/>
  <c r="P92" i="2"/>
  <c r="M119" i="6" s="1"/>
  <c r="O92" i="2"/>
  <c r="L119" i="6" s="1"/>
  <c r="N92" i="2"/>
  <c r="K119" i="6" s="1"/>
  <c r="M92" i="2"/>
  <c r="J119" i="6" s="1"/>
  <c r="L92" i="2"/>
  <c r="I119" i="6" s="1"/>
  <c r="K92" i="2"/>
  <c r="J92" i="2"/>
  <c r="F92" i="2"/>
  <c r="E92" i="2"/>
  <c r="D92" i="2" s="1"/>
  <c r="Y91" i="2"/>
  <c r="V118" i="6" s="1"/>
  <c r="X91" i="2"/>
  <c r="U118" i="6" s="1"/>
  <c r="W91" i="2"/>
  <c r="T118" i="6" s="1"/>
  <c r="V91" i="2"/>
  <c r="S118" i="6" s="1"/>
  <c r="U91" i="2"/>
  <c r="R118" i="6" s="1"/>
  <c r="T91" i="2"/>
  <c r="Q118" i="6" s="1"/>
  <c r="S91" i="2"/>
  <c r="P118" i="6" s="1"/>
  <c r="R91" i="2"/>
  <c r="O118" i="6" s="1"/>
  <c r="Q91" i="2"/>
  <c r="N118" i="6" s="1"/>
  <c r="P91" i="2"/>
  <c r="M118" i="6" s="1"/>
  <c r="O91" i="2"/>
  <c r="L118" i="6" s="1"/>
  <c r="N91" i="2"/>
  <c r="K118" i="6" s="1"/>
  <c r="M91" i="2"/>
  <c r="J118" i="6" s="1"/>
  <c r="L91" i="2"/>
  <c r="I118" i="6" s="1"/>
  <c r="K91" i="2"/>
  <c r="J91" i="2"/>
  <c r="G118" i="6" s="1"/>
  <c r="H91" i="2"/>
  <c r="F91" i="2"/>
  <c r="E91" i="2"/>
  <c r="D91" i="2"/>
  <c r="Y90" i="2"/>
  <c r="V117" i="6" s="1"/>
  <c r="X90" i="2"/>
  <c r="U117" i="6" s="1"/>
  <c r="W90" i="2"/>
  <c r="T117" i="6" s="1"/>
  <c r="V90" i="2"/>
  <c r="S117" i="6" s="1"/>
  <c r="U90" i="2"/>
  <c r="R117" i="6" s="1"/>
  <c r="T90" i="2"/>
  <c r="Q117" i="6" s="1"/>
  <c r="S90" i="2"/>
  <c r="P117" i="6" s="1"/>
  <c r="R90" i="2"/>
  <c r="O117" i="6" s="1"/>
  <c r="Q90" i="2"/>
  <c r="N117" i="6" s="1"/>
  <c r="P90" i="2"/>
  <c r="M117" i="6" s="1"/>
  <c r="O90" i="2"/>
  <c r="L117" i="6" s="1"/>
  <c r="N90" i="2"/>
  <c r="K117" i="6" s="1"/>
  <c r="M90" i="2"/>
  <c r="J117" i="6" s="1"/>
  <c r="L90" i="2"/>
  <c r="I117" i="6" s="1"/>
  <c r="K90" i="2"/>
  <c r="H117" i="6" s="1"/>
  <c r="J90" i="2"/>
  <c r="I90" i="2"/>
  <c r="F117" i="6" s="1"/>
  <c r="F90" i="2"/>
  <c r="E90" i="2"/>
  <c r="D90" i="2" s="1"/>
  <c r="Y89" i="2"/>
  <c r="V116" i="6" s="1"/>
  <c r="X89" i="2"/>
  <c r="U116" i="6" s="1"/>
  <c r="W89" i="2"/>
  <c r="T116" i="6" s="1"/>
  <c r="V89" i="2"/>
  <c r="S116" i="6" s="1"/>
  <c r="U89" i="2"/>
  <c r="R116" i="6" s="1"/>
  <c r="T89" i="2"/>
  <c r="Q116" i="6" s="1"/>
  <c r="S89" i="2"/>
  <c r="P116" i="6" s="1"/>
  <c r="R89" i="2"/>
  <c r="O116" i="6" s="1"/>
  <c r="Q89" i="2"/>
  <c r="N116" i="6" s="1"/>
  <c r="P89" i="2"/>
  <c r="M116" i="6" s="1"/>
  <c r="O89" i="2"/>
  <c r="L116" i="6" s="1"/>
  <c r="N89" i="2"/>
  <c r="K116" i="6" s="1"/>
  <c r="M89" i="2"/>
  <c r="J116" i="6" s="1"/>
  <c r="L89" i="2"/>
  <c r="I116" i="6" s="1"/>
  <c r="K89" i="2"/>
  <c r="J89" i="2"/>
  <c r="G116" i="6" s="1"/>
  <c r="F89" i="2"/>
  <c r="D89" i="2" s="1"/>
  <c r="E89" i="2"/>
  <c r="Y88" i="2"/>
  <c r="V115" i="6" s="1"/>
  <c r="X88" i="2"/>
  <c r="U115" i="6" s="1"/>
  <c r="W88" i="2"/>
  <c r="T115" i="6" s="1"/>
  <c r="V88" i="2"/>
  <c r="S115" i="6" s="1"/>
  <c r="U88" i="2"/>
  <c r="R115" i="6" s="1"/>
  <c r="T88" i="2"/>
  <c r="Q115" i="6" s="1"/>
  <c r="S88" i="2"/>
  <c r="P115" i="6" s="1"/>
  <c r="R88" i="2"/>
  <c r="O115" i="6" s="1"/>
  <c r="Q88" i="2"/>
  <c r="N115" i="6" s="1"/>
  <c r="P88" i="2"/>
  <c r="M115" i="6" s="1"/>
  <c r="O88" i="2"/>
  <c r="L115" i="6" s="1"/>
  <c r="N88" i="2"/>
  <c r="K115" i="6" s="1"/>
  <c r="M88" i="2"/>
  <c r="J115" i="6" s="1"/>
  <c r="L88" i="2"/>
  <c r="I115" i="6" s="1"/>
  <c r="K88" i="2"/>
  <c r="H115" i="6" s="1"/>
  <c r="J88" i="2"/>
  <c r="I88" i="2"/>
  <c r="F115" i="6" s="1"/>
  <c r="F88" i="2"/>
  <c r="E88" i="2"/>
  <c r="Y87" i="2"/>
  <c r="V114" i="6" s="1"/>
  <c r="W31" i="5" s="1"/>
  <c r="X87" i="2"/>
  <c r="U114" i="6" s="1"/>
  <c r="V31" i="5" s="1"/>
  <c r="W87" i="2"/>
  <c r="T114" i="6" s="1"/>
  <c r="U31" i="5" s="1"/>
  <c r="V87" i="2"/>
  <c r="S114" i="6" s="1"/>
  <c r="T31" i="5" s="1"/>
  <c r="U87" i="2"/>
  <c r="R114" i="6" s="1"/>
  <c r="S31" i="5" s="1"/>
  <c r="T87" i="2"/>
  <c r="Q114" i="6" s="1"/>
  <c r="R31" i="5" s="1"/>
  <c r="S87" i="2"/>
  <c r="P114" i="6" s="1"/>
  <c r="Q31" i="5" s="1"/>
  <c r="R87" i="2"/>
  <c r="O114" i="6" s="1"/>
  <c r="P31" i="5" s="1"/>
  <c r="Q87" i="2"/>
  <c r="N114" i="6" s="1"/>
  <c r="O31" i="5" s="1"/>
  <c r="P87" i="2"/>
  <c r="M114" i="6" s="1"/>
  <c r="N31" i="5" s="1"/>
  <c r="O87" i="2"/>
  <c r="L114" i="6" s="1"/>
  <c r="M31" i="5" s="1"/>
  <c r="N87" i="2"/>
  <c r="K114" i="6" s="1"/>
  <c r="L31" i="5" s="1"/>
  <c r="M87" i="2"/>
  <c r="J114" i="6" s="1"/>
  <c r="K31" i="5" s="1"/>
  <c r="L87" i="2"/>
  <c r="K87" i="2"/>
  <c r="J87" i="2"/>
  <c r="G114" i="6" s="1"/>
  <c r="H31" i="5" s="1"/>
  <c r="F87" i="2"/>
  <c r="E87" i="2"/>
  <c r="Y86" i="2"/>
  <c r="V112" i="6" s="1"/>
  <c r="X86" i="2"/>
  <c r="U112" i="6" s="1"/>
  <c r="W86" i="2"/>
  <c r="T112" i="6" s="1"/>
  <c r="V86" i="2"/>
  <c r="S112" i="6" s="1"/>
  <c r="U86" i="2"/>
  <c r="R112" i="6" s="1"/>
  <c r="T86" i="2"/>
  <c r="Q112" i="6" s="1"/>
  <c r="S86" i="2"/>
  <c r="P112" i="6" s="1"/>
  <c r="R86" i="2"/>
  <c r="O112" i="6" s="1"/>
  <c r="Q86" i="2"/>
  <c r="N112" i="6" s="1"/>
  <c r="P86" i="2"/>
  <c r="M112" i="6" s="1"/>
  <c r="O86" i="2"/>
  <c r="L112" i="6" s="1"/>
  <c r="N86" i="2"/>
  <c r="K112" i="6" s="1"/>
  <c r="M86" i="2"/>
  <c r="J112" i="6" s="1"/>
  <c r="L86" i="2"/>
  <c r="I112" i="6" s="1"/>
  <c r="K86" i="2"/>
  <c r="J86" i="2"/>
  <c r="F86" i="2"/>
  <c r="E86" i="2"/>
  <c r="D86" i="2" s="1"/>
  <c r="Y85" i="2"/>
  <c r="V110" i="6" s="1"/>
  <c r="X85" i="2"/>
  <c r="U110" i="6" s="1"/>
  <c r="W85" i="2"/>
  <c r="T110" i="6" s="1"/>
  <c r="V85" i="2"/>
  <c r="S110" i="6" s="1"/>
  <c r="U85" i="2"/>
  <c r="R110" i="6" s="1"/>
  <c r="T85" i="2"/>
  <c r="Q110" i="6" s="1"/>
  <c r="S85" i="2"/>
  <c r="P110" i="6" s="1"/>
  <c r="R85" i="2"/>
  <c r="O110" i="6" s="1"/>
  <c r="Q85" i="2"/>
  <c r="N110" i="6" s="1"/>
  <c r="P85" i="2"/>
  <c r="M110" i="6" s="1"/>
  <c r="O85" i="2"/>
  <c r="L110" i="6" s="1"/>
  <c r="N85" i="2"/>
  <c r="K110" i="6" s="1"/>
  <c r="M85" i="2"/>
  <c r="J110" i="6" s="1"/>
  <c r="L85" i="2"/>
  <c r="I110" i="6" s="1"/>
  <c r="K85" i="2"/>
  <c r="J85" i="2"/>
  <c r="F85" i="2"/>
  <c r="D85" i="2" s="1"/>
  <c r="E85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I84" i="2" s="1"/>
  <c r="J84" i="2"/>
  <c r="F84" i="2"/>
  <c r="E84" i="2"/>
  <c r="Y83" i="2"/>
  <c r="V105" i="6" s="1"/>
  <c r="X83" i="2"/>
  <c r="U105" i="6" s="1"/>
  <c r="W83" i="2"/>
  <c r="T105" i="6" s="1"/>
  <c r="V83" i="2"/>
  <c r="S105" i="6" s="1"/>
  <c r="U83" i="2"/>
  <c r="R105" i="6" s="1"/>
  <c r="T83" i="2"/>
  <c r="Q105" i="6" s="1"/>
  <c r="S83" i="2"/>
  <c r="P105" i="6" s="1"/>
  <c r="R83" i="2"/>
  <c r="O105" i="6" s="1"/>
  <c r="Q83" i="2"/>
  <c r="N105" i="6" s="1"/>
  <c r="P83" i="2"/>
  <c r="M105" i="6" s="1"/>
  <c r="O83" i="2"/>
  <c r="L105" i="6" s="1"/>
  <c r="N83" i="2"/>
  <c r="K105" i="6" s="1"/>
  <c r="M83" i="2"/>
  <c r="J105" i="6" s="1"/>
  <c r="L83" i="2"/>
  <c r="K83" i="2"/>
  <c r="J83" i="2"/>
  <c r="G105" i="6" s="1"/>
  <c r="F83" i="2"/>
  <c r="E83" i="2"/>
  <c r="D83" i="2"/>
  <c r="Y82" i="2"/>
  <c r="V104" i="6" s="1"/>
  <c r="X82" i="2"/>
  <c r="U104" i="6" s="1"/>
  <c r="W82" i="2"/>
  <c r="T104" i="6" s="1"/>
  <c r="V82" i="2"/>
  <c r="S104" i="6" s="1"/>
  <c r="U82" i="2"/>
  <c r="R104" i="6" s="1"/>
  <c r="T82" i="2"/>
  <c r="Q104" i="6" s="1"/>
  <c r="S82" i="2"/>
  <c r="P104" i="6" s="1"/>
  <c r="R82" i="2"/>
  <c r="O104" i="6" s="1"/>
  <c r="Q82" i="2"/>
  <c r="N104" i="6" s="1"/>
  <c r="P82" i="2"/>
  <c r="M104" i="6" s="1"/>
  <c r="O82" i="2"/>
  <c r="L104" i="6" s="1"/>
  <c r="N82" i="2"/>
  <c r="K104" i="6" s="1"/>
  <c r="M82" i="2"/>
  <c r="J104" i="6" s="1"/>
  <c r="L82" i="2"/>
  <c r="I104" i="6" s="1"/>
  <c r="K82" i="2"/>
  <c r="H104" i="6" s="1"/>
  <c r="J82" i="2"/>
  <c r="I82" i="2"/>
  <c r="F104" i="6" s="1"/>
  <c r="F82" i="2"/>
  <c r="E82" i="2"/>
  <c r="Y81" i="2"/>
  <c r="V102" i="6" s="1"/>
  <c r="X81" i="2"/>
  <c r="U102" i="6" s="1"/>
  <c r="W81" i="2"/>
  <c r="T102" i="6" s="1"/>
  <c r="V81" i="2"/>
  <c r="S102" i="6" s="1"/>
  <c r="U81" i="2"/>
  <c r="R102" i="6" s="1"/>
  <c r="T81" i="2"/>
  <c r="Q102" i="6" s="1"/>
  <c r="S81" i="2"/>
  <c r="P102" i="6" s="1"/>
  <c r="R81" i="2"/>
  <c r="O102" i="6" s="1"/>
  <c r="Q81" i="2"/>
  <c r="N102" i="6" s="1"/>
  <c r="P81" i="2"/>
  <c r="M102" i="6" s="1"/>
  <c r="O81" i="2"/>
  <c r="L102" i="6" s="1"/>
  <c r="N81" i="2"/>
  <c r="K102" i="6" s="1"/>
  <c r="M81" i="2"/>
  <c r="J102" i="6" s="1"/>
  <c r="L81" i="2"/>
  <c r="K81" i="2"/>
  <c r="J81" i="2"/>
  <c r="G102" i="6" s="1"/>
  <c r="F81" i="2"/>
  <c r="E81" i="2"/>
  <c r="D81" i="2" s="1"/>
  <c r="Y80" i="2"/>
  <c r="V100" i="6" s="1"/>
  <c r="X80" i="2"/>
  <c r="U100" i="6" s="1"/>
  <c r="W80" i="2"/>
  <c r="T100" i="6" s="1"/>
  <c r="V80" i="2"/>
  <c r="S100" i="6" s="1"/>
  <c r="U80" i="2"/>
  <c r="R100" i="6" s="1"/>
  <c r="T80" i="2"/>
  <c r="Q100" i="6" s="1"/>
  <c r="S80" i="2"/>
  <c r="P100" i="6" s="1"/>
  <c r="R80" i="2"/>
  <c r="O100" i="6" s="1"/>
  <c r="Q80" i="2"/>
  <c r="N100" i="6" s="1"/>
  <c r="P80" i="2"/>
  <c r="M100" i="6" s="1"/>
  <c r="O80" i="2"/>
  <c r="L100" i="6" s="1"/>
  <c r="N80" i="2"/>
  <c r="K100" i="6" s="1"/>
  <c r="M80" i="2"/>
  <c r="J100" i="6" s="1"/>
  <c r="L80" i="2"/>
  <c r="I100" i="6" s="1"/>
  <c r="K80" i="2"/>
  <c r="J80" i="2"/>
  <c r="F80" i="2"/>
  <c r="E80" i="2"/>
  <c r="D80" i="2" s="1"/>
  <c r="Y79" i="2"/>
  <c r="V99" i="6" s="1"/>
  <c r="X79" i="2"/>
  <c r="U99" i="6" s="1"/>
  <c r="W79" i="2"/>
  <c r="T99" i="6" s="1"/>
  <c r="V79" i="2"/>
  <c r="S99" i="6" s="1"/>
  <c r="U79" i="2"/>
  <c r="R99" i="6" s="1"/>
  <c r="T79" i="2"/>
  <c r="Q99" i="6" s="1"/>
  <c r="S79" i="2"/>
  <c r="P99" i="6" s="1"/>
  <c r="R79" i="2"/>
  <c r="O99" i="6" s="1"/>
  <c r="Q79" i="2"/>
  <c r="N99" i="6" s="1"/>
  <c r="P79" i="2"/>
  <c r="M99" i="6" s="1"/>
  <c r="O79" i="2"/>
  <c r="L99" i="6" s="1"/>
  <c r="N79" i="2"/>
  <c r="K99" i="6" s="1"/>
  <c r="M79" i="2"/>
  <c r="J99" i="6" s="1"/>
  <c r="L79" i="2"/>
  <c r="K79" i="2"/>
  <c r="J79" i="2"/>
  <c r="G99" i="6" s="1"/>
  <c r="F79" i="2"/>
  <c r="D79" i="2" s="1"/>
  <c r="E79" i="2"/>
  <c r="Y78" i="2"/>
  <c r="V98" i="6" s="1"/>
  <c r="X78" i="2"/>
  <c r="U98" i="6" s="1"/>
  <c r="W78" i="2"/>
  <c r="T98" i="6" s="1"/>
  <c r="V78" i="2"/>
  <c r="S98" i="6" s="1"/>
  <c r="U78" i="2"/>
  <c r="R98" i="6" s="1"/>
  <c r="T78" i="2"/>
  <c r="Q98" i="6" s="1"/>
  <c r="S78" i="2"/>
  <c r="P98" i="6" s="1"/>
  <c r="R78" i="2"/>
  <c r="O98" i="6" s="1"/>
  <c r="Q78" i="2"/>
  <c r="N98" i="6" s="1"/>
  <c r="P78" i="2"/>
  <c r="M98" i="6" s="1"/>
  <c r="O78" i="2"/>
  <c r="L98" i="6" s="1"/>
  <c r="N78" i="2"/>
  <c r="K98" i="6" s="1"/>
  <c r="M78" i="2"/>
  <c r="J98" i="6" s="1"/>
  <c r="L78" i="2"/>
  <c r="I98" i="6" s="1"/>
  <c r="K78" i="2"/>
  <c r="H98" i="6" s="1"/>
  <c r="J78" i="2"/>
  <c r="I78" i="2"/>
  <c r="F98" i="6" s="1"/>
  <c r="F78" i="2"/>
  <c r="E78" i="2"/>
  <c r="Y77" i="2"/>
  <c r="V96" i="6" s="1"/>
  <c r="X77" i="2"/>
  <c r="U96" i="6" s="1"/>
  <c r="W77" i="2"/>
  <c r="T96" i="6" s="1"/>
  <c r="V77" i="2"/>
  <c r="S96" i="6" s="1"/>
  <c r="U77" i="2"/>
  <c r="R96" i="6" s="1"/>
  <c r="T77" i="2"/>
  <c r="Q96" i="6" s="1"/>
  <c r="S77" i="2"/>
  <c r="P96" i="6" s="1"/>
  <c r="R77" i="2"/>
  <c r="O96" i="6" s="1"/>
  <c r="Q77" i="2"/>
  <c r="N96" i="6" s="1"/>
  <c r="P77" i="2"/>
  <c r="M96" i="6" s="1"/>
  <c r="O77" i="2"/>
  <c r="L96" i="6" s="1"/>
  <c r="N77" i="2"/>
  <c r="K96" i="6" s="1"/>
  <c r="M77" i="2"/>
  <c r="J96" i="6" s="1"/>
  <c r="L77" i="2"/>
  <c r="I96" i="6" s="1"/>
  <c r="K77" i="2"/>
  <c r="J77" i="2"/>
  <c r="G96" i="6" s="1"/>
  <c r="F77" i="2"/>
  <c r="E77" i="2"/>
  <c r="D77" i="2" s="1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I76" i="2" s="1"/>
  <c r="J76" i="2"/>
  <c r="F76" i="2"/>
  <c r="E76" i="2"/>
  <c r="Y75" i="2"/>
  <c r="V95" i="6" s="1"/>
  <c r="X75" i="2"/>
  <c r="U95" i="6" s="1"/>
  <c r="W75" i="2"/>
  <c r="T95" i="6" s="1"/>
  <c r="V75" i="2"/>
  <c r="S95" i="6" s="1"/>
  <c r="U75" i="2"/>
  <c r="R95" i="6" s="1"/>
  <c r="T75" i="2"/>
  <c r="Q95" i="6" s="1"/>
  <c r="S75" i="2"/>
  <c r="P95" i="6" s="1"/>
  <c r="R75" i="2"/>
  <c r="O95" i="6" s="1"/>
  <c r="Q75" i="2"/>
  <c r="N95" i="6" s="1"/>
  <c r="P75" i="2"/>
  <c r="M95" i="6" s="1"/>
  <c r="O75" i="2"/>
  <c r="L95" i="6" s="1"/>
  <c r="N75" i="2"/>
  <c r="K95" i="6" s="1"/>
  <c r="M75" i="2"/>
  <c r="J95" i="6" s="1"/>
  <c r="L75" i="2"/>
  <c r="K75" i="2"/>
  <c r="J75" i="2"/>
  <c r="G95" i="6" s="1"/>
  <c r="F75" i="2"/>
  <c r="E75" i="2"/>
  <c r="D75" i="2"/>
  <c r="Y74" i="2"/>
  <c r="V93" i="6" s="1"/>
  <c r="X74" i="2"/>
  <c r="U93" i="6" s="1"/>
  <c r="W74" i="2"/>
  <c r="T93" i="6" s="1"/>
  <c r="V74" i="2"/>
  <c r="S93" i="6" s="1"/>
  <c r="U74" i="2"/>
  <c r="R93" i="6" s="1"/>
  <c r="T74" i="2"/>
  <c r="Q93" i="6" s="1"/>
  <c r="S74" i="2"/>
  <c r="P93" i="6" s="1"/>
  <c r="R74" i="2"/>
  <c r="O93" i="6" s="1"/>
  <c r="Q74" i="2"/>
  <c r="N93" i="6" s="1"/>
  <c r="P74" i="2"/>
  <c r="M93" i="6" s="1"/>
  <c r="O74" i="2"/>
  <c r="L93" i="6" s="1"/>
  <c r="N74" i="2"/>
  <c r="K93" i="6" s="1"/>
  <c r="M74" i="2"/>
  <c r="J93" i="6" s="1"/>
  <c r="L74" i="2"/>
  <c r="I93" i="6" s="1"/>
  <c r="K74" i="2"/>
  <c r="H93" i="6" s="1"/>
  <c r="J74" i="2"/>
  <c r="I74" i="2"/>
  <c r="F93" i="6" s="1"/>
  <c r="F74" i="2"/>
  <c r="E74" i="2"/>
  <c r="Y73" i="2"/>
  <c r="V92" i="6" s="1"/>
  <c r="X73" i="2"/>
  <c r="U92" i="6" s="1"/>
  <c r="W73" i="2"/>
  <c r="T92" i="6" s="1"/>
  <c r="V73" i="2"/>
  <c r="S92" i="6" s="1"/>
  <c r="U73" i="2"/>
  <c r="R92" i="6" s="1"/>
  <c r="T73" i="2"/>
  <c r="Q92" i="6" s="1"/>
  <c r="S73" i="2"/>
  <c r="P92" i="6" s="1"/>
  <c r="R73" i="2"/>
  <c r="O92" i="6" s="1"/>
  <c r="Q73" i="2"/>
  <c r="N92" i="6" s="1"/>
  <c r="P73" i="2"/>
  <c r="M92" i="6" s="1"/>
  <c r="O73" i="2"/>
  <c r="L92" i="6" s="1"/>
  <c r="N73" i="2"/>
  <c r="K92" i="6" s="1"/>
  <c r="M73" i="2"/>
  <c r="J92" i="6" s="1"/>
  <c r="L73" i="2"/>
  <c r="K73" i="2"/>
  <c r="J73" i="2"/>
  <c r="G92" i="6" s="1"/>
  <c r="F73" i="2"/>
  <c r="E73" i="2"/>
  <c r="D73" i="2" s="1"/>
  <c r="Y72" i="2"/>
  <c r="V91" i="6" s="1"/>
  <c r="X72" i="2"/>
  <c r="U91" i="6" s="1"/>
  <c r="W72" i="2"/>
  <c r="T91" i="6" s="1"/>
  <c r="V72" i="2"/>
  <c r="S91" i="6" s="1"/>
  <c r="U72" i="2"/>
  <c r="R91" i="6" s="1"/>
  <c r="T72" i="2"/>
  <c r="Q91" i="6" s="1"/>
  <c r="S72" i="2"/>
  <c r="P91" i="6" s="1"/>
  <c r="R72" i="2"/>
  <c r="O91" i="6" s="1"/>
  <c r="Q72" i="2"/>
  <c r="N91" i="6" s="1"/>
  <c r="P72" i="2"/>
  <c r="M91" i="6" s="1"/>
  <c r="O72" i="2"/>
  <c r="L91" i="6" s="1"/>
  <c r="N72" i="2"/>
  <c r="K91" i="6" s="1"/>
  <c r="M72" i="2"/>
  <c r="J91" i="6" s="1"/>
  <c r="L72" i="2"/>
  <c r="I91" i="6" s="1"/>
  <c r="K72" i="2"/>
  <c r="H91" i="6" s="1"/>
  <c r="J72" i="2"/>
  <c r="I72" i="2"/>
  <c r="F91" i="6" s="1"/>
  <c r="F72" i="2"/>
  <c r="E72" i="2"/>
  <c r="D72" i="2" s="1"/>
  <c r="Y71" i="2"/>
  <c r="V89" i="6" s="1"/>
  <c r="X71" i="2"/>
  <c r="U89" i="6" s="1"/>
  <c r="W71" i="2"/>
  <c r="T89" i="6" s="1"/>
  <c r="V71" i="2"/>
  <c r="S89" i="6" s="1"/>
  <c r="U71" i="2"/>
  <c r="R89" i="6" s="1"/>
  <c r="T71" i="2"/>
  <c r="Q89" i="6" s="1"/>
  <c r="S71" i="2"/>
  <c r="P89" i="6" s="1"/>
  <c r="R71" i="2"/>
  <c r="O89" i="6" s="1"/>
  <c r="Q71" i="2"/>
  <c r="N89" i="6" s="1"/>
  <c r="P71" i="2"/>
  <c r="M89" i="6" s="1"/>
  <c r="O71" i="2"/>
  <c r="L89" i="6" s="1"/>
  <c r="N71" i="2"/>
  <c r="K89" i="6" s="1"/>
  <c r="M71" i="2"/>
  <c r="J89" i="6" s="1"/>
  <c r="L71" i="2"/>
  <c r="K71" i="2"/>
  <c r="J71" i="2"/>
  <c r="G89" i="6" s="1"/>
  <c r="F71" i="2"/>
  <c r="E71" i="2"/>
  <c r="D71" i="2" s="1"/>
  <c r="Y70" i="2"/>
  <c r="V88" i="6" s="1"/>
  <c r="X70" i="2"/>
  <c r="U88" i="6" s="1"/>
  <c r="W70" i="2"/>
  <c r="T88" i="6" s="1"/>
  <c r="V70" i="2"/>
  <c r="S88" i="6" s="1"/>
  <c r="U70" i="2"/>
  <c r="R88" i="6" s="1"/>
  <c r="T70" i="2"/>
  <c r="Q88" i="6" s="1"/>
  <c r="S70" i="2"/>
  <c r="P88" i="6" s="1"/>
  <c r="R70" i="2"/>
  <c r="O88" i="6" s="1"/>
  <c r="Q70" i="2"/>
  <c r="N88" i="6" s="1"/>
  <c r="P70" i="2"/>
  <c r="M88" i="6" s="1"/>
  <c r="O70" i="2"/>
  <c r="L88" i="6" s="1"/>
  <c r="N70" i="2"/>
  <c r="K88" i="6" s="1"/>
  <c r="M70" i="2"/>
  <c r="J88" i="6" s="1"/>
  <c r="L70" i="2"/>
  <c r="I88" i="6" s="1"/>
  <c r="K70" i="2"/>
  <c r="H88" i="6" s="1"/>
  <c r="J70" i="2"/>
  <c r="F70" i="2"/>
  <c r="E70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H69" i="2" s="1"/>
  <c r="F69" i="2"/>
  <c r="E69" i="2"/>
  <c r="D69" i="2"/>
  <c r="Y68" i="2"/>
  <c r="V87" i="6" s="1"/>
  <c r="X68" i="2"/>
  <c r="U87" i="6" s="1"/>
  <c r="W68" i="2"/>
  <c r="T87" i="6" s="1"/>
  <c r="V68" i="2"/>
  <c r="S87" i="6" s="1"/>
  <c r="U68" i="2"/>
  <c r="R87" i="6" s="1"/>
  <c r="T68" i="2"/>
  <c r="Q87" i="6" s="1"/>
  <c r="S68" i="2"/>
  <c r="P87" i="6" s="1"/>
  <c r="R68" i="2"/>
  <c r="O87" i="6" s="1"/>
  <c r="Q68" i="2"/>
  <c r="N87" i="6" s="1"/>
  <c r="P68" i="2"/>
  <c r="M87" i="6" s="1"/>
  <c r="O68" i="2"/>
  <c r="L87" i="6" s="1"/>
  <c r="N68" i="2"/>
  <c r="K87" i="6" s="1"/>
  <c r="M68" i="2"/>
  <c r="J87" i="6" s="1"/>
  <c r="L68" i="2"/>
  <c r="I87" i="6" s="1"/>
  <c r="K68" i="2"/>
  <c r="H87" i="6" s="1"/>
  <c r="J68" i="2"/>
  <c r="I68" i="2"/>
  <c r="F87" i="6" s="1"/>
  <c r="F68" i="2"/>
  <c r="E68" i="2"/>
  <c r="Y67" i="2"/>
  <c r="V86" i="6" s="1"/>
  <c r="X67" i="2"/>
  <c r="U86" i="6" s="1"/>
  <c r="W67" i="2"/>
  <c r="T86" i="6" s="1"/>
  <c r="V67" i="2"/>
  <c r="S86" i="6" s="1"/>
  <c r="U67" i="2"/>
  <c r="R86" i="6" s="1"/>
  <c r="T67" i="2"/>
  <c r="Q86" i="6" s="1"/>
  <c r="S67" i="2"/>
  <c r="P86" i="6" s="1"/>
  <c r="R67" i="2"/>
  <c r="O86" i="6" s="1"/>
  <c r="Q67" i="2"/>
  <c r="N86" i="6" s="1"/>
  <c r="P67" i="2"/>
  <c r="M86" i="6" s="1"/>
  <c r="O67" i="2"/>
  <c r="L86" i="6" s="1"/>
  <c r="N67" i="2"/>
  <c r="K86" i="6" s="1"/>
  <c r="M67" i="2"/>
  <c r="J86" i="6" s="1"/>
  <c r="L67" i="2"/>
  <c r="K67" i="2"/>
  <c r="J67" i="2"/>
  <c r="G86" i="6" s="1"/>
  <c r="F67" i="2"/>
  <c r="D67" i="2" s="1"/>
  <c r="E67" i="2"/>
  <c r="Y66" i="2"/>
  <c r="V85" i="6" s="1"/>
  <c r="X66" i="2"/>
  <c r="U85" i="6" s="1"/>
  <c r="W66" i="2"/>
  <c r="T85" i="6" s="1"/>
  <c r="V66" i="2"/>
  <c r="S85" i="6" s="1"/>
  <c r="U66" i="2"/>
  <c r="R85" i="6" s="1"/>
  <c r="T66" i="2"/>
  <c r="Q85" i="6" s="1"/>
  <c r="S66" i="2"/>
  <c r="P85" i="6" s="1"/>
  <c r="R66" i="2"/>
  <c r="O85" i="6" s="1"/>
  <c r="Q66" i="2"/>
  <c r="N85" i="6" s="1"/>
  <c r="P66" i="2"/>
  <c r="M85" i="6" s="1"/>
  <c r="O66" i="2"/>
  <c r="L85" i="6" s="1"/>
  <c r="N66" i="2"/>
  <c r="K85" i="6" s="1"/>
  <c r="M66" i="2"/>
  <c r="J85" i="6" s="1"/>
  <c r="L66" i="2"/>
  <c r="I85" i="6" s="1"/>
  <c r="K66" i="2"/>
  <c r="J66" i="2"/>
  <c r="F66" i="2"/>
  <c r="E66" i="2"/>
  <c r="Y65" i="2"/>
  <c r="V185" i="6" s="1"/>
  <c r="X65" i="2"/>
  <c r="U185" i="6" s="1"/>
  <c r="W65" i="2"/>
  <c r="T185" i="6" s="1"/>
  <c r="V65" i="2"/>
  <c r="S185" i="6" s="1"/>
  <c r="U65" i="2"/>
  <c r="R185" i="6" s="1"/>
  <c r="T65" i="2"/>
  <c r="Q185" i="6" s="1"/>
  <c r="S65" i="2"/>
  <c r="P185" i="6" s="1"/>
  <c r="R65" i="2"/>
  <c r="O185" i="6" s="1"/>
  <c r="Q65" i="2"/>
  <c r="N185" i="6" s="1"/>
  <c r="P65" i="2"/>
  <c r="M185" i="6" s="1"/>
  <c r="O65" i="2"/>
  <c r="L185" i="6" s="1"/>
  <c r="N65" i="2"/>
  <c r="K185" i="6" s="1"/>
  <c r="M65" i="2"/>
  <c r="J185" i="6" s="1"/>
  <c r="L65" i="2"/>
  <c r="K65" i="2"/>
  <c r="J65" i="2"/>
  <c r="G185" i="6" s="1"/>
  <c r="F65" i="2"/>
  <c r="D65" i="2" s="1"/>
  <c r="E65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F64" i="2"/>
  <c r="E64" i="2"/>
  <c r="Y63" i="2"/>
  <c r="V83" i="6" s="1"/>
  <c r="W30" i="5" s="1"/>
  <c r="X63" i="2"/>
  <c r="U83" i="6" s="1"/>
  <c r="V30" i="5" s="1"/>
  <c r="W63" i="2"/>
  <c r="T83" i="6" s="1"/>
  <c r="U30" i="5" s="1"/>
  <c r="V63" i="2"/>
  <c r="S83" i="6" s="1"/>
  <c r="T30" i="5" s="1"/>
  <c r="U63" i="2"/>
  <c r="R83" i="6" s="1"/>
  <c r="S30" i="5" s="1"/>
  <c r="T63" i="2"/>
  <c r="Q83" i="6" s="1"/>
  <c r="R30" i="5" s="1"/>
  <c r="S63" i="2"/>
  <c r="P83" i="6" s="1"/>
  <c r="Q30" i="5" s="1"/>
  <c r="R63" i="2"/>
  <c r="O83" i="6" s="1"/>
  <c r="P30" i="5" s="1"/>
  <c r="Q63" i="2"/>
  <c r="N83" i="6" s="1"/>
  <c r="O30" i="5" s="1"/>
  <c r="P63" i="2"/>
  <c r="M83" i="6" s="1"/>
  <c r="N30" i="5" s="1"/>
  <c r="O63" i="2"/>
  <c r="L83" i="6" s="1"/>
  <c r="M30" i="5" s="1"/>
  <c r="N63" i="2"/>
  <c r="K83" i="6" s="1"/>
  <c r="L30" i="5" s="1"/>
  <c r="M63" i="2"/>
  <c r="J83" i="6" s="1"/>
  <c r="K30" i="5" s="1"/>
  <c r="L63" i="2"/>
  <c r="K63" i="2"/>
  <c r="J63" i="2"/>
  <c r="G83" i="6" s="1"/>
  <c r="H30" i="5" s="1"/>
  <c r="F63" i="2"/>
  <c r="E63" i="2"/>
  <c r="D63" i="2" s="1"/>
  <c r="Y62" i="2"/>
  <c r="V82" i="6" s="1"/>
  <c r="X62" i="2"/>
  <c r="U82" i="6" s="1"/>
  <c r="W62" i="2"/>
  <c r="T82" i="6" s="1"/>
  <c r="V62" i="2"/>
  <c r="S82" i="6" s="1"/>
  <c r="U62" i="2"/>
  <c r="R82" i="6" s="1"/>
  <c r="T62" i="2"/>
  <c r="Q82" i="6" s="1"/>
  <c r="S62" i="2"/>
  <c r="P82" i="6" s="1"/>
  <c r="R62" i="2"/>
  <c r="O82" i="6" s="1"/>
  <c r="Q62" i="2"/>
  <c r="N82" i="6" s="1"/>
  <c r="P62" i="2"/>
  <c r="M82" i="6" s="1"/>
  <c r="O62" i="2"/>
  <c r="L82" i="6" s="1"/>
  <c r="N62" i="2"/>
  <c r="K82" i="6" s="1"/>
  <c r="M62" i="2"/>
  <c r="J82" i="6" s="1"/>
  <c r="L62" i="2"/>
  <c r="I82" i="6" s="1"/>
  <c r="K62" i="2"/>
  <c r="J62" i="2"/>
  <c r="F62" i="2"/>
  <c r="E62" i="2"/>
  <c r="Y61" i="2"/>
  <c r="V81" i="6" s="1"/>
  <c r="X61" i="2"/>
  <c r="U81" i="6" s="1"/>
  <c r="W61" i="2"/>
  <c r="T81" i="6" s="1"/>
  <c r="V61" i="2"/>
  <c r="S81" i="6" s="1"/>
  <c r="U61" i="2"/>
  <c r="R81" i="6" s="1"/>
  <c r="T61" i="2"/>
  <c r="Q81" i="6" s="1"/>
  <c r="S61" i="2"/>
  <c r="P81" i="6" s="1"/>
  <c r="R61" i="2"/>
  <c r="O81" i="6" s="1"/>
  <c r="Q61" i="2"/>
  <c r="N81" i="6" s="1"/>
  <c r="P61" i="2"/>
  <c r="M81" i="6" s="1"/>
  <c r="O61" i="2"/>
  <c r="L81" i="6" s="1"/>
  <c r="N61" i="2"/>
  <c r="K81" i="6" s="1"/>
  <c r="M61" i="2"/>
  <c r="J81" i="6" s="1"/>
  <c r="L61" i="2"/>
  <c r="I81" i="6" s="1"/>
  <c r="K61" i="2"/>
  <c r="J61" i="2"/>
  <c r="G81" i="6" s="1"/>
  <c r="H61" i="2"/>
  <c r="F61" i="2"/>
  <c r="E61" i="2"/>
  <c r="D61" i="2"/>
  <c r="Y60" i="2"/>
  <c r="V78" i="6" s="1"/>
  <c r="X60" i="2"/>
  <c r="U78" i="6" s="1"/>
  <c r="W60" i="2"/>
  <c r="T78" i="6" s="1"/>
  <c r="V60" i="2"/>
  <c r="S78" i="6" s="1"/>
  <c r="U60" i="2"/>
  <c r="R78" i="6" s="1"/>
  <c r="T60" i="2"/>
  <c r="Q78" i="6" s="1"/>
  <c r="S60" i="2"/>
  <c r="P78" i="6" s="1"/>
  <c r="R60" i="2"/>
  <c r="O78" i="6" s="1"/>
  <c r="Q60" i="2"/>
  <c r="N78" i="6" s="1"/>
  <c r="P60" i="2"/>
  <c r="M78" i="6" s="1"/>
  <c r="O60" i="2"/>
  <c r="L78" i="6" s="1"/>
  <c r="N60" i="2"/>
  <c r="K78" i="6" s="1"/>
  <c r="M60" i="2"/>
  <c r="J78" i="6" s="1"/>
  <c r="L60" i="2"/>
  <c r="I78" i="6" s="1"/>
  <c r="K60" i="2"/>
  <c r="H78" i="6" s="1"/>
  <c r="J60" i="2"/>
  <c r="I60" i="2"/>
  <c r="F78" i="6" s="1"/>
  <c r="F60" i="2"/>
  <c r="E60" i="2"/>
  <c r="D60" i="2" s="1"/>
  <c r="Y59" i="2"/>
  <c r="V77" i="6" s="1"/>
  <c r="X59" i="2"/>
  <c r="U77" i="6" s="1"/>
  <c r="W59" i="2"/>
  <c r="T77" i="6" s="1"/>
  <c r="V59" i="2"/>
  <c r="S77" i="6" s="1"/>
  <c r="U59" i="2"/>
  <c r="R77" i="6" s="1"/>
  <c r="T59" i="2"/>
  <c r="Q77" i="6" s="1"/>
  <c r="S59" i="2"/>
  <c r="P77" i="6" s="1"/>
  <c r="R59" i="2"/>
  <c r="O77" i="6" s="1"/>
  <c r="Q59" i="2"/>
  <c r="N77" i="6" s="1"/>
  <c r="P59" i="2"/>
  <c r="M77" i="6" s="1"/>
  <c r="O59" i="2"/>
  <c r="L77" i="6" s="1"/>
  <c r="N59" i="2"/>
  <c r="K77" i="6" s="1"/>
  <c r="M59" i="2"/>
  <c r="J77" i="6" s="1"/>
  <c r="L59" i="2"/>
  <c r="K59" i="2"/>
  <c r="J59" i="2"/>
  <c r="G77" i="6" s="1"/>
  <c r="F59" i="2"/>
  <c r="E59" i="2"/>
  <c r="D59" i="2" s="1"/>
  <c r="Y58" i="2"/>
  <c r="V76" i="6" s="1"/>
  <c r="X58" i="2"/>
  <c r="U76" i="6" s="1"/>
  <c r="W58" i="2"/>
  <c r="T76" i="6" s="1"/>
  <c r="V58" i="2"/>
  <c r="S76" i="6" s="1"/>
  <c r="U58" i="2"/>
  <c r="R76" i="6" s="1"/>
  <c r="T58" i="2"/>
  <c r="Q76" i="6" s="1"/>
  <c r="S58" i="2"/>
  <c r="P76" i="6" s="1"/>
  <c r="R58" i="2"/>
  <c r="O76" i="6" s="1"/>
  <c r="Q58" i="2"/>
  <c r="N76" i="6" s="1"/>
  <c r="P58" i="2"/>
  <c r="M76" i="6" s="1"/>
  <c r="O58" i="2"/>
  <c r="L76" i="6" s="1"/>
  <c r="N58" i="2"/>
  <c r="K76" i="6" s="1"/>
  <c r="M58" i="2"/>
  <c r="J76" i="6" s="1"/>
  <c r="L58" i="2"/>
  <c r="I76" i="6" s="1"/>
  <c r="K58" i="2"/>
  <c r="H76" i="6" s="1"/>
  <c r="J58" i="2"/>
  <c r="F58" i="2"/>
  <c r="E58" i="2"/>
  <c r="Y57" i="2"/>
  <c r="V74" i="6" s="1"/>
  <c r="W10" i="5" s="1"/>
  <c r="X57" i="2"/>
  <c r="U74" i="6" s="1"/>
  <c r="V10" i="5" s="1"/>
  <c r="W57" i="2"/>
  <c r="T74" i="6" s="1"/>
  <c r="U10" i="5" s="1"/>
  <c r="V57" i="2"/>
  <c r="S74" i="6" s="1"/>
  <c r="T10" i="5" s="1"/>
  <c r="U57" i="2"/>
  <c r="R74" i="6" s="1"/>
  <c r="S10" i="5" s="1"/>
  <c r="T57" i="2"/>
  <c r="Q74" i="6" s="1"/>
  <c r="R10" i="5" s="1"/>
  <c r="S57" i="2"/>
  <c r="P74" i="6" s="1"/>
  <c r="Q10" i="5" s="1"/>
  <c r="R57" i="2"/>
  <c r="O74" i="6" s="1"/>
  <c r="P10" i="5" s="1"/>
  <c r="Q57" i="2"/>
  <c r="N74" i="6" s="1"/>
  <c r="O10" i="5" s="1"/>
  <c r="P57" i="2"/>
  <c r="M74" i="6" s="1"/>
  <c r="N10" i="5" s="1"/>
  <c r="O57" i="2"/>
  <c r="L74" i="6" s="1"/>
  <c r="M10" i="5" s="1"/>
  <c r="N57" i="2"/>
  <c r="K74" i="6" s="1"/>
  <c r="L10" i="5" s="1"/>
  <c r="M57" i="2"/>
  <c r="J74" i="6" s="1"/>
  <c r="K10" i="5" s="1"/>
  <c r="L57" i="2"/>
  <c r="K57" i="2"/>
  <c r="J57" i="2"/>
  <c r="G74" i="6" s="1"/>
  <c r="H10" i="5" s="1"/>
  <c r="F57" i="2"/>
  <c r="E57" i="2"/>
  <c r="D57" i="2" s="1"/>
  <c r="Y56" i="2"/>
  <c r="V73" i="6" s="1"/>
  <c r="X56" i="2"/>
  <c r="U73" i="6" s="1"/>
  <c r="W56" i="2"/>
  <c r="T73" i="6" s="1"/>
  <c r="V56" i="2"/>
  <c r="S73" i="6" s="1"/>
  <c r="U56" i="2"/>
  <c r="R73" i="6" s="1"/>
  <c r="T56" i="2"/>
  <c r="Q73" i="6" s="1"/>
  <c r="S56" i="2"/>
  <c r="P73" i="6" s="1"/>
  <c r="R56" i="2"/>
  <c r="O73" i="6" s="1"/>
  <c r="Q56" i="2"/>
  <c r="N73" i="6" s="1"/>
  <c r="P56" i="2"/>
  <c r="M73" i="6" s="1"/>
  <c r="O56" i="2"/>
  <c r="L73" i="6" s="1"/>
  <c r="N56" i="2"/>
  <c r="K73" i="6" s="1"/>
  <c r="M56" i="2"/>
  <c r="J73" i="6" s="1"/>
  <c r="L56" i="2"/>
  <c r="I73" i="6" s="1"/>
  <c r="K56" i="2"/>
  <c r="H73" i="6" s="1"/>
  <c r="J56" i="2"/>
  <c r="F56" i="2"/>
  <c r="E56" i="2"/>
  <c r="D56" i="2" s="1"/>
  <c r="Y55" i="2"/>
  <c r="V70" i="6" s="1"/>
  <c r="X55" i="2"/>
  <c r="U70" i="6" s="1"/>
  <c r="W55" i="2"/>
  <c r="T70" i="6" s="1"/>
  <c r="V55" i="2"/>
  <c r="S70" i="6" s="1"/>
  <c r="U55" i="2"/>
  <c r="R70" i="6" s="1"/>
  <c r="T55" i="2"/>
  <c r="Q70" i="6" s="1"/>
  <c r="S55" i="2"/>
  <c r="P70" i="6" s="1"/>
  <c r="R55" i="2"/>
  <c r="O70" i="6" s="1"/>
  <c r="Q55" i="2"/>
  <c r="N70" i="6" s="1"/>
  <c r="P55" i="2"/>
  <c r="M70" i="6" s="1"/>
  <c r="O55" i="2"/>
  <c r="L70" i="6" s="1"/>
  <c r="N55" i="2"/>
  <c r="K70" i="6" s="1"/>
  <c r="M55" i="2"/>
  <c r="J70" i="6" s="1"/>
  <c r="L55" i="2"/>
  <c r="K55" i="2"/>
  <c r="J55" i="2"/>
  <c r="G70" i="6" s="1"/>
  <c r="F55" i="2"/>
  <c r="E55" i="2"/>
  <c r="D55" i="2" s="1"/>
  <c r="Y54" i="2"/>
  <c r="V69" i="6" s="1"/>
  <c r="X54" i="2"/>
  <c r="U69" i="6" s="1"/>
  <c r="W54" i="2"/>
  <c r="T69" i="6" s="1"/>
  <c r="V54" i="2"/>
  <c r="S69" i="6" s="1"/>
  <c r="U54" i="2"/>
  <c r="R69" i="6" s="1"/>
  <c r="T54" i="2"/>
  <c r="Q69" i="6" s="1"/>
  <c r="S54" i="2"/>
  <c r="P69" i="6" s="1"/>
  <c r="R54" i="2"/>
  <c r="O69" i="6" s="1"/>
  <c r="Q54" i="2"/>
  <c r="N69" i="6" s="1"/>
  <c r="P54" i="2"/>
  <c r="M69" i="6" s="1"/>
  <c r="O54" i="2"/>
  <c r="L69" i="6" s="1"/>
  <c r="N54" i="2"/>
  <c r="K69" i="6" s="1"/>
  <c r="M54" i="2"/>
  <c r="J69" i="6" s="1"/>
  <c r="L54" i="2"/>
  <c r="I69" i="6" s="1"/>
  <c r="K54" i="2"/>
  <c r="H69" i="6" s="1"/>
  <c r="J54" i="2"/>
  <c r="I54" i="2"/>
  <c r="F69" i="6" s="1"/>
  <c r="F54" i="2"/>
  <c r="E54" i="2"/>
  <c r="Y53" i="2"/>
  <c r="V68" i="6" s="1"/>
  <c r="W42" i="5" s="1"/>
  <c r="X53" i="2"/>
  <c r="U68" i="6" s="1"/>
  <c r="V42" i="5" s="1"/>
  <c r="W53" i="2"/>
  <c r="T68" i="6" s="1"/>
  <c r="U42" i="5" s="1"/>
  <c r="V53" i="2"/>
  <c r="S68" i="6" s="1"/>
  <c r="T42" i="5" s="1"/>
  <c r="U53" i="2"/>
  <c r="R68" i="6" s="1"/>
  <c r="S42" i="5" s="1"/>
  <c r="T53" i="2"/>
  <c r="Q68" i="6" s="1"/>
  <c r="R42" i="5" s="1"/>
  <c r="S53" i="2"/>
  <c r="P68" i="6" s="1"/>
  <c r="Q42" i="5" s="1"/>
  <c r="R53" i="2"/>
  <c r="O68" i="6" s="1"/>
  <c r="P42" i="5" s="1"/>
  <c r="Q53" i="2"/>
  <c r="N68" i="6" s="1"/>
  <c r="O42" i="5" s="1"/>
  <c r="P53" i="2"/>
  <c r="M68" i="6" s="1"/>
  <c r="N42" i="5" s="1"/>
  <c r="O53" i="2"/>
  <c r="L68" i="6" s="1"/>
  <c r="M42" i="5" s="1"/>
  <c r="N53" i="2"/>
  <c r="K68" i="6" s="1"/>
  <c r="L42" i="5" s="1"/>
  <c r="M53" i="2"/>
  <c r="J68" i="6" s="1"/>
  <c r="K42" i="5" s="1"/>
  <c r="L53" i="2"/>
  <c r="I68" i="6" s="1"/>
  <c r="J42" i="5" s="1"/>
  <c r="K53" i="2"/>
  <c r="J53" i="2"/>
  <c r="F53" i="2"/>
  <c r="E53" i="2"/>
  <c r="D53" i="2"/>
  <c r="Y52" i="2"/>
  <c r="V66" i="6" s="1"/>
  <c r="X52" i="2"/>
  <c r="U66" i="6" s="1"/>
  <c r="W52" i="2"/>
  <c r="T66" i="6" s="1"/>
  <c r="V52" i="2"/>
  <c r="S66" i="6" s="1"/>
  <c r="U52" i="2"/>
  <c r="R66" i="6" s="1"/>
  <c r="T52" i="2"/>
  <c r="Q66" i="6" s="1"/>
  <c r="S52" i="2"/>
  <c r="P66" i="6" s="1"/>
  <c r="R52" i="2"/>
  <c r="O66" i="6" s="1"/>
  <c r="Q52" i="2"/>
  <c r="N66" i="6" s="1"/>
  <c r="P52" i="2"/>
  <c r="M66" i="6" s="1"/>
  <c r="O52" i="2"/>
  <c r="L66" i="6" s="1"/>
  <c r="N52" i="2"/>
  <c r="K66" i="6" s="1"/>
  <c r="M52" i="2"/>
  <c r="J66" i="6" s="1"/>
  <c r="L52" i="2"/>
  <c r="I66" i="6" s="1"/>
  <c r="K52" i="2"/>
  <c r="J52" i="2"/>
  <c r="F52" i="2"/>
  <c r="E52" i="2"/>
  <c r="D52" i="2" s="1"/>
  <c r="Y51" i="2"/>
  <c r="V64" i="6" s="1"/>
  <c r="X51" i="2"/>
  <c r="U64" i="6" s="1"/>
  <c r="W51" i="2"/>
  <c r="T64" i="6" s="1"/>
  <c r="V51" i="2"/>
  <c r="S64" i="6" s="1"/>
  <c r="U51" i="2"/>
  <c r="R64" i="6" s="1"/>
  <c r="T51" i="2"/>
  <c r="Q64" i="6" s="1"/>
  <c r="S51" i="2"/>
  <c r="P64" i="6" s="1"/>
  <c r="R51" i="2"/>
  <c r="O64" i="6" s="1"/>
  <c r="Q51" i="2"/>
  <c r="N64" i="6" s="1"/>
  <c r="P51" i="2"/>
  <c r="M64" i="6" s="1"/>
  <c r="O51" i="2"/>
  <c r="L64" i="6" s="1"/>
  <c r="N51" i="2"/>
  <c r="K64" i="6" s="1"/>
  <c r="M51" i="2"/>
  <c r="J64" i="6" s="1"/>
  <c r="L51" i="2"/>
  <c r="K51" i="2"/>
  <c r="J51" i="2"/>
  <c r="G64" i="6" s="1"/>
  <c r="F51" i="2"/>
  <c r="D51" i="2" s="1"/>
  <c r="E51" i="2"/>
  <c r="Y50" i="2"/>
  <c r="V63" i="6" s="1"/>
  <c r="X50" i="2"/>
  <c r="U63" i="6" s="1"/>
  <c r="W50" i="2"/>
  <c r="T63" i="6" s="1"/>
  <c r="V50" i="2"/>
  <c r="S63" i="6" s="1"/>
  <c r="U50" i="2"/>
  <c r="R63" i="6" s="1"/>
  <c r="T50" i="2"/>
  <c r="Q63" i="6" s="1"/>
  <c r="S50" i="2"/>
  <c r="P63" i="6" s="1"/>
  <c r="R50" i="2"/>
  <c r="O63" i="6" s="1"/>
  <c r="Q50" i="2"/>
  <c r="N63" i="6" s="1"/>
  <c r="P50" i="2"/>
  <c r="M63" i="6" s="1"/>
  <c r="O50" i="2"/>
  <c r="L63" i="6" s="1"/>
  <c r="N50" i="2"/>
  <c r="K63" i="6" s="1"/>
  <c r="M50" i="2"/>
  <c r="J63" i="6" s="1"/>
  <c r="L50" i="2"/>
  <c r="I63" i="6" s="1"/>
  <c r="K50" i="2"/>
  <c r="H63" i="6" s="1"/>
  <c r="J50" i="2"/>
  <c r="I50" i="2"/>
  <c r="F63" i="6" s="1"/>
  <c r="F50" i="2"/>
  <c r="E50" i="2"/>
  <c r="Y49" i="2"/>
  <c r="V62" i="6" s="1"/>
  <c r="X49" i="2"/>
  <c r="U62" i="6" s="1"/>
  <c r="W49" i="2"/>
  <c r="T62" i="6" s="1"/>
  <c r="V49" i="2"/>
  <c r="S62" i="6" s="1"/>
  <c r="U49" i="2"/>
  <c r="R62" i="6" s="1"/>
  <c r="T49" i="2"/>
  <c r="Q62" i="6" s="1"/>
  <c r="S49" i="2"/>
  <c r="P62" i="6" s="1"/>
  <c r="R49" i="2"/>
  <c r="O62" i="6" s="1"/>
  <c r="Q49" i="2"/>
  <c r="N62" i="6" s="1"/>
  <c r="P49" i="2"/>
  <c r="M62" i="6" s="1"/>
  <c r="O49" i="2"/>
  <c r="L62" i="6" s="1"/>
  <c r="N49" i="2"/>
  <c r="K62" i="6" s="1"/>
  <c r="M49" i="2"/>
  <c r="J62" i="6" s="1"/>
  <c r="L49" i="2"/>
  <c r="K49" i="2"/>
  <c r="J49" i="2"/>
  <c r="G62" i="6" s="1"/>
  <c r="F49" i="2"/>
  <c r="E49" i="2"/>
  <c r="D49" i="2" s="1"/>
  <c r="Y48" i="2"/>
  <c r="V61" i="6" s="1"/>
  <c r="X48" i="2"/>
  <c r="U61" i="6" s="1"/>
  <c r="W48" i="2"/>
  <c r="T61" i="6" s="1"/>
  <c r="V48" i="2"/>
  <c r="S61" i="6" s="1"/>
  <c r="U48" i="2"/>
  <c r="R61" i="6" s="1"/>
  <c r="T48" i="2"/>
  <c r="Q61" i="6" s="1"/>
  <c r="S48" i="2"/>
  <c r="P61" i="6" s="1"/>
  <c r="R48" i="2"/>
  <c r="O61" i="6" s="1"/>
  <c r="Q48" i="2"/>
  <c r="N61" i="6" s="1"/>
  <c r="P48" i="2"/>
  <c r="M61" i="6" s="1"/>
  <c r="O48" i="2"/>
  <c r="L61" i="6" s="1"/>
  <c r="N48" i="2"/>
  <c r="K61" i="6" s="1"/>
  <c r="M48" i="2"/>
  <c r="J61" i="6" s="1"/>
  <c r="L48" i="2"/>
  <c r="I61" i="6" s="1"/>
  <c r="K48" i="2"/>
  <c r="J48" i="2"/>
  <c r="F48" i="2"/>
  <c r="E48" i="2"/>
  <c r="Y47" i="2"/>
  <c r="V60" i="6" s="1"/>
  <c r="X47" i="2"/>
  <c r="U60" i="6" s="1"/>
  <c r="W47" i="2"/>
  <c r="T60" i="6" s="1"/>
  <c r="V47" i="2"/>
  <c r="S60" i="6" s="1"/>
  <c r="U47" i="2"/>
  <c r="R60" i="6" s="1"/>
  <c r="T47" i="2"/>
  <c r="Q60" i="6" s="1"/>
  <c r="S47" i="2"/>
  <c r="P60" i="6" s="1"/>
  <c r="R47" i="2"/>
  <c r="O60" i="6" s="1"/>
  <c r="Q47" i="2"/>
  <c r="N60" i="6" s="1"/>
  <c r="P47" i="2"/>
  <c r="M60" i="6" s="1"/>
  <c r="O47" i="2"/>
  <c r="L60" i="6" s="1"/>
  <c r="N47" i="2"/>
  <c r="K60" i="6" s="1"/>
  <c r="M47" i="2"/>
  <c r="J60" i="6" s="1"/>
  <c r="L47" i="2"/>
  <c r="K47" i="2"/>
  <c r="J47" i="2"/>
  <c r="G60" i="6" s="1"/>
  <c r="F47" i="2"/>
  <c r="E47" i="2"/>
  <c r="D47" i="2"/>
  <c r="Y46" i="2"/>
  <c r="V59" i="6" s="1"/>
  <c r="X46" i="2"/>
  <c r="U59" i="6" s="1"/>
  <c r="W46" i="2"/>
  <c r="T59" i="6" s="1"/>
  <c r="V46" i="2"/>
  <c r="S59" i="6" s="1"/>
  <c r="U46" i="2"/>
  <c r="R59" i="6" s="1"/>
  <c r="T46" i="2"/>
  <c r="Q59" i="6" s="1"/>
  <c r="S46" i="2"/>
  <c r="P59" i="6" s="1"/>
  <c r="R46" i="2"/>
  <c r="O59" i="6" s="1"/>
  <c r="Q46" i="2"/>
  <c r="N59" i="6" s="1"/>
  <c r="P46" i="2"/>
  <c r="M59" i="6" s="1"/>
  <c r="O46" i="2"/>
  <c r="L59" i="6" s="1"/>
  <c r="N46" i="2"/>
  <c r="K59" i="6" s="1"/>
  <c r="M46" i="2"/>
  <c r="J59" i="6" s="1"/>
  <c r="L46" i="2"/>
  <c r="I59" i="6" s="1"/>
  <c r="K46" i="2"/>
  <c r="H59" i="6" s="1"/>
  <c r="J46" i="2"/>
  <c r="I46" i="2"/>
  <c r="F59" i="6" s="1"/>
  <c r="F46" i="2"/>
  <c r="E46" i="2"/>
  <c r="Y45" i="2"/>
  <c r="V54" i="6" s="1"/>
  <c r="W39" i="5" s="1"/>
  <c r="X45" i="2"/>
  <c r="U54" i="6" s="1"/>
  <c r="V39" i="5" s="1"/>
  <c r="W45" i="2"/>
  <c r="T54" i="6" s="1"/>
  <c r="U39" i="5" s="1"/>
  <c r="V45" i="2"/>
  <c r="S54" i="6" s="1"/>
  <c r="T39" i="5" s="1"/>
  <c r="U45" i="2"/>
  <c r="R54" i="6" s="1"/>
  <c r="S39" i="5" s="1"/>
  <c r="T45" i="2"/>
  <c r="Q54" i="6" s="1"/>
  <c r="R39" i="5" s="1"/>
  <c r="S45" i="2"/>
  <c r="P54" i="6" s="1"/>
  <c r="Q39" i="5" s="1"/>
  <c r="R45" i="2"/>
  <c r="O54" i="6" s="1"/>
  <c r="P39" i="5" s="1"/>
  <c r="Q45" i="2"/>
  <c r="N54" i="6" s="1"/>
  <c r="O39" i="5" s="1"/>
  <c r="P45" i="2"/>
  <c r="M54" i="6" s="1"/>
  <c r="N39" i="5" s="1"/>
  <c r="O45" i="2"/>
  <c r="L54" i="6" s="1"/>
  <c r="M39" i="5" s="1"/>
  <c r="N45" i="2"/>
  <c r="K54" i="6" s="1"/>
  <c r="L39" i="5" s="1"/>
  <c r="M45" i="2"/>
  <c r="J54" i="6" s="1"/>
  <c r="K39" i="5" s="1"/>
  <c r="L45" i="2"/>
  <c r="I54" i="6" s="1"/>
  <c r="J39" i="5" s="1"/>
  <c r="K45" i="2"/>
  <c r="J45" i="2"/>
  <c r="G54" i="6" s="1"/>
  <c r="H39" i="5" s="1"/>
  <c r="H45" i="2"/>
  <c r="F45" i="2"/>
  <c r="E45" i="2"/>
  <c r="D45" i="2" s="1"/>
  <c r="Y44" i="2"/>
  <c r="V53" i="6" s="1"/>
  <c r="X44" i="2"/>
  <c r="U53" i="6" s="1"/>
  <c r="W44" i="2"/>
  <c r="T53" i="6" s="1"/>
  <c r="V44" i="2"/>
  <c r="S53" i="6" s="1"/>
  <c r="U44" i="2"/>
  <c r="R53" i="6" s="1"/>
  <c r="T44" i="2"/>
  <c r="Q53" i="6" s="1"/>
  <c r="S44" i="2"/>
  <c r="P53" i="6" s="1"/>
  <c r="R44" i="2"/>
  <c r="O53" i="6" s="1"/>
  <c r="Q44" i="2"/>
  <c r="N53" i="6" s="1"/>
  <c r="P44" i="2"/>
  <c r="M53" i="6" s="1"/>
  <c r="O44" i="2"/>
  <c r="L53" i="6" s="1"/>
  <c r="N44" i="2"/>
  <c r="K53" i="6" s="1"/>
  <c r="M44" i="2"/>
  <c r="J53" i="6" s="1"/>
  <c r="L44" i="2"/>
  <c r="I53" i="6" s="1"/>
  <c r="K44" i="2"/>
  <c r="H53" i="6" s="1"/>
  <c r="J44" i="2"/>
  <c r="I44" i="2"/>
  <c r="F53" i="6" s="1"/>
  <c r="F44" i="2"/>
  <c r="E44" i="2"/>
  <c r="Y43" i="2"/>
  <c r="V52" i="6" s="1"/>
  <c r="X43" i="2"/>
  <c r="U52" i="6" s="1"/>
  <c r="W43" i="2"/>
  <c r="T52" i="6" s="1"/>
  <c r="V43" i="2"/>
  <c r="S52" i="6" s="1"/>
  <c r="U43" i="2"/>
  <c r="R52" i="6" s="1"/>
  <c r="T43" i="2"/>
  <c r="Q52" i="6" s="1"/>
  <c r="S43" i="2"/>
  <c r="P52" i="6" s="1"/>
  <c r="R43" i="2"/>
  <c r="O52" i="6" s="1"/>
  <c r="Q43" i="2"/>
  <c r="N52" i="6" s="1"/>
  <c r="P43" i="2"/>
  <c r="M52" i="6" s="1"/>
  <c r="O43" i="2"/>
  <c r="L52" i="6" s="1"/>
  <c r="N43" i="2"/>
  <c r="K52" i="6" s="1"/>
  <c r="M43" i="2"/>
  <c r="J52" i="6" s="1"/>
  <c r="L43" i="2"/>
  <c r="I52" i="6" s="1"/>
  <c r="K43" i="2"/>
  <c r="J43" i="2"/>
  <c r="F43" i="2"/>
  <c r="E43" i="2"/>
  <c r="D43" i="2"/>
  <c r="Y42" i="2"/>
  <c r="V51" i="6" s="1"/>
  <c r="X42" i="2"/>
  <c r="U51" i="6" s="1"/>
  <c r="W42" i="2"/>
  <c r="T51" i="6" s="1"/>
  <c r="V42" i="2"/>
  <c r="S51" i="6" s="1"/>
  <c r="U42" i="2"/>
  <c r="R51" i="6" s="1"/>
  <c r="T42" i="2"/>
  <c r="Q51" i="6" s="1"/>
  <c r="S42" i="2"/>
  <c r="P51" i="6" s="1"/>
  <c r="R42" i="2"/>
  <c r="O51" i="6" s="1"/>
  <c r="Q42" i="2"/>
  <c r="N51" i="6" s="1"/>
  <c r="P42" i="2"/>
  <c r="M51" i="6" s="1"/>
  <c r="O42" i="2"/>
  <c r="L51" i="6" s="1"/>
  <c r="N42" i="2"/>
  <c r="K51" i="6" s="1"/>
  <c r="M42" i="2"/>
  <c r="J51" i="6" s="1"/>
  <c r="L42" i="2"/>
  <c r="I51" i="6" s="1"/>
  <c r="K42" i="2"/>
  <c r="J42" i="2"/>
  <c r="F42" i="2"/>
  <c r="E42" i="2"/>
  <c r="Y41" i="2"/>
  <c r="V50" i="6" s="1"/>
  <c r="W29" i="5" s="1"/>
  <c r="X41" i="2"/>
  <c r="U50" i="6" s="1"/>
  <c r="V29" i="5" s="1"/>
  <c r="W41" i="2"/>
  <c r="T50" i="6" s="1"/>
  <c r="U29" i="5" s="1"/>
  <c r="V41" i="2"/>
  <c r="S50" i="6" s="1"/>
  <c r="T29" i="5" s="1"/>
  <c r="U41" i="2"/>
  <c r="R50" i="6" s="1"/>
  <c r="S29" i="5" s="1"/>
  <c r="T41" i="2"/>
  <c r="Q50" i="6" s="1"/>
  <c r="R29" i="5" s="1"/>
  <c r="S41" i="2"/>
  <c r="P50" i="6" s="1"/>
  <c r="Q29" i="5" s="1"/>
  <c r="R41" i="2"/>
  <c r="O50" i="6" s="1"/>
  <c r="P29" i="5" s="1"/>
  <c r="Q41" i="2"/>
  <c r="N50" i="6" s="1"/>
  <c r="O29" i="5" s="1"/>
  <c r="P41" i="2"/>
  <c r="M50" i="6" s="1"/>
  <c r="N29" i="5" s="1"/>
  <c r="O41" i="2"/>
  <c r="L50" i="6" s="1"/>
  <c r="M29" i="5" s="1"/>
  <c r="N41" i="2"/>
  <c r="K50" i="6" s="1"/>
  <c r="L29" i="5" s="1"/>
  <c r="M41" i="2"/>
  <c r="J50" i="6" s="1"/>
  <c r="K29" i="5" s="1"/>
  <c r="L41" i="2"/>
  <c r="I50" i="6" s="1"/>
  <c r="J29" i="5" s="1"/>
  <c r="K41" i="2"/>
  <c r="J41" i="2"/>
  <c r="G50" i="6" s="1"/>
  <c r="H29" i="5" s="1"/>
  <c r="F41" i="2"/>
  <c r="E41" i="2"/>
  <c r="D41" i="2"/>
  <c r="Y40" i="2"/>
  <c r="V49" i="6" s="1"/>
  <c r="X40" i="2"/>
  <c r="U49" i="6" s="1"/>
  <c r="W40" i="2"/>
  <c r="T49" i="6" s="1"/>
  <c r="V40" i="2"/>
  <c r="S49" i="6" s="1"/>
  <c r="U40" i="2"/>
  <c r="R49" i="6" s="1"/>
  <c r="T40" i="2"/>
  <c r="Q49" i="6" s="1"/>
  <c r="S40" i="2"/>
  <c r="P49" i="6" s="1"/>
  <c r="R40" i="2"/>
  <c r="O49" i="6" s="1"/>
  <c r="Q40" i="2"/>
  <c r="N49" i="6" s="1"/>
  <c r="P40" i="2"/>
  <c r="M49" i="6" s="1"/>
  <c r="O40" i="2"/>
  <c r="L49" i="6" s="1"/>
  <c r="N40" i="2"/>
  <c r="K49" i="6" s="1"/>
  <c r="M40" i="2"/>
  <c r="J49" i="6" s="1"/>
  <c r="L40" i="2"/>
  <c r="I49" i="6" s="1"/>
  <c r="K40" i="2"/>
  <c r="H49" i="6" s="1"/>
  <c r="J40" i="2"/>
  <c r="I40" i="2"/>
  <c r="F49" i="6" s="1"/>
  <c r="F40" i="2"/>
  <c r="E40" i="2"/>
  <c r="Y39" i="2"/>
  <c r="V48" i="6" s="1"/>
  <c r="X39" i="2"/>
  <c r="U48" i="6" s="1"/>
  <c r="W39" i="2"/>
  <c r="T48" i="6" s="1"/>
  <c r="V39" i="2"/>
  <c r="S48" i="6" s="1"/>
  <c r="U39" i="2"/>
  <c r="R48" i="6" s="1"/>
  <c r="T39" i="2"/>
  <c r="Q48" i="6" s="1"/>
  <c r="S39" i="2"/>
  <c r="P48" i="6" s="1"/>
  <c r="R39" i="2"/>
  <c r="O48" i="6" s="1"/>
  <c r="Q39" i="2"/>
  <c r="N48" i="6" s="1"/>
  <c r="P39" i="2"/>
  <c r="M48" i="6" s="1"/>
  <c r="O39" i="2"/>
  <c r="L48" i="6" s="1"/>
  <c r="N39" i="2"/>
  <c r="K48" i="6" s="1"/>
  <c r="M39" i="2"/>
  <c r="J48" i="6" s="1"/>
  <c r="L39" i="2"/>
  <c r="I48" i="6" s="1"/>
  <c r="K39" i="2"/>
  <c r="J39" i="2"/>
  <c r="G48" i="6" s="1"/>
  <c r="H39" i="2"/>
  <c r="F39" i="2"/>
  <c r="D39" i="2" s="1"/>
  <c r="E39" i="2"/>
  <c r="Y38" i="2"/>
  <c r="V47" i="6" s="1"/>
  <c r="X38" i="2"/>
  <c r="U47" i="6" s="1"/>
  <c r="W38" i="2"/>
  <c r="T47" i="6" s="1"/>
  <c r="V38" i="2"/>
  <c r="S47" i="6" s="1"/>
  <c r="U38" i="2"/>
  <c r="R47" i="6" s="1"/>
  <c r="T38" i="2"/>
  <c r="Q47" i="6" s="1"/>
  <c r="S38" i="2"/>
  <c r="P47" i="6" s="1"/>
  <c r="R38" i="2"/>
  <c r="O47" i="6" s="1"/>
  <c r="Q38" i="2"/>
  <c r="N47" i="6" s="1"/>
  <c r="P38" i="2"/>
  <c r="M47" i="6" s="1"/>
  <c r="O38" i="2"/>
  <c r="L47" i="6" s="1"/>
  <c r="N38" i="2"/>
  <c r="K47" i="6" s="1"/>
  <c r="M38" i="2"/>
  <c r="J47" i="6" s="1"/>
  <c r="L38" i="2"/>
  <c r="I47" i="6" s="1"/>
  <c r="K38" i="2"/>
  <c r="H47" i="6" s="1"/>
  <c r="J38" i="2"/>
  <c r="I38" i="2"/>
  <c r="F47" i="6" s="1"/>
  <c r="F38" i="2"/>
  <c r="E38" i="2"/>
  <c r="Y37" i="2"/>
  <c r="V46" i="6" s="1"/>
  <c r="X37" i="2"/>
  <c r="U46" i="6" s="1"/>
  <c r="W37" i="2"/>
  <c r="T46" i="6" s="1"/>
  <c r="V37" i="2"/>
  <c r="S46" i="6" s="1"/>
  <c r="U37" i="2"/>
  <c r="R46" i="6" s="1"/>
  <c r="T37" i="2"/>
  <c r="Q46" i="6" s="1"/>
  <c r="S37" i="2"/>
  <c r="P46" i="6" s="1"/>
  <c r="R37" i="2"/>
  <c r="O46" i="6" s="1"/>
  <c r="Q37" i="2"/>
  <c r="N46" i="6" s="1"/>
  <c r="P37" i="2"/>
  <c r="M46" i="6" s="1"/>
  <c r="O37" i="2"/>
  <c r="L46" i="6" s="1"/>
  <c r="N37" i="2"/>
  <c r="K46" i="6" s="1"/>
  <c r="M37" i="2"/>
  <c r="J46" i="6" s="1"/>
  <c r="L37" i="2"/>
  <c r="I46" i="6" s="1"/>
  <c r="K37" i="2"/>
  <c r="J37" i="2"/>
  <c r="G46" i="6" s="1"/>
  <c r="F37" i="2"/>
  <c r="E37" i="2"/>
  <c r="Y36" i="2"/>
  <c r="V44" i="6" s="1"/>
  <c r="X36" i="2"/>
  <c r="U44" i="6" s="1"/>
  <c r="W36" i="2"/>
  <c r="T44" i="6" s="1"/>
  <c r="V36" i="2"/>
  <c r="S44" i="6" s="1"/>
  <c r="U36" i="2"/>
  <c r="R44" i="6" s="1"/>
  <c r="T36" i="2"/>
  <c r="Q44" i="6" s="1"/>
  <c r="S36" i="2"/>
  <c r="P44" i="6" s="1"/>
  <c r="R36" i="2"/>
  <c r="O44" i="6" s="1"/>
  <c r="Q36" i="2"/>
  <c r="N44" i="6" s="1"/>
  <c r="P36" i="2"/>
  <c r="M44" i="6" s="1"/>
  <c r="O36" i="2"/>
  <c r="L44" i="6" s="1"/>
  <c r="N36" i="2"/>
  <c r="K44" i="6" s="1"/>
  <c r="M36" i="2"/>
  <c r="J44" i="6" s="1"/>
  <c r="L36" i="2"/>
  <c r="I44" i="6" s="1"/>
  <c r="K36" i="2"/>
  <c r="H44" i="6" s="1"/>
  <c r="J36" i="2"/>
  <c r="F36" i="2"/>
  <c r="E36" i="2"/>
  <c r="Y35" i="2"/>
  <c r="V43" i="6" s="1"/>
  <c r="X35" i="2"/>
  <c r="U43" i="6" s="1"/>
  <c r="W35" i="2"/>
  <c r="T43" i="6" s="1"/>
  <c r="V35" i="2"/>
  <c r="S43" i="6" s="1"/>
  <c r="U35" i="2"/>
  <c r="R43" i="6" s="1"/>
  <c r="T35" i="2"/>
  <c r="Q43" i="6" s="1"/>
  <c r="S35" i="2"/>
  <c r="P43" i="6" s="1"/>
  <c r="R35" i="2"/>
  <c r="O43" i="6" s="1"/>
  <c r="Q35" i="2"/>
  <c r="N43" i="6" s="1"/>
  <c r="P35" i="2"/>
  <c r="M43" i="6" s="1"/>
  <c r="O35" i="2"/>
  <c r="L43" i="6" s="1"/>
  <c r="N35" i="2"/>
  <c r="K43" i="6" s="1"/>
  <c r="M35" i="2"/>
  <c r="J43" i="6" s="1"/>
  <c r="L35" i="2"/>
  <c r="I43" i="6" s="1"/>
  <c r="K35" i="2"/>
  <c r="J35" i="2"/>
  <c r="F35" i="2"/>
  <c r="E35" i="2"/>
  <c r="D35" i="2" s="1"/>
  <c r="Y34" i="2"/>
  <c r="V42" i="6" s="1"/>
  <c r="X34" i="2"/>
  <c r="U42" i="6" s="1"/>
  <c r="W34" i="2"/>
  <c r="T42" i="6" s="1"/>
  <c r="V34" i="2"/>
  <c r="S42" i="6" s="1"/>
  <c r="U34" i="2"/>
  <c r="R42" i="6" s="1"/>
  <c r="T34" i="2"/>
  <c r="Q42" i="6" s="1"/>
  <c r="S34" i="2"/>
  <c r="P42" i="6" s="1"/>
  <c r="R34" i="2"/>
  <c r="O42" i="6" s="1"/>
  <c r="Q34" i="2"/>
  <c r="N42" i="6" s="1"/>
  <c r="P34" i="2"/>
  <c r="M42" i="6" s="1"/>
  <c r="O34" i="2"/>
  <c r="L42" i="6" s="1"/>
  <c r="N34" i="2"/>
  <c r="K42" i="6" s="1"/>
  <c r="M34" i="2"/>
  <c r="J42" i="6" s="1"/>
  <c r="L34" i="2"/>
  <c r="I42" i="6" s="1"/>
  <c r="K34" i="2"/>
  <c r="J34" i="2"/>
  <c r="F34" i="2"/>
  <c r="E34" i="2"/>
  <c r="Y33" i="2"/>
  <c r="V41" i="6" s="1"/>
  <c r="W14" i="5" s="1"/>
  <c r="X33" i="2"/>
  <c r="U41" i="6" s="1"/>
  <c r="V14" i="5" s="1"/>
  <c r="W33" i="2"/>
  <c r="T41" i="6" s="1"/>
  <c r="U14" i="5" s="1"/>
  <c r="V33" i="2"/>
  <c r="S41" i="6" s="1"/>
  <c r="T14" i="5" s="1"/>
  <c r="U33" i="2"/>
  <c r="R41" i="6" s="1"/>
  <c r="S14" i="5" s="1"/>
  <c r="T33" i="2"/>
  <c r="Q41" i="6" s="1"/>
  <c r="R14" i="5" s="1"/>
  <c r="S33" i="2"/>
  <c r="P41" i="6" s="1"/>
  <c r="Q14" i="5" s="1"/>
  <c r="R33" i="2"/>
  <c r="O41" i="6" s="1"/>
  <c r="P14" i="5" s="1"/>
  <c r="Q33" i="2"/>
  <c r="N41" i="6" s="1"/>
  <c r="O14" i="5" s="1"/>
  <c r="P33" i="2"/>
  <c r="M41" i="6" s="1"/>
  <c r="N14" i="5" s="1"/>
  <c r="O33" i="2"/>
  <c r="L41" i="6" s="1"/>
  <c r="M14" i="5" s="1"/>
  <c r="N33" i="2"/>
  <c r="K41" i="6" s="1"/>
  <c r="L14" i="5" s="1"/>
  <c r="M33" i="2"/>
  <c r="J41" i="6" s="1"/>
  <c r="K14" i="5" s="1"/>
  <c r="L33" i="2"/>
  <c r="I41" i="6" s="1"/>
  <c r="J14" i="5" s="1"/>
  <c r="K33" i="2"/>
  <c r="J33" i="2"/>
  <c r="G41" i="6" s="1"/>
  <c r="H14" i="5" s="1"/>
  <c r="H33" i="2"/>
  <c r="F33" i="2"/>
  <c r="E33" i="2"/>
  <c r="D33" i="2" s="1"/>
  <c r="Y32" i="2"/>
  <c r="V39" i="6" s="1"/>
  <c r="W28" i="5" s="1"/>
  <c r="X32" i="2"/>
  <c r="U39" i="6" s="1"/>
  <c r="V28" i="5" s="1"/>
  <c r="W32" i="2"/>
  <c r="T39" i="6" s="1"/>
  <c r="U28" i="5" s="1"/>
  <c r="V32" i="2"/>
  <c r="S39" i="6" s="1"/>
  <c r="T28" i="5" s="1"/>
  <c r="U32" i="2"/>
  <c r="R39" i="6" s="1"/>
  <c r="S28" i="5" s="1"/>
  <c r="T32" i="2"/>
  <c r="Q39" i="6" s="1"/>
  <c r="R28" i="5" s="1"/>
  <c r="S32" i="2"/>
  <c r="P39" i="6" s="1"/>
  <c r="Q28" i="5" s="1"/>
  <c r="R32" i="2"/>
  <c r="O39" i="6" s="1"/>
  <c r="P28" i="5" s="1"/>
  <c r="Q32" i="2"/>
  <c r="N39" i="6" s="1"/>
  <c r="O28" i="5" s="1"/>
  <c r="P32" i="2"/>
  <c r="M39" i="6" s="1"/>
  <c r="N28" i="5" s="1"/>
  <c r="O32" i="2"/>
  <c r="L39" i="6" s="1"/>
  <c r="M28" i="5" s="1"/>
  <c r="N32" i="2"/>
  <c r="K39" i="6" s="1"/>
  <c r="L28" i="5" s="1"/>
  <c r="M32" i="2"/>
  <c r="J39" i="6" s="1"/>
  <c r="K28" i="5" s="1"/>
  <c r="L32" i="2"/>
  <c r="I39" i="6" s="1"/>
  <c r="J28" i="5" s="1"/>
  <c r="K32" i="2"/>
  <c r="H39" i="6" s="1"/>
  <c r="I28" i="5" s="1"/>
  <c r="J32" i="2"/>
  <c r="F32" i="2"/>
  <c r="E32" i="2"/>
  <c r="Y31" i="2"/>
  <c r="V38" i="6" s="1"/>
  <c r="X31" i="2"/>
  <c r="U38" i="6" s="1"/>
  <c r="W31" i="2"/>
  <c r="T38" i="6" s="1"/>
  <c r="V31" i="2"/>
  <c r="S38" i="6" s="1"/>
  <c r="U31" i="2"/>
  <c r="R38" i="6" s="1"/>
  <c r="T31" i="2"/>
  <c r="Q38" i="6" s="1"/>
  <c r="S31" i="2"/>
  <c r="P38" i="6" s="1"/>
  <c r="R31" i="2"/>
  <c r="O38" i="6" s="1"/>
  <c r="Q31" i="2"/>
  <c r="N38" i="6" s="1"/>
  <c r="P31" i="2"/>
  <c r="M38" i="6" s="1"/>
  <c r="O31" i="2"/>
  <c r="L38" i="6" s="1"/>
  <c r="N31" i="2"/>
  <c r="K38" i="6" s="1"/>
  <c r="M31" i="2"/>
  <c r="J38" i="6" s="1"/>
  <c r="L31" i="2"/>
  <c r="I38" i="6" s="1"/>
  <c r="K31" i="2"/>
  <c r="J31" i="2"/>
  <c r="G38" i="6" s="1"/>
  <c r="F31" i="2"/>
  <c r="D31" i="2" s="1"/>
  <c r="E31" i="2"/>
  <c r="Y30" i="2"/>
  <c r="V37" i="6" s="1"/>
  <c r="X30" i="2"/>
  <c r="U37" i="6" s="1"/>
  <c r="W30" i="2"/>
  <c r="T37" i="6" s="1"/>
  <c r="V30" i="2"/>
  <c r="S37" i="6" s="1"/>
  <c r="U30" i="2"/>
  <c r="R37" i="6" s="1"/>
  <c r="T30" i="2"/>
  <c r="Q37" i="6" s="1"/>
  <c r="S30" i="2"/>
  <c r="P37" i="6" s="1"/>
  <c r="R30" i="2"/>
  <c r="O37" i="6" s="1"/>
  <c r="Q30" i="2"/>
  <c r="N37" i="6" s="1"/>
  <c r="P30" i="2"/>
  <c r="M37" i="6" s="1"/>
  <c r="O30" i="2"/>
  <c r="L37" i="6" s="1"/>
  <c r="N30" i="2"/>
  <c r="K37" i="6" s="1"/>
  <c r="M30" i="2"/>
  <c r="J37" i="6" s="1"/>
  <c r="L30" i="2"/>
  <c r="I37" i="6" s="1"/>
  <c r="K30" i="2"/>
  <c r="H37" i="6" s="1"/>
  <c r="J30" i="2"/>
  <c r="I30" i="2"/>
  <c r="F37" i="6" s="1"/>
  <c r="F30" i="2"/>
  <c r="E30" i="2"/>
  <c r="Y29" i="2"/>
  <c r="V36" i="6" s="1"/>
  <c r="X29" i="2"/>
  <c r="U36" i="6" s="1"/>
  <c r="W29" i="2"/>
  <c r="T36" i="6" s="1"/>
  <c r="V29" i="2"/>
  <c r="S36" i="6" s="1"/>
  <c r="U29" i="2"/>
  <c r="R36" i="6" s="1"/>
  <c r="T29" i="2"/>
  <c r="Q36" i="6" s="1"/>
  <c r="S29" i="2"/>
  <c r="P36" i="6" s="1"/>
  <c r="R29" i="2"/>
  <c r="O36" i="6" s="1"/>
  <c r="Q29" i="2"/>
  <c r="N36" i="6" s="1"/>
  <c r="P29" i="2"/>
  <c r="M36" i="6" s="1"/>
  <c r="O29" i="2"/>
  <c r="L36" i="6" s="1"/>
  <c r="N29" i="2"/>
  <c r="K36" i="6" s="1"/>
  <c r="M29" i="2"/>
  <c r="J36" i="6" s="1"/>
  <c r="L29" i="2"/>
  <c r="I36" i="6" s="1"/>
  <c r="K29" i="2"/>
  <c r="H36" i="6" s="1"/>
  <c r="J29" i="2"/>
  <c r="G36" i="6" s="1"/>
  <c r="H29" i="2"/>
  <c r="F29" i="2"/>
  <c r="E29" i="2"/>
  <c r="Y28" i="2"/>
  <c r="V35" i="6" s="1"/>
  <c r="X28" i="2"/>
  <c r="U35" i="6" s="1"/>
  <c r="W28" i="2"/>
  <c r="T35" i="6" s="1"/>
  <c r="V28" i="2"/>
  <c r="S35" i="6" s="1"/>
  <c r="U28" i="2"/>
  <c r="R35" i="6" s="1"/>
  <c r="T28" i="2"/>
  <c r="Q35" i="6" s="1"/>
  <c r="S28" i="2"/>
  <c r="P35" i="6" s="1"/>
  <c r="R28" i="2"/>
  <c r="O35" i="6" s="1"/>
  <c r="Q28" i="2"/>
  <c r="N35" i="6" s="1"/>
  <c r="P28" i="2"/>
  <c r="M35" i="6" s="1"/>
  <c r="O28" i="2"/>
  <c r="L35" i="6" s="1"/>
  <c r="N28" i="2"/>
  <c r="K35" i="6" s="1"/>
  <c r="M28" i="2"/>
  <c r="J35" i="6" s="1"/>
  <c r="L28" i="2"/>
  <c r="I35" i="6" s="1"/>
  <c r="K28" i="2"/>
  <c r="J28" i="2"/>
  <c r="F28" i="2"/>
  <c r="E28" i="2"/>
  <c r="Y27" i="2"/>
  <c r="V32" i="6" s="1"/>
  <c r="X27" i="2"/>
  <c r="U32" i="6" s="1"/>
  <c r="W27" i="2"/>
  <c r="T32" i="6" s="1"/>
  <c r="V27" i="2"/>
  <c r="S32" i="6" s="1"/>
  <c r="U27" i="2"/>
  <c r="R32" i="6" s="1"/>
  <c r="T27" i="2"/>
  <c r="Q32" i="6" s="1"/>
  <c r="S27" i="2"/>
  <c r="P32" i="6" s="1"/>
  <c r="R27" i="2"/>
  <c r="O32" i="6" s="1"/>
  <c r="Q27" i="2"/>
  <c r="N32" i="6" s="1"/>
  <c r="P27" i="2"/>
  <c r="M32" i="6" s="1"/>
  <c r="O27" i="2"/>
  <c r="L32" i="6" s="1"/>
  <c r="N27" i="2"/>
  <c r="K32" i="6" s="1"/>
  <c r="M27" i="2"/>
  <c r="J32" i="6" s="1"/>
  <c r="L27" i="2"/>
  <c r="I32" i="6" s="1"/>
  <c r="K27" i="2"/>
  <c r="J27" i="2"/>
  <c r="G32" i="6" s="1"/>
  <c r="H27" i="2"/>
  <c r="E32" i="6" s="1"/>
  <c r="F27" i="2"/>
  <c r="E27" i="2"/>
  <c r="D27" i="2" s="1"/>
  <c r="Y26" i="2"/>
  <c r="V31" i="6" s="1"/>
  <c r="X26" i="2"/>
  <c r="U31" i="6" s="1"/>
  <c r="W26" i="2"/>
  <c r="T31" i="6" s="1"/>
  <c r="V26" i="2"/>
  <c r="S31" i="6" s="1"/>
  <c r="U26" i="2"/>
  <c r="R31" i="6" s="1"/>
  <c r="T26" i="2"/>
  <c r="Q31" i="6" s="1"/>
  <c r="S26" i="2"/>
  <c r="P31" i="6" s="1"/>
  <c r="R26" i="2"/>
  <c r="O31" i="6" s="1"/>
  <c r="Q26" i="2"/>
  <c r="N31" i="6" s="1"/>
  <c r="P26" i="2"/>
  <c r="M31" i="6" s="1"/>
  <c r="O26" i="2"/>
  <c r="L31" i="6" s="1"/>
  <c r="N26" i="2"/>
  <c r="K31" i="6" s="1"/>
  <c r="M26" i="2"/>
  <c r="J31" i="6" s="1"/>
  <c r="L26" i="2"/>
  <c r="I31" i="6" s="1"/>
  <c r="K26" i="2"/>
  <c r="H31" i="6" s="1"/>
  <c r="J26" i="2"/>
  <c r="F26" i="2"/>
  <c r="E26" i="2"/>
  <c r="D26" i="2" s="1"/>
  <c r="Y25" i="2"/>
  <c r="V30" i="6" s="1"/>
  <c r="X25" i="2"/>
  <c r="U30" i="6" s="1"/>
  <c r="W25" i="2"/>
  <c r="T30" i="6" s="1"/>
  <c r="V25" i="2"/>
  <c r="S30" i="6" s="1"/>
  <c r="U25" i="2"/>
  <c r="R30" i="6" s="1"/>
  <c r="T25" i="2"/>
  <c r="Q30" i="6" s="1"/>
  <c r="S25" i="2"/>
  <c r="P30" i="6" s="1"/>
  <c r="R25" i="2"/>
  <c r="O30" i="6" s="1"/>
  <c r="Q25" i="2"/>
  <c r="N30" i="6" s="1"/>
  <c r="P25" i="2"/>
  <c r="M30" i="6" s="1"/>
  <c r="O25" i="2"/>
  <c r="L30" i="6" s="1"/>
  <c r="N25" i="2"/>
  <c r="K30" i="6" s="1"/>
  <c r="M25" i="2"/>
  <c r="J30" i="6" s="1"/>
  <c r="L25" i="2"/>
  <c r="I30" i="6" s="1"/>
  <c r="K25" i="2"/>
  <c r="J25" i="2"/>
  <c r="F25" i="2"/>
  <c r="E25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I24" i="2" s="1"/>
  <c r="J24" i="2"/>
  <c r="H24" i="2"/>
  <c r="F24" i="2"/>
  <c r="D24" i="2" s="1"/>
  <c r="E24" i="2"/>
  <c r="Y23" i="2"/>
  <c r="V28" i="6" s="1"/>
  <c r="X23" i="2"/>
  <c r="U28" i="6" s="1"/>
  <c r="W23" i="2"/>
  <c r="T28" i="6" s="1"/>
  <c r="V23" i="2"/>
  <c r="S28" i="6" s="1"/>
  <c r="U23" i="2"/>
  <c r="R28" i="6" s="1"/>
  <c r="T23" i="2"/>
  <c r="Q28" i="6" s="1"/>
  <c r="S23" i="2"/>
  <c r="P28" i="6" s="1"/>
  <c r="R23" i="2"/>
  <c r="O28" i="6" s="1"/>
  <c r="Q23" i="2"/>
  <c r="N28" i="6" s="1"/>
  <c r="P23" i="2"/>
  <c r="M28" i="6" s="1"/>
  <c r="O23" i="2"/>
  <c r="L28" i="6" s="1"/>
  <c r="N23" i="2"/>
  <c r="K28" i="6" s="1"/>
  <c r="M23" i="2"/>
  <c r="J28" i="6" s="1"/>
  <c r="L23" i="2"/>
  <c r="I28" i="6" s="1"/>
  <c r="K23" i="2"/>
  <c r="J23" i="2"/>
  <c r="F23" i="2"/>
  <c r="E23" i="2"/>
  <c r="D23" i="2" s="1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I22" i="2" s="1"/>
  <c r="J22" i="2"/>
  <c r="H22" i="2" s="1"/>
  <c r="G22" i="2" s="1"/>
  <c r="F22" i="2"/>
  <c r="E22" i="2"/>
  <c r="Y21" i="2"/>
  <c r="V27" i="6" s="1"/>
  <c r="W13" i="5" s="1"/>
  <c r="X21" i="2"/>
  <c r="U27" i="6" s="1"/>
  <c r="V13" i="5" s="1"/>
  <c r="W21" i="2"/>
  <c r="T27" i="6" s="1"/>
  <c r="U13" i="5" s="1"/>
  <c r="V21" i="2"/>
  <c r="S27" i="6" s="1"/>
  <c r="T13" i="5" s="1"/>
  <c r="U21" i="2"/>
  <c r="R27" i="6" s="1"/>
  <c r="S13" i="5" s="1"/>
  <c r="T21" i="2"/>
  <c r="Q27" i="6" s="1"/>
  <c r="R13" i="5" s="1"/>
  <c r="S21" i="2"/>
  <c r="P27" i="6" s="1"/>
  <c r="Q13" i="5" s="1"/>
  <c r="R21" i="2"/>
  <c r="O27" i="6" s="1"/>
  <c r="P13" i="5" s="1"/>
  <c r="Q21" i="2"/>
  <c r="N27" i="6" s="1"/>
  <c r="O13" i="5" s="1"/>
  <c r="P21" i="2"/>
  <c r="M27" i="6" s="1"/>
  <c r="N13" i="5" s="1"/>
  <c r="O21" i="2"/>
  <c r="L27" i="6" s="1"/>
  <c r="M13" i="5" s="1"/>
  <c r="N21" i="2"/>
  <c r="K27" i="6" s="1"/>
  <c r="L13" i="5" s="1"/>
  <c r="M21" i="2"/>
  <c r="J27" i="6" s="1"/>
  <c r="K13" i="5" s="1"/>
  <c r="L21" i="2"/>
  <c r="I27" i="6" s="1"/>
  <c r="J13" i="5" s="1"/>
  <c r="K21" i="2"/>
  <c r="J21" i="2"/>
  <c r="F21" i="2"/>
  <c r="E21" i="2"/>
  <c r="Y20" i="2"/>
  <c r="V26" i="6" s="1"/>
  <c r="X20" i="2"/>
  <c r="U26" i="6" s="1"/>
  <c r="W20" i="2"/>
  <c r="T26" i="6" s="1"/>
  <c r="V20" i="2"/>
  <c r="S26" i="6" s="1"/>
  <c r="U20" i="2"/>
  <c r="R26" i="6" s="1"/>
  <c r="T20" i="2"/>
  <c r="Q26" i="6" s="1"/>
  <c r="S20" i="2"/>
  <c r="P26" i="6" s="1"/>
  <c r="R20" i="2"/>
  <c r="O26" i="6" s="1"/>
  <c r="Q20" i="2"/>
  <c r="N26" i="6" s="1"/>
  <c r="P20" i="2"/>
  <c r="M26" i="6" s="1"/>
  <c r="O20" i="2"/>
  <c r="L26" i="6" s="1"/>
  <c r="N20" i="2"/>
  <c r="K26" i="6" s="1"/>
  <c r="M20" i="2"/>
  <c r="J26" i="6" s="1"/>
  <c r="L20" i="2"/>
  <c r="I26" i="6" s="1"/>
  <c r="K20" i="2"/>
  <c r="H26" i="6" s="1"/>
  <c r="J20" i="2"/>
  <c r="F20" i="2"/>
  <c r="E20" i="2"/>
  <c r="D20" i="2" s="1"/>
  <c r="Y19" i="2"/>
  <c r="V25" i="6" s="1"/>
  <c r="X19" i="2"/>
  <c r="U25" i="6" s="1"/>
  <c r="W19" i="2"/>
  <c r="T25" i="6" s="1"/>
  <c r="V19" i="2"/>
  <c r="S25" i="6" s="1"/>
  <c r="U19" i="2"/>
  <c r="R25" i="6" s="1"/>
  <c r="T19" i="2"/>
  <c r="Q25" i="6" s="1"/>
  <c r="S19" i="2"/>
  <c r="P25" i="6" s="1"/>
  <c r="R19" i="2"/>
  <c r="O25" i="6" s="1"/>
  <c r="Q19" i="2"/>
  <c r="N25" i="6" s="1"/>
  <c r="P19" i="2"/>
  <c r="M25" i="6" s="1"/>
  <c r="O19" i="2"/>
  <c r="L25" i="6" s="1"/>
  <c r="N19" i="2"/>
  <c r="K25" i="6" s="1"/>
  <c r="M19" i="2"/>
  <c r="J25" i="6" s="1"/>
  <c r="L19" i="2"/>
  <c r="I25" i="6" s="1"/>
  <c r="K19" i="2"/>
  <c r="J19" i="2"/>
  <c r="F19" i="2"/>
  <c r="E19" i="2"/>
  <c r="D19" i="2" s="1"/>
  <c r="Y18" i="2"/>
  <c r="V24" i="6" s="1"/>
  <c r="X18" i="2"/>
  <c r="U24" i="6" s="1"/>
  <c r="W18" i="2"/>
  <c r="T24" i="6" s="1"/>
  <c r="V18" i="2"/>
  <c r="S24" i="6" s="1"/>
  <c r="U18" i="2"/>
  <c r="R24" i="6" s="1"/>
  <c r="T18" i="2"/>
  <c r="Q24" i="6" s="1"/>
  <c r="S18" i="2"/>
  <c r="P24" i="6" s="1"/>
  <c r="R18" i="2"/>
  <c r="O24" i="6" s="1"/>
  <c r="Q18" i="2"/>
  <c r="N24" i="6" s="1"/>
  <c r="P18" i="2"/>
  <c r="M24" i="6" s="1"/>
  <c r="O18" i="2"/>
  <c r="L24" i="6" s="1"/>
  <c r="N18" i="2"/>
  <c r="K24" i="6" s="1"/>
  <c r="M18" i="2"/>
  <c r="J24" i="6" s="1"/>
  <c r="L18" i="2"/>
  <c r="I24" i="6" s="1"/>
  <c r="K18" i="2"/>
  <c r="H24" i="6" s="1"/>
  <c r="J18" i="2"/>
  <c r="G24" i="6" s="1"/>
  <c r="I18" i="2"/>
  <c r="F24" i="6" s="1"/>
  <c r="F18" i="2"/>
  <c r="E18" i="2"/>
  <c r="D18" i="2"/>
  <c r="Y17" i="2"/>
  <c r="V23" i="6" s="1"/>
  <c r="X17" i="2"/>
  <c r="U23" i="6" s="1"/>
  <c r="W17" i="2"/>
  <c r="T23" i="6" s="1"/>
  <c r="V17" i="2"/>
  <c r="S23" i="6" s="1"/>
  <c r="U17" i="2"/>
  <c r="R23" i="6" s="1"/>
  <c r="T17" i="2"/>
  <c r="Q23" i="6" s="1"/>
  <c r="S17" i="2"/>
  <c r="P23" i="6" s="1"/>
  <c r="R17" i="2"/>
  <c r="O23" i="6" s="1"/>
  <c r="Q17" i="2"/>
  <c r="N23" i="6" s="1"/>
  <c r="P17" i="2"/>
  <c r="M23" i="6" s="1"/>
  <c r="O17" i="2"/>
  <c r="L23" i="6" s="1"/>
  <c r="N17" i="2"/>
  <c r="K23" i="6" s="1"/>
  <c r="M17" i="2"/>
  <c r="J23" i="6" s="1"/>
  <c r="L17" i="2"/>
  <c r="I23" i="6" s="1"/>
  <c r="K17" i="2"/>
  <c r="J17" i="2"/>
  <c r="F17" i="2"/>
  <c r="E17" i="2"/>
  <c r="Y16" i="2"/>
  <c r="V22" i="6" s="1"/>
  <c r="X16" i="2"/>
  <c r="U22" i="6" s="1"/>
  <c r="W16" i="2"/>
  <c r="T22" i="6" s="1"/>
  <c r="V16" i="2"/>
  <c r="S22" i="6" s="1"/>
  <c r="U16" i="2"/>
  <c r="R22" i="6" s="1"/>
  <c r="T16" i="2"/>
  <c r="Q22" i="6" s="1"/>
  <c r="S16" i="2"/>
  <c r="P22" i="6" s="1"/>
  <c r="R16" i="2"/>
  <c r="O22" i="6" s="1"/>
  <c r="Q16" i="2"/>
  <c r="N22" i="6" s="1"/>
  <c r="P16" i="2"/>
  <c r="M22" i="6" s="1"/>
  <c r="O16" i="2"/>
  <c r="L22" i="6" s="1"/>
  <c r="N16" i="2"/>
  <c r="K22" i="6" s="1"/>
  <c r="M16" i="2"/>
  <c r="J22" i="6" s="1"/>
  <c r="L16" i="2"/>
  <c r="I22" i="6" s="1"/>
  <c r="K16" i="2"/>
  <c r="H22" i="6" s="1"/>
  <c r="J16" i="2"/>
  <c r="G22" i="6" s="1"/>
  <c r="I16" i="2"/>
  <c r="F22" i="6" s="1"/>
  <c r="H16" i="2"/>
  <c r="F16" i="2"/>
  <c r="E16" i="2"/>
  <c r="D16" i="2"/>
  <c r="Y15" i="2"/>
  <c r="V20" i="6" s="1"/>
  <c r="X15" i="2"/>
  <c r="U20" i="6" s="1"/>
  <c r="W15" i="2"/>
  <c r="T20" i="6" s="1"/>
  <c r="V15" i="2"/>
  <c r="S20" i="6" s="1"/>
  <c r="U15" i="2"/>
  <c r="R20" i="6" s="1"/>
  <c r="T15" i="2"/>
  <c r="Q20" i="6" s="1"/>
  <c r="S15" i="2"/>
  <c r="P20" i="6" s="1"/>
  <c r="R15" i="2"/>
  <c r="O20" i="6" s="1"/>
  <c r="Q15" i="2"/>
  <c r="N20" i="6" s="1"/>
  <c r="P15" i="2"/>
  <c r="M20" i="6" s="1"/>
  <c r="O15" i="2"/>
  <c r="L20" i="6" s="1"/>
  <c r="N15" i="2"/>
  <c r="K20" i="6" s="1"/>
  <c r="M15" i="2"/>
  <c r="J20" i="6" s="1"/>
  <c r="L15" i="2"/>
  <c r="I20" i="6" s="1"/>
  <c r="K15" i="2"/>
  <c r="J15" i="2"/>
  <c r="F15" i="2"/>
  <c r="E15" i="2"/>
  <c r="Y14" i="2"/>
  <c r="V19" i="6" s="1"/>
  <c r="W40" i="5" s="1"/>
  <c r="X14" i="2"/>
  <c r="U19" i="6" s="1"/>
  <c r="V40" i="5" s="1"/>
  <c r="W14" i="2"/>
  <c r="T19" i="6" s="1"/>
  <c r="U40" i="5" s="1"/>
  <c r="V14" i="2"/>
  <c r="S19" i="6" s="1"/>
  <c r="T40" i="5" s="1"/>
  <c r="U14" i="2"/>
  <c r="R19" i="6" s="1"/>
  <c r="S40" i="5" s="1"/>
  <c r="T14" i="2"/>
  <c r="Q19" i="6" s="1"/>
  <c r="R40" i="5" s="1"/>
  <c r="S14" i="2"/>
  <c r="P19" i="6" s="1"/>
  <c r="Q40" i="5" s="1"/>
  <c r="R14" i="2"/>
  <c r="O19" i="6" s="1"/>
  <c r="P40" i="5" s="1"/>
  <c r="Q14" i="2"/>
  <c r="N19" i="6" s="1"/>
  <c r="O40" i="5" s="1"/>
  <c r="P14" i="2"/>
  <c r="M19" i="6" s="1"/>
  <c r="N40" i="5" s="1"/>
  <c r="O14" i="2"/>
  <c r="L19" i="6" s="1"/>
  <c r="M40" i="5" s="1"/>
  <c r="N14" i="2"/>
  <c r="K19" i="6" s="1"/>
  <c r="L40" i="5" s="1"/>
  <c r="M14" i="2"/>
  <c r="J19" i="6" s="1"/>
  <c r="K40" i="5" s="1"/>
  <c r="L14" i="2"/>
  <c r="I19" i="6" s="1"/>
  <c r="J40" i="5" s="1"/>
  <c r="K14" i="2"/>
  <c r="J14" i="2"/>
  <c r="G19" i="6" s="1"/>
  <c r="H40" i="5" s="1"/>
  <c r="H14" i="2"/>
  <c r="F14" i="2"/>
  <c r="E14" i="2"/>
  <c r="D14" i="2" s="1"/>
  <c r="Y13" i="2"/>
  <c r="V18" i="6" s="1"/>
  <c r="X13" i="2"/>
  <c r="U18" i="6" s="1"/>
  <c r="W13" i="2"/>
  <c r="T18" i="6" s="1"/>
  <c r="V13" i="2"/>
  <c r="S18" i="6" s="1"/>
  <c r="U13" i="2"/>
  <c r="R18" i="6" s="1"/>
  <c r="T13" i="2"/>
  <c r="Q18" i="6" s="1"/>
  <c r="S13" i="2"/>
  <c r="P18" i="6" s="1"/>
  <c r="R13" i="2"/>
  <c r="O18" i="6" s="1"/>
  <c r="Q13" i="2"/>
  <c r="N18" i="6" s="1"/>
  <c r="P13" i="2"/>
  <c r="M18" i="6" s="1"/>
  <c r="O13" i="2"/>
  <c r="L18" i="6" s="1"/>
  <c r="N13" i="2"/>
  <c r="K18" i="6" s="1"/>
  <c r="M13" i="2"/>
  <c r="J18" i="6" s="1"/>
  <c r="L13" i="2"/>
  <c r="I18" i="6" s="1"/>
  <c r="K13" i="2"/>
  <c r="J13" i="2"/>
  <c r="F13" i="2"/>
  <c r="E13" i="2"/>
  <c r="D13" i="2" s="1"/>
  <c r="Y12" i="2"/>
  <c r="V15" i="6" s="1"/>
  <c r="X12" i="2"/>
  <c r="U15" i="6" s="1"/>
  <c r="W12" i="2"/>
  <c r="T15" i="6" s="1"/>
  <c r="V12" i="2"/>
  <c r="S15" i="6" s="1"/>
  <c r="U12" i="2"/>
  <c r="R15" i="6" s="1"/>
  <c r="T12" i="2"/>
  <c r="Q15" i="6" s="1"/>
  <c r="S12" i="2"/>
  <c r="P15" i="6" s="1"/>
  <c r="R12" i="2"/>
  <c r="O15" i="6" s="1"/>
  <c r="Q12" i="2"/>
  <c r="N15" i="6" s="1"/>
  <c r="P12" i="2"/>
  <c r="M15" i="6" s="1"/>
  <c r="O12" i="2"/>
  <c r="L15" i="6" s="1"/>
  <c r="N12" i="2"/>
  <c r="K15" i="6" s="1"/>
  <c r="M12" i="2"/>
  <c r="J15" i="6" s="1"/>
  <c r="L12" i="2"/>
  <c r="I15" i="6" s="1"/>
  <c r="K12" i="2"/>
  <c r="H15" i="6" s="1"/>
  <c r="J12" i="2"/>
  <c r="I12" i="2"/>
  <c r="F15" i="6" s="1"/>
  <c r="F12" i="2"/>
  <c r="D12" i="2" s="1"/>
  <c r="E12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I11" i="2" s="1"/>
  <c r="J11" i="2"/>
  <c r="F11" i="2"/>
  <c r="E11" i="2"/>
  <c r="D11" i="2" s="1"/>
  <c r="Y10" i="2"/>
  <c r="V13" i="6" s="1"/>
  <c r="W27" i="5" s="1"/>
  <c r="X10" i="2"/>
  <c r="U13" i="6" s="1"/>
  <c r="V27" i="5" s="1"/>
  <c r="W10" i="2"/>
  <c r="T13" i="6" s="1"/>
  <c r="U27" i="5" s="1"/>
  <c r="V10" i="2"/>
  <c r="S13" i="6" s="1"/>
  <c r="T27" i="5" s="1"/>
  <c r="U10" i="2"/>
  <c r="R13" i="6" s="1"/>
  <c r="S27" i="5" s="1"/>
  <c r="T10" i="2"/>
  <c r="Q13" i="6" s="1"/>
  <c r="R27" i="5" s="1"/>
  <c r="S10" i="2"/>
  <c r="P13" i="6" s="1"/>
  <c r="Q27" i="5" s="1"/>
  <c r="R10" i="2"/>
  <c r="O13" i="6" s="1"/>
  <c r="P27" i="5" s="1"/>
  <c r="Q10" i="2"/>
  <c r="N13" i="6" s="1"/>
  <c r="O27" i="5" s="1"/>
  <c r="P10" i="2"/>
  <c r="M13" i="6" s="1"/>
  <c r="N27" i="5" s="1"/>
  <c r="O10" i="2"/>
  <c r="L13" i="6" s="1"/>
  <c r="M27" i="5" s="1"/>
  <c r="N10" i="2"/>
  <c r="K13" i="6" s="1"/>
  <c r="L27" i="5" s="1"/>
  <c r="M10" i="2"/>
  <c r="J13" i="6" s="1"/>
  <c r="K27" i="5" s="1"/>
  <c r="L10" i="2"/>
  <c r="I13" i="6" s="1"/>
  <c r="J27" i="5" s="1"/>
  <c r="K10" i="2"/>
  <c r="H13" i="6" s="1"/>
  <c r="I27" i="5" s="1"/>
  <c r="J10" i="2"/>
  <c r="G13" i="6" s="1"/>
  <c r="H27" i="5" s="1"/>
  <c r="I10" i="2"/>
  <c r="F13" i="6" s="1"/>
  <c r="G27" i="5" s="1"/>
  <c r="F10" i="2"/>
  <c r="E10" i="2"/>
  <c r="D10" i="2" s="1"/>
  <c r="Y9" i="2"/>
  <c r="V12" i="6" s="1"/>
  <c r="X9" i="2"/>
  <c r="U12" i="6" s="1"/>
  <c r="W9" i="2"/>
  <c r="T12" i="6" s="1"/>
  <c r="V9" i="2"/>
  <c r="S12" i="6" s="1"/>
  <c r="U9" i="2"/>
  <c r="R12" i="6" s="1"/>
  <c r="T9" i="2"/>
  <c r="Q12" i="6" s="1"/>
  <c r="S9" i="2"/>
  <c r="P12" i="6" s="1"/>
  <c r="R9" i="2"/>
  <c r="O12" i="6" s="1"/>
  <c r="Q9" i="2"/>
  <c r="N12" i="6" s="1"/>
  <c r="P9" i="2"/>
  <c r="M12" i="6" s="1"/>
  <c r="O9" i="2"/>
  <c r="L12" i="6" s="1"/>
  <c r="N9" i="2"/>
  <c r="K12" i="6" s="1"/>
  <c r="M9" i="2"/>
  <c r="J12" i="6" s="1"/>
  <c r="L9" i="2"/>
  <c r="I12" i="6" s="1"/>
  <c r="K9" i="2"/>
  <c r="J9" i="2"/>
  <c r="F9" i="2"/>
  <c r="E9" i="2"/>
  <c r="Y8" i="2"/>
  <c r="V11" i="6" s="1"/>
  <c r="X8" i="2"/>
  <c r="U11" i="6" s="1"/>
  <c r="W8" i="2"/>
  <c r="T11" i="6" s="1"/>
  <c r="V8" i="2"/>
  <c r="S11" i="6" s="1"/>
  <c r="U8" i="2"/>
  <c r="R11" i="6" s="1"/>
  <c r="T8" i="2"/>
  <c r="Q11" i="6" s="1"/>
  <c r="S8" i="2"/>
  <c r="P11" i="6" s="1"/>
  <c r="R8" i="2"/>
  <c r="O11" i="6" s="1"/>
  <c r="Q8" i="2"/>
  <c r="N11" i="6" s="1"/>
  <c r="P8" i="2"/>
  <c r="M11" i="6" s="1"/>
  <c r="O8" i="2"/>
  <c r="L11" i="6" s="1"/>
  <c r="N8" i="2"/>
  <c r="K11" i="6" s="1"/>
  <c r="M8" i="2"/>
  <c r="L8" i="2"/>
  <c r="I11" i="6" s="1"/>
  <c r="K8" i="2"/>
  <c r="H11" i="6" s="1"/>
  <c r="J8" i="2"/>
  <c r="G11" i="6" s="1"/>
  <c r="H8" i="2"/>
  <c r="F8" i="2"/>
  <c r="E8" i="2"/>
  <c r="D8" i="2" s="1"/>
  <c r="Y7" i="2"/>
  <c r="V8" i="6" s="1"/>
  <c r="X7" i="2"/>
  <c r="U8" i="6" s="1"/>
  <c r="W7" i="2"/>
  <c r="T8" i="6" s="1"/>
  <c r="V7" i="2"/>
  <c r="S8" i="6" s="1"/>
  <c r="U7" i="2"/>
  <c r="R8" i="6" s="1"/>
  <c r="T7" i="2"/>
  <c r="Q8" i="6" s="1"/>
  <c r="S7" i="2"/>
  <c r="P8" i="6" s="1"/>
  <c r="R7" i="2"/>
  <c r="O8" i="6" s="1"/>
  <c r="Q7" i="2"/>
  <c r="N8" i="6" s="1"/>
  <c r="P7" i="2"/>
  <c r="M8" i="6" s="1"/>
  <c r="O7" i="2"/>
  <c r="L8" i="6" s="1"/>
  <c r="N7" i="2"/>
  <c r="K8" i="6" s="1"/>
  <c r="M7" i="2"/>
  <c r="J8" i="6" s="1"/>
  <c r="L7" i="2"/>
  <c r="I8" i="6" s="1"/>
  <c r="K7" i="2"/>
  <c r="J7" i="2"/>
  <c r="F7" i="2"/>
  <c r="E7" i="2"/>
  <c r="D7" i="2" s="1"/>
  <c r="Y6" i="2"/>
  <c r="V7" i="6" s="1"/>
  <c r="X6" i="2"/>
  <c r="U7" i="6" s="1"/>
  <c r="W6" i="2"/>
  <c r="T7" i="6" s="1"/>
  <c r="V6" i="2"/>
  <c r="S7" i="6" s="1"/>
  <c r="U6" i="2"/>
  <c r="R7" i="6" s="1"/>
  <c r="T6" i="2"/>
  <c r="Q7" i="6" s="1"/>
  <c r="S6" i="2"/>
  <c r="P7" i="6" s="1"/>
  <c r="R6" i="2"/>
  <c r="O7" i="6" s="1"/>
  <c r="Q6" i="2"/>
  <c r="N7" i="6" s="1"/>
  <c r="P6" i="2"/>
  <c r="M7" i="6" s="1"/>
  <c r="O6" i="2"/>
  <c r="L7" i="6" s="1"/>
  <c r="N6" i="2"/>
  <c r="K7" i="6" s="1"/>
  <c r="M6" i="2"/>
  <c r="L6" i="2"/>
  <c r="K6" i="2"/>
  <c r="H7" i="6" s="1"/>
  <c r="J6" i="2"/>
  <c r="G7" i="6" s="1"/>
  <c r="F6" i="2"/>
  <c r="E6" i="2"/>
  <c r="D6" i="2"/>
  <c r="Y5" i="2"/>
  <c r="V6" i="6" s="1"/>
  <c r="X5" i="2"/>
  <c r="U6" i="6" s="1"/>
  <c r="W5" i="2"/>
  <c r="T6" i="6" s="1"/>
  <c r="V5" i="2"/>
  <c r="S6" i="6" s="1"/>
  <c r="U5" i="2"/>
  <c r="R6" i="6" s="1"/>
  <c r="T5" i="2"/>
  <c r="Q6" i="6" s="1"/>
  <c r="S5" i="2"/>
  <c r="P6" i="6" s="1"/>
  <c r="R5" i="2"/>
  <c r="O6" i="6" s="1"/>
  <c r="Q5" i="2"/>
  <c r="N6" i="6" s="1"/>
  <c r="P5" i="2"/>
  <c r="M6" i="6" s="1"/>
  <c r="O5" i="2"/>
  <c r="L6" i="6" s="1"/>
  <c r="N5" i="2"/>
  <c r="K6" i="6" s="1"/>
  <c r="M5" i="2"/>
  <c r="J6" i="6" s="1"/>
  <c r="L5" i="2"/>
  <c r="I6" i="6" s="1"/>
  <c r="K5" i="2"/>
  <c r="J5" i="2"/>
  <c r="F5" i="2"/>
  <c r="E5" i="2"/>
  <c r="Y4" i="2"/>
  <c r="V4" i="6" s="1"/>
  <c r="X4" i="2"/>
  <c r="U4" i="6" s="1"/>
  <c r="W4" i="2"/>
  <c r="T4" i="6" s="1"/>
  <c r="V4" i="2"/>
  <c r="S4" i="6" s="1"/>
  <c r="U4" i="2"/>
  <c r="R4" i="6" s="1"/>
  <c r="T4" i="2"/>
  <c r="Q4" i="6" s="1"/>
  <c r="S4" i="2"/>
  <c r="P4" i="6" s="1"/>
  <c r="R4" i="2"/>
  <c r="O4" i="6" s="1"/>
  <c r="Q4" i="2"/>
  <c r="N4" i="6" s="1"/>
  <c r="P4" i="2"/>
  <c r="M4" i="6" s="1"/>
  <c r="O4" i="2"/>
  <c r="L4" i="6" s="1"/>
  <c r="N4" i="2"/>
  <c r="K4" i="6" s="1"/>
  <c r="M4" i="2"/>
  <c r="L4" i="2"/>
  <c r="I4" i="6" s="1"/>
  <c r="K4" i="2"/>
  <c r="H4" i="6" s="1"/>
  <c r="J4" i="2"/>
  <c r="F4" i="2"/>
  <c r="E4" i="2"/>
  <c r="D4" i="2"/>
  <c r="Y3" i="2"/>
  <c r="V3" i="6" s="1"/>
  <c r="X3" i="2"/>
  <c r="U3" i="6" s="1"/>
  <c r="W3" i="2"/>
  <c r="T3" i="6" s="1"/>
  <c r="V3" i="2"/>
  <c r="S3" i="6" s="1"/>
  <c r="U3" i="2"/>
  <c r="R3" i="6" s="1"/>
  <c r="T3" i="2"/>
  <c r="Q3" i="6" s="1"/>
  <c r="S3" i="2"/>
  <c r="P3" i="6" s="1"/>
  <c r="R3" i="2"/>
  <c r="O3" i="6" s="1"/>
  <c r="Q3" i="2"/>
  <c r="N3" i="6" s="1"/>
  <c r="P3" i="2"/>
  <c r="M3" i="6" s="1"/>
  <c r="O3" i="2"/>
  <c r="L3" i="6" s="1"/>
  <c r="N3" i="2"/>
  <c r="K3" i="6" s="1"/>
  <c r="M3" i="2"/>
  <c r="J3" i="6" s="1"/>
  <c r="L3" i="2"/>
  <c r="I3" i="6" s="1"/>
  <c r="K3" i="2"/>
  <c r="J3" i="2"/>
  <c r="F3" i="2"/>
  <c r="E3" i="2"/>
  <c r="D3" i="2" s="1"/>
  <c r="Y2" i="2"/>
  <c r="V2" i="6" s="1"/>
  <c r="X2" i="2"/>
  <c r="U2" i="6" s="1"/>
  <c r="W2" i="2"/>
  <c r="T2" i="6" s="1"/>
  <c r="V2" i="2"/>
  <c r="S2" i="6" s="1"/>
  <c r="U2" i="2"/>
  <c r="R2" i="6" s="1"/>
  <c r="T2" i="2"/>
  <c r="Q2" i="6" s="1"/>
  <c r="S2" i="2"/>
  <c r="P2" i="6" s="1"/>
  <c r="R2" i="2"/>
  <c r="O2" i="6" s="1"/>
  <c r="Q2" i="2"/>
  <c r="N2" i="6" s="1"/>
  <c r="P2" i="2"/>
  <c r="M2" i="6" s="1"/>
  <c r="O2" i="2"/>
  <c r="L2" i="6" s="1"/>
  <c r="N2" i="2"/>
  <c r="K2" i="6" s="1"/>
  <c r="M2" i="2"/>
  <c r="J2" i="6" s="1"/>
  <c r="L2" i="2"/>
  <c r="K2" i="2"/>
  <c r="H2" i="6" s="1"/>
  <c r="J2" i="2"/>
  <c r="G2" i="6" s="1"/>
  <c r="I2" i="2"/>
  <c r="F2" i="6" s="1"/>
  <c r="F2" i="2"/>
  <c r="D2" i="2" s="1"/>
  <c r="E2" i="2"/>
  <c r="H62" i="2" l="1"/>
  <c r="G82" i="6"/>
  <c r="I63" i="2"/>
  <c r="F83" i="6" s="1"/>
  <c r="G30" i="5" s="1"/>
  <c r="H83" i="6"/>
  <c r="I30" i="5" s="1"/>
  <c r="K45" i="5"/>
  <c r="J467" i="6"/>
  <c r="K22" i="5" s="1"/>
  <c r="O45" i="5"/>
  <c r="N467" i="6"/>
  <c r="O22" i="5" s="1"/>
  <c r="S45" i="5"/>
  <c r="R467" i="6"/>
  <c r="S22" i="5" s="1"/>
  <c r="W45" i="5"/>
  <c r="V467" i="6"/>
  <c r="W22" i="5" s="1"/>
  <c r="H85" i="6"/>
  <c r="I66" i="2"/>
  <c r="F85" i="6" s="1"/>
  <c r="H67" i="2"/>
  <c r="I86" i="6"/>
  <c r="H70" i="2"/>
  <c r="G88" i="6"/>
  <c r="I71" i="2"/>
  <c r="F89" i="6" s="1"/>
  <c r="H89" i="6"/>
  <c r="H75" i="2"/>
  <c r="I95" i="6"/>
  <c r="H80" i="2"/>
  <c r="G100" i="6"/>
  <c r="I81" i="2"/>
  <c r="F102" i="6" s="1"/>
  <c r="H102" i="6"/>
  <c r="D87" i="2"/>
  <c r="I114" i="6"/>
  <c r="J31" i="5" s="1"/>
  <c r="H87" i="2"/>
  <c r="G120" i="6"/>
  <c r="H93" i="2"/>
  <c r="I100" i="2"/>
  <c r="F127" i="6" s="1"/>
  <c r="H127" i="6"/>
  <c r="H129" i="6"/>
  <c r="I102" i="2"/>
  <c r="F129" i="6" s="1"/>
  <c r="I107" i="2"/>
  <c r="F138" i="6" s="1"/>
  <c r="H138" i="6"/>
  <c r="H2" i="2"/>
  <c r="I2" i="6"/>
  <c r="H19" i="6"/>
  <c r="I40" i="5" s="1"/>
  <c r="I14" i="2"/>
  <c r="F19" i="6" s="1"/>
  <c r="G40" i="5" s="1"/>
  <c r="I19" i="2"/>
  <c r="F25" i="6" s="1"/>
  <c r="H25" i="6"/>
  <c r="I26" i="2"/>
  <c r="F31" i="6" s="1"/>
  <c r="I28" i="2"/>
  <c r="H35" i="6"/>
  <c r="H42" i="2"/>
  <c r="G51" i="6"/>
  <c r="I47" i="2"/>
  <c r="F60" i="6" s="1"/>
  <c r="H60" i="6"/>
  <c r="H52" i="2"/>
  <c r="G66" i="6"/>
  <c r="H57" i="2"/>
  <c r="I74" i="6"/>
  <c r="J10" i="5" s="1"/>
  <c r="I58" i="2"/>
  <c r="F76" i="6" s="1"/>
  <c r="I3" i="2"/>
  <c r="F3" i="6" s="1"/>
  <c r="H3" i="6"/>
  <c r="H5" i="2"/>
  <c r="E6" i="6" s="1"/>
  <c r="G6" i="6"/>
  <c r="I13" i="2"/>
  <c r="F18" i="6" s="1"/>
  <c r="H18" i="6"/>
  <c r="H15" i="2"/>
  <c r="E20" i="6" s="1"/>
  <c r="G20" i="6"/>
  <c r="I17" i="2"/>
  <c r="F23" i="6" s="1"/>
  <c r="H23" i="6"/>
  <c r="D22" i="2"/>
  <c r="G24" i="2"/>
  <c r="H25" i="2"/>
  <c r="G30" i="6"/>
  <c r="H26" i="2"/>
  <c r="G31" i="6"/>
  <c r="E36" i="6"/>
  <c r="H31" i="2"/>
  <c r="G39" i="6"/>
  <c r="H28" i="5" s="1"/>
  <c r="H32" i="2"/>
  <c r="E39" i="6" s="1"/>
  <c r="F28" i="5" s="1"/>
  <c r="D37" i="2"/>
  <c r="I37" i="2"/>
  <c r="F46" i="6" s="1"/>
  <c r="H46" i="6"/>
  <c r="H41" i="2"/>
  <c r="H51" i="6"/>
  <c r="I42" i="2"/>
  <c r="F51" i="6" s="1"/>
  <c r="H48" i="2"/>
  <c r="G61" i="6"/>
  <c r="I49" i="2"/>
  <c r="F62" i="6" s="1"/>
  <c r="H62" i="6"/>
  <c r="H66" i="6"/>
  <c r="I52" i="2"/>
  <c r="F66" i="6" s="1"/>
  <c r="H59" i="2"/>
  <c r="I77" i="6"/>
  <c r="E81" i="6"/>
  <c r="H82" i="6"/>
  <c r="I62" i="2"/>
  <c r="F82" i="6" s="1"/>
  <c r="H63" i="2"/>
  <c r="I83" i="6"/>
  <c r="J30" i="5" s="1"/>
  <c r="H45" i="5"/>
  <c r="G467" i="6"/>
  <c r="H22" i="5" s="1"/>
  <c r="L45" i="5"/>
  <c r="K467" i="6"/>
  <c r="L22" i="5" s="1"/>
  <c r="P45" i="5"/>
  <c r="O467" i="6"/>
  <c r="P22" i="5" s="1"/>
  <c r="T45" i="5"/>
  <c r="S467" i="6"/>
  <c r="T22" i="5" s="1"/>
  <c r="H68" i="2"/>
  <c r="G87" i="6"/>
  <c r="H71" i="2"/>
  <c r="I89" i="6"/>
  <c r="I77" i="2"/>
  <c r="F96" i="6" s="1"/>
  <c r="H96" i="6"/>
  <c r="H100" i="6"/>
  <c r="I80" i="2"/>
  <c r="F100" i="6" s="1"/>
  <c r="H81" i="2"/>
  <c r="I102" i="6"/>
  <c r="H112" i="6"/>
  <c r="I86" i="2"/>
  <c r="F112" i="6" s="1"/>
  <c r="H92" i="2"/>
  <c r="G119" i="6"/>
  <c r="I95" i="2"/>
  <c r="F122" i="6" s="1"/>
  <c r="H122" i="6"/>
  <c r="G97" i="2"/>
  <c r="D124" i="6" s="1"/>
  <c r="E124" i="6"/>
  <c r="H98" i="2"/>
  <c r="G125" i="6"/>
  <c r="G128" i="6"/>
  <c r="H101" i="2"/>
  <c r="H137" i="6"/>
  <c r="I106" i="2"/>
  <c r="F137" i="6" s="1"/>
  <c r="H3" i="2"/>
  <c r="E3" i="6" s="1"/>
  <c r="G3" i="6"/>
  <c r="I8" i="2"/>
  <c r="F11" i="6" s="1"/>
  <c r="J11" i="6"/>
  <c r="G16" i="2"/>
  <c r="D22" i="6" s="1"/>
  <c r="E22" i="6"/>
  <c r="E41" i="6"/>
  <c r="F14" i="5" s="1"/>
  <c r="H11" i="2"/>
  <c r="G15" i="6"/>
  <c r="H12" i="2"/>
  <c r="G14" i="2"/>
  <c r="D19" i="6" s="1"/>
  <c r="E40" i="5" s="1"/>
  <c r="E19" i="6"/>
  <c r="F40" i="5" s="1"/>
  <c r="I20" i="2"/>
  <c r="F26" i="6" s="1"/>
  <c r="I21" i="2"/>
  <c r="F27" i="6" s="1"/>
  <c r="G13" i="5" s="1"/>
  <c r="H27" i="6"/>
  <c r="I13" i="5" s="1"/>
  <c r="H23" i="2"/>
  <c r="E28" i="6" s="1"/>
  <c r="G28" i="6"/>
  <c r="I25" i="2"/>
  <c r="F30" i="6" s="1"/>
  <c r="H30" i="6"/>
  <c r="I27" i="2"/>
  <c r="H32" i="6"/>
  <c r="I29" i="2"/>
  <c r="F36" i="6" s="1"/>
  <c r="H30" i="2"/>
  <c r="G37" i="6"/>
  <c r="I33" i="2"/>
  <c r="F41" i="6" s="1"/>
  <c r="G14" i="5" s="1"/>
  <c r="H41" i="6"/>
  <c r="I14" i="5" s="1"/>
  <c r="G43" i="6"/>
  <c r="H35" i="2"/>
  <c r="E48" i="6"/>
  <c r="H40" i="2"/>
  <c r="G49" i="6"/>
  <c r="I45" i="2"/>
  <c r="F54" i="6" s="1"/>
  <c r="G39" i="5" s="1"/>
  <c r="H54" i="6"/>
  <c r="I39" i="5" s="1"/>
  <c r="H61" i="6"/>
  <c r="I48" i="2"/>
  <c r="F61" i="6" s="1"/>
  <c r="H49" i="2"/>
  <c r="I62" i="6"/>
  <c r="H55" i="2"/>
  <c r="I70" i="6"/>
  <c r="I56" i="2"/>
  <c r="F73" i="6" s="1"/>
  <c r="H60" i="2"/>
  <c r="G78" i="6"/>
  <c r="H64" i="2"/>
  <c r="G64" i="2" s="1"/>
  <c r="I65" i="2"/>
  <c r="F185" i="6" s="1"/>
  <c r="H185" i="6"/>
  <c r="M45" i="5"/>
  <c r="L467" i="6"/>
  <c r="M22" i="5" s="1"/>
  <c r="Q45" i="5"/>
  <c r="P467" i="6"/>
  <c r="Q22" i="5" s="1"/>
  <c r="U45" i="5"/>
  <c r="T467" i="6"/>
  <c r="U22" i="5" s="1"/>
  <c r="H73" i="2"/>
  <c r="I92" i="6"/>
  <c r="H82" i="2"/>
  <c r="G104" i="6"/>
  <c r="I83" i="2"/>
  <c r="F105" i="6" s="1"/>
  <c r="H105" i="6"/>
  <c r="G110" i="6"/>
  <c r="H85" i="2"/>
  <c r="E118" i="6"/>
  <c r="H119" i="6"/>
  <c r="I92" i="2"/>
  <c r="F119" i="6" s="1"/>
  <c r="G151" i="2"/>
  <c r="G8" i="2"/>
  <c r="D11" i="6" s="1"/>
  <c r="E11" i="6"/>
  <c r="I9" i="2"/>
  <c r="F12" i="6" s="1"/>
  <c r="H12" i="6"/>
  <c r="H17" i="2"/>
  <c r="G23" i="6"/>
  <c r="I32" i="2"/>
  <c r="F39" i="6" s="1"/>
  <c r="G28" i="5" s="1"/>
  <c r="H42" i="6"/>
  <c r="I34" i="2"/>
  <c r="F42" i="6" s="1"/>
  <c r="I36" i="2"/>
  <c r="F44" i="6" s="1"/>
  <c r="I43" i="2"/>
  <c r="F52" i="6" s="1"/>
  <c r="H52" i="6"/>
  <c r="E54" i="6"/>
  <c r="F39" i="5" s="1"/>
  <c r="H46" i="2"/>
  <c r="G59" i="6"/>
  <c r="I53" i="2"/>
  <c r="F68" i="6" s="1"/>
  <c r="G42" i="5" s="1"/>
  <c r="H68" i="6"/>
  <c r="I42" i="5" s="1"/>
  <c r="H10" i="2"/>
  <c r="G4" i="6"/>
  <c r="H4" i="2"/>
  <c r="E4" i="6" s="1"/>
  <c r="D5" i="2"/>
  <c r="I6" i="2"/>
  <c r="F7" i="6" s="1"/>
  <c r="J7" i="6"/>
  <c r="I7" i="2"/>
  <c r="F8" i="6" s="1"/>
  <c r="H8" i="6"/>
  <c r="H9" i="2"/>
  <c r="G12" i="6"/>
  <c r="D15" i="2"/>
  <c r="H18" i="2"/>
  <c r="H19" i="2"/>
  <c r="E25" i="6" s="1"/>
  <c r="G25" i="6"/>
  <c r="G26" i="6"/>
  <c r="H20" i="2"/>
  <c r="D21" i="2"/>
  <c r="H34" i="2"/>
  <c r="G42" i="6"/>
  <c r="I35" i="2"/>
  <c r="F43" i="6" s="1"/>
  <c r="H43" i="6"/>
  <c r="H37" i="2"/>
  <c r="H38" i="2"/>
  <c r="G47" i="6"/>
  <c r="I41" i="2"/>
  <c r="F50" i="6" s="1"/>
  <c r="G29" i="5" s="1"/>
  <c r="H50" i="6"/>
  <c r="I29" i="5" s="1"/>
  <c r="G52" i="6"/>
  <c r="H43" i="2"/>
  <c r="D48" i="2"/>
  <c r="H50" i="2"/>
  <c r="G63" i="6"/>
  <c r="I51" i="2"/>
  <c r="F64" i="6" s="1"/>
  <c r="H64" i="6"/>
  <c r="G68" i="6"/>
  <c r="H42" i="5" s="1"/>
  <c r="H53" i="2"/>
  <c r="H56" i="2"/>
  <c r="G73" i="6"/>
  <c r="I57" i="2"/>
  <c r="H74" i="6"/>
  <c r="I10" i="5" s="1"/>
  <c r="I61" i="2"/>
  <c r="F81" i="6" s="1"/>
  <c r="H81" i="6"/>
  <c r="H66" i="2"/>
  <c r="G85" i="6"/>
  <c r="I67" i="2"/>
  <c r="F86" i="6" s="1"/>
  <c r="H86" i="6"/>
  <c r="I70" i="2"/>
  <c r="F88" i="6" s="1"/>
  <c r="H74" i="2"/>
  <c r="G93" i="6"/>
  <c r="I75" i="2"/>
  <c r="F95" i="6" s="1"/>
  <c r="H95" i="6"/>
  <c r="H77" i="2"/>
  <c r="H78" i="2"/>
  <c r="G98" i="6"/>
  <c r="I79" i="2"/>
  <c r="F99" i="6" s="1"/>
  <c r="H99" i="6"/>
  <c r="H84" i="2"/>
  <c r="G84" i="2" s="1"/>
  <c r="I85" i="2"/>
  <c r="F110" i="6" s="1"/>
  <c r="H110" i="6"/>
  <c r="I87" i="2"/>
  <c r="F114" i="6" s="1"/>
  <c r="G31" i="5" s="1"/>
  <c r="H114" i="6"/>
  <c r="I31" i="5" s="1"/>
  <c r="H89" i="2"/>
  <c r="E116" i="6" s="1"/>
  <c r="H90" i="2"/>
  <c r="G117" i="6"/>
  <c r="H121" i="6"/>
  <c r="I94" i="2"/>
  <c r="F121" i="6" s="1"/>
  <c r="H103" i="2"/>
  <c r="I130" i="6"/>
  <c r="H88" i="2"/>
  <c r="G115" i="6"/>
  <c r="D100" i="2"/>
  <c r="H105" i="2"/>
  <c r="I133" i="6"/>
  <c r="G107" i="2"/>
  <c r="D138" i="6" s="1"/>
  <c r="E138" i="6"/>
  <c r="H108" i="2"/>
  <c r="G139" i="6"/>
  <c r="E147" i="6"/>
  <c r="H114" i="2"/>
  <c r="G148" i="6"/>
  <c r="I117" i="2"/>
  <c r="F151" i="6" s="1"/>
  <c r="H151" i="6"/>
  <c r="H122" i="2"/>
  <c r="G122" i="2" s="1"/>
  <c r="H138" i="2"/>
  <c r="G171" i="6"/>
  <c r="I141" i="2"/>
  <c r="F175" i="6" s="1"/>
  <c r="H175" i="6"/>
  <c r="H146" i="2"/>
  <c r="G180" i="6"/>
  <c r="I149" i="2"/>
  <c r="F183" i="6" s="1"/>
  <c r="H183" i="6"/>
  <c r="H156" i="2"/>
  <c r="E191" i="6" s="1"/>
  <c r="G191" i="6"/>
  <c r="E196" i="6"/>
  <c r="H160" i="2"/>
  <c r="E197" i="6" s="1"/>
  <c r="G197" i="6"/>
  <c r="E201" i="6"/>
  <c r="H164" i="2"/>
  <c r="E203" i="6" s="1"/>
  <c r="G203" i="6"/>
  <c r="H172" i="2"/>
  <c r="E211" i="6" s="1"/>
  <c r="G211" i="6"/>
  <c r="E215" i="6"/>
  <c r="E220" i="6"/>
  <c r="H180" i="2"/>
  <c r="E221" i="6" s="1"/>
  <c r="G221" i="6"/>
  <c r="E231" i="6"/>
  <c r="H194" i="2"/>
  <c r="E239" i="6" s="1"/>
  <c r="F47" i="5" s="1"/>
  <c r="G239" i="6"/>
  <c r="H47" i="5" s="1"/>
  <c r="H240" i="6"/>
  <c r="I195" i="2"/>
  <c r="F240" i="6" s="1"/>
  <c r="I198" i="2"/>
  <c r="F246" i="6" s="1"/>
  <c r="G37" i="5" s="1"/>
  <c r="H246" i="6"/>
  <c r="I37" i="5" s="1"/>
  <c r="H200" i="2"/>
  <c r="E248" i="6" s="1"/>
  <c r="G248" i="6"/>
  <c r="H208" i="2"/>
  <c r="I254" i="6"/>
  <c r="I218" i="2"/>
  <c r="F269" i="6" s="1"/>
  <c r="H269" i="6"/>
  <c r="H223" i="2"/>
  <c r="G274" i="6"/>
  <c r="H239" i="2"/>
  <c r="G293" i="6"/>
  <c r="I324" i="6"/>
  <c r="H262" i="2"/>
  <c r="I271" i="2"/>
  <c r="F339" i="6" s="1"/>
  <c r="I356" i="6"/>
  <c r="H286" i="2"/>
  <c r="I366" i="6"/>
  <c r="J53" i="5" s="1"/>
  <c r="H294" i="2"/>
  <c r="I375" i="6"/>
  <c r="H302" i="2"/>
  <c r="I383" i="6"/>
  <c r="H310" i="2"/>
  <c r="I392" i="6"/>
  <c r="H318" i="2"/>
  <c r="E394" i="6"/>
  <c r="F7" i="5" s="1"/>
  <c r="H329" i="2"/>
  <c r="G404" i="6"/>
  <c r="I332" i="2"/>
  <c r="F407" i="6" s="1"/>
  <c r="H407" i="6"/>
  <c r="H337" i="2"/>
  <c r="G412" i="6"/>
  <c r="G422" i="6"/>
  <c r="H346" i="2"/>
  <c r="H434" i="6"/>
  <c r="I355" i="2"/>
  <c r="F434" i="6" s="1"/>
  <c r="I439" i="6"/>
  <c r="H358" i="2"/>
  <c r="E439" i="6" s="1"/>
  <c r="E441" i="6"/>
  <c r="I382" i="2"/>
  <c r="H470" i="6"/>
  <c r="G475" i="6"/>
  <c r="H388" i="2"/>
  <c r="E475" i="6" s="1"/>
  <c r="H487" i="6"/>
  <c r="I397" i="2"/>
  <c r="F487" i="6" s="1"/>
  <c r="I491" i="6"/>
  <c r="H400" i="2"/>
  <c r="E491" i="6" s="1"/>
  <c r="H411" i="2"/>
  <c r="G503" i="6"/>
  <c r="I414" i="2"/>
  <c r="H506" i="6"/>
  <c r="H521" i="6"/>
  <c r="I426" i="2"/>
  <c r="F521" i="6" s="1"/>
  <c r="I431" i="2"/>
  <c r="H528" i="6"/>
  <c r="G538" i="6"/>
  <c r="H440" i="2"/>
  <c r="H542" i="6"/>
  <c r="I443" i="2"/>
  <c r="F542" i="6" s="1"/>
  <c r="I554" i="6"/>
  <c r="H452" i="2"/>
  <c r="G453" i="2"/>
  <c r="D555" i="6" s="1"/>
  <c r="E555" i="6"/>
  <c r="H454" i="2"/>
  <c r="G556" i="6"/>
  <c r="H559" i="6"/>
  <c r="I457" i="2"/>
  <c r="F559" i="6" s="1"/>
  <c r="G564" i="6"/>
  <c r="H461" i="2"/>
  <c r="G463" i="2"/>
  <c r="D566" i="6" s="1"/>
  <c r="E566" i="6"/>
  <c r="G571" i="6"/>
  <c r="H469" i="2"/>
  <c r="I4" i="2"/>
  <c r="F4" i="6" s="1"/>
  <c r="J4" i="6"/>
  <c r="I5" i="2"/>
  <c r="F6" i="6" s="1"/>
  <c r="H6" i="6"/>
  <c r="H6" i="2"/>
  <c r="I7" i="6"/>
  <c r="H7" i="2"/>
  <c r="G8" i="6"/>
  <c r="D9" i="2"/>
  <c r="H13" i="2"/>
  <c r="G18" i="6"/>
  <c r="I15" i="2"/>
  <c r="F20" i="6" s="1"/>
  <c r="H20" i="6"/>
  <c r="D17" i="2"/>
  <c r="H21" i="2"/>
  <c r="G27" i="6"/>
  <c r="H13" i="5" s="1"/>
  <c r="I23" i="2"/>
  <c r="F28" i="6" s="1"/>
  <c r="H28" i="6"/>
  <c r="D25" i="2"/>
  <c r="H28" i="2"/>
  <c r="E35" i="6" s="1"/>
  <c r="G35" i="6"/>
  <c r="D29" i="2"/>
  <c r="D30" i="2"/>
  <c r="I31" i="2"/>
  <c r="F38" i="6" s="1"/>
  <c r="H38" i="6"/>
  <c r="H36" i="2"/>
  <c r="G44" i="6"/>
  <c r="I39" i="2"/>
  <c r="F48" i="6" s="1"/>
  <c r="H48" i="6"/>
  <c r="H44" i="2"/>
  <c r="G53" i="6"/>
  <c r="D46" i="2"/>
  <c r="H47" i="2"/>
  <c r="I60" i="6"/>
  <c r="H51" i="2"/>
  <c r="I64" i="6"/>
  <c r="H54" i="2"/>
  <c r="G69" i="6"/>
  <c r="I55" i="2"/>
  <c r="F70" i="6" s="1"/>
  <c r="H70" i="6"/>
  <c r="H58" i="2"/>
  <c r="G76" i="6"/>
  <c r="I59" i="2"/>
  <c r="F77" i="6" s="1"/>
  <c r="H77" i="6"/>
  <c r="D64" i="2"/>
  <c r="H65" i="2"/>
  <c r="I185" i="6"/>
  <c r="N45" i="5"/>
  <c r="M467" i="6"/>
  <c r="N22" i="5" s="1"/>
  <c r="R45" i="5"/>
  <c r="Q467" i="6"/>
  <c r="R22" i="5" s="1"/>
  <c r="V45" i="5"/>
  <c r="U467" i="6"/>
  <c r="V22" i="5" s="1"/>
  <c r="D68" i="2"/>
  <c r="I69" i="2"/>
  <c r="G69" i="2" s="1"/>
  <c r="H72" i="2"/>
  <c r="G91" i="6"/>
  <c r="I73" i="2"/>
  <c r="F92" i="6" s="1"/>
  <c r="H92" i="6"/>
  <c r="H76" i="2"/>
  <c r="G76" i="2" s="1"/>
  <c r="D78" i="2"/>
  <c r="H79" i="2"/>
  <c r="I99" i="6"/>
  <c r="H83" i="2"/>
  <c r="I105" i="6"/>
  <c r="H86" i="2"/>
  <c r="G112" i="6"/>
  <c r="D88" i="2"/>
  <c r="I89" i="2"/>
  <c r="F116" i="6" s="1"/>
  <c r="H116" i="6"/>
  <c r="H94" i="2"/>
  <c r="G121" i="6"/>
  <c r="D98" i="2"/>
  <c r="H99" i="2"/>
  <c r="H100" i="2"/>
  <c r="G127" i="6"/>
  <c r="I101" i="2"/>
  <c r="F128" i="6" s="1"/>
  <c r="H102" i="2"/>
  <c r="E129" i="6" s="1"/>
  <c r="G129" i="6"/>
  <c r="I103" i="2"/>
  <c r="F130" i="6" s="1"/>
  <c r="H130" i="6"/>
  <c r="H106" i="2"/>
  <c r="G137" i="6"/>
  <c r="H109" i="2"/>
  <c r="I141" i="6"/>
  <c r="I110" i="2"/>
  <c r="F143" i="6" s="1"/>
  <c r="H111" i="2"/>
  <c r="H112" i="2"/>
  <c r="G146" i="6"/>
  <c r="D114" i="2"/>
  <c r="I115" i="2"/>
  <c r="F149" i="6" s="1"/>
  <c r="G36" i="5" s="1"/>
  <c r="H149" i="6"/>
  <c r="I36" i="5" s="1"/>
  <c r="H119" i="2"/>
  <c r="H120" i="2"/>
  <c r="G156" i="6"/>
  <c r="H16" i="5" s="1"/>
  <c r="D122" i="2"/>
  <c r="I123" i="2"/>
  <c r="I126" i="2"/>
  <c r="F161" i="6" s="1"/>
  <c r="G44" i="5" s="1"/>
  <c r="H127" i="2"/>
  <c r="H128" i="2"/>
  <c r="G128" i="2" s="1"/>
  <c r="D130" i="2"/>
  <c r="I131" i="2"/>
  <c r="F164" i="6" s="1"/>
  <c r="H164" i="6"/>
  <c r="I134" i="2"/>
  <c r="F167" i="6" s="1"/>
  <c r="H136" i="2"/>
  <c r="G169" i="6"/>
  <c r="D138" i="2"/>
  <c r="I139" i="2"/>
  <c r="F172" i="6" s="1"/>
  <c r="H172" i="6"/>
  <c r="I142" i="2"/>
  <c r="F176" i="6" s="1"/>
  <c r="G17" i="5" s="1"/>
  <c r="H143" i="2"/>
  <c r="H144" i="2"/>
  <c r="G178" i="6"/>
  <c r="D146" i="2"/>
  <c r="I147" i="2"/>
  <c r="F181" i="6" s="1"/>
  <c r="H181" i="6"/>
  <c r="H150" i="2"/>
  <c r="G184" i="6"/>
  <c r="I152" i="2"/>
  <c r="F187" i="6" s="1"/>
  <c r="G46" i="5" s="1"/>
  <c r="H187" i="6"/>
  <c r="I46" i="5" s="1"/>
  <c r="D154" i="2"/>
  <c r="I155" i="2"/>
  <c r="F190" i="6" s="1"/>
  <c r="I156" i="2"/>
  <c r="F191" i="6" s="1"/>
  <c r="H191" i="6"/>
  <c r="D158" i="2"/>
  <c r="I159" i="2"/>
  <c r="F196" i="6" s="1"/>
  <c r="I160" i="2"/>
  <c r="F197" i="6" s="1"/>
  <c r="H197" i="6"/>
  <c r="D162" i="2"/>
  <c r="I163" i="2"/>
  <c r="F201" i="6" s="1"/>
  <c r="I164" i="2"/>
  <c r="F203" i="6" s="1"/>
  <c r="H203" i="6"/>
  <c r="D166" i="2"/>
  <c r="I167" i="2"/>
  <c r="F206" i="6" s="1"/>
  <c r="I168" i="2"/>
  <c r="F207" i="6" s="1"/>
  <c r="H207" i="6"/>
  <c r="D170" i="2"/>
  <c r="I171" i="2"/>
  <c r="F210" i="6" s="1"/>
  <c r="I172" i="2"/>
  <c r="F211" i="6" s="1"/>
  <c r="H211" i="6"/>
  <c r="D174" i="2"/>
  <c r="I175" i="2"/>
  <c r="F215" i="6" s="1"/>
  <c r="I176" i="2"/>
  <c r="F216" i="6" s="1"/>
  <c r="H216" i="6"/>
  <c r="D178" i="2"/>
  <c r="I179" i="2"/>
  <c r="F220" i="6" s="1"/>
  <c r="I180" i="2"/>
  <c r="F221" i="6" s="1"/>
  <c r="H221" i="6"/>
  <c r="D182" i="2"/>
  <c r="I183" i="2"/>
  <c r="F225" i="6" s="1"/>
  <c r="I184" i="2"/>
  <c r="D186" i="2"/>
  <c r="H189" i="2"/>
  <c r="H190" i="2"/>
  <c r="E235" i="6" s="1"/>
  <c r="G235" i="6"/>
  <c r="D191" i="2"/>
  <c r="D192" i="2"/>
  <c r="I194" i="2"/>
  <c r="F239" i="6" s="1"/>
  <c r="G47" i="5" s="1"/>
  <c r="H239" i="6"/>
  <c r="I47" i="5" s="1"/>
  <c r="H196" i="2"/>
  <c r="E244" i="6" s="1"/>
  <c r="G244" i="6"/>
  <c r="H199" i="2"/>
  <c r="H204" i="2"/>
  <c r="I251" i="6"/>
  <c r="I205" i="2"/>
  <c r="F252" i="6" s="1"/>
  <c r="G19" i="5" s="1"/>
  <c r="H209" i="2"/>
  <c r="E255" i="6" s="1"/>
  <c r="G255" i="6"/>
  <c r="I210" i="2"/>
  <c r="F256" i="6" s="1"/>
  <c r="H256" i="6"/>
  <c r="H212" i="2"/>
  <c r="H213" i="2"/>
  <c r="G262" i="6"/>
  <c r="H20" i="5" s="1"/>
  <c r="I214" i="2"/>
  <c r="F263" i="6" s="1"/>
  <c r="H263" i="6"/>
  <c r="H219" i="2"/>
  <c r="G270" i="6"/>
  <c r="H38" i="5" s="1"/>
  <c r="I220" i="2"/>
  <c r="F271" i="6" s="1"/>
  <c r="H271" i="6"/>
  <c r="H274" i="6"/>
  <c r="I223" i="2"/>
  <c r="F274" i="6" s="1"/>
  <c r="H224" i="2"/>
  <c r="I275" i="6"/>
  <c r="D230" i="2"/>
  <c r="I230" i="2"/>
  <c r="F283" i="6" s="1"/>
  <c r="H283" i="6"/>
  <c r="H234" i="2"/>
  <c r="E288" i="6" s="1"/>
  <c r="H289" i="6"/>
  <c r="I50" i="5" s="1"/>
  <c r="I235" i="2"/>
  <c r="F289" i="6" s="1"/>
  <c r="G50" i="5" s="1"/>
  <c r="I237" i="2"/>
  <c r="F291" i="6" s="1"/>
  <c r="H243" i="2"/>
  <c r="G299" i="6"/>
  <c r="I244" i="2"/>
  <c r="F301" i="6" s="1"/>
  <c r="H301" i="6"/>
  <c r="H250" i="2"/>
  <c r="E307" i="6" s="1"/>
  <c r="H308" i="6"/>
  <c r="I251" i="2"/>
  <c r="F308" i="6" s="1"/>
  <c r="H321" i="6"/>
  <c r="I259" i="2"/>
  <c r="F321" i="6" s="1"/>
  <c r="H333" i="6"/>
  <c r="I267" i="2"/>
  <c r="F333" i="6" s="1"/>
  <c r="H343" i="6"/>
  <c r="I275" i="2"/>
  <c r="F343" i="6" s="1"/>
  <c r="H353" i="6"/>
  <c r="I34" i="5" s="1"/>
  <c r="I283" i="2"/>
  <c r="F353" i="6" s="1"/>
  <c r="G34" i="5" s="1"/>
  <c r="H372" i="6"/>
  <c r="I299" i="2"/>
  <c r="F372" i="6" s="1"/>
  <c r="H380" i="6"/>
  <c r="I307" i="2"/>
  <c r="F380" i="6" s="1"/>
  <c r="H388" i="6"/>
  <c r="I5" i="5" s="1"/>
  <c r="I315" i="2"/>
  <c r="F388" i="6" s="1"/>
  <c r="G5" i="5" s="1"/>
  <c r="H398" i="6"/>
  <c r="I323" i="2"/>
  <c r="F398" i="6" s="1"/>
  <c r="D334" i="2"/>
  <c r="I409" i="6"/>
  <c r="H334" i="2"/>
  <c r="E411" i="6"/>
  <c r="H345" i="2"/>
  <c r="G421" i="6"/>
  <c r="I348" i="2"/>
  <c r="F425" i="6" s="1"/>
  <c r="G8" i="5" s="1"/>
  <c r="H425" i="6"/>
  <c r="I8" i="5" s="1"/>
  <c r="G433" i="6"/>
  <c r="H354" i="2"/>
  <c r="H446" i="6"/>
  <c r="I363" i="2"/>
  <c r="F446" i="6" s="1"/>
  <c r="D366" i="2"/>
  <c r="H460" i="6"/>
  <c r="I373" i="2"/>
  <c r="F460" i="6" s="1"/>
  <c r="D376" i="2"/>
  <c r="I464" i="6"/>
  <c r="H376" i="2"/>
  <c r="E464" i="6" s="1"/>
  <c r="H387" i="2"/>
  <c r="G57" i="6"/>
  <c r="H41" i="5" s="1"/>
  <c r="I390" i="2"/>
  <c r="H477" i="6"/>
  <c r="G486" i="6"/>
  <c r="H396" i="2"/>
  <c r="E486" i="6" s="1"/>
  <c r="H497" i="6"/>
  <c r="I405" i="2"/>
  <c r="F497" i="6" s="1"/>
  <c r="D408" i="2"/>
  <c r="I500" i="6"/>
  <c r="H408" i="2"/>
  <c r="E500" i="6" s="1"/>
  <c r="H419" i="2"/>
  <c r="G513" i="6"/>
  <c r="H26" i="5" s="1"/>
  <c r="G520" i="6"/>
  <c r="H425" i="2"/>
  <c r="E520" i="6" s="1"/>
  <c r="H430" i="2"/>
  <c r="G527" i="6"/>
  <c r="H439" i="2"/>
  <c r="G537" i="6"/>
  <c r="I442" i="2"/>
  <c r="F541" i="6" s="1"/>
  <c r="H541" i="6"/>
  <c r="G549" i="6"/>
  <c r="H448" i="2"/>
  <c r="H553" i="6"/>
  <c r="I451" i="2"/>
  <c r="F553" i="6" s="1"/>
  <c r="H582" i="6"/>
  <c r="I58" i="5" s="1"/>
  <c r="I477" i="2"/>
  <c r="F582" i="6" s="1"/>
  <c r="G58" i="5" s="1"/>
  <c r="I484" i="2"/>
  <c r="F589" i="6" s="1"/>
  <c r="H589" i="6"/>
  <c r="G593" i="6"/>
  <c r="H488" i="2"/>
  <c r="I492" i="2"/>
  <c r="F597" i="6" s="1"/>
  <c r="H597" i="6"/>
  <c r="H110" i="2"/>
  <c r="G143" i="6"/>
  <c r="I113" i="2"/>
  <c r="F147" i="6" s="1"/>
  <c r="H147" i="6"/>
  <c r="G118" i="2"/>
  <c r="I121" i="2"/>
  <c r="F157" i="6" s="1"/>
  <c r="H157" i="6"/>
  <c r="H126" i="2"/>
  <c r="G161" i="6"/>
  <c r="H44" i="5" s="1"/>
  <c r="I129" i="2"/>
  <c r="F163" i="6" s="1"/>
  <c r="H163" i="6"/>
  <c r="I132" i="2"/>
  <c r="F165" i="6" s="1"/>
  <c r="H134" i="2"/>
  <c r="G167" i="6"/>
  <c r="I137" i="2"/>
  <c r="F170" i="6" s="1"/>
  <c r="H170" i="6"/>
  <c r="I140" i="2"/>
  <c r="F173" i="6" s="1"/>
  <c r="H142" i="2"/>
  <c r="G176" i="6"/>
  <c r="H17" i="5" s="1"/>
  <c r="I145" i="2"/>
  <c r="F179" i="6" s="1"/>
  <c r="H179" i="6"/>
  <c r="I148" i="2"/>
  <c r="F182" i="6" s="1"/>
  <c r="I150" i="2"/>
  <c r="F184" i="6" s="1"/>
  <c r="H184" i="6"/>
  <c r="H153" i="2"/>
  <c r="H154" i="2"/>
  <c r="E189" i="6" s="1"/>
  <c r="F18" i="5" s="1"/>
  <c r="G189" i="6"/>
  <c r="H18" i="5" s="1"/>
  <c r="D155" i="2"/>
  <c r="H157" i="2"/>
  <c r="H158" i="2"/>
  <c r="E195" i="6" s="1"/>
  <c r="G195" i="6"/>
  <c r="D159" i="2"/>
  <c r="H161" i="2"/>
  <c r="H162" i="2"/>
  <c r="E200" i="6" s="1"/>
  <c r="G200" i="6"/>
  <c r="D163" i="2"/>
  <c r="H165" i="2"/>
  <c r="H166" i="2"/>
  <c r="E205" i="6" s="1"/>
  <c r="G205" i="6"/>
  <c r="D167" i="2"/>
  <c r="H169" i="2"/>
  <c r="H170" i="2"/>
  <c r="E209" i="6" s="1"/>
  <c r="G209" i="6"/>
  <c r="D171" i="2"/>
  <c r="H173" i="2"/>
  <c r="H174" i="2"/>
  <c r="E213" i="6" s="1"/>
  <c r="G213" i="6"/>
  <c r="D175" i="2"/>
  <c r="H177" i="2"/>
  <c r="H178" i="2"/>
  <c r="E219" i="6" s="1"/>
  <c r="G219" i="6"/>
  <c r="D179" i="2"/>
  <c r="H182" i="2"/>
  <c r="E223" i="6" s="1"/>
  <c r="G223" i="6"/>
  <c r="D183" i="2"/>
  <c r="H185" i="2"/>
  <c r="H186" i="2"/>
  <c r="E229" i="6" s="1"/>
  <c r="G229" i="6"/>
  <c r="D187" i="2"/>
  <c r="H231" i="6"/>
  <c r="I187" i="2"/>
  <c r="F231" i="6" s="1"/>
  <c r="I190" i="2"/>
  <c r="F235" i="6" s="1"/>
  <c r="H235" i="6"/>
  <c r="H192" i="2"/>
  <c r="H195" i="2"/>
  <c r="H201" i="2"/>
  <c r="H202" i="2"/>
  <c r="E250" i="6" s="1"/>
  <c r="G250" i="6"/>
  <c r="D203" i="2"/>
  <c r="H205" i="2"/>
  <c r="E252" i="6" s="1"/>
  <c r="F19" i="5" s="1"/>
  <c r="G252" i="6"/>
  <c r="H19" i="5" s="1"/>
  <c r="H210" i="2"/>
  <c r="I256" i="6"/>
  <c r="I211" i="2"/>
  <c r="F260" i="6" s="1"/>
  <c r="H215" i="2"/>
  <c r="G264" i="6"/>
  <c r="H32" i="5" s="1"/>
  <c r="I216" i="2"/>
  <c r="F266" i="6" s="1"/>
  <c r="H266" i="6"/>
  <c r="H270" i="6"/>
  <c r="I38" i="5" s="1"/>
  <c r="I219" i="2"/>
  <c r="F270" i="6" s="1"/>
  <c r="G38" i="5" s="1"/>
  <c r="H220" i="2"/>
  <c r="I271" i="6"/>
  <c r="H225" i="2"/>
  <c r="G276" i="6"/>
  <c r="I226" i="2"/>
  <c r="G281" i="6"/>
  <c r="H228" i="2"/>
  <c r="E281" i="6" s="1"/>
  <c r="D229" i="2"/>
  <c r="E286" i="6"/>
  <c r="F48" i="5" s="1"/>
  <c r="H233" i="2"/>
  <c r="G287" i="6"/>
  <c r="H49" i="5" s="1"/>
  <c r="I238" i="2"/>
  <c r="F292" i="6" s="1"/>
  <c r="H292" i="6"/>
  <c r="I241" i="2"/>
  <c r="F297" i="6" s="1"/>
  <c r="H299" i="6"/>
  <c r="I243" i="2"/>
  <c r="F299" i="6" s="1"/>
  <c r="I246" i="2"/>
  <c r="F303" i="6" s="1"/>
  <c r="H303" i="6"/>
  <c r="E305" i="6"/>
  <c r="G320" i="6"/>
  <c r="H258" i="2"/>
  <c r="E320" i="6" s="1"/>
  <c r="G332" i="6"/>
  <c r="H266" i="2"/>
  <c r="E332" i="6" s="1"/>
  <c r="G342" i="6"/>
  <c r="H274" i="2"/>
  <c r="E342" i="6" s="1"/>
  <c r="G352" i="6"/>
  <c r="H282" i="2"/>
  <c r="E352" i="6" s="1"/>
  <c r="G371" i="6"/>
  <c r="H298" i="2"/>
  <c r="E371" i="6" s="1"/>
  <c r="G379" i="6"/>
  <c r="H306" i="2"/>
  <c r="E379" i="6" s="1"/>
  <c r="G387" i="6"/>
  <c r="H314" i="2"/>
  <c r="E387" i="6" s="1"/>
  <c r="H406" i="6"/>
  <c r="I331" i="2"/>
  <c r="F406" i="6" s="1"/>
  <c r="H414" i="6"/>
  <c r="I339" i="2"/>
  <c r="F414" i="6" s="1"/>
  <c r="I418" i="6"/>
  <c r="H342" i="2"/>
  <c r="E420" i="6"/>
  <c r="H353" i="2"/>
  <c r="G432" i="6"/>
  <c r="I356" i="2"/>
  <c r="F435" i="6" s="1"/>
  <c r="H435" i="6"/>
  <c r="G445" i="6"/>
  <c r="H362" i="2"/>
  <c r="G458" i="6"/>
  <c r="H372" i="2"/>
  <c r="E458" i="6" s="1"/>
  <c r="H469" i="6"/>
  <c r="I381" i="2"/>
  <c r="F469" i="6" s="1"/>
  <c r="I472" i="6"/>
  <c r="J55" i="5" s="1"/>
  <c r="H384" i="2"/>
  <c r="E472" i="6" s="1"/>
  <c r="F55" i="5" s="1"/>
  <c r="H395" i="2"/>
  <c r="G485" i="6"/>
  <c r="I398" i="2"/>
  <c r="H488" i="6"/>
  <c r="G496" i="6"/>
  <c r="H24" i="5" s="1"/>
  <c r="H404" i="2"/>
  <c r="E496" i="6" s="1"/>
  <c r="F24" i="5" s="1"/>
  <c r="H505" i="6"/>
  <c r="I413" i="2"/>
  <c r="F505" i="6" s="1"/>
  <c r="I511" i="6"/>
  <c r="H416" i="2"/>
  <c r="E511" i="6" s="1"/>
  <c r="H424" i="2"/>
  <c r="G519" i="6"/>
  <c r="I427" i="2"/>
  <c r="H523" i="6"/>
  <c r="I435" i="2"/>
  <c r="H533" i="6"/>
  <c r="E536" i="6"/>
  <c r="G539" i="6"/>
  <c r="H441" i="2"/>
  <c r="I450" i="2"/>
  <c r="F552" i="6" s="1"/>
  <c r="G56" i="5" s="1"/>
  <c r="H552" i="6"/>
  <c r="I56" i="5" s="1"/>
  <c r="G557" i="6"/>
  <c r="H455" i="2"/>
  <c r="G562" i="6"/>
  <c r="H460" i="2"/>
  <c r="G567" i="6"/>
  <c r="H465" i="2"/>
  <c r="H468" i="2"/>
  <c r="G569" i="6"/>
  <c r="H574" i="6"/>
  <c r="I57" i="5" s="1"/>
  <c r="I471" i="2"/>
  <c r="F574" i="6" s="1"/>
  <c r="G57" i="5" s="1"/>
  <c r="I474" i="2"/>
  <c r="F578" i="6" s="1"/>
  <c r="H578" i="6"/>
  <c r="G588" i="6"/>
  <c r="H483" i="2"/>
  <c r="H487" i="2"/>
  <c r="G592" i="6"/>
  <c r="H596" i="6"/>
  <c r="I491" i="2"/>
  <c r="F596" i="6" s="1"/>
  <c r="I93" i="2"/>
  <c r="F120" i="6" s="1"/>
  <c r="H120" i="6"/>
  <c r="H96" i="2"/>
  <c r="E123" i="6" s="1"/>
  <c r="G123" i="6"/>
  <c r="I98" i="2"/>
  <c r="F125" i="6" s="1"/>
  <c r="H125" i="6"/>
  <c r="D102" i="2"/>
  <c r="H104" i="2"/>
  <c r="E131" i="6" s="1"/>
  <c r="F15" i="5" s="1"/>
  <c r="G131" i="6"/>
  <c r="H15" i="5" s="1"/>
  <c r="I105" i="2"/>
  <c r="F133" i="6" s="1"/>
  <c r="H133" i="6"/>
  <c r="D110" i="2"/>
  <c r="I111" i="2"/>
  <c r="F144" i="6" s="1"/>
  <c r="H144" i="6"/>
  <c r="H115" i="2"/>
  <c r="E149" i="6" s="1"/>
  <c r="F36" i="5" s="1"/>
  <c r="G116" i="2"/>
  <c r="D118" i="2"/>
  <c r="I119" i="2"/>
  <c r="F155" i="6" s="1"/>
  <c r="H155" i="6"/>
  <c r="H124" i="2"/>
  <c r="G159" i="6"/>
  <c r="D126" i="2"/>
  <c r="I127" i="2"/>
  <c r="F162" i="6" s="1"/>
  <c r="H162" i="6"/>
  <c r="H131" i="2"/>
  <c r="E164" i="6" s="1"/>
  <c r="H132" i="2"/>
  <c r="G165" i="6"/>
  <c r="D134" i="2"/>
  <c r="H139" i="2"/>
  <c r="E172" i="6" s="1"/>
  <c r="H140" i="2"/>
  <c r="G173" i="6"/>
  <c r="D142" i="2"/>
  <c r="I143" i="2"/>
  <c r="F177" i="6" s="1"/>
  <c r="H177" i="6"/>
  <c r="H147" i="2"/>
  <c r="E181" i="6" s="1"/>
  <c r="H148" i="2"/>
  <c r="G182" i="6"/>
  <c r="D150" i="2"/>
  <c r="I154" i="2"/>
  <c r="F189" i="6" s="1"/>
  <c r="G18" i="5" s="1"/>
  <c r="H189" i="6"/>
  <c r="I18" i="5" s="1"/>
  <c r="I158" i="2"/>
  <c r="F195" i="6" s="1"/>
  <c r="H195" i="6"/>
  <c r="I162" i="2"/>
  <c r="F200" i="6" s="1"/>
  <c r="H200" i="6"/>
  <c r="I166" i="2"/>
  <c r="F205" i="6" s="1"/>
  <c r="H205" i="6"/>
  <c r="I170" i="2"/>
  <c r="F209" i="6" s="1"/>
  <c r="H209" i="6"/>
  <c r="I174" i="2"/>
  <c r="F213" i="6" s="1"/>
  <c r="H213" i="6"/>
  <c r="I178" i="2"/>
  <c r="F219" i="6" s="1"/>
  <c r="H219" i="6"/>
  <c r="I182" i="2"/>
  <c r="F223" i="6" s="1"/>
  <c r="H223" i="6"/>
  <c r="I186" i="2"/>
  <c r="F229" i="6" s="1"/>
  <c r="H229" i="6"/>
  <c r="H188" i="2"/>
  <c r="E232" i="6" s="1"/>
  <c r="G232" i="6"/>
  <c r="G197" i="2"/>
  <c r="D245" i="6" s="1"/>
  <c r="E245" i="6"/>
  <c r="H198" i="2"/>
  <c r="E246" i="6" s="1"/>
  <c r="F37" i="5" s="1"/>
  <c r="G246" i="6"/>
  <c r="H37" i="5" s="1"/>
  <c r="D199" i="2"/>
  <c r="H247" i="6"/>
  <c r="I199" i="2"/>
  <c r="F247" i="6" s="1"/>
  <c r="I202" i="2"/>
  <c r="F250" i="6" s="1"/>
  <c r="H250" i="6"/>
  <c r="D212" i="2"/>
  <c r="I212" i="2"/>
  <c r="F261" i="6" s="1"/>
  <c r="H261" i="6"/>
  <c r="H264" i="6"/>
  <c r="I32" i="5" s="1"/>
  <c r="I215" i="2"/>
  <c r="F264" i="6" s="1"/>
  <c r="G32" i="5" s="1"/>
  <c r="H216" i="2"/>
  <c r="I266" i="6"/>
  <c r="H221" i="2"/>
  <c r="G272" i="6"/>
  <c r="I222" i="2"/>
  <c r="F273" i="6" s="1"/>
  <c r="H273" i="6"/>
  <c r="H227" i="2"/>
  <c r="G279" i="6"/>
  <c r="I228" i="2"/>
  <c r="F281" i="6" s="1"/>
  <c r="H281" i="6"/>
  <c r="G230" i="2"/>
  <c r="D283" i="6" s="1"/>
  <c r="E283" i="6"/>
  <c r="H231" i="2"/>
  <c r="G285" i="6"/>
  <c r="I234" i="2"/>
  <c r="F288" i="6" s="1"/>
  <c r="H288" i="6"/>
  <c r="G290" i="6"/>
  <c r="H51" i="5" s="1"/>
  <c r="H236" i="2"/>
  <c r="E290" i="6" s="1"/>
  <c r="F51" i="5" s="1"/>
  <c r="D237" i="2"/>
  <c r="H240" i="2"/>
  <c r="H241" i="2"/>
  <c r="G297" i="6"/>
  <c r="D243" i="2"/>
  <c r="D246" i="2"/>
  <c r="I303" i="6"/>
  <c r="H246" i="2"/>
  <c r="I252" i="2"/>
  <c r="F310" i="6" s="1"/>
  <c r="H310" i="6"/>
  <c r="E318" i="6"/>
  <c r="H257" i="2"/>
  <c r="G319" i="6"/>
  <c r="I260" i="2"/>
  <c r="F322" i="6" s="1"/>
  <c r="H322" i="6"/>
  <c r="H265" i="2"/>
  <c r="G331" i="6"/>
  <c r="I268" i="2"/>
  <c r="F335" i="6" s="1"/>
  <c r="H335" i="6"/>
  <c r="E340" i="6"/>
  <c r="H273" i="2"/>
  <c r="G341" i="6"/>
  <c r="I276" i="2"/>
  <c r="F344" i="6" s="1"/>
  <c r="H344" i="6"/>
  <c r="E348" i="6"/>
  <c r="H281" i="2"/>
  <c r="G351" i="6"/>
  <c r="I284" i="2"/>
  <c r="F354" i="6" s="1"/>
  <c r="G4" i="5" s="1"/>
  <c r="H354" i="6"/>
  <c r="I4" i="5" s="1"/>
  <c r="E359" i="6"/>
  <c r="H289" i="2"/>
  <c r="G360" i="6"/>
  <c r="I292" i="2"/>
  <c r="F363" i="6" s="1"/>
  <c r="H363" i="6"/>
  <c r="E368" i="6"/>
  <c r="H297" i="2"/>
  <c r="G370" i="6"/>
  <c r="I300" i="2"/>
  <c r="F373" i="6" s="1"/>
  <c r="H373" i="6"/>
  <c r="E377" i="6"/>
  <c r="H305" i="2"/>
  <c r="G378" i="6"/>
  <c r="I308" i="2"/>
  <c r="F381" i="6" s="1"/>
  <c r="H381" i="6"/>
  <c r="E385" i="6"/>
  <c r="H313" i="2"/>
  <c r="G386" i="6"/>
  <c r="I316" i="2"/>
  <c r="F389" i="6" s="1"/>
  <c r="H389" i="6"/>
  <c r="H321" i="2"/>
  <c r="G395" i="6"/>
  <c r="I324" i="2"/>
  <c r="F399" i="6" s="1"/>
  <c r="H399" i="6"/>
  <c r="G405" i="6"/>
  <c r="H330" i="2"/>
  <c r="E405" i="6" s="1"/>
  <c r="G413" i="6"/>
  <c r="H338" i="2"/>
  <c r="E413" i="6" s="1"/>
  <c r="D350" i="2"/>
  <c r="I428" i="6"/>
  <c r="H350" i="2"/>
  <c r="E431" i="6"/>
  <c r="H361" i="2"/>
  <c r="G444" i="6"/>
  <c r="I364" i="2"/>
  <c r="F447" i="6" s="1"/>
  <c r="H447" i="6"/>
  <c r="D370" i="2"/>
  <c r="H371" i="2"/>
  <c r="E456" i="6" s="1"/>
  <c r="G456" i="6"/>
  <c r="G374" i="2"/>
  <c r="G468" i="6"/>
  <c r="H380" i="2"/>
  <c r="E468" i="6" s="1"/>
  <c r="H476" i="6"/>
  <c r="I389" i="2"/>
  <c r="F476" i="6" s="1"/>
  <c r="D392" i="2"/>
  <c r="I480" i="6"/>
  <c r="H392" i="2"/>
  <c r="E480" i="6" s="1"/>
  <c r="G403" i="2"/>
  <c r="G406" i="2"/>
  <c r="G504" i="6"/>
  <c r="H25" i="5" s="1"/>
  <c r="H412" i="2"/>
  <c r="E504" i="6" s="1"/>
  <c r="F25" i="5" s="1"/>
  <c r="D421" i="2"/>
  <c r="I515" i="6"/>
  <c r="H421" i="2"/>
  <c r="E515" i="6" s="1"/>
  <c r="H434" i="2"/>
  <c r="G532" i="6"/>
  <c r="I544" i="6"/>
  <c r="H444" i="2"/>
  <c r="G445" i="2"/>
  <c r="D545" i="6" s="1"/>
  <c r="E545" i="6"/>
  <c r="E546" i="6"/>
  <c r="G449" i="2"/>
  <c r="I476" i="2"/>
  <c r="F581" i="6" s="1"/>
  <c r="H581" i="6"/>
  <c r="H590" i="6"/>
  <c r="I485" i="2"/>
  <c r="F590" i="6" s="1"/>
  <c r="G595" i="6"/>
  <c r="H490" i="2"/>
  <c r="I91" i="2"/>
  <c r="F118" i="6" s="1"/>
  <c r="H118" i="6"/>
  <c r="H95" i="2"/>
  <c r="I96" i="2"/>
  <c r="F123" i="6" s="1"/>
  <c r="H123" i="6"/>
  <c r="I109" i="2"/>
  <c r="F141" i="6" s="1"/>
  <c r="H141" i="6"/>
  <c r="I112" i="2"/>
  <c r="F146" i="6" s="1"/>
  <c r="I120" i="2"/>
  <c r="F156" i="6" s="1"/>
  <c r="G16" i="5" s="1"/>
  <c r="G121" i="2"/>
  <c r="D157" i="6" s="1"/>
  <c r="E157" i="6"/>
  <c r="I125" i="2"/>
  <c r="F160" i="6" s="1"/>
  <c r="H160" i="6"/>
  <c r="G129" i="2"/>
  <c r="D163" i="6" s="1"/>
  <c r="E163" i="6"/>
  <c r="I133" i="2"/>
  <c r="F166" i="6" s="1"/>
  <c r="H166" i="6"/>
  <c r="G137" i="2"/>
  <c r="D170" i="6" s="1"/>
  <c r="E170" i="6"/>
  <c r="G145" i="2"/>
  <c r="D179" i="6" s="1"/>
  <c r="E179" i="6"/>
  <c r="H152" i="2"/>
  <c r="E187" i="6" s="1"/>
  <c r="F46" i="5" s="1"/>
  <c r="G187" i="6"/>
  <c r="H46" i="5" s="1"/>
  <c r="G155" i="2"/>
  <c r="D190" i="6" s="1"/>
  <c r="E190" i="6"/>
  <c r="G167" i="2"/>
  <c r="D206" i="6" s="1"/>
  <c r="E206" i="6"/>
  <c r="H168" i="2"/>
  <c r="E207" i="6" s="1"/>
  <c r="G207" i="6"/>
  <c r="G171" i="2"/>
  <c r="D210" i="6" s="1"/>
  <c r="E210" i="6"/>
  <c r="H176" i="2"/>
  <c r="E216" i="6" s="1"/>
  <c r="G216" i="6"/>
  <c r="G183" i="2"/>
  <c r="D225" i="6" s="1"/>
  <c r="E225" i="6"/>
  <c r="I224" i="2"/>
  <c r="F275" i="6" s="1"/>
  <c r="H275" i="6"/>
  <c r="H279" i="6"/>
  <c r="I227" i="2"/>
  <c r="F279" i="6" s="1"/>
  <c r="H235" i="2"/>
  <c r="G289" i="6"/>
  <c r="H50" i="5" s="1"/>
  <c r="I236" i="2"/>
  <c r="F290" i="6" s="1"/>
  <c r="G51" i="5" s="1"/>
  <c r="H290" i="6"/>
  <c r="I51" i="5" s="1"/>
  <c r="G238" i="2"/>
  <c r="D292" i="6" s="1"/>
  <c r="E292" i="6"/>
  <c r="I242" i="2"/>
  <c r="F298" i="6" s="1"/>
  <c r="H298" i="6"/>
  <c r="G301" i="6"/>
  <c r="H244" i="2"/>
  <c r="E301" i="6" s="1"/>
  <c r="H251" i="2"/>
  <c r="G308" i="6"/>
  <c r="I313" i="6"/>
  <c r="H254" i="2"/>
  <c r="I337" i="6"/>
  <c r="J33" i="5" s="1"/>
  <c r="H270" i="2"/>
  <c r="I346" i="6"/>
  <c r="H278" i="2"/>
  <c r="G580" i="6"/>
  <c r="H475" i="2"/>
  <c r="G585" i="6"/>
  <c r="H480" i="2"/>
  <c r="I482" i="2"/>
  <c r="F587" i="6" s="1"/>
  <c r="H587" i="6"/>
  <c r="H247" i="2"/>
  <c r="G304" i="6"/>
  <c r="I250" i="2"/>
  <c r="F307" i="6" s="1"/>
  <c r="H307" i="6"/>
  <c r="I253" i="2"/>
  <c r="F312" i="6" s="1"/>
  <c r="H255" i="2"/>
  <c r="G317" i="6"/>
  <c r="I258" i="2"/>
  <c r="F320" i="6" s="1"/>
  <c r="H320" i="6"/>
  <c r="I261" i="2"/>
  <c r="F323" i="6" s="1"/>
  <c r="H263" i="2"/>
  <c r="G327" i="6"/>
  <c r="I266" i="2"/>
  <c r="F332" i="6" s="1"/>
  <c r="H332" i="6"/>
  <c r="I269" i="2"/>
  <c r="F336" i="6" s="1"/>
  <c r="G52" i="5" s="1"/>
  <c r="H271" i="2"/>
  <c r="G339" i="6"/>
  <c r="I274" i="2"/>
  <c r="F342" i="6" s="1"/>
  <c r="H342" i="6"/>
  <c r="I277" i="2"/>
  <c r="F345" i="6" s="1"/>
  <c r="H279" i="2"/>
  <c r="G279" i="2" s="1"/>
  <c r="I282" i="2"/>
  <c r="F352" i="6" s="1"/>
  <c r="H352" i="6"/>
  <c r="I285" i="2"/>
  <c r="F355" i="6" s="1"/>
  <c r="H287" i="2"/>
  <c r="G357" i="6"/>
  <c r="I290" i="2"/>
  <c r="I293" i="2"/>
  <c r="F365" i="6" s="1"/>
  <c r="H295" i="2"/>
  <c r="G367" i="6"/>
  <c r="I298" i="2"/>
  <c r="F371" i="6" s="1"/>
  <c r="H371" i="6"/>
  <c r="I301" i="2"/>
  <c r="F374" i="6" s="1"/>
  <c r="H303" i="2"/>
  <c r="G376" i="6"/>
  <c r="I306" i="2"/>
  <c r="F379" i="6" s="1"/>
  <c r="H379" i="6"/>
  <c r="I309" i="2"/>
  <c r="F382" i="6" s="1"/>
  <c r="H311" i="2"/>
  <c r="G384" i="6"/>
  <c r="I314" i="2"/>
  <c r="F387" i="6" s="1"/>
  <c r="H387" i="6"/>
  <c r="I317" i="2"/>
  <c r="F391" i="6" s="1"/>
  <c r="H319" i="2"/>
  <c r="G393" i="6"/>
  <c r="H6" i="5" s="1"/>
  <c r="I325" i="2"/>
  <c r="F400" i="6" s="1"/>
  <c r="H327" i="2"/>
  <c r="G402" i="6"/>
  <c r="I330" i="2"/>
  <c r="F405" i="6" s="1"/>
  <c r="H405" i="6"/>
  <c r="I333" i="2"/>
  <c r="F408" i="6" s="1"/>
  <c r="H335" i="2"/>
  <c r="G410" i="6"/>
  <c r="I338" i="2"/>
  <c r="F413" i="6" s="1"/>
  <c r="H413" i="6"/>
  <c r="H343" i="2"/>
  <c r="G419" i="6"/>
  <c r="I346" i="2"/>
  <c r="F422" i="6" s="1"/>
  <c r="H422" i="6"/>
  <c r="H351" i="2"/>
  <c r="G430" i="6"/>
  <c r="I354" i="2"/>
  <c r="F433" i="6" s="1"/>
  <c r="H433" i="6"/>
  <c r="H359" i="2"/>
  <c r="G440" i="6"/>
  <c r="I362" i="2"/>
  <c r="F445" i="6" s="1"/>
  <c r="H445" i="6"/>
  <c r="G368" i="2"/>
  <c r="I372" i="2"/>
  <c r="H458" i="6"/>
  <c r="H377" i="2"/>
  <c r="G465" i="6"/>
  <c r="I380" i="2"/>
  <c r="H468" i="6"/>
  <c r="H385" i="2"/>
  <c r="G473" i="6"/>
  <c r="I388" i="2"/>
  <c r="H475" i="6"/>
  <c r="H393" i="2"/>
  <c r="G481" i="6"/>
  <c r="I396" i="2"/>
  <c r="H486" i="6"/>
  <c r="H401" i="2"/>
  <c r="G492" i="6"/>
  <c r="H23" i="5" s="1"/>
  <c r="I404" i="2"/>
  <c r="H496" i="6"/>
  <c r="I24" i="5" s="1"/>
  <c r="H409" i="2"/>
  <c r="G501" i="6"/>
  <c r="I412" i="2"/>
  <c r="H504" i="6"/>
  <c r="I25" i="5" s="1"/>
  <c r="G417" i="2"/>
  <c r="H422" i="2"/>
  <c r="G516" i="6"/>
  <c r="I425" i="2"/>
  <c r="H520" i="6"/>
  <c r="I440" i="2"/>
  <c r="F538" i="6" s="1"/>
  <c r="H538" i="6"/>
  <c r="D442" i="2"/>
  <c r="G443" i="2"/>
  <c r="D542" i="6" s="1"/>
  <c r="E542" i="6"/>
  <c r="I448" i="2"/>
  <c r="F549" i="6" s="1"/>
  <c r="H549" i="6"/>
  <c r="D450" i="2"/>
  <c r="G451" i="2"/>
  <c r="D553" i="6" s="1"/>
  <c r="E553" i="6"/>
  <c r="I454" i="2"/>
  <c r="F556" i="6" s="1"/>
  <c r="H556" i="6"/>
  <c r="D456" i="2"/>
  <c r="G457" i="2"/>
  <c r="D559" i="6" s="1"/>
  <c r="E559" i="6"/>
  <c r="H458" i="2"/>
  <c r="G560" i="6"/>
  <c r="I460" i="2"/>
  <c r="F562" i="6" s="1"/>
  <c r="H562" i="6"/>
  <c r="D462" i="2"/>
  <c r="D466" i="2"/>
  <c r="I468" i="2"/>
  <c r="F569" i="6" s="1"/>
  <c r="H569" i="6"/>
  <c r="D470" i="2"/>
  <c r="G471" i="2"/>
  <c r="D574" i="6" s="1"/>
  <c r="E57" i="5" s="1"/>
  <c r="E574" i="6"/>
  <c r="F57" i="5" s="1"/>
  <c r="H472" i="2"/>
  <c r="G575" i="6"/>
  <c r="D476" i="2"/>
  <c r="H477" i="2"/>
  <c r="H478" i="2"/>
  <c r="G584" i="6"/>
  <c r="I480" i="2"/>
  <c r="F585" i="6" s="1"/>
  <c r="H585" i="6"/>
  <c r="D484" i="2"/>
  <c r="H485" i="2"/>
  <c r="H486" i="2"/>
  <c r="G591" i="6"/>
  <c r="I488" i="2"/>
  <c r="F593" i="6" s="1"/>
  <c r="H593" i="6"/>
  <c r="I490" i="2"/>
  <c r="F595" i="6" s="1"/>
  <c r="H595" i="6"/>
  <c r="D491" i="2"/>
  <c r="D496" i="2"/>
  <c r="E603" i="6"/>
  <c r="H502" i="2"/>
  <c r="G604" i="6"/>
  <c r="G505" i="2"/>
  <c r="H506" i="2"/>
  <c r="G607" i="6"/>
  <c r="H3" i="5" s="1"/>
  <c r="I510" i="2"/>
  <c r="H612" i="6"/>
  <c r="H512" i="2"/>
  <c r="E615" i="6" s="1"/>
  <c r="H513" i="2"/>
  <c r="G616" i="6"/>
  <c r="I514" i="2"/>
  <c r="H617" i="6"/>
  <c r="H516" i="2"/>
  <c r="E620" i="6" s="1"/>
  <c r="H517" i="2"/>
  <c r="G621" i="6"/>
  <c r="I518" i="2"/>
  <c r="H622" i="6"/>
  <c r="G520" i="2"/>
  <c r="D624" i="6" s="1"/>
  <c r="F624" i="6"/>
  <c r="I521" i="2"/>
  <c r="F625" i="6" s="1"/>
  <c r="G9" i="5" s="1"/>
  <c r="H625" i="6"/>
  <c r="I9" i="5" s="1"/>
  <c r="I188" i="2"/>
  <c r="F232" i="6" s="1"/>
  <c r="H232" i="6"/>
  <c r="D190" i="2"/>
  <c r="I192" i="2"/>
  <c r="D194" i="2"/>
  <c r="I196" i="2"/>
  <c r="F244" i="6" s="1"/>
  <c r="H244" i="6"/>
  <c r="D198" i="2"/>
  <c r="I200" i="2"/>
  <c r="F248" i="6" s="1"/>
  <c r="H248" i="6"/>
  <c r="D202" i="2"/>
  <c r="I204" i="2"/>
  <c r="F251" i="6" s="1"/>
  <c r="H251" i="6"/>
  <c r="H207" i="2"/>
  <c r="I208" i="2"/>
  <c r="F254" i="6" s="1"/>
  <c r="H254" i="6"/>
  <c r="H211" i="2"/>
  <c r="G260" i="6"/>
  <c r="H214" i="2"/>
  <c r="I263" i="6"/>
  <c r="H218" i="2"/>
  <c r="I269" i="6"/>
  <c r="H222" i="2"/>
  <c r="I273" i="6"/>
  <c r="H226" i="2"/>
  <c r="G226" i="2" s="1"/>
  <c r="H229" i="2"/>
  <c r="G282" i="6"/>
  <c r="H11" i="5" s="1"/>
  <c r="D231" i="2"/>
  <c r="I232" i="2"/>
  <c r="F286" i="6" s="1"/>
  <c r="G48" i="5" s="1"/>
  <c r="H286" i="6"/>
  <c r="I48" i="5" s="1"/>
  <c r="H237" i="2"/>
  <c r="G291" i="6"/>
  <c r="D239" i="2"/>
  <c r="I240" i="2"/>
  <c r="F296" i="6" s="1"/>
  <c r="H296" i="6"/>
  <c r="H245" i="2"/>
  <c r="G245" i="2" s="1"/>
  <c r="D247" i="2"/>
  <c r="I248" i="2"/>
  <c r="F305" i="6" s="1"/>
  <c r="H305" i="6"/>
  <c r="H252" i="2"/>
  <c r="E310" i="6" s="1"/>
  <c r="H253" i="2"/>
  <c r="G312" i="6"/>
  <c r="D255" i="2"/>
  <c r="I256" i="2"/>
  <c r="F318" i="6" s="1"/>
  <c r="H318" i="6"/>
  <c r="H260" i="2"/>
  <c r="E322" i="6" s="1"/>
  <c r="H261" i="2"/>
  <c r="G323" i="6"/>
  <c r="D263" i="2"/>
  <c r="I264" i="2"/>
  <c r="G264" i="2" s="1"/>
  <c r="H268" i="2"/>
  <c r="E335" i="6" s="1"/>
  <c r="H269" i="2"/>
  <c r="G336" i="6"/>
  <c r="H52" i="5" s="1"/>
  <c r="D271" i="2"/>
  <c r="I272" i="2"/>
  <c r="F340" i="6" s="1"/>
  <c r="H340" i="6"/>
  <c r="H276" i="2"/>
  <c r="E344" i="6" s="1"/>
  <c r="H277" i="2"/>
  <c r="G345" i="6"/>
  <c r="D279" i="2"/>
  <c r="I280" i="2"/>
  <c r="F348" i="6" s="1"/>
  <c r="H348" i="6"/>
  <c r="H284" i="2"/>
  <c r="E354" i="6" s="1"/>
  <c r="F4" i="5" s="1"/>
  <c r="H285" i="2"/>
  <c r="G355" i="6"/>
  <c r="D287" i="2"/>
  <c r="I288" i="2"/>
  <c r="F359" i="6" s="1"/>
  <c r="H359" i="6"/>
  <c r="H292" i="2"/>
  <c r="E363" i="6" s="1"/>
  <c r="H293" i="2"/>
  <c r="G365" i="6"/>
  <c r="D295" i="2"/>
  <c r="I296" i="2"/>
  <c r="F368" i="6" s="1"/>
  <c r="H368" i="6"/>
  <c r="H300" i="2"/>
  <c r="E373" i="6" s="1"/>
  <c r="H301" i="2"/>
  <c r="G374" i="6"/>
  <c r="D303" i="2"/>
  <c r="I304" i="2"/>
  <c r="F377" i="6" s="1"/>
  <c r="H377" i="6"/>
  <c r="H308" i="2"/>
  <c r="E381" i="6" s="1"/>
  <c r="H309" i="2"/>
  <c r="G382" i="6"/>
  <c r="D311" i="2"/>
  <c r="I312" i="2"/>
  <c r="F385" i="6" s="1"/>
  <c r="H385" i="6"/>
  <c r="H316" i="2"/>
  <c r="E389" i="6" s="1"/>
  <c r="H317" i="2"/>
  <c r="G391" i="6"/>
  <c r="D319" i="2"/>
  <c r="I320" i="2"/>
  <c r="F394" i="6" s="1"/>
  <c r="G7" i="5" s="1"/>
  <c r="H394" i="6"/>
  <c r="I7" i="5" s="1"/>
  <c r="H324" i="2"/>
  <c r="E399" i="6" s="1"/>
  <c r="H325" i="2"/>
  <c r="G400" i="6"/>
  <c r="D327" i="2"/>
  <c r="I328" i="2"/>
  <c r="G328" i="2" s="1"/>
  <c r="H332" i="2"/>
  <c r="E407" i="6" s="1"/>
  <c r="H333" i="2"/>
  <c r="G408" i="6"/>
  <c r="D335" i="2"/>
  <c r="I336" i="2"/>
  <c r="F411" i="6" s="1"/>
  <c r="H411" i="6"/>
  <c r="H341" i="2"/>
  <c r="G416" i="6"/>
  <c r="D343" i="2"/>
  <c r="I344" i="2"/>
  <c r="F420" i="6" s="1"/>
  <c r="H420" i="6"/>
  <c r="H348" i="2"/>
  <c r="E425" i="6" s="1"/>
  <c r="F8" i="5" s="1"/>
  <c r="H349" i="2"/>
  <c r="G349" i="2" s="1"/>
  <c r="D351" i="2"/>
  <c r="I352" i="2"/>
  <c r="F431" i="6" s="1"/>
  <c r="H431" i="6"/>
  <c r="H356" i="2"/>
  <c r="E435" i="6" s="1"/>
  <c r="H357" i="2"/>
  <c r="G357" i="2" s="1"/>
  <c r="D359" i="2"/>
  <c r="I360" i="2"/>
  <c r="F441" i="6" s="1"/>
  <c r="H441" i="6"/>
  <c r="H364" i="2"/>
  <c r="E447" i="6" s="1"/>
  <c r="H365" i="2"/>
  <c r="E448" i="6" s="1"/>
  <c r="G448" i="6"/>
  <c r="I366" i="2"/>
  <c r="F450" i="6" s="1"/>
  <c r="H450" i="6"/>
  <c r="H369" i="2"/>
  <c r="E452" i="6" s="1"/>
  <c r="G452" i="6"/>
  <c r="I370" i="2"/>
  <c r="F454" i="6" s="1"/>
  <c r="H454" i="6"/>
  <c r="H375" i="2"/>
  <c r="E463" i="6" s="1"/>
  <c r="F54" i="5" s="1"/>
  <c r="G463" i="6"/>
  <c r="H54" i="5" s="1"/>
  <c r="D377" i="2"/>
  <c r="I378" i="2"/>
  <c r="H466" i="6"/>
  <c r="I21" i="5" s="1"/>
  <c r="H382" i="2"/>
  <c r="E470" i="6" s="1"/>
  <c r="H383" i="2"/>
  <c r="G471" i="6"/>
  <c r="D385" i="2"/>
  <c r="I386" i="2"/>
  <c r="H474" i="6"/>
  <c r="H390" i="2"/>
  <c r="E477" i="6" s="1"/>
  <c r="H391" i="2"/>
  <c r="G478" i="6"/>
  <c r="D393" i="2"/>
  <c r="I394" i="2"/>
  <c r="H482" i="6"/>
  <c r="H398" i="2"/>
  <c r="E488" i="6" s="1"/>
  <c r="H399" i="2"/>
  <c r="G490" i="6"/>
  <c r="D401" i="2"/>
  <c r="I402" i="2"/>
  <c r="H494" i="6"/>
  <c r="H407" i="2"/>
  <c r="G498" i="6"/>
  <c r="D409" i="2"/>
  <c r="I410" i="2"/>
  <c r="G410" i="2" s="1"/>
  <c r="H414" i="2"/>
  <c r="E506" i="6" s="1"/>
  <c r="H415" i="2"/>
  <c r="G510" i="6"/>
  <c r="D417" i="2"/>
  <c r="I418" i="2"/>
  <c r="H512" i="6"/>
  <c r="H420" i="2"/>
  <c r="G514" i="6"/>
  <c r="D422" i="2"/>
  <c r="I423" i="2"/>
  <c r="H517" i="6"/>
  <c r="H427" i="2"/>
  <c r="E523" i="6" s="1"/>
  <c r="H428" i="2"/>
  <c r="G428" i="2" s="1"/>
  <c r="D429" i="2"/>
  <c r="I429" i="2"/>
  <c r="H525" i="6"/>
  <c r="H431" i="2"/>
  <c r="E528" i="6" s="1"/>
  <c r="H432" i="2"/>
  <c r="G530" i="6"/>
  <c r="D433" i="2"/>
  <c r="I433" i="2"/>
  <c r="H531" i="6"/>
  <c r="H435" i="2"/>
  <c r="E533" i="6" s="1"/>
  <c r="H436" i="2"/>
  <c r="G535" i="6"/>
  <c r="D437" i="2"/>
  <c r="I438" i="2"/>
  <c r="F536" i="6" s="1"/>
  <c r="H536" i="6"/>
  <c r="H442" i="2"/>
  <c r="D445" i="2"/>
  <c r="I446" i="2"/>
  <c r="F546" i="6" s="1"/>
  <c r="H546" i="6"/>
  <c r="D448" i="2"/>
  <c r="H450" i="2"/>
  <c r="D453" i="2"/>
  <c r="I458" i="2"/>
  <c r="F560" i="6" s="1"/>
  <c r="H560" i="6"/>
  <c r="D460" i="2"/>
  <c r="H462" i="2"/>
  <c r="G565" i="6"/>
  <c r="D463" i="2"/>
  <c r="H466" i="2"/>
  <c r="G568" i="6"/>
  <c r="H12" i="5" s="1"/>
  <c r="D467" i="2"/>
  <c r="H470" i="2"/>
  <c r="G573" i="6"/>
  <c r="I472" i="2"/>
  <c r="F575" i="6" s="1"/>
  <c r="H575" i="6"/>
  <c r="D474" i="2"/>
  <c r="H476" i="2"/>
  <c r="I478" i="2"/>
  <c r="F584" i="6" s="1"/>
  <c r="H584" i="6"/>
  <c r="D479" i="2"/>
  <c r="D482" i="2"/>
  <c r="H484" i="2"/>
  <c r="I486" i="2"/>
  <c r="F591" i="6" s="1"/>
  <c r="H591" i="6"/>
  <c r="D487" i="2"/>
  <c r="D490" i="2"/>
  <c r="G492" i="2"/>
  <c r="D597" i="6" s="1"/>
  <c r="E597" i="6"/>
  <c r="H493" i="2"/>
  <c r="G599" i="6"/>
  <c r="H495" i="2"/>
  <c r="H496" i="2"/>
  <c r="E601" i="6" s="1"/>
  <c r="G601" i="6"/>
  <c r="D500" i="2"/>
  <c r="I501" i="2"/>
  <c r="F603" i="6" s="1"/>
  <c r="I502" i="2"/>
  <c r="F604" i="6" s="1"/>
  <c r="H604" i="6"/>
  <c r="D504" i="2"/>
  <c r="I506" i="2"/>
  <c r="F607" i="6" s="1"/>
  <c r="G3" i="5" s="1"/>
  <c r="H607" i="6"/>
  <c r="I3" i="5" s="1"/>
  <c r="I508" i="2"/>
  <c r="H609" i="6"/>
  <c r="I511" i="2"/>
  <c r="F614" i="6" s="1"/>
  <c r="I515" i="2"/>
  <c r="F619" i="6" s="1"/>
  <c r="G35" i="5" s="1"/>
  <c r="H519" i="2"/>
  <c r="G623" i="6"/>
  <c r="H522" i="2"/>
  <c r="E626" i="6" s="1"/>
  <c r="H523" i="2"/>
  <c r="G627" i="6"/>
  <c r="D253" i="2"/>
  <c r="I254" i="2"/>
  <c r="F313" i="6" s="1"/>
  <c r="H313" i="6"/>
  <c r="H259" i="2"/>
  <c r="G321" i="6"/>
  <c r="D261" i="2"/>
  <c r="I262" i="2"/>
  <c r="F324" i="6" s="1"/>
  <c r="H324" i="6"/>
  <c r="H267" i="2"/>
  <c r="G333" i="6"/>
  <c r="D269" i="2"/>
  <c r="I270" i="2"/>
  <c r="F337" i="6" s="1"/>
  <c r="G33" i="5" s="1"/>
  <c r="H337" i="6"/>
  <c r="I33" i="5" s="1"/>
  <c r="H275" i="2"/>
  <c r="G343" i="6"/>
  <c r="D277" i="2"/>
  <c r="I278" i="2"/>
  <c r="F346" i="6" s="1"/>
  <c r="H346" i="6"/>
  <c r="H283" i="2"/>
  <c r="G353" i="6"/>
  <c r="H34" i="5" s="1"/>
  <c r="D285" i="2"/>
  <c r="I286" i="2"/>
  <c r="F356" i="6" s="1"/>
  <c r="H356" i="6"/>
  <c r="G291" i="2"/>
  <c r="D293" i="2"/>
  <c r="I294" i="2"/>
  <c r="F366" i="6" s="1"/>
  <c r="G53" i="5" s="1"/>
  <c r="H366" i="6"/>
  <c r="I53" i="5" s="1"/>
  <c r="H299" i="2"/>
  <c r="G372" i="6"/>
  <c r="D301" i="2"/>
  <c r="I302" i="2"/>
  <c r="F375" i="6" s="1"/>
  <c r="H375" i="6"/>
  <c r="H307" i="2"/>
  <c r="G380" i="6"/>
  <c r="D309" i="2"/>
  <c r="I310" i="2"/>
  <c r="F383" i="6" s="1"/>
  <c r="H383" i="6"/>
  <c r="H315" i="2"/>
  <c r="G388" i="6"/>
  <c r="H5" i="5" s="1"/>
  <c r="D317" i="2"/>
  <c r="I318" i="2"/>
  <c r="F392" i="6" s="1"/>
  <c r="H392" i="6"/>
  <c r="I321" i="2"/>
  <c r="F395" i="6" s="1"/>
  <c r="H323" i="2"/>
  <c r="G398" i="6"/>
  <c r="D325" i="2"/>
  <c r="H331" i="2"/>
  <c r="G406" i="6"/>
  <c r="D333" i="2"/>
  <c r="I334" i="2"/>
  <c r="F409" i="6" s="1"/>
  <c r="H409" i="6"/>
  <c r="I337" i="2"/>
  <c r="F412" i="6" s="1"/>
  <c r="H339" i="2"/>
  <c r="G414" i="6"/>
  <c r="D341" i="2"/>
  <c r="I342" i="2"/>
  <c r="F418" i="6" s="1"/>
  <c r="H418" i="6"/>
  <c r="I345" i="2"/>
  <c r="F421" i="6" s="1"/>
  <c r="H347" i="2"/>
  <c r="G347" i="2" s="1"/>
  <c r="D349" i="2"/>
  <c r="I350" i="2"/>
  <c r="F428" i="6" s="1"/>
  <c r="H428" i="6"/>
  <c r="I353" i="2"/>
  <c r="F432" i="6" s="1"/>
  <c r="H355" i="2"/>
  <c r="G434" i="6"/>
  <c r="D357" i="2"/>
  <c r="I358" i="2"/>
  <c r="F439" i="6" s="1"/>
  <c r="H439" i="6"/>
  <c r="I361" i="2"/>
  <c r="F444" i="6" s="1"/>
  <c r="H363" i="2"/>
  <c r="G446" i="6"/>
  <c r="H366" i="2"/>
  <c r="I450" i="6"/>
  <c r="H370" i="2"/>
  <c r="I454" i="6"/>
  <c r="I371" i="2"/>
  <c r="F456" i="6" s="1"/>
  <c r="H373" i="2"/>
  <c r="E460" i="6" s="1"/>
  <c r="G460" i="6"/>
  <c r="D375" i="2"/>
  <c r="I376" i="2"/>
  <c r="H464" i="6"/>
  <c r="H381" i="2"/>
  <c r="G469" i="6"/>
  <c r="D383" i="2"/>
  <c r="I384" i="2"/>
  <c r="H472" i="6"/>
  <c r="I55" i="5" s="1"/>
  <c r="I387" i="2"/>
  <c r="F57" i="6" s="1"/>
  <c r="G41" i="5" s="1"/>
  <c r="H389" i="2"/>
  <c r="G476" i="6"/>
  <c r="D391" i="2"/>
  <c r="I392" i="2"/>
  <c r="H480" i="6"/>
  <c r="I395" i="2"/>
  <c r="F485" i="6" s="1"/>
  <c r="H397" i="2"/>
  <c r="G487" i="6"/>
  <c r="D399" i="2"/>
  <c r="I400" i="2"/>
  <c r="H491" i="6"/>
  <c r="H405" i="2"/>
  <c r="G497" i="6"/>
  <c r="D407" i="2"/>
  <c r="I408" i="2"/>
  <c r="H500" i="6"/>
  <c r="I411" i="2"/>
  <c r="F503" i="6" s="1"/>
  <c r="H413" i="2"/>
  <c r="G505" i="6"/>
  <c r="D415" i="2"/>
  <c r="I416" i="2"/>
  <c r="H511" i="6"/>
  <c r="I419" i="2"/>
  <c r="F513" i="6" s="1"/>
  <c r="G26" i="5" s="1"/>
  <c r="I420" i="2"/>
  <c r="F514" i="6" s="1"/>
  <c r="H514" i="6"/>
  <c r="I421" i="2"/>
  <c r="H515" i="6"/>
  <c r="I424" i="2"/>
  <c r="F519" i="6" s="1"/>
  <c r="H426" i="2"/>
  <c r="G521" i="6"/>
  <c r="D428" i="2"/>
  <c r="I430" i="2"/>
  <c r="F527" i="6" s="1"/>
  <c r="D432" i="2"/>
  <c r="I434" i="2"/>
  <c r="F532" i="6" s="1"/>
  <c r="D436" i="2"/>
  <c r="I439" i="2"/>
  <c r="F537" i="6" s="1"/>
  <c r="I441" i="2"/>
  <c r="F539" i="6" s="1"/>
  <c r="D443" i="2"/>
  <c r="I444" i="2"/>
  <c r="F544" i="6" s="1"/>
  <c r="H544" i="6"/>
  <c r="H447" i="2"/>
  <c r="D451" i="2"/>
  <c r="I452" i="2"/>
  <c r="F554" i="6" s="1"/>
  <c r="H554" i="6"/>
  <c r="I455" i="2"/>
  <c r="F557" i="6" s="1"/>
  <c r="D457" i="2"/>
  <c r="H459" i="2"/>
  <c r="I461" i="2"/>
  <c r="F564" i="6" s="1"/>
  <c r="I462" i="2"/>
  <c r="F565" i="6" s="1"/>
  <c r="H565" i="6"/>
  <c r="I465" i="2"/>
  <c r="F567" i="6" s="1"/>
  <c r="I466" i="2"/>
  <c r="F568" i="6" s="1"/>
  <c r="G12" i="5" s="1"/>
  <c r="H568" i="6"/>
  <c r="I12" i="5" s="1"/>
  <c r="I469" i="2"/>
  <c r="F571" i="6" s="1"/>
  <c r="I470" i="2"/>
  <c r="F573" i="6" s="1"/>
  <c r="H573" i="6"/>
  <c r="G473" i="2"/>
  <c r="D576" i="6" s="1"/>
  <c r="E576" i="6"/>
  <c r="H474" i="2"/>
  <c r="G578" i="6"/>
  <c r="G481" i="2"/>
  <c r="D586" i="6" s="1"/>
  <c r="E586" i="6"/>
  <c r="H482" i="2"/>
  <c r="G587" i="6"/>
  <c r="I487" i="2"/>
  <c r="F592" i="6" s="1"/>
  <c r="H489" i="2"/>
  <c r="H491" i="2"/>
  <c r="G596" i="6"/>
  <c r="D493" i="2"/>
  <c r="I495" i="2"/>
  <c r="F600" i="6" s="1"/>
  <c r="I496" i="2"/>
  <c r="F601" i="6" s="1"/>
  <c r="H601" i="6"/>
  <c r="D498" i="2"/>
  <c r="H500" i="2"/>
  <c r="G602" i="6"/>
  <c r="D501" i="2"/>
  <c r="H503" i="2"/>
  <c r="H504" i="2"/>
  <c r="G504" i="2" s="1"/>
  <c r="D505" i="2"/>
  <c r="H507" i="2"/>
  <c r="I509" i="2"/>
  <c r="F610" i="6" s="1"/>
  <c r="H510" i="2"/>
  <c r="E612" i="6" s="1"/>
  <c r="H511" i="2"/>
  <c r="G614" i="6"/>
  <c r="D512" i="2"/>
  <c r="I512" i="2"/>
  <c r="H615" i="6"/>
  <c r="H514" i="2"/>
  <c r="E617" i="6" s="1"/>
  <c r="H515" i="2"/>
  <c r="G619" i="6"/>
  <c r="H35" i="5" s="1"/>
  <c r="D516" i="2"/>
  <c r="I516" i="2"/>
  <c r="H620" i="6"/>
  <c r="H518" i="2"/>
  <c r="E622" i="6" s="1"/>
  <c r="I519" i="2"/>
  <c r="F623" i="6" s="1"/>
  <c r="H623" i="6"/>
  <c r="I522" i="2"/>
  <c r="I523" i="2"/>
  <c r="F627" i="6" s="1"/>
  <c r="H627" i="6"/>
  <c r="I500" i="2"/>
  <c r="F602" i="6" s="1"/>
  <c r="H602" i="6"/>
  <c r="H509" i="2"/>
  <c r="G610" i="6"/>
  <c r="H521" i="2"/>
  <c r="G625" i="6"/>
  <c r="H9" i="5" s="1"/>
  <c r="G3" i="2"/>
  <c r="D3" i="6" s="1"/>
  <c r="G11" i="2"/>
  <c r="G19" i="2"/>
  <c r="D25" i="6" s="1"/>
  <c r="G4" i="2"/>
  <c r="D4" i="6" s="1"/>
  <c r="G5" i="2"/>
  <c r="D6" i="6" s="1"/>
  <c r="G15" i="2"/>
  <c r="D20" i="6" s="1"/>
  <c r="G23" i="2"/>
  <c r="D28" i="6" s="1"/>
  <c r="D32" i="2"/>
  <c r="D34" i="2"/>
  <c r="D36" i="2"/>
  <c r="D38" i="2"/>
  <c r="D40" i="2"/>
  <c r="D42" i="2"/>
  <c r="D44" i="2"/>
  <c r="D54" i="2"/>
  <c r="D62" i="2"/>
  <c r="D70" i="2"/>
  <c r="D28" i="2"/>
  <c r="D76" i="2"/>
  <c r="D84" i="2"/>
  <c r="G89" i="2"/>
  <c r="D116" i="6" s="1"/>
  <c r="G96" i="2"/>
  <c r="D123" i="6" s="1"/>
  <c r="D50" i="2"/>
  <c r="D58" i="2"/>
  <c r="D66" i="2"/>
  <c r="D74" i="2"/>
  <c r="D82" i="2"/>
  <c r="D112" i="2"/>
  <c r="G117" i="2"/>
  <c r="D151" i="6" s="1"/>
  <c r="G125" i="2"/>
  <c r="D160" i="6" s="1"/>
  <c r="G133" i="2"/>
  <c r="D166" i="6" s="1"/>
  <c r="G141" i="2"/>
  <c r="D175" i="6" s="1"/>
  <c r="G149" i="2"/>
  <c r="D183" i="6" s="1"/>
  <c r="G154" i="2"/>
  <c r="D189" i="6" s="1"/>
  <c r="E18" i="5" s="1"/>
  <c r="G158" i="2"/>
  <c r="D195" i="6" s="1"/>
  <c r="G162" i="2"/>
  <c r="D200" i="6" s="1"/>
  <c r="G166" i="2"/>
  <c r="D205" i="6" s="1"/>
  <c r="G170" i="2"/>
  <c r="D209" i="6" s="1"/>
  <c r="G174" i="2"/>
  <c r="D213" i="6" s="1"/>
  <c r="G178" i="2"/>
  <c r="D219" i="6" s="1"/>
  <c r="G182" i="2"/>
  <c r="D223" i="6" s="1"/>
  <c r="G186" i="2"/>
  <c r="D229" i="6" s="1"/>
  <c r="G190" i="2"/>
  <c r="D235" i="6" s="1"/>
  <c r="G194" i="2"/>
  <c r="D239" i="6" s="1"/>
  <c r="E47" i="5" s="1"/>
  <c r="G198" i="2"/>
  <c r="D246" i="6" s="1"/>
  <c r="E37" i="5" s="1"/>
  <c r="G202" i="2"/>
  <c r="D250" i="6" s="1"/>
  <c r="G102" i="2"/>
  <c r="D129" i="6" s="1"/>
  <c r="G104" i="2"/>
  <c r="D131" i="6" s="1"/>
  <c r="E15" i="5" s="1"/>
  <c r="G115" i="2"/>
  <c r="D149" i="6" s="1"/>
  <c r="E36" i="5" s="1"/>
  <c r="G123" i="2"/>
  <c r="G131" i="2"/>
  <c r="D164" i="6" s="1"/>
  <c r="G139" i="2"/>
  <c r="D172" i="6" s="1"/>
  <c r="G147" i="2"/>
  <c r="D181" i="6" s="1"/>
  <c r="D104" i="2"/>
  <c r="D106" i="2"/>
  <c r="D108" i="2"/>
  <c r="G152" i="2"/>
  <c r="D187" i="6" s="1"/>
  <c r="E46" i="5" s="1"/>
  <c r="G156" i="2"/>
  <c r="D191" i="6" s="1"/>
  <c r="G160" i="2"/>
  <c r="D197" i="6" s="1"/>
  <c r="G164" i="2"/>
  <c r="D203" i="6" s="1"/>
  <c r="G168" i="2"/>
  <c r="D207" i="6" s="1"/>
  <c r="G172" i="2"/>
  <c r="D211" i="6" s="1"/>
  <c r="G176" i="2"/>
  <c r="D216" i="6" s="1"/>
  <c r="G180" i="2"/>
  <c r="D221" i="6" s="1"/>
  <c r="G184" i="2"/>
  <c r="G188" i="2"/>
  <c r="D232" i="6" s="1"/>
  <c r="G192" i="2"/>
  <c r="G196" i="2"/>
  <c r="D244" i="6" s="1"/>
  <c r="G200" i="2"/>
  <c r="D248" i="6" s="1"/>
  <c r="G205" i="2"/>
  <c r="D252" i="6" s="1"/>
  <c r="E19" i="5" s="1"/>
  <c r="G207" i="2"/>
  <c r="G209" i="2"/>
  <c r="D255" i="6" s="1"/>
  <c r="D223" i="2"/>
  <c r="G228" i="2"/>
  <c r="D281" i="6" s="1"/>
  <c r="G236" i="2"/>
  <c r="D290" i="6" s="1"/>
  <c r="E51" i="5" s="1"/>
  <c r="G244" i="2"/>
  <c r="D301" i="6" s="1"/>
  <c r="G252" i="2"/>
  <c r="D310" i="6" s="1"/>
  <c r="G260" i="2"/>
  <c r="D322" i="6" s="1"/>
  <c r="G268" i="2"/>
  <c r="D335" i="6" s="1"/>
  <c r="G276" i="2"/>
  <c r="D344" i="6" s="1"/>
  <c r="G284" i="2"/>
  <c r="D354" i="6" s="1"/>
  <c r="E4" i="5" s="1"/>
  <c r="G292" i="2"/>
  <c r="D363" i="6" s="1"/>
  <c r="G300" i="2"/>
  <c r="D373" i="6" s="1"/>
  <c r="G316" i="2"/>
  <c r="D389" i="6" s="1"/>
  <c r="G324" i="2"/>
  <c r="D399" i="6" s="1"/>
  <c r="G332" i="2"/>
  <c r="D407" i="6" s="1"/>
  <c r="G340" i="2"/>
  <c r="G348" i="2"/>
  <c r="D425" i="6" s="1"/>
  <c r="E8" i="5" s="1"/>
  <c r="G356" i="2"/>
  <c r="D435" i="6" s="1"/>
  <c r="G364" i="2"/>
  <c r="D447" i="6" s="1"/>
  <c r="D205" i="2"/>
  <c r="D207" i="2"/>
  <c r="D209" i="2"/>
  <c r="D211" i="2"/>
  <c r="D213" i="2"/>
  <c r="D221" i="2"/>
  <c r="G234" i="2"/>
  <c r="D288" i="6" s="1"/>
  <c r="G242" i="2"/>
  <c r="D298" i="6" s="1"/>
  <c r="G250" i="2"/>
  <c r="D307" i="6" s="1"/>
  <c r="G258" i="2"/>
  <c r="D320" i="6" s="1"/>
  <c r="G266" i="2"/>
  <c r="D332" i="6" s="1"/>
  <c r="G274" i="2"/>
  <c r="D342" i="6" s="1"/>
  <c r="G282" i="2"/>
  <c r="D352" i="6" s="1"/>
  <c r="G290" i="2"/>
  <c r="G298" i="2"/>
  <c r="D371" i="6" s="1"/>
  <c r="G306" i="2"/>
  <c r="D379" i="6" s="1"/>
  <c r="G314" i="2"/>
  <c r="D387" i="6" s="1"/>
  <c r="G322" i="2"/>
  <c r="G330" i="2"/>
  <c r="D405" i="6" s="1"/>
  <c r="G338" i="2"/>
  <c r="D413" i="6" s="1"/>
  <c r="D219" i="2"/>
  <c r="D227" i="2"/>
  <c r="D217" i="2"/>
  <c r="D225" i="2"/>
  <c r="G365" i="2"/>
  <c r="D448" i="6" s="1"/>
  <c r="G367" i="2"/>
  <c r="G369" i="2"/>
  <c r="D452" i="6" s="1"/>
  <c r="G371" i="2"/>
  <c r="D456" i="6" s="1"/>
  <c r="G373" i="2"/>
  <c r="D460" i="6" s="1"/>
  <c r="G375" i="2"/>
  <c r="D463" i="6" s="1"/>
  <c r="E54" i="5" s="1"/>
  <c r="D365" i="2"/>
  <c r="D367" i="2"/>
  <c r="D369" i="2"/>
  <c r="D371" i="2"/>
  <c r="G496" i="2"/>
  <c r="D601" i="6" s="1"/>
  <c r="G494" i="2"/>
  <c r="G498" i="2"/>
  <c r="G521" i="2" l="1"/>
  <c r="D625" i="6" s="1"/>
  <c r="E9" i="5" s="1"/>
  <c r="E625" i="6"/>
  <c r="F9" i="5" s="1"/>
  <c r="G516" i="2"/>
  <c r="D620" i="6" s="1"/>
  <c r="F620" i="6"/>
  <c r="G405" i="2"/>
  <c r="D497" i="6" s="1"/>
  <c r="E497" i="6"/>
  <c r="G511" i="2"/>
  <c r="D614" i="6" s="1"/>
  <c r="E614" i="6"/>
  <c r="G491" i="2"/>
  <c r="D596" i="6" s="1"/>
  <c r="E596" i="6"/>
  <c r="G482" i="2"/>
  <c r="D587" i="6" s="1"/>
  <c r="E587" i="6"/>
  <c r="G474" i="2"/>
  <c r="D578" i="6" s="1"/>
  <c r="E578" i="6"/>
  <c r="G459" i="2"/>
  <c r="D561" i="6" s="1"/>
  <c r="E561" i="6"/>
  <c r="G408" i="2"/>
  <c r="D500" i="6" s="1"/>
  <c r="F500" i="6"/>
  <c r="G397" i="2"/>
  <c r="D487" i="6" s="1"/>
  <c r="E487" i="6"/>
  <c r="G381" i="2"/>
  <c r="D469" i="6" s="1"/>
  <c r="E469" i="6"/>
  <c r="G370" i="2"/>
  <c r="D454" i="6" s="1"/>
  <c r="E454" i="6"/>
  <c r="G363" i="2"/>
  <c r="D446" i="6" s="1"/>
  <c r="E446" i="6"/>
  <c r="G315" i="2"/>
  <c r="D388" i="6" s="1"/>
  <c r="E5" i="5" s="1"/>
  <c r="E388" i="6"/>
  <c r="F5" i="5" s="1"/>
  <c r="G275" i="2"/>
  <c r="D343" i="6" s="1"/>
  <c r="E343" i="6"/>
  <c r="G495" i="2"/>
  <c r="D600" i="6" s="1"/>
  <c r="E600" i="6"/>
  <c r="G436" i="2"/>
  <c r="D535" i="6" s="1"/>
  <c r="E535" i="6"/>
  <c r="G399" i="2"/>
  <c r="D490" i="6" s="1"/>
  <c r="E490" i="6"/>
  <c r="G383" i="2"/>
  <c r="D471" i="6" s="1"/>
  <c r="E471" i="6"/>
  <c r="G325" i="2"/>
  <c r="D400" i="6" s="1"/>
  <c r="E400" i="6"/>
  <c r="G309" i="2"/>
  <c r="D382" i="6" s="1"/>
  <c r="E382" i="6"/>
  <c r="G293" i="2"/>
  <c r="D365" i="6" s="1"/>
  <c r="E365" i="6"/>
  <c r="G277" i="2"/>
  <c r="D345" i="6" s="1"/>
  <c r="E345" i="6"/>
  <c r="G229" i="2"/>
  <c r="D282" i="6" s="1"/>
  <c r="E11" i="5" s="1"/>
  <c r="E282" i="6"/>
  <c r="F11" i="5" s="1"/>
  <c r="G514" i="2"/>
  <c r="D617" i="6" s="1"/>
  <c r="F617" i="6"/>
  <c r="G501" i="2"/>
  <c r="D603" i="6" s="1"/>
  <c r="G486" i="2"/>
  <c r="D591" i="6" s="1"/>
  <c r="E591" i="6"/>
  <c r="G422" i="2"/>
  <c r="D516" i="6" s="1"/>
  <c r="E516" i="6"/>
  <c r="G359" i="2"/>
  <c r="D440" i="6" s="1"/>
  <c r="E440" i="6"/>
  <c r="G351" i="2"/>
  <c r="D430" i="6" s="1"/>
  <c r="E430" i="6"/>
  <c r="G343" i="2"/>
  <c r="D419" i="6" s="1"/>
  <c r="E419" i="6"/>
  <c r="G335" i="2"/>
  <c r="D410" i="6" s="1"/>
  <c r="E410" i="6"/>
  <c r="G319" i="2"/>
  <c r="D393" i="6" s="1"/>
  <c r="E6" i="5" s="1"/>
  <c r="E393" i="6"/>
  <c r="F6" i="5" s="1"/>
  <c r="G271" i="2"/>
  <c r="D339" i="6" s="1"/>
  <c r="E339" i="6"/>
  <c r="G475" i="2"/>
  <c r="D580" i="6" s="1"/>
  <c r="E580" i="6"/>
  <c r="G270" i="2"/>
  <c r="D337" i="6" s="1"/>
  <c r="E33" i="5" s="1"/>
  <c r="E337" i="6"/>
  <c r="F33" i="5" s="1"/>
  <c r="G95" i="2"/>
  <c r="D122" i="6" s="1"/>
  <c r="E122" i="6"/>
  <c r="G321" i="2"/>
  <c r="D395" i="6" s="1"/>
  <c r="E395" i="6"/>
  <c r="G313" i="2"/>
  <c r="D386" i="6" s="1"/>
  <c r="E386" i="6"/>
  <c r="G304" i="2"/>
  <c r="D377" i="6" s="1"/>
  <c r="G297" i="2"/>
  <c r="D370" i="6" s="1"/>
  <c r="E370" i="6"/>
  <c r="G288" i="2"/>
  <c r="D359" i="6" s="1"/>
  <c r="G281" i="2"/>
  <c r="D351" i="6" s="1"/>
  <c r="E351" i="6"/>
  <c r="G272" i="2"/>
  <c r="D340" i="6" s="1"/>
  <c r="G265" i="2"/>
  <c r="D331" i="6" s="1"/>
  <c r="E331" i="6"/>
  <c r="G240" i="2"/>
  <c r="D296" i="6" s="1"/>
  <c r="E296" i="6"/>
  <c r="G148" i="2"/>
  <c r="D182" i="6" s="1"/>
  <c r="E182" i="6"/>
  <c r="G124" i="2"/>
  <c r="D159" i="6" s="1"/>
  <c r="E159" i="6"/>
  <c r="G483" i="2"/>
  <c r="D588" i="6" s="1"/>
  <c r="E588" i="6"/>
  <c r="G465" i="2"/>
  <c r="D567" i="6" s="1"/>
  <c r="E567" i="6"/>
  <c r="G455" i="2"/>
  <c r="D557" i="6" s="1"/>
  <c r="E557" i="6"/>
  <c r="G441" i="2"/>
  <c r="D539" i="6" s="1"/>
  <c r="E539" i="6"/>
  <c r="G233" i="2"/>
  <c r="D287" i="6" s="1"/>
  <c r="E49" i="5" s="1"/>
  <c r="E287" i="6"/>
  <c r="F49" i="5" s="1"/>
  <c r="G225" i="2"/>
  <c r="D276" i="6" s="1"/>
  <c r="E276" i="6"/>
  <c r="G215" i="2"/>
  <c r="D264" i="6" s="1"/>
  <c r="E32" i="5" s="1"/>
  <c r="E264" i="6"/>
  <c r="F32" i="5" s="1"/>
  <c r="G430" i="2"/>
  <c r="D527" i="6" s="1"/>
  <c r="E527" i="6"/>
  <c r="G419" i="2"/>
  <c r="D513" i="6" s="1"/>
  <c r="E26" i="5" s="1"/>
  <c r="E513" i="6"/>
  <c r="F26" i="5" s="1"/>
  <c r="G354" i="2"/>
  <c r="D433" i="6" s="1"/>
  <c r="E433" i="6"/>
  <c r="G334" i="2"/>
  <c r="D409" i="6" s="1"/>
  <c r="E409" i="6"/>
  <c r="G219" i="2"/>
  <c r="D270" i="6" s="1"/>
  <c r="E38" i="5" s="1"/>
  <c r="E270" i="6"/>
  <c r="F38" i="5" s="1"/>
  <c r="G213" i="2"/>
  <c r="D262" i="6" s="1"/>
  <c r="E20" i="5" s="1"/>
  <c r="E262" i="6"/>
  <c r="F20" i="5" s="1"/>
  <c r="G204" i="2"/>
  <c r="D251" i="6" s="1"/>
  <c r="E251" i="6"/>
  <c r="G143" i="2"/>
  <c r="D177" i="6" s="1"/>
  <c r="E177" i="6"/>
  <c r="G127" i="2"/>
  <c r="D162" i="6" s="1"/>
  <c r="E162" i="6"/>
  <c r="G111" i="2"/>
  <c r="D144" i="6" s="1"/>
  <c r="E144" i="6"/>
  <c r="G100" i="2"/>
  <c r="D127" i="6" s="1"/>
  <c r="E127" i="6"/>
  <c r="G94" i="2"/>
  <c r="D121" i="6" s="1"/>
  <c r="E121" i="6"/>
  <c r="J45" i="5"/>
  <c r="I467" i="6"/>
  <c r="J22" i="5" s="1"/>
  <c r="G51" i="2"/>
  <c r="D64" i="6" s="1"/>
  <c r="E64" i="6"/>
  <c r="G21" i="2"/>
  <c r="D27" i="6" s="1"/>
  <c r="E13" i="5" s="1"/>
  <c r="E27" i="6"/>
  <c r="F13" i="5" s="1"/>
  <c r="G7" i="2"/>
  <c r="D8" i="6" s="1"/>
  <c r="E8" i="6"/>
  <c r="G454" i="2"/>
  <c r="D556" i="6" s="1"/>
  <c r="E556" i="6"/>
  <c r="G411" i="2"/>
  <c r="D503" i="6" s="1"/>
  <c r="E503" i="6"/>
  <c r="G382" i="2"/>
  <c r="D470" i="6" s="1"/>
  <c r="F470" i="6"/>
  <c r="G310" i="2"/>
  <c r="D383" i="6" s="1"/>
  <c r="E383" i="6"/>
  <c r="G294" i="2"/>
  <c r="D366" i="6" s="1"/>
  <c r="E53" i="5" s="1"/>
  <c r="E366" i="6"/>
  <c r="F53" i="5" s="1"/>
  <c r="G239" i="2"/>
  <c r="D293" i="6" s="1"/>
  <c r="E293" i="6"/>
  <c r="G187" i="2"/>
  <c r="D231" i="6" s="1"/>
  <c r="G179" i="2"/>
  <c r="D220" i="6" s="1"/>
  <c r="G163" i="2"/>
  <c r="D201" i="6" s="1"/>
  <c r="G159" i="2"/>
  <c r="D196" i="6" s="1"/>
  <c r="G103" i="2"/>
  <c r="D130" i="6" s="1"/>
  <c r="E130" i="6"/>
  <c r="G90" i="2"/>
  <c r="D117" i="6" s="1"/>
  <c r="E117" i="6"/>
  <c r="G66" i="2"/>
  <c r="D85" i="6" s="1"/>
  <c r="E85" i="6"/>
  <c r="F74" i="6"/>
  <c r="G10" i="5" s="1"/>
  <c r="G50" i="2"/>
  <c r="D63" i="6" s="1"/>
  <c r="E63" i="6"/>
  <c r="G37" i="2"/>
  <c r="D46" i="6" s="1"/>
  <c r="E46" i="6"/>
  <c r="G34" i="2"/>
  <c r="D42" i="6" s="1"/>
  <c r="E42" i="6"/>
  <c r="G91" i="2"/>
  <c r="D118" i="6" s="1"/>
  <c r="G73" i="2"/>
  <c r="D92" i="6" s="1"/>
  <c r="E92" i="6"/>
  <c r="G45" i="5"/>
  <c r="F467" i="6"/>
  <c r="G22" i="5" s="1"/>
  <c r="G49" i="2"/>
  <c r="D62" i="6" s="1"/>
  <c r="E62" i="6"/>
  <c r="G39" i="2"/>
  <c r="D48" i="6" s="1"/>
  <c r="G101" i="2"/>
  <c r="D128" i="6" s="1"/>
  <c r="E128" i="6"/>
  <c r="G32" i="2"/>
  <c r="D39" i="6" s="1"/>
  <c r="E28" i="5" s="1"/>
  <c r="G52" i="2"/>
  <c r="D66" i="6" s="1"/>
  <c r="E66" i="6"/>
  <c r="G42" i="2"/>
  <c r="D51" i="6" s="1"/>
  <c r="E51" i="6"/>
  <c r="G93" i="2"/>
  <c r="D120" i="6" s="1"/>
  <c r="E120" i="6"/>
  <c r="G80" i="2"/>
  <c r="D100" i="6" s="1"/>
  <c r="E100" i="6"/>
  <c r="G67" i="2"/>
  <c r="D86" i="6" s="1"/>
  <c r="E86" i="6"/>
  <c r="G509" i="2"/>
  <c r="D610" i="6" s="1"/>
  <c r="E610" i="6"/>
  <c r="G489" i="2"/>
  <c r="D594" i="6" s="1"/>
  <c r="E594" i="6"/>
  <c r="G421" i="2"/>
  <c r="D515" i="6" s="1"/>
  <c r="F515" i="6"/>
  <c r="G413" i="2"/>
  <c r="D505" i="6" s="1"/>
  <c r="E505" i="6"/>
  <c r="G400" i="2"/>
  <c r="D491" i="6" s="1"/>
  <c r="F491" i="6"/>
  <c r="G384" i="2"/>
  <c r="D472" i="6" s="1"/>
  <c r="E55" i="5" s="1"/>
  <c r="F472" i="6"/>
  <c r="G55" i="5" s="1"/>
  <c r="G339" i="2"/>
  <c r="D414" i="6" s="1"/>
  <c r="E414" i="6"/>
  <c r="G484" i="2"/>
  <c r="D589" i="6" s="1"/>
  <c r="E589" i="6"/>
  <c r="G429" i="2"/>
  <c r="D525" i="6" s="1"/>
  <c r="F525" i="6"/>
  <c r="G402" i="2"/>
  <c r="D494" i="6" s="1"/>
  <c r="F494" i="6"/>
  <c r="G253" i="2"/>
  <c r="D312" i="6" s="1"/>
  <c r="E312" i="6"/>
  <c r="G218" i="2"/>
  <c r="D269" i="6" s="1"/>
  <c r="E269" i="6"/>
  <c r="G211" i="2"/>
  <c r="D260" i="6" s="1"/>
  <c r="E260" i="6"/>
  <c r="G517" i="2"/>
  <c r="D621" i="6" s="1"/>
  <c r="E621" i="6"/>
  <c r="G510" i="2"/>
  <c r="D612" i="6" s="1"/>
  <c r="F612" i="6"/>
  <c r="G485" i="2"/>
  <c r="D590" i="6" s="1"/>
  <c r="E590" i="6"/>
  <c r="G458" i="2"/>
  <c r="D560" i="6" s="1"/>
  <c r="E560" i="6"/>
  <c r="G409" i="2"/>
  <c r="D501" i="6" s="1"/>
  <c r="E501" i="6"/>
  <c r="G401" i="2"/>
  <c r="D492" i="6" s="1"/>
  <c r="E23" i="5" s="1"/>
  <c r="E492" i="6"/>
  <c r="F23" i="5" s="1"/>
  <c r="G393" i="2"/>
  <c r="D481" i="6" s="1"/>
  <c r="E481" i="6"/>
  <c r="G385" i="2"/>
  <c r="D473" i="6" s="1"/>
  <c r="E473" i="6"/>
  <c r="G377" i="2"/>
  <c r="D465" i="6" s="1"/>
  <c r="E465" i="6"/>
  <c r="G327" i="2"/>
  <c r="D402" i="6" s="1"/>
  <c r="E402" i="6"/>
  <c r="G311" i="2"/>
  <c r="D384" i="6" s="1"/>
  <c r="E384" i="6"/>
  <c r="G263" i="2"/>
  <c r="D327" i="6" s="1"/>
  <c r="E327" i="6"/>
  <c r="G251" i="2"/>
  <c r="D308" i="6" s="1"/>
  <c r="E308" i="6"/>
  <c r="G434" i="2"/>
  <c r="D532" i="6" s="1"/>
  <c r="E532" i="6"/>
  <c r="G352" i="2"/>
  <c r="D431" i="6" s="1"/>
  <c r="G257" i="2"/>
  <c r="D319" i="6" s="1"/>
  <c r="E319" i="6"/>
  <c r="G227" i="2"/>
  <c r="D279" i="6" s="1"/>
  <c r="E279" i="6"/>
  <c r="G221" i="2"/>
  <c r="D272" i="6" s="1"/>
  <c r="E272" i="6"/>
  <c r="G435" i="2"/>
  <c r="D533" i="6" s="1"/>
  <c r="F533" i="6"/>
  <c r="G424" i="2"/>
  <c r="D519" i="6" s="1"/>
  <c r="E519" i="6"/>
  <c r="G398" i="2"/>
  <c r="D488" i="6" s="1"/>
  <c r="F488" i="6"/>
  <c r="G344" i="2"/>
  <c r="D420" i="6" s="1"/>
  <c r="G201" i="2"/>
  <c r="D249" i="6" s="1"/>
  <c r="E249" i="6"/>
  <c r="G142" i="2"/>
  <c r="D176" i="6" s="1"/>
  <c r="E17" i="5" s="1"/>
  <c r="E176" i="6"/>
  <c r="F17" i="5" s="1"/>
  <c r="G488" i="2"/>
  <c r="D593" i="6" s="1"/>
  <c r="E593" i="6"/>
  <c r="G448" i="2"/>
  <c r="D549" i="6" s="1"/>
  <c r="E549" i="6"/>
  <c r="G390" i="2"/>
  <c r="D477" i="6" s="1"/>
  <c r="F477" i="6"/>
  <c r="G345" i="2"/>
  <c r="D421" i="6" s="1"/>
  <c r="E421" i="6"/>
  <c r="G243" i="2"/>
  <c r="D299" i="6" s="1"/>
  <c r="E299" i="6"/>
  <c r="G212" i="2"/>
  <c r="D261" i="6" s="1"/>
  <c r="E261" i="6"/>
  <c r="G199" i="2"/>
  <c r="D247" i="6" s="1"/>
  <c r="E247" i="6"/>
  <c r="G120" i="2"/>
  <c r="D156" i="6" s="1"/>
  <c r="E16" i="5" s="1"/>
  <c r="E156" i="6"/>
  <c r="F16" i="5" s="1"/>
  <c r="G106" i="2"/>
  <c r="D137" i="6" s="1"/>
  <c r="E137" i="6"/>
  <c r="G99" i="2"/>
  <c r="D126" i="6" s="1"/>
  <c r="E43" i="5" s="1"/>
  <c r="E126" i="6"/>
  <c r="F43" i="5" s="1"/>
  <c r="G86" i="2"/>
  <c r="D112" i="6" s="1"/>
  <c r="E112" i="6"/>
  <c r="G79" i="2"/>
  <c r="D99" i="6" s="1"/>
  <c r="E99" i="6"/>
  <c r="G65" i="2"/>
  <c r="D185" i="6" s="1"/>
  <c r="E185" i="6"/>
  <c r="G44" i="2"/>
  <c r="D53" i="6" s="1"/>
  <c r="E53" i="6"/>
  <c r="G36" i="2"/>
  <c r="D44" i="6" s="1"/>
  <c r="E44" i="6"/>
  <c r="G13" i="2"/>
  <c r="D18" i="6" s="1"/>
  <c r="E18" i="6"/>
  <c r="G320" i="2"/>
  <c r="D394" i="6" s="1"/>
  <c r="E7" i="5" s="1"/>
  <c r="G262" i="2"/>
  <c r="D324" i="6" s="1"/>
  <c r="E324" i="6"/>
  <c r="G113" i="2"/>
  <c r="D147" i="6" s="1"/>
  <c r="G9" i="2"/>
  <c r="D12" i="6" s="1"/>
  <c r="E12" i="6"/>
  <c r="G10" i="2"/>
  <c r="D13" i="6" s="1"/>
  <c r="E27" i="5" s="1"/>
  <c r="E13" i="6"/>
  <c r="F27" i="5" s="1"/>
  <c r="G46" i="2"/>
  <c r="D59" i="6" s="1"/>
  <c r="E59" i="6"/>
  <c r="G85" i="2"/>
  <c r="D110" i="6" s="1"/>
  <c r="E110" i="6"/>
  <c r="G35" i="2"/>
  <c r="D43" i="6" s="1"/>
  <c r="E43" i="6"/>
  <c r="G27" i="2"/>
  <c r="D32" i="6" s="1"/>
  <c r="F32" i="6"/>
  <c r="G92" i="2"/>
  <c r="D119" i="6" s="1"/>
  <c r="E119" i="6"/>
  <c r="G81" i="2"/>
  <c r="D102" i="6" s="1"/>
  <c r="E102" i="6"/>
  <c r="G68" i="2"/>
  <c r="D87" i="6" s="1"/>
  <c r="E87" i="6"/>
  <c r="G59" i="2"/>
  <c r="D77" i="6" s="1"/>
  <c r="E77" i="6"/>
  <c r="G31" i="2"/>
  <c r="D38" i="6" s="1"/>
  <c r="E38" i="6"/>
  <c r="G26" i="2"/>
  <c r="D31" i="6" s="1"/>
  <c r="E31" i="6"/>
  <c r="G2" i="2"/>
  <c r="D2" i="6" s="1"/>
  <c r="E2" i="6"/>
  <c r="G512" i="2"/>
  <c r="D615" i="6" s="1"/>
  <c r="F615" i="6"/>
  <c r="G500" i="2"/>
  <c r="D602" i="6" s="1"/>
  <c r="E602" i="6"/>
  <c r="G307" i="2"/>
  <c r="D380" i="6" s="1"/>
  <c r="E380" i="6"/>
  <c r="G267" i="2"/>
  <c r="D333" i="6" s="1"/>
  <c r="E333" i="6"/>
  <c r="G462" i="2"/>
  <c r="D565" i="6" s="1"/>
  <c r="E565" i="6"/>
  <c r="G420" i="2"/>
  <c r="D514" i="6" s="1"/>
  <c r="E514" i="6"/>
  <c r="G386" i="2"/>
  <c r="D474" i="6" s="1"/>
  <c r="F474" i="6"/>
  <c r="G358" i="2"/>
  <c r="D439" i="6" s="1"/>
  <c r="G308" i="2"/>
  <c r="D381" i="6" s="1"/>
  <c r="G522" i="2"/>
  <c r="D626" i="6" s="1"/>
  <c r="F626" i="6"/>
  <c r="G515" i="2"/>
  <c r="D619" i="6" s="1"/>
  <c r="E35" i="5" s="1"/>
  <c r="E619" i="6"/>
  <c r="F35" i="5" s="1"/>
  <c r="G503" i="2"/>
  <c r="D605" i="6" s="1"/>
  <c r="E605" i="6"/>
  <c r="G447" i="2"/>
  <c r="D548" i="6" s="1"/>
  <c r="E548" i="6"/>
  <c r="G426" i="2"/>
  <c r="D521" i="6" s="1"/>
  <c r="E521" i="6"/>
  <c r="G416" i="2"/>
  <c r="D511" i="6" s="1"/>
  <c r="F511" i="6"/>
  <c r="G389" i="2"/>
  <c r="D476" i="6" s="1"/>
  <c r="E476" i="6"/>
  <c r="G376" i="2"/>
  <c r="D464" i="6" s="1"/>
  <c r="F464" i="6"/>
  <c r="G366" i="2"/>
  <c r="D450" i="6" s="1"/>
  <c r="E450" i="6"/>
  <c r="G355" i="2"/>
  <c r="D434" i="6" s="1"/>
  <c r="E434" i="6"/>
  <c r="G323" i="2"/>
  <c r="D398" i="6" s="1"/>
  <c r="E398" i="6"/>
  <c r="G299" i="2"/>
  <c r="D372" i="6" s="1"/>
  <c r="E372" i="6"/>
  <c r="G259" i="2"/>
  <c r="D321" i="6" s="1"/>
  <c r="E321" i="6"/>
  <c r="G519" i="2"/>
  <c r="D623" i="6" s="1"/>
  <c r="E623" i="6"/>
  <c r="G508" i="2"/>
  <c r="D609" i="6" s="1"/>
  <c r="F609" i="6"/>
  <c r="G493" i="2"/>
  <c r="D599" i="6" s="1"/>
  <c r="E599" i="6"/>
  <c r="G476" i="2"/>
  <c r="D581" i="6" s="1"/>
  <c r="E581" i="6"/>
  <c r="G466" i="2"/>
  <c r="D568" i="6" s="1"/>
  <c r="E12" i="5" s="1"/>
  <c r="E568" i="6"/>
  <c r="F12" i="5" s="1"/>
  <c r="G450" i="2"/>
  <c r="D552" i="6" s="1"/>
  <c r="E56" i="5" s="1"/>
  <c r="E552" i="6"/>
  <c r="F56" i="5" s="1"/>
  <c r="G432" i="2"/>
  <c r="D530" i="6" s="1"/>
  <c r="E530" i="6"/>
  <c r="G423" i="2"/>
  <c r="D517" i="6" s="1"/>
  <c r="F517" i="6"/>
  <c r="G415" i="2"/>
  <c r="D510" i="6" s="1"/>
  <c r="E510" i="6"/>
  <c r="G391" i="2"/>
  <c r="D478" i="6" s="1"/>
  <c r="E478" i="6"/>
  <c r="G341" i="2"/>
  <c r="D416" i="6" s="1"/>
  <c r="E416" i="6"/>
  <c r="G317" i="2"/>
  <c r="D391" i="6" s="1"/>
  <c r="E391" i="6"/>
  <c r="G301" i="2"/>
  <c r="D374" i="6" s="1"/>
  <c r="E374" i="6"/>
  <c r="G285" i="2"/>
  <c r="D355" i="6" s="1"/>
  <c r="E355" i="6"/>
  <c r="G269" i="2"/>
  <c r="D336" i="6" s="1"/>
  <c r="E52" i="5" s="1"/>
  <c r="E336" i="6"/>
  <c r="F52" i="5" s="1"/>
  <c r="G513" i="2"/>
  <c r="D616" i="6" s="1"/>
  <c r="E616" i="6"/>
  <c r="G502" i="2"/>
  <c r="D604" i="6" s="1"/>
  <c r="E604" i="6"/>
  <c r="G478" i="2"/>
  <c r="D584" i="6" s="1"/>
  <c r="E584" i="6"/>
  <c r="G472" i="2"/>
  <c r="D575" i="6" s="1"/>
  <c r="E575" i="6"/>
  <c r="G425" i="2"/>
  <c r="D520" i="6" s="1"/>
  <c r="F520" i="6"/>
  <c r="G303" i="2"/>
  <c r="D376" i="6" s="1"/>
  <c r="E376" i="6"/>
  <c r="G255" i="2"/>
  <c r="D317" i="6" s="1"/>
  <c r="E317" i="6"/>
  <c r="G480" i="2"/>
  <c r="D585" i="6" s="1"/>
  <c r="E585" i="6"/>
  <c r="G278" i="2"/>
  <c r="D346" i="6" s="1"/>
  <c r="E346" i="6"/>
  <c r="G254" i="2"/>
  <c r="D313" i="6" s="1"/>
  <c r="E313" i="6"/>
  <c r="G444" i="2"/>
  <c r="D544" i="6" s="1"/>
  <c r="E544" i="6"/>
  <c r="G350" i="2"/>
  <c r="D428" i="6" s="1"/>
  <c r="E428" i="6"/>
  <c r="G312" i="2"/>
  <c r="D385" i="6" s="1"/>
  <c r="G305" i="2"/>
  <c r="D378" i="6" s="1"/>
  <c r="E378" i="6"/>
  <c r="G296" i="2"/>
  <c r="D368" i="6" s="1"/>
  <c r="G289" i="2"/>
  <c r="D360" i="6" s="1"/>
  <c r="E360" i="6"/>
  <c r="G280" i="2"/>
  <c r="D348" i="6" s="1"/>
  <c r="G273" i="2"/>
  <c r="D341" i="6" s="1"/>
  <c r="E341" i="6"/>
  <c r="G246" i="2"/>
  <c r="D303" i="6" s="1"/>
  <c r="E303" i="6"/>
  <c r="G140" i="2"/>
  <c r="D173" i="6" s="1"/>
  <c r="E173" i="6"/>
  <c r="G132" i="2"/>
  <c r="D165" i="6" s="1"/>
  <c r="E165" i="6"/>
  <c r="G460" i="2"/>
  <c r="D562" i="6" s="1"/>
  <c r="E562" i="6"/>
  <c r="G362" i="2"/>
  <c r="D445" i="6" s="1"/>
  <c r="E445" i="6"/>
  <c r="G342" i="2"/>
  <c r="D418" i="6" s="1"/>
  <c r="E418" i="6"/>
  <c r="G232" i="2"/>
  <c r="D286" i="6" s="1"/>
  <c r="E48" i="5" s="1"/>
  <c r="G220" i="2"/>
  <c r="D271" i="6" s="1"/>
  <c r="E271" i="6"/>
  <c r="G195" i="2"/>
  <c r="D240" i="6" s="1"/>
  <c r="E240" i="6"/>
  <c r="G177" i="2"/>
  <c r="D218" i="6" s="1"/>
  <c r="E218" i="6"/>
  <c r="G173" i="2"/>
  <c r="D212" i="6" s="1"/>
  <c r="E212" i="6"/>
  <c r="G169" i="2"/>
  <c r="D208" i="6" s="1"/>
  <c r="E208" i="6"/>
  <c r="G165" i="2"/>
  <c r="D204" i="6" s="1"/>
  <c r="E204" i="6"/>
  <c r="G161" i="2"/>
  <c r="D199" i="6" s="1"/>
  <c r="E199" i="6"/>
  <c r="G157" i="2"/>
  <c r="D193" i="6" s="1"/>
  <c r="E193" i="6"/>
  <c r="G153" i="2"/>
  <c r="D188" i="6" s="1"/>
  <c r="E188" i="6"/>
  <c r="G134" i="2"/>
  <c r="D167" i="6" s="1"/>
  <c r="E167" i="6"/>
  <c r="G110" i="2"/>
  <c r="D143" i="6" s="1"/>
  <c r="E143" i="6"/>
  <c r="G439" i="2"/>
  <c r="D537" i="6" s="1"/>
  <c r="E537" i="6"/>
  <c r="G224" i="2"/>
  <c r="D275" i="6" s="1"/>
  <c r="E275" i="6"/>
  <c r="G189" i="2"/>
  <c r="D233" i="6" s="1"/>
  <c r="E233" i="6"/>
  <c r="G150" i="2"/>
  <c r="D184" i="6" s="1"/>
  <c r="E184" i="6"/>
  <c r="G136" i="2"/>
  <c r="D169" i="6" s="1"/>
  <c r="E169" i="6"/>
  <c r="G119" i="2"/>
  <c r="D155" i="6" s="1"/>
  <c r="E155" i="6"/>
  <c r="G58" i="2"/>
  <c r="D76" i="6" s="1"/>
  <c r="E76" i="6"/>
  <c r="G54" i="2"/>
  <c r="D69" i="6" s="1"/>
  <c r="E69" i="6"/>
  <c r="G47" i="2"/>
  <c r="D60" i="6" s="1"/>
  <c r="E60" i="6"/>
  <c r="G6" i="2"/>
  <c r="D7" i="6" s="1"/>
  <c r="E7" i="6"/>
  <c r="G431" i="2"/>
  <c r="D528" i="6" s="1"/>
  <c r="F528" i="6"/>
  <c r="G414" i="2"/>
  <c r="D506" i="6" s="1"/>
  <c r="F506" i="6"/>
  <c r="G360" i="2"/>
  <c r="D441" i="6" s="1"/>
  <c r="G337" i="2"/>
  <c r="D412" i="6" s="1"/>
  <c r="E412" i="6"/>
  <c r="G329" i="2"/>
  <c r="D404" i="6" s="1"/>
  <c r="E404" i="6"/>
  <c r="G318" i="2"/>
  <c r="D392" i="6" s="1"/>
  <c r="E392" i="6"/>
  <c r="G302" i="2"/>
  <c r="D375" i="6" s="1"/>
  <c r="E375" i="6"/>
  <c r="G286" i="2"/>
  <c r="D356" i="6" s="1"/>
  <c r="E356" i="6"/>
  <c r="G223" i="2"/>
  <c r="D274" i="6" s="1"/>
  <c r="E274" i="6"/>
  <c r="G208" i="2"/>
  <c r="D254" i="6" s="1"/>
  <c r="E254" i="6"/>
  <c r="G175" i="2"/>
  <c r="D215" i="6" s="1"/>
  <c r="G146" i="2"/>
  <c r="D180" i="6" s="1"/>
  <c r="E180" i="6"/>
  <c r="G138" i="2"/>
  <c r="D171" i="6" s="1"/>
  <c r="E171" i="6"/>
  <c r="G88" i="2"/>
  <c r="D115" i="6" s="1"/>
  <c r="E115" i="6"/>
  <c r="G78" i="2"/>
  <c r="D98" i="6" s="1"/>
  <c r="E98" i="6"/>
  <c r="G56" i="2"/>
  <c r="D73" i="6" s="1"/>
  <c r="E73" i="6"/>
  <c r="G43" i="2"/>
  <c r="D52" i="6" s="1"/>
  <c r="E52" i="6"/>
  <c r="G20" i="2"/>
  <c r="D26" i="6" s="1"/>
  <c r="E26" i="6"/>
  <c r="G18" i="2"/>
  <c r="D24" i="6" s="1"/>
  <c r="E24" i="6"/>
  <c r="G82" i="2"/>
  <c r="D104" i="6" s="1"/>
  <c r="E104" i="6"/>
  <c r="G55" i="2"/>
  <c r="D70" i="6" s="1"/>
  <c r="E70" i="6"/>
  <c r="G40" i="2"/>
  <c r="D49" i="6" s="1"/>
  <c r="E49" i="6"/>
  <c r="G30" i="2"/>
  <c r="D37" i="6" s="1"/>
  <c r="E37" i="6"/>
  <c r="G41" i="2"/>
  <c r="D50" i="6" s="1"/>
  <c r="E29" i="5" s="1"/>
  <c r="E50" i="6"/>
  <c r="F29" i="5" s="1"/>
  <c r="G57" i="2"/>
  <c r="E74" i="6"/>
  <c r="F10" i="5" s="1"/>
  <c r="G28" i="2"/>
  <c r="D35" i="6" s="1"/>
  <c r="F35" i="6"/>
  <c r="G87" i="2"/>
  <c r="D114" i="6" s="1"/>
  <c r="E31" i="5" s="1"/>
  <c r="E114" i="6"/>
  <c r="F31" i="5" s="1"/>
  <c r="G75" i="2"/>
  <c r="D95" i="6" s="1"/>
  <c r="E95" i="6"/>
  <c r="G70" i="2"/>
  <c r="D88" i="6" s="1"/>
  <c r="E88" i="6"/>
  <c r="G62" i="2"/>
  <c r="D82" i="6" s="1"/>
  <c r="E82" i="6"/>
  <c r="G507" i="2"/>
  <c r="D608" i="6" s="1"/>
  <c r="E608" i="6"/>
  <c r="G392" i="2"/>
  <c r="D480" i="6" s="1"/>
  <c r="F480" i="6"/>
  <c r="G331" i="2"/>
  <c r="D406" i="6" s="1"/>
  <c r="E406" i="6"/>
  <c r="G283" i="2"/>
  <c r="D353" i="6" s="1"/>
  <c r="E34" i="5" s="1"/>
  <c r="E353" i="6"/>
  <c r="F34" i="5" s="1"/>
  <c r="G523" i="2"/>
  <c r="D627" i="6" s="1"/>
  <c r="E627" i="6"/>
  <c r="G470" i="2"/>
  <c r="D573" i="6" s="1"/>
  <c r="E573" i="6"/>
  <c r="G442" i="2"/>
  <c r="D541" i="6" s="1"/>
  <c r="E541" i="6"/>
  <c r="G433" i="2"/>
  <c r="D531" i="6" s="1"/>
  <c r="F531" i="6"/>
  <c r="G418" i="2"/>
  <c r="D512" i="6" s="1"/>
  <c r="F512" i="6"/>
  <c r="G407" i="2"/>
  <c r="D498" i="6" s="1"/>
  <c r="E498" i="6"/>
  <c r="G394" i="2"/>
  <c r="D482" i="6" s="1"/>
  <c r="F482" i="6"/>
  <c r="G378" i="2"/>
  <c r="D466" i="6" s="1"/>
  <c r="E21" i="5" s="1"/>
  <c r="F466" i="6"/>
  <c r="G21" i="5" s="1"/>
  <c r="G333" i="2"/>
  <c r="D408" i="6" s="1"/>
  <c r="E408" i="6"/>
  <c r="G261" i="2"/>
  <c r="D323" i="6" s="1"/>
  <c r="E323" i="6"/>
  <c r="G237" i="2"/>
  <c r="D291" i="6" s="1"/>
  <c r="E291" i="6"/>
  <c r="G222" i="2"/>
  <c r="D273" i="6" s="1"/>
  <c r="E273" i="6"/>
  <c r="G214" i="2"/>
  <c r="D263" i="6" s="1"/>
  <c r="E263" i="6"/>
  <c r="G518" i="2"/>
  <c r="D622" i="6" s="1"/>
  <c r="F622" i="6"/>
  <c r="G506" i="2"/>
  <c r="D607" i="6" s="1"/>
  <c r="E3" i="5" s="1"/>
  <c r="E607" i="6"/>
  <c r="F3" i="5" s="1"/>
  <c r="G477" i="2"/>
  <c r="D582" i="6" s="1"/>
  <c r="E58" i="5" s="1"/>
  <c r="E582" i="6"/>
  <c r="F58" i="5" s="1"/>
  <c r="G412" i="2"/>
  <c r="D504" i="6" s="1"/>
  <c r="E25" i="5" s="1"/>
  <c r="F504" i="6"/>
  <c r="G25" i="5" s="1"/>
  <c r="G404" i="2"/>
  <c r="D496" i="6" s="1"/>
  <c r="E24" i="5" s="1"/>
  <c r="F496" i="6"/>
  <c r="G24" i="5" s="1"/>
  <c r="G396" i="2"/>
  <c r="D486" i="6" s="1"/>
  <c r="F486" i="6"/>
  <c r="G388" i="2"/>
  <c r="D475" i="6" s="1"/>
  <c r="F475" i="6"/>
  <c r="G380" i="2"/>
  <c r="D468" i="6" s="1"/>
  <c r="F468" i="6"/>
  <c r="G372" i="2"/>
  <c r="D458" i="6" s="1"/>
  <c r="F458" i="6"/>
  <c r="G295" i="2"/>
  <c r="D367" i="6" s="1"/>
  <c r="E367" i="6"/>
  <c r="G287" i="2"/>
  <c r="D357" i="6" s="1"/>
  <c r="E357" i="6"/>
  <c r="G247" i="2"/>
  <c r="D304" i="6" s="1"/>
  <c r="E304" i="6"/>
  <c r="G235" i="2"/>
  <c r="D289" i="6" s="1"/>
  <c r="E50" i="5" s="1"/>
  <c r="E289" i="6"/>
  <c r="F50" i="5" s="1"/>
  <c r="G490" i="2"/>
  <c r="D595" i="6" s="1"/>
  <c r="E595" i="6"/>
  <c r="G446" i="2"/>
  <c r="D546" i="6" s="1"/>
  <c r="G361" i="2"/>
  <c r="D444" i="6" s="1"/>
  <c r="E444" i="6"/>
  <c r="G256" i="2"/>
  <c r="D318" i="6" s="1"/>
  <c r="G241" i="2"/>
  <c r="D297" i="6" s="1"/>
  <c r="E297" i="6"/>
  <c r="G231" i="2"/>
  <c r="D285" i="6" s="1"/>
  <c r="E285" i="6"/>
  <c r="G216" i="2"/>
  <c r="D266" i="6" s="1"/>
  <c r="E266" i="6"/>
  <c r="G487" i="2"/>
  <c r="D592" i="6" s="1"/>
  <c r="E592" i="6"/>
  <c r="G468" i="2"/>
  <c r="D569" i="6" s="1"/>
  <c r="E569" i="6"/>
  <c r="G438" i="2"/>
  <c r="D536" i="6" s="1"/>
  <c r="G427" i="2"/>
  <c r="D523" i="6" s="1"/>
  <c r="F523" i="6"/>
  <c r="G395" i="2"/>
  <c r="D485" i="6" s="1"/>
  <c r="E485" i="6"/>
  <c r="G353" i="2"/>
  <c r="D432" i="6" s="1"/>
  <c r="E432" i="6"/>
  <c r="G248" i="2"/>
  <c r="D305" i="6" s="1"/>
  <c r="G210" i="2"/>
  <c r="D256" i="6" s="1"/>
  <c r="E256" i="6"/>
  <c r="G185" i="2"/>
  <c r="D228" i="6" s="1"/>
  <c r="E228" i="6"/>
  <c r="G126" i="2"/>
  <c r="D161" i="6" s="1"/>
  <c r="E44" i="5" s="1"/>
  <c r="E161" i="6"/>
  <c r="F44" i="5" s="1"/>
  <c r="G387" i="2"/>
  <c r="D57" i="6" s="1"/>
  <c r="E41" i="5" s="1"/>
  <c r="E57" i="6"/>
  <c r="F41" i="5" s="1"/>
  <c r="G336" i="2"/>
  <c r="D411" i="6" s="1"/>
  <c r="G144" i="2"/>
  <c r="D178" i="6" s="1"/>
  <c r="E178" i="6"/>
  <c r="G112" i="2"/>
  <c r="D146" i="6" s="1"/>
  <c r="E146" i="6"/>
  <c r="G109" i="2"/>
  <c r="D141" i="6" s="1"/>
  <c r="E141" i="6"/>
  <c r="G83" i="2"/>
  <c r="D105" i="6" s="1"/>
  <c r="E105" i="6"/>
  <c r="G72" i="2"/>
  <c r="D91" i="6" s="1"/>
  <c r="E91" i="6"/>
  <c r="G469" i="2"/>
  <c r="D571" i="6" s="1"/>
  <c r="E571" i="6"/>
  <c r="G461" i="2"/>
  <c r="D564" i="6" s="1"/>
  <c r="E564" i="6"/>
  <c r="G452" i="2"/>
  <c r="D554" i="6" s="1"/>
  <c r="E554" i="6"/>
  <c r="G440" i="2"/>
  <c r="D538" i="6" s="1"/>
  <c r="E538" i="6"/>
  <c r="G346" i="2"/>
  <c r="D422" i="6" s="1"/>
  <c r="E422" i="6"/>
  <c r="G114" i="2"/>
  <c r="D148" i="6" s="1"/>
  <c r="E148" i="6"/>
  <c r="G108" i="2"/>
  <c r="D139" i="6" s="1"/>
  <c r="E139" i="6"/>
  <c r="G105" i="2"/>
  <c r="D133" i="6" s="1"/>
  <c r="E133" i="6"/>
  <c r="G77" i="2"/>
  <c r="D96" i="6" s="1"/>
  <c r="E96" i="6"/>
  <c r="G74" i="2"/>
  <c r="D93" i="6" s="1"/>
  <c r="E93" i="6"/>
  <c r="G53" i="2"/>
  <c r="D68" i="6" s="1"/>
  <c r="E42" i="5" s="1"/>
  <c r="E68" i="6"/>
  <c r="F42" i="5" s="1"/>
  <c r="G38" i="2"/>
  <c r="D47" i="6" s="1"/>
  <c r="E47" i="6"/>
  <c r="G45" i="2"/>
  <c r="D54" i="6" s="1"/>
  <c r="E39" i="5" s="1"/>
  <c r="G17" i="2"/>
  <c r="D23" i="6" s="1"/>
  <c r="E23" i="6"/>
  <c r="I45" i="5"/>
  <c r="H467" i="6"/>
  <c r="I22" i="5" s="1"/>
  <c r="G60" i="2"/>
  <c r="D78" i="6" s="1"/>
  <c r="E78" i="6"/>
  <c r="G12" i="2"/>
  <c r="D15" i="6" s="1"/>
  <c r="E15" i="6"/>
  <c r="G33" i="2"/>
  <c r="D41" i="6" s="1"/>
  <c r="E14" i="5" s="1"/>
  <c r="G98" i="2"/>
  <c r="D125" i="6" s="1"/>
  <c r="E125" i="6"/>
  <c r="G71" i="2"/>
  <c r="D89" i="6" s="1"/>
  <c r="E89" i="6"/>
  <c r="G63" i="2"/>
  <c r="D83" i="6" s="1"/>
  <c r="E30" i="5" s="1"/>
  <c r="E83" i="6"/>
  <c r="F30" i="5" s="1"/>
  <c r="G61" i="2"/>
  <c r="D81" i="6" s="1"/>
  <c r="G48" i="2"/>
  <c r="D61" i="6" s="1"/>
  <c r="E61" i="6"/>
  <c r="G29" i="2"/>
  <c r="D36" i="6" s="1"/>
  <c r="G25" i="2"/>
  <c r="D30" i="6" s="1"/>
  <c r="E30" i="6"/>
  <c r="F45" i="5" l="1"/>
  <c r="E467" i="6"/>
  <c r="F22" i="5" s="1"/>
  <c r="D74" i="6"/>
  <c r="E10" i="5" s="1"/>
  <c r="E45" i="5"/>
  <c r="D467" i="6"/>
  <c r="E22" i="5" s="1"/>
</calcChain>
</file>

<file path=xl/sharedStrings.xml><?xml version="1.0" encoding="utf-8"?>
<sst xmlns="http://schemas.openxmlformats.org/spreadsheetml/2006/main" count="18781" uniqueCount="3509">
  <si>
    <t>GEOID</t>
  </si>
  <si>
    <t>NAME</t>
  </si>
  <si>
    <t>White Center</t>
  </si>
  <si>
    <t>White Center CDP</t>
  </si>
  <si>
    <t>Mercer Island</t>
  </si>
  <si>
    <t>Mercer Island city</t>
  </si>
  <si>
    <t>Newcastle</t>
  </si>
  <si>
    <t>Newcastle city</t>
  </si>
  <si>
    <t>Normandy Park</t>
  </si>
  <si>
    <t>Normandy Park city</t>
  </si>
  <si>
    <t>North Bend</t>
  </si>
  <si>
    <t>North Bend city</t>
  </si>
  <si>
    <t>Pacific</t>
  </si>
  <si>
    <t>Pacific city</t>
  </si>
  <si>
    <t>Yarrow Point</t>
  </si>
  <si>
    <t>Yarrow Point town</t>
  </si>
  <si>
    <t>Burien</t>
  </si>
  <si>
    <t>Burien city</t>
  </si>
  <si>
    <t>Lake Forest Park</t>
  </si>
  <si>
    <t>Lake Forest Park city</t>
  </si>
  <si>
    <t>Tukwila</t>
  </si>
  <si>
    <t>Tukwila city</t>
  </si>
  <si>
    <t>Auburn</t>
  </si>
  <si>
    <t>Auburn city</t>
  </si>
  <si>
    <t>Bellevue</t>
  </si>
  <si>
    <t>Bellevue city</t>
  </si>
  <si>
    <t>Covington</t>
  </si>
  <si>
    <t>Covington city</t>
  </si>
  <si>
    <t>Duvall</t>
  </si>
  <si>
    <t>Duvall city</t>
  </si>
  <si>
    <t>Enumclaw</t>
  </si>
  <si>
    <t>Enumclaw city</t>
  </si>
  <si>
    <t>Federal Way</t>
  </si>
  <si>
    <t>Federal Way city</t>
  </si>
  <si>
    <t>Issaquah</t>
  </si>
  <si>
    <t>Issaquah city</t>
  </si>
  <si>
    <t>Kenmore</t>
  </si>
  <si>
    <t>Kenmore city</t>
  </si>
  <si>
    <t>Redmond</t>
  </si>
  <si>
    <t>Redmond city</t>
  </si>
  <si>
    <t>Renton</t>
  </si>
  <si>
    <t>Renton city</t>
  </si>
  <si>
    <t>Sammamish</t>
  </si>
  <si>
    <t>Sammamish city</t>
  </si>
  <si>
    <t>SeaTac</t>
  </si>
  <si>
    <t>SeaTac city</t>
  </si>
  <si>
    <t>Shoreline</t>
  </si>
  <si>
    <t>Shoreline city</t>
  </si>
  <si>
    <t>Snoqualmie</t>
  </si>
  <si>
    <t>Snoqualmie city</t>
  </si>
  <si>
    <t>Algona</t>
  </si>
  <si>
    <t>Algona city</t>
  </si>
  <si>
    <t>Beaux Arts Village</t>
  </si>
  <si>
    <t>Beaux Arts Village town</t>
  </si>
  <si>
    <t>Black Diamond</t>
  </si>
  <si>
    <t>Black Diamond city</t>
  </si>
  <si>
    <t>Carnation</t>
  </si>
  <si>
    <t>Carnation city</t>
  </si>
  <si>
    <t>Clyde Hill</t>
  </si>
  <si>
    <t>Clyde Hill city</t>
  </si>
  <si>
    <t>Kent</t>
  </si>
  <si>
    <t>Kent city</t>
  </si>
  <si>
    <t>Maple Valley</t>
  </si>
  <si>
    <t>Maple Valley city</t>
  </si>
  <si>
    <t>Medina</t>
  </si>
  <si>
    <t>Medina city</t>
  </si>
  <si>
    <t>Woodinville</t>
  </si>
  <si>
    <t>Woodinville city</t>
  </si>
  <si>
    <t>Des Moines</t>
  </si>
  <si>
    <t>Des Moines city</t>
  </si>
  <si>
    <t>Hunts Point</t>
  </si>
  <si>
    <t>Hunts Point town</t>
  </si>
  <si>
    <t>Kirkland</t>
  </si>
  <si>
    <t>Kirkland city</t>
  </si>
  <si>
    <t>Bothell</t>
  </si>
  <si>
    <t>Bothell city</t>
  </si>
  <si>
    <t>Ames Lake</t>
  </si>
  <si>
    <t>Ames Lake CDP</t>
  </si>
  <si>
    <t>Boulevard Park</t>
  </si>
  <si>
    <t>Boulevard Park CDP</t>
  </si>
  <si>
    <t>Bryn Mawr-Skyway</t>
  </si>
  <si>
    <t>Bryn Mawr-Skyway CDP</t>
  </si>
  <si>
    <t>Cottage Lake</t>
  </si>
  <si>
    <t>Cottage Lake CDP</t>
  </si>
  <si>
    <t>East Renton Highlands</t>
  </si>
  <si>
    <t>East Renton Highlands CDP</t>
  </si>
  <si>
    <t>Fairwood</t>
  </si>
  <si>
    <t>Fairwood CDP</t>
  </si>
  <si>
    <t>Fall City</t>
  </si>
  <si>
    <t>Fall City CDP</t>
  </si>
  <si>
    <t>Hobart</t>
  </si>
  <si>
    <t>Hobart CDP</t>
  </si>
  <si>
    <t>Lakeland North</t>
  </si>
  <si>
    <t>Lakeland North CDP</t>
  </si>
  <si>
    <t>Lakeland South</t>
  </si>
  <si>
    <t>Lakeland South CDP</t>
  </si>
  <si>
    <t>Lake Marcel-Stillwater</t>
  </si>
  <si>
    <t>Lake Marcel-Stillwater CDP</t>
  </si>
  <si>
    <t>Lake Morton-Berrydale</t>
  </si>
  <si>
    <t>Lake Morton-Berrydale CDP</t>
  </si>
  <si>
    <t>Maple Heights-Lake Desire</t>
  </si>
  <si>
    <t>Maple Heights-Lake Desire CDP</t>
  </si>
  <si>
    <t>Mirrormont</t>
  </si>
  <si>
    <t>Mirrormont CDP</t>
  </si>
  <si>
    <t>Ravensdale</t>
  </si>
  <si>
    <t>Ravensdale CDP</t>
  </si>
  <si>
    <t>Riverbend</t>
  </si>
  <si>
    <t>Riverbend CDP</t>
  </si>
  <si>
    <t>Tanner</t>
  </si>
  <si>
    <t>Tanner CDP</t>
  </si>
  <si>
    <t>Union Hill-Novelty Hill</t>
  </si>
  <si>
    <t>Union Hill-Novelty Hill CDP</t>
  </si>
  <si>
    <t>Vashon</t>
  </si>
  <si>
    <t>Vashon CDP</t>
  </si>
  <si>
    <t>NAME2</t>
  </si>
  <si>
    <t>OOO</t>
  </si>
  <si>
    <t>Loyal Heights</t>
  </si>
  <si>
    <t>BALLARD</t>
  </si>
  <si>
    <t>Adams</t>
  </si>
  <si>
    <t>Whittier Heights</t>
  </si>
  <si>
    <t>West Woodland</t>
  </si>
  <si>
    <t>Phinney Ridge</t>
  </si>
  <si>
    <t>NO BROADER TERM</t>
  </si>
  <si>
    <t>Wallingford</t>
  </si>
  <si>
    <t>Fremont</t>
  </si>
  <si>
    <t>Green Lake</t>
  </si>
  <si>
    <t>View Ridge</t>
  </si>
  <si>
    <t>Ravenna</t>
  </si>
  <si>
    <t>Sand Point</t>
  </si>
  <si>
    <t>Bryant</t>
  </si>
  <si>
    <t>Windermere</t>
  </si>
  <si>
    <t>Laurelhurst</t>
  </si>
  <si>
    <t>Roosevelt</t>
  </si>
  <si>
    <t>University District</t>
  </si>
  <si>
    <t>UNIVERSITY DISTRICT</t>
  </si>
  <si>
    <t>East Queen Anne</t>
  </si>
  <si>
    <t>QUEEN ANNE</t>
  </si>
  <si>
    <t>West Queen Anne</t>
  </si>
  <si>
    <t>Lower Queen Anne</t>
  </si>
  <si>
    <t>North Queen Anne</t>
  </si>
  <si>
    <t>Westlake</t>
  </si>
  <si>
    <t>CASCADE</t>
  </si>
  <si>
    <t>Eastlake</t>
  </si>
  <si>
    <t>South Lake Union</t>
  </si>
  <si>
    <t>Lawton Park</t>
  </si>
  <si>
    <t>MAGNOLIA</t>
  </si>
  <si>
    <t>Briarcliff</t>
  </si>
  <si>
    <t>Southeast Magnolia</t>
  </si>
  <si>
    <t>Madrona</t>
  </si>
  <si>
    <t>CENTRAL AREA</t>
  </si>
  <si>
    <t>Harrison/Denny-Blaine</t>
  </si>
  <si>
    <t>Minor</t>
  </si>
  <si>
    <t>Leschi</t>
  </si>
  <si>
    <t>Mann</t>
  </si>
  <si>
    <t>Atlantic</t>
  </si>
  <si>
    <t>Pike-Market</t>
  </si>
  <si>
    <t>DOWNTOWN</t>
  </si>
  <si>
    <t>Belltown</t>
  </si>
  <si>
    <t>International District</t>
  </si>
  <si>
    <t>Central Business District</t>
  </si>
  <si>
    <t>First Hill</t>
  </si>
  <si>
    <t>Yesler Terrace</t>
  </si>
  <si>
    <t>Pioneer Square</t>
  </si>
  <si>
    <t>Interbay</t>
  </si>
  <si>
    <t>INTERBAY</t>
  </si>
  <si>
    <t>Industrial District</t>
  </si>
  <si>
    <t>Georgetown</t>
  </si>
  <si>
    <t>South Park</t>
  </si>
  <si>
    <t>Harbor Island</t>
  </si>
  <si>
    <t>Seaview</t>
  </si>
  <si>
    <t>WEST SEATTLE</t>
  </si>
  <si>
    <t>Gatewood</t>
  </si>
  <si>
    <t>Arbor Heights</t>
  </si>
  <si>
    <t>Alki</t>
  </si>
  <si>
    <t>North Admiral</t>
  </si>
  <si>
    <t>Fairmount Park</t>
  </si>
  <si>
    <t>Genesee</t>
  </si>
  <si>
    <t>Fauntleroy</t>
  </si>
  <si>
    <t>North Beacon Hill</t>
  </si>
  <si>
    <t>BEACON HILL</t>
  </si>
  <si>
    <t>Mid-Beacon Hill</t>
  </si>
  <si>
    <t>South Beacon Hill</t>
  </si>
  <si>
    <t>Holly Park</t>
  </si>
  <si>
    <t>Brighton</t>
  </si>
  <si>
    <t>RAINIER VALLEY</t>
  </si>
  <si>
    <t>Dunlap</t>
  </si>
  <si>
    <t>Rainier Beach</t>
  </si>
  <si>
    <t>Rainier View</t>
  </si>
  <si>
    <t>Mount Baker</t>
  </si>
  <si>
    <t>Columbia City</t>
  </si>
  <si>
    <t>Highland Park</t>
  </si>
  <si>
    <t>DELRIDGE</t>
  </si>
  <si>
    <t>North Delridge</t>
  </si>
  <si>
    <t>Riverview</t>
  </si>
  <si>
    <t>High Point</t>
  </si>
  <si>
    <t>South Delridge</t>
  </si>
  <si>
    <t>Roxhill</t>
  </si>
  <si>
    <t>Seward Park</t>
  </si>
  <si>
    <t>SEWARD PARK</t>
  </si>
  <si>
    <t>Wedgwood</t>
  </si>
  <si>
    <t>Portage Bay</t>
  </si>
  <si>
    <t>CAPITOL HILL</t>
  </si>
  <si>
    <t>Montlake</t>
  </si>
  <si>
    <t>Madison Park</t>
  </si>
  <si>
    <t>Broadway</t>
  </si>
  <si>
    <t>Stevens</t>
  </si>
  <si>
    <t>Victory Heights</t>
  </si>
  <si>
    <t>LAKE CITY</t>
  </si>
  <si>
    <t>Matthews Beach</t>
  </si>
  <si>
    <t>Meadowbrook</t>
  </si>
  <si>
    <t>Olympic Hills</t>
  </si>
  <si>
    <t>Cedar Park</t>
  </si>
  <si>
    <t>Broadview</t>
  </si>
  <si>
    <t>Bitter Lake</t>
  </si>
  <si>
    <t>Haller Lake</t>
  </si>
  <si>
    <t>NORTHGATE</t>
  </si>
  <si>
    <t>Pinehurst</t>
  </si>
  <si>
    <t>North Beach/Blue Ridge</t>
  </si>
  <si>
    <t>North College Park</t>
  </si>
  <si>
    <t>Maple Leaf</t>
  </si>
  <si>
    <t>Crown Hill</t>
  </si>
  <si>
    <t>Greenwood</t>
  </si>
  <si>
    <t>Sunset Hill</t>
  </si>
  <si>
    <t>GEO.id</t>
  </si>
  <si>
    <t>GEO.id2</t>
  </si>
  <si>
    <t>Geography</t>
  </si>
  <si>
    <t>AllTotalLookup</t>
  </si>
  <si>
    <t>N-T Lookup</t>
  </si>
  <si>
    <t>F-T Lookup</t>
  </si>
  <si>
    <t>AllTotalCalc</t>
  </si>
  <si>
    <t>N-T Calc</t>
  </si>
  <si>
    <t>F-T Calc</t>
  </si>
  <si>
    <t>N-WN</t>
  </si>
  <si>
    <t>F-WN</t>
  </si>
  <si>
    <t>N-WH</t>
  </si>
  <si>
    <t>F-WH</t>
  </si>
  <si>
    <t>N-AA</t>
  </si>
  <si>
    <t>F-AA</t>
  </si>
  <si>
    <t>N-AI</t>
  </si>
  <si>
    <t>F-AI</t>
  </si>
  <si>
    <t>N-AS</t>
  </si>
  <si>
    <t>F-AS</t>
  </si>
  <si>
    <t>N-PI</t>
  </si>
  <si>
    <t>F-PI</t>
  </si>
  <si>
    <t>N-OT</t>
  </si>
  <si>
    <t>F-OT</t>
  </si>
  <si>
    <t>N-2R</t>
  </si>
  <si>
    <t>F-2R</t>
  </si>
  <si>
    <t>1600000US5300100</t>
  </si>
  <si>
    <t>Aberdeen city, Washington</t>
  </si>
  <si>
    <t>1600000US5300135</t>
  </si>
  <si>
    <t>Aberdeen Gardens CDP, Washington</t>
  </si>
  <si>
    <t>1600000US5300275</t>
  </si>
  <si>
    <t>Acme CDP, Washington</t>
  </si>
  <si>
    <t>1600000US5300380</t>
  </si>
  <si>
    <t>Addy CDP, Washington</t>
  </si>
  <si>
    <t>1600000US5300800</t>
  </si>
  <si>
    <t>Ahtanum CDP, Washington</t>
  </si>
  <si>
    <t>1600000US5300905</t>
  </si>
  <si>
    <t>Airway Heights city, Washington</t>
  </si>
  <si>
    <t>1600000US5301010</t>
  </si>
  <si>
    <t>Albion town, Washington</t>
  </si>
  <si>
    <t>1600000US5301045</t>
  </si>
  <si>
    <t>Alder CDP, Washington</t>
  </si>
  <si>
    <t>1600000US5301150</t>
  </si>
  <si>
    <t>Alderton CDP, Washington</t>
  </si>
  <si>
    <t>1600000US5301185</t>
  </si>
  <si>
    <t>Alderwood Manor CDP, Washington</t>
  </si>
  <si>
    <t>1600000US5301255</t>
  </si>
  <si>
    <t>Alger CDP, Washington</t>
  </si>
  <si>
    <t>1600000US5301290</t>
  </si>
  <si>
    <t>Algona city, Washington</t>
  </si>
  <si>
    <t>1600000US5301430</t>
  </si>
  <si>
    <t>Allyn CDP, Washington</t>
  </si>
  <si>
    <t>1600000US5301500</t>
  </si>
  <si>
    <t>Almira town, Washington</t>
  </si>
  <si>
    <t>1600000US5301745</t>
  </si>
  <si>
    <t>Altoona CDP, Washington</t>
  </si>
  <si>
    <t>1600000US5301780</t>
  </si>
  <si>
    <t>Amanda Park CDP, Washington</t>
  </si>
  <si>
    <t>1600000US5301850</t>
  </si>
  <si>
    <t>Amboy CDP, Washington</t>
  </si>
  <si>
    <t>1600000US5301920</t>
  </si>
  <si>
    <t>Ames Lake CDP, Washington</t>
  </si>
  <si>
    <t>1600000US5301990</t>
  </si>
  <si>
    <t>Anacortes city, Washington</t>
  </si>
  <si>
    <t>1600000US5302060</t>
  </si>
  <si>
    <t>Anderson Island CDP, Washington</t>
  </si>
  <si>
    <t>1600000US5302585</t>
  </si>
  <si>
    <t>Arlington city, Washington</t>
  </si>
  <si>
    <t>1600000US5302620</t>
  </si>
  <si>
    <t>Arlington Heights CDP, Washington</t>
  </si>
  <si>
    <t>1600000US5302910</t>
  </si>
  <si>
    <t>Artondale CDP, Washington</t>
  </si>
  <si>
    <t>1600000US5303005</t>
  </si>
  <si>
    <t>Ashford CDP, Washington</t>
  </si>
  <si>
    <t>1600000US5303075</t>
  </si>
  <si>
    <t>Asotin city, Washington</t>
  </si>
  <si>
    <t>1600000US5303180</t>
  </si>
  <si>
    <t>Auburn city, Washington</t>
  </si>
  <si>
    <t>1600000US5303736</t>
  </si>
  <si>
    <t>Bainbridge Island city, Washington</t>
  </si>
  <si>
    <t>1600000US5304100</t>
  </si>
  <si>
    <t>Bangor Base CDP, Washington</t>
  </si>
  <si>
    <t>1600000US5304125</t>
  </si>
  <si>
    <t>Banks Lake South CDP, Washington</t>
  </si>
  <si>
    <t>1600000US5304195</t>
  </si>
  <si>
    <t>Barberton CDP, Washington</t>
  </si>
  <si>
    <t>1600000US5304300</t>
  </si>
  <si>
    <t>Baring CDP, Washington</t>
  </si>
  <si>
    <t>1600000US5304347</t>
  </si>
  <si>
    <t>Barney's Junction CDP, Washington</t>
  </si>
  <si>
    <t>1600000US5304370</t>
  </si>
  <si>
    <t>Barstow CDP, Washington</t>
  </si>
  <si>
    <t>1600000US5304405</t>
  </si>
  <si>
    <t>Basin City CDP, Washington</t>
  </si>
  <si>
    <t>1600000US5304475</t>
  </si>
  <si>
    <t>Battle Ground city, Washington</t>
  </si>
  <si>
    <t>1600000US5304615</t>
  </si>
  <si>
    <t>Bay Center CDP, Washington</t>
  </si>
  <si>
    <t>1600000US5304790</t>
  </si>
  <si>
    <t>Bay View CDP, Washington</t>
  </si>
  <si>
    <t>1600000US5304895</t>
  </si>
  <si>
    <t>Beaux Arts Village town, Washington</t>
  </si>
  <si>
    <t>1600000US5305140</t>
  </si>
  <si>
    <t>Belfair CDP, Washington</t>
  </si>
  <si>
    <t>1600000US5305210</t>
  </si>
  <si>
    <t>Bellevue city, Washington</t>
  </si>
  <si>
    <t>1600000US5305245</t>
  </si>
  <si>
    <t>Bell Hill CDP, Washington</t>
  </si>
  <si>
    <t>1600000US5305280</t>
  </si>
  <si>
    <t>Bellingham city, Washington</t>
  </si>
  <si>
    <t>1600000US5305560</t>
  </si>
  <si>
    <t>Benton City city, Washington</t>
  </si>
  <si>
    <t>1600000US5305735</t>
  </si>
  <si>
    <t>Bethel CDP, Washington</t>
  </si>
  <si>
    <t>1600000US5305980</t>
  </si>
  <si>
    <t>Bickleton CDP, Washington</t>
  </si>
  <si>
    <t>1600000US5306050</t>
  </si>
  <si>
    <t>Big Lake CDP, Washington</t>
  </si>
  <si>
    <t>1600000US5306085</t>
  </si>
  <si>
    <t>Bingen city, Washington</t>
  </si>
  <si>
    <t>1600000US5306190</t>
  </si>
  <si>
    <t>Birch Bay CDP, Washington</t>
  </si>
  <si>
    <t>1600000US5306330</t>
  </si>
  <si>
    <t>Black Diamond city, Washington</t>
  </si>
  <si>
    <t>1600000US5306505</t>
  </si>
  <si>
    <t>Blaine city, Washington</t>
  </si>
  <si>
    <t>1600000US5306855</t>
  </si>
  <si>
    <t>Blyn CDP, Washington</t>
  </si>
  <si>
    <t>1600000US5307170</t>
  </si>
  <si>
    <t>Bonney Lake city, Washington</t>
  </si>
  <si>
    <t>1600000US5307380</t>
  </si>
  <si>
    <t>Bothell city, Washington</t>
  </si>
  <si>
    <t>1600000US5307390</t>
  </si>
  <si>
    <t>Bothell East CDP, Washington</t>
  </si>
  <si>
    <t>1600000US5307395</t>
  </si>
  <si>
    <t>Bothell West CDP, Washington</t>
  </si>
  <si>
    <t>1600000US5307397</t>
  </si>
  <si>
    <t>Boulevard Park CDP, Washington</t>
  </si>
  <si>
    <t>1600000US5307485</t>
  </si>
  <si>
    <t>Boyds CDP, Washington</t>
  </si>
  <si>
    <t>1600000US5307590</t>
  </si>
  <si>
    <t>Brady CDP, Washington</t>
  </si>
  <si>
    <t>1600000US5307695</t>
  </si>
  <si>
    <t>Bremerton city, Washington</t>
  </si>
  <si>
    <t>1600000US5307835</t>
  </si>
  <si>
    <t>Brewster city, Washington</t>
  </si>
  <si>
    <t>1600000US5307870</t>
  </si>
  <si>
    <t>Bridgeport city, Washington</t>
  </si>
  <si>
    <t>1600000US5307940</t>
  </si>
  <si>
    <t>Brier city, Washington</t>
  </si>
  <si>
    <t>1600000US5308080</t>
  </si>
  <si>
    <t>Brinnon CDP, Washington</t>
  </si>
  <si>
    <t>1600000US5308325</t>
  </si>
  <si>
    <t>Browns Point CDP, Washington</t>
  </si>
  <si>
    <t>1600000US5308465</t>
  </si>
  <si>
    <t>Brush Prairie CDP, Washington</t>
  </si>
  <si>
    <t>1600000US5308500</t>
  </si>
  <si>
    <t>Bryant CDP, Washington</t>
  </si>
  <si>
    <t>1600000US5308552</t>
  </si>
  <si>
    <t>Bryn Mawr-Skyway CDP, Washington</t>
  </si>
  <si>
    <t>1600000US5308570</t>
  </si>
  <si>
    <t>Buckley city, Washington</t>
  </si>
  <si>
    <t>1600000US5308605</t>
  </si>
  <si>
    <t>Bucoda town, Washington</t>
  </si>
  <si>
    <t>1600000US5308640</t>
  </si>
  <si>
    <t>Buena CDP, Washington</t>
  </si>
  <si>
    <t>1600000US5308770</t>
  </si>
  <si>
    <t>Bunk Foss CDP, Washington</t>
  </si>
  <si>
    <t>1600000US5308780</t>
  </si>
  <si>
    <t>Burbank CDP, Washington</t>
  </si>
  <si>
    <t>1600000US5308850</t>
  </si>
  <si>
    <t>Burien city, Washington</t>
  </si>
  <si>
    <t>1600000US5308885</t>
  </si>
  <si>
    <t>Burley CDP, Washington</t>
  </si>
  <si>
    <t>1600000US5308920</t>
  </si>
  <si>
    <t>Burlington city, Washington</t>
  </si>
  <si>
    <t>1600000US5309365</t>
  </si>
  <si>
    <t>Camano CDP, Washington</t>
  </si>
  <si>
    <t>1600000US5309480</t>
  </si>
  <si>
    <t>Camas city, Washington</t>
  </si>
  <si>
    <t>1600000US5309810</t>
  </si>
  <si>
    <t>Canterwood CDP, Washington</t>
  </si>
  <si>
    <t>1600000US5309820</t>
  </si>
  <si>
    <t>Canyon Creek CDP, Washington</t>
  </si>
  <si>
    <t>1600000US5309970</t>
  </si>
  <si>
    <t>Carbonado town, Washington</t>
  </si>
  <si>
    <t>1600000US5310075</t>
  </si>
  <si>
    <t>Carlsborg CDP, Washington</t>
  </si>
  <si>
    <t>1600000US5310215</t>
  </si>
  <si>
    <t>Carnation city, Washington</t>
  </si>
  <si>
    <t>1600000US5310320</t>
  </si>
  <si>
    <t>Carson CDP, Washington</t>
  </si>
  <si>
    <t>1600000US5310455</t>
  </si>
  <si>
    <t>Cascade Valley CDP, Washington</t>
  </si>
  <si>
    <t>1600000US5310495</t>
  </si>
  <si>
    <t>Cashmere city, Washington</t>
  </si>
  <si>
    <t>1600000US5310565</t>
  </si>
  <si>
    <t>Castle Rock city, Washington</t>
  </si>
  <si>
    <t>1600000US5310600</t>
  </si>
  <si>
    <t>Cathcart CDP, Washington</t>
  </si>
  <si>
    <t>1600000US5310635</t>
  </si>
  <si>
    <t>Cathlamet town, Washington</t>
  </si>
  <si>
    <t>1600000US5310645</t>
  </si>
  <si>
    <t>Cavalero CDP, Washington</t>
  </si>
  <si>
    <t>1600000US5311090</t>
  </si>
  <si>
    <t>Centerville CDP, Washington</t>
  </si>
  <si>
    <t>1600000US5311160</t>
  </si>
  <si>
    <t>Centralia city, Washington</t>
  </si>
  <si>
    <t>1600000US5311195</t>
  </si>
  <si>
    <t>Central Park CDP, Washington</t>
  </si>
  <si>
    <t>1600000US5311325</t>
  </si>
  <si>
    <t>Chain Lake CDP, Washington</t>
  </si>
  <si>
    <t>1600000US5311475</t>
  </si>
  <si>
    <t>Chehalis city, Washington</t>
  </si>
  <si>
    <t>1600000US5311615</t>
  </si>
  <si>
    <t>Chelan city, Washington</t>
  </si>
  <si>
    <t>1600000US5311685</t>
  </si>
  <si>
    <t>Chelan Falls CDP, Washington</t>
  </si>
  <si>
    <t>1600000US5311825</t>
  </si>
  <si>
    <t>Cheney city, Washington</t>
  </si>
  <si>
    <t>1600000US5312015</t>
  </si>
  <si>
    <t>Cherry Grove CDP, Washington</t>
  </si>
  <si>
    <t>1600000US5312140</t>
  </si>
  <si>
    <t>Chewelah city, Washington</t>
  </si>
  <si>
    <t>1600000US5312175</t>
  </si>
  <si>
    <t>Chico CDP, Washington</t>
  </si>
  <si>
    <t>1600000US5312315</t>
  </si>
  <si>
    <t>Chinook CDP, Washington</t>
  </si>
  <si>
    <t>1600000US5312525</t>
  </si>
  <si>
    <t>Clallam Bay CDP, Washington</t>
  </si>
  <si>
    <t>1600000US5312630</t>
  </si>
  <si>
    <t>Clarkston city, Washington</t>
  </si>
  <si>
    <t>1600000US5312680</t>
  </si>
  <si>
    <t>Clarkston Heights-Vineland CDP, Washington</t>
  </si>
  <si>
    <t>1600000US5312735</t>
  </si>
  <si>
    <t>Clayton CDP, Washington</t>
  </si>
  <si>
    <t>1600000US5312820</t>
  </si>
  <si>
    <t>Clear Lake CDP (Pierce County), Washington</t>
  </si>
  <si>
    <t>1600000US5312840</t>
  </si>
  <si>
    <t>Clear Lake CDP (Skagit County), Washington</t>
  </si>
  <si>
    <t>1600000US5312875</t>
  </si>
  <si>
    <t>Clearview CDP, Washington</t>
  </si>
  <si>
    <t>1600000US5312945</t>
  </si>
  <si>
    <t>Cle Elum city, Washington</t>
  </si>
  <si>
    <t>1600000US5313015</t>
  </si>
  <si>
    <t>Cliffdell CDP, Washington</t>
  </si>
  <si>
    <t>1600000US5313155</t>
  </si>
  <si>
    <t>Clinton CDP, Washington</t>
  </si>
  <si>
    <t>1600000US5313215</t>
  </si>
  <si>
    <t>Clover Creek CDP, Washington</t>
  </si>
  <si>
    <t>1600000US5313365</t>
  </si>
  <si>
    <t>Clyde Hill city, Washington</t>
  </si>
  <si>
    <t>1600000US5313595</t>
  </si>
  <si>
    <t>Cohassett Beach CDP, Washington</t>
  </si>
  <si>
    <t>1600000US5313785</t>
  </si>
  <si>
    <t>Colfax city, Washington</t>
  </si>
  <si>
    <t>1600000US5313855</t>
  </si>
  <si>
    <t>College Place city, Washington</t>
  </si>
  <si>
    <t>1600000US5313890</t>
  </si>
  <si>
    <t>Colton town, Washington</t>
  </si>
  <si>
    <t>1600000US5314170</t>
  </si>
  <si>
    <t>Colville city, Washington</t>
  </si>
  <si>
    <t>1600000US5314310</t>
  </si>
  <si>
    <t>Conconully town, Washington</t>
  </si>
  <si>
    <t>1600000US5314380</t>
  </si>
  <si>
    <t>Concrete town, Washington</t>
  </si>
  <si>
    <t>1600000US5314485</t>
  </si>
  <si>
    <t>Connell city, Washington</t>
  </si>
  <si>
    <t>1600000US5314520</t>
  </si>
  <si>
    <t>Conway CDP, Washington</t>
  </si>
  <si>
    <t>1600000US5314660</t>
  </si>
  <si>
    <t>Copalis Beach CDP, Washington</t>
  </si>
  <si>
    <t>1600000US5314870</t>
  </si>
  <si>
    <t>Cosmopolis city, Washington</t>
  </si>
  <si>
    <t>1600000US5314940</t>
  </si>
  <si>
    <t>Cottage Lake CDP, Washington</t>
  </si>
  <si>
    <t>1600000US5315080</t>
  </si>
  <si>
    <t>Coulee City town, Washington</t>
  </si>
  <si>
    <t>1600000US5315115</t>
  </si>
  <si>
    <t>Coulee Dam town, Washington</t>
  </si>
  <si>
    <t>1600000US5315150</t>
  </si>
  <si>
    <t>Country Homes CDP, Washington</t>
  </si>
  <si>
    <t>1600000US5315185</t>
  </si>
  <si>
    <t>Coupeville town, Washington</t>
  </si>
  <si>
    <t>1600000US5315290</t>
  </si>
  <si>
    <t>Covington city, Washington</t>
  </si>
  <si>
    <t>1600000US5315325</t>
  </si>
  <si>
    <t>Cowiche CDP, Washington</t>
  </si>
  <si>
    <t>1600000US5315710</t>
  </si>
  <si>
    <t>Creston town, Washington</t>
  </si>
  <si>
    <t>1600000US5315780</t>
  </si>
  <si>
    <t>Crocker CDP, Washington</t>
  </si>
  <si>
    <t>1600000US5316165</t>
  </si>
  <si>
    <t>Curlew CDP, Washington</t>
  </si>
  <si>
    <t>1600000US5316170</t>
  </si>
  <si>
    <t>Curlew Lake CDP, Washington</t>
  </si>
  <si>
    <t>1600000US5316340</t>
  </si>
  <si>
    <t>Cusick town, Washington</t>
  </si>
  <si>
    <t>1600000US5316375</t>
  </si>
  <si>
    <t>Custer CDP, Washington</t>
  </si>
  <si>
    <t>1600000US5316550</t>
  </si>
  <si>
    <t>Dallesport CDP, Washington</t>
  </si>
  <si>
    <t>1600000US5316585</t>
  </si>
  <si>
    <t>Danville CDP, Washington</t>
  </si>
  <si>
    <t>1600000US5316690</t>
  </si>
  <si>
    <t>Darrington town, Washington</t>
  </si>
  <si>
    <t>1600000US5316760</t>
  </si>
  <si>
    <t>Dash Point CDP, Washington</t>
  </si>
  <si>
    <t>1600000US5316795</t>
  </si>
  <si>
    <t>Davenport city, Washington</t>
  </si>
  <si>
    <t>1600000US5316970</t>
  </si>
  <si>
    <t>Dayton city, Washington</t>
  </si>
  <si>
    <t>1600000US5317215</t>
  </si>
  <si>
    <t>Deep River CDP, Washington</t>
  </si>
  <si>
    <t>1600000US5317320</t>
  </si>
  <si>
    <t>Deer Park city, Washington</t>
  </si>
  <si>
    <t>1600000US5317495</t>
  </si>
  <si>
    <t>Deming CDP, Washington</t>
  </si>
  <si>
    <t>1600000US5317617</t>
  </si>
  <si>
    <t>Desert Aire CDP, Washington</t>
  </si>
  <si>
    <t>1600000US5317635</t>
  </si>
  <si>
    <t>Des Moines city, Washington</t>
  </si>
  <si>
    <t>1600000US5317880</t>
  </si>
  <si>
    <t>Disautel CDP, Washington</t>
  </si>
  <si>
    <t>1600000US5318055</t>
  </si>
  <si>
    <t>Dixie CDP, Washington</t>
  </si>
  <si>
    <t>1600000US5318198</t>
  </si>
  <si>
    <t>Dollars Corner CDP, Washington</t>
  </si>
  <si>
    <t>1600000US5318265</t>
  </si>
  <si>
    <t>Donald CDP, Washington</t>
  </si>
  <si>
    <t>1600000US5318775</t>
  </si>
  <si>
    <t>Duluth CDP, Washington</t>
  </si>
  <si>
    <t>1600000US5318965</t>
  </si>
  <si>
    <t>DuPont city, Washington</t>
  </si>
  <si>
    <t>1600000US5319035</t>
  </si>
  <si>
    <t>Duvall city, Washington</t>
  </si>
  <si>
    <t>1600000US5319290</t>
  </si>
  <si>
    <t>East Cathlamet CDP, Washington</t>
  </si>
  <si>
    <t>1600000US5319630</t>
  </si>
  <si>
    <t>Eastmont CDP, Washington</t>
  </si>
  <si>
    <t>1600000US5319700</t>
  </si>
  <si>
    <t>Easton CDP, Washington</t>
  </si>
  <si>
    <t>1600000US5319770</t>
  </si>
  <si>
    <t>East Port Orchard CDP, Washington</t>
  </si>
  <si>
    <t>1600000US5319857</t>
  </si>
  <si>
    <t>East Renton Highlands CDP, Washington</t>
  </si>
  <si>
    <t>1600000US5320155</t>
  </si>
  <si>
    <t>East Wenatchee city, Washington</t>
  </si>
  <si>
    <t>1600000US5320260</t>
  </si>
  <si>
    <t>Eatonville town, Washington</t>
  </si>
  <si>
    <t>1600000US5320645</t>
  </si>
  <si>
    <t>Edgewood city, Washington</t>
  </si>
  <si>
    <t>1600000US5320680</t>
  </si>
  <si>
    <t>Edison CDP, Washington</t>
  </si>
  <si>
    <t>1600000US5320750</t>
  </si>
  <si>
    <t>Edmonds city, Washington</t>
  </si>
  <si>
    <t>1600000US5320890</t>
  </si>
  <si>
    <t>Elbe CDP, Washington</t>
  </si>
  <si>
    <t>1600000US5321030</t>
  </si>
  <si>
    <t>Electric City city, Washington</t>
  </si>
  <si>
    <t>1600000US5321205</t>
  </si>
  <si>
    <t>Elk Plain CDP, Washington</t>
  </si>
  <si>
    <t>1600000US5321240</t>
  </si>
  <si>
    <t>Ellensburg city, Washington</t>
  </si>
  <si>
    <t>1600000US5321450</t>
  </si>
  <si>
    <t>Elma city, Washington</t>
  </si>
  <si>
    <t>1600000US5321485</t>
  </si>
  <si>
    <t>Elmer City town, Washington</t>
  </si>
  <si>
    <t>1600000US5321730</t>
  </si>
  <si>
    <t>Endicott town, Washington</t>
  </si>
  <si>
    <t>1600000US5321800</t>
  </si>
  <si>
    <t>Enetai CDP, Washington</t>
  </si>
  <si>
    <t>1600000US5322010</t>
  </si>
  <si>
    <t>Entiat city, Washington</t>
  </si>
  <si>
    <t>1600000US5322045</t>
  </si>
  <si>
    <t>Enumclaw city, Washington</t>
  </si>
  <si>
    <t>1600000US5322080</t>
  </si>
  <si>
    <t>Ephrata city, Washington</t>
  </si>
  <si>
    <t>1600000US5322118</t>
  </si>
  <si>
    <t>Erlands Point-Kitsap Lake CDP, Washington</t>
  </si>
  <si>
    <t>1600000US5322150</t>
  </si>
  <si>
    <t>Eschbach CDP, Washington</t>
  </si>
  <si>
    <t>1600000US5322255</t>
  </si>
  <si>
    <t>Esperance CDP, Washington</t>
  </si>
  <si>
    <t>1600000US5322640</t>
  </si>
  <si>
    <t>Everett city, Washington</t>
  </si>
  <si>
    <t>1600000US5322745</t>
  </si>
  <si>
    <t>Everson city, Washington</t>
  </si>
  <si>
    <t>1600000US5322955</t>
  </si>
  <si>
    <t>Fairchild AFB CDP, Washington</t>
  </si>
  <si>
    <t>1600000US5322990</t>
  </si>
  <si>
    <t>Fairfield town, Washington</t>
  </si>
  <si>
    <t>1600000US5323160</t>
  </si>
  <si>
    <t>Fairwood CDP (King County), Washington</t>
  </si>
  <si>
    <t>1600000US5323165</t>
  </si>
  <si>
    <t>Fairwood CDP (Spokane County), Washington</t>
  </si>
  <si>
    <t>1600000US5323200</t>
  </si>
  <si>
    <t>Fall City CDP, Washington</t>
  </si>
  <si>
    <t>1600000US5323340</t>
  </si>
  <si>
    <t>Farmington town, Washington</t>
  </si>
  <si>
    <t>1600000US5323515</t>
  </si>
  <si>
    <t>Federal Way city, Washington</t>
  </si>
  <si>
    <t>1600000US5323550</t>
  </si>
  <si>
    <t>Felida CDP, Washington</t>
  </si>
  <si>
    <t>1600000US5323620</t>
  </si>
  <si>
    <t>Ferndale city, Washington</t>
  </si>
  <si>
    <t>1600000US5323690</t>
  </si>
  <si>
    <t>Fern Prairie CDP, Washington</t>
  </si>
  <si>
    <t>1600000US5323795</t>
  </si>
  <si>
    <t>Fife city, Washington</t>
  </si>
  <si>
    <t>1600000US5323830</t>
  </si>
  <si>
    <t>Fife Heights CDP, Washington</t>
  </si>
  <si>
    <t>1600000US5323865</t>
  </si>
  <si>
    <t>Finley CDP, Washington</t>
  </si>
  <si>
    <t>1600000US5323970</t>
  </si>
  <si>
    <t>Fircrest city, Washington</t>
  </si>
  <si>
    <t>1600000US5324188</t>
  </si>
  <si>
    <t>Five Corners CDP, Washington</t>
  </si>
  <si>
    <t>1600000US5324425</t>
  </si>
  <si>
    <t>Fobes Hill CDP, Washington</t>
  </si>
  <si>
    <t>1600000US5324565</t>
  </si>
  <si>
    <t>Fords Prairie CDP, Washington</t>
  </si>
  <si>
    <t>1600000US5324810</t>
  </si>
  <si>
    <t>Forks city, Washington</t>
  </si>
  <si>
    <t>1600000US5324915</t>
  </si>
  <si>
    <t>Fort Lewis CDP, Washington</t>
  </si>
  <si>
    <t>1600000US5325300</t>
  </si>
  <si>
    <t>Four Lakes CDP, Washington</t>
  </si>
  <si>
    <t>1600000US5325370</t>
  </si>
  <si>
    <t>Fox Island CDP, Washington</t>
  </si>
  <si>
    <t>1600000US5325475</t>
  </si>
  <si>
    <t>Frederickson CDP, Washington</t>
  </si>
  <si>
    <t>1600000US5325510</t>
  </si>
  <si>
    <t>Freeland CDP, Washington</t>
  </si>
  <si>
    <t>1600000US5325615</t>
  </si>
  <si>
    <t>Friday Harbor town, Washington</t>
  </si>
  <si>
    <t>1600000US5326140</t>
  </si>
  <si>
    <t>Garfield town, Washington</t>
  </si>
  <si>
    <t>1600000US5326245</t>
  </si>
  <si>
    <t>Garrett CDP, Washington</t>
  </si>
  <si>
    <t>1600000US5326420</t>
  </si>
  <si>
    <t>Geneva CDP, Washington</t>
  </si>
  <si>
    <t>1600000US5326455</t>
  </si>
  <si>
    <t>George city, Washington</t>
  </si>
  <si>
    <t>1600000US5326735</t>
  </si>
  <si>
    <t>Gig Harbor city, Washington</t>
  </si>
  <si>
    <t>1600000US5326875</t>
  </si>
  <si>
    <t>Glacier CDP, Washington</t>
  </si>
  <si>
    <t>1600000US5326945</t>
  </si>
  <si>
    <t>Gleed CDP, Washington</t>
  </si>
  <si>
    <t>1600000US5327225</t>
  </si>
  <si>
    <t>Glenwood CDP, Washington</t>
  </si>
  <si>
    <t>1600000US5327365</t>
  </si>
  <si>
    <t>Gold Bar city, Washington</t>
  </si>
  <si>
    <t>1600000US5327435</t>
  </si>
  <si>
    <t>Goldendale city, Washington</t>
  </si>
  <si>
    <t>1600000US5327680</t>
  </si>
  <si>
    <t>Gorst CDP, Washington</t>
  </si>
  <si>
    <t>1600000US5327785</t>
  </si>
  <si>
    <t>Graham CDP, Washington</t>
  </si>
  <si>
    <t>1600000US5327855</t>
  </si>
  <si>
    <t>Grand Coulee city, Washington</t>
  </si>
  <si>
    <t>1600000US5327890</t>
  </si>
  <si>
    <t>Grand Mound CDP, Washington</t>
  </si>
  <si>
    <t>1600000US5327925</t>
  </si>
  <si>
    <t>Grandview city, Washington</t>
  </si>
  <si>
    <t>1600000US5327960</t>
  </si>
  <si>
    <t>Granger city, Washington</t>
  </si>
  <si>
    <t>1600000US5327995</t>
  </si>
  <si>
    <t>Granite Falls city, Washington</t>
  </si>
  <si>
    <t>1600000US5328135</t>
  </si>
  <si>
    <t>Grapeview CDP, Washington</t>
  </si>
  <si>
    <t>1600000US5328345</t>
  </si>
  <si>
    <t>Grayland CDP, Washington</t>
  </si>
  <si>
    <t>1600000US5328450</t>
  </si>
  <si>
    <t>Grays River CDP, Washington</t>
  </si>
  <si>
    <t>1600000US5328590</t>
  </si>
  <si>
    <t>Green Bluff CDP, Washington</t>
  </si>
  <si>
    <t>1600000US5328695</t>
  </si>
  <si>
    <t>Greenwater CDP, Washington</t>
  </si>
  <si>
    <t>1600000US5329255</t>
  </si>
  <si>
    <t>Hamilton town, Washington</t>
  </si>
  <si>
    <t>1600000US5329430</t>
  </si>
  <si>
    <t>Hansville CDP, Washington</t>
  </si>
  <si>
    <t>1600000US5329710</t>
  </si>
  <si>
    <t>Harrah town, Washington</t>
  </si>
  <si>
    <t>1600000US5329745</t>
  </si>
  <si>
    <t>Harrington city, Washington</t>
  </si>
  <si>
    <t>1600000US5329920</t>
  </si>
  <si>
    <t>Hartline town, Washington</t>
  </si>
  <si>
    <t>1600000US5330030</t>
  </si>
  <si>
    <t>Hat Island CDP, Washington</t>
  </si>
  <si>
    <t>1600000US5330060</t>
  </si>
  <si>
    <t>Hatton town, Washington</t>
  </si>
  <si>
    <t>1600000US5330305</t>
  </si>
  <si>
    <t>Hazel Dell CDP, Washington</t>
  </si>
  <si>
    <t>1600000US5330690</t>
  </si>
  <si>
    <t>Herron Island CDP, Washington</t>
  </si>
  <si>
    <t>1600000US5330750</t>
  </si>
  <si>
    <t>High Bridge CDP, Washington</t>
  </si>
  <si>
    <t>1600000US5331495</t>
  </si>
  <si>
    <t>Hobart CDP, Washington</t>
  </si>
  <si>
    <t>1600000US5331530</t>
  </si>
  <si>
    <t>Hockinson CDP, Washington</t>
  </si>
  <si>
    <t>1600000US5331540</t>
  </si>
  <si>
    <t>Hogans Corner CDP, Washington</t>
  </si>
  <si>
    <t>1600000US5331985</t>
  </si>
  <si>
    <t>Home CDP, Washington</t>
  </si>
  <si>
    <t>1600000US5332125</t>
  </si>
  <si>
    <t>Hoodsport CDP, Washington</t>
  </si>
  <si>
    <t>1600000US5332300</t>
  </si>
  <si>
    <t>Hoquiam city, Washington</t>
  </si>
  <si>
    <t>1600000US5332650</t>
  </si>
  <si>
    <t>Humptulips CDP, Washington</t>
  </si>
  <si>
    <t>1600000US5332755</t>
  </si>
  <si>
    <t>Hunts Point town, Washington</t>
  </si>
  <si>
    <t>1600000US5333000</t>
  </si>
  <si>
    <t>Ilwaco city, Washington</t>
  </si>
  <si>
    <t>1600000US5333105</t>
  </si>
  <si>
    <t>Inchelium CDP, Washington</t>
  </si>
  <si>
    <t>1600000US5333175</t>
  </si>
  <si>
    <t>Index town, Washington</t>
  </si>
  <si>
    <t>1600000US5333280</t>
  </si>
  <si>
    <t>Indianola CDP, Washington</t>
  </si>
  <si>
    <t>1600000US5333560</t>
  </si>
  <si>
    <t>Ione town, Washington</t>
  </si>
  <si>
    <t>1600000US5333805</t>
  </si>
  <si>
    <t>Issaquah city, Washington</t>
  </si>
  <si>
    <t>1600000US5333890</t>
  </si>
  <si>
    <t>Jamestown CDP, Washington</t>
  </si>
  <si>
    <t>1600000US5334470</t>
  </si>
  <si>
    <t>Junction City CDP, Washington</t>
  </si>
  <si>
    <t>1600000US5334575</t>
  </si>
  <si>
    <t>Kahlotus city, Washington</t>
  </si>
  <si>
    <t>1600000US5334645</t>
  </si>
  <si>
    <t>Kalama city, Washington</t>
  </si>
  <si>
    <t>1600000US5334890</t>
  </si>
  <si>
    <t>Kapowsin CDP, Washington</t>
  </si>
  <si>
    <t>1600000US5334915</t>
  </si>
  <si>
    <t>Kayak Point CDP, Washington</t>
  </si>
  <si>
    <t>1600000US5334960</t>
  </si>
  <si>
    <t>Keller CDP, Washington</t>
  </si>
  <si>
    <t>1600000US5335065</t>
  </si>
  <si>
    <t>Kelso city, Washington</t>
  </si>
  <si>
    <t>1600000US5335135</t>
  </si>
  <si>
    <t>Kendall CDP, Washington</t>
  </si>
  <si>
    <t>1600000US5335170</t>
  </si>
  <si>
    <t>Kenmore city, Washington</t>
  </si>
  <si>
    <t>1600000US5335275</t>
  </si>
  <si>
    <t>Kennewick city, Washington</t>
  </si>
  <si>
    <t>1600000US5335415</t>
  </si>
  <si>
    <t>Kent city, Washington</t>
  </si>
  <si>
    <t>1600000US5335450</t>
  </si>
  <si>
    <t>Ketron Island CDP, Washington</t>
  </si>
  <si>
    <t>1600000US5335485</t>
  </si>
  <si>
    <t>Kettle Falls city, Washington</t>
  </si>
  <si>
    <t>1600000US5335555</t>
  </si>
  <si>
    <t>Key Center CDP, Washington</t>
  </si>
  <si>
    <t>1600000US5335625</t>
  </si>
  <si>
    <t>Keyport CDP, Washington</t>
  </si>
  <si>
    <t>1600000US5335870</t>
  </si>
  <si>
    <t>Kingston CDP, Washington</t>
  </si>
  <si>
    <t>1600000US5335940</t>
  </si>
  <si>
    <t>Kirkland city, Washington</t>
  </si>
  <si>
    <t>1600000US5336045</t>
  </si>
  <si>
    <t>Kittitas city, Washington</t>
  </si>
  <si>
    <t>1600000US5336115</t>
  </si>
  <si>
    <t>Klickitat CDP, Washington</t>
  </si>
  <si>
    <t>1600000US5336395</t>
  </si>
  <si>
    <t>Krupp town, Washington</t>
  </si>
  <si>
    <t>1600000US5336710</t>
  </si>
  <si>
    <t>La Center city, Washington</t>
  </si>
  <si>
    <t>1600000US5336745</t>
  </si>
  <si>
    <t>Lacey city, Washington</t>
  </si>
  <si>
    <t>1600000US5336780</t>
  </si>
  <si>
    <t>La Conner town, Washington</t>
  </si>
  <si>
    <t>1600000US5336850</t>
  </si>
  <si>
    <t>LaCrosse town, Washington</t>
  </si>
  <si>
    <t>1600000US5336920</t>
  </si>
  <si>
    <t>La Grande CDP, Washington</t>
  </si>
  <si>
    <t>1600000US5337077</t>
  </si>
  <si>
    <t>Lake Bosworth CDP, Washington</t>
  </si>
  <si>
    <t>1600000US5337100</t>
  </si>
  <si>
    <t>Lake Cassidy CDP, Washington</t>
  </si>
  <si>
    <t>1600000US5337105</t>
  </si>
  <si>
    <t>Lake Cavanaugh CDP, Washington</t>
  </si>
  <si>
    <t>1600000US5337270</t>
  </si>
  <si>
    <t>Lake Forest Park city, Washington</t>
  </si>
  <si>
    <t>1600000US5337287</t>
  </si>
  <si>
    <t>Lake Goodwin CDP, Washington</t>
  </si>
  <si>
    <t>1600000US5337345</t>
  </si>
  <si>
    <t>Lake Holm CDP, Washington</t>
  </si>
  <si>
    <t>1600000US5337415</t>
  </si>
  <si>
    <t>Lake Ketchum CDP, Washington</t>
  </si>
  <si>
    <t>1600000US5337420</t>
  </si>
  <si>
    <t>Lakeland North CDP, Washington</t>
  </si>
  <si>
    <t>1600000US5337430</t>
  </si>
  <si>
    <t>Lakeland South CDP, Washington</t>
  </si>
  <si>
    <t>1600000US5337526</t>
  </si>
  <si>
    <t>Lake McMurray CDP, Washington</t>
  </si>
  <si>
    <t>1600000US5337538</t>
  </si>
  <si>
    <t>Lake Marcel-Stillwater CDP, Washington</t>
  </si>
  <si>
    <t>1600000US5337567</t>
  </si>
  <si>
    <t>Lake Morton-Berrydale CDP, Washington</t>
  </si>
  <si>
    <t>1600000US5337672</t>
  </si>
  <si>
    <t>Lake Roesiger CDP, Washington</t>
  </si>
  <si>
    <t>1600000US5337830</t>
  </si>
  <si>
    <t>Lake Shore CDP, Washington</t>
  </si>
  <si>
    <t>1600000US5337900</t>
  </si>
  <si>
    <t>Lake Stevens city, Washington</t>
  </si>
  <si>
    <t>1600000US5337917</t>
  </si>
  <si>
    <t>Lake Stickney CDP, Washington</t>
  </si>
  <si>
    <t>1600000US5337920</t>
  </si>
  <si>
    <t>Lake Tapps CDP, Washington</t>
  </si>
  <si>
    <t>1600000US5337926</t>
  </si>
  <si>
    <t>Lakeview CDP, Washington</t>
  </si>
  <si>
    <t>1600000US5338038</t>
  </si>
  <si>
    <t>Lakewood city, Washington</t>
  </si>
  <si>
    <t>1600000US5338215</t>
  </si>
  <si>
    <t>Lamont town, Washington</t>
  </si>
  <si>
    <t>1600000US5338355</t>
  </si>
  <si>
    <t>Langley city, Washington</t>
  </si>
  <si>
    <t>1600000US5338420</t>
  </si>
  <si>
    <t>Larch Way CDP, Washington</t>
  </si>
  <si>
    <t>1600000US5338495</t>
  </si>
  <si>
    <t>Latah town, Washington</t>
  </si>
  <si>
    <t>1600000US5338705</t>
  </si>
  <si>
    <t>Laurier CDP, Washington</t>
  </si>
  <si>
    <t>1600000US5338845</t>
  </si>
  <si>
    <t>Leavenworth city, Washington</t>
  </si>
  <si>
    <t>1600000US5338880</t>
  </si>
  <si>
    <t>Lebam CDP, Washington</t>
  </si>
  <si>
    <t>1600000US5339212</t>
  </si>
  <si>
    <t>Lewisville CDP, Washington</t>
  </si>
  <si>
    <t>1600000US5339335</t>
  </si>
  <si>
    <t>Liberty Lake city, Washington</t>
  </si>
  <si>
    <t>1600000US5339510</t>
  </si>
  <si>
    <t>Lind town, Washington</t>
  </si>
  <si>
    <t>1600000US5339860</t>
  </si>
  <si>
    <t>Lochsloy CDP, Washington</t>
  </si>
  <si>
    <t>1600000US5339930</t>
  </si>
  <si>
    <t>Lofall CDP, Washington</t>
  </si>
  <si>
    <t>1600000US5340070</t>
  </si>
  <si>
    <t>Long Beach city, Washington</t>
  </si>
  <si>
    <t>1600000US5340105</t>
  </si>
  <si>
    <t>Longbranch CDP, Washington</t>
  </si>
  <si>
    <t>1600000US5340245</t>
  </si>
  <si>
    <t>Longview city, Washington</t>
  </si>
  <si>
    <t>1600000US5340270</t>
  </si>
  <si>
    <t>Longview Heights CDP, Washington</t>
  </si>
  <si>
    <t>1600000US5340350</t>
  </si>
  <si>
    <t>Loomis CDP, Washington</t>
  </si>
  <si>
    <t>1600000US5340385</t>
  </si>
  <si>
    <t>Loon Lake CDP, Washington</t>
  </si>
  <si>
    <t>1600000US5340570</t>
  </si>
  <si>
    <t>Lower Elochoman CDP, Washington</t>
  </si>
  <si>
    <t>1600000US5340735</t>
  </si>
  <si>
    <t>Lyle CDP, Washington</t>
  </si>
  <si>
    <t>1600000US5340770</t>
  </si>
  <si>
    <t>Lyman town, Washington</t>
  </si>
  <si>
    <t>1600000US5340805</t>
  </si>
  <si>
    <t>Lynden city, Washington</t>
  </si>
  <si>
    <t>1600000US5340840</t>
  </si>
  <si>
    <t>Lynnwood city, Washington</t>
  </si>
  <si>
    <t>1600000US5340980</t>
  </si>
  <si>
    <t>Mabton city, Washington</t>
  </si>
  <si>
    <t>1600000US5341155</t>
  </si>
  <si>
    <t>McChord AFB CDP, Washington</t>
  </si>
  <si>
    <t>1600000US5341225</t>
  </si>
  <si>
    <t>McCleary city, Washington</t>
  </si>
  <si>
    <t>1600000US5341470</t>
  </si>
  <si>
    <t>Machias CDP, Washington</t>
  </si>
  <si>
    <t>1600000US5341645</t>
  </si>
  <si>
    <t>McKenna CDP, Washington</t>
  </si>
  <si>
    <t>1600000US5341785</t>
  </si>
  <si>
    <t>McMillin CDP, Washington</t>
  </si>
  <si>
    <t>1600000US5342275</t>
  </si>
  <si>
    <t>Malden town, Washington</t>
  </si>
  <si>
    <t>1600000US5342310</t>
  </si>
  <si>
    <t>Malo CDP, Washington</t>
  </si>
  <si>
    <t>1600000US5342345</t>
  </si>
  <si>
    <t>Malone CDP, Washington</t>
  </si>
  <si>
    <t>1600000US5342380</t>
  </si>
  <si>
    <t>Malott CDP, Washington</t>
  </si>
  <si>
    <t>1600000US5342415</t>
  </si>
  <si>
    <t>Maltby CDP, Washington</t>
  </si>
  <si>
    <t>1600000US5342450</t>
  </si>
  <si>
    <t>Manchester CDP, Washington</t>
  </si>
  <si>
    <t>1600000US5342800</t>
  </si>
  <si>
    <t>Mansfield town, Washington</t>
  </si>
  <si>
    <t>1600000US5342835</t>
  </si>
  <si>
    <t>Manson CDP, Washington</t>
  </si>
  <si>
    <t>1600000US5343010</t>
  </si>
  <si>
    <t>Maple Falls CDP, Washington</t>
  </si>
  <si>
    <t>1600000US5343062</t>
  </si>
  <si>
    <t>Maple Heights-Lake Desire CDP, Washington</t>
  </si>
  <si>
    <t>1600000US5343150</t>
  </si>
  <si>
    <t>Maple Valley city, Washington</t>
  </si>
  <si>
    <t>1600000US5343255</t>
  </si>
  <si>
    <t>Maplewood CDP, Washington</t>
  </si>
  <si>
    <t>1600000US5343325</t>
  </si>
  <si>
    <t>Marblemount CDP, Washington</t>
  </si>
  <si>
    <t>1600000US5343395</t>
  </si>
  <si>
    <t>Marcus town, Washington</t>
  </si>
  <si>
    <t>1600000US5343491</t>
  </si>
  <si>
    <t>Marietta-Alderwood CDP, Washington</t>
  </si>
  <si>
    <t>1600000US5343640</t>
  </si>
  <si>
    <t>Markham CDP, Washington</t>
  </si>
  <si>
    <t>1600000US5343762</t>
  </si>
  <si>
    <t>Marrowstone CDP, Washington</t>
  </si>
  <si>
    <t>1600000US5343815</t>
  </si>
  <si>
    <t>Martha Lake CDP, Washington</t>
  </si>
  <si>
    <t>1600000US5343885</t>
  </si>
  <si>
    <t>Maryhill CDP, Washington</t>
  </si>
  <si>
    <t>1600000US5343955</t>
  </si>
  <si>
    <t>Marysville city, Washington</t>
  </si>
  <si>
    <t>1600000US5344165</t>
  </si>
  <si>
    <t>Mattawa city, Washington</t>
  </si>
  <si>
    <t>1600000US5344260</t>
  </si>
  <si>
    <t>May Creek CDP, Washington</t>
  </si>
  <si>
    <t>1600000US5344480</t>
  </si>
  <si>
    <t>Mead CDP, Washington</t>
  </si>
  <si>
    <t>1600000US5344585</t>
  </si>
  <si>
    <t>Meadowdale CDP, Washington</t>
  </si>
  <si>
    <t>1600000US5344620</t>
  </si>
  <si>
    <t>Meadow Glade CDP, Washington</t>
  </si>
  <si>
    <t>1600000US5344690</t>
  </si>
  <si>
    <t>Medical Lake city, Washington</t>
  </si>
  <si>
    <t>1600000US5344725</t>
  </si>
  <si>
    <t>Medina city, Washington</t>
  </si>
  <si>
    <t>1600000US5345005</t>
  </si>
  <si>
    <t>Mercer Island city, Washington</t>
  </si>
  <si>
    <t>1600000US5345180</t>
  </si>
  <si>
    <t>Mesa city, Washington</t>
  </si>
  <si>
    <t>1600000US5345285</t>
  </si>
  <si>
    <t>Metaline town, Washington</t>
  </si>
  <si>
    <t>1600000US5345320</t>
  </si>
  <si>
    <t>Metaline Falls town, Washington</t>
  </si>
  <si>
    <t>1600000US5345355</t>
  </si>
  <si>
    <t>Methow CDP, Washington</t>
  </si>
  <si>
    <t>1600000US5345495</t>
  </si>
  <si>
    <t>Midland CDP, Washington</t>
  </si>
  <si>
    <t>1600000US5345865</t>
  </si>
  <si>
    <t>Mill Creek city, Washington</t>
  </si>
  <si>
    <t>1600000US5345870</t>
  </si>
  <si>
    <t>Mill Creek East CDP, Washington</t>
  </si>
  <si>
    <t>1600000US5345985</t>
  </si>
  <si>
    <t>Millwood city, Washington</t>
  </si>
  <si>
    <t>1600000US5346020</t>
  </si>
  <si>
    <t>Milton city, Washington</t>
  </si>
  <si>
    <t>1600000US5346090</t>
  </si>
  <si>
    <t>Mineral CDP, Washington</t>
  </si>
  <si>
    <t>1600000US5346125</t>
  </si>
  <si>
    <t>Minnehaha CDP, Washington</t>
  </si>
  <si>
    <t>1600000US5346215</t>
  </si>
  <si>
    <t>Mirrormont CDP, Washington</t>
  </si>
  <si>
    <t>1600000US5346405</t>
  </si>
  <si>
    <t>Moclips CDP, Washington</t>
  </si>
  <si>
    <t>1600000US5346685</t>
  </si>
  <si>
    <t>Monroe city, Washington</t>
  </si>
  <si>
    <t>1600000US5346725</t>
  </si>
  <si>
    <t>Monroe North CDP, Washington</t>
  </si>
  <si>
    <t>1600000US5346895</t>
  </si>
  <si>
    <t>Montesano city, Washington</t>
  </si>
  <si>
    <t>1600000US5347175</t>
  </si>
  <si>
    <t>Morton city, Washington</t>
  </si>
  <si>
    <t>1600000US5347245</t>
  </si>
  <si>
    <t>Moses Lake city, Washington</t>
  </si>
  <si>
    <t>1600000US5347280</t>
  </si>
  <si>
    <t>Moses Lake North CDP, Washington</t>
  </si>
  <si>
    <t>1600000US5347315</t>
  </si>
  <si>
    <t>Mossyrock city, Washington</t>
  </si>
  <si>
    <t>1600000US5347490</t>
  </si>
  <si>
    <t>Mountlake Terrace city, Washington</t>
  </si>
  <si>
    <t>1600000US5347560</t>
  </si>
  <si>
    <t>Mount Vernon city, Washington</t>
  </si>
  <si>
    <t>1600000US5347630</t>
  </si>
  <si>
    <t>Mount Vista CDP, Washington</t>
  </si>
  <si>
    <t>1600000US5347665</t>
  </si>
  <si>
    <t>Moxee city, Washington</t>
  </si>
  <si>
    <t>1600000US5347735</t>
  </si>
  <si>
    <t>Mukilteo city, Washington</t>
  </si>
  <si>
    <t>1600000US5347805</t>
  </si>
  <si>
    <t>Naches town, Washington</t>
  </si>
  <si>
    <t>1600000US5347980</t>
  </si>
  <si>
    <t>Napavine city, Washington</t>
  </si>
  <si>
    <t>1600000US5348015</t>
  </si>
  <si>
    <t>Naselle CDP, Washington</t>
  </si>
  <si>
    <t>1600000US5348225</t>
  </si>
  <si>
    <t>Navy Yard City CDP, Washington</t>
  </si>
  <si>
    <t>1600000US5348295</t>
  </si>
  <si>
    <t>Neah Bay CDP, Washington</t>
  </si>
  <si>
    <t>1600000US5348330</t>
  </si>
  <si>
    <t>Neilton CDP, Washington</t>
  </si>
  <si>
    <t>1600000US5348540</t>
  </si>
  <si>
    <t>Nespelem town, Washington</t>
  </si>
  <si>
    <t>1600000US5348550</t>
  </si>
  <si>
    <t>Nespelem Community CDP, Washington</t>
  </si>
  <si>
    <t>1600000US5348645</t>
  </si>
  <si>
    <t>Newcastle city, Washington</t>
  </si>
  <si>
    <t>1600000US5348820</t>
  </si>
  <si>
    <t>Newport city, Washington</t>
  </si>
  <si>
    <t>1600000US5349030</t>
  </si>
  <si>
    <t>Nile CDP, Washington</t>
  </si>
  <si>
    <t>1600000US5349193</t>
  </si>
  <si>
    <t>Nisqually Indian Community CDP, Washington</t>
  </si>
  <si>
    <t>1600000US5349275</t>
  </si>
  <si>
    <t>Nooksack city, Washington</t>
  </si>
  <si>
    <t>1600000US5349415</t>
  </si>
  <si>
    <t>Normandy Park city, Washington</t>
  </si>
  <si>
    <t>1600000US5349485</t>
  </si>
  <si>
    <t>North Bend city, Washington</t>
  </si>
  <si>
    <t>1600000US5349555</t>
  </si>
  <si>
    <t>North Bonneville city, Washington</t>
  </si>
  <si>
    <t>1600000US5349765</t>
  </si>
  <si>
    <t>North Fort Lewis CDP, Washington</t>
  </si>
  <si>
    <t>1600000US5349940</t>
  </si>
  <si>
    <t>North Lynnwood CDP, Washington</t>
  </si>
  <si>
    <t>1600000US5349992</t>
  </si>
  <si>
    <t>North Marysville CDP, Washington</t>
  </si>
  <si>
    <t>1600000US5350007</t>
  </si>
  <si>
    <t>North Omak CDP, Washington</t>
  </si>
  <si>
    <t>1600000US5350045</t>
  </si>
  <si>
    <t>Northport town, Washington</t>
  </si>
  <si>
    <t>1600000US5350115</t>
  </si>
  <si>
    <t>North Puyallup CDP, Washington</t>
  </si>
  <si>
    <t>1600000US5350183</t>
  </si>
  <si>
    <t>North Sultan CDP, Washington</t>
  </si>
  <si>
    <t>1600000US5350195</t>
  </si>
  <si>
    <t>Northwest Stanwood CDP, Washington</t>
  </si>
  <si>
    <t>1600000US5350210</t>
  </si>
  <si>
    <t>North Yelm CDP, Washington</t>
  </si>
  <si>
    <t>1600000US5350325</t>
  </si>
  <si>
    <t>Oakesdale town, Washington</t>
  </si>
  <si>
    <t>1600000US5350360</t>
  </si>
  <si>
    <t>Oak Harbor city, Washington</t>
  </si>
  <si>
    <t>1600000US5350430</t>
  </si>
  <si>
    <t>Oakville city, Washington</t>
  </si>
  <si>
    <t>1600000US5350500</t>
  </si>
  <si>
    <t>Ocean City CDP, Washington</t>
  </si>
  <si>
    <t>1600000US5350535</t>
  </si>
  <si>
    <t>Ocean Park CDP, Washington</t>
  </si>
  <si>
    <t>1600000US5350570</t>
  </si>
  <si>
    <t>Ocean Shores city, Washington</t>
  </si>
  <si>
    <t>1600000US5350745</t>
  </si>
  <si>
    <t>Odessa town, Washington</t>
  </si>
  <si>
    <t>1600000US5350920</t>
  </si>
  <si>
    <t>Okanogan city, Washington</t>
  </si>
  <si>
    <t>1600000US5351300</t>
  </si>
  <si>
    <t>Olympia city, Washington</t>
  </si>
  <si>
    <t>1600000US5351340</t>
  </si>
  <si>
    <t>Omak city, Washington</t>
  </si>
  <si>
    <t>1600000US5351410</t>
  </si>
  <si>
    <t>Onalaska CDP, Washington</t>
  </si>
  <si>
    <t>1600000US5351795</t>
  </si>
  <si>
    <t>Orchards CDP, Washington</t>
  </si>
  <si>
    <t>1600000US5351830</t>
  </si>
  <si>
    <t>Orient CDP, Washington</t>
  </si>
  <si>
    <t>1600000US5351970</t>
  </si>
  <si>
    <t>Oroville city, Washington</t>
  </si>
  <si>
    <t>1600000US5352005</t>
  </si>
  <si>
    <t>Orting city, Washington</t>
  </si>
  <si>
    <t>1600000US5352110</t>
  </si>
  <si>
    <t>Oso CDP, Washington</t>
  </si>
  <si>
    <t>1600000US5352215</t>
  </si>
  <si>
    <t>Othello city, Washington</t>
  </si>
  <si>
    <t>1600000US5352267</t>
  </si>
  <si>
    <t>Otis Orchards-East Farms CDP, Washington</t>
  </si>
  <si>
    <t>1600000US5352285</t>
  </si>
  <si>
    <t>Outlook CDP, Washington</t>
  </si>
  <si>
    <t>1600000US5352378</t>
  </si>
  <si>
    <t>Oyehut CDP, Washington</t>
  </si>
  <si>
    <t>1600000US5352495</t>
  </si>
  <si>
    <t>Pacific city, Washington</t>
  </si>
  <si>
    <t>1600000US5352530</t>
  </si>
  <si>
    <t>Pacific Beach CDP, Washington</t>
  </si>
  <si>
    <t>1600000US5352600</t>
  </si>
  <si>
    <t>Packwood CDP, Washington</t>
  </si>
  <si>
    <t>1600000US5352950</t>
  </si>
  <si>
    <t>Palouse city, Washington</t>
  </si>
  <si>
    <t>1600000US5353265</t>
  </si>
  <si>
    <t>Parker CDP, Washington</t>
  </si>
  <si>
    <t>1600000US5353335</t>
  </si>
  <si>
    <t>Parkland CDP, Washington</t>
  </si>
  <si>
    <t>1600000US5353440</t>
  </si>
  <si>
    <t>Parkwood CDP, Washington</t>
  </si>
  <si>
    <t>1600000US5353545</t>
  </si>
  <si>
    <t>Pasco city, Washington</t>
  </si>
  <si>
    <t>1600000US5353720</t>
  </si>
  <si>
    <t>Pateros city, Washington</t>
  </si>
  <si>
    <t>1600000US5353800</t>
  </si>
  <si>
    <t>Peaceful Valley CDP, Washington</t>
  </si>
  <si>
    <t>1600000US5353930</t>
  </si>
  <si>
    <t>Pe Ell town, Washington</t>
  </si>
  <si>
    <t>1600000US5354213</t>
  </si>
  <si>
    <t>Picnic Point CDP, Washington</t>
  </si>
  <si>
    <t>1600000US5354405</t>
  </si>
  <si>
    <t>Pine Grove CDP, Washington</t>
  </si>
  <si>
    <t>1600000US5355015</t>
  </si>
  <si>
    <t>Point Roberts CDP, Washington</t>
  </si>
  <si>
    <t>1600000US5355120</t>
  </si>
  <si>
    <t>Pomeroy city, Washington</t>
  </si>
  <si>
    <t>1600000US5355365</t>
  </si>
  <si>
    <t>Port Angeles city, Washington</t>
  </si>
  <si>
    <t>1600000US5355400</t>
  </si>
  <si>
    <t>Port Angeles East CDP, Washington</t>
  </si>
  <si>
    <t>1600000US5355540</t>
  </si>
  <si>
    <t>Porter CDP, Washington</t>
  </si>
  <si>
    <t>1600000US5355612</t>
  </si>
  <si>
    <t>Port Gamble Tribal Community CDP, Washington</t>
  </si>
  <si>
    <t>1600000US5355620</t>
  </si>
  <si>
    <t>Port Hadlock-Irondale CDP, Washington</t>
  </si>
  <si>
    <t>1600000US5355645</t>
  </si>
  <si>
    <t>Port Ludlow CDP, Washington</t>
  </si>
  <si>
    <t>1600000US5355785</t>
  </si>
  <si>
    <t>Port Orchard city, Washington</t>
  </si>
  <si>
    <t>1600000US5355855</t>
  </si>
  <si>
    <t>Port Townsend city, Washington</t>
  </si>
  <si>
    <t>1600000US5355995</t>
  </si>
  <si>
    <t>Poulsbo city, Washington</t>
  </si>
  <si>
    <t>1600000US5356150</t>
  </si>
  <si>
    <t>Prairie Heights CDP, Washington</t>
  </si>
  <si>
    <t>1600000US5356170</t>
  </si>
  <si>
    <t>Prairie Ridge CDP, Washington</t>
  </si>
  <si>
    <t>1600000US5356240</t>
  </si>
  <si>
    <t>Prescott city, Washington</t>
  </si>
  <si>
    <t>1600000US5356450</t>
  </si>
  <si>
    <t>Prosser city, Washington</t>
  </si>
  <si>
    <t>1600000US5356555</t>
  </si>
  <si>
    <t>Puget Island CDP, Washington</t>
  </si>
  <si>
    <t>1600000US5356625</t>
  </si>
  <si>
    <t>Pullman city, Washington</t>
  </si>
  <si>
    <t>1600000US5356660</t>
  </si>
  <si>
    <t>Purdy CDP, Washington</t>
  </si>
  <si>
    <t>1600000US5356695</t>
  </si>
  <si>
    <t>Puyallup city, Washington</t>
  </si>
  <si>
    <t>1600000US5356905</t>
  </si>
  <si>
    <t>Queets CDP, Washington</t>
  </si>
  <si>
    <t>1600000US5356975</t>
  </si>
  <si>
    <t>Quilcene CDP, Washington</t>
  </si>
  <si>
    <t>1600000US5357030</t>
  </si>
  <si>
    <t>Qui-nai-elt Village CDP, Washington</t>
  </si>
  <si>
    <t>1600000US5357115</t>
  </si>
  <si>
    <t>Quincy city, Washington</t>
  </si>
  <si>
    <t>1600000US5357140</t>
  </si>
  <si>
    <t>Raft Island CDP, Washington</t>
  </si>
  <si>
    <t>1600000US5357220</t>
  </si>
  <si>
    <t>Rainier city, Washington</t>
  </si>
  <si>
    <t>1600000US5357395</t>
  </si>
  <si>
    <t>Ravensdale CDP, Washington</t>
  </si>
  <si>
    <t>1600000US5357430</t>
  </si>
  <si>
    <t>Raymond city, Washington</t>
  </si>
  <si>
    <t>1600000US5357465</t>
  </si>
  <si>
    <t>Reardan town, Washington</t>
  </si>
  <si>
    <t>1600000US5357535</t>
  </si>
  <si>
    <t>Redmond city, Washington</t>
  </si>
  <si>
    <t>1600000US5357745</t>
  </si>
  <si>
    <t>Renton city, Washington</t>
  </si>
  <si>
    <t>1600000US5357850</t>
  </si>
  <si>
    <t>Republic city, Washington</t>
  </si>
  <si>
    <t>1600000US5358235</t>
  </si>
  <si>
    <t>Richland city, Washington</t>
  </si>
  <si>
    <t>1600000US5358410</t>
  </si>
  <si>
    <t>Ridgefield city, Washington</t>
  </si>
  <si>
    <t>1600000US5358725</t>
  </si>
  <si>
    <t>Ritzville city, Washington</t>
  </si>
  <si>
    <t>1600000US5358742</t>
  </si>
  <si>
    <t>Riverbend CDP, Washington</t>
  </si>
  <si>
    <t>1600000US5358777</t>
  </si>
  <si>
    <t>River Road CDP, Washington</t>
  </si>
  <si>
    <t>1600000US5358795</t>
  </si>
  <si>
    <t>Riverside town, Washington</t>
  </si>
  <si>
    <t>1600000US5359110</t>
  </si>
  <si>
    <t>Rochester CDP, Washington</t>
  </si>
  <si>
    <t>1600000US5359145</t>
  </si>
  <si>
    <t>Rockford town, Washington</t>
  </si>
  <si>
    <t>1600000US5359180</t>
  </si>
  <si>
    <t>Rock Island city, Washington</t>
  </si>
  <si>
    <t>1600000US5359250</t>
  </si>
  <si>
    <t>Rockport CDP, Washington</t>
  </si>
  <si>
    <t>1600000US5359390</t>
  </si>
  <si>
    <t>Rocky Point CDP, Washington</t>
  </si>
  <si>
    <t>1600000US5359635</t>
  </si>
  <si>
    <t>Ronald CDP, Washington</t>
  </si>
  <si>
    <t>1600000US5359705</t>
  </si>
  <si>
    <t>Roosevelt CDP, Washington</t>
  </si>
  <si>
    <t>1600000US5359775</t>
  </si>
  <si>
    <t>Rosalia town, Washington</t>
  </si>
  <si>
    <t>1600000US5359845</t>
  </si>
  <si>
    <t>Rosburg CDP, Washington</t>
  </si>
  <si>
    <t>1600000US5359880</t>
  </si>
  <si>
    <t>Rosedale CDP, Washington</t>
  </si>
  <si>
    <t>1600000US5360055</t>
  </si>
  <si>
    <t>Roslyn city, Washington</t>
  </si>
  <si>
    <t>1600000US5360160</t>
  </si>
  <si>
    <t>Roy city, Washington</t>
  </si>
  <si>
    <t>1600000US5360230</t>
  </si>
  <si>
    <t>Royal City city, Washington</t>
  </si>
  <si>
    <t>1600000US5360510</t>
  </si>
  <si>
    <t>Ruston town, Washington</t>
  </si>
  <si>
    <t>1600000US5360580</t>
  </si>
  <si>
    <t>Ryderwood CDP, Washington</t>
  </si>
  <si>
    <t>1600000US5360860</t>
  </si>
  <si>
    <t>St. John town, Washington</t>
  </si>
  <si>
    <t>1600000US5361000</t>
  </si>
  <si>
    <t>Salmon Creek CDP, Washington</t>
  </si>
  <si>
    <t>1600000US5361115</t>
  </si>
  <si>
    <t>Sammamish city, Washington</t>
  </si>
  <si>
    <t>1600000US5361235</t>
  </si>
  <si>
    <t>Santiago CDP, Washington</t>
  </si>
  <si>
    <t>1600000US5361350</t>
  </si>
  <si>
    <t>Satsop CDP, Washington</t>
  </si>
  <si>
    <t>1600000US5362120</t>
  </si>
  <si>
    <t>Seabeck CDP, Washington</t>
  </si>
  <si>
    <t>1600000US5362288</t>
  </si>
  <si>
    <t>SeaTac city, Washington</t>
  </si>
  <si>
    <t>1600000US5363000</t>
  </si>
  <si>
    <t>Seattle city, Washington</t>
  </si>
  <si>
    <t>1600000US5363210</t>
  </si>
  <si>
    <t>Sedro-Woolley city, Washington</t>
  </si>
  <si>
    <t>1600000US5363245</t>
  </si>
  <si>
    <t>Sekiu CDP, Washington</t>
  </si>
  <si>
    <t>1600000US5363280</t>
  </si>
  <si>
    <t>Selah city, Washington</t>
  </si>
  <si>
    <t>1600000US5363385</t>
  </si>
  <si>
    <t>Sequim city, Washington</t>
  </si>
  <si>
    <t>1600000US5363545</t>
  </si>
  <si>
    <t>Shadow Lake CDP, Washington</t>
  </si>
  <si>
    <t>1600000US5363735</t>
  </si>
  <si>
    <t>Shelton city, Washington</t>
  </si>
  <si>
    <t>1600000US5363960</t>
  </si>
  <si>
    <t>Shoreline city, Washington</t>
  </si>
  <si>
    <t>1600000US5364190</t>
  </si>
  <si>
    <t>Silvana CDP, Washington</t>
  </si>
  <si>
    <t>1600000US5364365</t>
  </si>
  <si>
    <t>Silverdale CDP, Washington</t>
  </si>
  <si>
    <t>1600000US5364380</t>
  </si>
  <si>
    <t>Silver Firs CDP, Washington</t>
  </si>
  <si>
    <t>1600000US5364610</t>
  </si>
  <si>
    <t>Sisco Heights CDP, Washington</t>
  </si>
  <si>
    <t>1600000US5364755</t>
  </si>
  <si>
    <t>Skamokawa Valley CDP, Washington</t>
  </si>
  <si>
    <t>1600000US5364775</t>
  </si>
  <si>
    <t>Skokomish CDP, Washington</t>
  </si>
  <si>
    <t>1600000US5364855</t>
  </si>
  <si>
    <t>Skykomish town, Washington</t>
  </si>
  <si>
    <t>1600000US5365170</t>
  </si>
  <si>
    <t>Snohomish city, Washington</t>
  </si>
  <si>
    <t>1600000US5365205</t>
  </si>
  <si>
    <t>Snoqualmie city, Washington</t>
  </si>
  <si>
    <t>1600000US5365275</t>
  </si>
  <si>
    <t>Snoqualmie Pass CDP, Washington</t>
  </si>
  <si>
    <t>1600000US5365345</t>
  </si>
  <si>
    <t>Soap Lake city, Washington</t>
  </si>
  <si>
    <t>1600000US5365625</t>
  </si>
  <si>
    <t>South Bend city, Washington</t>
  </si>
  <si>
    <t>1600000US5365765</t>
  </si>
  <si>
    <t>South Cle Elum town, Washington</t>
  </si>
  <si>
    <t>1600000US5365810</t>
  </si>
  <si>
    <t>South Creek CDP, Washington</t>
  </si>
  <si>
    <t>1600000US5365922</t>
  </si>
  <si>
    <t>South Hill CDP, Washington</t>
  </si>
  <si>
    <t>1600000US5366045</t>
  </si>
  <si>
    <t>South Prairie town, Washington</t>
  </si>
  <si>
    <t>1600000US5366185</t>
  </si>
  <si>
    <t>South Wenatchee CDP, Washington</t>
  </si>
  <si>
    <t>1600000US5366220</t>
  </si>
  <si>
    <t>Southworth CDP, Washington</t>
  </si>
  <si>
    <t>1600000US5366255</t>
  </si>
  <si>
    <t>Spanaway CDP, Washington</t>
  </si>
  <si>
    <t>1600000US5366290</t>
  </si>
  <si>
    <t>Spangle city, Washington</t>
  </si>
  <si>
    <t>1600000US5367000</t>
  </si>
  <si>
    <t>Spokane city, Washington</t>
  </si>
  <si>
    <t>1600000US5367167</t>
  </si>
  <si>
    <t>Spokane Valley city, Washington</t>
  </si>
  <si>
    <t>1600000US5367175</t>
  </si>
  <si>
    <t>Sprague city, Washington</t>
  </si>
  <si>
    <t>1600000US5367210</t>
  </si>
  <si>
    <t>Springdale town, Washington</t>
  </si>
  <si>
    <t>1600000US5367435</t>
  </si>
  <si>
    <t>Stansberry Lake CDP, Washington</t>
  </si>
  <si>
    <t>1600000US5367455</t>
  </si>
  <si>
    <t>Stanwood city, Washington</t>
  </si>
  <si>
    <t>1600000US5367490</t>
  </si>
  <si>
    <t>Starbuck town, Washington</t>
  </si>
  <si>
    <t>1600000US5367595</t>
  </si>
  <si>
    <t>Startup CDP, Washington</t>
  </si>
  <si>
    <t>1600000US5367770</t>
  </si>
  <si>
    <t>Steilacoom town, Washington</t>
  </si>
  <si>
    <t>1600000US5367805</t>
  </si>
  <si>
    <t>Steptoe CDP, Washington</t>
  </si>
  <si>
    <t>1600000US5367875</t>
  </si>
  <si>
    <t>Stevenson city, Washington</t>
  </si>
  <si>
    <t>1600000US5368200</t>
  </si>
  <si>
    <t>Sudden Valley CDP, Washington</t>
  </si>
  <si>
    <t>1600000US5368260</t>
  </si>
  <si>
    <t>Sultan city, Washington</t>
  </si>
  <si>
    <t>1600000US5368330</t>
  </si>
  <si>
    <t>Sumas city, Washington</t>
  </si>
  <si>
    <t>1600000US5368365</t>
  </si>
  <si>
    <t>Summit CDP, Washington</t>
  </si>
  <si>
    <t>1600000US5368410</t>
  </si>
  <si>
    <t>Summit View CDP, Washington</t>
  </si>
  <si>
    <t>1600000US5368417</t>
  </si>
  <si>
    <t>Summitview CDP, Washington</t>
  </si>
  <si>
    <t>1600000US5368435</t>
  </si>
  <si>
    <t>Sumner city, Washington</t>
  </si>
  <si>
    <t>1600000US5368480</t>
  </si>
  <si>
    <t>Sunday Lake CDP, Washington</t>
  </si>
  <si>
    <t>1600000US5368750</t>
  </si>
  <si>
    <t>Sunnyside city, Washington</t>
  </si>
  <si>
    <t>1600000US5368785</t>
  </si>
  <si>
    <t>Sunnyslope CDP, Washington</t>
  </si>
  <si>
    <t>1600000US5369170</t>
  </si>
  <si>
    <t>Suquamish CDP, Washington</t>
  </si>
  <si>
    <t>1600000US5369280</t>
  </si>
  <si>
    <t>Swede Heaven CDP, Washington</t>
  </si>
  <si>
    <t>1600000US5370000</t>
  </si>
  <si>
    <t>Tacoma city, Washington</t>
  </si>
  <si>
    <t>1600000US5370175</t>
  </si>
  <si>
    <t>Taholah CDP, Washington</t>
  </si>
  <si>
    <t>1600000US5370245</t>
  </si>
  <si>
    <t>Tampico CDP, Washington</t>
  </si>
  <si>
    <t>1600000US5370280</t>
  </si>
  <si>
    <t>Tanglewilde CDP, Washington</t>
  </si>
  <si>
    <t>1600000US5370315</t>
  </si>
  <si>
    <t>Tanner CDP, Washington</t>
  </si>
  <si>
    <t>1600000US5370560</t>
  </si>
  <si>
    <t>Tekoa city, Washington</t>
  </si>
  <si>
    <t>1600000US5370630</t>
  </si>
  <si>
    <t>Tenino city, Washington</t>
  </si>
  <si>
    <t>1600000US5370805</t>
  </si>
  <si>
    <t>Terrace Heights CDP, Washington</t>
  </si>
  <si>
    <t>1600000US5371225</t>
  </si>
  <si>
    <t>Thorp CDP, Washington</t>
  </si>
  <si>
    <t>1600000US5371330</t>
  </si>
  <si>
    <t>Three Lakes CDP, Washington</t>
  </si>
  <si>
    <t>1600000US5371400</t>
  </si>
  <si>
    <t>Tieton city, Washington</t>
  </si>
  <si>
    <t>1600000US5371680</t>
  </si>
  <si>
    <t>Tokeland CDP, Washington</t>
  </si>
  <si>
    <t>1600000US5371785</t>
  </si>
  <si>
    <t>Toledo city, Washington</t>
  </si>
  <si>
    <t>1600000US5371890</t>
  </si>
  <si>
    <t>Tonasket city, Washington</t>
  </si>
  <si>
    <t>1600000US5371960</t>
  </si>
  <si>
    <t>Toppenish city, Washington</t>
  </si>
  <si>
    <t>1600000US5371995</t>
  </si>
  <si>
    <t>Torboy CDP, Washington</t>
  </si>
  <si>
    <t>1600000US5372030</t>
  </si>
  <si>
    <t>Touchet CDP, Washington</t>
  </si>
  <si>
    <t>1600000US5372170</t>
  </si>
  <si>
    <t>Town and Country CDP, Washington</t>
  </si>
  <si>
    <t>1600000US5372205</t>
  </si>
  <si>
    <t>Tracyton CDP, Washington</t>
  </si>
  <si>
    <t>1600000US5372450</t>
  </si>
  <si>
    <t>Trout Lake CDP, Washington</t>
  </si>
  <si>
    <t>1600000US5372625</t>
  </si>
  <si>
    <t>Tukwila city, Washington</t>
  </si>
  <si>
    <t>1600000US5372905</t>
  </si>
  <si>
    <t>Tumwater city, Washington</t>
  </si>
  <si>
    <t>1600000US5373065</t>
  </si>
  <si>
    <t>Twin Lakes CDP, Washington</t>
  </si>
  <si>
    <t>1600000US5373080</t>
  </si>
  <si>
    <t>Twisp town, Washington</t>
  </si>
  <si>
    <t>1600000US5373255</t>
  </si>
  <si>
    <t>Union CDP, Washington</t>
  </si>
  <si>
    <t>1600000US5373290</t>
  </si>
  <si>
    <t>Union Gap city, Washington</t>
  </si>
  <si>
    <t>1600000US5373307</t>
  </si>
  <si>
    <t>Union Hill-Novelty Hill CDP, Washington</t>
  </si>
  <si>
    <t>1600000US5373360</t>
  </si>
  <si>
    <t>Uniontown town, Washington</t>
  </si>
  <si>
    <t>1600000US5373465</t>
  </si>
  <si>
    <t>University Place city, Washington</t>
  </si>
  <si>
    <t>1600000US5373580</t>
  </si>
  <si>
    <t>Upper Elochoman CDP, Washington</t>
  </si>
  <si>
    <t>1600000US5373780</t>
  </si>
  <si>
    <t>Vader city, Washington</t>
  </si>
  <si>
    <t>1600000US5373885</t>
  </si>
  <si>
    <t>Valley CDP, Washington</t>
  </si>
  <si>
    <t>1600000US5374060</t>
  </si>
  <si>
    <t>Vancouver city, Washington</t>
  </si>
  <si>
    <t>1600000US5374200</t>
  </si>
  <si>
    <t>Vantage CDP, Washington</t>
  </si>
  <si>
    <t>1600000US5374305</t>
  </si>
  <si>
    <t>Vashon CDP, Washington</t>
  </si>
  <si>
    <t>1600000US5374445</t>
  </si>
  <si>
    <t>Vaughn CDP, Washington</t>
  </si>
  <si>
    <t>1600000US5374585</t>
  </si>
  <si>
    <t>Venersborg CDP, Washington</t>
  </si>
  <si>
    <t>1600000US5374760</t>
  </si>
  <si>
    <t>Verlot CDP, Washington</t>
  </si>
  <si>
    <t>1600000US5375565</t>
  </si>
  <si>
    <t>Waitsburg city, Washington</t>
  </si>
  <si>
    <t>1600000US5375775</t>
  </si>
  <si>
    <t>Walla Walla city, Washington</t>
  </si>
  <si>
    <t>1600000US5375810</t>
  </si>
  <si>
    <t>Walla Walla East CDP, Washington</t>
  </si>
  <si>
    <t>1600000US5375905</t>
  </si>
  <si>
    <t>Waller CDP, Washington</t>
  </si>
  <si>
    <t>1600000US5375985</t>
  </si>
  <si>
    <t>Wallula CDP, Washington</t>
  </si>
  <si>
    <t>1600000US5376055</t>
  </si>
  <si>
    <t>Walnut Grove CDP, Washington</t>
  </si>
  <si>
    <t>1600000US5376125</t>
  </si>
  <si>
    <t>Wapato city, Washington</t>
  </si>
  <si>
    <t>1600000US5376160</t>
  </si>
  <si>
    <t>Warden city, Washington</t>
  </si>
  <si>
    <t>1600000US5376195</t>
  </si>
  <si>
    <t>Warm Beach CDP, Washington</t>
  </si>
  <si>
    <t>1600000US5376405</t>
  </si>
  <si>
    <t>Washougal city, Washington</t>
  </si>
  <si>
    <t>1600000US5376440</t>
  </si>
  <si>
    <t>Washtucna town, Washington</t>
  </si>
  <si>
    <t>1600000US5376510</t>
  </si>
  <si>
    <t>Waterville town, Washington</t>
  </si>
  <si>
    <t>1600000US5376615</t>
  </si>
  <si>
    <t>Wauna CDP, Washington</t>
  </si>
  <si>
    <t>1600000US5376720</t>
  </si>
  <si>
    <t>Waverly town, Washington</t>
  </si>
  <si>
    <t>1600000US5377105</t>
  </si>
  <si>
    <t>Wenatchee city, Washington</t>
  </si>
  <si>
    <t>1600000US5377297</t>
  </si>
  <si>
    <t>West Clarkston-Highland CDP, Washington</t>
  </si>
  <si>
    <t>1600000US5377612</t>
  </si>
  <si>
    <t>West Pasco CDP, Washington</t>
  </si>
  <si>
    <t>1600000US5377630</t>
  </si>
  <si>
    <t>Westport city, Washington</t>
  </si>
  <si>
    <t>1600000US5377665</t>
  </si>
  <si>
    <t>West Richland city, Washington</t>
  </si>
  <si>
    <t>1600000US5377745</t>
  </si>
  <si>
    <t>West Side Highway CDP, Washington</t>
  </si>
  <si>
    <t>1600000US5378155</t>
  </si>
  <si>
    <t>Whidbey Island Station CDP, Washington</t>
  </si>
  <si>
    <t>1600000US5378225</t>
  </si>
  <si>
    <t>White Center CDP, Washington</t>
  </si>
  <si>
    <t>1600000US5378330</t>
  </si>
  <si>
    <t>White Salmon city, Washington</t>
  </si>
  <si>
    <t>1600000US5378365</t>
  </si>
  <si>
    <t>White Swan CDP, Washington</t>
  </si>
  <si>
    <t>1600000US5378680</t>
  </si>
  <si>
    <t>Wilbur town, Washington</t>
  </si>
  <si>
    <t>1600000US5378780</t>
  </si>
  <si>
    <t>Wilderness Rim CDP, Washington</t>
  </si>
  <si>
    <t>1600000US5378925</t>
  </si>
  <si>
    <t>Wilkeson town, Washington</t>
  </si>
  <si>
    <t>1600000US5378995</t>
  </si>
  <si>
    <t>Willapa CDP, Washington</t>
  </si>
  <si>
    <t>1600000US5379135</t>
  </si>
  <si>
    <t>Wilson Creek town, Washington</t>
  </si>
  <si>
    <t>1600000US5379275</t>
  </si>
  <si>
    <t>Winlock city, Washington</t>
  </si>
  <si>
    <t>1600000US5379380</t>
  </si>
  <si>
    <t>Winthrop town, Washington</t>
  </si>
  <si>
    <t>1600000US5379485</t>
  </si>
  <si>
    <t>Wishram CDP, Washington</t>
  </si>
  <si>
    <t>1600000US5379555</t>
  </si>
  <si>
    <t>Wollochet CDP, Washington</t>
  </si>
  <si>
    <t>1600000US5379590</t>
  </si>
  <si>
    <t>Woodinville city, Washington</t>
  </si>
  <si>
    <t>1600000US5379625</t>
  </si>
  <si>
    <t>Woodland city, Washington</t>
  </si>
  <si>
    <t>1600000US5379825</t>
  </si>
  <si>
    <t>Woods Creek CDP, Washington</t>
  </si>
  <si>
    <t>1600000US5379835</t>
  </si>
  <si>
    <t>Woodway city, Washington</t>
  </si>
  <si>
    <t>1600000US5379975</t>
  </si>
  <si>
    <t>Yacolt town, Washington</t>
  </si>
  <si>
    <t>1600000US5380010</t>
  </si>
  <si>
    <t>Yakima city, Washington</t>
  </si>
  <si>
    <t>1600000US5380150</t>
  </si>
  <si>
    <t>Yarrow Point town, Washington</t>
  </si>
  <si>
    <t>1600000US5380220</t>
  </si>
  <si>
    <t>Yelm city, Washington</t>
  </si>
  <si>
    <t>1600000US5380500</t>
  </si>
  <si>
    <t>Zillah city, Washington</t>
  </si>
  <si>
    <t>1600000US5301447</t>
  </si>
  <si>
    <t>Allyn-Grapeview CDP, Washington</t>
  </si>
  <si>
    <t>1600000US5303215</t>
  </si>
  <si>
    <t>Ault Field CDP, Washington</t>
  </si>
  <si>
    <t>1600000US5304113</t>
  </si>
  <si>
    <t>Bangor Trident Base CDP, Washington</t>
  </si>
  <si>
    <t>1600000US5310325</t>
  </si>
  <si>
    <t>Carson River Valley CDP, Washington</t>
  </si>
  <si>
    <t>1600000US5310372</t>
  </si>
  <si>
    <t>Cascade-Fairwood CDP, Washington</t>
  </si>
  <si>
    <t>1600000US5310585</t>
  </si>
  <si>
    <t>Cathan CDP, Washington</t>
  </si>
  <si>
    <t>1600000US5311568</t>
  </si>
  <si>
    <t>Chehalis Village CDP, Washington</t>
  </si>
  <si>
    <t>Clear Lake CDP, Washington</t>
  </si>
  <si>
    <t>1600000US5317985</t>
  </si>
  <si>
    <t>Dishman CDP, Washington</t>
  </si>
  <si>
    <t>1600000US5318195</t>
  </si>
  <si>
    <t>Dollar Corner CDP, Washington</t>
  </si>
  <si>
    <t>1600000US5319420</t>
  </si>
  <si>
    <t>Eastgate CDP, Washington</t>
  </si>
  <si>
    <t>1600000US5319515</t>
  </si>
  <si>
    <t>East Hill-Meridian CDP, Washington</t>
  </si>
  <si>
    <t>1600000US5320190</t>
  </si>
  <si>
    <t>East Wenatchee Bench CDP, Washington</t>
  </si>
  <si>
    <t>1600000US5320417</t>
  </si>
  <si>
    <t>Echo Lake CDP, Washington</t>
  </si>
  <si>
    <t>Electric City town, Washington</t>
  </si>
  <si>
    <t>Fairwood CDP, Washington</t>
  </si>
  <si>
    <t>Granger town, Washington</t>
  </si>
  <si>
    <t>1600000US5328520</t>
  </si>
  <si>
    <t>Green Acres CDP, Washington</t>
  </si>
  <si>
    <t>1600000US5330312</t>
  </si>
  <si>
    <t>Hazel Dell North CDP, Washington</t>
  </si>
  <si>
    <t>1600000US5330313</t>
  </si>
  <si>
    <t>Hazel Dell South CDP, Washington</t>
  </si>
  <si>
    <t>1600000US5330775</t>
  </si>
  <si>
    <t>Highland CDP, Washington</t>
  </si>
  <si>
    <t>1600000US5333380</t>
  </si>
  <si>
    <t>Inglewood-Finn Hill CDP, Washington</t>
  </si>
  <si>
    <t>1600000US5334220</t>
  </si>
  <si>
    <t>John Sam Lake CDP, Washington</t>
  </si>
  <si>
    <t>1600000US5334277</t>
  </si>
  <si>
    <t>Jordan Road-Canyon Creek CDP, Washington</t>
  </si>
  <si>
    <t>1600000US5335835</t>
  </si>
  <si>
    <t>Kingsgate CDP, Washington</t>
  </si>
  <si>
    <t>La Crosse town, Washington</t>
  </si>
  <si>
    <t>1600000US5338815</t>
  </si>
  <si>
    <t>Lea Hill CDP, Washington</t>
  </si>
  <si>
    <t>Liberty Lake CDP, Washington</t>
  </si>
  <si>
    <t>1600000US5342355</t>
  </si>
  <si>
    <t>Malone-Porter CDP, Washington</t>
  </si>
  <si>
    <t>Mattawa town, Washington</t>
  </si>
  <si>
    <t>1600000US5345915</t>
  </si>
  <si>
    <t>Mill Plain CDP, Washington</t>
  </si>
  <si>
    <t>Millwood town, Washington</t>
  </si>
  <si>
    <t>1600000US5349665</t>
  </si>
  <si>
    <t>North Creek CDP, Washington</t>
  </si>
  <si>
    <t>1600000US5350175</t>
  </si>
  <si>
    <t>North Stanwood CDP, Washington</t>
  </si>
  <si>
    <t>1600000US5350191</t>
  </si>
  <si>
    <t>Northwest Snohomish CDP, Washington</t>
  </si>
  <si>
    <t>1600000US5351515</t>
  </si>
  <si>
    <t>Opportunity CDP, Washington</t>
  </si>
  <si>
    <t>1600000US5352380</t>
  </si>
  <si>
    <t>Oyehut-Hogans Corner CDP, Washington</t>
  </si>
  <si>
    <t>1600000US5352765</t>
  </si>
  <si>
    <t>Paine Field-Lake Stickney CDP, Washington</t>
  </si>
  <si>
    <t>1600000US5354215</t>
  </si>
  <si>
    <t>Picnic Point-North Lynnwood CDP, Washington</t>
  </si>
  <si>
    <t>Prescott town, Washington</t>
  </si>
  <si>
    <t>1600000US5356304</t>
  </si>
  <si>
    <t>Priest Point CDP, Washington</t>
  </si>
  <si>
    <t>Rainier town, Washington</t>
  </si>
  <si>
    <t>1600000US5358878</t>
  </si>
  <si>
    <t>Riverton-Boulevard Park CDP, Washington</t>
  </si>
  <si>
    <t>1600000US5361385</t>
  </si>
  <si>
    <t>Satus CDP, Washington</t>
  </si>
  <si>
    <t>1600000US5363052</t>
  </si>
  <si>
    <t>Seattle Hill-Silver Firs CDP, Washington</t>
  </si>
  <si>
    <t>1600000US5363550</t>
  </si>
  <si>
    <t>Shaker Church CDP, Washington</t>
  </si>
  <si>
    <t>1600000US5364995</t>
  </si>
  <si>
    <t>Smokey Point CDP, Washington</t>
  </si>
  <si>
    <t>Spangle town, Washington</t>
  </si>
  <si>
    <t>1600000US5368025</t>
  </si>
  <si>
    <t>Stimson Crossing CDP, Washington</t>
  </si>
  <si>
    <t>1600000US5370297</t>
  </si>
  <si>
    <t>Tanglewilde-Thompson Place CDP, Washington</t>
  </si>
  <si>
    <t>Tieton town, Washington</t>
  </si>
  <si>
    <t>1600000US5372310</t>
  </si>
  <si>
    <t>Trentwood CDP, Washington</t>
  </si>
  <si>
    <t>1600000US5372705</t>
  </si>
  <si>
    <t>Tulalip Bay CDP, Washington</t>
  </si>
  <si>
    <t>1600000US5374725</t>
  </si>
  <si>
    <t>Veradale CDP, Washington</t>
  </si>
  <si>
    <t>1600000US5376800</t>
  </si>
  <si>
    <t>Weallup Lake CDP, Washington</t>
  </si>
  <si>
    <t>1600000US5377535</t>
  </si>
  <si>
    <t>West Lake Sammamish CDP, Washington</t>
  </si>
  <si>
    <t>1600000US5377542</t>
  </si>
  <si>
    <t>West Lake Stevens CDP, Washington</t>
  </si>
  <si>
    <t>1600000US5377547</t>
  </si>
  <si>
    <t>West Longview CDP, Washington</t>
  </si>
  <si>
    <t>1600000US5377885</t>
  </si>
  <si>
    <t>West Valley CDP, Washington</t>
  </si>
  <si>
    <t>1600000US5377910</t>
  </si>
  <si>
    <t>West Wenatchee CDP, Washington</t>
  </si>
  <si>
    <t>Id</t>
  </si>
  <si>
    <t>Id2</t>
  </si>
  <si>
    <t>1400000US53033000100</t>
  </si>
  <si>
    <t>Census Tract 1, King County, Washington</t>
  </si>
  <si>
    <t>1400000US53033000200</t>
  </si>
  <si>
    <t>Census Tract 2, King County, Washington</t>
  </si>
  <si>
    <t>1400000US53033000300</t>
  </si>
  <si>
    <t>Census Tract 3, King County, Washington</t>
  </si>
  <si>
    <t>1400000US53033000401</t>
  </si>
  <si>
    <t>Census Tract 4.01, King County, Washington</t>
  </si>
  <si>
    <t>1400000US53033000402</t>
  </si>
  <si>
    <t>Census Tract 4.02, King County, Washington</t>
  </si>
  <si>
    <t>1400000US53033000500</t>
  </si>
  <si>
    <t>Census Tract 5, King County, Washington</t>
  </si>
  <si>
    <t>1400000US53033000600</t>
  </si>
  <si>
    <t>Census Tract 6, King County, Washington</t>
  </si>
  <si>
    <t>1400000US53033000700</t>
  </si>
  <si>
    <t>Census Tract 7, King County, Washington</t>
  </si>
  <si>
    <t>1400000US53033000800</t>
  </si>
  <si>
    <t>Census Tract 8, King County, Washington</t>
  </si>
  <si>
    <t>1400000US53033000900</t>
  </si>
  <si>
    <t>Census Tract 9, King County, Washington</t>
  </si>
  <si>
    <t>1400000US53033001000</t>
  </si>
  <si>
    <t>Census Tract 10, King County, Washington</t>
  </si>
  <si>
    <t>1400000US53033001100</t>
  </si>
  <si>
    <t>Census Tract 11, King County, Washington</t>
  </si>
  <si>
    <t>1400000US53033001200</t>
  </si>
  <si>
    <t>Census Tract 12, King County, Washington</t>
  </si>
  <si>
    <t>1400000US53033001300</t>
  </si>
  <si>
    <t>Census Tract 13, King County, Washington</t>
  </si>
  <si>
    <t>1400000US53033001400</t>
  </si>
  <si>
    <t>Census Tract 14, King County, Washington</t>
  </si>
  <si>
    <t>1400000US53033001500</t>
  </si>
  <si>
    <t>Census Tract 15, King County, Washington</t>
  </si>
  <si>
    <t>1400000US53033001600</t>
  </si>
  <si>
    <t>Census Tract 16, King County, Washington</t>
  </si>
  <si>
    <t>1400000US53033001700</t>
  </si>
  <si>
    <t>Census Tract 17, King County, Washington</t>
  </si>
  <si>
    <t>1400000US53033001800</t>
  </si>
  <si>
    <t>Census Tract 18, King County, Washington</t>
  </si>
  <si>
    <t>1400000US53033001900</t>
  </si>
  <si>
    <t>Census Tract 19, King County, Washington</t>
  </si>
  <si>
    <t>1400000US53033002000</t>
  </si>
  <si>
    <t>Census Tract 20, King County, Washington</t>
  </si>
  <si>
    <t>1400000US53033002100</t>
  </si>
  <si>
    <t>Census Tract 21, King County, Washington</t>
  </si>
  <si>
    <t>1400000US53033002200</t>
  </si>
  <si>
    <t>Census Tract 22, King County, Washington</t>
  </si>
  <si>
    <t>1400000US53033002400</t>
  </si>
  <si>
    <t>Census Tract 24, King County, Washington</t>
  </si>
  <si>
    <t>1400000US53033002500</t>
  </si>
  <si>
    <t>Census Tract 25, King County, Washington</t>
  </si>
  <si>
    <t>1400000US53033002600</t>
  </si>
  <si>
    <t>Census Tract 26, King County, Washington</t>
  </si>
  <si>
    <t>1400000US53033002700</t>
  </si>
  <si>
    <t>Census Tract 27, King County, Washington</t>
  </si>
  <si>
    <t>1400000US53033002800</t>
  </si>
  <si>
    <t>Census Tract 28, King County, Washington</t>
  </si>
  <si>
    <t>1400000US53033002900</t>
  </si>
  <si>
    <t>Census Tract 29, King County, Washington</t>
  </si>
  <si>
    <t>1400000US53033003000</t>
  </si>
  <si>
    <t>Census Tract 30, King County, Washington</t>
  </si>
  <si>
    <t>1400000US53033003100</t>
  </si>
  <si>
    <t>Census Tract 31, King County, Washington</t>
  </si>
  <si>
    <t>1400000US53033003200</t>
  </si>
  <si>
    <t>Census Tract 32, King County, Washington</t>
  </si>
  <si>
    <t>1400000US53033003300</t>
  </si>
  <si>
    <t>Census Tract 33, King County, Washington</t>
  </si>
  <si>
    <t>1400000US53033003400</t>
  </si>
  <si>
    <t>Census Tract 34, King County, Washington</t>
  </si>
  <si>
    <t>1400000US53033003500</t>
  </si>
  <si>
    <t>Census Tract 35, King County, Washington</t>
  </si>
  <si>
    <t>1400000US53033003600</t>
  </si>
  <si>
    <t>Census Tract 36, King County, Washington</t>
  </si>
  <si>
    <t>1400000US53033003800</t>
  </si>
  <si>
    <t>Census Tract 38, King County, Washington</t>
  </si>
  <si>
    <t>1400000US53033003900</t>
  </si>
  <si>
    <t>Census Tract 39, King County, Washington</t>
  </si>
  <si>
    <t>1400000US53033004000</t>
  </si>
  <si>
    <t>Census Tract 40, King County, Washington</t>
  </si>
  <si>
    <t>1400000US53033004100</t>
  </si>
  <si>
    <t>Census Tract 41, King County, Washington</t>
  </si>
  <si>
    <t>1400000US53033004200</t>
  </si>
  <si>
    <t>Census Tract 42, King County, Washington</t>
  </si>
  <si>
    <t>1400000US53033004300</t>
  </si>
  <si>
    <t>Census Tract 43, King County, Washington</t>
  </si>
  <si>
    <t>1400000US53033004400</t>
  </si>
  <si>
    <t>Census Tract 44, King County, Washington</t>
  </si>
  <si>
    <t>1400000US53033004500</t>
  </si>
  <si>
    <t>Census Tract 45, King County, Washington</t>
  </si>
  <si>
    <t>1400000US53033004600</t>
  </si>
  <si>
    <t>Census Tract 46, King County, Washington</t>
  </si>
  <si>
    <t>1400000US53033004700</t>
  </si>
  <si>
    <t>Census Tract 47, King County, Washington</t>
  </si>
  <si>
    <t>1400000US53033004800</t>
  </si>
  <si>
    <t>Census Tract 48, King County, Washington</t>
  </si>
  <si>
    <t>1400000US53033004900</t>
  </si>
  <si>
    <t>Census Tract 49, King County, Washington</t>
  </si>
  <si>
    <t>1400000US53033005000</t>
  </si>
  <si>
    <t>Census Tract 50, King County, Washington</t>
  </si>
  <si>
    <t>1400000US53033005100</t>
  </si>
  <si>
    <t>Census Tract 51, King County, Washington</t>
  </si>
  <si>
    <t>1400000US53033005200</t>
  </si>
  <si>
    <t>Census Tract 52, King County, Washington</t>
  </si>
  <si>
    <t>1400000US53033005301</t>
  </si>
  <si>
    <t>Census Tract 53.01, King County, Washington</t>
  </si>
  <si>
    <t>1400000US53033005302</t>
  </si>
  <si>
    <t>Census Tract 53.02, King County, Washington</t>
  </si>
  <si>
    <t>1400000US53033005400</t>
  </si>
  <si>
    <t>Census Tract 54, King County, Washington</t>
  </si>
  <si>
    <t>1400000US53033005600</t>
  </si>
  <si>
    <t>Census Tract 56, King County, Washington</t>
  </si>
  <si>
    <t>1400000US53033005700</t>
  </si>
  <si>
    <t>Census Tract 57, King County, Washington</t>
  </si>
  <si>
    <t>1400000US53033005801</t>
  </si>
  <si>
    <t>Census Tract 58.01, King County, Washington</t>
  </si>
  <si>
    <t>1400000US53033005802</t>
  </si>
  <si>
    <t>Census Tract 58.02, King County, Washington</t>
  </si>
  <si>
    <t>1400000US53033005900</t>
  </si>
  <si>
    <t>Census Tract 59, King County, Washington</t>
  </si>
  <si>
    <t>1400000US53033006000</t>
  </si>
  <si>
    <t>Census Tract 60, King County, Washington</t>
  </si>
  <si>
    <t>1400000US53033006100</t>
  </si>
  <si>
    <t>Census Tract 61, King County, Washington</t>
  </si>
  <si>
    <t>1400000US53033006200</t>
  </si>
  <si>
    <t>Census Tract 62, King County, Washington</t>
  </si>
  <si>
    <t>1400000US53033006300</t>
  </si>
  <si>
    <t>Census Tract 63, King County, Washington</t>
  </si>
  <si>
    <t>1400000US53033006400</t>
  </si>
  <si>
    <t>Census Tract 64, King County, Washington</t>
  </si>
  <si>
    <t>1400000US53033006500</t>
  </si>
  <si>
    <t>Census Tract 65, King County, Washington</t>
  </si>
  <si>
    <t>1400000US53033006600</t>
  </si>
  <si>
    <t>Census Tract 66, King County, Washington</t>
  </si>
  <si>
    <t>1400000US53033006700</t>
  </si>
  <si>
    <t>Census Tract 67, King County, Washington</t>
  </si>
  <si>
    <t>1400000US53033006800</t>
  </si>
  <si>
    <t>Census Tract 68, King County, Washington</t>
  </si>
  <si>
    <t>1400000US53033006900</t>
  </si>
  <si>
    <t>Census Tract 69, King County, Washington</t>
  </si>
  <si>
    <t>1400000US53033007000</t>
  </si>
  <si>
    <t>Census Tract 70, King County, Washington</t>
  </si>
  <si>
    <t>1400000US53033007100</t>
  </si>
  <si>
    <t>Census Tract 71, King County, Washington</t>
  </si>
  <si>
    <t>1400000US53033007200</t>
  </si>
  <si>
    <t>Census Tract 72, King County, Washington</t>
  </si>
  <si>
    <t>1400000US53033007300</t>
  </si>
  <si>
    <t>Census Tract 73, King County, Washington</t>
  </si>
  <si>
    <t>1400000US53033007400</t>
  </si>
  <si>
    <t>Census Tract 74, King County, Washington</t>
  </si>
  <si>
    <t>1400000US53033007500</t>
  </si>
  <si>
    <t>Census Tract 75, King County, Washington</t>
  </si>
  <si>
    <t>1400000US53033007600</t>
  </si>
  <si>
    <t>Census Tract 76, King County, Washington</t>
  </si>
  <si>
    <t>1400000US53033007700</t>
  </si>
  <si>
    <t>Census Tract 77, King County, Washington</t>
  </si>
  <si>
    <t>1400000US53033007800</t>
  </si>
  <si>
    <t>Census Tract 78, King County, Washington</t>
  </si>
  <si>
    <t>1400000US53033007900</t>
  </si>
  <si>
    <t>Census Tract 79, King County, Washington</t>
  </si>
  <si>
    <t>1400000US53033008001</t>
  </si>
  <si>
    <t>Census Tract 80.01, King County, Washington</t>
  </si>
  <si>
    <t>1400000US53033008002</t>
  </si>
  <si>
    <t>Census Tract 80.02, King County, Washington</t>
  </si>
  <si>
    <t>1400000US53033008100</t>
  </si>
  <si>
    <t>Census Tract 81, King County, Washington</t>
  </si>
  <si>
    <t>1400000US53033008200</t>
  </si>
  <si>
    <t>Census Tract 82, King County, Washington</t>
  </si>
  <si>
    <t>1400000US53033008300</t>
  </si>
  <si>
    <t>Census Tract 83, King County, Washington</t>
  </si>
  <si>
    <t>1400000US53033008400</t>
  </si>
  <si>
    <t>Census Tract 84, King County, Washington</t>
  </si>
  <si>
    <t>1400000US53033008500</t>
  </si>
  <si>
    <t>Census Tract 85, King County, Washington</t>
  </si>
  <si>
    <t>1400000US53033008600</t>
  </si>
  <si>
    <t>Census Tract 86, King County, Washington</t>
  </si>
  <si>
    <t>1400000US53033008700</t>
  </si>
  <si>
    <t>Census Tract 87, King County, Washington</t>
  </si>
  <si>
    <t>1400000US53033008800</t>
  </si>
  <si>
    <t>Census Tract 88, King County, Washington</t>
  </si>
  <si>
    <t>1400000US53033008900</t>
  </si>
  <si>
    <t>Census Tract 89, King County, Washington</t>
  </si>
  <si>
    <t>1400000US53033009000</t>
  </si>
  <si>
    <t>Census Tract 90, King County, Washington</t>
  </si>
  <si>
    <t>1400000US53033009100</t>
  </si>
  <si>
    <t>Census Tract 91, King County, Washington</t>
  </si>
  <si>
    <t>1400000US53033009200</t>
  </si>
  <si>
    <t>Census Tract 92, King County, Washington</t>
  </si>
  <si>
    <t>1400000US53033009300</t>
  </si>
  <si>
    <t>Census Tract 93, King County, Washington</t>
  </si>
  <si>
    <t>1400000US53033009400</t>
  </si>
  <si>
    <t>Census Tract 94, King County, Washington</t>
  </si>
  <si>
    <t>1400000US53033009500</t>
  </si>
  <si>
    <t>Census Tract 95, King County, Washington</t>
  </si>
  <si>
    <t>1400000US53033009600</t>
  </si>
  <si>
    <t>Census Tract 96, King County, Washington</t>
  </si>
  <si>
    <t>1400000US53033009701</t>
  </si>
  <si>
    <t>Census Tract 97.01, King County, Washington</t>
  </si>
  <si>
    <t>1400000US53033009702</t>
  </si>
  <si>
    <t>Census Tract 97.02, King County, Washington</t>
  </si>
  <si>
    <t>1400000US53033009800</t>
  </si>
  <si>
    <t>Census Tract 98, King County, Washington</t>
  </si>
  <si>
    <t>1400000US53033009900</t>
  </si>
  <si>
    <t>Census Tract 99, King County, Washington</t>
  </si>
  <si>
    <t>1400000US53033010000</t>
  </si>
  <si>
    <t>Census Tract 100, King County, Washington</t>
  </si>
  <si>
    <t>1400000US53033010100</t>
  </si>
  <si>
    <t>Census Tract 101, King County, Washington</t>
  </si>
  <si>
    <t>1400000US53033010200</t>
  </si>
  <si>
    <t>Census Tract 102, King County, Washington</t>
  </si>
  <si>
    <t>1400000US53033010300</t>
  </si>
  <si>
    <t>Census Tract 103, King County, Washington</t>
  </si>
  <si>
    <t>1400000US53033010400</t>
  </si>
  <si>
    <t>Census Tract 104, King County, Washington</t>
  </si>
  <si>
    <t>1400000US53033010500</t>
  </si>
  <si>
    <t>Census Tract 105, King County, Washington</t>
  </si>
  <si>
    <t>1400000US53033010600</t>
  </si>
  <si>
    <t>Census Tract 106, King County, Washington</t>
  </si>
  <si>
    <t>1400000US53033010700</t>
  </si>
  <si>
    <t>Census Tract 107, King County, Washington</t>
  </si>
  <si>
    <t>1400000US53033010800</t>
  </si>
  <si>
    <t>Census Tract 108, King County, Washington</t>
  </si>
  <si>
    <t>1400000US53033010900</t>
  </si>
  <si>
    <t>Census Tract 109, King County, Washington</t>
  </si>
  <si>
    <t>1400000US53033011000</t>
  </si>
  <si>
    <t>Census Tract 110, King County, Washington</t>
  </si>
  <si>
    <t>1400000US53033011101</t>
  </si>
  <si>
    <t>Census Tract 111.01, King County, Washington</t>
  </si>
  <si>
    <t>1400000US53033011102</t>
  </si>
  <si>
    <t>Census Tract 111.02, King County, Washington</t>
  </si>
  <si>
    <t>1400000US53033011200</t>
  </si>
  <si>
    <t>Census Tract 112, King County, Washington</t>
  </si>
  <si>
    <t>1400000US53033011300</t>
  </si>
  <si>
    <t>Census Tract 113, King County, Washington</t>
  </si>
  <si>
    <t>1400000US53033011400</t>
  </si>
  <si>
    <t>Census Tract 114, King County, Washington</t>
  </si>
  <si>
    <t>1400000US53033011500</t>
  </si>
  <si>
    <t>Census Tract 115, King County, Washington</t>
  </si>
  <si>
    <t>1400000US53033011600</t>
  </si>
  <si>
    <t>Census Tract 116, King County, Washington</t>
  </si>
  <si>
    <t>1400000US53033011700</t>
  </si>
  <si>
    <t>Census Tract 117, King County, Washington</t>
  </si>
  <si>
    <t>1400000US53033011800</t>
  </si>
  <si>
    <t>Census Tract 118, King County, Washington</t>
  </si>
  <si>
    <t>1400000US53033011900</t>
  </si>
  <si>
    <t>Census Tract 119, King County, Washington</t>
  </si>
  <si>
    <t>1400000US53033012000</t>
  </si>
  <si>
    <t>Census Tract 120, King County, Washington</t>
  </si>
  <si>
    <t>1400000US53033012100</t>
  </si>
  <si>
    <t>Census Tract 121, King County, Washington</t>
  </si>
  <si>
    <t>1400000US53033020100</t>
  </si>
  <si>
    <t>Census Tract 201, King County, Washington</t>
  </si>
  <si>
    <t>1400000US53033020200</t>
  </si>
  <si>
    <t>Census Tract 202, King County, Washington</t>
  </si>
  <si>
    <t>1400000US53033020300</t>
  </si>
  <si>
    <t>Census Tract 203, King County, Washington</t>
  </si>
  <si>
    <t>1400000US53033020401</t>
  </si>
  <si>
    <t>Census Tract 204.01, King County, Washington</t>
  </si>
  <si>
    <t>1400000US53033020402</t>
  </si>
  <si>
    <t>Census Tract 204.02, King County, Washington</t>
  </si>
  <si>
    <t>1400000US53033020500</t>
  </si>
  <si>
    <t>Census Tract 205, King County, Washington</t>
  </si>
  <si>
    <t>1400000US53033020600</t>
  </si>
  <si>
    <t>Census Tract 206, King County, Washington</t>
  </si>
  <si>
    <t>1400000US53033020700</t>
  </si>
  <si>
    <t>Census Tract 207, King County, Washington</t>
  </si>
  <si>
    <t>1400000US53033020800</t>
  </si>
  <si>
    <t>Census Tract 208, King County, Washington</t>
  </si>
  <si>
    <t>1400000US53033020900</t>
  </si>
  <si>
    <t>Census Tract 209, King County, Washington</t>
  </si>
  <si>
    <t>1400000US53033021000</t>
  </si>
  <si>
    <t>Census Tract 210, King County, Washington</t>
  </si>
  <si>
    <t>1400000US53033021100</t>
  </si>
  <si>
    <t>Census Tract 211, King County, Washington</t>
  </si>
  <si>
    <t>1400000US53033021300</t>
  </si>
  <si>
    <t>Census Tract 213, King County, Washington</t>
  </si>
  <si>
    <t>1400000US53033021400</t>
  </si>
  <si>
    <t>Census Tract 214, King County, Washington</t>
  </si>
  <si>
    <t>1400000US53033021500</t>
  </si>
  <si>
    <t>Census Tract 215, King County, Washington</t>
  </si>
  <si>
    <t>1400000US53033021600</t>
  </si>
  <si>
    <t>Census Tract 216, King County, Washington</t>
  </si>
  <si>
    <t>1400000US53033021700</t>
  </si>
  <si>
    <t>Census Tract 217, King County, Washington</t>
  </si>
  <si>
    <t>1400000US53033021802</t>
  </si>
  <si>
    <t>Census Tract 218.02, King County, Washington</t>
  </si>
  <si>
    <t>1400000US53033021803</t>
  </si>
  <si>
    <t>Census Tract 218.03, King County, Washington</t>
  </si>
  <si>
    <t>1400000US53033021804</t>
  </si>
  <si>
    <t>Census Tract 218.04, King County, Washington</t>
  </si>
  <si>
    <t>1400000US53033021903</t>
  </si>
  <si>
    <t>Census Tract 219.03, King County, Washington</t>
  </si>
  <si>
    <t>1400000US53033021904</t>
  </si>
  <si>
    <t>Census Tract 219.04, King County, Washington</t>
  </si>
  <si>
    <t>1400000US53033021905</t>
  </si>
  <si>
    <t>Census Tract 219.05, King County, Washington</t>
  </si>
  <si>
    <t>1400000US53033021906</t>
  </si>
  <si>
    <t>Census Tract 219.06, King County, Washington</t>
  </si>
  <si>
    <t>1400000US53033022001</t>
  </si>
  <si>
    <t>Census Tract 220.01, King County, Washington</t>
  </si>
  <si>
    <t>1400000US53033022003</t>
  </si>
  <si>
    <t>Census Tract 220.03, King County, Washington</t>
  </si>
  <si>
    <t>1400000US53033022005</t>
  </si>
  <si>
    <t>Census Tract 220.05, King County, Washington</t>
  </si>
  <si>
    <t>1400000US53033022006</t>
  </si>
  <si>
    <t>Census Tract 220.06, King County, Washington</t>
  </si>
  <si>
    <t>1400000US53033022101</t>
  </si>
  <si>
    <t>Census Tract 221.01, King County, Washington</t>
  </si>
  <si>
    <t>1400000US53033022102</t>
  </si>
  <si>
    <t>Census Tract 221.02, King County, Washington</t>
  </si>
  <si>
    <t>1400000US53033022201</t>
  </si>
  <si>
    <t>Census Tract 222.01, King County, Washington</t>
  </si>
  <si>
    <t>1400000US53033022202</t>
  </si>
  <si>
    <t>Census Tract 222.02, King County, Washington</t>
  </si>
  <si>
    <t>1400000US53033022203</t>
  </si>
  <si>
    <t>Census Tract 222.03, King County, Washington</t>
  </si>
  <si>
    <t>1400000US53033022300</t>
  </si>
  <si>
    <t>Census Tract 223, King County, Washington</t>
  </si>
  <si>
    <t>1400000US53033022400</t>
  </si>
  <si>
    <t>Census Tract 224, King County, Washington</t>
  </si>
  <si>
    <t>1400000US53033022500</t>
  </si>
  <si>
    <t>Census Tract 225, King County, Washington</t>
  </si>
  <si>
    <t>1400000US53033022603</t>
  </si>
  <si>
    <t>Census Tract 226.03, King County, Washington</t>
  </si>
  <si>
    <t>1400000US53033022604</t>
  </si>
  <si>
    <t>Census Tract 226.04, King County, Washington</t>
  </si>
  <si>
    <t>1400000US53033022605</t>
  </si>
  <si>
    <t>Census Tract 226.05, King County, Washington</t>
  </si>
  <si>
    <t>1400000US53033022606</t>
  </si>
  <si>
    <t>Census Tract 226.06, King County, Washington</t>
  </si>
  <si>
    <t>1400000US53033022701</t>
  </si>
  <si>
    <t>Census Tract 227.01, King County, Washington</t>
  </si>
  <si>
    <t>1400000US53033022702</t>
  </si>
  <si>
    <t>Census Tract 227.02, King County, Washington</t>
  </si>
  <si>
    <t>1400000US53033022703</t>
  </si>
  <si>
    <t>Census Tract 227.03, King County, Washington</t>
  </si>
  <si>
    <t>1400000US53033022801</t>
  </si>
  <si>
    <t>Census Tract 228.01, King County, Washington</t>
  </si>
  <si>
    <t>1400000US53033022802</t>
  </si>
  <si>
    <t>Census Tract 228.02, King County, Washington</t>
  </si>
  <si>
    <t>1400000US53033022803</t>
  </si>
  <si>
    <t>Census Tract 228.03, King County, Washington</t>
  </si>
  <si>
    <t>1400000US53033022901</t>
  </si>
  <si>
    <t>Census Tract 229.01, King County, Washington</t>
  </si>
  <si>
    <t>1400000US53033022902</t>
  </si>
  <si>
    <t>Census Tract 229.02, King County, Washington</t>
  </si>
  <si>
    <t>1400000US53033023000</t>
  </si>
  <si>
    <t>Census Tract 230, King County, Washington</t>
  </si>
  <si>
    <t>1400000US53033023100</t>
  </si>
  <si>
    <t>Census Tract 231, King County, Washington</t>
  </si>
  <si>
    <t>1400000US53033023201</t>
  </si>
  <si>
    <t>Census Tract 232.01, King County, Washington</t>
  </si>
  <si>
    <t>1400000US53033023202</t>
  </si>
  <si>
    <t>Census Tract 232.02, King County, Washington</t>
  </si>
  <si>
    <t>1400000US53033023300</t>
  </si>
  <si>
    <t>Census Tract 233, King County, Washington</t>
  </si>
  <si>
    <t>1400000US53033023401</t>
  </si>
  <si>
    <t>Census Tract 234.01, King County, Washington</t>
  </si>
  <si>
    <t>1400000US53033023402</t>
  </si>
  <si>
    <t>Census Tract 234.02, King County, Washington</t>
  </si>
  <si>
    <t>1400000US53033023500</t>
  </si>
  <si>
    <t>Census Tract 235, King County, Washington</t>
  </si>
  <si>
    <t>1400000US53033023601</t>
  </si>
  <si>
    <t>Census Tract 236.01, King County, Washington</t>
  </si>
  <si>
    <t>1400000US53033023603</t>
  </si>
  <si>
    <t>Census Tract 236.03, King County, Washington</t>
  </si>
  <si>
    <t>1400000US53033023604</t>
  </si>
  <si>
    <t>Census Tract 236.04, King County, Washington</t>
  </si>
  <si>
    <t>1400000US53033023700</t>
  </si>
  <si>
    <t>Census Tract 237, King County, Washington</t>
  </si>
  <si>
    <t>1400000US53033023801</t>
  </si>
  <si>
    <t>Census Tract 238.01, King County, Washington</t>
  </si>
  <si>
    <t>1400000US53033023802</t>
  </si>
  <si>
    <t>Census Tract 238.02, King County, Washington</t>
  </si>
  <si>
    <t>1400000US53033023900</t>
  </si>
  <si>
    <t>Census Tract 239, King County, Washington</t>
  </si>
  <si>
    <t>1400000US53033024000</t>
  </si>
  <si>
    <t>Census Tract 240, King County, Washington</t>
  </si>
  <si>
    <t>1400000US53033024100</t>
  </si>
  <si>
    <t>Census Tract 241, King County, Washington</t>
  </si>
  <si>
    <t>1400000US53033024200</t>
  </si>
  <si>
    <t>Census Tract 242, King County, Washington</t>
  </si>
  <si>
    <t>1400000US53033024300</t>
  </si>
  <si>
    <t>Census Tract 243, King County, Washington</t>
  </si>
  <si>
    <t>1400000US53033024400</t>
  </si>
  <si>
    <t>Census Tract 244, King County, Washington</t>
  </si>
  <si>
    <t>1400000US53033024500</t>
  </si>
  <si>
    <t>Census Tract 245, King County, Washington</t>
  </si>
  <si>
    <t>1400000US53033024601</t>
  </si>
  <si>
    <t>Census Tract 246.01, King County, Washington</t>
  </si>
  <si>
    <t>1400000US53033024602</t>
  </si>
  <si>
    <t>Census Tract 246.02, King County, Washington</t>
  </si>
  <si>
    <t>1400000US53033024701</t>
  </si>
  <si>
    <t>Census Tract 247.01, King County, Washington</t>
  </si>
  <si>
    <t>1400000US53033024702</t>
  </si>
  <si>
    <t>Census Tract 247.02, King County, Washington</t>
  </si>
  <si>
    <t>1400000US53033024800</t>
  </si>
  <si>
    <t>Census Tract 248, King County, Washington</t>
  </si>
  <si>
    <t>1400000US53033024901</t>
  </si>
  <si>
    <t>Census Tract 249.01, King County, Washington</t>
  </si>
  <si>
    <t>1400000US53033024902</t>
  </si>
  <si>
    <t>Census Tract 249.02, King County, Washington</t>
  </si>
  <si>
    <t>1400000US53033024903</t>
  </si>
  <si>
    <t>Census Tract 249.03, King County, Washington</t>
  </si>
  <si>
    <t>1400000US53033025001</t>
  </si>
  <si>
    <t>Census Tract 250.01, King County, Washington</t>
  </si>
  <si>
    <t>1400000US53033025003</t>
  </si>
  <si>
    <t>Census Tract 250.03, King County, Washington</t>
  </si>
  <si>
    <t>1400000US53033025004</t>
  </si>
  <si>
    <t>Census Tract 250.04, King County, Washington</t>
  </si>
  <si>
    <t>1400000US53033025101</t>
  </si>
  <si>
    <t>Census Tract 251.01, King County, Washington</t>
  </si>
  <si>
    <t>1400000US53033025102</t>
  </si>
  <si>
    <t>Census Tract 251.02, King County, Washington</t>
  </si>
  <si>
    <t>1400000US53033025200</t>
  </si>
  <si>
    <t>Census Tract 252, King County, Washington</t>
  </si>
  <si>
    <t>1400000US53033025300</t>
  </si>
  <si>
    <t>Census Tract 253, King County, Washington</t>
  </si>
  <si>
    <t>1400000US53033025400</t>
  </si>
  <si>
    <t>Census Tract 254, King County, Washington</t>
  </si>
  <si>
    <t>1400000US53033025500</t>
  </si>
  <si>
    <t>Census Tract 255, King County, Washington</t>
  </si>
  <si>
    <t>1400000US53033025600</t>
  </si>
  <si>
    <t>Census Tract 256, King County, Washington</t>
  </si>
  <si>
    <t>1400000US53033025701</t>
  </si>
  <si>
    <t>Census Tract 257.01, King County, Washington</t>
  </si>
  <si>
    <t>1400000US53033025702</t>
  </si>
  <si>
    <t>Census Tract 257.02, King County, Washington</t>
  </si>
  <si>
    <t>1400000US53033025801</t>
  </si>
  <si>
    <t>Census Tract 258.01, King County, Washington</t>
  </si>
  <si>
    <t>1400000US53033025803</t>
  </si>
  <si>
    <t>Census Tract 258.03, King County, Washington</t>
  </si>
  <si>
    <t>1400000US53033025804</t>
  </si>
  <si>
    <t>Census Tract 258.04, King County, Washington</t>
  </si>
  <si>
    <t>1400000US53033026001</t>
  </si>
  <si>
    <t>Census Tract 260.01, King County, Washington</t>
  </si>
  <si>
    <t>1400000US53033026002</t>
  </si>
  <si>
    <t>Census Tract 260.02, King County, Washington</t>
  </si>
  <si>
    <t>1400000US53033026100</t>
  </si>
  <si>
    <t>Census Tract 261, King County, Washington</t>
  </si>
  <si>
    <t>1400000US53033026200</t>
  </si>
  <si>
    <t>Census Tract 262, King County, Washington</t>
  </si>
  <si>
    <t>1400000US53033026300</t>
  </si>
  <si>
    <t>Census Tract 263, King County, Washington</t>
  </si>
  <si>
    <t>1400000US53033026400</t>
  </si>
  <si>
    <t>Census Tract 264, King County, Washington</t>
  </si>
  <si>
    <t>1400000US53033026500</t>
  </si>
  <si>
    <t>Census Tract 265, King County, Washington</t>
  </si>
  <si>
    <t>1400000US53033026600</t>
  </si>
  <si>
    <t>Census Tract 266, King County, Washington</t>
  </si>
  <si>
    <t>1400000US53033026700</t>
  </si>
  <si>
    <t>Census Tract 267, King County, Washington</t>
  </si>
  <si>
    <t>1400000US53033026801</t>
  </si>
  <si>
    <t>Census Tract 268.01, King County, Washington</t>
  </si>
  <si>
    <t>1400000US53033026802</t>
  </si>
  <si>
    <t>Census Tract 268.02, King County, Washington</t>
  </si>
  <si>
    <t>1400000US53033026900</t>
  </si>
  <si>
    <t>Census Tract 269, King County, Washington</t>
  </si>
  <si>
    <t>1400000US53033027000</t>
  </si>
  <si>
    <t>Census Tract 270, King County, Washington</t>
  </si>
  <si>
    <t>1400000US53033027100</t>
  </si>
  <si>
    <t>Census Tract 271, King County, Washington</t>
  </si>
  <si>
    <t>1400000US53033027200</t>
  </si>
  <si>
    <t>Census Tract 272, King County, Washington</t>
  </si>
  <si>
    <t>1400000US53033027300</t>
  </si>
  <si>
    <t>Census Tract 273, King County, Washington</t>
  </si>
  <si>
    <t>1400000US53033027400</t>
  </si>
  <si>
    <t>Census Tract 274, King County, Washington</t>
  </si>
  <si>
    <t>1400000US53033027500</t>
  </si>
  <si>
    <t>Census Tract 275, King County, Washington</t>
  </si>
  <si>
    <t>1400000US53033027600</t>
  </si>
  <si>
    <t>Census Tract 276, King County, Washington</t>
  </si>
  <si>
    <t>1400000US53033027701</t>
  </si>
  <si>
    <t>Census Tract 277.01, King County, Washington</t>
  </si>
  <si>
    <t>1400000US53033027702</t>
  </si>
  <si>
    <t>Census Tract 277.02, King County, Washington</t>
  </si>
  <si>
    <t>1400000US53033027800</t>
  </si>
  <si>
    <t>Census Tract 278, King County, Washington</t>
  </si>
  <si>
    <t>1400000US53033027900</t>
  </si>
  <si>
    <t>Census Tract 279, King County, Washington</t>
  </si>
  <si>
    <t>1400000US53033028000</t>
  </si>
  <si>
    <t>Census Tract 280, King County, Washington</t>
  </si>
  <si>
    <t>1400000US53033028100</t>
  </si>
  <si>
    <t>Census Tract 281, King County, Washington</t>
  </si>
  <si>
    <t>1400000US53033028200</t>
  </si>
  <si>
    <t>Census Tract 282, King County, Washington</t>
  </si>
  <si>
    <t>1400000US53033028300</t>
  </si>
  <si>
    <t>Census Tract 283, King County, Washington</t>
  </si>
  <si>
    <t>1400000US53033028402</t>
  </si>
  <si>
    <t>Census Tract 284.02, King County, Washington</t>
  </si>
  <si>
    <t>1400000US53033028403</t>
  </si>
  <si>
    <t>Census Tract 284.03, King County, Washington</t>
  </si>
  <si>
    <t>1400000US53033028500</t>
  </si>
  <si>
    <t>Census Tract 285, King County, Washington</t>
  </si>
  <si>
    <t>1400000US53033028600</t>
  </si>
  <si>
    <t>Census Tract 286, King County, Washington</t>
  </si>
  <si>
    <t>1400000US53033028700</t>
  </si>
  <si>
    <t>Census Tract 287, King County, Washington</t>
  </si>
  <si>
    <t>1400000US53033028801</t>
  </si>
  <si>
    <t>Census Tract 288.01, King County, Washington</t>
  </si>
  <si>
    <t>1400000US53033028802</t>
  </si>
  <si>
    <t>Census Tract 288.02, King County, Washington</t>
  </si>
  <si>
    <t>1400000US53033028901</t>
  </si>
  <si>
    <t>Census Tract 289.01, King County, Washington</t>
  </si>
  <si>
    <t>1400000US53033028902</t>
  </si>
  <si>
    <t>Census Tract 289.02, King County, Washington</t>
  </si>
  <si>
    <t>1400000US53033029001</t>
  </si>
  <si>
    <t>Census Tract 290.01, King County, Washington</t>
  </si>
  <si>
    <t>1400000US53033029003</t>
  </si>
  <si>
    <t>Census Tract 290.03, King County, Washington</t>
  </si>
  <si>
    <t>1400000US53033029004</t>
  </si>
  <si>
    <t>Census Tract 290.04, King County, Washington</t>
  </si>
  <si>
    <t>1400000US53033029100</t>
  </si>
  <si>
    <t>Census Tract 291, King County, Washington</t>
  </si>
  <si>
    <t>1400000US53033029201</t>
  </si>
  <si>
    <t>Census Tract 292.01, King County, Washington</t>
  </si>
  <si>
    <t>1400000US53033029203</t>
  </si>
  <si>
    <t>Census Tract 292.03, King County, Washington</t>
  </si>
  <si>
    <t>1400000US53033029204</t>
  </si>
  <si>
    <t>Census Tract 292.04, King County, Washington</t>
  </si>
  <si>
    <t>1400000US53033029303</t>
  </si>
  <si>
    <t>Census Tract 293.03, King County, Washington</t>
  </si>
  <si>
    <t>1400000US53033029304</t>
  </si>
  <si>
    <t>Census Tract 293.04, King County, Washington</t>
  </si>
  <si>
    <t>1400000US53033029305</t>
  </si>
  <si>
    <t>Census Tract 293.05, King County, Washington</t>
  </si>
  <si>
    <t>1400000US53033029306</t>
  </si>
  <si>
    <t>Census Tract 293.06, King County, Washington</t>
  </si>
  <si>
    <t>1400000US53033029307</t>
  </si>
  <si>
    <t>Census Tract 293.07, King County, Washington</t>
  </si>
  <si>
    <t>1400000US53033029403</t>
  </si>
  <si>
    <t>Census Tract 294.03, King County, Washington</t>
  </si>
  <si>
    <t>1400000US53033029405</t>
  </si>
  <si>
    <t>Census Tract 294.05, King County, Washington</t>
  </si>
  <si>
    <t>1400000US53033029406</t>
  </si>
  <si>
    <t>Census Tract 294.06, King County, Washington</t>
  </si>
  <si>
    <t>1400000US53033029407</t>
  </si>
  <si>
    <t>Census Tract 294.07, King County, Washington</t>
  </si>
  <si>
    <t>1400000US53033029408</t>
  </si>
  <si>
    <t>Census Tract 294.08, King County, Washington</t>
  </si>
  <si>
    <t>1400000US53033029502</t>
  </si>
  <si>
    <t>Census Tract 295.02, King County, Washington</t>
  </si>
  <si>
    <t>1400000US53033029503</t>
  </si>
  <si>
    <t>Census Tract 295.03, King County, Washington</t>
  </si>
  <si>
    <t>1400000US53033029504</t>
  </si>
  <si>
    <t>Census Tract 295.04, King County, Washington</t>
  </si>
  <si>
    <t>1400000US53033029601</t>
  </si>
  <si>
    <t>Census Tract 296.01, King County, Washington</t>
  </si>
  <si>
    <t>1400000US53033029602</t>
  </si>
  <si>
    <t>Census Tract 296.02, King County, Washington</t>
  </si>
  <si>
    <t>1400000US53033029700</t>
  </si>
  <si>
    <t>Census Tract 297, King County, Washington</t>
  </si>
  <si>
    <t>1400000US53033029801</t>
  </si>
  <si>
    <t>Census Tract 298.01, King County, Washington</t>
  </si>
  <si>
    <t>1400000US53033029802</t>
  </si>
  <si>
    <t>Census Tract 298.02, King County, Washington</t>
  </si>
  <si>
    <t>1400000US53033029901</t>
  </si>
  <si>
    <t>Census Tract 299.01, King County, Washington</t>
  </si>
  <si>
    <t>1400000US53033029902</t>
  </si>
  <si>
    <t>Census Tract 299.02, King County, Washington</t>
  </si>
  <si>
    <t>1400000US53033030002</t>
  </si>
  <si>
    <t>Census Tract 300.02, King County, Washington</t>
  </si>
  <si>
    <t>1400000US53033030003</t>
  </si>
  <si>
    <t>Census Tract 300.03, King County, Washington</t>
  </si>
  <si>
    <t>1400000US53033030004</t>
  </si>
  <si>
    <t>Census Tract 300.04, King County, Washington</t>
  </si>
  <si>
    <t>1400000US53033030100</t>
  </si>
  <si>
    <t>Census Tract 301, King County, Washington</t>
  </si>
  <si>
    <t>1400000US53033030201</t>
  </si>
  <si>
    <t>Census Tract 302.01, King County, Washington</t>
  </si>
  <si>
    <t>1400000US53033030202</t>
  </si>
  <si>
    <t>Census Tract 302.02, King County, Washington</t>
  </si>
  <si>
    <t>1400000US53033030303</t>
  </si>
  <si>
    <t>Census Tract 303.03, King County, Washington</t>
  </si>
  <si>
    <t>1400000US53033030304</t>
  </si>
  <si>
    <t>Census Tract 303.04, King County, Washington</t>
  </si>
  <si>
    <t>1400000US53033030305</t>
  </si>
  <si>
    <t>Census Tract 303.05, King County, Washington</t>
  </si>
  <si>
    <t>1400000US53033030306</t>
  </si>
  <si>
    <t>Census Tract 303.06, King County, Washington</t>
  </si>
  <si>
    <t>1400000US53033030308</t>
  </si>
  <si>
    <t>Census Tract 303.08, King County, Washington</t>
  </si>
  <si>
    <t>1400000US53033030309</t>
  </si>
  <si>
    <t>Census Tract 303.09, King County, Washington</t>
  </si>
  <si>
    <t>1400000US53033030310</t>
  </si>
  <si>
    <t>Census Tract 303.10, King County, Washington</t>
  </si>
  <si>
    <t>1400000US53033030311</t>
  </si>
  <si>
    <t>Census Tract 303.11, King County, Washington</t>
  </si>
  <si>
    <t>1400000US53033030312</t>
  </si>
  <si>
    <t>Census Tract 303.12, King County, Washington</t>
  </si>
  <si>
    <t>1400000US53033030401</t>
  </si>
  <si>
    <t>Census Tract 304.01, King County, Washington</t>
  </si>
  <si>
    <t>1400000US53033030403</t>
  </si>
  <si>
    <t>Census Tract 304.03, King County, Washington</t>
  </si>
  <si>
    <t>1400000US53033030404</t>
  </si>
  <si>
    <t>Census Tract 304.04, King County, Washington</t>
  </si>
  <si>
    <t>1400000US53033030501</t>
  </si>
  <si>
    <t>Census Tract 305.01, King County, Washington</t>
  </si>
  <si>
    <t>1400000US53033030503</t>
  </si>
  <si>
    <t>Census Tract 305.03, King County, Washington</t>
  </si>
  <si>
    <t>1400000US53033030504</t>
  </si>
  <si>
    <t>Census Tract 305.04, King County, Washington</t>
  </si>
  <si>
    <t>1400000US53033030600</t>
  </si>
  <si>
    <t>Census Tract 306, King County, Washington</t>
  </si>
  <si>
    <t>1400000US53033030700</t>
  </si>
  <si>
    <t>Census Tract 307, King County, Washington</t>
  </si>
  <si>
    <t>1400000US53033030801</t>
  </si>
  <si>
    <t>Census Tract 308.01, King County, Washington</t>
  </si>
  <si>
    <t>1400000US53033030802</t>
  </si>
  <si>
    <t>Census Tract 308.02, King County, Washington</t>
  </si>
  <si>
    <t>1400000US53033030901</t>
  </si>
  <si>
    <t>Census Tract 309.01, King County, Washington</t>
  </si>
  <si>
    <t>1400000US53033030902</t>
  </si>
  <si>
    <t>Census Tract 309.02, King County, Washington</t>
  </si>
  <si>
    <t>1400000US53033031000</t>
  </si>
  <si>
    <t>Census Tract 310, King County, Washington</t>
  </si>
  <si>
    <t>1400000US53033031100</t>
  </si>
  <si>
    <t>Census Tract 311, King County, Washington</t>
  </si>
  <si>
    <t>1400000US53033031202</t>
  </si>
  <si>
    <t>Census Tract 312.02, King County, Washington</t>
  </si>
  <si>
    <t>1400000US53033031204</t>
  </si>
  <si>
    <t>Census Tract 312.04, King County, Washington</t>
  </si>
  <si>
    <t>1400000US53033031205</t>
  </si>
  <si>
    <t>Census Tract 312.05, King County, Washington</t>
  </si>
  <si>
    <t>1400000US53033031206</t>
  </si>
  <si>
    <t>Census Tract 312.06, King County, Washington</t>
  </si>
  <si>
    <t>1400000US53033031301</t>
  </si>
  <si>
    <t>Census Tract 313.01, King County, Washington</t>
  </si>
  <si>
    <t>1400000US53033031302</t>
  </si>
  <si>
    <t>Census Tract 313.02, King County, Washington</t>
  </si>
  <si>
    <t>1400000US53033031400</t>
  </si>
  <si>
    <t>Census Tract 314, King County, Washington</t>
  </si>
  <si>
    <t>1400000US53033031501</t>
  </si>
  <si>
    <t>Census Tract 315.01, King County, Washington</t>
  </si>
  <si>
    <t>1400000US53033031502</t>
  </si>
  <si>
    <t>Census Tract 315.02, King County, Washington</t>
  </si>
  <si>
    <t>1400000US53033031601</t>
  </si>
  <si>
    <t>Census Tract 316.01, King County, Washington</t>
  </si>
  <si>
    <t>1400000US53033031602</t>
  </si>
  <si>
    <t>Census Tract 316.02, King County, Washington</t>
  </si>
  <si>
    <t>1400000US53033031603</t>
  </si>
  <si>
    <t>Census Tract 316.03, King County, Washington</t>
  </si>
  <si>
    <t>1400000US53033031702</t>
  </si>
  <si>
    <t>Census Tract 317.02, King County, Washington</t>
  </si>
  <si>
    <t>1400000US53033031703</t>
  </si>
  <si>
    <t>Census Tract 317.03, King County, Washington</t>
  </si>
  <si>
    <t>1400000US53033031704</t>
  </si>
  <si>
    <t>Census Tract 317.04, King County, Washington</t>
  </si>
  <si>
    <t>1400000US53033031800</t>
  </si>
  <si>
    <t>Census Tract 318, King County, Washington</t>
  </si>
  <si>
    <t>1400000US53033031903</t>
  </si>
  <si>
    <t>Census Tract 319.03, King County, Washington</t>
  </si>
  <si>
    <t>1400000US53033031904</t>
  </si>
  <si>
    <t>Census Tract 319.04, King County, Washington</t>
  </si>
  <si>
    <t>1400000US53033031906</t>
  </si>
  <si>
    <t>Census Tract 319.06, King County, Washington</t>
  </si>
  <si>
    <t>1400000US53033031907</t>
  </si>
  <si>
    <t>Census Tract 319.07, King County, Washington</t>
  </si>
  <si>
    <t>1400000US53033031908</t>
  </si>
  <si>
    <t>Census Tract 319.08, King County, Washington</t>
  </si>
  <si>
    <t>1400000US53033031909</t>
  </si>
  <si>
    <t>Census Tract 319.09, King County, Washington</t>
  </si>
  <si>
    <t>1400000US53033032002</t>
  </si>
  <si>
    <t>Census Tract 320.02, King County, Washington</t>
  </si>
  <si>
    <t>1400000US53033032003</t>
  </si>
  <si>
    <t>Census Tract 320.03, King County, Washington</t>
  </si>
  <si>
    <t>1400000US53033032005</t>
  </si>
  <si>
    <t>Census Tract 320.05, King County, Washington</t>
  </si>
  <si>
    <t>1400000US53033032006</t>
  </si>
  <si>
    <t>Census Tract 320.06, King County, Washington</t>
  </si>
  <si>
    <t>1400000US53033032007</t>
  </si>
  <si>
    <t>Census Tract 320.07, King County, Washington</t>
  </si>
  <si>
    <t>1400000US53033032008</t>
  </si>
  <si>
    <t>Census Tract 320.08, King County, Washington</t>
  </si>
  <si>
    <t>1400000US53033032009</t>
  </si>
  <si>
    <t>Census Tract 320.09, King County, Washington</t>
  </si>
  <si>
    <t>1400000US53033032102</t>
  </si>
  <si>
    <t>Census Tract 321.02, King County, Washington</t>
  </si>
  <si>
    <t>1400000US53033032103</t>
  </si>
  <si>
    <t>Census Tract 321.03, King County, Washington</t>
  </si>
  <si>
    <t>1400000US53033032104</t>
  </si>
  <si>
    <t>Census Tract 321.04, King County, Washington</t>
  </si>
  <si>
    <t>1400000US53033032203</t>
  </si>
  <si>
    <t>Census Tract 322.03, King County, Washington</t>
  </si>
  <si>
    <t>1400000US53033032207</t>
  </si>
  <si>
    <t>Census Tract 322.07, King County, Washington</t>
  </si>
  <si>
    <t>1400000US53033032208</t>
  </si>
  <si>
    <t>Census Tract 322.08, King County, Washington</t>
  </si>
  <si>
    <t>1400000US53033032209</t>
  </si>
  <si>
    <t>Census Tract 322.09, King County, Washington</t>
  </si>
  <si>
    <t>1400000US53033032210</t>
  </si>
  <si>
    <t>Census Tract 322.10, King County, Washington</t>
  </si>
  <si>
    <t>1400000US53033032211</t>
  </si>
  <si>
    <t>Census Tract 322.11, King County, Washington</t>
  </si>
  <si>
    <t>1400000US53033032212</t>
  </si>
  <si>
    <t>Census Tract 322.12, King County, Washington</t>
  </si>
  <si>
    <t>1400000US53033032307</t>
  </si>
  <si>
    <t>Census Tract 323.07, King County, Washington</t>
  </si>
  <si>
    <t>1400000US53033032309</t>
  </si>
  <si>
    <t>Census Tract 323.09, King County, Washington</t>
  </si>
  <si>
    <t>1400000US53033032311</t>
  </si>
  <si>
    <t>Census Tract 323.11, King County, Washington</t>
  </si>
  <si>
    <t>1400000US53033032312</t>
  </si>
  <si>
    <t>Census Tract 323.12, King County, Washington</t>
  </si>
  <si>
    <t>1400000US53033032313</t>
  </si>
  <si>
    <t>Census Tract 323.13, King County, Washington</t>
  </si>
  <si>
    <t>1400000US53033032314</t>
  </si>
  <si>
    <t>Census Tract 323.14, King County, Washington</t>
  </si>
  <si>
    <t>1400000US53033032315</t>
  </si>
  <si>
    <t>Census Tract 323.15, King County, Washington</t>
  </si>
  <si>
    <t>1400000US53033032316</t>
  </si>
  <si>
    <t>Census Tract 323.16, King County, Washington</t>
  </si>
  <si>
    <t>1400000US53033032317</t>
  </si>
  <si>
    <t>Census Tract 323.17, King County, Washington</t>
  </si>
  <si>
    <t>1400000US53033032318</t>
  </si>
  <si>
    <t>Census Tract 323.18, King County, Washington</t>
  </si>
  <si>
    <t>1400000US53033032319</t>
  </si>
  <si>
    <t>Census Tract 323.19, King County, Washington</t>
  </si>
  <si>
    <t>1400000US53033032320</t>
  </si>
  <si>
    <t>Census Tract 323.20, King County, Washington</t>
  </si>
  <si>
    <t>1400000US53033032321</t>
  </si>
  <si>
    <t>Census Tract 323.21, King County, Washington</t>
  </si>
  <si>
    <t>1400000US53033032322</t>
  </si>
  <si>
    <t>Census Tract 323.22, King County, Washington</t>
  </si>
  <si>
    <t>1400000US53033032323</t>
  </si>
  <si>
    <t>Census Tract 323.23, King County, Washington</t>
  </si>
  <si>
    <t>1400000US53033032324</t>
  </si>
  <si>
    <t>Census Tract 323.24, King County, Washington</t>
  </si>
  <si>
    <t>1400000US53033032325</t>
  </si>
  <si>
    <t>Census Tract 323.25, King County, Washington</t>
  </si>
  <si>
    <t>1400000US53033032401</t>
  </si>
  <si>
    <t>Census Tract 324.01, King County, Washington</t>
  </si>
  <si>
    <t>1400000US53033032402</t>
  </si>
  <si>
    <t>Census Tract 324.02, King County, Washington</t>
  </si>
  <si>
    <t>1400000US53033032500</t>
  </si>
  <si>
    <t>Census Tract 325, King County, Washington</t>
  </si>
  <si>
    <t>1400000US53033032601</t>
  </si>
  <si>
    <t>Census Tract 326.01, King County, Washington</t>
  </si>
  <si>
    <t>1400000US53033032602</t>
  </si>
  <si>
    <t>Census Tract 326.02, King County, Washington</t>
  </si>
  <si>
    <t>1400000US53033032702</t>
  </si>
  <si>
    <t>Census Tract 327.02, King County, Washington</t>
  </si>
  <si>
    <t>1400000US53033032703</t>
  </si>
  <si>
    <t>Census Tract 327.03, King County, Washington</t>
  </si>
  <si>
    <t>1400000US53033032704</t>
  </si>
  <si>
    <t>Census Tract 327.04, King County, Washington</t>
  </si>
  <si>
    <t>1400000US53033032800</t>
  </si>
  <si>
    <t>Census Tract 328, King County, Washington</t>
  </si>
  <si>
    <t>1400000US53033001701</t>
  </si>
  <si>
    <t>Census Tract 17.01, King County, Washington</t>
  </si>
  <si>
    <t>1400000US53033001702</t>
  </si>
  <si>
    <t>Census Tract 17.02, King County, Washington</t>
  </si>
  <si>
    <t>1400000US53033004301</t>
  </si>
  <si>
    <t>Census Tract 43.01, King County, Washington</t>
  </si>
  <si>
    <t>1400000US53033004302</t>
  </si>
  <si>
    <t>Census Tract 43.02, King County, Washington</t>
  </si>
  <si>
    <t>1400000US53033007401</t>
  </si>
  <si>
    <t>Census Tract 74.01, King County, Washington</t>
  </si>
  <si>
    <t>1400000US53033007402</t>
  </si>
  <si>
    <t>Census Tract 74.02, King County, Washington</t>
  </si>
  <si>
    <t>1400000US53033010001</t>
  </si>
  <si>
    <t>Census Tract 100.01, King County, Washington</t>
  </si>
  <si>
    <t>1400000US53033010002</t>
  </si>
  <si>
    <t>Census Tract 100.02, King County, Washington</t>
  </si>
  <si>
    <t>1400000US53033010401</t>
  </si>
  <si>
    <t>Census Tract 104.01, King County, Washington</t>
  </si>
  <si>
    <t>1400000US53033010402</t>
  </si>
  <si>
    <t>Census Tract 104.02, King County, Washington</t>
  </si>
  <si>
    <t>1400000US53033010701</t>
  </si>
  <si>
    <t>Census Tract 107.01, King County, Washington</t>
  </si>
  <si>
    <t>1400000US53033010702</t>
  </si>
  <si>
    <t>Census Tract 107.02, King County, Washington</t>
  </si>
  <si>
    <t>1400000US53033011001</t>
  </si>
  <si>
    <t>Census Tract 110.01, King County, Washington</t>
  </si>
  <si>
    <t>1400000US53033011002</t>
  </si>
  <si>
    <t>Census Tract 110.02, King County, Washington</t>
  </si>
  <si>
    <t>1400000US53033011401</t>
  </si>
  <si>
    <t>Census Tract 114.01, King County, Washington</t>
  </si>
  <si>
    <t>1400000US53033011402</t>
  </si>
  <si>
    <t>Census Tract 114.02, King County, Washington</t>
  </si>
  <si>
    <t>1400000US53033023403</t>
  </si>
  <si>
    <t>Census Tract 234.03, King County, Washington</t>
  </si>
  <si>
    <t>1400000US53033023404</t>
  </si>
  <si>
    <t>Census Tract 234.04, King County, Washington</t>
  </si>
  <si>
    <t>1400000US53033023803</t>
  </si>
  <si>
    <t>Census Tract 238.03, King County, Washington</t>
  </si>
  <si>
    <t>1400000US53033023804</t>
  </si>
  <si>
    <t>Census Tract 238.04, King County, Washington</t>
  </si>
  <si>
    <t>1400000US53033025005</t>
  </si>
  <si>
    <t>Census Tract 250.05, King County, Washington</t>
  </si>
  <si>
    <t>1400000US53033025006</t>
  </si>
  <si>
    <t>Census Tract 250.06, King County, Washington</t>
  </si>
  <si>
    <t>1400000US53033025301</t>
  </si>
  <si>
    <t>Census Tract 253.01, King County, Washington</t>
  </si>
  <si>
    <t>1400000US53033025302</t>
  </si>
  <si>
    <t>Census Tract 253.02, King County, Washington</t>
  </si>
  <si>
    <t>1400000US53033025601</t>
  </si>
  <si>
    <t>Census Tract 256.01, King County, Washington</t>
  </si>
  <si>
    <t>1400000US53033025602</t>
  </si>
  <si>
    <t>Census Tract 256.02, King County, Washington</t>
  </si>
  <si>
    <t>1400000US53033025805</t>
  </si>
  <si>
    <t>Census Tract 258.05, King County, Washington</t>
  </si>
  <si>
    <t>1400000US53033025806</t>
  </si>
  <si>
    <t>Census Tract 258.06, King County, Washington</t>
  </si>
  <si>
    <t>1400000US53033029101</t>
  </si>
  <si>
    <t>Census Tract 291.01, King County, Washington</t>
  </si>
  <si>
    <t>1400000US53033029102</t>
  </si>
  <si>
    <t>Census Tract 291.02, King County, Washington</t>
  </si>
  <si>
    <t>1400000US53033029205</t>
  </si>
  <si>
    <t>Census Tract 292.05, King County, Washington</t>
  </si>
  <si>
    <t>1400000US53033029206</t>
  </si>
  <si>
    <t>Census Tract 292.06, King County, Washington</t>
  </si>
  <si>
    <t>1400000US53033030005</t>
  </si>
  <si>
    <t>Census Tract 300.05, King County, Washington</t>
  </si>
  <si>
    <t>1400000US53033030006</t>
  </si>
  <si>
    <t>Census Tract 300.06, King County, Washington</t>
  </si>
  <si>
    <t>1400000US53033030313</t>
  </si>
  <si>
    <t>Census Tract 303.13, King County, Washington</t>
  </si>
  <si>
    <t>1400000US53033030314</t>
  </si>
  <si>
    <t>Census Tract 303.14, King County, Washington</t>
  </si>
  <si>
    <t>1400000US53033031604</t>
  </si>
  <si>
    <t>Census Tract 316.04, King County, Washington</t>
  </si>
  <si>
    <t>1400000US53033031605</t>
  </si>
  <si>
    <t>Census Tract 316.05, King County, Washington</t>
  </si>
  <si>
    <t>1400000US53033031705</t>
  </si>
  <si>
    <t>Census Tract 317.05, King County, Washington</t>
  </si>
  <si>
    <t>1400000US53033031706</t>
  </si>
  <si>
    <t>Census Tract 317.06, King County, Washington</t>
  </si>
  <si>
    <t>1400000US53033032010</t>
  </si>
  <si>
    <t>Census Tract 320.10, King County, Washington</t>
  </si>
  <si>
    <t>1400000US53033032011</t>
  </si>
  <si>
    <t>Census Tract 320.11, King County, Washington</t>
  </si>
  <si>
    <t>1400000US53033032213</t>
  </si>
  <si>
    <t>Census Tract 322.13, King County, Washington</t>
  </si>
  <si>
    <t>1400000US53033032214</t>
  </si>
  <si>
    <t>Census Tract 322.14, King County, Washington</t>
  </si>
  <si>
    <t>1400000US53033032215</t>
  </si>
  <si>
    <t>Census Tract 322.15, King County, Washington</t>
  </si>
  <si>
    <t>1400000US53033032326</t>
  </si>
  <si>
    <t>Census Tract 323.26, King County, Washington</t>
  </si>
  <si>
    <t>1400000US53033032327</t>
  </si>
  <si>
    <t>Census Tract 323.27, King County, Washington</t>
  </si>
  <si>
    <t>1400000US53033032328</t>
  </si>
  <si>
    <t>Census Tract 323.28, King County, Washington</t>
  </si>
  <si>
    <t>1400000US53033032329</t>
  </si>
  <si>
    <t>Census Tract 323.29, King County, Washington</t>
  </si>
  <si>
    <t>1400000US53033990100</t>
  </si>
  <si>
    <t>Census Tract 9901, King County, Washington</t>
  </si>
  <si>
    <t>2000 AllTotal</t>
  </si>
  <si>
    <t>2000 N-T</t>
  </si>
  <si>
    <t>2000 F-T</t>
  </si>
  <si>
    <t>2000 N-WN</t>
  </si>
  <si>
    <t>2000 F-WN</t>
  </si>
  <si>
    <t>2000 N-WH</t>
  </si>
  <si>
    <t>2000 F-WH</t>
  </si>
  <si>
    <t>2000 N-AA</t>
  </si>
  <si>
    <t>2000 F-AA</t>
  </si>
  <si>
    <t>2000 N-AI</t>
  </si>
  <si>
    <t>2000 F-AI</t>
  </si>
  <si>
    <t>2000 N-AS</t>
  </si>
  <si>
    <t>2000 F-AS</t>
  </si>
  <si>
    <t>2000 N-PI</t>
  </si>
  <si>
    <t>2000 F-PI</t>
  </si>
  <si>
    <t>2000 N-OT</t>
  </si>
  <si>
    <t>2000 F-OT</t>
  </si>
  <si>
    <t>2000 N-2R</t>
  </si>
  <si>
    <t>2000 F-2R</t>
  </si>
  <si>
    <t>2017 AllTotal</t>
  </si>
  <si>
    <t>2017 N-T</t>
  </si>
  <si>
    <t>2017 F-T</t>
  </si>
  <si>
    <t>2017 N-WN</t>
  </si>
  <si>
    <t>2017 F-WN</t>
  </si>
  <si>
    <t>2017 N-WH</t>
  </si>
  <si>
    <t>2017 F-WH</t>
  </si>
  <si>
    <t>2017 N-AA</t>
  </si>
  <si>
    <t>2017 F-AA</t>
  </si>
  <si>
    <t>2017 N-AI</t>
  </si>
  <si>
    <t>2017 F-AI</t>
  </si>
  <si>
    <t>2017 N-AS</t>
  </si>
  <si>
    <t>2017 F-AS</t>
  </si>
  <si>
    <t>2017 N-PI</t>
  </si>
  <si>
    <t>2017 F-PI</t>
  </si>
  <si>
    <t>2017 N-OT</t>
  </si>
  <si>
    <t>2017 F-OT</t>
  </si>
  <si>
    <t>2017 N-2R</t>
  </si>
  <si>
    <t>2017 F-2R</t>
  </si>
  <si>
    <t>NAME3</t>
  </si>
  <si>
    <t>Seattle, Washington</t>
  </si>
  <si>
    <t>NAMELSAD</t>
  </si>
  <si>
    <t>53033009900</t>
  </si>
  <si>
    <t>99</t>
  </si>
  <si>
    <t>Census Tract 99</t>
  </si>
  <si>
    <t>53033009800</t>
  </si>
  <si>
    <t>98</t>
  </si>
  <si>
    <t>Census Tract 98</t>
  </si>
  <si>
    <t>53033009702</t>
  </si>
  <si>
    <t>97.02</t>
  </si>
  <si>
    <t>Census Tract 97.02</t>
  </si>
  <si>
    <t>53033009701</t>
  </si>
  <si>
    <t>97.01</t>
  </si>
  <si>
    <t>Census Tract 97.01</t>
  </si>
  <si>
    <t>53033009600</t>
  </si>
  <si>
    <t>96</t>
  </si>
  <si>
    <t>Census Tract 96</t>
  </si>
  <si>
    <t>53033009500</t>
  </si>
  <si>
    <t>95</t>
  </si>
  <si>
    <t>Census Tract 95</t>
  </si>
  <si>
    <t>53033009400</t>
  </si>
  <si>
    <t>94</t>
  </si>
  <si>
    <t>Census Tract 94</t>
  </si>
  <si>
    <t>53033009300</t>
  </si>
  <si>
    <t>93</t>
  </si>
  <si>
    <t>Census Tract 93</t>
  </si>
  <si>
    <t>53033009200</t>
  </si>
  <si>
    <t>92</t>
  </si>
  <si>
    <t>Census Tract 92</t>
  </si>
  <si>
    <t>53033009100</t>
  </si>
  <si>
    <t>91</t>
  </si>
  <si>
    <t>Census Tract 91</t>
  </si>
  <si>
    <t>53033009000</t>
  </si>
  <si>
    <t>90</t>
  </si>
  <si>
    <t>Census Tract 90</t>
  </si>
  <si>
    <t>53033000900</t>
  </si>
  <si>
    <t>9</t>
  </si>
  <si>
    <t>Census Tract 9</t>
  </si>
  <si>
    <t>53033008900</t>
  </si>
  <si>
    <t>89</t>
  </si>
  <si>
    <t>Census Tract 89</t>
  </si>
  <si>
    <t>53033008800</t>
  </si>
  <si>
    <t>88</t>
  </si>
  <si>
    <t>Census Tract 88</t>
  </si>
  <si>
    <t>53033008700</t>
  </si>
  <si>
    <t>87</t>
  </si>
  <si>
    <t>Census Tract 87</t>
  </si>
  <si>
    <t>53033008600</t>
  </si>
  <si>
    <t>86</t>
  </si>
  <si>
    <t>Census Tract 86</t>
  </si>
  <si>
    <t>53033008500</t>
  </si>
  <si>
    <t>85</t>
  </si>
  <si>
    <t>Census Tract 85</t>
  </si>
  <si>
    <t>53033008400</t>
  </si>
  <si>
    <t>84</t>
  </si>
  <si>
    <t>Census Tract 84</t>
  </si>
  <si>
    <t>53033008300</t>
  </si>
  <si>
    <t>83</t>
  </si>
  <si>
    <t>Census Tract 83</t>
  </si>
  <si>
    <t>53033008200</t>
  </si>
  <si>
    <t>82</t>
  </si>
  <si>
    <t>Census Tract 82</t>
  </si>
  <si>
    <t>53033008100</t>
  </si>
  <si>
    <t>81</t>
  </si>
  <si>
    <t>Census Tract 81</t>
  </si>
  <si>
    <t>53033008002</t>
  </si>
  <si>
    <t>80.02</t>
  </si>
  <si>
    <t>Census Tract 80.02</t>
  </si>
  <si>
    <t>53033008001</t>
  </si>
  <si>
    <t>80.01</t>
  </si>
  <si>
    <t>Census Tract 80.01</t>
  </si>
  <si>
    <t>53033000800</t>
  </si>
  <si>
    <t>8</t>
  </si>
  <si>
    <t>Census Tract 8</t>
  </si>
  <si>
    <t>53033007900</t>
  </si>
  <si>
    <t>79</t>
  </si>
  <si>
    <t>Census Tract 79</t>
  </si>
  <si>
    <t>53033007800</t>
  </si>
  <si>
    <t>78</t>
  </si>
  <si>
    <t>Census Tract 78</t>
  </si>
  <si>
    <t>53033007700</t>
  </si>
  <si>
    <t>77</t>
  </si>
  <si>
    <t>Census Tract 77</t>
  </si>
  <si>
    <t>53033007600</t>
  </si>
  <si>
    <t>76</t>
  </si>
  <si>
    <t>Census Tract 76</t>
  </si>
  <si>
    <t>53033007500</t>
  </si>
  <si>
    <t>75</t>
  </si>
  <si>
    <t>Census Tract 75</t>
  </si>
  <si>
    <t>53033007402</t>
  </si>
  <si>
    <t>74.02</t>
  </si>
  <si>
    <t>Census Tract 74.02</t>
  </si>
  <si>
    <t>53033007401</t>
  </si>
  <si>
    <t>74.01</t>
  </si>
  <si>
    <t>Census Tract 74.01</t>
  </si>
  <si>
    <t>53033007300</t>
  </si>
  <si>
    <t>73</t>
  </si>
  <si>
    <t>Census Tract 73</t>
  </si>
  <si>
    <t>53033007200</t>
  </si>
  <si>
    <t>72</t>
  </si>
  <si>
    <t>Census Tract 72</t>
  </si>
  <si>
    <t>53033007100</t>
  </si>
  <si>
    <t>71</t>
  </si>
  <si>
    <t>Census Tract 71</t>
  </si>
  <si>
    <t>53033007000</t>
  </si>
  <si>
    <t>70</t>
  </si>
  <si>
    <t>Census Tract 70</t>
  </si>
  <si>
    <t>53033000700</t>
  </si>
  <si>
    <t>7</t>
  </si>
  <si>
    <t>Census Tract 7</t>
  </si>
  <si>
    <t>53033006900</t>
  </si>
  <si>
    <t>69</t>
  </si>
  <si>
    <t>Census Tract 69</t>
  </si>
  <si>
    <t>53033006800</t>
  </si>
  <si>
    <t>68</t>
  </si>
  <si>
    <t>Census Tract 68</t>
  </si>
  <si>
    <t>53033006700</t>
  </si>
  <si>
    <t>67</t>
  </si>
  <si>
    <t>Census Tract 67</t>
  </si>
  <si>
    <t>53033006600</t>
  </si>
  <si>
    <t>66</t>
  </si>
  <si>
    <t>Census Tract 66</t>
  </si>
  <si>
    <t>53033006500</t>
  </si>
  <si>
    <t>65</t>
  </si>
  <si>
    <t>Census Tract 65</t>
  </si>
  <si>
    <t>53033006400</t>
  </si>
  <si>
    <t>64</t>
  </si>
  <si>
    <t>Census Tract 64</t>
  </si>
  <si>
    <t>53033006300</t>
  </si>
  <si>
    <t>63</t>
  </si>
  <si>
    <t>Census Tract 63</t>
  </si>
  <si>
    <t>53033006200</t>
  </si>
  <si>
    <t>62</t>
  </si>
  <si>
    <t>Census Tract 62</t>
  </si>
  <si>
    <t>53033006100</t>
  </si>
  <si>
    <t>61</t>
  </si>
  <si>
    <t>Census Tract 61</t>
  </si>
  <si>
    <t>53033006000</t>
  </si>
  <si>
    <t>60</t>
  </si>
  <si>
    <t>Census Tract 60</t>
  </si>
  <si>
    <t>53033000600</t>
  </si>
  <si>
    <t>6</t>
  </si>
  <si>
    <t>Census Tract 6</t>
  </si>
  <si>
    <t>53033005900</t>
  </si>
  <si>
    <t>59</t>
  </si>
  <si>
    <t>Census Tract 59</t>
  </si>
  <si>
    <t>53033005802</t>
  </si>
  <si>
    <t>58.02</t>
  </si>
  <si>
    <t>Census Tract 58.02</t>
  </si>
  <si>
    <t>53033005801</t>
  </si>
  <si>
    <t>58.01</t>
  </si>
  <si>
    <t>Census Tract 58.01</t>
  </si>
  <si>
    <t>53033005700</t>
  </si>
  <si>
    <t>57</t>
  </si>
  <si>
    <t>Census Tract 57</t>
  </si>
  <si>
    <t>53033005600</t>
  </si>
  <si>
    <t>56</t>
  </si>
  <si>
    <t>Census Tract 56</t>
  </si>
  <si>
    <t>53033005400</t>
  </si>
  <si>
    <t>54</t>
  </si>
  <si>
    <t>Census Tract 54</t>
  </si>
  <si>
    <t>53033005302</t>
  </si>
  <si>
    <t>53.02</t>
  </si>
  <si>
    <t>Census Tract 53.02</t>
  </si>
  <si>
    <t>53033005301</t>
  </si>
  <si>
    <t>53.01</t>
  </si>
  <si>
    <t>Census Tract 53.01</t>
  </si>
  <si>
    <t>53033005200</t>
  </si>
  <si>
    <t>52</t>
  </si>
  <si>
    <t>Census Tract 52</t>
  </si>
  <si>
    <t>53033005100</t>
  </si>
  <si>
    <t>51</t>
  </si>
  <si>
    <t>Census Tract 51</t>
  </si>
  <si>
    <t>53033005000</t>
  </si>
  <si>
    <t>50</t>
  </si>
  <si>
    <t>Census Tract 50</t>
  </si>
  <si>
    <t>53033000500</t>
  </si>
  <si>
    <t>5</t>
  </si>
  <si>
    <t>Census Tract 5</t>
  </si>
  <si>
    <t>53033004900</t>
  </si>
  <si>
    <t>49</t>
  </si>
  <si>
    <t>Census Tract 49</t>
  </si>
  <si>
    <t>53033004800</t>
  </si>
  <si>
    <t>48</t>
  </si>
  <si>
    <t>Census Tract 48</t>
  </si>
  <si>
    <t>53033004700</t>
  </si>
  <si>
    <t>47</t>
  </si>
  <si>
    <t>Census Tract 47</t>
  </si>
  <si>
    <t>53033004600</t>
  </si>
  <si>
    <t>46</t>
  </si>
  <si>
    <t>Census Tract 46</t>
  </si>
  <si>
    <t>53033004500</t>
  </si>
  <si>
    <t>45</t>
  </si>
  <si>
    <t>Census Tract 45</t>
  </si>
  <si>
    <t>53033004400</t>
  </si>
  <si>
    <t>44</t>
  </si>
  <si>
    <t>Census Tract 44</t>
  </si>
  <si>
    <t>53033004302</t>
  </si>
  <si>
    <t>43.02</t>
  </si>
  <si>
    <t>Census Tract 43.02</t>
  </si>
  <si>
    <t>53033004301</t>
  </si>
  <si>
    <t>43.01</t>
  </si>
  <si>
    <t>Census Tract 43.01</t>
  </si>
  <si>
    <t>53033004200</t>
  </si>
  <si>
    <t>42</t>
  </si>
  <si>
    <t>Census Tract 42</t>
  </si>
  <si>
    <t>53033004100</t>
  </si>
  <si>
    <t>41</t>
  </si>
  <si>
    <t>Census Tract 41</t>
  </si>
  <si>
    <t>53033004000</t>
  </si>
  <si>
    <t>40</t>
  </si>
  <si>
    <t>Census Tract 40</t>
  </si>
  <si>
    <t>53033000402</t>
  </si>
  <si>
    <t>4.02</t>
  </si>
  <si>
    <t>Census Tract 4.02</t>
  </si>
  <si>
    <t>53033000401</t>
  </si>
  <si>
    <t>4.01</t>
  </si>
  <si>
    <t>Census Tract 4.01</t>
  </si>
  <si>
    <t>53033003900</t>
  </si>
  <si>
    <t>39</t>
  </si>
  <si>
    <t>Census Tract 39</t>
  </si>
  <si>
    <t>53033003800</t>
  </si>
  <si>
    <t>38</t>
  </si>
  <si>
    <t>Census Tract 38</t>
  </si>
  <si>
    <t>53033003600</t>
  </si>
  <si>
    <t>36</t>
  </si>
  <si>
    <t>Census Tract 36</t>
  </si>
  <si>
    <t>53033003500</t>
  </si>
  <si>
    <t>35</t>
  </si>
  <si>
    <t>Census Tract 35</t>
  </si>
  <si>
    <t>53033003400</t>
  </si>
  <si>
    <t>34</t>
  </si>
  <si>
    <t>Census Tract 34</t>
  </si>
  <si>
    <t>53033003300</t>
  </si>
  <si>
    <t>33</t>
  </si>
  <si>
    <t>Census Tract 33</t>
  </si>
  <si>
    <t>53033003200</t>
  </si>
  <si>
    <t>32</t>
  </si>
  <si>
    <t>Census Tract 32</t>
  </si>
  <si>
    <t>53033003100</t>
  </si>
  <si>
    <t>31</t>
  </si>
  <si>
    <t>Census Tract 31</t>
  </si>
  <si>
    <t>53033003000</t>
  </si>
  <si>
    <t>30</t>
  </si>
  <si>
    <t>Census Tract 30</t>
  </si>
  <si>
    <t>53033000300</t>
  </si>
  <si>
    <t>3</t>
  </si>
  <si>
    <t>Census Tract 3</t>
  </si>
  <si>
    <t>53033002900</t>
  </si>
  <si>
    <t>29</t>
  </si>
  <si>
    <t>Census Tract 29</t>
  </si>
  <si>
    <t>53033002800</t>
  </si>
  <si>
    <t>28</t>
  </si>
  <si>
    <t>Census Tract 28</t>
  </si>
  <si>
    <t>53033002700</t>
  </si>
  <si>
    <t>27</t>
  </si>
  <si>
    <t>Census Tract 27</t>
  </si>
  <si>
    <t>53033002600</t>
  </si>
  <si>
    <t>26</t>
  </si>
  <si>
    <t>Census Tract 26</t>
  </si>
  <si>
    <t>53033002500</t>
  </si>
  <si>
    <t>25</t>
  </si>
  <si>
    <t>Census Tract 25</t>
  </si>
  <si>
    <t>53033002400</t>
  </si>
  <si>
    <t>24</t>
  </si>
  <si>
    <t>Census Tract 24</t>
  </si>
  <si>
    <t>53033002200</t>
  </si>
  <si>
    <t>22</t>
  </si>
  <si>
    <t>Census Tract 22</t>
  </si>
  <si>
    <t>53033002100</t>
  </si>
  <si>
    <t>21</t>
  </si>
  <si>
    <t>Census Tract 21</t>
  </si>
  <si>
    <t>53033002000</t>
  </si>
  <si>
    <t>20</t>
  </si>
  <si>
    <t>Census Tract 20</t>
  </si>
  <si>
    <t>53033000200</t>
  </si>
  <si>
    <t>2</t>
  </si>
  <si>
    <t>Census Tract 2</t>
  </si>
  <si>
    <t>53033001900</t>
  </si>
  <si>
    <t>19</t>
  </si>
  <si>
    <t>Census Tract 19</t>
  </si>
  <si>
    <t>53033001800</t>
  </si>
  <si>
    <t>18</t>
  </si>
  <si>
    <t>Census Tract 18</t>
  </si>
  <si>
    <t>53033001702</t>
  </si>
  <si>
    <t>17.02</t>
  </si>
  <si>
    <t>Census Tract 17.02</t>
  </si>
  <si>
    <t>53033001701</t>
  </si>
  <si>
    <t>17.01</t>
  </si>
  <si>
    <t>Census Tract 17.01</t>
  </si>
  <si>
    <t>53033001600</t>
  </si>
  <si>
    <t>16</t>
  </si>
  <si>
    <t>Census Tract 16</t>
  </si>
  <si>
    <t>53033001500</t>
  </si>
  <si>
    <t>15</t>
  </si>
  <si>
    <t>Census Tract 15</t>
  </si>
  <si>
    <t>53033001400</t>
  </si>
  <si>
    <t>14</t>
  </si>
  <si>
    <t>Census Tract 14</t>
  </si>
  <si>
    <t>53033001300</t>
  </si>
  <si>
    <t>13</t>
  </si>
  <si>
    <t>Census Tract 13</t>
  </si>
  <si>
    <t>53033012100</t>
  </si>
  <si>
    <t>121</t>
  </si>
  <si>
    <t>Census Tract 121</t>
  </si>
  <si>
    <t>53033012000</t>
  </si>
  <si>
    <t>120</t>
  </si>
  <si>
    <t>Census Tract 120</t>
  </si>
  <si>
    <t>53033001200</t>
  </si>
  <si>
    <t>12</t>
  </si>
  <si>
    <t>Census Tract 12</t>
  </si>
  <si>
    <t>53033011900</t>
  </si>
  <si>
    <t>119</t>
  </si>
  <si>
    <t>Census Tract 119</t>
  </si>
  <si>
    <t>53033011800</t>
  </si>
  <si>
    <t>118</t>
  </si>
  <si>
    <t>Census Tract 118</t>
  </si>
  <si>
    <t>53033011700</t>
  </si>
  <si>
    <t>117</t>
  </si>
  <si>
    <t>Census Tract 117</t>
  </si>
  <si>
    <t>53033011600</t>
  </si>
  <si>
    <t>116</t>
  </si>
  <si>
    <t>Census Tract 116</t>
  </si>
  <si>
    <t>53033011500</t>
  </si>
  <si>
    <t>115</t>
  </si>
  <si>
    <t>Census Tract 115</t>
  </si>
  <si>
    <t>53033011402</t>
  </si>
  <si>
    <t>114.02</t>
  </si>
  <si>
    <t>Census Tract 114.02</t>
  </si>
  <si>
    <t>53033011401</t>
  </si>
  <si>
    <t>114.01</t>
  </si>
  <si>
    <t>Census Tract 114.01</t>
  </si>
  <si>
    <t>53033011300</t>
  </si>
  <si>
    <t>113</t>
  </si>
  <si>
    <t>Census Tract 113</t>
  </si>
  <si>
    <t>53033011200</t>
  </si>
  <si>
    <t>112</t>
  </si>
  <si>
    <t>Census Tract 112</t>
  </si>
  <si>
    <t>53033011102</t>
  </si>
  <si>
    <t>111.02</t>
  </si>
  <si>
    <t>Census Tract 111.02</t>
  </si>
  <si>
    <t>53033011101</t>
  </si>
  <si>
    <t>111.01</t>
  </si>
  <si>
    <t>Census Tract 111.01</t>
  </si>
  <si>
    <t>53033011002</t>
  </si>
  <si>
    <t>110.02</t>
  </si>
  <si>
    <t>Census Tract 110.02</t>
  </si>
  <si>
    <t>53033011001</t>
  </si>
  <si>
    <t>110.01</t>
  </si>
  <si>
    <t>Census Tract 110.01</t>
  </si>
  <si>
    <t>53033001100</t>
  </si>
  <si>
    <t>11</t>
  </si>
  <si>
    <t>Census Tract 11</t>
  </si>
  <si>
    <t>53033010900</t>
  </si>
  <si>
    <t>109</t>
  </si>
  <si>
    <t>Census Tract 109</t>
  </si>
  <si>
    <t>53033010800</t>
  </si>
  <si>
    <t>108</t>
  </si>
  <si>
    <t>Census Tract 108</t>
  </si>
  <si>
    <t>53033010702</t>
  </si>
  <si>
    <t>107.02</t>
  </si>
  <si>
    <t>Census Tract 107.02</t>
  </si>
  <si>
    <t>53033010701</t>
  </si>
  <si>
    <t>107.01</t>
  </si>
  <si>
    <t>Census Tract 107.01</t>
  </si>
  <si>
    <t>53033010600</t>
  </si>
  <si>
    <t>106</t>
  </si>
  <si>
    <t>Census Tract 106</t>
  </si>
  <si>
    <t>53033010500</t>
  </si>
  <si>
    <t>105</t>
  </si>
  <si>
    <t>Census Tract 105</t>
  </si>
  <si>
    <t>53033010402</t>
  </si>
  <si>
    <t>104.02</t>
  </si>
  <si>
    <t>Census Tract 104.02</t>
  </si>
  <si>
    <t>53033010401</t>
  </si>
  <si>
    <t>104.01</t>
  </si>
  <si>
    <t>Census Tract 104.01</t>
  </si>
  <si>
    <t>53033010300</t>
  </si>
  <si>
    <t>103</t>
  </si>
  <si>
    <t>Census Tract 103</t>
  </si>
  <si>
    <t>53033010200</t>
  </si>
  <si>
    <t>102</t>
  </si>
  <si>
    <t>Census Tract 102</t>
  </si>
  <si>
    <t>53033010100</t>
  </si>
  <si>
    <t>101</t>
  </si>
  <si>
    <t>Census Tract 101</t>
  </si>
  <si>
    <t>53033010002</t>
  </si>
  <si>
    <t>100.02</t>
  </si>
  <si>
    <t>Census Tract 100.02</t>
  </si>
  <si>
    <t>53033010001</t>
  </si>
  <si>
    <t>100.01</t>
  </si>
  <si>
    <t>Census Tract 100.01</t>
  </si>
  <si>
    <t>53033001000</t>
  </si>
  <si>
    <t>10</t>
  </si>
  <si>
    <t>Census Tract 10</t>
  </si>
  <si>
    <t>53033000100</t>
  </si>
  <si>
    <t>1</t>
  </si>
  <si>
    <t>Census Tract 1</t>
  </si>
  <si>
    <t>area</t>
  </si>
  <si>
    <t>Tract Area</t>
  </si>
  <si>
    <t>STATEFP</t>
  </si>
  <si>
    <t>COUNTYFP</t>
  </si>
  <si>
    <t>TRACTCE</t>
  </si>
  <si>
    <t>MTFCC</t>
  </si>
  <si>
    <t>FUNCSTAT</t>
  </si>
  <si>
    <t>ALAND</t>
  </si>
  <si>
    <t>AWATER</t>
  </si>
  <si>
    <t>INTPTLAT</t>
  </si>
  <si>
    <t>INTPTLON</t>
  </si>
  <si>
    <t>geomarea</t>
  </si>
  <si>
    <t>OBJECTID</t>
  </si>
  <si>
    <t>PERIMETER</t>
  </si>
  <si>
    <t>S_HOOD</t>
  </si>
  <si>
    <t>L_HOOD</t>
  </si>
  <si>
    <t>L_HOODID</t>
  </si>
  <si>
    <t>SYMBOL</t>
  </si>
  <si>
    <t>SYMBOL2</t>
  </si>
  <si>
    <t>AREA_2</t>
  </si>
  <si>
    <t>HOODS_</t>
  </si>
  <si>
    <t>HOODS_ID</t>
  </si>
  <si>
    <t>SHAPE_Leng</t>
  </si>
  <si>
    <t>SHAPE_Area</t>
  </si>
  <si>
    <t>53</t>
  </si>
  <si>
    <t>033</t>
  </si>
  <si>
    <t>003800</t>
  </si>
  <si>
    <t>G5020</t>
  </si>
  <si>
    <t>S</t>
  </si>
  <si>
    <t>+47.6794093</t>
  </si>
  <si>
    <t>-122.2955292</t>
  </si>
  <si>
    <t>007900</t>
  </si>
  <si>
    <t>+47.6143865</t>
  </si>
  <si>
    <t>-122.3076722</t>
  </si>
  <si>
    <t>002500</t>
  </si>
  <si>
    <t>+47.6838969</t>
  </si>
  <si>
    <t>-122.3022793</t>
  </si>
  <si>
    <t>008100</t>
  </si>
  <si>
    <t>+47.6058683</t>
  </si>
  <si>
    <t>-122.3393353</t>
  </si>
  <si>
    <t>000900</t>
  </si>
  <si>
    <t>+47.7063747</t>
  </si>
  <si>
    <t>-122.2749586</t>
  </si>
  <si>
    <t>005400</t>
  </si>
  <si>
    <t>+47.6486281</t>
  </si>
  <si>
    <t>-122.3381362</t>
  </si>
  <si>
    <t>008600</t>
  </si>
  <si>
    <t>+47.6071031</t>
  </si>
  <si>
    <t>-122.3166894</t>
  </si>
  <si>
    <t>009600</t>
  </si>
  <si>
    <t>+47.5899898</t>
  </si>
  <si>
    <t>-122.3882351</t>
  </si>
  <si>
    <t>009701</t>
  </si>
  <si>
    <t>+47.5731929</t>
  </si>
  <si>
    <t>-122.4101745</t>
  </si>
  <si>
    <t>009702</t>
  </si>
  <si>
    <t>+47.5719270</t>
  </si>
  <si>
    <t>-122.3960103</t>
  </si>
  <si>
    <t>009800</t>
  </si>
  <si>
    <t>+47.5719546</t>
  </si>
  <si>
    <t>-122.3830940</t>
  </si>
  <si>
    <t>009900</t>
  </si>
  <si>
    <t>+47.5794536</t>
  </si>
  <si>
    <t>-122.3550326</t>
  </si>
  <si>
    <t>010100</t>
  </si>
  <si>
    <t>+47.5673382</t>
  </si>
  <si>
    <t>-122.2727022</t>
  </si>
  <si>
    <t>010200</t>
  </si>
  <si>
    <t>+47.5564564</t>
  </si>
  <si>
    <t>-122.2517138</t>
  </si>
  <si>
    <t>010300</t>
  </si>
  <si>
    <t>+47.5541363</t>
  </si>
  <si>
    <t>-122.2826390</t>
  </si>
  <si>
    <t>010600</t>
  </si>
  <si>
    <t>+47.5476485</t>
  </si>
  <si>
    <t>-122.3918719</t>
  </si>
  <si>
    <t>010800</t>
  </si>
  <si>
    <t>+47.5440342</t>
  </si>
  <si>
    <t>-122.3498743</t>
  </si>
  <si>
    <t>010900</t>
  </si>
  <si>
    <t>+47.5425052</t>
  </si>
  <si>
    <t>-122.3199752</t>
  </si>
  <si>
    <t>011800</t>
  </si>
  <si>
    <t>+47.5168113</t>
  </si>
  <si>
    <t>-122.2639039</t>
  </si>
  <si>
    <t>011101</t>
  </si>
  <si>
    <t>+47.5394840</t>
  </si>
  <si>
    <t>-122.2773724</t>
  </si>
  <si>
    <t>011900</t>
  </si>
  <si>
    <t>+47.5072824</t>
  </si>
  <si>
    <t>-122.2517998</t>
  </si>
  <si>
    <t>012000</t>
  </si>
  <si>
    <t>+47.5129291</t>
  </si>
  <si>
    <t>-122.3806808</t>
  </si>
  <si>
    <t>011200</t>
  </si>
  <si>
    <t>+47.5296655</t>
  </si>
  <si>
    <t>-122.3262393</t>
  </si>
  <si>
    <t>011300</t>
  </si>
  <si>
    <t>+47.5273690</t>
  </si>
  <si>
    <t>-122.3448435</t>
  </si>
  <si>
    <t>012100</t>
  </si>
  <si>
    <t>+47.5075950</t>
  </si>
  <si>
    <t>-122.3873799</t>
  </si>
  <si>
    <t>007401</t>
  </si>
  <si>
    <t>+47.6229244</t>
  </si>
  <si>
    <t>-122.3246584</t>
  </si>
  <si>
    <t>011500</t>
  </si>
  <si>
    <t>+47.5301833</t>
  </si>
  <si>
    <t>-122.3755330</t>
  </si>
  <si>
    <t>011600</t>
  </si>
  <si>
    <t>+47.5282704</t>
  </si>
  <si>
    <t>-122.3897768</t>
  </si>
  <si>
    <t>011700</t>
  </si>
  <si>
    <t>+47.5201432</t>
  </si>
  <si>
    <t>-122.2828576</t>
  </si>
  <si>
    <t>008002</t>
  </si>
  <si>
    <t>+47.6120871</t>
  </si>
  <si>
    <t>-122.3452591</t>
  </si>
  <si>
    <t>010500</t>
  </si>
  <si>
    <t>+47.5574406</t>
  </si>
  <si>
    <t>-122.3855495</t>
  </si>
  <si>
    <t>006000</t>
  </si>
  <si>
    <t>+47.6432313</t>
  </si>
  <si>
    <t>-122.3527936</t>
  </si>
  <si>
    <t>006600</t>
  </si>
  <si>
    <t>+47.6286171</t>
  </si>
  <si>
    <t>-122.3329766</t>
  </si>
  <si>
    <t>006700</t>
  </si>
  <si>
    <t>+47.6318633</t>
  </si>
  <si>
    <t>-122.3442667</t>
  </si>
  <si>
    <t>006800</t>
  </si>
  <si>
    <t>+47.6360306</t>
  </si>
  <si>
    <t>-122.3564653</t>
  </si>
  <si>
    <t>006900</t>
  </si>
  <si>
    <t>+47.6343628</t>
  </si>
  <si>
    <t>-122.3669714</t>
  </si>
  <si>
    <t>000402</t>
  </si>
  <si>
    <t>+47.7168585</t>
  </si>
  <si>
    <t>-122.3523664</t>
  </si>
  <si>
    <t>000500</t>
  </si>
  <si>
    <t>+47.7224094</t>
  </si>
  <si>
    <t>-122.3710555</t>
  </si>
  <si>
    <t>001100</t>
  </si>
  <si>
    <t>+47.7065470</t>
  </si>
  <si>
    <t>-122.3068073</t>
  </si>
  <si>
    <t>001200</t>
  </si>
  <si>
    <t>+47.7071214</t>
  </si>
  <si>
    <t>-122.3228194</t>
  </si>
  <si>
    <t>001300</t>
  </si>
  <si>
    <t>+47.7022815</t>
  </si>
  <si>
    <t>-122.3421789</t>
  </si>
  <si>
    <t>001500</t>
  </si>
  <si>
    <t>+47.6946324</t>
  </si>
  <si>
    <t>-122.3949744</t>
  </si>
  <si>
    <t>003500</t>
  </si>
  <si>
    <t>+47.6725466</t>
  </si>
  <si>
    <t>-122.3520881</t>
  </si>
  <si>
    <t>004000</t>
  </si>
  <si>
    <t>+47.6817180</t>
  </si>
  <si>
    <t>-122.2523680</t>
  </si>
  <si>
    <t>004100</t>
  </si>
  <si>
    <t>+47.6692654</t>
  </si>
  <si>
    <t>-122.2582166</t>
  </si>
  <si>
    <t>004200</t>
  </si>
  <si>
    <t>+47.6702045</t>
  </si>
  <si>
    <t>-122.2841013</t>
  </si>
  <si>
    <t>003400</t>
  </si>
  <si>
    <t>+47.6740646</t>
  </si>
  <si>
    <t>-122.3617463</t>
  </si>
  <si>
    <t>004500</t>
  </si>
  <si>
    <t>+47.6685824</t>
  </si>
  <si>
    <t>-122.3229111</t>
  </si>
  <si>
    <t>004700</t>
  </si>
  <si>
    <t>+47.6660659</t>
  </si>
  <si>
    <t>-122.3749544</t>
  </si>
  <si>
    <t>004800</t>
  </si>
  <si>
    <t>+47.6608472</t>
  </si>
  <si>
    <t>-122.3601847</t>
  </si>
  <si>
    <t>007300</t>
  </si>
  <si>
    <t>+47.6199882</t>
  </si>
  <si>
    <t>-122.3335164</t>
  </si>
  <si>
    <t>007500</t>
  </si>
  <si>
    <t>+47.6183915</t>
  </si>
  <si>
    <t>-122.3168860</t>
  </si>
  <si>
    <t>008001</t>
  </si>
  <si>
    <t>+47.6150718</t>
  </si>
  <si>
    <t>-122.3552018</t>
  </si>
  <si>
    <t>008200</t>
  </si>
  <si>
    <t>+47.6103728</t>
  </si>
  <si>
    <t>-122.3319410</t>
  </si>
  <si>
    <t>008300</t>
  </si>
  <si>
    <t>+47.6118178</t>
  </si>
  <si>
    <t>-122.3280041</t>
  </si>
  <si>
    <t>008400</t>
  </si>
  <si>
    <t>+47.6134675</t>
  </si>
  <si>
    <t>-122.3239419</t>
  </si>
  <si>
    <t>008500</t>
  </si>
  <si>
    <t>+47.6051118</t>
  </si>
  <si>
    <t>-122.3249470</t>
  </si>
  <si>
    <t>008700</t>
  </si>
  <si>
    <t>+47.6059236</t>
  </si>
  <si>
    <t>-122.3077909</t>
  </si>
  <si>
    <t>008800</t>
  </si>
  <si>
    <t>+47.6073299</t>
  </si>
  <si>
    <t>-122.2976324</t>
  </si>
  <si>
    <t>008900</t>
  </si>
  <si>
    <t>+47.6010291</t>
  </si>
  <si>
    <t>-122.2852290</t>
  </si>
  <si>
    <t>009000</t>
  </si>
  <si>
    <t>+47.5982642</t>
  </si>
  <si>
    <t>-122.3090976</t>
  </si>
  <si>
    <t>009100</t>
  </si>
  <si>
    <t>+47.5984232</t>
  </si>
  <si>
    <t>-122.3217544</t>
  </si>
  <si>
    <t>001000</t>
  </si>
  <si>
    <t>+47.7064068</t>
  </si>
  <si>
    <t>-122.2960647</t>
  </si>
  <si>
    <t>000100</t>
  </si>
  <si>
    <t>+47.7247297</t>
  </si>
  <si>
    <t>-122.2845705</t>
  </si>
  <si>
    <t>000200</t>
  </si>
  <si>
    <t>+47.7266401</t>
  </si>
  <si>
    <t>-122.3099963</t>
  </si>
  <si>
    <t>000300</t>
  </si>
  <si>
    <t>+47.7305259</t>
  </si>
  <si>
    <t>-122.3329277</t>
  </si>
  <si>
    <t>000401</t>
  </si>
  <si>
    <t>+47.7301879</t>
  </si>
  <si>
    <t>-122.3518014</t>
  </si>
  <si>
    <t>000600</t>
  </si>
  <si>
    <t>+47.7195520</t>
  </si>
  <si>
    <t>-122.3314150</t>
  </si>
  <si>
    <t>000700</t>
  </si>
  <si>
    <t>+47.7156893</t>
  </si>
  <si>
    <t>-122.3018631</t>
  </si>
  <si>
    <t>000800</t>
  </si>
  <si>
    <t>+47.7112491</t>
  </si>
  <si>
    <t>-122.2860820</t>
  </si>
  <si>
    <t>001400</t>
  </si>
  <si>
    <t>+47.7078795</t>
  </si>
  <si>
    <t>-122.3674088</t>
  </si>
  <si>
    <t>001600</t>
  </si>
  <si>
    <t>+47.7004764</t>
  </si>
  <si>
    <t>-122.3799022</t>
  </si>
  <si>
    <t>002200</t>
  </si>
  <si>
    <t>+47.6941159</t>
  </si>
  <si>
    <t>-122.2754574</t>
  </si>
  <si>
    <t>002800</t>
  </si>
  <si>
    <t>+47.6851140</t>
  </si>
  <si>
    <t>-122.3499450</t>
  </si>
  <si>
    <t>006500</t>
  </si>
  <si>
    <t>+47.6309633</t>
  </si>
  <si>
    <t>-122.3177579</t>
  </si>
  <si>
    <t>007200</t>
  </si>
  <si>
    <t>+47.6194539</t>
  </si>
  <si>
    <t>-122.3431175</t>
  </si>
  <si>
    <t>003100</t>
  </si>
  <si>
    <t>+47.6877574</t>
  </si>
  <si>
    <t>-122.3964308</t>
  </si>
  <si>
    <t>003200</t>
  </si>
  <si>
    <t>+47.6753292</t>
  </si>
  <si>
    <t>-122.4022855</t>
  </si>
  <si>
    <t>003300</t>
  </si>
  <si>
    <t>+47.6759715</t>
  </si>
  <si>
    <t>-122.3768118</t>
  </si>
  <si>
    <t>003600</t>
  </si>
  <si>
    <t>+47.6771912</t>
  </si>
  <si>
    <t>-122.3242054</t>
  </si>
  <si>
    <t>003900</t>
  </si>
  <si>
    <t>+47.6794117</t>
  </si>
  <si>
    <t>-122.2823414</t>
  </si>
  <si>
    <t>005801</t>
  </si>
  <si>
    <t>+47.6548926</t>
  </si>
  <si>
    <t>-122.3850376</t>
  </si>
  <si>
    <t>007700</t>
  </si>
  <si>
    <t>+47.6191203</t>
  </si>
  <si>
    <t>-122.2973516</t>
  </si>
  <si>
    <t>007600</t>
  </si>
  <si>
    <t>+47.6218678</t>
  </si>
  <si>
    <t>-122.3075858</t>
  </si>
  <si>
    <t>007800</t>
  </si>
  <si>
    <t>+47.6141558</t>
  </si>
  <si>
    <t>-122.2810958</t>
  </si>
  <si>
    <t>004600</t>
  </si>
  <si>
    <t>+47.6830920</t>
  </si>
  <si>
    <t>-122.3378674</t>
  </si>
  <si>
    <t>004900</t>
  </si>
  <si>
    <t>+47.6571964</t>
  </si>
  <si>
    <t>-122.3518455</t>
  </si>
  <si>
    <t>005000</t>
  </si>
  <si>
    <t>+47.6608696</t>
  </si>
  <si>
    <t>-122.3418076</t>
  </si>
  <si>
    <t>005301</t>
  </si>
  <si>
    <t>+47.6615050</t>
  </si>
  <si>
    <t>-122.3131216</t>
  </si>
  <si>
    <t>005302</t>
  </si>
  <si>
    <t>+47.6540399</t>
  </si>
  <si>
    <t>-122.3012544</t>
  </si>
  <si>
    <t>005700</t>
  </si>
  <si>
    <t>+47.6581015</t>
  </si>
  <si>
    <t>-122.4137704</t>
  </si>
  <si>
    <t>006400</t>
  </si>
  <si>
    <t>+47.6285398</t>
  </si>
  <si>
    <t>-122.3048258</t>
  </si>
  <si>
    <t>005802</t>
  </si>
  <si>
    <t>+47.6353633</t>
  </si>
  <si>
    <t>-122.3802928</t>
  </si>
  <si>
    <t>005900</t>
  </si>
  <si>
    <t>+47.6492259</t>
  </si>
  <si>
    <t>-122.3685688</t>
  </si>
  <si>
    <t>006100</t>
  </si>
  <si>
    <t>+47.6448050</t>
  </si>
  <si>
    <t>-122.3222796</t>
  </si>
  <si>
    <t>006200</t>
  </si>
  <si>
    <t>+47.6391316</t>
  </si>
  <si>
    <t>-122.3012264</t>
  </si>
  <si>
    <t>006300</t>
  </si>
  <si>
    <t>+47.6321400</t>
  </si>
  <si>
    <t>-122.2775439</t>
  </si>
  <si>
    <t>007000</t>
  </si>
  <si>
    <t>+47.6282328</t>
  </si>
  <si>
    <t>-122.3568062</t>
  </si>
  <si>
    <t>003000</t>
  </si>
  <si>
    <t>+47.6850958</t>
  </si>
  <si>
    <t>-122.3740444</t>
  </si>
  <si>
    <t>004400</t>
  </si>
  <si>
    <t>+47.6703410</t>
  </si>
  <si>
    <t>-122.3119324</t>
  </si>
  <si>
    <t>007100</t>
  </si>
  <si>
    <t>+47.6224443</t>
  </si>
  <si>
    <t>-122.3574017</t>
  </si>
  <si>
    <t>011102</t>
  </si>
  <si>
    <t>+47.5379287</t>
  </si>
  <si>
    <t>-122.2633613</t>
  </si>
  <si>
    <t>002700</t>
  </si>
  <si>
    <t>+47.6868671</t>
  </si>
  <si>
    <t>-122.3311548</t>
  </si>
  <si>
    <t>010402</t>
  </si>
  <si>
    <t>+47.5537876</t>
  </si>
  <si>
    <t>-122.3102256</t>
  </si>
  <si>
    <t>010702</t>
  </si>
  <si>
    <t>+47.5468035</t>
  </si>
  <si>
    <t>-122.3730315</t>
  </si>
  <si>
    <t>011402</t>
  </si>
  <si>
    <t>+47.5206654</t>
  </si>
  <si>
    <t>-122.3646254</t>
  </si>
  <si>
    <t>011401</t>
  </si>
  <si>
    <t>+47.5297061</t>
  </si>
  <si>
    <t>-122.3620280</t>
  </si>
  <si>
    <t>004302</t>
  </si>
  <si>
    <t>+47.6647418</t>
  </si>
  <si>
    <t>-122.3035951</t>
  </si>
  <si>
    <t>010002</t>
  </si>
  <si>
    <t>+47.5765790</t>
  </si>
  <si>
    <t>-122.3095727</t>
  </si>
  <si>
    <t>001702</t>
  </si>
  <si>
    <t>+47.6965212</t>
  </si>
  <si>
    <t>-122.3639488</t>
  </si>
  <si>
    <t>001701</t>
  </si>
  <si>
    <t>+47.6963619</t>
  </si>
  <si>
    <t>-122.3544843</t>
  </si>
  <si>
    <t>010401</t>
  </si>
  <si>
    <t>+47.5532030</t>
  </si>
  <si>
    <t>-122.2956373</t>
  </si>
  <si>
    <t>010701</t>
  </si>
  <si>
    <t>+47.5450794</t>
  </si>
  <si>
    <t>-122.3675044</t>
  </si>
  <si>
    <t>011001</t>
  </si>
  <si>
    <t>+47.5383594</t>
  </si>
  <si>
    <t>-122.2862045</t>
  </si>
  <si>
    <t>004301</t>
  </si>
  <si>
    <t>+47.6694019</t>
  </si>
  <si>
    <t>-122.3002215</t>
  </si>
  <si>
    <t>007402</t>
  </si>
  <si>
    <t>+47.6187608</t>
  </si>
  <si>
    <t>-122.3244188</t>
  </si>
  <si>
    <t>010001</t>
  </si>
  <si>
    <t>+47.5673069</t>
  </si>
  <si>
    <t>-122.3043618</t>
  </si>
  <si>
    <t>011002</t>
  </si>
  <si>
    <t>+47.5404140</t>
  </si>
  <si>
    <t>-122.2989097</t>
  </si>
  <si>
    <t>005100</t>
  </si>
  <si>
    <t>+47.6585183</t>
  </si>
  <si>
    <t>-122.3322481</t>
  </si>
  <si>
    <t>005200</t>
  </si>
  <si>
    <t>+47.6595705</t>
  </si>
  <si>
    <t>-122.3235185</t>
  </si>
  <si>
    <t>005600</t>
  </si>
  <si>
    <t>+47.6405468</t>
  </si>
  <si>
    <t>-122.4071053</t>
  </si>
  <si>
    <t>009200</t>
  </si>
  <si>
    <t>+47.6004657</t>
  </si>
  <si>
    <t>-122.3348315</t>
  </si>
  <si>
    <t>009300</t>
  </si>
  <si>
    <t>+47.5771253</t>
  </si>
  <si>
    <t>-122.3309360</t>
  </si>
  <si>
    <t>001800</t>
  </si>
  <si>
    <t>+47.6940453</t>
  </si>
  <si>
    <t>-122.3419781</t>
  </si>
  <si>
    <t>001900</t>
  </si>
  <si>
    <t>+47.6965349</t>
  </si>
  <si>
    <t>-122.3262160</t>
  </si>
  <si>
    <t>002000</t>
  </si>
  <si>
    <t>+47.6953310</t>
  </si>
  <si>
    <t>-122.3108025</t>
  </si>
  <si>
    <t>002100</t>
  </si>
  <si>
    <t>+47.6953673</t>
  </si>
  <si>
    <t>-122.2980453</t>
  </si>
  <si>
    <t>002400</t>
  </si>
  <si>
    <t>+47.6866808</t>
  </si>
  <si>
    <t>-122.2878263</t>
  </si>
  <si>
    <t>002600</t>
  </si>
  <si>
    <t>+47.6822031</t>
  </si>
  <si>
    <t>-122.3113993</t>
  </si>
  <si>
    <t>002900</t>
  </si>
  <si>
    <t>+47.6850872</t>
  </si>
  <si>
    <t>-122.3606466</t>
  </si>
  <si>
    <t>009400</t>
  </si>
  <si>
    <t>+47.5881924</t>
  </si>
  <si>
    <t>-122.3098671</t>
  </si>
  <si>
    <t>009500</t>
  </si>
  <si>
    <t>+47.5783426</t>
  </si>
  <si>
    <t>-122.2831943</t>
  </si>
  <si>
    <t>TractName</t>
  </si>
  <si>
    <t>tractarea</t>
  </si>
  <si>
    <t>Row Labels</t>
  </si>
  <si>
    <t>Grand Total</t>
  </si>
  <si>
    <t>(blank)</t>
  </si>
  <si>
    <t>Sum of N-T Calc</t>
  </si>
  <si>
    <t>Sum of F-T Calc</t>
  </si>
  <si>
    <t>Sum of AllTotalCalc</t>
  </si>
  <si>
    <t>Sum of N-WN</t>
  </si>
  <si>
    <t>Sum of F-WN</t>
  </si>
  <si>
    <t>Sum of N-WH</t>
  </si>
  <si>
    <t>Sum of F-WH</t>
  </si>
  <si>
    <t>Sum of N-AA</t>
  </si>
  <si>
    <t>Sum of F-AA</t>
  </si>
  <si>
    <t>Sum of N-AI</t>
  </si>
  <si>
    <t>Sum of F-AI</t>
  </si>
  <si>
    <t>Sum of N-AS</t>
  </si>
  <si>
    <t>Sum of F-AS</t>
  </si>
  <si>
    <t>Sum of N-PI</t>
  </si>
  <si>
    <t>Sum of F-PI</t>
  </si>
  <si>
    <t>Sum of N-OT</t>
  </si>
  <si>
    <t>Sum of F-OT</t>
  </si>
  <si>
    <t>Sum of N-2R</t>
  </si>
  <si>
    <t>Sum of F-2R</t>
  </si>
  <si>
    <t>STATEFP00</t>
  </si>
  <si>
    <t>COUNTYFP00</t>
  </si>
  <si>
    <t>TRACTCE00</t>
  </si>
  <si>
    <t>CTIDFP00</t>
  </si>
  <si>
    <t>NAME00</t>
  </si>
  <si>
    <t>NAMELSAD00</t>
  </si>
  <si>
    <t>MTFCC00</t>
  </si>
  <si>
    <t>FUNCSTAT00</t>
  </si>
  <si>
    <t>ALAND00</t>
  </si>
  <si>
    <t>AWATER00</t>
  </si>
  <si>
    <t>INTPTLAT00</t>
  </si>
  <si>
    <t>INTPTLON00</t>
  </si>
  <si>
    <t>AREA</t>
  </si>
  <si>
    <t>+47.6851200</t>
  </si>
  <si>
    <t>-122.3499256</t>
  </si>
  <si>
    <t>+47.6868673</t>
  </si>
  <si>
    <t>-122.3311252</t>
  </si>
  <si>
    <t>+47.6866812</t>
  </si>
  <si>
    <t>-122.2878258</t>
  </si>
  <si>
    <t>+47.6922985</t>
  </si>
  <si>
    <t>-122.2695132</t>
  </si>
  <si>
    <t>+47.6965350</t>
  </si>
  <si>
    <t>+47.6940450</t>
  </si>
  <si>
    <t>-122.3419779</t>
  </si>
  <si>
    <t>001700</t>
  </si>
  <si>
    <t>53033001700</t>
  </si>
  <si>
    <t>17</t>
  </si>
  <si>
    <t>Census Tract 17</t>
  </si>
  <si>
    <t>+47.6964558</t>
  </si>
  <si>
    <t>-122.3600603</t>
  </si>
  <si>
    <t>+47.7023839</t>
  </si>
  <si>
    <t>-122.3835777</t>
  </si>
  <si>
    <t>+47.6976583</t>
  </si>
  <si>
    <t>-122.4024164</t>
  </si>
  <si>
    <t>+47.7114281</t>
  </si>
  <si>
    <t>-122.3798109</t>
  </si>
  <si>
    <t>+47.7022812</t>
  </si>
  <si>
    <t>-122.3421790</t>
  </si>
  <si>
    <t>+47.7064067</t>
  </si>
  <si>
    <t>-122.2960648</t>
  </si>
  <si>
    <t>+47.7112492</t>
  </si>
  <si>
    <t>-122.2860821</t>
  </si>
  <si>
    <t>-122.3018632</t>
  </si>
  <si>
    <t>+47.7180013</t>
  </si>
  <si>
    <t>-122.3322129</t>
  </si>
  <si>
    <t>+47.7188823</t>
  </si>
  <si>
    <t>-122.3761321</t>
  </si>
  <si>
    <t>+47.7288710</t>
  </si>
  <si>
    <t>-122.3509939</t>
  </si>
  <si>
    <t>+47.7305246</t>
  </si>
  <si>
    <t>-122.3329227</t>
  </si>
  <si>
    <t>-122.3099961</t>
  </si>
  <si>
    <t>+47.7238068</t>
  </si>
  <si>
    <t>-122.2819279</t>
  </si>
  <si>
    <t>+47.5162738</t>
  </si>
  <si>
    <t>-122.3970789</t>
  </si>
  <si>
    <t>+47.5129249</t>
  </si>
  <si>
    <t>-122.3806659</t>
  </si>
  <si>
    <t>+47.5089452</t>
  </si>
  <si>
    <t>-122.2517818</t>
  </si>
  <si>
    <t>010700</t>
  </si>
  <si>
    <t>53033010700</t>
  </si>
  <si>
    <t>107</t>
  </si>
  <si>
    <t>Census Tract 107</t>
  </si>
  <si>
    <t>+47.5439623</t>
  </si>
  <si>
    <t>-122.3685770</t>
  </si>
  <si>
    <t>+47.5602298</t>
  </si>
  <si>
    <t>-122.4037947</t>
  </si>
  <si>
    <t>010400</t>
  </si>
  <si>
    <t>53033010400</t>
  </si>
  <si>
    <t>104</t>
  </si>
  <si>
    <t>Census Tract 104</t>
  </si>
  <si>
    <t>+47.5535115</t>
  </si>
  <si>
    <t>-122.3033203</t>
  </si>
  <si>
    <t>+47.5540013</t>
  </si>
  <si>
    <t>-122.2608175</t>
  </si>
  <si>
    <t>+47.5670447</t>
  </si>
  <si>
    <t>-122.2751446</t>
  </si>
  <si>
    <t>010000</t>
  </si>
  <si>
    <t>53033010000</t>
  </si>
  <si>
    <t>100</t>
  </si>
  <si>
    <t>Census Tract 100</t>
  </si>
  <si>
    <t>+47.5789585</t>
  </si>
  <si>
    <t>-122.3638568</t>
  </si>
  <si>
    <t>+47.5759345</t>
  </si>
  <si>
    <t>-122.4191173</t>
  </si>
  <si>
    <t>+47.5895585</t>
  </si>
  <si>
    <t>-122.3912619</t>
  </si>
  <si>
    <t>+47.5881898</t>
  </si>
  <si>
    <t>-122.3098643</t>
  </si>
  <si>
    <t>+47.5776855</t>
  </si>
  <si>
    <t>-122.3309417</t>
  </si>
  <si>
    <t>+47.6010391</t>
  </si>
  <si>
    <t>-122.2850405</t>
  </si>
  <si>
    <t>-122.3077910</t>
  </si>
  <si>
    <t>+47.5154414</t>
  </si>
  <si>
    <t>-122.2532080</t>
  </si>
  <si>
    <t>+47.5201193</t>
  </si>
  <si>
    <t>-122.2828303</t>
  </si>
  <si>
    <t>+47.5387039</t>
  </si>
  <si>
    <t>-122.3966056</t>
  </si>
  <si>
    <t>011400</t>
  </si>
  <si>
    <t>53033011400</t>
  </si>
  <si>
    <t>114</t>
  </si>
  <si>
    <t>Census Tract 114</t>
  </si>
  <si>
    <t>+47.5252735</t>
  </si>
  <si>
    <t>-122.3633016</t>
  </si>
  <si>
    <t>+47.5285208</t>
  </si>
  <si>
    <t>-122.3248817</t>
  </si>
  <si>
    <t>+47.5379284</t>
  </si>
  <si>
    <t>-122.2633605</t>
  </si>
  <si>
    <t>011000</t>
  </si>
  <si>
    <t>53033011000</t>
  </si>
  <si>
    <t>110</t>
  </si>
  <si>
    <t>Census Tract 110</t>
  </si>
  <si>
    <t>+47.5396133</t>
  </si>
  <si>
    <t>-122.2939569</t>
  </si>
  <si>
    <t>+47.6071015</t>
  </si>
  <si>
    <t>-122.3166893</t>
  </si>
  <si>
    <t>+47.6051125</t>
  </si>
  <si>
    <t>-122.3249464</t>
  </si>
  <si>
    <t>+47.6098244</t>
  </si>
  <si>
    <t>-122.3454641</t>
  </si>
  <si>
    <t>+47.6191421</t>
  </si>
  <si>
    <t>-122.3609273</t>
  </si>
  <si>
    <t>+47.6183901</t>
  </si>
  <si>
    <t>-122.3168861</t>
  </si>
  <si>
    <t>007400</t>
  </si>
  <si>
    <t>53033007400</t>
  </si>
  <si>
    <t>74</t>
  </si>
  <si>
    <t>Census Tract 74</t>
  </si>
  <si>
    <t>+47.6208839</t>
  </si>
  <si>
    <t>-122.3245410</t>
  </si>
  <si>
    <t>+47.6199883</t>
  </si>
  <si>
    <t>+47.6296259</t>
  </si>
  <si>
    <t>-122.3310053</t>
  </si>
  <si>
    <t>+47.6350574</t>
  </si>
  <si>
    <t>-122.2767772</t>
  </si>
  <si>
    <t>+47.6448423</t>
  </si>
  <si>
    <t>-122.3222789</t>
  </si>
  <si>
    <t>+47.6436158</t>
  </si>
  <si>
    <t>-122.3520520</t>
  </si>
  <si>
    <t>+47.6643434</t>
  </si>
  <si>
    <t>-122.4227489</t>
  </si>
  <si>
    <t>+47.6406630</t>
  </si>
  <si>
    <t>-122.4146011</t>
  </si>
  <si>
    <t>+47.6540494</t>
  </si>
  <si>
    <t>-122.3013013</t>
  </si>
  <si>
    <t>004300</t>
  </si>
  <si>
    <t>53033004300</t>
  </si>
  <si>
    <t>43</t>
  </si>
  <si>
    <t>Census Tract 43</t>
  </si>
  <si>
    <t>+47.6682251</t>
  </si>
  <si>
    <t>-122.3010735</t>
  </si>
  <si>
    <t>+47.6702043</t>
  </si>
  <si>
    <t>-122.2841019</t>
  </si>
  <si>
    <t>+47.6678440</t>
  </si>
  <si>
    <t>-122.2587932</t>
  </si>
  <si>
    <t>+47.6295765</t>
  </si>
  <si>
    <t>-122.3801593</t>
  </si>
  <si>
    <t>+47.6759714</t>
  </si>
  <si>
    <t>-122.3768125</t>
  </si>
  <si>
    <t>+47.6764274</t>
  </si>
  <si>
    <t>-122.4031992</t>
  </si>
  <si>
    <t>+47.6920847</t>
  </si>
  <si>
    <t>-122.4041600</t>
  </si>
  <si>
    <t>areadiff</t>
  </si>
  <si>
    <t>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</si>
</sst>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Roberts/Reporting/Race%20Over%20Time%20in%20WA/Repo/mappingRaceInWA/Data/Downloaded%20Data/Place%20of%20Birth%20by%20Race/2000/2000%20PoB%20by%20Race%20A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B KC Tracts"/>
      <sheetName val="PoB WA Places"/>
      <sheetName val="PoB Totals"/>
      <sheetName val="PoB WN"/>
      <sheetName val="PoB WH"/>
      <sheetName val="PoB AA"/>
      <sheetName val="PoB AI"/>
      <sheetName val="PoB AS"/>
      <sheetName val="PoB PI"/>
      <sheetName val="PoB OT"/>
      <sheetName val="PoB 2R"/>
    </sheetNames>
    <sheetDataSet>
      <sheetData sheetId="0"/>
      <sheetData sheetId="1"/>
      <sheetData sheetId="2">
        <row r="3">
          <cell r="C3" t="str">
            <v>King County, Washington</v>
          </cell>
          <cell r="D3">
            <v>1737034</v>
          </cell>
          <cell r="E3">
            <v>1468749</v>
          </cell>
          <cell r="F3">
            <v>745973</v>
          </cell>
          <cell r="G3">
            <v>698171</v>
          </cell>
          <cell r="H3">
            <v>91498</v>
          </cell>
          <cell r="I3">
            <v>198908</v>
          </cell>
          <cell r="J3">
            <v>110848</v>
          </cell>
          <cell r="K3">
            <v>296917</v>
          </cell>
          <cell r="L3">
            <v>24605</v>
          </cell>
          <cell r="M3">
            <v>1163</v>
          </cell>
          <cell r="N3">
            <v>2482</v>
          </cell>
          <cell r="O3">
            <v>20960</v>
          </cell>
          <cell r="P3">
            <v>268285</v>
          </cell>
          <cell r="Q3">
            <v>118436</v>
          </cell>
          <cell r="R3">
            <v>149849</v>
          </cell>
          <cell r="S3">
            <v>1444144</v>
          </cell>
          <cell r="T3">
            <v>292890</v>
          </cell>
        </row>
        <row r="4">
          <cell r="C4" t="str">
            <v>Census Tract 1, King County, Washington</v>
          </cell>
          <cell r="D4">
            <v>5530</v>
          </cell>
          <cell r="E4">
            <v>4210</v>
          </cell>
          <cell r="F4">
            <v>2039</v>
          </cell>
          <cell r="G4">
            <v>2076</v>
          </cell>
          <cell r="H4">
            <v>260</v>
          </cell>
          <cell r="I4">
            <v>567</v>
          </cell>
          <cell r="J4">
            <v>317</v>
          </cell>
          <cell r="K4">
            <v>932</v>
          </cell>
          <cell r="L4">
            <v>95</v>
          </cell>
          <cell r="M4">
            <v>12</v>
          </cell>
          <cell r="N4">
            <v>43</v>
          </cell>
          <cell r="O4">
            <v>40</v>
          </cell>
          <cell r="P4">
            <v>1320</v>
          </cell>
          <cell r="Q4">
            <v>423</v>
          </cell>
          <cell r="R4">
            <v>897</v>
          </cell>
          <cell r="S4">
            <v>4115</v>
          </cell>
          <cell r="T4">
            <v>1415</v>
          </cell>
        </row>
        <row r="5">
          <cell r="C5" t="str">
            <v>Census Tract 2, King County, Washington</v>
          </cell>
          <cell r="D5">
            <v>7345</v>
          </cell>
          <cell r="E5">
            <v>5802</v>
          </cell>
          <cell r="F5">
            <v>3191</v>
          </cell>
          <cell r="G5">
            <v>2512</v>
          </cell>
          <cell r="H5">
            <v>368</v>
          </cell>
          <cell r="I5">
            <v>613</v>
          </cell>
          <cell r="J5">
            <v>390</v>
          </cell>
          <cell r="K5">
            <v>1141</v>
          </cell>
          <cell r="L5">
            <v>99</v>
          </cell>
          <cell r="M5">
            <v>0</v>
          </cell>
          <cell r="N5">
            <v>0</v>
          </cell>
          <cell r="O5">
            <v>99</v>
          </cell>
          <cell r="P5">
            <v>1543</v>
          </cell>
          <cell r="Q5">
            <v>675</v>
          </cell>
          <cell r="R5">
            <v>868</v>
          </cell>
          <cell r="S5">
            <v>5703</v>
          </cell>
          <cell r="T5">
            <v>1642</v>
          </cell>
        </row>
        <row r="6">
          <cell r="C6" t="str">
            <v>Census Tract 3, King County, Washington</v>
          </cell>
          <cell r="D6">
            <v>2485</v>
          </cell>
          <cell r="E6">
            <v>2074</v>
          </cell>
          <cell r="F6">
            <v>1092</v>
          </cell>
          <cell r="G6">
            <v>944</v>
          </cell>
          <cell r="H6">
            <v>96</v>
          </cell>
          <cell r="I6">
            <v>284</v>
          </cell>
          <cell r="J6">
            <v>134</v>
          </cell>
          <cell r="K6">
            <v>430</v>
          </cell>
          <cell r="L6">
            <v>38</v>
          </cell>
          <cell r="M6">
            <v>0</v>
          </cell>
          <cell r="N6">
            <v>0</v>
          </cell>
          <cell r="O6">
            <v>38</v>
          </cell>
          <cell r="P6">
            <v>411</v>
          </cell>
          <cell r="Q6">
            <v>229</v>
          </cell>
          <cell r="R6">
            <v>182</v>
          </cell>
          <cell r="S6">
            <v>2036</v>
          </cell>
          <cell r="T6">
            <v>449</v>
          </cell>
        </row>
        <row r="7">
          <cell r="C7" t="str">
            <v>Census Tract 4.01, King County, Washington</v>
          </cell>
          <cell r="D7">
            <v>4734</v>
          </cell>
          <cell r="E7">
            <v>3648</v>
          </cell>
          <cell r="F7">
            <v>1859</v>
          </cell>
          <cell r="G7">
            <v>1725</v>
          </cell>
          <cell r="H7">
            <v>193</v>
          </cell>
          <cell r="I7">
            <v>535</v>
          </cell>
          <cell r="J7">
            <v>253</v>
          </cell>
          <cell r="K7">
            <v>744</v>
          </cell>
          <cell r="L7">
            <v>64</v>
          </cell>
          <cell r="M7">
            <v>8</v>
          </cell>
          <cell r="N7">
            <v>0</v>
          </cell>
          <cell r="O7">
            <v>56</v>
          </cell>
          <cell r="P7">
            <v>1086</v>
          </cell>
          <cell r="Q7">
            <v>546</v>
          </cell>
          <cell r="R7">
            <v>540</v>
          </cell>
          <cell r="S7">
            <v>3584</v>
          </cell>
          <cell r="T7">
            <v>1150</v>
          </cell>
        </row>
        <row r="8">
          <cell r="C8" t="str">
            <v>Census Tract 4.02, King County, Washington</v>
          </cell>
          <cell r="D8">
            <v>4582</v>
          </cell>
          <cell r="E8">
            <v>3855</v>
          </cell>
          <cell r="F8">
            <v>2056</v>
          </cell>
          <cell r="G8">
            <v>1701</v>
          </cell>
          <cell r="H8">
            <v>231</v>
          </cell>
          <cell r="I8">
            <v>662</v>
          </cell>
          <cell r="J8">
            <v>175</v>
          </cell>
          <cell r="K8">
            <v>633</v>
          </cell>
          <cell r="L8">
            <v>98</v>
          </cell>
          <cell r="M8">
            <v>10</v>
          </cell>
          <cell r="N8">
            <v>0</v>
          </cell>
          <cell r="O8">
            <v>88</v>
          </cell>
          <cell r="P8">
            <v>727</v>
          </cell>
          <cell r="Q8">
            <v>402</v>
          </cell>
          <cell r="R8">
            <v>325</v>
          </cell>
          <cell r="S8">
            <v>3757</v>
          </cell>
          <cell r="T8">
            <v>825</v>
          </cell>
        </row>
        <row r="9">
          <cell r="C9" t="str">
            <v>Census Tract 5, King County, Washington</v>
          </cell>
          <cell r="D9">
            <v>3296</v>
          </cell>
          <cell r="E9">
            <v>2940</v>
          </cell>
          <cell r="F9">
            <v>1711</v>
          </cell>
          <cell r="G9">
            <v>1216</v>
          </cell>
          <cell r="H9">
            <v>241</v>
          </cell>
          <cell r="I9">
            <v>341</v>
          </cell>
          <cell r="J9">
            <v>164</v>
          </cell>
          <cell r="K9">
            <v>470</v>
          </cell>
          <cell r="L9">
            <v>13</v>
          </cell>
          <cell r="M9">
            <v>0</v>
          </cell>
          <cell r="N9">
            <v>0</v>
          </cell>
          <cell r="O9">
            <v>13</v>
          </cell>
          <cell r="P9">
            <v>356</v>
          </cell>
          <cell r="Q9">
            <v>279</v>
          </cell>
          <cell r="R9">
            <v>77</v>
          </cell>
          <cell r="S9">
            <v>2927</v>
          </cell>
          <cell r="T9">
            <v>369</v>
          </cell>
        </row>
        <row r="10">
          <cell r="C10" t="str">
            <v>Census Tract 6, King County, Washington</v>
          </cell>
          <cell r="D10">
            <v>7361</v>
          </cell>
          <cell r="E10">
            <v>5431</v>
          </cell>
          <cell r="F10">
            <v>2798</v>
          </cell>
          <cell r="G10">
            <v>2566</v>
          </cell>
          <cell r="H10">
            <v>458</v>
          </cell>
          <cell r="I10">
            <v>791</v>
          </cell>
          <cell r="J10">
            <v>379</v>
          </cell>
          <cell r="K10">
            <v>938</v>
          </cell>
          <cell r="L10">
            <v>67</v>
          </cell>
          <cell r="M10">
            <v>0</v>
          </cell>
          <cell r="N10">
            <v>0</v>
          </cell>
          <cell r="O10">
            <v>67</v>
          </cell>
          <cell r="P10">
            <v>1930</v>
          </cell>
          <cell r="Q10">
            <v>946</v>
          </cell>
          <cell r="R10">
            <v>984</v>
          </cell>
          <cell r="S10">
            <v>5364</v>
          </cell>
          <cell r="T10">
            <v>1997</v>
          </cell>
        </row>
        <row r="11">
          <cell r="C11" t="str">
            <v>Census Tract 7, King County, Washington</v>
          </cell>
          <cell r="D11">
            <v>4189</v>
          </cell>
          <cell r="E11">
            <v>3328</v>
          </cell>
          <cell r="F11">
            <v>1512</v>
          </cell>
          <cell r="G11">
            <v>1765</v>
          </cell>
          <cell r="H11">
            <v>278</v>
          </cell>
          <cell r="I11">
            <v>501</v>
          </cell>
          <cell r="J11">
            <v>229</v>
          </cell>
          <cell r="K11">
            <v>757</v>
          </cell>
          <cell r="L11">
            <v>51</v>
          </cell>
          <cell r="M11">
            <v>0</v>
          </cell>
          <cell r="N11">
            <v>0</v>
          </cell>
          <cell r="O11">
            <v>51</v>
          </cell>
          <cell r="P11">
            <v>861</v>
          </cell>
          <cell r="Q11">
            <v>385</v>
          </cell>
          <cell r="R11">
            <v>476</v>
          </cell>
          <cell r="S11">
            <v>3277</v>
          </cell>
          <cell r="T11">
            <v>912</v>
          </cell>
        </row>
        <row r="12">
          <cell r="C12" t="str">
            <v>Census Tract 8, King County, Washington</v>
          </cell>
          <cell r="D12">
            <v>2600</v>
          </cell>
          <cell r="E12">
            <v>2199</v>
          </cell>
          <cell r="F12">
            <v>1171</v>
          </cell>
          <cell r="G12">
            <v>976</v>
          </cell>
          <cell r="H12">
            <v>143</v>
          </cell>
          <cell r="I12">
            <v>365</v>
          </cell>
          <cell r="J12">
            <v>156</v>
          </cell>
          <cell r="K12">
            <v>312</v>
          </cell>
          <cell r="L12">
            <v>52</v>
          </cell>
          <cell r="M12">
            <v>0</v>
          </cell>
          <cell r="N12">
            <v>3</v>
          </cell>
          <cell r="O12">
            <v>49</v>
          </cell>
          <cell r="P12">
            <v>401</v>
          </cell>
          <cell r="Q12">
            <v>294</v>
          </cell>
          <cell r="R12">
            <v>107</v>
          </cell>
          <cell r="S12">
            <v>2147</v>
          </cell>
          <cell r="T12">
            <v>453</v>
          </cell>
        </row>
        <row r="13">
          <cell r="C13" t="str">
            <v>Census Tract 9, King County, Washington</v>
          </cell>
          <cell r="D13">
            <v>2034</v>
          </cell>
          <cell r="E13">
            <v>1823</v>
          </cell>
          <cell r="F13">
            <v>943</v>
          </cell>
          <cell r="G13">
            <v>862</v>
          </cell>
          <cell r="H13">
            <v>144</v>
          </cell>
          <cell r="I13">
            <v>312</v>
          </cell>
          <cell r="J13">
            <v>100</v>
          </cell>
          <cell r="K13">
            <v>306</v>
          </cell>
          <cell r="L13">
            <v>18</v>
          </cell>
          <cell r="M13">
            <v>0</v>
          </cell>
          <cell r="N13">
            <v>0</v>
          </cell>
          <cell r="O13">
            <v>18</v>
          </cell>
          <cell r="P13">
            <v>211</v>
          </cell>
          <cell r="Q13">
            <v>102</v>
          </cell>
          <cell r="R13">
            <v>109</v>
          </cell>
          <cell r="S13">
            <v>1805</v>
          </cell>
          <cell r="T13">
            <v>229</v>
          </cell>
        </row>
        <row r="14">
          <cell r="C14" t="str">
            <v>Census Tract 10, King County, Washington</v>
          </cell>
          <cell r="D14">
            <v>1737</v>
          </cell>
          <cell r="E14">
            <v>1480</v>
          </cell>
          <cell r="F14">
            <v>740</v>
          </cell>
          <cell r="G14">
            <v>711</v>
          </cell>
          <cell r="H14">
            <v>93</v>
          </cell>
          <cell r="I14">
            <v>249</v>
          </cell>
          <cell r="J14">
            <v>115</v>
          </cell>
          <cell r="K14">
            <v>254</v>
          </cell>
          <cell r="L14">
            <v>29</v>
          </cell>
          <cell r="M14">
            <v>0</v>
          </cell>
          <cell r="N14">
            <v>7</v>
          </cell>
          <cell r="O14">
            <v>22</v>
          </cell>
          <cell r="P14">
            <v>257</v>
          </cell>
          <cell r="Q14">
            <v>136</v>
          </cell>
          <cell r="R14">
            <v>121</v>
          </cell>
          <cell r="S14">
            <v>1451</v>
          </cell>
          <cell r="T14">
            <v>286</v>
          </cell>
        </row>
        <row r="15">
          <cell r="C15" t="str">
            <v>Census Tract 11, King County, Washington</v>
          </cell>
          <cell r="D15">
            <v>2337</v>
          </cell>
          <cell r="E15">
            <v>2086</v>
          </cell>
          <cell r="F15">
            <v>1063</v>
          </cell>
          <cell r="G15">
            <v>978</v>
          </cell>
          <cell r="H15">
            <v>148</v>
          </cell>
          <cell r="I15">
            <v>311</v>
          </cell>
          <cell r="J15">
            <v>87</v>
          </cell>
          <cell r="K15">
            <v>432</v>
          </cell>
          <cell r="L15">
            <v>45</v>
          </cell>
          <cell r="M15">
            <v>0</v>
          </cell>
          <cell r="N15">
            <v>16</v>
          </cell>
          <cell r="O15">
            <v>29</v>
          </cell>
          <cell r="P15">
            <v>251</v>
          </cell>
          <cell r="Q15">
            <v>179</v>
          </cell>
          <cell r="R15">
            <v>72</v>
          </cell>
          <cell r="S15">
            <v>2041</v>
          </cell>
          <cell r="T15">
            <v>296</v>
          </cell>
        </row>
        <row r="16">
          <cell r="C16" t="str">
            <v>Census Tract 12, King County, Washington</v>
          </cell>
          <cell r="D16">
            <v>6116</v>
          </cell>
          <cell r="E16">
            <v>4327</v>
          </cell>
          <cell r="F16">
            <v>2131</v>
          </cell>
          <cell r="G16">
            <v>2109</v>
          </cell>
          <cell r="H16">
            <v>225</v>
          </cell>
          <cell r="I16">
            <v>654</v>
          </cell>
          <cell r="J16">
            <v>250</v>
          </cell>
          <cell r="K16">
            <v>980</v>
          </cell>
          <cell r="L16">
            <v>87</v>
          </cell>
          <cell r="M16">
            <v>0</v>
          </cell>
          <cell r="N16">
            <v>22</v>
          </cell>
          <cell r="O16">
            <v>65</v>
          </cell>
          <cell r="P16">
            <v>1789</v>
          </cell>
          <cell r="Q16">
            <v>585</v>
          </cell>
          <cell r="R16">
            <v>1204</v>
          </cell>
          <cell r="S16">
            <v>4240</v>
          </cell>
          <cell r="T16">
            <v>1876</v>
          </cell>
        </row>
        <row r="17">
          <cell r="C17" t="str">
            <v>Census Tract 13, King County, Washington</v>
          </cell>
          <cell r="D17">
            <v>4183</v>
          </cell>
          <cell r="E17">
            <v>3134</v>
          </cell>
          <cell r="F17">
            <v>1627</v>
          </cell>
          <cell r="G17">
            <v>1345</v>
          </cell>
          <cell r="H17">
            <v>250</v>
          </cell>
          <cell r="I17">
            <v>331</v>
          </cell>
          <cell r="J17">
            <v>230</v>
          </cell>
          <cell r="K17">
            <v>534</v>
          </cell>
          <cell r="L17">
            <v>162</v>
          </cell>
          <cell r="M17">
            <v>0</v>
          </cell>
          <cell r="N17">
            <v>32</v>
          </cell>
          <cell r="O17">
            <v>130</v>
          </cell>
          <cell r="P17">
            <v>1049</v>
          </cell>
          <cell r="Q17">
            <v>374</v>
          </cell>
          <cell r="R17">
            <v>675</v>
          </cell>
          <cell r="S17">
            <v>2972</v>
          </cell>
          <cell r="T17">
            <v>1211</v>
          </cell>
        </row>
        <row r="18">
          <cell r="C18" t="str">
            <v>Census Tract 14, King County, Washington</v>
          </cell>
          <cell r="D18">
            <v>4673</v>
          </cell>
          <cell r="E18">
            <v>4089</v>
          </cell>
          <cell r="F18">
            <v>2293</v>
          </cell>
          <cell r="G18">
            <v>1743</v>
          </cell>
          <cell r="H18">
            <v>249</v>
          </cell>
          <cell r="I18">
            <v>457</v>
          </cell>
          <cell r="J18">
            <v>210</v>
          </cell>
          <cell r="K18">
            <v>827</v>
          </cell>
          <cell r="L18">
            <v>53</v>
          </cell>
          <cell r="M18">
            <v>0</v>
          </cell>
          <cell r="N18">
            <v>0</v>
          </cell>
          <cell r="O18">
            <v>53</v>
          </cell>
          <cell r="P18">
            <v>584</v>
          </cell>
          <cell r="Q18">
            <v>345</v>
          </cell>
          <cell r="R18">
            <v>239</v>
          </cell>
          <cell r="S18">
            <v>4036</v>
          </cell>
          <cell r="T18">
            <v>637</v>
          </cell>
        </row>
        <row r="19">
          <cell r="C19" t="str">
            <v>Census Tract 15, King County, Washington</v>
          </cell>
          <cell r="D19">
            <v>2329</v>
          </cell>
          <cell r="E19">
            <v>2012</v>
          </cell>
          <cell r="F19">
            <v>1163</v>
          </cell>
          <cell r="G19">
            <v>818</v>
          </cell>
          <cell r="H19">
            <v>185</v>
          </cell>
          <cell r="I19">
            <v>223</v>
          </cell>
          <cell r="J19">
            <v>124</v>
          </cell>
          <cell r="K19">
            <v>286</v>
          </cell>
          <cell r="L19">
            <v>31</v>
          </cell>
          <cell r="M19">
            <v>0</v>
          </cell>
          <cell r="N19">
            <v>0</v>
          </cell>
          <cell r="O19">
            <v>31</v>
          </cell>
          <cell r="P19">
            <v>317</v>
          </cell>
          <cell r="Q19">
            <v>191</v>
          </cell>
          <cell r="R19">
            <v>126</v>
          </cell>
          <cell r="S19">
            <v>1981</v>
          </cell>
          <cell r="T19">
            <v>348</v>
          </cell>
        </row>
        <row r="20">
          <cell r="C20" t="str">
            <v>Census Tract 16, King County, Washington</v>
          </cell>
          <cell r="D20">
            <v>3967</v>
          </cell>
          <cell r="E20">
            <v>3486</v>
          </cell>
          <cell r="F20">
            <v>2157</v>
          </cell>
          <cell r="G20">
            <v>1317</v>
          </cell>
          <cell r="H20">
            <v>214</v>
          </cell>
          <cell r="I20">
            <v>477</v>
          </cell>
          <cell r="J20">
            <v>184</v>
          </cell>
          <cell r="K20">
            <v>442</v>
          </cell>
          <cell r="L20">
            <v>12</v>
          </cell>
          <cell r="M20">
            <v>0</v>
          </cell>
          <cell r="N20">
            <v>0</v>
          </cell>
          <cell r="O20">
            <v>12</v>
          </cell>
          <cell r="P20">
            <v>481</v>
          </cell>
          <cell r="Q20">
            <v>302</v>
          </cell>
          <cell r="R20">
            <v>179</v>
          </cell>
          <cell r="S20">
            <v>3474</v>
          </cell>
          <cell r="T20">
            <v>493</v>
          </cell>
        </row>
        <row r="21">
          <cell r="C21" t="str">
            <v>Census Tract 17, King County, Washington</v>
          </cell>
          <cell r="D21">
            <v>7448</v>
          </cell>
          <cell r="E21">
            <v>6105</v>
          </cell>
          <cell r="F21">
            <v>2826</v>
          </cell>
          <cell r="G21">
            <v>3169</v>
          </cell>
          <cell r="H21">
            <v>432</v>
          </cell>
          <cell r="I21">
            <v>872</v>
          </cell>
          <cell r="J21">
            <v>462</v>
          </cell>
          <cell r="K21">
            <v>1403</v>
          </cell>
          <cell r="L21">
            <v>110</v>
          </cell>
          <cell r="M21">
            <v>0</v>
          </cell>
          <cell r="N21">
            <v>0</v>
          </cell>
          <cell r="O21">
            <v>110</v>
          </cell>
          <cell r="P21">
            <v>1343</v>
          </cell>
          <cell r="Q21">
            <v>680</v>
          </cell>
          <cell r="R21">
            <v>663</v>
          </cell>
          <cell r="S21">
            <v>5995</v>
          </cell>
          <cell r="T21">
            <v>1453</v>
          </cell>
        </row>
        <row r="22">
          <cell r="C22" t="str">
            <v>Census Tract 18, King County, Washington</v>
          </cell>
          <cell r="D22">
            <v>3991</v>
          </cell>
          <cell r="E22">
            <v>3259</v>
          </cell>
          <cell r="F22">
            <v>1588</v>
          </cell>
          <cell r="G22">
            <v>1563</v>
          </cell>
          <cell r="H22">
            <v>201</v>
          </cell>
          <cell r="I22">
            <v>460</v>
          </cell>
          <cell r="J22">
            <v>190</v>
          </cell>
          <cell r="K22">
            <v>712</v>
          </cell>
          <cell r="L22">
            <v>108</v>
          </cell>
          <cell r="M22">
            <v>9</v>
          </cell>
          <cell r="N22">
            <v>14</v>
          </cell>
          <cell r="O22">
            <v>85</v>
          </cell>
          <cell r="P22">
            <v>732</v>
          </cell>
          <cell r="Q22">
            <v>314</v>
          </cell>
          <cell r="R22">
            <v>418</v>
          </cell>
          <cell r="S22">
            <v>3151</v>
          </cell>
          <cell r="T22">
            <v>840</v>
          </cell>
        </row>
        <row r="23">
          <cell r="C23" t="str">
            <v>Census Tract 19, King County, Washington</v>
          </cell>
          <cell r="D23">
            <v>3423</v>
          </cell>
          <cell r="E23">
            <v>2962</v>
          </cell>
          <cell r="F23">
            <v>1629</v>
          </cell>
          <cell r="G23">
            <v>1274</v>
          </cell>
          <cell r="H23">
            <v>187</v>
          </cell>
          <cell r="I23">
            <v>452</v>
          </cell>
          <cell r="J23">
            <v>186</v>
          </cell>
          <cell r="K23">
            <v>449</v>
          </cell>
          <cell r="L23">
            <v>59</v>
          </cell>
          <cell r="M23">
            <v>0</v>
          </cell>
          <cell r="N23">
            <v>0</v>
          </cell>
          <cell r="O23">
            <v>59</v>
          </cell>
          <cell r="P23">
            <v>461</v>
          </cell>
          <cell r="Q23">
            <v>272</v>
          </cell>
          <cell r="R23">
            <v>189</v>
          </cell>
          <cell r="S23">
            <v>2903</v>
          </cell>
          <cell r="T23">
            <v>520</v>
          </cell>
        </row>
        <row r="24">
          <cell r="C24" t="str">
            <v>Census Tract 20, King County, Washington</v>
          </cell>
          <cell r="D24">
            <v>3116</v>
          </cell>
          <cell r="E24">
            <v>2780</v>
          </cell>
          <cell r="F24">
            <v>1229</v>
          </cell>
          <cell r="G24">
            <v>1536</v>
          </cell>
          <cell r="H24">
            <v>278</v>
          </cell>
          <cell r="I24">
            <v>411</v>
          </cell>
          <cell r="J24">
            <v>249</v>
          </cell>
          <cell r="K24">
            <v>598</v>
          </cell>
          <cell r="L24">
            <v>15</v>
          </cell>
          <cell r="M24">
            <v>0</v>
          </cell>
          <cell r="N24">
            <v>0</v>
          </cell>
          <cell r="O24">
            <v>15</v>
          </cell>
          <cell r="P24">
            <v>336</v>
          </cell>
          <cell r="Q24">
            <v>190</v>
          </cell>
          <cell r="R24">
            <v>146</v>
          </cell>
          <cell r="S24">
            <v>2765</v>
          </cell>
          <cell r="T24">
            <v>351</v>
          </cell>
        </row>
        <row r="25">
          <cell r="C25" t="str">
            <v>Census Tract 21, King County, Washington</v>
          </cell>
          <cell r="D25">
            <v>3637</v>
          </cell>
          <cell r="E25">
            <v>3200</v>
          </cell>
          <cell r="F25">
            <v>1674</v>
          </cell>
          <cell r="G25">
            <v>1445</v>
          </cell>
          <cell r="H25">
            <v>242</v>
          </cell>
          <cell r="I25">
            <v>444</v>
          </cell>
          <cell r="J25">
            <v>148</v>
          </cell>
          <cell r="K25">
            <v>611</v>
          </cell>
          <cell r="L25">
            <v>81</v>
          </cell>
          <cell r="M25">
            <v>0</v>
          </cell>
          <cell r="N25">
            <v>24</v>
          </cell>
          <cell r="O25">
            <v>57</v>
          </cell>
          <cell r="P25">
            <v>437</v>
          </cell>
          <cell r="Q25">
            <v>311</v>
          </cell>
          <cell r="R25">
            <v>126</v>
          </cell>
          <cell r="S25">
            <v>3119</v>
          </cell>
          <cell r="T25">
            <v>518</v>
          </cell>
        </row>
        <row r="26">
          <cell r="C26" t="str">
            <v>Census Tract 22, King County, Washington</v>
          </cell>
          <cell r="D26">
            <v>5396</v>
          </cell>
          <cell r="E26">
            <v>4626</v>
          </cell>
          <cell r="F26">
            <v>2273</v>
          </cell>
          <cell r="G26">
            <v>2227</v>
          </cell>
          <cell r="H26">
            <v>404</v>
          </cell>
          <cell r="I26">
            <v>812</v>
          </cell>
          <cell r="J26">
            <v>235</v>
          </cell>
          <cell r="K26">
            <v>776</v>
          </cell>
          <cell r="L26">
            <v>126</v>
          </cell>
          <cell r="M26">
            <v>0</v>
          </cell>
          <cell r="N26">
            <v>0</v>
          </cell>
          <cell r="O26">
            <v>126</v>
          </cell>
          <cell r="P26">
            <v>770</v>
          </cell>
          <cell r="Q26">
            <v>522</v>
          </cell>
          <cell r="R26">
            <v>248</v>
          </cell>
          <cell r="S26">
            <v>4500</v>
          </cell>
          <cell r="T26">
            <v>896</v>
          </cell>
        </row>
        <row r="27">
          <cell r="C27" t="str">
            <v>Census Tract 24, King County, Washington</v>
          </cell>
          <cell r="D27">
            <v>2828</v>
          </cell>
          <cell r="E27">
            <v>2409</v>
          </cell>
          <cell r="F27">
            <v>1180</v>
          </cell>
          <cell r="G27">
            <v>1184</v>
          </cell>
          <cell r="H27">
            <v>246</v>
          </cell>
          <cell r="I27">
            <v>342</v>
          </cell>
          <cell r="J27">
            <v>182</v>
          </cell>
          <cell r="K27">
            <v>414</v>
          </cell>
          <cell r="L27">
            <v>45</v>
          </cell>
          <cell r="M27">
            <v>0</v>
          </cell>
          <cell r="N27">
            <v>0</v>
          </cell>
          <cell r="O27">
            <v>45</v>
          </cell>
          <cell r="P27">
            <v>419</v>
          </cell>
          <cell r="Q27">
            <v>105</v>
          </cell>
          <cell r="R27">
            <v>314</v>
          </cell>
          <cell r="S27">
            <v>2364</v>
          </cell>
          <cell r="T27">
            <v>464</v>
          </cell>
        </row>
        <row r="28">
          <cell r="C28" t="str">
            <v>Census Tract 25, King County, Washington</v>
          </cell>
          <cell r="D28">
            <v>2541</v>
          </cell>
          <cell r="E28">
            <v>2239</v>
          </cell>
          <cell r="F28">
            <v>1022</v>
          </cell>
          <cell r="G28">
            <v>1164</v>
          </cell>
          <cell r="H28">
            <v>217</v>
          </cell>
          <cell r="I28">
            <v>282</v>
          </cell>
          <cell r="J28">
            <v>175</v>
          </cell>
          <cell r="K28">
            <v>490</v>
          </cell>
          <cell r="L28">
            <v>53</v>
          </cell>
          <cell r="M28">
            <v>8</v>
          </cell>
          <cell r="N28">
            <v>0</v>
          </cell>
          <cell r="O28">
            <v>45</v>
          </cell>
          <cell r="P28">
            <v>302</v>
          </cell>
          <cell r="Q28">
            <v>133</v>
          </cell>
          <cell r="R28">
            <v>169</v>
          </cell>
          <cell r="S28">
            <v>2186</v>
          </cell>
          <cell r="T28">
            <v>355</v>
          </cell>
        </row>
        <row r="29">
          <cell r="C29" t="str">
            <v>Census Tract 26, King County, Washington</v>
          </cell>
          <cell r="D29">
            <v>4522</v>
          </cell>
          <cell r="E29">
            <v>4167</v>
          </cell>
          <cell r="F29">
            <v>2009</v>
          </cell>
          <cell r="G29">
            <v>2088</v>
          </cell>
          <cell r="H29">
            <v>409</v>
          </cell>
          <cell r="I29">
            <v>500</v>
          </cell>
          <cell r="J29">
            <v>333</v>
          </cell>
          <cell r="K29">
            <v>846</v>
          </cell>
          <cell r="L29">
            <v>70</v>
          </cell>
          <cell r="M29">
            <v>0</v>
          </cell>
          <cell r="N29">
            <v>7</v>
          </cell>
          <cell r="O29">
            <v>63</v>
          </cell>
          <cell r="P29">
            <v>355</v>
          </cell>
          <cell r="Q29">
            <v>143</v>
          </cell>
          <cell r="R29">
            <v>212</v>
          </cell>
          <cell r="S29">
            <v>4097</v>
          </cell>
          <cell r="T29">
            <v>425</v>
          </cell>
        </row>
        <row r="30">
          <cell r="C30" t="str">
            <v>Census Tract 27, King County, Washington</v>
          </cell>
          <cell r="D30">
            <v>4943</v>
          </cell>
          <cell r="E30">
            <v>4563</v>
          </cell>
          <cell r="F30">
            <v>2365</v>
          </cell>
          <cell r="G30">
            <v>2138</v>
          </cell>
          <cell r="H30">
            <v>471</v>
          </cell>
          <cell r="I30">
            <v>574</v>
          </cell>
          <cell r="J30">
            <v>294</v>
          </cell>
          <cell r="K30">
            <v>799</v>
          </cell>
          <cell r="L30">
            <v>60</v>
          </cell>
          <cell r="M30">
            <v>0</v>
          </cell>
          <cell r="N30">
            <v>0</v>
          </cell>
          <cell r="O30">
            <v>60</v>
          </cell>
          <cell r="P30">
            <v>380</v>
          </cell>
          <cell r="Q30">
            <v>263</v>
          </cell>
          <cell r="R30">
            <v>117</v>
          </cell>
          <cell r="S30">
            <v>4503</v>
          </cell>
          <cell r="T30">
            <v>440</v>
          </cell>
        </row>
        <row r="31">
          <cell r="C31" t="str">
            <v>Census Tract 28, King County, Washington</v>
          </cell>
          <cell r="D31">
            <v>4232</v>
          </cell>
          <cell r="E31">
            <v>3888</v>
          </cell>
          <cell r="F31">
            <v>1656</v>
          </cell>
          <cell r="G31">
            <v>2160</v>
          </cell>
          <cell r="H31">
            <v>335</v>
          </cell>
          <cell r="I31">
            <v>604</v>
          </cell>
          <cell r="J31">
            <v>319</v>
          </cell>
          <cell r="K31">
            <v>902</v>
          </cell>
          <cell r="L31">
            <v>72</v>
          </cell>
          <cell r="M31">
            <v>0</v>
          </cell>
          <cell r="N31">
            <v>6</v>
          </cell>
          <cell r="O31">
            <v>66</v>
          </cell>
          <cell r="P31">
            <v>344</v>
          </cell>
          <cell r="Q31">
            <v>186</v>
          </cell>
          <cell r="R31">
            <v>158</v>
          </cell>
          <cell r="S31">
            <v>3816</v>
          </cell>
          <cell r="T31">
            <v>416</v>
          </cell>
        </row>
        <row r="32">
          <cell r="C32" t="str">
            <v>Census Tract 29, King County, Washington</v>
          </cell>
          <cell r="D32">
            <v>3984</v>
          </cell>
          <cell r="E32">
            <v>3720</v>
          </cell>
          <cell r="F32">
            <v>1891</v>
          </cell>
          <cell r="G32">
            <v>1736</v>
          </cell>
          <cell r="H32">
            <v>328</v>
          </cell>
          <cell r="I32">
            <v>438</v>
          </cell>
          <cell r="J32">
            <v>247</v>
          </cell>
          <cell r="K32">
            <v>723</v>
          </cell>
          <cell r="L32">
            <v>93</v>
          </cell>
          <cell r="M32">
            <v>0</v>
          </cell>
          <cell r="N32">
            <v>0</v>
          </cell>
          <cell r="O32">
            <v>93</v>
          </cell>
          <cell r="P32">
            <v>264</v>
          </cell>
          <cell r="Q32">
            <v>128</v>
          </cell>
          <cell r="R32">
            <v>136</v>
          </cell>
          <cell r="S32">
            <v>3627</v>
          </cell>
          <cell r="T32">
            <v>357</v>
          </cell>
        </row>
        <row r="33">
          <cell r="C33" t="str">
            <v>Census Tract 30, King County, Washington</v>
          </cell>
          <cell r="D33">
            <v>5250</v>
          </cell>
          <cell r="E33">
            <v>4809</v>
          </cell>
          <cell r="F33">
            <v>2260</v>
          </cell>
          <cell r="G33">
            <v>2451</v>
          </cell>
          <cell r="H33">
            <v>410</v>
          </cell>
          <cell r="I33">
            <v>718</v>
          </cell>
          <cell r="J33">
            <v>288</v>
          </cell>
          <cell r="K33">
            <v>1035</v>
          </cell>
          <cell r="L33">
            <v>98</v>
          </cell>
          <cell r="M33">
            <v>0</v>
          </cell>
          <cell r="N33">
            <v>18</v>
          </cell>
          <cell r="O33">
            <v>80</v>
          </cell>
          <cell r="P33">
            <v>441</v>
          </cell>
          <cell r="Q33">
            <v>185</v>
          </cell>
          <cell r="R33">
            <v>256</v>
          </cell>
          <cell r="S33">
            <v>4711</v>
          </cell>
          <cell r="T33">
            <v>539</v>
          </cell>
        </row>
        <row r="34">
          <cell r="C34" t="str">
            <v>Census Tract 31, King County, Washington</v>
          </cell>
          <cell r="D34">
            <v>6038</v>
          </cell>
          <cell r="E34">
            <v>5683</v>
          </cell>
          <cell r="F34">
            <v>3048</v>
          </cell>
          <cell r="G34">
            <v>2516</v>
          </cell>
          <cell r="H34">
            <v>380</v>
          </cell>
          <cell r="I34">
            <v>883</v>
          </cell>
          <cell r="J34">
            <v>328</v>
          </cell>
          <cell r="K34">
            <v>925</v>
          </cell>
          <cell r="L34">
            <v>119</v>
          </cell>
          <cell r="M34">
            <v>0</v>
          </cell>
          <cell r="N34">
            <v>0</v>
          </cell>
          <cell r="O34">
            <v>119</v>
          </cell>
          <cell r="P34">
            <v>355</v>
          </cell>
          <cell r="Q34">
            <v>216</v>
          </cell>
          <cell r="R34">
            <v>139</v>
          </cell>
          <cell r="S34">
            <v>5564</v>
          </cell>
          <cell r="T34">
            <v>474</v>
          </cell>
        </row>
        <row r="35">
          <cell r="C35" t="str">
            <v>Census Tract 32, King County, Washington</v>
          </cell>
          <cell r="D35">
            <v>7213</v>
          </cell>
          <cell r="E35">
            <v>6487</v>
          </cell>
          <cell r="F35">
            <v>3333</v>
          </cell>
          <cell r="G35">
            <v>3073</v>
          </cell>
          <cell r="H35">
            <v>586</v>
          </cell>
          <cell r="I35">
            <v>984</v>
          </cell>
          <cell r="J35">
            <v>424</v>
          </cell>
          <cell r="K35">
            <v>1079</v>
          </cell>
          <cell r="L35">
            <v>81</v>
          </cell>
          <cell r="M35">
            <v>0</v>
          </cell>
          <cell r="N35">
            <v>0</v>
          </cell>
          <cell r="O35">
            <v>81</v>
          </cell>
          <cell r="P35">
            <v>726</v>
          </cell>
          <cell r="Q35">
            <v>318</v>
          </cell>
          <cell r="R35">
            <v>408</v>
          </cell>
          <cell r="S35">
            <v>6406</v>
          </cell>
          <cell r="T35">
            <v>807</v>
          </cell>
        </row>
        <row r="36">
          <cell r="C36" t="str">
            <v>Census Tract 33, King County, Washington</v>
          </cell>
          <cell r="D36">
            <v>5832</v>
          </cell>
          <cell r="E36">
            <v>5292</v>
          </cell>
          <cell r="F36">
            <v>2147</v>
          </cell>
          <cell r="G36">
            <v>3037</v>
          </cell>
          <cell r="H36">
            <v>398</v>
          </cell>
          <cell r="I36">
            <v>908</v>
          </cell>
          <cell r="J36">
            <v>591</v>
          </cell>
          <cell r="K36">
            <v>1140</v>
          </cell>
          <cell r="L36">
            <v>108</v>
          </cell>
          <cell r="M36">
            <v>0</v>
          </cell>
          <cell r="N36">
            <v>0</v>
          </cell>
          <cell r="O36">
            <v>108</v>
          </cell>
          <cell r="P36">
            <v>540</v>
          </cell>
          <cell r="Q36">
            <v>313</v>
          </cell>
          <cell r="R36">
            <v>227</v>
          </cell>
          <cell r="S36">
            <v>5184</v>
          </cell>
          <cell r="T36">
            <v>648</v>
          </cell>
        </row>
        <row r="37">
          <cell r="C37" t="str">
            <v>Census Tract 34, King County, Washington</v>
          </cell>
          <cell r="D37">
            <v>3198</v>
          </cell>
          <cell r="E37">
            <v>2989</v>
          </cell>
          <cell r="F37">
            <v>1443</v>
          </cell>
          <cell r="G37">
            <v>1494</v>
          </cell>
          <cell r="H37">
            <v>284</v>
          </cell>
          <cell r="I37">
            <v>461</v>
          </cell>
          <cell r="J37">
            <v>170</v>
          </cell>
          <cell r="K37">
            <v>579</v>
          </cell>
          <cell r="L37">
            <v>52</v>
          </cell>
          <cell r="M37">
            <v>0</v>
          </cell>
          <cell r="N37">
            <v>8</v>
          </cell>
          <cell r="O37">
            <v>44</v>
          </cell>
          <cell r="P37">
            <v>209</v>
          </cell>
          <cell r="Q37">
            <v>80</v>
          </cell>
          <cell r="R37">
            <v>129</v>
          </cell>
          <cell r="S37">
            <v>2937</v>
          </cell>
          <cell r="T37">
            <v>261</v>
          </cell>
        </row>
        <row r="38">
          <cell r="C38" t="str">
            <v>Census Tract 35, King County, Washington</v>
          </cell>
          <cell r="D38">
            <v>3639</v>
          </cell>
          <cell r="E38">
            <v>3405</v>
          </cell>
          <cell r="F38">
            <v>1449</v>
          </cell>
          <cell r="G38">
            <v>1897</v>
          </cell>
          <cell r="H38">
            <v>390</v>
          </cell>
          <cell r="I38">
            <v>599</v>
          </cell>
          <cell r="J38">
            <v>202</v>
          </cell>
          <cell r="K38">
            <v>706</v>
          </cell>
          <cell r="L38">
            <v>59</v>
          </cell>
          <cell r="M38">
            <v>0</v>
          </cell>
          <cell r="N38">
            <v>0</v>
          </cell>
          <cell r="O38">
            <v>59</v>
          </cell>
          <cell r="P38">
            <v>234</v>
          </cell>
          <cell r="Q38">
            <v>162</v>
          </cell>
          <cell r="R38">
            <v>72</v>
          </cell>
          <cell r="S38">
            <v>3346</v>
          </cell>
          <cell r="T38">
            <v>293</v>
          </cell>
        </row>
        <row r="39">
          <cell r="C39" t="str">
            <v>Census Tract 36, King County, Washington</v>
          </cell>
          <cell r="D39">
            <v>4886</v>
          </cell>
          <cell r="E39">
            <v>4371</v>
          </cell>
          <cell r="F39">
            <v>1772</v>
          </cell>
          <cell r="G39">
            <v>2462</v>
          </cell>
          <cell r="H39">
            <v>341</v>
          </cell>
          <cell r="I39">
            <v>808</v>
          </cell>
          <cell r="J39">
            <v>365</v>
          </cell>
          <cell r="K39">
            <v>948</v>
          </cell>
          <cell r="L39">
            <v>137</v>
          </cell>
          <cell r="M39">
            <v>7</v>
          </cell>
          <cell r="N39">
            <v>0</v>
          </cell>
          <cell r="O39">
            <v>130</v>
          </cell>
          <cell r="P39">
            <v>515</v>
          </cell>
          <cell r="Q39">
            <v>256</v>
          </cell>
          <cell r="R39">
            <v>259</v>
          </cell>
          <cell r="S39">
            <v>4234</v>
          </cell>
          <cell r="T39">
            <v>652</v>
          </cell>
        </row>
        <row r="40">
          <cell r="C40" t="str">
            <v>Census Tract 38, King County, Washington</v>
          </cell>
          <cell r="D40">
            <v>1995</v>
          </cell>
          <cell r="E40">
            <v>1700</v>
          </cell>
          <cell r="F40">
            <v>808</v>
          </cell>
          <cell r="G40">
            <v>868</v>
          </cell>
          <cell r="H40">
            <v>165</v>
          </cell>
          <cell r="I40">
            <v>346</v>
          </cell>
          <cell r="J40">
            <v>113</v>
          </cell>
          <cell r="K40">
            <v>244</v>
          </cell>
          <cell r="L40">
            <v>24</v>
          </cell>
          <cell r="M40">
            <v>5</v>
          </cell>
          <cell r="N40">
            <v>0</v>
          </cell>
          <cell r="O40">
            <v>19</v>
          </cell>
          <cell r="P40">
            <v>295</v>
          </cell>
          <cell r="Q40">
            <v>152</v>
          </cell>
          <cell r="R40">
            <v>143</v>
          </cell>
          <cell r="S40">
            <v>1676</v>
          </cell>
          <cell r="T40">
            <v>319</v>
          </cell>
        </row>
        <row r="41">
          <cell r="C41" t="str">
            <v>Census Tract 39, King County, Washington</v>
          </cell>
          <cell r="D41">
            <v>2688</v>
          </cell>
          <cell r="E41">
            <v>2323</v>
          </cell>
          <cell r="F41">
            <v>1256</v>
          </cell>
          <cell r="G41">
            <v>1006</v>
          </cell>
          <cell r="H41">
            <v>253</v>
          </cell>
          <cell r="I41">
            <v>209</v>
          </cell>
          <cell r="J41">
            <v>156</v>
          </cell>
          <cell r="K41">
            <v>388</v>
          </cell>
          <cell r="L41">
            <v>61</v>
          </cell>
          <cell r="M41">
            <v>9</v>
          </cell>
          <cell r="N41">
            <v>0</v>
          </cell>
          <cell r="O41">
            <v>52</v>
          </cell>
          <cell r="P41">
            <v>365</v>
          </cell>
          <cell r="Q41">
            <v>232</v>
          </cell>
          <cell r="R41">
            <v>133</v>
          </cell>
          <cell r="S41">
            <v>2262</v>
          </cell>
          <cell r="T41">
            <v>426</v>
          </cell>
        </row>
        <row r="42">
          <cell r="C42" t="str">
            <v>Census Tract 40, King County, Washington</v>
          </cell>
          <cell r="D42">
            <v>2352</v>
          </cell>
          <cell r="E42">
            <v>2003</v>
          </cell>
          <cell r="F42">
            <v>931</v>
          </cell>
          <cell r="G42">
            <v>1050</v>
          </cell>
          <cell r="H42">
            <v>190</v>
          </cell>
          <cell r="I42">
            <v>360</v>
          </cell>
          <cell r="J42">
            <v>106</v>
          </cell>
          <cell r="K42">
            <v>394</v>
          </cell>
          <cell r="L42">
            <v>22</v>
          </cell>
          <cell r="M42">
            <v>0</v>
          </cell>
          <cell r="N42">
            <v>0</v>
          </cell>
          <cell r="O42">
            <v>22</v>
          </cell>
          <cell r="P42">
            <v>349</v>
          </cell>
          <cell r="Q42">
            <v>167</v>
          </cell>
          <cell r="R42">
            <v>182</v>
          </cell>
          <cell r="S42">
            <v>1981</v>
          </cell>
          <cell r="T42">
            <v>371</v>
          </cell>
        </row>
        <row r="43">
          <cell r="C43" t="str">
            <v>Census Tract 41, King County, Washington</v>
          </cell>
          <cell r="D43">
            <v>7505</v>
          </cell>
          <cell r="E43">
            <v>6615</v>
          </cell>
          <cell r="F43">
            <v>3560</v>
          </cell>
          <cell r="G43">
            <v>2936</v>
          </cell>
          <cell r="H43">
            <v>577</v>
          </cell>
          <cell r="I43">
            <v>739</v>
          </cell>
          <cell r="J43">
            <v>539</v>
          </cell>
          <cell r="K43">
            <v>1081</v>
          </cell>
          <cell r="L43">
            <v>119</v>
          </cell>
          <cell r="M43">
            <v>7</v>
          </cell>
          <cell r="N43">
            <v>0</v>
          </cell>
          <cell r="O43">
            <v>112</v>
          </cell>
          <cell r="P43">
            <v>890</v>
          </cell>
          <cell r="Q43">
            <v>317</v>
          </cell>
          <cell r="R43">
            <v>573</v>
          </cell>
          <cell r="S43">
            <v>6496</v>
          </cell>
          <cell r="T43">
            <v>1009</v>
          </cell>
        </row>
        <row r="44">
          <cell r="C44" t="str">
            <v>Census Tract 42, King County, Washington</v>
          </cell>
          <cell r="D44">
            <v>7202</v>
          </cell>
          <cell r="E44">
            <v>6417</v>
          </cell>
          <cell r="F44">
            <v>2870</v>
          </cell>
          <cell r="G44">
            <v>3361</v>
          </cell>
          <cell r="H44">
            <v>656</v>
          </cell>
          <cell r="I44">
            <v>928</v>
          </cell>
          <cell r="J44">
            <v>589</v>
          </cell>
          <cell r="K44">
            <v>1188</v>
          </cell>
          <cell r="L44">
            <v>186</v>
          </cell>
          <cell r="M44">
            <v>0</v>
          </cell>
          <cell r="N44">
            <v>19</v>
          </cell>
          <cell r="O44">
            <v>167</v>
          </cell>
          <cell r="P44">
            <v>785</v>
          </cell>
          <cell r="Q44">
            <v>325</v>
          </cell>
          <cell r="R44">
            <v>460</v>
          </cell>
          <cell r="S44">
            <v>6231</v>
          </cell>
          <cell r="T44">
            <v>971</v>
          </cell>
        </row>
        <row r="45">
          <cell r="C45" t="str">
            <v>Census Tract 43, King County, Washington</v>
          </cell>
          <cell r="D45">
            <v>6132</v>
          </cell>
          <cell r="E45">
            <v>5225</v>
          </cell>
          <cell r="F45">
            <v>2491</v>
          </cell>
          <cell r="G45">
            <v>2622</v>
          </cell>
          <cell r="H45">
            <v>446</v>
          </cell>
          <cell r="I45">
            <v>574</v>
          </cell>
          <cell r="J45">
            <v>349</v>
          </cell>
          <cell r="K45">
            <v>1253</v>
          </cell>
          <cell r="L45">
            <v>112</v>
          </cell>
          <cell r="M45">
            <v>2</v>
          </cell>
          <cell r="N45">
            <v>0</v>
          </cell>
          <cell r="O45">
            <v>110</v>
          </cell>
          <cell r="P45">
            <v>907</v>
          </cell>
          <cell r="Q45">
            <v>293</v>
          </cell>
          <cell r="R45">
            <v>614</v>
          </cell>
          <cell r="S45">
            <v>5113</v>
          </cell>
          <cell r="T45">
            <v>1019</v>
          </cell>
        </row>
        <row r="46">
          <cell r="C46" t="str">
            <v>Census Tract 44, King County, Washington</v>
          </cell>
          <cell r="D46">
            <v>5740</v>
          </cell>
          <cell r="E46">
            <v>4807</v>
          </cell>
          <cell r="F46">
            <v>1797</v>
          </cell>
          <cell r="G46">
            <v>2898</v>
          </cell>
          <cell r="H46">
            <v>415</v>
          </cell>
          <cell r="I46">
            <v>668</v>
          </cell>
          <cell r="J46">
            <v>480</v>
          </cell>
          <cell r="K46">
            <v>1335</v>
          </cell>
          <cell r="L46">
            <v>112</v>
          </cell>
          <cell r="M46">
            <v>0</v>
          </cell>
          <cell r="N46">
            <v>0</v>
          </cell>
          <cell r="O46">
            <v>112</v>
          </cell>
          <cell r="P46">
            <v>933</v>
          </cell>
          <cell r="Q46">
            <v>310</v>
          </cell>
          <cell r="R46">
            <v>623</v>
          </cell>
          <cell r="S46">
            <v>4695</v>
          </cell>
          <cell r="T46">
            <v>1045</v>
          </cell>
        </row>
        <row r="47">
          <cell r="C47" t="str">
            <v>Census Tract 45, King County, Washington</v>
          </cell>
          <cell r="D47">
            <v>2369</v>
          </cell>
          <cell r="E47">
            <v>2103</v>
          </cell>
          <cell r="F47">
            <v>782</v>
          </cell>
          <cell r="G47">
            <v>1252</v>
          </cell>
          <cell r="H47">
            <v>255</v>
          </cell>
          <cell r="I47">
            <v>344</v>
          </cell>
          <cell r="J47">
            <v>204</v>
          </cell>
          <cell r="K47">
            <v>449</v>
          </cell>
          <cell r="L47">
            <v>69</v>
          </cell>
          <cell r="M47">
            <v>4</v>
          </cell>
          <cell r="N47">
            <v>13</v>
          </cell>
          <cell r="O47">
            <v>52</v>
          </cell>
          <cell r="P47">
            <v>266</v>
          </cell>
          <cell r="Q47">
            <v>123</v>
          </cell>
          <cell r="R47">
            <v>143</v>
          </cell>
          <cell r="S47">
            <v>2034</v>
          </cell>
          <cell r="T47">
            <v>335</v>
          </cell>
        </row>
        <row r="48">
          <cell r="C48" t="str">
            <v>Census Tract 46, King County, Washington</v>
          </cell>
          <cell r="D48">
            <v>3068</v>
          </cell>
          <cell r="E48">
            <v>2783</v>
          </cell>
          <cell r="F48">
            <v>1279</v>
          </cell>
          <cell r="G48">
            <v>1464</v>
          </cell>
          <cell r="H48">
            <v>287</v>
          </cell>
          <cell r="I48">
            <v>442</v>
          </cell>
          <cell r="J48">
            <v>158</v>
          </cell>
          <cell r="K48">
            <v>577</v>
          </cell>
          <cell r="L48">
            <v>40</v>
          </cell>
          <cell r="M48">
            <v>0</v>
          </cell>
          <cell r="N48">
            <v>0</v>
          </cell>
          <cell r="O48">
            <v>40</v>
          </cell>
          <cell r="P48">
            <v>285</v>
          </cell>
          <cell r="Q48">
            <v>101</v>
          </cell>
          <cell r="R48">
            <v>184</v>
          </cell>
          <cell r="S48">
            <v>2743</v>
          </cell>
          <cell r="T48">
            <v>325</v>
          </cell>
        </row>
        <row r="49">
          <cell r="C49" t="str">
            <v>Census Tract 47, King County, Washington</v>
          </cell>
          <cell r="D49">
            <v>4916</v>
          </cell>
          <cell r="E49">
            <v>4347</v>
          </cell>
          <cell r="F49">
            <v>1979</v>
          </cell>
          <cell r="G49">
            <v>2294</v>
          </cell>
          <cell r="H49">
            <v>320</v>
          </cell>
          <cell r="I49">
            <v>679</v>
          </cell>
          <cell r="J49">
            <v>441</v>
          </cell>
          <cell r="K49">
            <v>854</v>
          </cell>
          <cell r="L49">
            <v>74</v>
          </cell>
          <cell r="M49">
            <v>0</v>
          </cell>
          <cell r="N49">
            <v>0</v>
          </cell>
          <cell r="O49">
            <v>74</v>
          </cell>
          <cell r="P49">
            <v>569</v>
          </cell>
          <cell r="Q49">
            <v>314</v>
          </cell>
          <cell r="R49">
            <v>255</v>
          </cell>
          <cell r="S49">
            <v>4273</v>
          </cell>
          <cell r="T49">
            <v>643</v>
          </cell>
        </row>
        <row r="50">
          <cell r="C50" t="str">
            <v>Census Tract 48, King County, Washington</v>
          </cell>
          <cell r="D50">
            <v>4325</v>
          </cell>
          <cell r="E50">
            <v>4031</v>
          </cell>
          <cell r="F50">
            <v>1650</v>
          </cell>
          <cell r="G50">
            <v>2279</v>
          </cell>
          <cell r="H50">
            <v>526</v>
          </cell>
          <cell r="I50">
            <v>672</v>
          </cell>
          <cell r="J50">
            <v>282</v>
          </cell>
          <cell r="K50">
            <v>799</v>
          </cell>
          <cell r="L50">
            <v>102</v>
          </cell>
          <cell r="M50">
            <v>16</v>
          </cell>
          <cell r="N50">
            <v>0</v>
          </cell>
          <cell r="O50">
            <v>86</v>
          </cell>
          <cell r="P50">
            <v>294</v>
          </cell>
          <cell r="Q50">
            <v>149</v>
          </cell>
          <cell r="R50">
            <v>145</v>
          </cell>
          <cell r="S50">
            <v>3929</v>
          </cell>
          <cell r="T50">
            <v>396</v>
          </cell>
        </row>
        <row r="51">
          <cell r="C51" t="str">
            <v>Census Tract 49, King County, Washington</v>
          </cell>
          <cell r="D51">
            <v>5525</v>
          </cell>
          <cell r="E51">
            <v>5127</v>
          </cell>
          <cell r="F51">
            <v>1832</v>
          </cell>
          <cell r="G51">
            <v>3224</v>
          </cell>
          <cell r="H51">
            <v>749</v>
          </cell>
          <cell r="I51">
            <v>954</v>
          </cell>
          <cell r="J51">
            <v>399</v>
          </cell>
          <cell r="K51">
            <v>1122</v>
          </cell>
          <cell r="L51">
            <v>71</v>
          </cell>
          <cell r="M51">
            <v>0</v>
          </cell>
          <cell r="N51">
            <v>0</v>
          </cell>
          <cell r="O51">
            <v>71</v>
          </cell>
          <cell r="P51">
            <v>398</v>
          </cell>
          <cell r="Q51">
            <v>181</v>
          </cell>
          <cell r="R51">
            <v>217</v>
          </cell>
          <cell r="S51">
            <v>5056</v>
          </cell>
          <cell r="T51">
            <v>469</v>
          </cell>
        </row>
        <row r="52">
          <cell r="C52" t="str">
            <v>Census Tract 50, King County, Washington</v>
          </cell>
          <cell r="D52">
            <v>3252</v>
          </cell>
          <cell r="E52">
            <v>2926</v>
          </cell>
          <cell r="F52">
            <v>957</v>
          </cell>
          <cell r="G52">
            <v>1945</v>
          </cell>
          <cell r="H52">
            <v>377</v>
          </cell>
          <cell r="I52">
            <v>590</v>
          </cell>
          <cell r="J52">
            <v>244</v>
          </cell>
          <cell r="K52">
            <v>734</v>
          </cell>
          <cell r="L52">
            <v>24</v>
          </cell>
          <cell r="M52">
            <v>0</v>
          </cell>
          <cell r="N52">
            <v>0</v>
          </cell>
          <cell r="O52">
            <v>24</v>
          </cell>
          <cell r="P52">
            <v>326</v>
          </cell>
          <cell r="Q52">
            <v>134</v>
          </cell>
          <cell r="R52">
            <v>192</v>
          </cell>
          <cell r="S52">
            <v>2902</v>
          </cell>
          <cell r="T52">
            <v>350</v>
          </cell>
        </row>
        <row r="53">
          <cell r="C53" t="str">
            <v>Census Tract 51, King County, Washington</v>
          </cell>
          <cell r="D53">
            <v>3420</v>
          </cell>
          <cell r="E53">
            <v>3044</v>
          </cell>
          <cell r="F53">
            <v>1370</v>
          </cell>
          <cell r="G53">
            <v>1582</v>
          </cell>
          <cell r="H53">
            <v>414</v>
          </cell>
          <cell r="I53">
            <v>444</v>
          </cell>
          <cell r="J53">
            <v>225</v>
          </cell>
          <cell r="K53">
            <v>499</v>
          </cell>
          <cell r="L53">
            <v>92</v>
          </cell>
          <cell r="M53">
            <v>7</v>
          </cell>
          <cell r="N53">
            <v>0</v>
          </cell>
          <cell r="O53">
            <v>85</v>
          </cell>
          <cell r="P53">
            <v>376</v>
          </cell>
          <cell r="Q53">
            <v>182</v>
          </cell>
          <cell r="R53">
            <v>194</v>
          </cell>
          <cell r="S53">
            <v>2952</v>
          </cell>
          <cell r="T53">
            <v>468</v>
          </cell>
        </row>
        <row r="54">
          <cell r="C54" t="str">
            <v>Census Tract 52, King County, Washington</v>
          </cell>
          <cell r="D54">
            <v>5281</v>
          </cell>
          <cell r="E54">
            <v>4521</v>
          </cell>
          <cell r="F54">
            <v>1696</v>
          </cell>
          <cell r="G54">
            <v>2678</v>
          </cell>
          <cell r="H54">
            <v>405</v>
          </cell>
          <cell r="I54">
            <v>749</v>
          </cell>
          <cell r="J54">
            <v>289</v>
          </cell>
          <cell r="K54">
            <v>1235</v>
          </cell>
          <cell r="L54">
            <v>147</v>
          </cell>
          <cell r="M54">
            <v>0</v>
          </cell>
          <cell r="N54">
            <v>37</v>
          </cell>
          <cell r="O54">
            <v>110</v>
          </cell>
          <cell r="P54">
            <v>760</v>
          </cell>
          <cell r="Q54">
            <v>291</v>
          </cell>
          <cell r="R54">
            <v>469</v>
          </cell>
          <cell r="S54">
            <v>4374</v>
          </cell>
          <cell r="T54">
            <v>907</v>
          </cell>
        </row>
        <row r="55">
          <cell r="C55" t="str">
            <v>Census Tract 53.01, King County, Washington</v>
          </cell>
          <cell r="D55">
            <v>8509</v>
          </cell>
          <cell r="E55">
            <v>7120</v>
          </cell>
          <cell r="F55">
            <v>3811</v>
          </cell>
          <cell r="G55">
            <v>3109</v>
          </cell>
          <cell r="H55">
            <v>232</v>
          </cell>
          <cell r="I55">
            <v>605</v>
          </cell>
          <cell r="J55">
            <v>475</v>
          </cell>
          <cell r="K55">
            <v>1797</v>
          </cell>
          <cell r="L55">
            <v>200</v>
          </cell>
          <cell r="M55">
            <v>0</v>
          </cell>
          <cell r="N55">
            <v>62</v>
          </cell>
          <cell r="O55">
            <v>138</v>
          </cell>
          <cell r="P55">
            <v>1389</v>
          </cell>
          <cell r="Q55">
            <v>370</v>
          </cell>
          <cell r="R55">
            <v>1019</v>
          </cell>
          <cell r="S55">
            <v>6920</v>
          </cell>
          <cell r="T55">
            <v>1589</v>
          </cell>
        </row>
        <row r="56">
          <cell r="C56" t="str">
            <v>Census Tract 53.02, King County, Washington</v>
          </cell>
          <cell r="D56">
            <v>2561</v>
          </cell>
          <cell r="E56">
            <v>1938</v>
          </cell>
          <cell r="F56">
            <v>852</v>
          </cell>
          <cell r="G56">
            <v>944</v>
          </cell>
          <cell r="H56">
            <v>102</v>
          </cell>
          <cell r="I56">
            <v>211</v>
          </cell>
          <cell r="J56">
            <v>99</v>
          </cell>
          <cell r="K56">
            <v>532</v>
          </cell>
          <cell r="L56">
            <v>142</v>
          </cell>
          <cell r="M56">
            <v>0</v>
          </cell>
          <cell r="N56">
            <v>36</v>
          </cell>
          <cell r="O56">
            <v>106</v>
          </cell>
          <cell r="P56">
            <v>623</v>
          </cell>
          <cell r="Q56">
            <v>171</v>
          </cell>
          <cell r="R56">
            <v>452</v>
          </cell>
          <cell r="S56">
            <v>1796</v>
          </cell>
          <cell r="T56">
            <v>765</v>
          </cell>
        </row>
        <row r="57">
          <cell r="C57" t="str">
            <v>Census Tract 54, King County, Washington</v>
          </cell>
          <cell r="D57">
            <v>4241</v>
          </cell>
          <cell r="E57">
            <v>3959</v>
          </cell>
          <cell r="F57">
            <v>1383</v>
          </cell>
          <cell r="G57">
            <v>2429</v>
          </cell>
          <cell r="H57">
            <v>595</v>
          </cell>
          <cell r="I57">
            <v>600</v>
          </cell>
          <cell r="J57">
            <v>362</v>
          </cell>
          <cell r="K57">
            <v>872</v>
          </cell>
          <cell r="L57">
            <v>147</v>
          </cell>
          <cell r="M57">
            <v>0</v>
          </cell>
          <cell r="N57">
            <v>0</v>
          </cell>
          <cell r="O57">
            <v>147</v>
          </cell>
          <cell r="P57">
            <v>282</v>
          </cell>
          <cell r="Q57">
            <v>196</v>
          </cell>
          <cell r="R57">
            <v>86</v>
          </cell>
          <cell r="S57">
            <v>3812</v>
          </cell>
          <cell r="T57">
            <v>429</v>
          </cell>
        </row>
        <row r="58">
          <cell r="C58" t="str">
            <v>Census Tract 56, King County, Washington</v>
          </cell>
          <cell r="D58">
            <v>6229</v>
          </cell>
          <cell r="E58">
            <v>5716</v>
          </cell>
          <cell r="F58">
            <v>2888</v>
          </cell>
          <cell r="G58">
            <v>2763</v>
          </cell>
          <cell r="H58">
            <v>470</v>
          </cell>
          <cell r="I58">
            <v>908</v>
          </cell>
          <cell r="J58">
            <v>400</v>
          </cell>
          <cell r="K58">
            <v>985</v>
          </cell>
          <cell r="L58">
            <v>65</v>
          </cell>
          <cell r="M58">
            <v>7</v>
          </cell>
          <cell r="N58">
            <v>0</v>
          </cell>
          <cell r="O58">
            <v>58</v>
          </cell>
          <cell r="P58">
            <v>513</v>
          </cell>
          <cell r="Q58">
            <v>321</v>
          </cell>
          <cell r="R58">
            <v>192</v>
          </cell>
          <cell r="S58">
            <v>5651</v>
          </cell>
          <cell r="T58">
            <v>578</v>
          </cell>
        </row>
        <row r="59">
          <cell r="C59" t="str">
            <v>Census Tract 57, King County, Washington</v>
          </cell>
          <cell r="D59">
            <v>5990</v>
          </cell>
          <cell r="E59">
            <v>5356</v>
          </cell>
          <cell r="F59">
            <v>2548</v>
          </cell>
          <cell r="G59">
            <v>2745</v>
          </cell>
          <cell r="H59">
            <v>430</v>
          </cell>
          <cell r="I59">
            <v>827</v>
          </cell>
          <cell r="J59">
            <v>427</v>
          </cell>
          <cell r="K59">
            <v>1061</v>
          </cell>
          <cell r="L59">
            <v>63</v>
          </cell>
          <cell r="M59">
            <v>0</v>
          </cell>
          <cell r="N59">
            <v>28</v>
          </cell>
          <cell r="O59">
            <v>35</v>
          </cell>
          <cell r="P59">
            <v>634</v>
          </cell>
          <cell r="Q59">
            <v>357</v>
          </cell>
          <cell r="R59">
            <v>277</v>
          </cell>
          <cell r="S59">
            <v>5293</v>
          </cell>
          <cell r="T59">
            <v>697</v>
          </cell>
        </row>
        <row r="60">
          <cell r="C60" t="str">
            <v>Census Tract 58.01, King County, Washington</v>
          </cell>
          <cell r="D60">
            <v>4543</v>
          </cell>
          <cell r="E60">
            <v>3858</v>
          </cell>
          <cell r="F60">
            <v>1820</v>
          </cell>
          <cell r="G60">
            <v>1882</v>
          </cell>
          <cell r="H60">
            <v>301</v>
          </cell>
          <cell r="I60">
            <v>630</v>
          </cell>
          <cell r="J60">
            <v>222</v>
          </cell>
          <cell r="K60">
            <v>729</v>
          </cell>
          <cell r="L60">
            <v>156</v>
          </cell>
          <cell r="M60">
            <v>0</v>
          </cell>
          <cell r="N60">
            <v>0</v>
          </cell>
          <cell r="O60">
            <v>156</v>
          </cell>
          <cell r="P60">
            <v>685</v>
          </cell>
          <cell r="Q60">
            <v>189</v>
          </cell>
          <cell r="R60">
            <v>496</v>
          </cell>
          <cell r="S60">
            <v>3702</v>
          </cell>
          <cell r="T60">
            <v>841</v>
          </cell>
        </row>
        <row r="61">
          <cell r="C61" t="str">
            <v>Census Tract 58.02, King County, Washington</v>
          </cell>
          <cell r="D61">
            <v>4817</v>
          </cell>
          <cell r="E61">
            <v>4383</v>
          </cell>
          <cell r="F61">
            <v>1696</v>
          </cell>
          <cell r="G61">
            <v>2556</v>
          </cell>
          <cell r="H61">
            <v>459</v>
          </cell>
          <cell r="I61">
            <v>608</v>
          </cell>
          <cell r="J61">
            <v>446</v>
          </cell>
          <cell r="K61">
            <v>1043</v>
          </cell>
          <cell r="L61">
            <v>131</v>
          </cell>
          <cell r="M61">
            <v>25</v>
          </cell>
          <cell r="N61">
            <v>10</v>
          </cell>
          <cell r="O61">
            <v>96</v>
          </cell>
          <cell r="P61">
            <v>434</v>
          </cell>
          <cell r="Q61">
            <v>180</v>
          </cell>
          <cell r="R61">
            <v>254</v>
          </cell>
          <cell r="S61">
            <v>4252</v>
          </cell>
          <cell r="T61">
            <v>565</v>
          </cell>
        </row>
        <row r="62">
          <cell r="C62" t="str">
            <v>Census Tract 59, King County, Washington</v>
          </cell>
          <cell r="D62">
            <v>6715</v>
          </cell>
          <cell r="E62">
            <v>6175</v>
          </cell>
          <cell r="F62">
            <v>2265</v>
          </cell>
          <cell r="G62">
            <v>3834</v>
          </cell>
          <cell r="H62">
            <v>651</v>
          </cell>
          <cell r="I62">
            <v>981</v>
          </cell>
          <cell r="J62">
            <v>503</v>
          </cell>
          <cell r="K62">
            <v>1699</v>
          </cell>
          <cell r="L62">
            <v>76</v>
          </cell>
          <cell r="M62">
            <v>0</v>
          </cell>
          <cell r="N62">
            <v>0</v>
          </cell>
          <cell r="O62">
            <v>76</v>
          </cell>
          <cell r="P62">
            <v>540</v>
          </cell>
          <cell r="Q62">
            <v>155</v>
          </cell>
          <cell r="R62">
            <v>385</v>
          </cell>
          <cell r="S62">
            <v>6099</v>
          </cell>
          <cell r="T62">
            <v>616</v>
          </cell>
        </row>
        <row r="63">
          <cell r="C63" t="str">
            <v>Census Tract 60, King County, Washington</v>
          </cell>
          <cell r="D63">
            <v>4725</v>
          </cell>
          <cell r="E63">
            <v>4285</v>
          </cell>
          <cell r="F63">
            <v>1821</v>
          </cell>
          <cell r="G63">
            <v>2372</v>
          </cell>
          <cell r="H63">
            <v>442</v>
          </cell>
          <cell r="I63">
            <v>742</v>
          </cell>
          <cell r="J63">
            <v>274</v>
          </cell>
          <cell r="K63">
            <v>914</v>
          </cell>
          <cell r="L63">
            <v>92</v>
          </cell>
          <cell r="M63">
            <v>6</v>
          </cell>
          <cell r="N63">
            <v>0</v>
          </cell>
          <cell r="O63">
            <v>86</v>
          </cell>
          <cell r="P63">
            <v>440</v>
          </cell>
          <cell r="Q63">
            <v>222</v>
          </cell>
          <cell r="R63">
            <v>218</v>
          </cell>
          <cell r="S63">
            <v>4193</v>
          </cell>
          <cell r="T63">
            <v>532</v>
          </cell>
        </row>
        <row r="64">
          <cell r="C64" t="str">
            <v>Census Tract 61, King County, Washington</v>
          </cell>
          <cell r="D64">
            <v>4447</v>
          </cell>
          <cell r="E64">
            <v>4044</v>
          </cell>
          <cell r="F64">
            <v>1594</v>
          </cell>
          <cell r="G64">
            <v>2391</v>
          </cell>
          <cell r="H64">
            <v>508</v>
          </cell>
          <cell r="I64">
            <v>708</v>
          </cell>
          <cell r="J64">
            <v>266</v>
          </cell>
          <cell r="K64">
            <v>909</v>
          </cell>
          <cell r="L64">
            <v>59</v>
          </cell>
          <cell r="M64">
            <v>0</v>
          </cell>
          <cell r="N64">
            <v>0</v>
          </cell>
          <cell r="O64">
            <v>59</v>
          </cell>
          <cell r="P64">
            <v>403</v>
          </cell>
          <cell r="Q64">
            <v>261</v>
          </cell>
          <cell r="R64">
            <v>142</v>
          </cell>
          <cell r="S64">
            <v>3985</v>
          </cell>
          <cell r="T64">
            <v>462</v>
          </cell>
        </row>
        <row r="65">
          <cell r="C65" t="str">
            <v>Census Tract 62, King County, Washington</v>
          </cell>
          <cell r="D65">
            <v>3800</v>
          </cell>
          <cell r="E65">
            <v>3441</v>
          </cell>
          <cell r="F65">
            <v>1577</v>
          </cell>
          <cell r="G65">
            <v>1793</v>
          </cell>
          <cell r="H65">
            <v>474</v>
          </cell>
          <cell r="I65">
            <v>502</v>
          </cell>
          <cell r="J65">
            <v>266</v>
          </cell>
          <cell r="K65">
            <v>551</v>
          </cell>
          <cell r="L65">
            <v>71</v>
          </cell>
          <cell r="M65">
            <v>10</v>
          </cell>
          <cell r="N65">
            <v>5</v>
          </cell>
          <cell r="O65">
            <v>56</v>
          </cell>
          <cell r="P65">
            <v>359</v>
          </cell>
          <cell r="Q65">
            <v>235</v>
          </cell>
          <cell r="R65">
            <v>124</v>
          </cell>
          <cell r="S65">
            <v>3370</v>
          </cell>
          <cell r="T65">
            <v>430</v>
          </cell>
        </row>
        <row r="66">
          <cell r="C66" t="str">
            <v>Census Tract 63, King County, Washington</v>
          </cell>
          <cell r="D66">
            <v>5006</v>
          </cell>
          <cell r="E66">
            <v>4664</v>
          </cell>
          <cell r="F66">
            <v>2418</v>
          </cell>
          <cell r="G66">
            <v>2180</v>
          </cell>
          <cell r="H66">
            <v>391</v>
          </cell>
          <cell r="I66">
            <v>629</v>
          </cell>
          <cell r="J66">
            <v>329</v>
          </cell>
          <cell r="K66">
            <v>831</v>
          </cell>
          <cell r="L66">
            <v>66</v>
          </cell>
          <cell r="M66">
            <v>0</v>
          </cell>
          <cell r="N66">
            <v>0</v>
          </cell>
          <cell r="O66">
            <v>66</v>
          </cell>
          <cell r="P66">
            <v>342</v>
          </cell>
          <cell r="Q66">
            <v>221</v>
          </cell>
          <cell r="R66">
            <v>121</v>
          </cell>
          <cell r="S66">
            <v>4598</v>
          </cell>
          <cell r="T66">
            <v>408</v>
          </cell>
        </row>
        <row r="67">
          <cell r="C67" t="str">
            <v>Census Tract 64, King County, Washington</v>
          </cell>
          <cell r="D67">
            <v>3201</v>
          </cell>
          <cell r="E67">
            <v>2909</v>
          </cell>
          <cell r="F67">
            <v>1299</v>
          </cell>
          <cell r="G67">
            <v>1581</v>
          </cell>
          <cell r="H67">
            <v>428</v>
          </cell>
          <cell r="I67">
            <v>380</v>
          </cell>
          <cell r="J67">
            <v>239</v>
          </cell>
          <cell r="K67">
            <v>534</v>
          </cell>
          <cell r="L67">
            <v>29</v>
          </cell>
          <cell r="M67">
            <v>0</v>
          </cell>
          <cell r="N67">
            <v>0</v>
          </cell>
          <cell r="O67">
            <v>29</v>
          </cell>
          <cell r="P67">
            <v>292</v>
          </cell>
          <cell r="Q67">
            <v>176</v>
          </cell>
          <cell r="R67">
            <v>116</v>
          </cell>
          <cell r="S67">
            <v>2880</v>
          </cell>
          <cell r="T67">
            <v>321</v>
          </cell>
        </row>
        <row r="68">
          <cell r="C68" t="str">
            <v>Census Tract 65, King County, Washington</v>
          </cell>
          <cell r="D68">
            <v>4045</v>
          </cell>
          <cell r="E68">
            <v>3561</v>
          </cell>
          <cell r="F68">
            <v>1106</v>
          </cell>
          <cell r="G68">
            <v>2350</v>
          </cell>
          <cell r="H68">
            <v>612</v>
          </cell>
          <cell r="I68">
            <v>629</v>
          </cell>
          <cell r="J68">
            <v>294</v>
          </cell>
          <cell r="K68">
            <v>815</v>
          </cell>
          <cell r="L68">
            <v>105</v>
          </cell>
          <cell r="M68">
            <v>3</v>
          </cell>
          <cell r="N68">
            <v>0</v>
          </cell>
          <cell r="O68">
            <v>102</v>
          </cell>
          <cell r="P68">
            <v>484</v>
          </cell>
          <cell r="Q68">
            <v>257</v>
          </cell>
          <cell r="R68">
            <v>227</v>
          </cell>
          <cell r="S68">
            <v>3456</v>
          </cell>
          <cell r="T68">
            <v>589</v>
          </cell>
        </row>
        <row r="69">
          <cell r="C69" t="str">
            <v>Census Tract 66, King County, Washington</v>
          </cell>
          <cell r="D69">
            <v>2849</v>
          </cell>
          <cell r="E69">
            <v>2528</v>
          </cell>
          <cell r="F69">
            <v>872</v>
          </cell>
          <cell r="G69">
            <v>1576</v>
          </cell>
          <cell r="H69">
            <v>360</v>
          </cell>
          <cell r="I69">
            <v>467</v>
          </cell>
          <cell r="J69">
            <v>189</v>
          </cell>
          <cell r="K69">
            <v>560</v>
          </cell>
          <cell r="L69">
            <v>80</v>
          </cell>
          <cell r="M69">
            <v>0</v>
          </cell>
          <cell r="N69">
            <v>22</v>
          </cell>
          <cell r="O69">
            <v>58</v>
          </cell>
          <cell r="P69">
            <v>321</v>
          </cell>
          <cell r="Q69">
            <v>142</v>
          </cell>
          <cell r="R69">
            <v>179</v>
          </cell>
          <cell r="S69">
            <v>2448</v>
          </cell>
          <cell r="T69">
            <v>401</v>
          </cell>
        </row>
        <row r="70">
          <cell r="C70" t="str">
            <v>Census Tract 67, King County, Washington</v>
          </cell>
          <cell r="D70">
            <v>5369</v>
          </cell>
          <cell r="E70">
            <v>4702</v>
          </cell>
          <cell r="F70">
            <v>1747</v>
          </cell>
          <cell r="G70">
            <v>2882</v>
          </cell>
          <cell r="H70">
            <v>665</v>
          </cell>
          <cell r="I70">
            <v>703</v>
          </cell>
          <cell r="J70">
            <v>408</v>
          </cell>
          <cell r="K70">
            <v>1106</v>
          </cell>
          <cell r="L70">
            <v>73</v>
          </cell>
          <cell r="M70">
            <v>0</v>
          </cell>
          <cell r="N70">
            <v>24</v>
          </cell>
          <cell r="O70">
            <v>49</v>
          </cell>
          <cell r="P70">
            <v>667</v>
          </cell>
          <cell r="Q70">
            <v>284</v>
          </cell>
          <cell r="R70">
            <v>383</v>
          </cell>
          <cell r="S70">
            <v>4629</v>
          </cell>
          <cell r="T70">
            <v>740</v>
          </cell>
        </row>
        <row r="71">
          <cell r="C71" t="str">
            <v>Census Tract 68, King County, Washington</v>
          </cell>
          <cell r="D71">
            <v>2751</v>
          </cell>
          <cell r="E71">
            <v>2592</v>
          </cell>
          <cell r="F71">
            <v>1075</v>
          </cell>
          <cell r="G71">
            <v>1431</v>
          </cell>
          <cell r="H71">
            <v>305</v>
          </cell>
          <cell r="I71">
            <v>412</v>
          </cell>
          <cell r="J71">
            <v>146</v>
          </cell>
          <cell r="K71">
            <v>568</v>
          </cell>
          <cell r="L71">
            <v>86</v>
          </cell>
          <cell r="M71">
            <v>0</v>
          </cell>
          <cell r="N71">
            <v>0</v>
          </cell>
          <cell r="O71">
            <v>86</v>
          </cell>
          <cell r="P71">
            <v>159</v>
          </cell>
          <cell r="Q71">
            <v>59</v>
          </cell>
          <cell r="R71">
            <v>100</v>
          </cell>
          <cell r="S71">
            <v>2506</v>
          </cell>
          <cell r="T71">
            <v>245</v>
          </cell>
        </row>
        <row r="72">
          <cell r="C72" t="str">
            <v>Census Tract 69, King County, Washington</v>
          </cell>
          <cell r="D72">
            <v>3845</v>
          </cell>
          <cell r="E72">
            <v>3623</v>
          </cell>
          <cell r="F72">
            <v>1402</v>
          </cell>
          <cell r="G72">
            <v>2177</v>
          </cell>
          <cell r="H72">
            <v>510</v>
          </cell>
          <cell r="I72">
            <v>679</v>
          </cell>
          <cell r="J72">
            <v>313</v>
          </cell>
          <cell r="K72">
            <v>675</v>
          </cell>
          <cell r="L72">
            <v>44</v>
          </cell>
          <cell r="M72">
            <v>0</v>
          </cell>
          <cell r="N72">
            <v>0</v>
          </cell>
          <cell r="O72">
            <v>44</v>
          </cell>
          <cell r="P72">
            <v>222</v>
          </cell>
          <cell r="Q72">
            <v>128</v>
          </cell>
          <cell r="R72">
            <v>94</v>
          </cell>
          <cell r="S72">
            <v>3579</v>
          </cell>
          <cell r="T72">
            <v>266</v>
          </cell>
        </row>
        <row r="73">
          <cell r="C73" t="str">
            <v>Census Tract 70, King County, Washington</v>
          </cell>
          <cell r="D73">
            <v>6855</v>
          </cell>
          <cell r="E73">
            <v>5868</v>
          </cell>
          <cell r="F73">
            <v>1856</v>
          </cell>
          <cell r="G73">
            <v>3933</v>
          </cell>
          <cell r="H73">
            <v>912</v>
          </cell>
          <cell r="I73">
            <v>1171</v>
          </cell>
          <cell r="J73">
            <v>549</v>
          </cell>
          <cell r="K73">
            <v>1301</v>
          </cell>
          <cell r="L73">
            <v>79</v>
          </cell>
          <cell r="M73">
            <v>0</v>
          </cell>
          <cell r="N73">
            <v>0</v>
          </cell>
          <cell r="O73">
            <v>79</v>
          </cell>
          <cell r="P73">
            <v>987</v>
          </cell>
          <cell r="Q73">
            <v>348</v>
          </cell>
          <cell r="R73">
            <v>639</v>
          </cell>
          <cell r="S73">
            <v>5789</v>
          </cell>
          <cell r="T73">
            <v>1066</v>
          </cell>
        </row>
        <row r="74">
          <cell r="C74" t="str">
            <v>Census Tract 71, King County, Washington</v>
          </cell>
          <cell r="D74">
            <v>1796</v>
          </cell>
          <cell r="E74">
            <v>1623</v>
          </cell>
          <cell r="F74">
            <v>532</v>
          </cell>
          <cell r="G74">
            <v>1043</v>
          </cell>
          <cell r="H74">
            <v>158</v>
          </cell>
          <cell r="I74">
            <v>310</v>
          </cell>
          <cell r="J74">
            <v>265</v>
          </cell>
          <cell r="K74">
            <v>310</v>
          </cell>
          <cell r="L74">
            <v>48</v>
          </cell>
          <cell r="M74">
            <v>0</v>
          </cell>
          <cell r="N74">
            <v>0</v>
          </cell>
          <cell r="O74">
            <v>48</v>
          </cell>
          <cell r="P74">
            <v>173</v>
          </cell>
          <cell r="Q74">
            <v>39</v>
          </cell>
          <cell r="R74">
            <v>134</v>
          </cell>
          <cell r="S74">
            <v>1575</v>
          </cell>
          <cell r="T74">
            <v>221</v>
          </cell>
        </row>
        <row r="75">
          <cell r="C75" t="str">
            <v>Census Tract 72, King County, Washington</v>
          </cell>
          <cell r="D75">
            <v>2969</v>
          </cell>
          <cell r="E75">
            <v>2579</v>
          </cell>
          <cell r="F75">
            <v>882</v>
          </cell>
          <cell r="G75">
            <v>1638</v>
          </cell>
          <cell r="H75">
            <v>251</v>
          </cell>
          <cell r="I75">
            <v>407</v>
          </cell>
          <cell r="J75">
            <v>245</v>
          </cell>
          <cell r="K75">
            <v>735</v>
          </cell>
          <cell r="L75">
            <v>59</v>
          </cell>
          <cell r="M75">
            <v>8</v>
          </cell>
          <cell r="N75">
            <v>0</v>
          </cell>
          <cell r="O75">
            <v>51</v>
          </cell>
          <cell r="P75">
            <v>390</v>
          </cell>
          <cell r="Q75">
            <v>170</v>
          </cell>
          <cell r="R75">
            <v>220</v>
          </cell>
          <cell r="S75">
            <v>2520</v>
          </cell>
          <cell r="T75">
            <v>449</v>
          </cell>
        </row>
        <row r="76">
          <cell r="C76" t="str">
            <v>Census Tract 73, King County, Washington</v>
          </cell>
          <cell r="D76">
            <v>2231</v>
          </cell>
          <cell r="E76">
            <v>1927</v>
          </cell>
          <cell r="F76">
            <v>827</v>
          </cell>
          <cell r="G76">
            <v>1083</v>
          </cell>
          <cell r="H76">
            <v>75</v>
          </cell>
          <cell r="I76">
            <v>349</v>
          </cell>
          <cell r="J76">
            <v>285</v>
          </cell>
          <cell r="K76">
            <v>374</v>
          </cell>
          <cell r="L76">
            <v>17</v>
          </cell>
          <cell r="M76">
            <v>0</v>
          </cell>
          <cell r="N76">
            <v>0</v>
          </cell>
          <cell r="O76">
            <v>17</v>
          </cell>
          <cell r="P76">
            <v>304</v>
          </cell>
          <cell r="Q76">
            <v>116</v>
          </cell>
          <cell r="R76">
            <v>188</v>
          </cell>
          <cell r="S76">
            <v>1910</v>
          </cell>
          <cell r="T76">
            <v>321</v>
          </cell>
        </row>
        <row r="77">
          <cell r="C77" t="str">
            <v>Census Tract 74, King County, Washington</v>
          </cell>
          <cell r="D77">
            <v>9047</v>
          </cell>
          <cell r="E77">
            <v>7937</v>
          </cell>
          <cell r="F77">
            <v>2272</v>
          </cell>
          <cell r="G77">
            <v>5483</v>
          </cell>
          <cell r="H77">
            <v>889</v>
          </cell>
          <cell r="I77">
            <v>1362</v>
          </cell>
          <cell r="J77">
            <v>1122</v>
          </cell>
          <cell r="K77">
            <v>2110</v>
          </cell>
          <cell r="L77">
            <v>182</v>
          </cell>
          <cell r="M77">
            <v>28</v>
          </cell>
          <cell r="N77">
            <v>7</v>
          </cell>
          <cell r="O77">
            <v>147</v>
          </cell>
          <cell r="P77">
            <v>1110</v>
          </cell>
          <cell r="Q77">
            <v>371</v>
          </cell>
          <cell r="R77">
            <v>739</v>
          </cell>
          <cell r="S77">
            <v>7755</v>
          </cell>
          <cell r="T77">
            <v>1292</v>
          </cell>
        </row>
        <row r="78">
          <cell r="C78" t="str">
            <v>Census Tract 75, King County, Washington</v>
          </cell>
          <cell r="D78">
            <v>5554</v>
          </cell>
          <cell r="E78">
            <v>4842</v>
          </cell>
          <cell r="F78">
            <v>1316</v>
          </cell>
          <cell r="G78">
            <v>3356</v>
          </cell>
          <cell r="H78">
            <v>759</v>
          </cell>
          <cell r="I78">
            <v>867</v>
          </cell>
          <cell r="J78">
            <v>562</v>
          </cell>
          <cell r="K78">
            <v>1168</v>
          </cell>
          <cell r="L78">
            <v>170</v>
          </cell>
          <cell r="M78">
            <v>49</v>
          </cell>
          <cell r="N78">
            <v>0</v>
          </cell>
          <cell r="O78">
            <v>121</v>
          </cell>
          <cell r="P78">
            <v>712</v>
          </cell>
          <cell r="Q78">
            <v>315</v>
          </cell>
          <cell r="R78">
            <v>397</v>
          </cell>
          <cell r="S78">
            <v>4672</v>
          </cell>
          <cell r="T78">
            <v>882</v>
          </cell>
        </row>
        <row r="79">
          <cell r="C79" t="str">
            <v>Census Tract 76, King County, Washington</v>
          </cell>
          <cell r="D79">
            <v>3261</v>
          </cell>
          <cell r="E79">
            <v>3071</v>
          </cell>
          <cell r="F79">
            <v>951</v>
          </cell>
          <cell r="G79">
            <v>2075</v>
          </cell>
          <cell r="H79">
            <v>421</v>
          </cell>
          <cell r="I79">
            <v>424</v>
          </cell>
          <cell r="J79">
            <v>552</v>
          </cell>
          <cell r="K79">
            <v>678</v>
          </cell>
          <cell r="L79">
            <v>45</v>
          </cell>
          <cell r="M79">
            <v>0</v>
          </cell>
          <cell r="N79">
            <v>0</v>
          </cell>
          <cell r="O79">
            <v>45</v>
          </cell>
          <cell r="P79">
            <v>190</v>
          </cell>
          <cell r="Q79">
            <v>64</v>
          </cell>
          <cell r="R79">
            <v>126</v>
          </cell>
          <cell r="S79">
            <v>3026</v>
          </cell>
          <cell r="T79">
            <v>235</v>
          </cell>
        </row>
        <row r="80">
          <cell r="C80" t="str">
            <v>Census Tract 77, King County, Washington</v>
          </cell>
          <cell r="D80">
            <v>3990</v>
          </cell>
          <cell r="E80">
            <v>3705</v>
          </cell>
          <cell r="F80">
            <v>1507</v>
          </cell>
          <cell r="G80">
            <v>2145</v>
          </cell>
          <cell r="H80">
            <v>225</v>
          </cell>
          <cell r="I80">
            <v>502</v>
          </cell>
          <cell r="J80">
            <v>785</v>
          </cell>
          <cell r="K80">
            <v>633</v>
          </cell>
          <cell r="L80">
            <v>53</v>
          </cell>
          <cell r="M80">
            <v>5</v>
          </cell>
          <cell r="N80">
            <v>0</v>
          </cell>
          <cell r="O80">
            <v>48</v>
          </cell>
          <cell r="P80">
            <v>285</v>
          </cell>
          <cell r="Q80">
            <v>96</v>
          </cell>
          <cell r="R80">
            <v>189</v>
          </cell>
          <cell r="S80">
            <v>3652</v>
          </cell>
          <cell r="T80">
            <v>338</v>
          </cell>
        </row>
        <row r="81">
          <cell r="C81" t="str">
            <v>Census Tract 78, King County, Washington</v>
          </cell>
          <cell r="D81">
            <v>5097</v>
          </cell>
          <cell r="E81">
            <v>4763</v>
          </cell>
          <cell r="F81">
            <v>1836</v>
          </cell>
          <cell r="G81">
            <v>2852</v>
          </cell>
          <cell r="H81">
            <v>584</v>
          </cell>
          <cell r="I81">
            <v>823</v>
          </cell>
          <cell r="J81">
            <v>680</v>
          </cell>
          <cell r="K81">
            <v>765</v>
          </cell>
          <cell r="L81">
            <v>75</v>
          </cell>
          <cell r="M81">
            <v>0</v>
          </cell>
          <cell r="N81">
            <v>0</v>
          </cell>
          <cell r="O81">
            <v>75</v>
          </cell>
          <cell r="P81">
            <v>334</v>
          </cell>
          <cell r="Q81">
            <v>135</v>
          </cell>
          <cell r="R81">
            <v>199</v>
          </cell>
          <cell r="S81">
            <v>4688</v>
          </cell>
          <cell r="T81">
            <v>409</v>
          </cell>
        </row>
        <row r="82">
          <cell r="C82" t="str">
            <v>Census Tract 79, King County, Washington</v>
          </cell>
          <cell r="D82">
            <v>4232</v>
          </cell>
          <cell r="E82">
            <v>3525</v>
          </cell>
          <cell r="F82">
            <v>1110</v>
          </cell>
          <cell r="G82">
            <v>2309</v>
          </cell>
          <cell r="H82">
            <v>467</v>
          </cell>
          <cell r="I82">
            <v>496</v>
          </cell>
          <cell r="J82">
            <v>578</v>
          </cell>
          <cell r="K82">
            <v>768</v>
          </cell>
          <cell r="L82">
            <v>106</v>
          </cell>
          <cell r="M82">
            <v>0</v>
          </cell>
          <cell r="N82">
            <v>10</v>
          </cell>
          <cell r="O82">
            <v>96</v>
          </cell>
          <cell r="P82">
            <v>707</v>
          </cell>
          <cell r="Q82">
            <v>244</v>
          </cell>
          <cell r="R82">
            <v>463</v>
          </cell>
          <cell r="S82">
            <v>3419</v>
          </cell>
          <cell r="T82">
            <v>813</v>
          </cell>
        </row>
        <row r="83">
          <cell r="C83" t="str">
            <v>Census Tract 80.01, King County, Washington</v>
          </cell>
          <cell r="D83">
            <v>3477</v>
          </cell>
          <cell r="E83">
            <v>2910</v>
          </cell>
          <cell r="F83">
            <v>906</v>
          </cell>
          <cell r="G83">
            <v>1951</v>
          </cell>
          <cell r="H83">
            <v>407</v>
          </cell>
          <cell r="I83">
            <v>617</v>
          </cell>
          <cell r="J83">
            <v>355</v>
          </cell>
          <cell r="K83">
            <v>572</v>
          </cell>
          <cell r="L83">
            <v>53</v>
          </cell>
          <cell r="M83">
            <v>0</v>
          </cell>
          <cell r="N83">
            <v>7</v>
          </cell>
          <cell r="O83">
            <v>46</v>
          </cell>
          <cell r="P83">
            <v>567</v>
          </cell>
          <cell r="Q83">
            <v>204</v>
          </cell>
          <cell r="R83">
            <v>363</v>
          </cell>
          <cell r="S83">
            <v>2857</v>
          </cell>
          <cell r="T83">
            <v>620</v>
          </cell>
        </row>
        <row r="84">
          <cell r="C84" t="str">
            <v>Census Tract 80.02, King County, Washington</v>
          </cell>
          <cell r="D84">
            <v>2711</v>
          </cell>
          <cell r="E84">
            <v>2409</v>
          </cell>
          <cell r="F84">
            <v>632</v>
          </cell>
          <cell r="G84">
            <v>1690</v>
          </cell>
          <cell r="H84">
            <v>318</v>
          </cell>
          <cell r="I84">
            <v>358</v>
          </cell>
          <cell r="J84">
            <v>470</v>
          </cell>
          <cell r="K84">
            <v>544</v>
          </cell>
          <cell r="L84">
            <v>87</v>
          </cell>
          <cell r="M84">
            <v>0</v>
          </cell>
          <cell r="N84">
            <v>41</v>
          </cell>
          <cell r="O84">
            <v>46</v>
          </cell>
          <cell r="P84">
            <v>302</v>
          </cell>
          <cell r="Q84">
            <v>196</v>
          </cell>
          <cell r="R84">
            <v>106</v>
          </cell>
          <cell r="S84">
            <v>2322</v>
          </cell>
          <cell r="T84">
            <v>389</v>
          </cell>
        </row>
        <row r="85">
          <cell r="C85" t="str">
            <v>Census Tract 81, King County, Washington</v>
          </cell>
          <cell r="D85">
            <v>3461</v>
          </cell>
          <cell r="E85">
            <v>2963</v>
          </cell>
          <cell r="F85">
            <v>825</v>
          </cell>
          <cell r="G85">
            <v>2096</v>
          </cell>
          <cell r="H85">
            <v>325</v>
          </cell>
          <cell r="I85">
            <v>615</v>
          </cell>
          <cell r="J85">
            <v>430</v>
          </cell>
          <cell r="K85">
            <v>726</v>
          </cell>
          <cell r="L85">
            <v>42</v>
          </cell>
          <cell r="M85">
            <v>12</v>
          </cell>
          <cell r="N85">
            <v>0</v>
          </cell>
          <cell r="O85">
            <v>30</v>
          </cell>
          <cell r="P85">
            <v>498</v>
          </cell>
          <cell r="Q85">
            <v>260</v>
          </cell>
          <cell r="R85">
            <v>238</v>
          </cell>
          <cell r="S85">
            <v>2921</v>
          </cell>
          <cell r="T85">
            <v>540</v>
          </cell>
        </row>
        <row r="86">
          <cell r="C86" t="str">
            <v>Census Tract 82, King County, Washington</v>
          </cell>
          <cell r="D86">
            <v>2954</v>
          </cell>
          <cell r="E86">
            <v>2479</v>
          </cell>
          <cell r="F86">
            <v>797</v>
          </cell>
          <cell r="G86">
            <v>1661</v>
          </cell>
          <cell r="H86">
            <v>374</v>
          </cell>
          <cell r="I86">
            <v>463</v>
          </cell>
          <cell r="J86">
            <v>282</v>
          </cell>
          <cell r="K86">
            <v>542</v>
          </cell>
          <cell r="L86">
            <v>21</v>
          </cell>
          <cell r="M86">
            <v>0</v>
          </cell>
          <cell r="N86">
            <v>7</v>
          </cell>
          <cell r="O86">
            <v>14</v>
          </cell>
          <cell r="P86">
            <v>475</v>
          </cell>
          <cell r="Q86">
            <v>177</v>
          </cell>
          <cell r="R86">
            <v>298</v>
          </cell>
          <cell r="S86">
            <v>2458</v>
          </cell>
          <cell r="T86">
            <v>496</v>
          </cell>
        </row>
        <row r="87">
          <cell r="C87" t="str">
            <v>Census Tract 83, King County, Washington</v>
          </cell>
          <cell r="D87">
            <v>2429</v>
          </cell>
          <cell r="E87">
            <v>1979</v>
          </cell>
          <cell r="F87">
            <v>589</v>
          </cell>
          <cell r="G87">
            <v>1271</v>
          </cell>
          <cell r="H87">
            <v>202</v>
          </cell>
          <cell r="I87">
            <v>433</v>
          </cell>
          <cell r="J87">
            <v>234</v>
          </cell>
          <cell r="K87">
            <v>402</v>
          </cell>
          <cell r="L87">
            <v>119</v>
          </cell>
          <cell r="M87">
            <v>0</v>
          </cell>
          <cell r="N87">
            <v>23</v>
          </cell>
          <cell r="O87">
            <v>96</v>
          </cell>
          <cell r="P87">
            <v>450</v>
          </cell>
          <cell r="Q87">
            <v>156</v>
          </cell>
          <cell r="R87">
            <v>294</v>
          </cell>
          <cell r="S87">
            <v>1860</v>
          </cell>
          <cell r="T87">
            <v>569</v>
          </cell>
        </row>
        <row r="88">
          <cell r="C88" t="str">
            <v>Census Tract 84, King County, Washington</v>
          </cell>
          <cell r="D88">
            <v>3838</v>
          </cell>
          <cell r="E88">
            <v>3175</v>
          </cell>
          <cell r="F88">
            <v>915</v>
          </cell>
          <cell r="G88">
            <v>2167</v>
          </cell>
          <cell r="H88">
            <v>329</v>
          </cell>
          <cell r="I88">
            <v>625</v>
          </cell>
          <cell r="J88">
            <v>298</v>
          </cell>
          <cell r="K88">
            <v>915</v>
          </cell>
          <cell r="L88">
            <v>93</v>
          </cell>
          <cell r="M88">
            <v>0</v>
          </cell>
          <cell r="N88">
            <v>17</v>
          </cell>
          <cell r="O88">
            <v>76</v>
          </cell>
          <cell r="P88">
            <v>663</v>
          </cell>
          <cell r="Q88">
            <v>202</v>
          </cell>
          <cell r="R88">
            <v>461</v>
          </cell>
          <cell r="S88">
            <v>3082</v>
          </cell>
          <cell r="T88">
            <v>756</v>
          </cell>
        </row>
        <row r="89">
          <cell r="C89" t="str">
            <v>Census Tract 85, King County, Washington</v>
          </cell>
          <cell r="D89">
            <v>6025</v>
          </cell>
          <cell r="E89">
            <v>5036</v>
          </cell>
          <cell r="F89">
            <v>2191</v>
          </cell>
          <cell r="G89">
            <v>2790</v>
          </cell>
          <cell r="H89">
            <v>180</v>
          </cell>
          <cell r="I89">
            <v>425</v>
          </cell>
          <cell r="J89">
            <v>889</v>
          </cell>
          <cell r="K89">
            <v>1296</v>
          </cell>
          <cell r="L89">
            <v>55</v>
          </cell>
          <cell r="M89">
            <v>0</v>
          </cell>
          <cell r="N89">
            <v>7</v>
          </cell>
          <cell r="O89">
            <v>48</v>
          </cell>
          <cell r="P89">
            <v>989</v>
          </cell>
          <cell r="Q89">
            <v>233</v>
          </cell>
          <cell r="R89">
            <v>756</v>
          </cell>
          <cell r="S89">
            <v>4981</v>
          </cell>
          <cell r="T89">
            <v>1044</v>
          </cell>
        </row>
        <row r="90">
          <cell r="C90" t="str">
            <v>Census Tract 86, King County, Washington</v>
          </cell>
          <cell r="D90">
            <v>4098</v>
          </cell>
          <cell r="E90">
            <v>3354</v>
          </cell>
          <cell r="F90">
            <v>1167</v>
          </cell>
          <cell r="G90">
            <v>2017</v>
          </cell>
          <cell r="H90">
            <v>282</v>
          </cell>
          <cell r="I90">
            <v>312</v>
          </cell>
          <cell r="J90">
            <v>377</v>
          </cell>
          <cell r="K90">
            <v>1046</v>
          </cell>
          <cell r="L90">
            <v>170</v>
          </cell>
          <cell r="M90">
            <v>6</v>
          </cell>
          <cell r="N90">
            <v>64</v>
          </cell>
          <cell r="O90">
            <v>100</v>
          </cell>
          <cell r="P90">
            <v>744</v>
          </cell>
          <cell r="Q90">
            <v>266</v>
          </cell>
          <cell r="R90">
            <v>478</v>
          </cell>
          <cell r="S90">
            <v>3184</v>
          </cell>
          <cell r="T90">
            <v>914</v>
          </cell>
        </row>
        <row r="91">
          <cell r="C91" t="str">
            <v>Census Tract 87, King County, Washington</v>
          </cell>
          <cell r="D91">
            <v>3790</v>
          </cell>
          <cell r="E91">
            <v>3228</v>
          </cell>
          <cell r="F91">
            <v>1555</v>
          </cell>
          <cell r="G91">
            <v>1615</v>
          </cell>
          <cell r="H91">
            <v>170</v>
          </cell>
          <cell r="I91">
            <v>327</v>
          </cell>
          <cell r="J91">
            <v>644</v>
          </cell>
          <cell r="K91">
            <v>474</v>
          </cell>
          <cell r="L91">
            <v>58</v>
          </cell>
          <cell r="M91">
            <v>0</v>
          </cell>
          <cell r="N91">
            <v>5</v>
          </cell>
          <cell r="O91">
            <v>53</v>
          </cell>
          <cell r="P91">
            <v>562</v>
          </cell>
          <cell r="Q91">
            <v>190</v>
          </cell>
          <cell r="R91">
            <v>372</v>
          </cell>
          <cell r="S91">
            <v>3170</v>
          </cell>
          <cell r="T91">
            <v>620</v>
          </cell>
        </row>
        <row r="92">
          <cell r="C92" t="str">
            <v>Census Tract 88, King County, Washington</v>
          </cell>
          <cell r="D92">
            <v>3506</v>
          </cell>
          <cell r="E92">
            <v>3098</v>
          </cell>
          <cell r="F92">
            <v>1348</v>
          </cell>
          <cell r="G92">
            <v>1727</v>
          </cell>
          <cell r="H92">
            <v>182</v>
          </cell>
          <cell r="I92">
            <v>326</v>
          </cell>
          <cell r="J92">
            <v>762</v>
          </cell>
          <cell r="K92">
            <v>457</v>
          </cell>
          <cell r="L92">
            <v>23</v>
          </cell>
          <cell r="M92">
            <v>0</v>
          </cell>
          <cell r="N92">
            <v>0</v>
          </cell>
          <cell r="O92">
            <v>23</v>
          </cell>
          <cell r="P92">
            <v>408</v>
          </cell>
          <cell r="Q92">
            <v>172</v>
          </cell>
          <cell r="R92">
            <v>236</v>
          </cell>
          <cell r="S92">
            <v>3075</v>
          </cell>
          <cell r="T92">
            <v>431</v>
          </cell>
        </row>
        <row r="93">
          <cell r="C93" t="str">
            <v>Census Tract 89, King County, Washington</v>
          </cell>
          <cell r="D93">
            <v>4545</v>
          </cell>
          <cell r="E93">
            <v>3977</v>
          </cell>
          <cell r="F93">
            <v>2003</v>
          </cell>
          <cell r="G93">
            <v>1943</v>
          </cell>
          <cell r="H93">
            <v>336</v>
          </cell>
          <cell r="I93">
            <v>431</v>
          </cell>
          <cell r="J93">
            <v>674</v>
          </cell>
          <cell r="K93">
            <v>502</v>
          </cell>
          <cell r="L93">
            <v>31</v>
          </cell>
          <cell r="M93">
            <v>5</v>
          </cell>
          <cell r="N93">
            <v>0</v>
          </cell>
          <cell r="O93">
            <v>26</v>
          </cell>
          <cell r="P93">
            <v>568</v>
          </cell>
          <cell r="Q93">
            <v>314</v>
          </cell>
          <cell r="R93">
            <v>254</v>
          </cell>
          <cell r="S93">
            <v>3946</v>
          </cell>
          <cell r="T93">
            <v>599</v>
          </cell>
        </row>
        <row r="94">
          <cell r="C94" t="str">
            <v>Census Tract 90, King County, Washington</v>
          </cell>
          <cell r="D94">
            <v>2185</v>
          </cell>
          <cell r="E94">
            <v>1234</v>
          </cell>
          <cell r="F94">
            <v>659</v>
          </cell>
          <cell r="G94">
            <v>542</v>
          </cell>
          <cell r="H94">
            <v>27</v>
          </cell>
          <cell r="I94">
            <v>142</v>
          </cell>
          <cell r="J94">
            <v>216</v>
          </cell>
          <cell r="K94">
            <v>157</v>
          </cell>
          <cell r="L94">
            <v>33</v>
          </cell>
          <cell r="M94">
            <v>9</v>
          </cell>
          <cell r="N94">
            <v>14</v>
          </cell>
          <cell r="O94">
            <v>10</v>
          </cell>
          <cell r="P94">
            <v>951</v>
          </cell>
          <cell r="Q94">
            <v>450</v>
          </cell>
          <cell r="R94">
            <v>501</v>
          </cell>
          <cell r="S94">
            <v>1201</v>
          </cell>
          <cell r="T94">
            <v>984</v>
          </cell>
        </row>
        <row r="95">
          <cell r="C95" t="str">
            <v>Census Tract 91, King County, Washington</v>
          </cell>
          <cell r="D95">
            <v>1952</v>
          </cell>
          <cell r="E95">
            <v>747</v>
          </cell>
          <cell r="F95">
            <v>270</v>
          </cell>
          <cell r="G95">
            <v>441</v>
          </cell>
          <cell r="H95">
            <v>32</v>
          </cell>
          <cell r="I95">
            <v>127</v>
          </cell>
          <cell r="J95">
            <v>179</v>
          </cell>
          <cell r="K95">
            <v>103</v>
          </cell>
          <cell r="L95">
            <v>36</v>
          </cell>
          <cell r="M95">
            <v>0</v>
          </cell>
          <cell r="N95">
            <v>0</v>
          </cell>
          <cell r="O95">
            <v>36</v>
          </cell>
          <cell r="P95">
            <v>1205</v>
          </cell>
          <cell r="Q95">
            <v>644</v>
          </cell>
          <cell r="R95">
            <v>561</v>
          </cell>
          <cell r="S95">
            <v>711</v>
          </cell>
          <cell r="T95">
            <v>1241</v>
          </cell>
        </row>
        <row r="96">
          <cell r="C96" t="str">
            <v>Census Tract 92, King County, Washington</v>
          </cell>
          <cell r="D96">
            <v>1967</v>
          </cell>
          <cell r="E96">
            <v>1195</v>
          </cell>
          <cell r="F96">
            <v>385</v>
          </cell>
          <cell r="G96">
            <v>736</v>
          </cell>
          <cell r="H96">
            <v>173</v>
          </cell>
          <cell r="I96">
            <v>151</v>
          </cell>
          <cell r="J96">
            <v>183</v>
          </cell>
          <cell r="K96">
            <v>229</v>
          </cell>
          <cell r="L96">
            <v>74</v>
          </cell>
          <cell r="M96">
            <v>29</v>
          </cell>
          <cell r="N96">
            <v>0</v>
          </cell>
          <cell r="O96">
            <v>45</v>
          </cell>
          <cell r="P96">
            <v>772</v>
          </cell>
          <cell r="Q96">
            <v>375</v>
          </cell>
          <cell r="R96">
            <v>397</v>
          </cell>
          <cell r="S96">
            <v>1121</v>
          </cell>
          <cell r="T96">
            <v>846</v>
          </cell>
        </row>
        <row r="97">
          <cell r="C97" t="str">
            <v>Census Tract 93, King County, Washington</v>
          </cell>
          <cell r="D97">
            <v>2562</v>
          </cell>
          <cell r="E97">
            <v>2035</v>
          </cell>
          <cell r="F97">
            <v>931</v>
          </cell>
          <cell r="G97">
            <v>1069</v>
          </cell>
          <cell r="H97">
            <v>120</v>
          </cell>
          <cell r="I97">
            <v>327</v>
          </cell>
          <cell r="J97">
            <v>257</v>
          </cell>
          <cell r="K97">
            <v>365</v>
          </cell>
          <cell r="L97">
            <v>35</v>
          </cell>
          <cell r="M97">
            <v>15</v>
          </cell>
          <cell r="N97">
            <v>0</v>
          </cell>
          <cell r="O97">
            <v>20</v>
          </cell>
          <cell r="P97">
            <v>527</v>
          </cell>
          <cell r="Q97">
            <v>228</v>
          </cell>
          <cell r="R97">
            <v>299</v>
          </cell>
          <cell r="S97">
            <v>2000</v>
          </cell>
          <cell r="T97">
            <v>562</v>
          </cell>
        </row>
        <row r="98">
          <cell r="C98" t="str">
            <v>Census Tract 94, King County, Washington</v>
          </cell>
          <cell r="D98">
            <v>5242</v>
          </cell>
          <cell r="E98">
            <v>2891</v>
          </cell>
          <cell r="F98">
            <v>1595</v>
          </cell>
          <cell r="G98">
            <v>1226</v>
          </cell>
          <cell r="H98">
            <v>84</v>
          </cell>
          <cell r="I98">
            <v>359</v>
          </cell>
          <cell r="J98">
            <v>371</v>
          </cell>
          <cell r="K98">
            <v>412</v>
          </cell>
          <cell r="L98">
            <v>70</v>
          </cell>
          <cell r="M98">
            <v>0</v>
          </cell>
          <cell r="N98">
            <v>13</v>
          </cell>
          <cell r="O98">
            <v>57</v>
          </cell>
          <cell r="P98">
            <v>2351</v>
          </cell>
          <cell r="Q98">
            <v>1469</v>
          </cell>
          <cell r="R98">
            <v>882</v>
          </cell>
          <cell r="S98">
            <v>2821</v>
          </cell>
          <cell r="T98">
            <v>2421</v>
          </cell>
        </row>
        <row r="99">
          <cell r="C99" t="str">
            <v>Census Tract 95, King County, Washington</v>
          </cell>
          <cell r="D99">
            <v>5717</v>
          </cell>
          <cell r="E99">
            <v>4806</v>
          </cell>
          <cell r="F99">
            <v>2445</v>
          </cell>
          <cell r="G99">
            <v>2306</v>
          </cell>
          <cell r="H99">
            <v>498</v>
          </cell>
          <cell r="I99">
            <v>490</v>
          </cell>
          <cell r="J99">
            <v>634</v>
          </cell>
          <cell r="K99">
            <v>684</v>
          </cell>
          <cell r="L99">
            <v>55</v>
          </cell>
          <cell r="M99">
            <v>9</v>
          </cell>
          <cell r="N99">
            <v>0</v>
          </cell>
          <cell r="O99">
            <v>46</v>
          </cell>
          <cell r="P99">
            <v>911</v>
          </cell>
          <cell r="Q99">
            <v>427</v>
          </cell>
          <cell r="R99">
            <v>484</v>
          </cell>
          <cell r="S99">
            <v>4751</v>
          </cell>
          <cell r="T99">
            <v>966</v>
          </cell>
        </row>
        <row r="100">
          <cell r="C100" t="str">
            <v>Census Tract 96, King County, Washington</v>
          </cell>
          <cell r="D100">
            <v>4919</v>
          </cell>
          <cell r="E100">
            <v>4576</v>
          </cell>
          <cell r="F100">
            <v>1920</v>
          </cell>
          <cell r="G100">
            <v>2537</v>
          </cell>
          <cell r="H100">
            <v>486</v>
          </cell>
          <cell r="I100">
            <v>817</v>
          </cell>
          <cell r="J100">
            <v>279</v>
          </cell>
          <cell r="K100">
            <v>955</v>
          </cell>
          <cell r="L100">
            <v>119</v>
          </cell>
          <cell r="M100">
            <v>15</v>
          </cell>
          <cell r="N100">
            <v>0</v>
          </cell>
          <cell r="O100">
            <v>104</v>
          </cell>
          <cell r="P100">
            <v>343</v>
          </cell>
          <cell r="Q100">
            <v>175</v>
          </cell>
          <cell r="R100">
            <v>168</v>
          </cell>
          <cell r="S100">
            <v>4457</v>
          </cell>
          <cell r="T100">
            <v>462</v>
          </cell>
        </row>
        <row r="101">
          <cell r="C101" t="str">
            <v>Census Tract 97.01, King County, Washington</v>
          </cell>
          <cell r="D101">
            <v>5323</v>
          </cell>
          <cell r="E101">
            <v>4902</v>
          </cell>
          <cell r="F101">
            <v>2385</v>
          </cell>
          <cell r="G101">
            <v>2461</v>
          </cell>
          <cell r="H101">
            <v>332</v>
          </cell>
          <cell r="I101">
            <v>802</v>
          </cell>
          <cell r="J101">
            <v>400</v>
          </cell>
          <cell r="K101">
            <v>927</v>
          </cell>
          <cell r="L101">
            <v>56</v>
          </cell>
          <cell r="M101">
            <v>0</v>
          </cell>
          <cell r="N101">
            <v>8</v>
          </cell>
          <cell r="O101">
            <v>48</v>
          </cell>
          <cell r="P101">
            <v>421</v>
          </cell>
          <cell r="Q101">
            <v>269</v>
          </cell>
          <cell r="R101">
            <v>152</v>
          </cell>
          <cell r="S101">
            <v>4846</v>
          </cell>
          <cell r="T101">
            <v>477</v>
          </cell>
        </row>
        <row r="102">
          <cell r="C102" t="str">
            <v>Census Tract 97.02, King County, Washington</v>
          </cell>
          <cell r="D102">
            <v>5011</v>
          </cell>
          <cell r="E102">
            <v>4598</v>
          </cell>
          <cell r="F102">
            <v>2470</v>
          </cell>
          <cell r="G102">
            <v>2001</v>
          </cell>
          <cell r="H102">
            <v>284</v>
          </cell>
          <cell r="I102">
            <v>742</v>
          </cell>
          <cell r="J102">
            <v>270</v>
          </cell>
          <cell r="K102">
            <v>705</v>
          </cell>
          <cell r="L102">
            <v>127</v>
          </cell>
          <cell r="M102">
            <v>27</v>
          </cell>
          <cell r="N102">
            <v>0</v>
          </cell>
          <cell r="O102">
            <v>100</v>
          </cell>
          <cell r="P102">
            <v>413</v>
          </cell>
          <cell r="Q102">
            <v>215</v>
          </cell>
          <cell r="R102">
            <v>198</v>
          </cell>
          <cell r="S102">
            <v>4471</v>
          </cell>
          <cell r="T102">
            <v>540</v>
          </cell>
        </row>
        <row r="103">
          <cell r="C103" t="str">
            <v>Census Tract 98, King County, Washington</v>
          </cell>
          <cell r="D103">
            <v>5820</v>
          </cell>
          <cell r="E103">
            <v>5371</v>
          </cell>
          <cell r="F103">
            <v>2909</v>
          </cell>
          <cell r="G103">
            <v>2364</v>
          </cell>
          <cell r="H103">
            <v>339</v>
          </cell>
          <cell r="I103">
            <v>847</v>
          </cell>
          <cell r="J103">
            <v>310</v>
          </cell>
          <cell r="K103">
            <v>868</v>
          </cell>
          <cell r="L103">
            <v>98</v>
          </cell>
          <cell r="M103">
            <v>0</v>
          </cell>
          <cell r="N103">
            <v>10</v>
          </cell>
          <cell r="O103">
            <v>88</v>
          </cell>
          <cell r="P103">
            <v>449</v>
          </cell>
          <cell r="Q103">
            <v>230</v>
          </cell>
          <cell r="R103">
            <v>219</v>
          </cell>
          <cell r="S103">
            <v>5273</v>
          </cell>
          <cell r="T103">
            <v>547</v>
          </cell>
        </row>
        <row r="104">
          <cell r="C104" t="str">
            <v>Census Tract 99, King County, Washington</v>
          </cell>
          <cell r="D104">
            <v>4338</v>
          </cell>
          <cell r="E104">
            <v>3723</v>
          </cell>
          <cell r="F104">
            <v>1897</v>
          </cell>
          <cell r="G104">
            <v>1808</v>
          </cell>
          <cell r="H104">
            <v>320</v>
          </cell>
          <cell r="I104">
            <v>516</v>
          </cell>
          <cell r="J104">
            <v>239</v>
          </cell>
          <cell r="K104">
            <v>733</v>
          </cell>
          <cell r="L104">
            <v>18</v>
          </cell>
          <cell r="M104">
            <v>10</v>
          </cell>
          <cell r="N104">
            <v>0</v>
          </cell>
          <cell r="O104">
            <v>8</v>
          </cell>
          <cell r="P104">
            <v>615</v>
          </cell>
          <cell r="Q104">
            <v>241</v>
          </cell>
          <cell r="R104">
            <v>374</v>
          </cell>
          <cell r="S104">
            <v>3705</v>
          </cell>
          <cell r="T104">
            <v>633</v>
          </cell>
        </row>
        <row r="105">
          <cell r="C105" t="str">
            <v>Census Tract 100, King County, Washington</v>
          </cell>
          <cell r="D105">
            <v>8139</v>
          </cell>
          <cell r="E105">
            <v>4832</v>
          </cell>
          <cell r="F105">
            <v>2913</v>
          </cell>
          <cell r="G105">
            <v>1772</v>
          </cell>
          <cell r="H105">
            <v>212</v>
          </cell>
          <cell r="I105">
            <v>245</v>
          </cell>
          <cell r="J105">
            <v>410</v>
          </cell>
          <cell r="K105">
            <v>905</v>
          </cell>
          <cell r="L105">
            <v>147</v>
          </cell>
          <cell r="M105">
            <v>10</v>
          </cell>
          <cell r="N105">
            <v>6</v>
          </cell>
          <cell r="O105">
            <v>131</v>
          </cell>
          <cell r="P105">
            <v>3307</v>
          </cell>
          <cell r="Q105">
            <v>1549</v>
          </cell>
          <cell r="R105">
            <v>1758</v>
          </cell>
          <cell r="S105">
            <v>4685</v>
          </cell>
          <cell r="T105">
            <v>3454</v>
          </cell>
        </row>
        <row r="106">
          <cell r="C106" t="str">
            <v>Census Tract 101, King County, Washington</v>
          </cell>
          <cell r="D106">
            <v>5943</v>
          </cell>
          <cell r="E106">
            <v>4390</v>
          </cell>
          <cell r="F106">
            <v>2214</v>
          </cell>
          <cell r="G106">
            <v>2098</v>
          </cell>
          <cell r="H106">
            <v>402</v>
          </cell>
          <cell r="I106">
            <v>548</v>
          </cell>
          <cell r="J106">
            <v>655</v>
          </cell>
          <cell r="K106">
            <v>493</v>
          </cell>
          <cell r="L106">
            <v>78</v>
          </cell>
          <cell r="M106">
            <v>0</v>
          </cell>
          <cell r="N106">
            <v>0</v>
          </cell>
          <cell r="O106">
            <v>78</v>
          </cell>
          <cell r="P106">
            <v>1553</v>
          </cell>
          <cell r="Q106">
            <v>702</v>
          </cell>
          <cell r="R106">
            <v>851</v>
          </cell>
          <cell r="S106">
            <v>4312</v>
          </cell>
          <cell r="T106">
            <v>1631</v>
          </cell>
        </row>
        <row r="107">
          <cell r="C107" t="str">
            <v>Census Tract 102, King County, Washington</v>
          </cell>
          <cell r="D107">
            <v>4870</v>
          </cell>
          <cell r="E107">
            <v>3984</v>
          </cell>
          <cell r="F107">
            <v>2182</v>
          </cell>
          <cell r="G107">
            <v>1740</v>
          </cell>
          <cell r="H107">
            <v>232</v>
          </cell>
          <cell r="I107">
            <v>523</v>
          </cell>
          <cell r="J107">
            <v>462</v>
          </cell>
          <cell r="K107">
            <v>523</v>
          </cell>
          <cell r="L107">
            <v>62</v>
          </cell>
          <cell r="M107">
            <v>0</v>
          </cell>
          <cell r="N107">
            <v>6</v>
          </cell>
          <cell r="O107">
            <v>56</v>
          </cell>
          <cell r="P107">
            <v>886</v>
          </cell>
          <cell r="Q107">
            <v>526</v>
          </cell>
          <cell r="R107">
            <v>360</v>
          </cell>
          <cell r="S107">
            <v>3922</v>
          </cell>
          <cell r="T107">
            <v>948</v>
          </cell>
        </row>
        <row r="108">
          <cell r="C108" t="str">
            <v>Census Tract 103, King County, Washington</v>
          </cell>
          <cell r="D108">
            <v>6178</v>
          </cell>
          <cell r="E108">
            <v>4126</v>
          </cell>
          <cell r="F108">
            <v>2150</v>
          </cell>
          <cell r="G108">
            <v>1928</v>
          </cell>
          <cell r="H108">
            <v>239</v>
          </cell>
          <cell r="I108">
            <v>426</v>
          </cell>
          <cell r="J108">
            <v>708</v>
          </cell>
          <cell r="K108">
            <v>555</v>
          </cell>
          <cell r="L108">
            <v>48</v>
          </cell>
          <cell r="M108">
            <v>4</v>
          </cell>
          <cell r="N108">
            <v>0</v>
          </cell>
          <cell r="O108">
            <v>44</v>
          </cell>
          <cell r="P108">
            <v>2052</v>
          </cell>
          <cell r="Q108">
            <v>963</v>
          </cell>
          <cell r="R108">
            <v>1089</v>
          </cell>
          <cell r="S108">
            <v>4078</v>
          </cell>
          <cell r="T108">
            <v>2100</v>
          </cell>
        </row>
        <row r="109">
          <cell r="C109" t="str">
            <v>Census Tract 104, King County, Washington</v>
          </cell>
          <cell r="D109">
            <v>9002</v>
          </cell>
          <cell r="E109">
            <v>5095</v>
          </cell>
          <cell r="F109">
            <v>3186</v>
          </cell>
          <cell r="G109">
            <v>1752</v>
          </cell>
          <cell r="H109">
            <v>145</v>
          </cell>
          <cell r="I109">
            <v>304</v>
          </cell>
          <cell r="J109">
            <v>586</v>
          </cell>
          <cell r="K109">
            <v>717</v>
          </cell>
          <cell r="L109">
            <v>157</v>
          </cell>
          <cell r="M109">
            <v>0</v>
          </cell>
          <cell r="N109">
            <v>16</v>
          </cell>
          <cell r="O109">
            <v>141</v>
          </cell>
          <cell r="P109">
            <v>3907</v>
          </cell>
          <cell r="Q109">
            <v>2172</v>
          </cell>
          <cell r="R109">
            <v>1735</v>
          </cell>
          <cell r="S109">
            <v>4938</v>
          </cell>
          <cell r="T109">
            <v>4064</v>
          </cell>
        </row>
        <row r="110">
          <cell r="C110" t="str">
            <v>Census Tract 105, King County, Washington</v>
          </cell>
          <cell r="D110">
            <v>5481</v>
          </cell>
          <cell r="E110">
            <v>5013</v>
          </cell>
          <cell r="F110">
            <v>2287</v>
          </cell>
          <cell r="G110">
            <v>2633</v>
          </cell>
          <cell r="H110">
            <v>351</v>
          </cell>
          <cell r="I110">
            <v>925</v>
          </cell>
          <cell r="J110">
            <v>372</v>
          </cell>
          <cell r="K110">
            <v>985</v>
          </cell>
          <cell r="L110">
            <v>93</v>
          </cell>
          <cell r="M110">
            <v>0</v>
          </cell>
          <cell r="N110">
            <v>0</v>
          </cell>
          <cell r="O110">
            <v>93</v>
          </cell>
          <cell r="P110">
            <v>468</v>
          </cell>
          <cell r="Q110">
            <v>212</v>
          </cell>
          <cell r="R110">
            <v>256</v>
          </cell>
          <cell r="S110">
            <v>4920</v>
          </cell>
          <cell r="T110">
            <v>561</v>
          </cell>
        </row>
        <row r="111">
          <cell r="C111" t="str">
            <v>Census Tract 106, King County, Washington</v>
          </cell>
          <cell r="D111">
            <v>7075</v>
          </cell>
          <cell r="E111">
            <v>6486</v>
          </cell>
          <cell r="F111">
            <v>3278</v>
          </cell>
          <cell r="G111">
            <v>3102</v>
          </cell>
          <cell r="H111">
            <v>563</v>
          </cell>
          <cell r="I111">
            <v>814</v>
          </cell>
          <cell r="J111">
            <v>515</v>
          </cell>
          <cell r="K111">
            <v>1210</v>
          </cell>
          <cell r="L111">
            <v>106</v>
          </cell>
          <cell r="M111">
            <v>11</v>
          </cell>
          <cell r="N111">
            <v>0</v>
          </cell>
          <cell r="O111">
            <v>95</v>
          </cell>
          <cell r="P111">
            <v>589</v>
          </cell>
          <cell r="Q111">
            <v>288</v>
          </cell>
          <cell r="R111">
            <v>301</v>
          </cell>
          <cell r="S111">
            <v>6380</v>
          </cell>
          <cell r="T111">
            <v>695</v>
          </cell>
        </row>
        <row r="112">
          <cell r="C112" t="str">
            <v>Census Tract 107, King County, Washington</v>
          </cell>
          <cell r="D112">
            <v>6140</v>
          </cell>
          <cell r="E112">
            <v>4438</v>
          </cell>
          <cell r="F112">
            <v>2533</v>
          </cell>
          <cell r="G112">
            <v>1811</v>
          </cell>
          <cell r="H112">
            <v>127</v>
          </cell>
          <cell r="I112">
            <v>312</v>
          </cell>
          <cell r="J112">
            <v>472</v>
          </cell>
          <cell r="K112">
            <v>900</v>
          </cell>
          <cell r="L112">
            <v>94</v>
          </cell>
          <cell r="M112">
            <v>0</v>
          </cell>
          <cell r="N112">
            <v>22</v>
          </cell>
          <cell r="O112">
            <v>72</v>
          </cell>
          <cell r="P112">
            <v>1702</v>
          </cell>
          <cell r="Q112">
            <v>721</v>
          </cell>
          <cell r="R112">
            <v>981</v>
          </cell>
          <cell r="S112">
            <v>4344</v>
          </cell>
          <cell r="T112">
            <v>1796</v>
          </cell>
        </row>
        <row r="113">
          <cell r="C113" t="str">
            <v>Census Tract 108, King County, Washington</v>
          </cell>
          <cell r="D113">
            <v>4408</v>
          </cell>
          <cell r="E113">
            <v>3074</v>
          </cell>
          <cell r="F113">
            <v>1722</v>
          </cell>
          <cell r="G113">
            <v>1297</v>
          </cell>
          <cell r="H113">
            <v>148</v>
          </cell>
          <cell r="I113">
            <v>380</v>
          </cell>
          <cell r="J113">
            <v>288</v>
          </cell>
          <cell r="K113">
            <v>481</v>
          </cell>
          <cell r="L113">
            <v>55</v>
          </cell>
          <cell r="M113">
            <v>0</v>
          </cell>
          <cell r="N113">
            <v>0</v>
          </cell>
          <cell r="O113">
            <v>55</v>
          </cell>
          <cell r="P113">
            <v>1334</v>
          </cell>
          <cell r="Q113">
            <v>581</v>
          </cell>
          <cell r="R113">
            <v>753</v>
          </cell>
          <cell r="S113">
            <v>3019</v>
          </cell>
          <cell r="T113">
            <v>1389</v>
          </cell>
        </row>
        <row r="114">
          <cell r="C114" t="str">
            <v>Census Tract 109, King County, Washington</v>
          </cell>
          <cell r="D114">
            <v>1091</v>
          </cell>
          <cell r="E114">
            <v>840</v>
          </cell>
          <cell r="F114">
            <v>444</v>
          </cell>
          <cell r="G114">
            <v>396</v>
          </cell>
          <cell r="H114">
            <v>68</v>
          </cell>
          <cell r="I114">
            <v>112</v>
          </cell>
          <cell r="J114">
            <v>74</v>
          </cell>
          <cell r="K114">
            <v>142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251</v>
          </cell>
          <cell r="Q114">
            <v>145</v>
          </cell>
          <cell r="R114">
            <v>106</v>
          </cell>
          <cell r="S114">
            <v>840</v>
          </cell>
          <cell r="T114">
            <v>251</v>
          </cell>
        </row>
        <row r="115">
          <cell r="C115" t="str">
            <v>Census Tract 110, King County, Washington</v>
          </cell>
          <cell r="D115">
            <v>6260</v>
          </cell>
          <cell r="E115">
            <v>2920</v>
          </cell>
          <cell r="F115">
            <v>1919</v>
          </cell>
          <cell r="G115">
            <v>871</v>
          </cell>
          <cell r="H115">
            <v>98</v>
          </cell>
          <cell r="I115">
            <v>149</v>
          </cell>
          <cell r="J115">
            <v>380</v>
          </cell>
          <cell r="K115">
            <v>244</v>
          </cell>
          <cell r="L115">
            <v>130</v>
          </cell>
          <cell r="M115">
            <v>0</v>
          </cell>
          <cell r="N115">
            <v>69</v>
          </cell>
          <cell r="O115">
            <v>61</v>
          </cell>
          <cell r="P115">
            <v>3340</v>
          </cell>
          <cell r="Q115">
            <v>1624</v>
          </cell>
          <cell r="R115">
            <v>1716</v>
          </cell>
          <cell r="S115">
            <v>2790</v>
          </cell>
          <cell r="T115">
            <v>3470</v>
          </cell>
        </row>
        <row r="116">
          <cell r="C116" t="str">
            <v>Census Tract 111.01, King County, Washington</v>
          </cell>
          <cell r="D116">
            <v>4560</v>
          </cell>
          <cell r="E116">
            <v>2396</v>
          </cell>
          <cell r="F116">
            <v>1406</v>
          </cell>
          <cell r="G116">
            <v>954</v>
          </cell>
          <cell r="H116">
            <v>98</v>
          </cell>
          <cell r="I116">
            <v>294</v>
          </cell>
          <cell r="J116">
            <v>402</v>
          </cell>
          <cell r="K116">
            <v>160</v>
          </cell>
          <cell r="L116">
            <v>36</v>
          </cell>
          <cell r="M116">
            <v>0</v>
          </cell>
          <cell r="N116">
            <v>12</v>
          </cell>
          <cell r="O116">
            <v>24</v>
          </cell>
          <cell r="P116">
            <v>2164</v>
          </cell>
          <cell r="Q116">
            <v>923</v>
          </cell>
          <cell r="R116">
            <v>1241</v>
          </cell>
          <cell r="S116">
            <v>2360</v>
          </cell>
          <cell r="T116">
            <v>2200</v>
          </cell>
        </row>
        <row r="117">
          <cell r="C117" t="str">
            <v>Census Tract 111.02, King County, Washington</v>
          </cell>
          <cell r="D117">
            <v>4360</v>
          </cell>
          <cell r="E117">
            <v>2856</v>
          </cell>
          <cell r="F117">
            <v>1570</v>
          </cell>
          <cell r="G117">
            <v>1203</v>
          </cell>
          <cell r="H117">
            <v>216</v>
          </cell>
          <cell r="I117">
            <v>249</v>
          </cell>
          <cell r="J117">
            <v>288</v>
          </cell>
          <cell r="K117">
            <v>450</v>
          </cell>
          <cell r="L117">
            <v>83</v>
          </cell>
          <cell r="M117">
            <v>6</v>
          </cell>
          <cell r="N117">
            <v>31</v>
          </cell>
          <cell r="O117">
            <v>46</v>
          </cell>
          <cell r="P117">
            <v>1504</v>
          </cell>
          <cell r="Q117">
            <v>585</v>
          </cell>
          <cell r="R117">
            <v>919</v>
          </cell>
          <cell r="S117">
            <v>2773</v>
          </cell>
          <cell r="T117">
            <v>1587</v>
          </cell>
        </row>
        <row r="118">
          <cell r="C118" t="str">
            <v>Census Tract 112, King County, Washington</v>
          </cell>
          <cell r="D118">
            <v>3717</v>
          </cell>
          <cell r="E118">
            <v>2467</v>
          </cell>
          <cell r="F118">
            <v>1459</v>
          </cell>
          <cell r="G118">
            <v>1000</v>
          </cell>
          <cell r="H118">
            <v>53</v>
          </cell>
          <cell r="I118">
            <v>310</v>
          </cell>
          <cell r="J118">
            <v>227</v>
          </cell>
          <cell r="K118">
            <v>410</v>
          </cell>
          <cell r="L118">
            <v>8</v>
          </cell>
          <cell r="M118">
            <v>0</v>
          </cell>
          <cell r="N118">
            <v>0</v>
          </cell>
          <cell r="O118">
            <v>8</v>
          </cell>
          <cell r="P118">
            <v>1250</v>
          </cell>
          <cell r="Q118">
            <v>342</v>
          </cell>
          <cell r="R118">
            <v>908</v>
          </cell>
          <cell r="S118">
            <v>2459</v>
          </cell>
          <cell r="T118">
            <v>1258</v>
          </cell>
        </row>
        <row r="119">
          <cell r="C119" t="str">
            <v>Census Tract 113, King County, Washington</v>
          </cell>
          <cell r="D119">
            <v>5975</v>
          </cell>
          <cell r="E119">
            <v>4349</v>
          </cell>
          <cell r="F119">
            <v>2340</v>
          </cell>
          <cell r="G119">
            <v>1945</v>
          </cell>
          <cell r="H119">
            <v>261</v>
          </cell>
          <cell r="I119">
            <v>526</v>
          </cell>
          <cell r="J119">
            <v>301</v>
          </cell>
          <cell r="K119">
            <v>857</v>
          </cell>
          <cell r="L119">
            <v>64</v>
          </cell>
          <cell r="M119">
            <v>0</v>
          </cell>
          <cell r="N119">
            <v>10</v>
          </cell>
          <cell r="O119">
            <v>54</v>
          </cell>
          <cell r="P119">
            <v>1626</v>
          </cell>
          <cell r="Q119">
            <v>859</v>
          </cell>
          <cell r="R119">
            <v>767</v>
          </cell>
          <cell r="S119">
            <v>4285</v>
          </cell>
          <cell r="T119">
            <v>1690</v>
          </cell>
        </row>
        <row r="120">
          <cell r="C120" t="str">
            <v>Census Tract 114, King County, Washington</v>
          </cell>
          <cell r="D120">
            <v>7904</v>
          </cell>
          <cell r="E120">
            <v>5790</v>
          </cell>
          <cell r="F120">
            <v>3233</v>
          </cell>
          <cell r="G120">
            <v>2474</v>
          </cell>
          <cell r="H120">
            <v>355</v>
          </cell>
          <cell r="I120">
            <v>551</v>
          </cell>
          <cell r="J120">
            <v>451</v>
          </cell>
          <cell r="K120">
            <v>1117</v>
          </cell>
          <cell r="L120">
            <v>83</v>
          </cell>
          <cell r="M120">
            <v>0</v>
          </cell>
          <cell r="N120">
            <v>0</v>
          </cell>
          <cell r="O120">
            <v>83</v>
          </cell>
          <cell r="P120">
            <v>2114</v>
          </cell>
          <cell r="Q120">
            <v>888</v>
          </cell>
          <cell r="R120">
            <v>1226</v>
          </cell>
          <cell r="S120">
            <v>5707</v>
          </cell>
          <cell r="T120">
            <v>2197</v>
          </cell>
        </row>
        <row r="121">
          <cell r="C121" t="str">
            <v>Census Tract 115, King County, Washington</v>
          </cell>
          <cell r="D121">
            <v>4173</v>
          </cell>
          <cell r="E121">
            <v>3781</v>
          </cell>
          <cell r="F121">
            <v>2086</v>
          </cell>
          <cell r="G121">
            <v>1661</v>
          </cell>
          <cell r="H121">
            <v>180</v>
          </cell>
          <cell r="I121">
            <v>443</v>
          </cell>
          <cell r="J121">
            <v>233</v>
          </cell>
          <cell r="K121">
            <v>805</v>
          </cell>
          <cell r="L121">
            <v>34</v>
          </cell>
          <cell r="M121">
            <v>0</v>
          </cell>
          <cell r="N121">
            <v>0</v>
          </cell>
          <cell r="O121">
            <v>34</v>
          </cell>
          <cell r="P121">
            <v>392</v>
          </cell>
          <cell r="Q121">
            <v>207</v>
          </cell>
          <cell r="R121">
            <v>185</v>
          </cell>
          <cell r="S121">
            <v>3747</v>
          </cell>
          <cell r="T121">
            <v>426</v>
          </cell>
        </row>
        <row r="122">
          <cell r="C122" t="str">
            <v>Census Tract 116, King County, Washington</v>
          </cell>
          <cell r="D122">
            <v>6111</v>
          </cell>
          <cell r="E122">
            <v>5662</v>
          </cell>
          <cell r="F122">
            <v>3023</v>
          </cell>
          <cell r="G122">
            <v>2525</v>
          </cell>
          <cell r="H122">
            <v>430</v>
          </cell>
          <cell r="I122">
            <v>810</v>
          </cell>
          <cell r="J122">
            <v>393</v>
          </cell>
          <cell r="K122">
            <v>892</v>
          </cell>
          <cell r="L122">
            <v>114</v>
          </cell>
          <cell r="M122">
            <v>0</v>
          </cell>
          <cell r="N122">
            <v>0</v>
          </cell>
          <cell r="O122">
            <v>114</v>
          </cell>
          <cell r="P122">
            <v>449</v>
          </cell>
          <cell r="Q122">
            <v>208</v>
          </cell>
          <cell r="R122">
            <v>241</v>
          </cell>
          <cell r="S122">
            <v>5548</v>
          </cell>
          <cell r="T122">
            <v>563</v>
          </cell>
        </row>
        <row r="123">
          <cell r="C123" t="str">
            <v>Census Tract 117, King County, Washington</v>
          </cell>
          <cell r="D123">
            <v>5192</v>
          </cell>
          <cell r="E123">
            <v>3056</v>
          </cell>
          <cell r="F123">
            <v>1870</v>
          </cell>
          <cell r="G123">
            <v>1099</v>
          </cell>
          <cell r="H123">
            <v>61</v>
          </cell>
          <cell r="I123">
            <v>335</v>
          </cell>
          <cell r="J123">
            <v>379</v>
          </cell>
          <cell r="K123">
            <v>324</v>
          </cell>
          <cell r="L123">
            <v>87</v>
          </cell>
          <cell r="M123">
            <v>8</v>
          </cell>
          <cell r="N123">
            <v>38</v>
          </cell>
          <cell r="O123">
            <v>41</v>
          </cell>
          <cell r="P123">
            <v>2136</v>
          </cell>
          <cell r="Q123">
            <v>1086</v>
          </cell>
          <cell r="R123">
            <v>1050</v>
          </cell>
          <cell r="S123">
            <v>2969</v>
          </cell>
          <cell r="T123">
            <v>2223</v>
          </cell>
        </row>
        <row r="124">
          <cell r="C124" t="str">
            <v>Census Tract 118, King County, Washington</v>
          </cell>
          <cell r="D124">
            <v>7497</v>
          </cell>
          <cell r="E124">
            <v>5221</v>
          </cell>
          <cell r="F124">
            <v>2806</v>
          </cell>
          <cell r="G124">
            <v>2310</v>
          </cell>
          <cell r="H124">
            <v>200</v>
          </cell>
          <cell r="I124">
            <v>441</v>
          </cell>
          <cell r="J124">
            <v>894</v>
          </cell>
          <cell r="K124">
            <v>775</v>
          </cell>
          <cell r="L124">
            <v>105</v>
          </cell>
          <cell r="M124">
            <v>8</v>
          </cell>
          <cell r="N124">
            <v>52</v>
          </cell>
          <cell r="O124">
            <v>45</v>
          </cell>
          <cell r="P124">
            <v>2276</v>
          </cell>
          <cell r="Q124">
            <v>1106</v>
          </cell>
          <cell r="R124">
            <v>1170</v>
          </cell>
          <cell r="S124">
            <v>5116</v>
          </cell>
          <cell r="T124">
            <v>2381</v>
          </cell>
        </row>
        <row r="125">
          <cell r="C125" t="str">
            <v>Census Tract 119, King County, Washington</v>
          </cell>
          <cell r="D125">
            <v>7161</v>
          </cell>
          <cell r="E125">
            <v>5676</v>
          </cell>
          <cell r="F125">
            <v>3214</v>
          </cell>
          <cell r="G125">
            <v>2328</v>
          </cell>
          <cell r="H125">
            <v>190</v>
          </cell>
          <cell r="I125">
            <v>451</v>
          </cell>
          <cell r="J125">
            <v>970</v>
          </cell>
          <cell r="K125">
            <v>717</v>
          </cell>
          <cell r="L125">
            <v>134</v>
          </cell>
          <cell r="M125">
            <v>0</v>
          </cell>
          <cell r="N125">
            <v>27</v>
          </cell>
          <cell r="O125">
            <v>107</v>
          </cell>
          <cell r="P125">
            <v>1485</v>
          </cell>
          <cell r="Q125">
            <v>1030</v>
          </cell>
          <cell r="R125">
            <v>455</v>
          </cell>
          <cell r="S125">
            <v>5542</v>
          </cell>
          <cell r="T125">
            <v>1619</v>
          </cell>
        </row>
        <row r="126">
          <cell r="C126" t="str">
            <v>Census Tract 120, King County, Washington</v>
          </cell>
          <cell r="D126">
            <v>3401</v>
          </cell>
          <cell r="E126">
            <v>3101</v>
          </cell>
          <cell r="F126">
            <v>1772</v>
          </cell>
          <cell r="G126">
            <v>1244</v>
          </cell>
          <cell r="H126">
            <v>163</v>
          </cell>
          <cell r="I126">
            <v>419</v>
          </cell>
          <cell r="J126">
            <v>133</v>
          </cell>
          <cell r="K126">
            <v>529</v>
          </cell>
          <cell r="L126">
            <v>85</v>
          </cell>
          <cell r="M126">
            <v>0</v>
          </cell>
          <cell r="N126">
            <v>6</v>
          </cell>
          <cell r="O126">
            <v>79</v>
          </cell>
          <cell r="P126">
            <v>300</v>
          </cell>
          <cell r="Q126">
            <v>171</v>
          </cell>
          <cell r="R126">
            <v>129</v>
          </cell>
          <cell r="S126">
            <v>3016</v>
          </cell>
          <cell r="T126">
            <v>385</v>
          </cell>
        </row>
        <row r="127">
          <cell r="C127" t="str">
            <v>Census Tract 121, King County, Washington</v>
          </cell>
          <cell r="D127">
            <v>2745</v>
          </cell>
          <cell r="E127">
            <v>2598</v>
          </cell>
          <cell r="F127">
            <v>1525</v>
          </cell>
          <cell r="G127">
            <v>1024</v>
          </cell>
          <cell r="H127">
            <v>129</v>
          </cell>
          <cell r="I127">
            <v>437</v>
          </cell>
          <cell r="J127">
            <v>113</v>
          </cell>
          <cell r="K127">
            <v>345</v>
          </cell>
          <cell r="L127">
            <v>49</v>
          </cell>
          <cell r="M127">
            <v>0</v>
          </cell>
          <cell r="N127">
            <v>0</v>
          </cell>
          <cell r="O127">
            <v>49</v>
          </cell>
          <cell r="P127">
            <v>147</v>
          </cell>
          <cell r="Q127">
            <v>90</v>
          </cell>
          <cell r="R127">
            <v>57</v>
          </cell>
          <cell r="S127">
            <v>2549</v>
          </cell>
          <cell r="T127">
            <v>196</v>
          </cell>
        </row>
        <row r="128">
          <cell r="C128" t="str">
            <v>Census Tract 201, King County, Washington</v>
          </cell>
          <cell r="D128">
            <v>3235</v>
          </cell>
          <cell r="E128">
            <v>3023</v>
          </cell>
          <cell r="F128">
            <v>1868</v>
          </cell>
          <cell r="G128">
            <v>1116</v>
          </cell>
          <cell r="H128">
            <v>82</v>
          </cell>
          <cell r="I128">
            <v>311</v>
          </cell>
          <cell r="J128">
            <v>168</v>
          </cell>
          <cell r="K128">
            <v>555</v>
          </cell>
          <cell r="L128">
            <v>39</v>
          </cell>
          <cell r="M128">
            <v>0</v>
          </cell>
          <cell r="N128">
            <v>0</v>
          </cell>
          <cell r="O128">
            <v>39</v>
          </cell>
          <cell r="P128">
            <v>212</v>
          </cell>
          <cell r="Q128">
            <v>159</v>
          </cell>
          <cell r="R128">
            <v>53</v>
          </cell>
          <cell r="S128">
            <v>2984</v>
          </cell>
          <cell r="T128">
            <v>251</v>
          </cell>
        </row>
        <row r="129">
          <cell r="C129" t="str">
            <v>Census Tract 202, King County, Washington</v>
          </cell>
          <cell r="D129">
            <v>5624</v>
          </cell>
          <cell r="E129">
            <v>4883</v>
          </cell>
          <cell r="F129">
            <v>2619</v>
          </cell>
          <cell r="G129">
            <v>2230</v>
          </cell>
          <cell r="H129">
            <v>166</v>
          </cell>
          <cell r="I129">
            <v>872</v>
          </cell>
          <cell r="J129">
            <v>261</v>
          </cell>
          <cell r="K129">
            <v>931</v>
          </cell>
          <cell r="L129">
            <v>34</v>
          </cell>
          <cell r="M129">
            <v>0</v>
          </cell>
          <cell r="N129">
            <v>0</v>
          </cell>
          <cell r="O129">
            <v>34</v>
          </cell>
          <cell r="P129">
            <v>741</v>
          </cell>
          <cell r="Q129">
            <v>385</v>
          </cell>
          <cell r="R129">
            <v>356</v>
          </cell>
          <cell r="S129">
            <v>4849</v>
          </cell>
          <cell r="T129">
            <v>775</v>
          </cell>
        </row>
        <row r="130">
          <cell r="C130" t="str">
            <v>Census Tract 203, King County, Washington</v>
          </cell>
          <cell r="D130">
            <v>6081</v>
          </cell>
          <cell r="E130">
            <v>4707</v>
          </cell>
          <cell r="F130">
            <v>2584</v>
          </cell>
          <cell r="G130">
            <v>2013</v>
          </cell>
          <cell r="H130">
            <v>216</v>
          </cell>
          <cell r="I130">
            <v>550</v>
          </cell>
          <cell r="J130">
            <v>275</v>
          </cell>
          <cell r="K130">
            <v>972</v>
          </cell>
          <cell r="L130">
            <v>110</v>
          </cell>
          <cell r="M130">
            <v>0</v>
          </cell>
          <cell r="N130">
            <v>13</v>
          </cell>
          <cell r="O130">
            <v>97</v>
          </cell>
          <cell r="P130">
            <v>1374</v>
          </cell>
          <cell r="Q130">
            <v>509</v>
          </cell>
          <cell r="R130">
            <v>865</v>
          </cell>
          <cell r="S130">
            <v>4597</v>
          </cell>
          <cell r="T130">
            <v>1484</v>
          </cell>
        </row>
        <row r="131">
          <cell r="C131" t="str">
            <v>Census Tract 204.01, King County, Washington</v>
          </cell>
          <cell r="D131">
            <v>3544</v>
          </cell>
          <cell r="E131">
            <v>3095</v>
          </cell>
          <cell r="F131">
            <v>1668</v>
          </cell>
          <cell r="G131">
            <v>1347</v>
          </cell>
          <cell r="H131">
            <v>156</v>
          </cell>
          <cell r="I131">
            <v>380</v>
          </cell>
          <cell r="J131">
            <v>250</v>
          </cell>
          <cell r="K131">
            <v>561</v>
          </cell>
          <cell r="L131">
            <v>80</v>
          </cell>
          <cell r="M131">
            <v>12</v>
          </cell>
          <cell r="N131">
            <v>38</v>
          </cell>
          <cell r="O131">
            <v>30</v>
          </cell>
          <cell r="P131">
            <v>449</v>
          </cell>
          <cell r="Q131">
            <v>229</v>
          </cell>
          <cell r="R131">
            <v>220</v>
          </cell>
          <cell r="S131">
            <v>3015</v>
          </cell>
          <cell r="T131">
            <v>529</v>
          </cell>
        </row>
        <row r="132">
          <cell r="C132" t="str">
            <v>Census Tract 204.02, King County, Washington</v>
          </cell>
          <cell r="D132">
            <v>5502</v>
          </cell>
          <cell r="E132">
            <v>4522</v>
          </cell>
          <cell r="F132">
            <v>2409</v>
          </cell>
          <cell r="G132">
            <v>1987</v>
          </cell>
          <cell r="H132">
            <v>364</v>
          </cell>
          <cell r="I132">
            <v>497</v>
          </cell>
          <cell r="J132">
            <v>275</v>
          </cell>
          <cell r="K132">
            <v>851</v>
          </cell>
          <cell r="L132">
            <v>126</v>
          </cell>
          <cell r="M132">
            <v>6</v>
          </cell>
          <cell r="N132">
            <v>36</v>
          </cell>
          <cell r="O132">
            <v>84</v>
          </cell>
          <cell r="P132">
            <v>980</v>
          </cell>
          <cell r="Q132">
            <v>607</v>
          </cell>
          <cell r="R132">
            <v>373</v>
          </cell>
          <cell r="S132">
            <v>4396</v>
          </cell>
          <cell r="T132">
            <v>1106</v>
          </cell>
        </row>
        <row r="133">
          <cell r="C133" t="str">
            <v>Census Tract 205, King County, Washington</v>
          </cell>
          <cell r="D133">
            <v>6326</v>
          </cell>
          <cell r="E133">
            <v>5330</v>
          </cell>
          <cell r="F133">
            <v>3270</v>
          </cell>
          <cell r="G133">
            <v>1972</v>
          </cell>
          <cell r="H133">
            <v>386</v>
          </cell>
          <cell r="I133">
            <v>503</v>
          </cell>
          <cell r="J133">
            <v>423</v>
          </cell>
          <cell r="K133">
            <v>660</v>
          </cell>
          <cell r="L133">
            <v>88</v>
          </cell>
          <cell r="M133">
            <v>10</v>
          </cell>
          <cell r="N133">
            <v>0</v>
          </cell>
          <cell r="O133">
            <v>78</v>
          </cell>
          <cell r="P133">
            <v>996</v>
          </cell>
          <cell r="Q133">
            <v>617</v>
          </cell>
          <cell r="R133">
            <v>379</v>
          </cell>
          <cell r="S133">
            <v>5242</v>
          </cell>
          <cell r="T133">
            <v>1084</v>
          </cell>
        </row>
        <row r="134">
          <cell r="C134" t="str">
            <v>Census Tract 206, King County, Washington</v>
          </cell>
          <cell r="D134">
            <v>3634</v>
          </cell>
          <cell r="E134">
            <v>2994</v>
          </cell>
          <cell r="F134">
            <v>1833</v>
          </cell>
          <cell r="G134">
            <v>1110</v>
          </cell>
          <cell r="H134">
            <v>83</v>
          </cell>
          <cell r="I134">
            <v>378</v>
          </cell>
          <cell r="J134">
            <v>166</v>
          </cell>
          <cell r="K134">
            <v>483</v>
          </cell>
          <cell r="L134">
            <v>51</v>
          </cell>
          <cell r="M134">
            <v>0</v>
          </cell>
          <cell r="N134">
            <v>0</v>
          </cell>
          <cell r="O134">
            <v>51</v>
          </cell>
          <cell r="P134">
            <v>640</v>
          </cell>
          <cell r="Q134">
            <v>372</v>
          </cell>
          <cell r="R134">
            <v>268</v>
          </cell>
          <cell r="S134">
            <v>2943</v>
          </cell>
          <cell r="T134">
            <v>691</v>
          </cell>
        </row>
        <row r="135">
          <cell r="C135" t="str">
            <v>Census Tract 207, King County, Washington</v>
          </cell>
          <cell r="D135">
            <v>3302</v>
          </cell>
          <cell r="E135">
            <v>2664</v>
          </cell>
          <cell r="F135">
            <v>1529</v>
          </cell>
          <cell r="G135">
            <v>1106</v>
          </cell>
          <cell r="H135">
            <v>132</v>
          </cell>
          <cell r="I135">
            <v>388</v>
          </cell>
          <cell r="J135">
            <v>218</v>
          </cell>
          <cell r="K135">
            <v>368</v>
          </cell>
          <cell r="L135">
            <v>29</v>
          </cell>
          <cell r="M135">
            <v>0</v>
          </cell>
          <cell r="N135">
            <v>0</v>
          </cell>
          <cell r="O135">
            <v>29</v>
          </cell>
          <cell r="P135">
            <v>638</v>
          </cell>
          <cell r="Q135">
            <v>308</v>
          </cell>
          <cell r="R135">
            <v>330</v>
          </cell>
          <cell r="S135">
            <v>2635</v>
          </cell>
          <cell r="T135">
            <v>667</v>
          </cell>
        </row>
        <row r="136">
          <cell r="C136" t="str">
            <v>Census Tract 208, King County, Washington</v>
          </cell>
          <cell r="D136">
            <v>4501</v>
          </cell>
          <cell r="E136">
            <v>3841</v>
          </cell>
          <cell r="F136">
            <v>2326</v>
          </cell>
          <cell r="G136">
            <v>1482</v>
          </cell>
          <cell r="H136">
            <v>183</v>
          </cell>
          <cell r="I136">
            <v>467</v>
          </cell>
          <cell r="J136">
            <v>160</v>
          </cell>
          <cell r="K136">
            <v>672</v>
          </cell>
          <cell r="L136">
            <v>33</v>
          </cell>
          <cell r="M136">
            <v>0</v>
          </cell>
          <cell r="N136">
            <v>5</v>
          </cell>
          <cell r="O136">
            <v>28</v>
          </cell>
          <cell r="P136">
            <v>660</v>
          </cell>
          <cell r="Q136">
            <v>382</v>
          </cell>
          <cell r="R136">
            <v>278</v>
          </cell>
          <cell r="S136">
            <v>3808</v>
          </cell>
          <cell r="T136">
            <v>693</v>
          </cell>
        </row>
        <row r="137">
          <cell r="C137" t="str">
            <v>Census Tract 209, King County, Washington</v>
          </cell>
          <cell r="D137">
            <v>3167</v>
          </cell>
          <cell r="E137">
            <v>2785</v>
          </cell>
          <cell r="F137">
            <v>1485</v>
          </cell>
          <cell r="G137">
            <v>1278</v>
          </cell>
          <cell r="H137">
            <v>186</v>
          </cell>
          <cell r="I137">
            <v>461</v>
          </cell>
          <cell r="J137">
            <v>128</v>
          </cell>
          <cell r="K137">
            <v>503</v>
          </cell>
          <cell r="L137">
            <v>22</v>
          </cell>
          <cell r="M137">
            <v>0</v>
          </cell>
          <cell r="N137">
            <v>6</v>
          </cell>
          <cell r="O137">
            <v>16</v>
          </cell>
          <cell r="P137">
            <v>382</v>
          </cell>
          <cell r="Q137">
            <v>234</v>
          </cell>
          <cell r="R137">
            <v>148</v>
          </cell>
          <cell r="S137">
            <v>2763</v>
          </cell>
          <cell r="T137">
            <v>404</v>
          </cell>
        </row>
        <row r="138">
          <cell r="C138" t="str">
            <v>Census Tract 210, King County, Washington</v>
          </cell>
          <cell r="D138">
            <v>5699</v>
          </cell>
          <cell r="E138">
            <v>4539</v>
          </cell>
          <cell r="F138">
            <v>3138</v>
          </cell>
          <cell r="G138">
            <v>1371</v>
          </cell>
          <cell r="H138">
            <v>137</v>
          </cell>
          <cell r="I138">
            <v>331</v>
          </cell>
          <cell r="J138">
            <v>175</v>
          </cell>
          <cell r="K138">
            <v>728</v>
          </cell>
          <cell r="L138">
            <v>30</v>
          </cell>
          <cell r="M138">
            <v>0</v>
          </cell>
          <cell r="N138">
            <v>0</v>
          </cell>
          <cell r="O138">
            <v>30</v>
          </cell>
          <cell r="P138">
            <v>1160</v>
          </cell>
          <cell r="Q138">
            <v>678</v>
          </cell>
          <cell r="R138">
            <v>482</v>
          </cell>
          <cell r="S138">
            <v>4509</v>
          </cell>
          <cell r="T138">
            <v>1190</v>
          </cell>
        </row>
        <row r="139">
          <cell r="C139" t="str">
            <v>Census Tract 211, King County, Washington</v>
          </cell>
          <cell r="D139">
            <v>4054</v>
          </cell>
          <cell r="E139">
            <v>3189</v>
          </cell>
          <cell r="F139">
            <v>1893</v>
          </cell>
          <cell r="G139">
            <v>1229</v>
          </cell>
          <cell r="H139">
            <v>140</v>
          </cell>
          <cell r="I139">
            <v>485</v>
          </cell>
          <cell r="J139">
            <v>143</v>
          </cell>
          <cell r="K139">
            <v>461</v>
          </cell>
          <cell r="L139">
            <v>67</v>
          </cell>
          <cell r="M139">
            <v>0</v>
          </cell>
          <cell r="N139">
            <v>13</v>
          </cell>
          <cell r="O139">
            <v>54</v>
          </cell>
          <cell r="P139">
            <v>865</v>
          </cell>
          <cell r="Q139">
            <v>363</v>
          </cell>
          <cell r="R139">
            <v>502</v>
          </cell>
          <cell r="S139">
            <v>3122</v>
          </cell>
          <cell r="T139">
            <v>932</v>
          </cell>
        </row>
        <row r="140">
          <cell r="C140" t="str">
            <v>Census Tract 213, King County, Washington</v>
          </cell>
          <cell r="D140">
            <v>4172</v>
          </cell>
          <cell r="E140">
            <v>3398</v>
          </cell>
          <cell r="F140">
            <v>1953</v>
          </cell>
          <cell r="G140">
            <v>1302</v>
          </cell>
          <cell r="H140">
            <v>218</v>
          </cell>
          <cell r="I140">
            <v>459</v>
          </cell>
          <cell r="J140">
            <v>141</v>
          </cell>
          <cell r="K140">
            <v>484</v>
          </cell>
          <cell r="L140">
            <v>143</v>
          </cell>
          <cell r="M140">
            <v>6</v>
          </cell>
          <cell r="N140">
            <v>51</v>
          </cell>
          <cell r="O140">
            <v>86</v>
          </cell>
          <cell r="P140">
            <v>774</v>
          </cell>
          <cell r="Q140">
            <v>400</v>
          </cell>
          <cell r="R140">
            <v>374</v>
          </cell>
          <cell r="S140">
            <v>3255</v>
          </cell>
          <cell r="T140">
            <v>917</v>
          </cell>
        </row>
        <row r="141">
          <cell r="C141" t="str">
            <v>Census Tract 214, King County, Washington</v>
          </cell>
          <cell r="D141">
            <v>3815</v>
          </cell>
          <cell r="E141">
            <v>3499</v>
          </cell>
          <cell r="F141">
            <v>2107</v>
          </cell>
          <cell r="G141">
            <v>1350</v>
          </cell>
          <cell r="H141">
            <v>129</v>
          </cell>
          <cell r="I141">
            <v>408</v>
          </cell>
          <cell r="J141">
            <v>142</v>
          </cell>
          <cell r="K141">
            <v>671</v>
          </cell>
          <cell r="L141">
            <v>42</v>
          </cell>
          <cell r="M141">
            <v>0</v>
          </cell>
          <cell r="N141">
            <v>0</v>
          </cell>
          <cell r="O141">
            <v>42</v>
          </cell>
          <cell r="P141">
            <v>316</v>
          </cell>
          <cell r="Q141">
            <v>234</v>
          </cell>
          <cell r="R141">
            <v>82</v>
          </cell>
          <cell r="S141">
            <v>3457</v>
          </cell>
          <cell r="T141">
            <v>358</v>
          </cell>
        </row>
        <row r="142">
          <cell r="C142" t="str">
            <v>Census Tract 215, King County, Washington</v>
          </cell>
          <cell r="D142">
            <v>4400</v>
          </cell>
          <cell r="E142">
            <v>3971</v>
          </cell>
          <cell r="F142">
            <v>2182</v>
          </cell>
          <cell r="G142">
            <v>1730</v>
          </cell>
          <cell r="H142">
            <v>205</v>
          </cell>
          <cell r="I142">
            <v>508</v>
          </cell>
          <cell r="J142">
            <v>272</v>
          </cell>
          <cell r="K142">
            <v>745</v>
          </cell>
          <cell r="L142">
            <v>59</v>
          </cell>
          <cell r="M142">
            <v>0</v>
          </cell>
          <cell r="N142">
            <v>0</v>
          </cell>
          <cell r="O142">
            <v>59</v>
          </cell>
          <cell r="P142">
            <v>429</v>
          </cell>
          <cell r="Q142">
            <v>275</v>
          </cell>
          <cell r="R142">
            <v>154</v>
          </cell>
          <cell r="S142">
            <v>3912</v>
          </cell>
          <cell r="T142">
            <v>488</v>
          </cell>
        </row>
        <row r="143">
          <cell r="C143" t="str">
            <v>Census Tract 216, King County, Washington</v>
          </cell>
          <cell r="D143">
            <v>4726</v>
          </cell>
          <cell r="E143">
            <v>4194</v>
          </cell>
          <cell r="F143">
            <v>2303</v>
          </cell>
          <cell r="G143">
            <v>1795</v>
          </cell>
          <cell r="H143">
            <v>210</v>
          </cell>
          <cell r="I143">
            <v>608</v>
          </cell>
          <cell r="J143">
            <v>167</v>
          </cell>
          <cell r="K143">
            <v>810</v>
          </cell>
          <cell r="L143">
            <v>96</v>
          </cell>
          <cell r="M143">
            <v>0</v>
          </cell>
          <cell r="N143">
            <v>0</v>
          </cell>
          <cell r="O143">
            <v>96</v>
          </cell>
          <cell r="P143">
            <v>532</v>
          </cell>
          <cell r="Q143">
            <v>313</v>
          </cell>
          <cell r="R143">
            <v>219</v>
          </cell>
          <cell r="S143">
            <v>4098</v>
          </cell>
          <cell r="T143">
            <v>628</v>
          </cell>
        </row>
        <row r="144">
          <cell r="C144" t="str">
            <v>Census Tract 217, King County, Washington</v>
          </cell>
          <cell r="D144">
            <v>5252</v>
          </cell>
          <cell r="E144">
            <v>4634</v>
          </cell>
          <cell r="F144">
            <v>2765</v>
          </cell>
          <cell r="G144">
            <v>1766</v>
          </cell>
          <cell r="H144">
            <v>224</v>
          </cell>
          <cell r="I144">
            <v>511</v>
          </cell>
          <cell r="J144">
            <v>250</v>
          </cell>
          <cell r="K144">
            <v>781</v>
          </cell>
          <cell r="L144">
            <v>103</v>
          </cell>
          <cell r="M144">
            <v>37</v>
          </cell>
          <cell r="N144">
            <v>0</v>
          </cell>
          <cell r="O144">
            <v>66</v>
          </cell>
          <cell r="P144">
            <v>618</v>
          </cell>
          <cell r="Q144">
            <v>327</v>
          </cell>
          <cell r="R144">
            <v>291</v>
          </cell>
          <cell r="S144">
            <v>4531</v>
          </cell>
          <cell r="T144">
            <v>721</v>
          </cell>
        </row>
        <row r="145">
          <cell r="C145" t="str">
            <v>Census Tract 218.02, King County, Washington</v>
          </cell>
          <cell r="D145">
            <v>4105</v>
          </cell>
          <cell r="E145">
            <v>3627</v>
          </cell>
          <cell r="F145">
            <v>1960</v>
          </cell>
          <cell r="G145">
            <v>1616</v>
          </cell>
          <cell r="H145">
            <v>185</v>
          </cell>
          <cell r="I145">
            <v>482</v>
          </cell>
          <cell r="J145">
            <v>221</v>
          </cell>
          <cell r="K145">
            <v>728</v>
          </cell>
          <cell r="L145">
            <v>51</v>
          </cell>
          <cell r="M145">
            <v>9</v>
          </cell>
          <cell r="N145">
            <v>0</v>
          </cell>
          <cell r="O145">
            <v>42</v>
          </cell>
          <cell r="P145">
            <v>478</v>
          </cell>
          <cell r="Q145">
            <v>169</v>
          </cell>
          <cell r="R145">
            <v>309</v>
          </cell>
          <cell r="S145">
            <v>3576</v>
          </cell>
          <cell r="T145">
            <v>529</v>
          </cell>
        </row>
        <row r="146">
          <cell r="C146" t="str">
            <v>Census Tract 218.03, King County, Washington</v>
          </cell>
          <cell r="D146">
            <v>4150</v>
          </cell>
          <cell r="E146">
            <v>3597</v>
          </cell>
          <cell r="F146">
            <v>1939</v>
          </cell>
          <cell r="G146">
            <v>1624</v>
          </cell>
          <cell r="H146">
            <v>243</v>
          </cell>
          <cell r="I146">
            <v>455</v>
          </cell>
          <cell r="J146">
            <v>228</v>
          </cell>
          <cell r="K146">
            <v>698</v>
          </cell>
          <cell r="L146">
            <v>34</v>
          </cell>
          <cell r="M146">
            <v>8</v>
          </cell>
          <cell r="N146">
            <v>9</v>
          </cell>
          <cell r="O146">
            <v>17</v>
          </cell>
          <cell r="P146">
            <v>553</v>
          </cell>
          <cell r="Q146">
            <v>188</v>
          </cell>
          <cell r="R146">
            <v>365</v>
          </cell>
          <cell r="S146">
            <v>3563</v>
          </cell>
          <cell r="T146">
            <v>587</v>
          </cell>
        </row>
        <row r="147">
          <cell r="C147" t="str">
            <v>Census Tract 218.04, King County, Washington</v>
          </cell>
          <cell r="D147">
            <v>4226</v>
          </cell>
          <cell r="E147">
            <v>3832</v>
          </cell>
          <cell r="F147">
            <v>2187</v>
          </cell>
          <cell r="G147">
            <v>1610</v>
          </cell>
          <cell r="H147">
            <v>169</v>
          </cell>
          <cell r="I147">
            <v>537</v>
          </cell>
          <cell r="J147">
            <v>116</v>
          </cell>
          <cell r="K147">
            <v>788</v>
          </cell>
          <cell r="L147">
            <v>35</v>
          </cell>
          <cell r="M147">
            <v>0</v>
          </cell>
          <cell r="N147">
            <v>0</v>
          </cell>
          <cell r="O147">
            <v>35</v>
          </cell>
          <cell r="P147">
            <v>394</v>
          </cell>
          <cell r="Q147">
            <v>209</v>
          </cell>
          <cell r="R147">
            <v>185</v>
          </cell>
          <cell r="S147">
            <v>3797</v>
          </cell>
          <cell r="T147">
            <v>429</v>
          </cell>
        </row>
        <row r="148">
          <cell r="C148" t="str">
            <v>Census Tract 219.03, King County, Washington</v>
          </cell>
          <cell r="D148">
            <v>5995</v>
          </cell>
          <cell r="E148">
            <v>5286</v>
          </cell>
          <cell r="F148">
            <v>2639</v>
          </cell>
          <cell r="G148">
            <v>2585</v>
          </cell>
          <cell r="H148">
            <v>374</v>
          </cell>
          <cell r="I148">
            <v>746</v>
          </cell>
          <cell r="J148">
            <v>313</v>
          </cell>
          <cell r="K148">
            <v>1152</v>
          </cell>
          <cell r="L148">
            <v>62</v>
          </cell>
          <cell r="M148">
            <v>4</v>
          </cell>
          <cell r="N148">
            <v>9</v>
          </cell>
          <cell r="O148">
            <v>49</v>
          </cell>
          <cell r="P148">
            <v>709</v>
          </cell>
          <cell r="Q148">
            <v>348</v>
          </cell>
          <cell r="R148">
            <v>361</v>
          </cell>
          <cell r="S148">
            <v>5224</v>
          </cell>
          <cell r="T148">
            <v>771</v>
          </cell>
        </row>
        <row r="149">
          <cell r="C149" t="str">
            <v>Census Tract 219.04, King County, Washington</v>
          </cell>
          <cell r="D149">
            <v>4864</v>
          </cell>
          <cell r="E149">
            <v>3621</v>
          </cell>
          <cell r="F149">
            <v>1974</v>
          </cell>
          <cell r="G149">
            <v>1600</v>
          </cell>
          <cell r="H149">
            <v>197</v>
          </cell>
          <cell r="I149">
            <v>362</v>
          </cell>
          <cell r="J149">
            <v>140</v>
          </cell>
          <cell r="K149">
            <v>901</v>
          </cell>
          <cell r="L149">
            <v>47</v>
          </cell>
          <cell r="M149">
            <v>5</v>
          </cell>
          <cell r="N149">
            <v>0</v>
          </cell>
          <cell r="O149">
            <v>42</v>
          </cell>
          <cell r="P149">
            <v>1243</v>
          </cell>
          <cell r="Q149">
            <v>396</v>
          </cell>
          <cell r="R149">
            <v>847</v>
          </cell>
          <cell r="S149">
            <v>3574</v>
          </cell>
          <cell r="T149">
            <v>1290</v>
          </cell>
        </row>
        <row r="150">
          <cell r="C150" t="str">
            <v>Census Tract 219.05, King County, Washington</v>
          </cell>
          <cell r="D150">
            <v>4765</v>
          </cell>
          <cell r="E150">
            <v>4201</v>
          </cell>
          <cell r="F150">
            <v>1959</v>
          </cell>
          <cell r="G150">
            <v>2158</v>
          </cell>
          <cell r="H150">
            <v>199</v>
          </cell>
          <cell r="I150">
            <v>622</v>
          </cell>
          <cell r="J150">
            <v>313</v>
          </cell>
          <cell r="K150">
            <v>1024</v>
          </cell>
          <cell r="L150">
            <v>84</v>
          </cell>
          <cell r="M150">
            <v>0</v>
          </cell>
          <cell r="N150">
            <v>0</v>
          </cell>
          <cell r="O150">
            <v>84</v>
          </cell>
          <cell r="P150">
            <v>564</v>
          </cell>
          <cell r="Q150">
            <v>233</v>
          </cell>
          <cell r="R150">
            <v>331</v>
          </cell>
          <cell r="S150">
            <v>4117</v>
          </cell>
          <cell r="T150">
            <v>648</v>
          </cell>
        </row>
        <row r="151">
          <cell r="C151" t="str">
            <v>Census Tract 219.06, King County, Washington</v>
          </cell>
          <cell r="D151">
            <v>3617</v>
          </cell>
          <cell r="E151">
            <v>3038</v>
          </cell>
          <cell r="F151">
            <v>1497</v>
          </cell>
          <cell r="G151">
            <v>1490</v>
          </cell>
          <cell r="H151">
            <v>206</v>
          </cell>
          <cell r="I151">
            <v>327</v>
          </cell>
          <cell r="J151">
            <v>131</v>
          </cell>
          <cell r="K151">
            <v>826</v>
          </cell>
          <cell r="L151">
            <v>51</v>
          </cell>
          <cell r="M151">
            <v>0</v>
          </cell>
          <cell r="N151">
            <v>0</v>
          </cell>
          <cell r="O151">
            <v>51</v>
          </cell>
          <cell r="P151">
            <v>579</v>
          </cell>
          <cell r="Q151">
            <v>299</v>
          </cell>
          <cell r="R151">
            <v>280</v>
          </cell>
          <cell r="S151">
            <v>2987</v>
          </cell>
          <cell r="T151">
            <v>630</v>
          </cell>
        </row>
        <row r="152">
          <cell r="C152" t="str">
            <v>Census Tract 220.01, King County, Washington</v>
          </cell>
          <cell r="D152">
            <v>3813</v>
          </cell>
          <cell r="E152">
            <v>3241</v>
          </cell>
          <cell r="F152">
            <v>1689</v>
          </cell>
          <cell r="G152">
            <v>1505</v>
          </cell>
          <cell r="H152">
            <v>223</v>
          </cell>
          <cell r="I152">
            <v>505</v>
          </cell>
          <cell r="J152">
            <v>183</v>
          </cell>
          <cell r="K152">
            <v>594</v>
          </cell>
          <cell r="L152">
            <v>47</v>
          </cell>
          <cell r="M152">
            <v>7</v>
          </cell>
          <cell r="N152">
            <v>0</v>
          </cell>
          <cell r="O152">
            <v>40</v>
          </cell>
          <cell r="P152">
            <v>572</v>
          </cell>
          <cell r="Q152">
            <v>276</v>
          </cell>
          <cell r="R152">
            <v>296</v>
          </cell>
          <cell r="S152">
            <v>3194</v>
          </cell>
          <cell r="T152">
            <v>619</v>
          </cell>
        </row>
        <row r="153">
          <cell r="C153" t="str">
            <v>Census Tract 220.03, King County, Washington</v>
          </cell>
          <cell r="D153">
            <v>5315</v>
          </cell>
          <cell r="E153">
            <v>4634</v>
          </cell>
          <cell r="F153">
            <v>2623</v>
          </cell>
          <cell r="G153">
            <v>1946</v>
          </cell>
          <cell r="H153">
            <v>230</v>
          </cell>
          <cell r="I153">
            <v>489</v>
          </cell>
          <cell r="J153">
            <v>194</v>
          </cell>
          <cell r="K153">
            <v>1033</v>
          </cell>
          <cell r="L153">
            <v>65</v>
          </cell>
          <cell r="M153">
            <v>0</v>
          </cell>
          <cell r="N153">
            <v>15</v>
          </cell>
          <cell r="O153">
            <v>50</v>
          </cell>
          <cell r="P153">
            <v>681</v>
          </cell>
          <cell r="Q153">
            <v>267</v>
          </cell>
          <cell r="R153">
            <v>414</v>
          </cell>
          <cell r="S153">
            <v>4569</v>
          </cell>
          <cell r="T153">
            <v>746</v>
          </cell>
        </row>
        <row r="154">
          <cell r="C154" t="str">
            <v>Census Tract 220.05, King County, Washington</v>
          </cell>
          <cell r="D154">
            <v>4447</v>
          </cell>
          <cell r="E154">
            <v>3577</v>
          </cell>
          <cell r="F154">
            <v>1526</v>
          </cell>
          <cell r="G154">
            <v>1965</v>
          </cell>
          <cell r="H154">
            <v>271</v>
          </cell>
          <cell r="I154">
            <v>451</v>
          </cell>
          <cell r="J154">
            <v>241</v>
          </cell>
          <cell r="K154">
            <v>1002</v>
          </cell>
          <cell r="L154">
            <v>86</v>
          </cell>
          <cell r="M154">
            <v>0</v>
          </cell>
          <cell r="N154">
            <v>13</v>
          </cell>
          <cell r="O154">
            <v>73</v>
          </cell>
          <cell r="P154">
            <v>870</v>
          </cell>
          <cell r="Q154">
            <v>290</v>
          </cell>
          <cell r="R154">
            <v>580</v>
          </cell>
          <cell r="S154">
            <v>3491</v>
          </cell>
          <cell r="T154">
            <v>956</v>
          </cell>
        </row>
        <row r="155">
          <cell r="C155" t="str">
            <v>Census Tract 220.06, King County, Washington</v>
          </cell>
          <cell r="D155">
            <v>3653</v>
          </cell>
          <cell r="E155">
            <v>3126</v>
          </cell>
          <cell r="F155">
            <v>1311</v>
          </cell>
          <cell r="G155">
            <v>1764</v>
          </cell>
          <cell r="H155">
            <v>116</v>
          </cell>
          <cell r="I155">
            <v>639</v>
          </cell>
          <cell r="J155">
            <v>205</v>
          </cell>
          <cell r="K155">
            <v>804</v>
          </cell>
          <cell r="L155">
            <v>51</v>
          </cell>
          <cell r="M155">
            <v>0</v>
          </cell>
          <cell r="N155">
            <v>0</v>
          </cell>
          <cell r="O155">
            <v>51</v>
          </cell>
          <cell r="P155">
            <v>527</v>
          </cell>
          <cell r="Q155">
            <v>251</v>
          </cell>
          <cell r="R155">
            <v>276</v>
          </cell>
          <cell r="S155">
            <v>3075</v>
          </cell>
          <cell r="T155">
            <v>578</v>
          </cell>
        </row>
        <row r="156">
          <cell r="C156" t="str">
            <v>Census Tract 221.01, King County, Washington</v>
          </cell>
          <cell r="D156">
            <v>4769</v>
          </cell>
          <cell r="E156">
            <v>4347</v>
          </cell>
          <cell r="F156">
            <v>2493</v>
          </cell>
          <cell r="G156">
            <v>1778</v>
          </cell>
          <cell r="H156">
            <v>324</v>
          </cell>
          <cell r="I156">
            <v>449</v>
          </cell>
          <cell r="J156">
            <v>160</v>
          </cell>
          <cell r="K156">
            <v>845</v>
          </cell>
          <cell r="L156">
            <v>76</v>
          </cell>
          <cell r="M156">
            <v>0</v>
          </cell>
          <cell r="N156">
            <v>6</v>
          </cell>
          <cell r="O156">
            <v>70</v>
          </cell>
          <cell r="P156">
            <v>422</v>
          </cell>
          <cell r="Q156">
            <v>226</v>
          </cell>
          <cell r="R156">
            <v>196</v>
          </cell>
          <cell r="S156">
            <v>4271</v>
          </cell>
          <cell r="T156">
            <v>498</v>
          </cell>
        </row>
        <row r="157">
          <cell r="C157" t="str">
            <v>Census Tract 221.02, King County, Washington</v>
          </cell>
          <cell r="D157">
            <v>5286</v>
          </cell>
          <cell r="E157">
            <v>4650</v>
          </cell>
          <cell r="F157">
            <v>2440</v>
          </cell>
          <cell r="G157">
            <v>2133</v>
          </cell>
          <cell r="H157">
            <v>225</v>
          </cell>
          <cell r="I157">
            <v>680</v>
          </cell>
          <cell r="J157">
            <v>230</v>
          </cell>
          <cell r="K157">
            <v>998</v>
          </cell>
          <cell r="L157">
            <v>77</v>
          </cell>
          <cell r="M157">
            <v>0</v>
          </cell>
          <cell r="N157">
            <v>0</v>
          </cell>
          <cell r="O157">
            <v>77</v>
          </cell>
          <cell r="P157">
            <v>636</v>
          </cell>
          <cell r="Q157">
            <v>383</v>
          </cell>
          <cell r="R157">
            <v>253</v>
          </cell>
          <cell r="S157">
            <v>4573</v>
          </cell>
          <cell r="T157">
            <v>713</v>
          </cell>
        </row>
        <row r="158">
          <cell r="C158" t="str">
            <v>Census Tract 222.01, King County, Washington</v>
          </cell>
          <cell r="D158">
            <v>4586</v>
          </cell>
          <cell r="E158">
            <v>4299</v>
          </cell>
          <cell r="F158">
            <v>2412</v>
          </cell>
          <cell r="G158">
            <v>1859</v>
          </cell>
          <cell r="H158">
            <v>138</v>
          </cell>
          <cell r="I158">
            <v>538</v>
          </cell>
          <cell r="J158">
            <v>335</v>
          </cell>
          <cell r="K158">
            <v>848</v>
          </cell>
          <cell r="L158">
            <v>28</v>
          </cell>
          <cell r="M158">
            <v>0</v>
          </cell>
          <cell r="N158">
            <v>5</v>
          </cell>
          <cell r="O158">
            <v>23</v>
          </cell>
          <cell r="P158">
            <v>287</v>
          </cell>
          <cell r="Q158">
            <v>152</v>
          </cell>
          <cell r="R158">
            <v>135</v>
          </cell>
          <cell r="S158">
            <v>4271</v>
          </cell>
          <cell r="T158">
            <v>315</v>
          </cell>
        </row>
        <row r="159">
          <cell r="C159" t="str">
            <v>Census Tract 222.02, King County, Washington</v>
          </cell>
          <cell r="D159">
            <v>6790</v>
          </cell>
          <cell r="E159">
            <v>5877</v>
          </cell>
          <cell r="F159">
            <v>2741</v>
          </cell>
          <cell r="G159">
            <v>3069</v>
          </cell>
          <cell r="H159">
            <v>378</v>
          </cell>
          <cell r="I159">
            <v>743</v>
          </cell>
          <cell r="J159">
            <v>376</v>
          </cell>
          <cell r="K159">
            <v>1572</v>
          </cell>
          <cell r="L159">
            <v>67</v>
          </cell>
          <cell r="M159">
            <v>8</v>
          </cell>
          <cell r="N159">
            <v>0</v>
          </cell>
          <cell r="O159">
            <v>59</v>
          </cell>
          <cell r="P159">
            <v>913</v>
          </cell>
          <cell r="Q159">
            <v>465</v>
          </cell>
          <cell r="R159">
            <v>448</v>
          </cell>
          <cell r="S159">
            <v>5810</v>
          </cell>
          <cell r="T159">
            <v>980</v>
          </cell>
        </row>
        <row r="160">
          <cell r="C160" t="str">
            <v>Census Tract 222.03, King County, Washington</v>
          </cell>
          <cell r="D160">
            <v>4429</v>
          </cell>
          <cell r="E160">
            <v>3854</v>
          </cell>
          <cell r="F160">
            <v>2044</v>
          </cell>
          <cell r="G160">
            <v>1778</v>
          </cell>
          <cell r="H160">
            <v>253</v>
          </cell>
          <cell r="I160">
            <v>630</v>
          </cell>
          <cell r="J160">
            <v>163</v>
          </cell>
          <cell r="K160">
            <v>732</v>
          </cell>
          <cell r="L160">
            <v>32</v>
          </cell>
          <cell r="M160">
            <v>8</v>
          </cell>
          <cell r="N160">
            <v>0</v>
          </cell>
          <cell r="O160">
            <v>24</v>
          </cell>
          <cell r="P160">
            <v>575</v>
          </cell>
          <cell r="Q160">
            <v>324</v>
          </cell>
          <cell r="R160">
            <v>251</v>
          </cell>
          <cell r="S160">
            <v>3822</v>
          </cell>
          <cell r="T160">
            <v>607</v>
          </cell>
        </row>
        <row r="161">
          <cell r="C161" t="str">
            <v>Census Tract 223, King County, Washington</v>
          </cell>
          <cell r="D161">
            <v>2557</v>
          </cell>
          <cell r="E161">
            <v>2339</v>
          </cell>
          <cell r="F161">
            <v>1308</v>
          </cell>
          <cell r="G161">
            <v>964</v>
          </cell>
          <cell r="H161">
            <v>155</v>
          </cell>
          <cell r="I161">
            <v>305</v>
          </cell>
          <cell r="J161">
            <v>100</v>
          </cell>
          <cell r="K161">
            <v>404</v>
          </cell>
          <cell r="L161">
            <v>67</v>
          </cell>
          <cell r="M161">
            <v>0</v>
          </cell>
          <cell r="N161">
            <v>0</v>
          </cell>
          <cell r="O161">
            <v>67</v>
          </cell>
          <cell r="P161">
            <v>218</v>
          </cell>
          <cell r="Q161">
            <v>112</v>
          </cell>
          <cell r="R161">
            <v>106</v>
          </cell>
          <cell r="S161">
            <v>2272</v>
          </cell>
          <cell r="T161">
            <v>285</v>
          </cell>
        </row>
        <row r="162">
          <cell r="C162" t="str">
            <v>Census Tract 224, King County, Washington</v>
          </cell>
          <cell r="D162">
            <v>7113</v>
          </cell>
          <cell r="E162">
            <v>6292</v>
          </cell>
          <cell r="F162">
            <v>2852</v>
          </cell>
          <cell r="G162">
            <v>3349</v>
          </cell>
          <cell r="H162">
            <v>626</v>
          </cell>
          <cell r="I162">
            <v>969</v>
          </cell>
          <cell r="J162">
            <v>448</v>
          </cell>
          <cell r="K162">
            <v>1306</v>
          </cell>
          <cell r="L162">
            <v>91</v>
          </cell>
          <cell r="M162">
            <v>0</v>
          </cell>
          <cell r="N162">
            <v>7</v>
          </cell>
          <cell r="O162">
            <v>84</v>
          </cell>
          <cell r="P162">
            <v>821</v>
          </cell>
          <cell r="Q162">
            <v>392</v>
          </cell>
          <cell r="R162">
            <v>429</v>
          </cell>
          <cell r="S162">
            <v>6201</v>
          </cell>
          <cell r="T162">
            <v>912</v>
          </cell>
        </row>
        <row r="163">
          <cell r="C163" t="str">
            <v>Census Tract 225, King County, Washington</v>
          </cell>
          <cell r="D163">
            <v>6246</v>
          </cell>
          <cell r="E163">
            <v>5496</v>
          </cell>
          <cell r="F163">
            <v>2495</v>
          </cell>
          <cell r="G163">
            <v>2893</v>
          </cell>
          <cell r="H163">
            <v>434</v>
          </cell>
          <cell r="I163">
            <v>796</v>
          </cell>
          <cell r="J163">
            <v>380</v>
          </cell>
          <cell r="K163">
            <v>1283</v>
          </cell>
          <cell r="L163">
            <v>108</v>
          </cell>
          <cell r="M163">
            <v>13</v>
          </cell>
          <cell r="N163">
            <v>0</v>
          </cell>
          <cell r="O163">
            <v>95</v>
          </cell>
          <cell r="P163">
            <v>750</v>
          </cell>
          <cell r="Q163">
            <v>320</v>
          </cell>
          <cell r="R163">
            <v>430</v>
          </cell>
          <cell r="S163">
            <v>5388</v>
          </cell>
          <cell r="T163">
            <v>858</v>
          </cell>
        </row>
        <row r="164">
          <cell r="C164" t="str">
            <v>Census Tract 226.03, King County, Washington</v>
          </cell>
          <cell r="D164">
            <v>4487</v>
          </cell>
          <cell r="E164">
            <v>3634</v>
          </cell>
          <cell r="F164">
            <v>1812</v>
          </cell>
          <cell r="G164">
            <v>1794</v>
          </cell>
          <cell r="H164">
            <v>181</v>
          </cell>
          <cell r="I164">
            <v>425</v>
          </cell>
          <cell r="J164">
            <v>221</v>
          </cell>
          <cell r="K164">
            <v>967</v>
          </cell>
          <cell r="L164">
            <v>28</v>
          </cell>
          <cell r="M164">
            <v>0</v>
          </cell>
          <cell r="N164">
            <v>0</v>
          </cell>
          <cell r="O164">
            <v>28</v>
          </cell>
          <cell r="P164">
            <v>853</v>
          </cell>
          <cell r="Q164">
            <v>446</v>
          </cell>
          <cell r="R164">
            <v>407</v>
          </cell>
          <cell r="S164">
            <v>3606</v>
          </cell>
          <cell r="T164">
            <v>881</v>
          </cell>
        </row>
        <row r="165">
          <cell r="C165" t="str">
            <v>Census Tract 226.04, King County, Washington</v>
          </cell>
          <cell r="D165">
            <v>3823</v>
          </cell>
          <cell r="E165">
            <v>3292</v>
          </cell>
          <cell r="F165">
            <v>1727</v>
          </cell>
          <cell r="G165">
            <v>1526</v>
          </cell>
          <cell r="H165">
            <v>80</v>
          </cell>
          <cell r="I165">
            <v>336</v>
          </cell>
          <cell r="J165">
            <v>182</v>
          </cell>
          <cell r="K165">
            <v>928</v>
          </cell>
          <cell r="L165">
            <v>39</v>
          </cell>
          <cell r="M165">
            <v>0</v>
          </cell>
          <cell r="N165">
            <v>0</v>
          </cell>
          <cell r="O165">
            <v>39</v>
          </cell>
          <cell r="P165">
            <v>531</v>
          </cell>
          <cell r="Q165">
            <v>277</v>
          </cell>
          <cell r="R165">
            <v>254</v>
          </cell>
          <cell r="S165">
            <v>3253</v>
          </cell>
          <cell r="T165">
            <v>570</v>
          </cell>
        </row>
        <row r="166">
          <cell r="C166" t="str">
            <v>Census Tract 226.05, King County, Washington</v>
          </cell>
          <cell r="D166">
            <v>5080</v>
          </cell>
          <cell r="E166">
            <v>3762</v>
          </cell>
          <cell r="F166">
            <v>1411</v>
          </cell>
          <cell r="G166">
            <v>2290</v>
          </cell>
          <cell r="H166">
            <v>286</v>
          </cell>
          <cell r="I166">
            <v>583</v>
          </cell>
          <cell r="J166">
            <v>355</v>
          </cell>
          <cell r="K166">
            <v>1066</v>
          </cell>
          <cell r="L166">
            <v>61</v>
          </cell>
          <cell r="M166">
            <v>0</v>
          </cell>
          <cell r="N166">
            <v>15</v>
          </cell>
          <cell r="O166">
            <v>46</v>
          </cell>
          <cell r="P166">
            <v>1318</v>
          </cell>
          <cell r="Q166">
            <v>182</v>
          </cell>
          <cell r="R166">
            <v>1136</v>
          </cell>
          <cell r="S166">
            <v>3701</v>
          </cell>
          <cell r="T166">
            <v>1379</v>
          </cell>
        </row>
        <row r="167">
          <cell r="C167" t="str">
            <v>Census Tract 226.06, King County, Washington</v>
          </cell>
          <cell r="D167">
            <v>5495</v>
          </cell>
          <cell r="E167">
            <v>4596</v>
          </cell>
          <cell r="F167">
            <v>1937</v>
          </cell>
          <cell r="G167">
            <v>2546</v>
          </cell>
          <cell r="H167">
            <v>372</v>
          </cell>
          <cell r="I167">
            <v>579</v>
          </cell>
          <cell r="J167">
            <v>344</v>
          </cell>
          <cell r="K167">
            <v>1251</v>
          </cell>
          <cell r="L167">
            <v>113</v>
          </cell>
          <cell r="M167">
            <v>0</v>
          </cell>
          <cell r="N167">
            <v>21</v>
          </cell>
          <cell r="O167">
            <v>92</v>
          </cell>
          <cell r="P167">
            <v>899</v>
          </cell>
          <cell r="Q167">
            <v>455</v>
          </cell>
          <cell r="R167">
            <v>444</v>
          </cell>
          <cell r="S167">
            <v>4483</v>
          </cell>
          <cell r="T167">
            <v>1012</v>
          </cell>
        </row>
        <row r="168">
          <cell r="C168" t="str">
            <v>Census Tract 227.01, King County, Washington</v>
          </cell>
          <cell r="D168">
            <v>2459</v>
          </cell>
          <cell r="E168">
            <v>2108</v>
          </cell>
          <cell r="F168">
            <v>928</v>
          </cell>
          <cell r="G168">
            <v>1118</v>
          </cell>
          <cell r="H168">
            <v>177</v>
          </cell>
          <cell r="I168">
            <v>367</v>
          </cell>
          <cell r="J168">
            <v>177</v>
          </cell>
          <cell r="K168">
            <v>397</v>
          </cell>
          <cell r="L168">
            <v>62</v>
          </cell>
          <cell r="M168">
            <v>0</v>
          </cell>
          <cell r="N168">
            <v>0</v>
          </cell>
          <cell r="O168">
            <v>62</v>
          </cell>
          <cell r="P168">
            <v>351</v>
          </cell>
          <cell r="Q168">
            <v>149</v>
          </cell>
          <cell r="R168">
            <v>202</v>
          </cell>
          <cell r="S168">
            <v>2046</v>
          </cell>
          <cell r="T168">
            <v>413</v>
          </cell>
        </row>
        <row r="169">
          <cell r="C169" t="str">
            <v>Census Tract 227.02, King County, Washington</v>
          </cell>
          <cell r="D169">
            <v>3391</v>
          </cell>
          <cell r="E169">
            <v>2989</v>
          </cell>
          <cell r="F169">
            <v>1332</v>
          </cell>
          <cell r="G169">
            <v>1605</v>
          </cell>
          <cell r="H169">
            <v>151</v>
          </cell>
          <cell r="I169">
            <v>526</v>
          </cell>
          <cell r="J169">
            <v>196</v>
          </cell>
          <cell r="K169">
            <v>732</v>
          </cell>
          <cell r="L169">
            <v>52</v>
          </cell>
          <cell r="M169">
            <v>0</v>
          </cell>
          <cell r="N169">
            <v>0</v>
          </cell>
          <cell r="O169">
            <v>52</v>
          </cell>
          <cell r="P169">
            <v>402</v>
          </cell>
          <cell r="Q169">
            <v>170</v>
          </cell>
          <cell r="R169">
            <v>232</v>
          </cell>
          <cell r="S169">
            <v>2937</v>
          </cell>
          <cell r="T169">
            <v>454</v>
          </cell>
        </row>
        <row r="170">
          <cell r="C170" t="str">
            <v>Census Tract 227.03, King County, Washington</v>
          </cell>
          <cell r="D170">
            <v>2320</v>
          </cell>
          <cell r="E170">
            <v>1974</v>
          </cell>
          <cell r="F170">
            <v>872</v>
          </cell>
          <cell r="G170">
            <v>1071</v>
          </cell>
          <cell r="H170">
            <v>158</v>
          </cell>
          <cell r="I170">
            <v>281</v>
          </cell>
          <cell r="J170">
            <v>196</v>
          </cell>
          <cell r="K170">
            <v>436</v>
          </cell>
          <cell r="L170">
            <v>31</v>
          </cell>
          <cell r="M170">
            <v>0</v>
          </cell>
          <cell r="N170">
            <v>0</v>
          </cell>
          <cell r="O170">
            <v>31</v>
          </cell>
          <cell r="P170">
            <v>346</v>
          </cell>
          <cell r="Q170">
            <v>179</v>
          </cell>
          <cell r="R170">
            <v>167</v>
          </cell>
          <cell r="S170">
            <v>1943</v>
          </cell>
          <cell r="T170">
            <v>377</v>
          </cell>
        </row>
        <row r="171">
          <cell r="C171" t="str">
            <v>Census Tract 228.01, King County, Washington</v>
          </cell>
          <cell r="D171">
            <v>7614</v>
          </cell>
          <cell r="E171">
            <v>5089</v>
          </cell>
          <cell r="F171">
            <v>2088</v>
          </cell>
          <cell r="G171">
            <v>2846</v>
          </cell>
          <cell r="H171">
            <v>400</v>
          </cell>
          <cell r="I171">
            <v>784</v>
          </cell>
          <cell r="J171">
            <v>385</v>
          </cell>
          <cell r="K171">
            <v>1277</v>
          </cell>
          <cell r="L171">
            <v>155</v>
          </cell>
          <cell r="M171">
            <v>8</v>
          </cell>
          <cell r="N171">
            <v>19</v>
          </cell>
          <cell r="O171">
            <v>128</v>
          </cell>
          <cell r="P171">
            <v>2525</v>
          </cell>
          <cell r="Q171">
            <v>706</v>
          </cell>
          <cell r="R171">
            <v>1819</v>
          </cell>
          <cell r="S171">
            <v>4934</v>
          </cell>
          <cell r="T171">
            <v>2680</v>
          </cell>
        </row>
        <row r="172">
          <cell r="C172" t="str">
            <v>Census Tract 228.02, King County, Washington</v>
          </cell>
          <cell r="D172">
            <v>4384</v>
          </cell>
          <cell r="E172">
            <v>3291</v>
          </cell>
          <cell r="F172">
            <v>1494</v>
          </cell>
          <cell r="G172">
            <v>1739</v>
          </cell>
          <cell r="H172">
            <v>274</v>
          </cell>
          <cell r="I172">
            <v>475</v>
          </cell>
          <cell r="J172">
            <v>311</v>
          </cell>
          <cell r="K172">
            <v>679</v>
          </cell>
          <cell r="L172">
            <v>58</v>
          </cell>
          <cell r="M172">
            <v>0</v>
          </cell>
          <cell r="N172">
            <v>0</v>
          </cell>
          <cell r="O172">
            <v>58</v>
          </cell>
          <cell r="P172">
            <v>1093</v>
          </cell>
          <cell r="Q172">
            <v>481</v>
          </cell>
          <cell r="R172">
            <v>612</v>
          </cell>
          <cell r="S172">
            <v>3233</v>
          </cell>
          <cell r="T172">
            <v>1151</v>
          </cell>
        </row>
        <row r="173">
          <cell r="C173" t="str">
            <v>Census Tract 228.03, King County, Washington</v>
          </cell>
          <cell r="D173">
            <v>4164</v>
          </cell>
          <cell r="E173">
            <v>2977</v>
          </cell>
          <cell r="F173">
            <v>1264</v>
          </cell>
          <cell r="G173">
            <v>1669</v>
          </cell>
          <cell r="H173">
            <v>226</v>
          </cell>
          <cell r="I173">
            <v>506</v>
          </cell>
          <cell r="J173">
            <v>222</v>
          </cell>
          <cell r="K173">
            <v>715</v>
          </cell>
          <cell r="L173">
            <v>44</v>
          </cell>
          <cell r="M173">
            <v>0</v>
          </cell>
          <cell r="N173">
            <v>0</v>
          </cell>
          <cell r="O173">
            <v>44</v>
          </cell>
          <cell r="P173">
            <v>1187</v>
          </cell>
          <cell r="Q173">
            <v>232</v>
          </cell>
          <cell r="R173">
            <v>955</v>
          </cell>
          <cell r="S173">
            <v>2933</v>
          </cell>
          <cell r="T173">
            <v>1231</v>
          </cell>
        </row>
        <row r="174">
          <cell r="C174" t="str">
            <v>Census Tract 229.01, King County, Washington</v>
          </cell>
          <cell r="D174">
            <v>3033</v>
          </cell>
          <cell r="E174">
            <v>2200</v>
          </cell>
          <cell r="F174">
            <v>1076</v>
          </cell>
          <cell r="G174">
            <v>1064</v>
          </cell>
          <cell r="H174">
            <v>243</v>
          </cell>
          <cell r="I174">
            <v>227</v>
          </cell>
          <cell r="J174">
            <v>146</v>
          </cell>
          <cell r="K174">
            <v>448</v>
          </cell>
          <cell r="L174">
            <v>60</v>
          </cell>
          <cell r="M174">
            <v>0</v>
          </cell>
          <cell r="N174">
            <v>0</v>
          </cell>
          <cell r="O174">
            <v>60</v>
          </cell>
          <cell r="P174">
            <v>833</v>
          </cell>
          <cell r="Q174">
            <v>459</v>
          </cell>
          <cell r="R174">
            <v>374</v>
          </cell>
          <cell r="S174">
            <v>2140</v>
          </cell>
          <cell r="T174">
            <v>893</v>
          </cell>
        </row>
        <row r="175">
          <cell r="C175" t="str">
            <v>Census Tract 229.02, King County, Washington</v>
          </cell>
          <cell r="D175">
            <v>6018</v>
          </cell>
          <cell r="E175">
            <v>4838</v>
          </cell>
          <cell r="F175">
            <v>2026</v>
          </cell>
          <cell r="G175">
            <v>2711</v>
          </cell>
          <cell r="H175">
            <v>402</v>
          </cell>
          <cell r="I175">
            <v>816</v>
          </cell>
          <cell r="J175">
            <v>448</v>
          </cell>
          <cell r="K175">
            <v>1045</v>
          </cell>
          <cell r="L175">
            <v>101</v>
          </cell>
          <cell r="M175">
            <v>0</v>
          </cell>
          <cell r="N175">
            <v>0</v>
          </cell>
          <cell r="O175">
            <v>101</v>
          </cell>
          <cell r="P175">
            <v>1180</v>
          </cell>
          <cell r="Q175">
            <v>627</v>
          </cell>
          <cell r="R175">
            <v>553</v>
          </cell>
          <cell r="S175">
            <v>4737</v>
          </cell>
          <cell r="T175">
            <v>1281</v>
          </cell>
        </row>
        <row r="176">
          <cell r="C176" t="str">
            <v>Census Tract 230, King County, Washington</v>
          </cell>
          <cell r="D176">
            <v>5123</v>
          </cell>
          <cell r="E176">
            <v>4076</v>
          </cell>
          <cell r="F176">
            <v>2026</v>
          </cell>
          <cell r="G176">
            <v>1991</v>
          </cell>
          <cell r="H176">
            <v>271</v>
          </cell>
          <cell r="I176">
            <v>618</v>
          </cell>
          <cell r="J176">
            <v>260</v>
          </cell>
          <cell r="K176">
            <v>842</v>
          </cell>
          <cell r="L176">
            <v>59</v>
          </cell>
          <cell r="M176">
            <v>0</v>
          </cell>
          <cell r="N176">
            <v>5</v>
          </cell>
          <cell r="O176">
            <v>54</v>
          </cell>
          <cell r="P176">
            <v>1047</v>
          </cell>
          <cell r="Q176">
            <v>505</v>
          </cell>
          <cell r="R176">
            <v>542</v>
          </cell>
          <cell r="S176">
            <v>4017</v>
          </cell>
          <cell r="T176">
            <v>1106</v>
          </cell>
        </row>
        <row r="177">
          <cell r="C177" t="str">
            <v>Census Tract 231, King County, Washington</v>
          </cell>
          <cell r="D177">
            <v>3685</v>
          </cell>
          <cell r="E177">
            <v>2944</v>
          </cell>
          <cell r="F177">
            <v>1275</v>
          </cell>
          <cell r="G177">
            <v>1608</v>
          </cell>
          <cell r="H177">
            <v>240</v>
          </cell>
          <cell r="I177">
            <v>504</v>
          </cell>
          <cell r="J177">
            <v>228</v>
          </cell>
          <cell r="K177">
            <v>636</v>
          </cell>
          <cell r="L177">
            <v>61</v>
          </cell>
          <cell r="M177">
            <v>0</v>
          </cell>
          <cell r="N177">
            <v>7</v>
          </cell>
          <cell r="O177">
            <v>54</v>
          </cell>
          <cell r="P177">
            <v>741</v>
          </cell>
          <cell r="Q177">
            <v>260</v>
          </cell>
          <cell r="R177">
            <v>481</v>
          </cell>
          <cell r="S177">
            <v>2883</v>
          </cell>
          <cell r="T177">
            <v>802</v>
          </cell>
        </row>
        <row r="178">
          <cell r="C178" t="str">
            <v>Census Tract 232.01, King County, Washington</v>
          </cell>
          <cell r="D178">
            <v>5477</v>
          </cell>
          <cell r="E178">
            <v>3119</v>
          </cell>
          <cell r="F178">
            <v>1187</v>
          </cell>
          <cell r="G178">
            <v>1843</v>
          </cell>
          <cell r="H178">
            <v>161</v>
          </cell>
          <cell r="I178">
            <v>568</v>
          </cell>
          <cell r="J178">
            <v>378</v>
          </cell>
          <cell r="K178">
            <v>736</v>
          </cell>
          <cell r="L178">
            <v>89</v>
          </cell>
          <cell r="M178">
            <v>17</v>
          </cell>
          <cell r="N178">
            <v>0</v>
          </cell>
          <cell r="O178">
            <v>72</v>
          </cell>
          <cell r="P178">
            <v>2358</v>
          </cell>
          <cell r="Q178">
            <v>620</v>
          </cell>
          <cell r="R178">
            <v>1738</v>
          </cell>
          <cell r="S178">
            <v>3030</v>
          </cell>
          <cell r="T178">
            <v>2447</v>
          </cell>
        </row>
        <row r="179">
          <cell r="C179" t="str">
            <v>Census Tract 232.02, King County, Washington</v>
          </cell>
          <cell r="D179">
            <v>3986</v>
          </cell>
          <cell r="E179">
            <v>2437</v>
          </cell>
          <cell r="F179">
            <v>1096</v>
          </cell>
          <cell r="G179">
            <v>1291</v>
          </cell>
          <cell r="H179">
            <v>161</v>
          </cell>
          <cell r="I179">
            <v>335</v>
          </cell>
          <cell r="J179">
            <v>182</v>
          </cell>
          <cell r="K179">
            <v>613</v>
          </cell>
          <cell r="L179">
            <v>50</v>
          </cell>
          <cell r="M179">
            <v>0</v>
          </cell>
          <cell r="N179">
            <v>7</v>
          </cell>
          <cell r="O179">
            <v>43</v>
          </cell>
          <cell r="P179">
            <v>1549</v>
          </cell>
          <cell r="Q179">
            <v>511</v>
          </cell>
          <cell r="R179">
            <v>1038</v>
          </cell>
          <cell r="S179">
            <v>2387</v>
          </cell>
          <cell r="T179">
            <v>1599</v>
          </cell>
        </row>
        <row r="180">
          <cell r="C180" t="str">
            <v>Census Tract 233, King County, Washington</v>
          </cell>
          <cell r="D180">
            <v>6286</v>
          </cell>
          <cell r="E180">
            <v>4556</v>
          </cell>
          <cell r="F180">
            <v>2195</v>
          </cell>
          <cell r="G180">
            <v>2229</v>
          </cell>
          <cell r="H180">
            <v>283</v>
          </cell>
          <cell r="I180">
            <v>634</v>
          </cell>
          <cell r="J180">
            <v>348</v>
          </cell>
          <cell r="K180">
            <v>964</v>
          </cell>
          <cell r="L180">
            <v>132</v>
          </cell>
          <cell r="M180">
            <v>20</v>
          </cell>
          <cell r="N180">
            <v>6</v>
          </cell>
          <cell r="O180">
            <v>106</v>
          </cell>
          <cell r="P180">
            <v>1730</v>
          </cell>
          <cell r="Q180">
            <v>795</v>
          </cell>
          <cell r="R180">
            <v>935</v>
          </cell>
          <cell r="S180">
            <v>4424</v>
          </cell>
          <cell r="T180">
            <v>1862</v>
          </cell>
        </row>
        <row r="181">
          <cell r="C181" t="str">
            <v>Census Tract 234.01, King County, Washington</v>
          </cell>
          <cell r="D181">
            <v>3433</v>
          </cell>
          <cell r="E181">
            <v>2575</v>
          </cell>
          <cell r="F181">
            <v>1266</v>
          </cell>
          <cell r="G181">
            <v>1268</v>
          </cell>
          <cell r="H181">
            <v>90</v>
          </cell>
          <cell r="I181">
            <v>538</v>
          </cell>
          <cell r="J181">
            <v>165</v>
          </cell>
          <cell r="K181">
            <v>475</v>
          </cell>
          <cell r="L181">
            <v>41</v>
          </cell>
          <cell r="M181">
            <v>0</v>
          </cell>
          <cell r="N181">
            <v>0</v>
          </cell>
          <cell r="O181">
            <v>41</v>
          </cell>
          <cell r="P181">
            <v>858</v>
          </cell>
          <cell r="Q181">
            <v>359</v>
          </cell>
          <cell r="R181">
            <v>499</v>
          </cell>
          <cell r="S181">
            <v>2534</v>
          </cell>
          <cell r="T181">
            <v>899</v>
          </cell>
        </row>
        <row r="182">
          <cell r="C182" t="str">
            <v>Census Tract 234.02, King County, Washington</v>
          </cell>
          <cell r="D182">
            <v>7152</v>
          </cell>
          <cell r="E182">
            <v>6180</v>
          </cell>
          <cell r="F182">
            <v>3127</v>
          </cell>
          <cell r="G182">
            <v>2985</v>
          </cell>
          <cell r="H182">
            <v>376</v>
          </cell>
          <cell r="I182">
            <v>786</v>
          </cell>
          <cell r="J182">
            <v>410</v>
          </cell>
          <cell r="K182">
            <v>1413</v>
          </cell>
          <cell r="L182">
            <v>68</v>
          </cell>
          <cell r="M182">
            <v>4</v>
          </cell>
          <cell r="N182">
            <v>0</v>
          </cell>
          <cell r="O182">
            <v>64</v>
          </cell>
          <cell r="P182">
            <v>972</v>
          </cell>
          <cell r="Q182">
            <v>431</v>
          </cell>
          <cell r="R182">
            <v>541</v>
          </cell>
          <cell r="S182">
            <v>6112</v>
          </cell>
          <cell r="T182">
            <v>1040</v>
          </cell>
        </row>
        <row r="183">
          <cell r="C183" t="str">
            <v>Census Tract 235, King County, Washington</v>
          </cell>
          <cell r="D183">
            <v>3465</v>
          </cell>
          <cell r="E183">
            <v>2973</v>
          </cell>
          <cell r="F183">
            <v>1375</v>
          </cell>
          <cell r="G183">
            <v>1532</v>
          </cell>
          <cell r="H183">
            <v>166</v>
          </cell>
          <cell r="I183">
            <v>383</v>
          </cell>
          <cell r="J183">
            <v>225</v>
          </cell>
          <cell r="K183">
            <v>758</v>
          </cell>
          <cell r="L183">
            <v>66</v>
          </cell>
          <cell r="M183">
            <v>7</v>
          </cell>
          <cell r="N183">
            <v>19</v>
          </cell>
          <cell r="O183">
            <v>40</v>
          </cell>
          <cell r="P183">
            <v>492</v>
          </cell>
          <cell r="Q183">
            <v>214</v>
          </cell>
          <cell r="R183">
            <v>278</v>
          </cell>
          <cell r="S183">
            <v>2907</v>
          </cell>
          <cell r="T183">
            <v>558</v>
          </cell>
        </row>
        <row r="184">
          <cell r="C184" t="str">
            <v>Census Tract 236.01, King County, Washington</v>
          </cell>
          <cell r="D184">
            <v>3617</v>
          </cell>
          <cell r="E184">
            <v>2666</v>
          </cell>
          <cell r="F184">
            <v>1251</v>
          </cell>
          <cell r="G184">
            <v>1336</v>
          </cell>
          <cell r="H184">
            <v>201</v>
          </cell>
          <cell r="I184">
            <v>367</v>
          </cell>
          <cell r="J184">
            <v>148</v>
          </cell>
          <cell r="K184">
            <v>620</v>
          </cell>
          <cell r="L184">
            <v>79</v>
          </cell>
          <cell r="M184">
            <v>0</v>
          </cell>
          <cell r="N184">
            <v>0</v>
          </cell>
          <cell r="O184">
            <v>79</v>
          </cell>
          <cell r="P184">
            <v>951</v>
          </cell>
          <cell r="Q184">
            <v>369</v>
          </cell>
          <cell r="R184">
            <v>582</v>
          </cell>
          <cell r="S184">
            <v>2587</v>
          </cell>
          <cell r="T184">
            <v>1030</v>
          </cell>
        </row>
        <row r="185">
          <cell r="C185" t="str">
            <v>Census Tract 236.03, King County, Washington</v>
          </cell>
          <cell r="D185">
            <v>5299</v>
          </cell>
          <cell r="E185">
            <v>3325</v>
          </cell>
          <cell r="F185">
            <v>1099</v>
          </cell>
          <cell r="G185">
            <v>2202</v>
          </cell>
          <cell r="H185">
            <v>400</v>
          </cell>
          <cell r="I185">
            <v>557</v>
          </cell>
          <cell r="J185">
            <v>343</v>
          </cell>
          <cell r="K185">
            <v>902</v>
          </cell>
          <cell r="L185">
            <v>24</v>
          </cell>
          <cell r="M185">
            <v>0</v>
          </cell>
          <cell r="N185">
            <v>0</v>
          </cell>
          <cell r="O185">
            <v>24</v>
          </cell>
          <cell r="P185">
            <v>1974</v>
          </cell>
          <cell r="Q185">
            <v>356</v>
          </cell>
          <cell r="R185">
            <v>1618</v>
          </cell>
          <cell r="S185">
            <v>3301</v>
          </cell>
          <cell r="T185">
            <v>1998</v>
          </cell>
        </row>
        <row r="186">
          <cell r="C186" t="str">
            <v>Census Tract 236.04, King County, Washington</v>
          </cell>
          <cell r="D186">
            <v>5783</v>
          </cell>
          <cell r="E186">
            <v>3887</v>
          </cell>
          <cell r="F186">
            <v>1692</v>
          </cell>
          <cell r="G186">
            <v>2154</v>
          </cell>
          <cell r="H186">
            <v>224</v>
          </cell>
          <cell r="I186">
            <v>584</v>
          </cell>
          <cell r="J186">
            <v>394</v>
          </cell>
          <cell r="K186">
            <v>952</v>
          </cell>
          <cell r="L186">
            <v>41</v>
          </cell>
          <cell r="M186">
            <v>0</v>
          </cell>
          <cell r="N186">
            <v>0</v>
          </cell>
          <cell r="O186">
            <v>41</v>
          </cell>
          <cell r="P186">
            <v>1896</v>
          </cell>
          <cell r="Q186">
            <v>715</v>
          </cell>
          <cell r="R186">
            <v>1181</v>
          </cell>
          <cell r="S186">
            <v>3846</v>
          </cell>
          <cell r="T186">
            <v>1937</v>
          </cell>
        </row>
        <row r="187">
          <cell r="C187" t="str">
            <v>Census Tract 237, King County, Washington</v>
          </cell>
          <cell r="D187">
            <v>4033</v>
          </cell>
          <cell r="E187">
            <v>3368</v>
          </cell>
          <cell r="F187">
            <v>1387</v>
          </cell>
          <cell r="G187">
            <v>1859</v>
          </cell>
          <cell r="H187">
            <v>370</v>
          </cell>
          <cell r="I187">
            <v>426</v>
          </cell>
          <cell r="J187">
            <v>309</v>
          </cell>
          <cell r="K187">
            <v>754</v>
          </cell>
          <cell r="L187">
            <v>122</v>
          </cell>
          <cell r="M187">
            <v>0</v>
          </cell>
          <cell r="N187">
            <v>0</v>
          </cell>
          <cell r="O187">
            <v>122</v>
          </cell>
          <cell r="P187">
            <v>665</v>
          </cell>
          <cell r="Q187">
            <v>265</v>
          </cell>
          <cell r="R187">
            <v>400</v>
          </cell>
          <cell r="S187">
            <v>3246</v>
          </cell>
          <cell r="T187">
            <v>787</v>
          </cell>
        </row>
        <row r="188">
          <cell r="C188" t="str">
            <v>Census Tract 238.01, King County, Washington</v>
          </cell>
          <cell r="D188">
            <v>2453</v>
          </cell>
          <cell r="E188">
            <v>2137</v>
          </cell>
          <cell r="F188">
            <v>958</v>
          </cell>
          <cell r="G188">
            <v>1149</v>
          </cell>
          <cell r="H188">
            <v>234</v>
          </cell>
          <cell r="I188">
            <v>325</v>
          </cell>
          <cell r="J188">
            <v>183</v>
          </cell>
          <cell r="K188">
            <v>407</v>
          </cell>
          <cell r="L188">
            <v>30</v>
          </cell>
          <cell r="M188">
            <v>12</v>
          </cell>
          <cell r="N188">
            <v>10</v>
          </cell>
          <cell r="O188">
            <v>8</v>
          </cell>
          <cell r="P188">
            <v>316</v>
          </cell>
          <cell r="Q188">
            <v>89</v>
          </cell>
          <cell r="R188">
            <v>227</v>
          </cell>
          <cell r="S188">
            <v>2107</v>
          </cell>
          <cell r="T188">
            <v>346</v>
          </cell>
        </row>
        <row r="189">
          <cell r="C189" t="str">
            <v>Census Tract 238.02, King County, Washington</v>
          </cell>
          <cell r="D189">
            <v>2618</v>
          </cell>
          <cell r="E189">
            <v>1963</v>
          </cell>
          <cell r="F189">
            <v>692</v>
          </cell>
          <cell r="G189">
            <v>1256</v>
          </cell>
          <cell r="H189">
            <v>217</v>
          </cell>
          <cell r="I189">
            <v>368</v>
          </cell>
          <cell r="J189">
            <v>231</v>
          </cell>
          <cell r="K189">
            <v>440</v>
          </cell>
          <cell r="L189">
            <v>15</v>
          </cell>
          <cell r="M189">
            <v>0</v>
          </cell>
          <cell r="N189">
            <v>0</v>
          </cell>
          <cell r="O189">
            <v>15</v>
          </cell>
          <cell r="P189">
            <v>655</v>
          </cell>
          <cell r="Q189">
            <v>276</v>
          </cell>
          <cell r="R189">
            <v>379</v>
          </cell>
          <cell r="S189">
            <v>1948</v>
          </cell>
          <cell r="T189">
            <v>670</v>
          </cell>
        </row>
        <row r="190">
          <cell r="C190" t="str">
            <v>Census Tract 239, King County, Washington</v>
          </cell>
          <cell r="D190">
            <v>6474</v>
          </cell>
          <cell r="E190">
            <v>5466</v>
          </cell>
          <cell r="F190">
            <v>2658</v>
          </cell>
          <cell r="G190">
            <v>2765</v>
          </cell>
          <cell r="H190">
            <v>390</v>
          </cell>
          <cell r="I190">
            <v>858</v>
          </cell>
          <cell r="J190">
            <v>525</v>
          </cell>
          <cell r="K190">
            <v>992</v>
          </cell>
          <cell r="L190">
            <v>43</v>
          </cell>
          <cell r="M190">
            <v>0</v>
          </cell>
          <cell r="N190">
            <v>0</v>
          </cell>
          <cell r="O190">
            <v>43</v>
          </cell>
          <cell r="P190">
            <v>1008</v>
          </cell>
          <cell r="Q190">
            <v>470</v>
          </cell>
          <cell r="R190">
            <v>538</v>
          </cell>
          <cell r="S190">
            <v>5423</v>
          </cell>
          <cell r="T190">
            <v>1051</v>
          </cell>
        </row>
        <row r="191">
          <cell r="C191" t="str">
            <v>Census Tract 240, King County, Washington</v>
          </cell>
          <cell r="D191">
            <v>6915</v>
          </cell>
          <cell r="E191">
            <v>5597</v>
          </cell>
          <cell r="F191">
            <v>2599</v>
          </cell>
          <cell r="G191">
            <v>2926</v>
          </cell>
          <cell r="H191">
            <v>418</v>
          </cell>
          <cell r="I191">
            <v>864</v>
          </cell>
          <cell r="J191">
            <v>406</v>
          </cell>
          <cell r="K191">
            <v>1238</v>
          </cell>
          <cell r="L191">
            <v>72</v>
          </cell>
          <cell r="M191">
            <v>0</v>
          </cell>
          <cell r="N191">
            <v>0</v>
          </cell>
          <cell r="O191">
            <v>72</v>
          </cell>
          <cell r="P191">
            <v>1318</v>
          </cell>
          <cell r="Q191">
            <v>653</v>
          </cell>
          <cell r="R191">
            <v>665</v>
          </cell>
          <cell r="S191">
            <v>5525</v>
          </cell>
          <cell r="T191">
            <v>1390</v>
          </cell>
        </row>
        <row r="192">
          <cell r="C192" t="str">
            <v>Census Tract 241, King County, Washington</v>
          </cell>
          <cell r="D192">
            <v>4341</v>
          </cell>
          <cell r="E192">
            <v>3882</v>
          </cell>
          <cell r="F192">
            <v>2024</v>
          </cell>
          <cell r="G192">
            <v>1814</v>
          </cell>
          <cell r="H192">
            <v>332</v>
          </cell>
          <cell r="I192">
            <v>471</v>
          </cell>
          <cell r="J192">
            <v>267</v>
          </cell>
          <cell r="K192">
            <v>744</v>
          </cell>
          <cell r="L192">
            <v>44</v>
          </cell>
          <cell r="M192">
            <v>0</v>
          </cell>
          <cell r="N192">
            <v>0</v>
          </cell>
          <cell r="O192">
            <v>44</v>
          </cell>
          <cell r="P192">
            <v>459</v>
          </cell>
          <cell r="Q192">
            <v>283</v>
          </cell>
          <cell r="R192">
            <v>176</v>
          </cell>
          <cell r="S192">
            <v>3838</v>
          </cell>
          <cell r="T192">
            <v>503</v>
          </cell>
        </row>
        <row r="193">
          <cell r="C193" t="str">
            <v>Census Tract 242, King County, Washington</v>
          </cell>
          <cell r="D193">
            <v>3001</v>
          </cell>
          <cell r="E193">
            <v>2744</v>
          </cell>
          <cell r="F193">
            <v>1378</v>
          </cell>
          <cell r="G193">
            <v>1318</v>
          </cell>
          <cell r="H193">
            <v>257</v>
          </cell>
          <cell r="I193">
            <v>325</v>
          </cell>
          <cell r="J193">
            <v>190</v>
          </cell>
          <cell r="K193">
            <v>546</v>
          </cell>
          <cell r="L193">
            <v>48</v>
          </cell>
          <cell r="M193">
            <v>0</v>
          </cell>
          <cell r="N193">
            <v>1</v>
          </cell>
          <cell r="O193">
            <v>47</v>
          </cell>
          <cell r="P193">
            <v>257</v>
          </cell>
          <cell r="Q193">
            <v>106</v>
          </cell>
          <cell r="R193">
            <v>151</v>
          </cell>
          <cell r="S193">
            <v>2696</v>
          </cell>
          <cell r="T193">
            <v>305</v>
          </cell>
        </row>
        <row r="194">
          <cell r="C194" t="str">
            <v>Census Tract 243, King County, Washington</v>
          </cell>
          <cell r="D194">
            <v>6477</v>
          </cell>
          <cell r="E194">
            <v>5453</v>
          </cell>
          <cell r="F194">
            <v>2397</v>
          </cell>
          <cell r="G194">
            <v>2990</v>
          </cell>
          <cell r="H194">
            <v>575</v>
          </cell>
          <cell r="I194">
            <v>965</v>
          </cell>
          <cell r="J194">
            <v>337</v>
          </cell>
          <cell r="K194">
            <v>1113</v>
          </cell>
          <cell r="L194">
            <v>66</v>
          </cell>
          <cell r="M194">
            <v>0</v>
          </cell>
          <cell r="N194">
            <v>9</v>
          </cell>
          <cell r="O194">
            <v>57</v>
          </cell>
          <cell r="P194">
            <v>1024</v>
          </cell>
          <cell r="Q194">
            <v>703</v>
          </cell>
          <cell r="R194">
            <v>321</v>
          </cell>
          <cell r="S194">
            <v>5387</v>
          </cell>
          <cell r="T194">
            <v>1090</v>
          </cell>
        </row>
        <row r="195">
          <cell r="C195" t="str">
            <v>Census Tract 244, King County, Washington</v>
          </cell>
          <cell r="D195">
            <v>2528</v>
          </cell>
          <cell r="E195">
            <v>2054</v>
          </cell>
          <cell r="F195">
            <v>770</v>
          </cell>
          <cell r="G195">
            <v>1219</v>
          </cell>
          <cell r="H195">
            <v>215</v>
          </cell>
          <cell r="I195">
            <v>331</v>
          </cell>
          <cell r="J195">
            <v>246</v>
          </cell>
          <cell r="K195">
            <v>427</v>
          </cell>
          <cell r="L195">
            <v>65</v>
          </cell>
          <cell r="M195">
            <v>7</v>
          </cell>
          <cell r="N195">
            <v>10</v>
          </cell>
          <cell r="O195">
            <v>48</v>
          </cell>
          <cell r="P195">
            <v>474</v>
          </cell>
          <cell r="Q195">
            <v>199</v>
          </cell>
          <cell r="R195">
            <v>275</v>
          </cell>
          <cell r="S195">
            <v>1989</v>
          </cell>
          <cell r="T195">
            <v>539</v>
          </cell>
        </row>
        <row r="196">
          <cell r="C196" t="str">
            <v>Census Tract 245, King County, Washington</v>
          </cell>
          <cell r="D196">
            <v>4790</v>
          </cell>
          <cell r="E196">
            <v>4170</v>
          </cell>
          <cell r="F196">
            <v>1887</v>
          </cell>
          <cell r="G196">
            <v>2216</v>
          </cell>
          <cell r="H196">
            <v>410</v>
          </cell>
          <cell r="I196">
            <v>668</v>
          </cell>
          <cell r="J196">
            <v>281</v>
          </cell>
          <cell r="K196">
            <v>857</v>
          </cell>
          <cell r="L196">
            <v>67</v>
          </cell>
          <cell r="M196">
            <v>11</v>
          </cell>
          <cell r="N196">
            <v>4</v>
          </cell>
          <cell r="O196">
            <v>52</v>
          </cell>
          <cell r="P196">
            <v>620</v>
          </cell>
          <cell r="Q196">
            <v>406</v>
          </cell>
          <cell r="R196">
            <v>214</v>
          </cell>
          <cell r="S196">
            <v>4103</v>
          </cell>
          <cell r="T196">
            <v>687</v>
          </cell>
        </row>
        <row r="197">
          <cell r="C197" t="str">
            <v>Census Tract 246.01, King County, Washington</v>
          </cell>
          <cell r="D197">
            <v>4498</v>
          </cell>
          <cell r="E197">
            <v>3880</v>
          </cell>
          <cell r="F197">
            <v>1773</v>
          </cell>
          <cell r="G197">
            <v>2101</v>
          </cell>
          <cell r="H197">
            <v>451</v>
          </cell>
          <cell r="I197">
            <v>752</v>
          </cell>
          <cell r="J197">
            <v>200</v>
          </cell>
          <cell r="K197">
            <v>698</v>
          </cell>
          <cell r="L197">
            <v>6</v>
          </cell>
          <cell r="M197">
            <v>0</v>
          </cell>
          <cell r="N197">
            <v>6</v>
          </cell>
          <cell r="O197">
            <v>0</v>
          </cell>
          <cell r="P197">
            <v>618</v>
          </cell>
          <cell r="Q197">
            <v>433</v>
          </cell>
          <cell r="R197">
            <v>185</v>
          </cell>
          <cell r="S197">
            <v>3874</v>
          </cell>
          <cell r="T197">
            <v>624</v>
          </cell>
        </row>
        <row r="198">
          <cell r="C198" t="str">
            <v>Census Tract 246.02, King County, Washington</v>
          </cell>
          <cell r="D198">
            <v>3743</v>
          </cell>
          <cell r="E198">
            <v>3433</v>
          </cell>
          <cell r="F198">
            <v>1514</v>
          </cell>
          <cell r="G198">
            <v>1888</v>
          </cell>
          <cell r="H198">
            <v>482</v>
          </cell>
          <cell r="I198">
            <v>458</v>
          </cell>
          <cell r="J198">
            <v>231</v>
          </cell>
          <cell r="K198">
            <v>717</v>
          </cell>
          <cell r="L198">
            <v>31</v>
          </cell>
          <cell r="M198">
            <v>0</v>
          </cell>
          <cell r="N198">
            <v>0</v>
          </cell>
          <cell r="O198">
            <v>31</v>
          </cell>
          <cell r="P198">
            <v>310</v>
          </cell>
          <cell r="Q198">
            <v>202</v>
          </cell>
          <cell r="R198">
            <v>108</v>
          </cell>
          <cell r="S198">
            <v>3402</v>
          </cell>
          <cell r="T198">
            <v>341</v>
          </cell>
        </row>
        <row r="199">
          <cell r="C199" t="str">
            <v>Census Tract 247.01, King County, Washington</v>
          </cell>
          <cell r="D199">
            <v>3495</v>
          </cell>
          <cell r="E199">
            <v>2878</v>
          </cell>
          <cell r="F199">
            <v>1224</v>
          </cell>
          <cell r="G199">
            <v>1594</v>
          </cell>
          <cell r="H199">
            <v>351</v>
          </cell>
          <cell r="I199">
            <v>367</v>
          </cell>
          <cell r="J199">
            <v>279</v>
          </cell>
          <cell r="K199">
            <v>597</v>
          </cell>
          <cell r="L199">
            <v>60</v>
          </cell>
          <cell r="M199">
            <v>5</v>
          </cell>
          <cell r="N199">
            <v>6</v>
          </cell>
          <cell r="O199">
            <v>49</v>
          </cell>
          <cell r="P199">
            <v>617</v>
          </cell>
          <cell r="Q199">
            <v>386</v>
          </cell>
          <cell r="R199">
            <v>231</v>
          </cell>
          <cell r="S199">
            <v>2818</v>
          </cell>
          <cell r="T199">
            <v>677</v>
          </cell>
        </row>
        <row r="200">
          <cell r="C200" t="str">
            <v>Census Tract 247.02, King County, Washington</v>
          </cell>
          <cell r="D200">
            <v>6065</v>
          </cell>
          <cell r="E200">
            <v>5091</v>
          </cell>
          <cell r="F200">
            <v>2607</v>
          </cell>
          <cell r="G200">
            <v>2402</v>
          </cell>
          <cell r="H200">
            <v>203</v>
          </cell>
          <cell r="I200">
            <v>857</v>
          </cell>
          <cell r="J200">
            <v>447</v>
          </cell>
          <cell r="K200">
            <v>895</v>
          </cell>
          <cell r="L200">
            <v>82</v>
          </cell>
          <cell r="M200">
            <v>0</v>
          </cell>
          <cell r="N200">
            <v>7</v>
          </cell>
          <cell r="O200">
            <v>75</v>
          </cell>
          <cell r="P200">
            <v>974</v>
          </cell>
          <cell r="Q200">
            <v>496</v>
          </cell>
          <cell r="R200">
            <v>478</v>
          </cell>
          <cell r="S200">
            <v>5009</v>
          </cell>
          <cell r="T200">
            <v>1056</v>
          </cell>
        </row>
        <row r="201">
          <cell r="C201" t="str">
            <v>Census Tract 248, King County, Washington</v>
          </cell>
          <cell r="D201">
            <v>5314</v>
          </cell>
          <cell r="E201">
            <v>4064</v>
          </cell>
          <cell r="F201">
            <v>2007</v>
          </cell>
          <cell r="G201">
            <v>1974</v>
          </cell>
          <cell r="H201">
            <v>198</v>
          </cell>
          <cell r="I201">
            <v>478</v>
          </cell>
          <cell r="J201">
            <v>318</v>
          </cell>
          <cell r="K201">
            <v>980</v>
          </cell>
          <cell r="L201">
            <v>83</v>
          </cell>
          <cell r="M201">
            <v>0</v>
          </cell>
          <cell r="N201">
            <v>29</v>
          </cell>
          <cell r="O201">
            <v>54</v>
          </cell>
          <cell r="P201">
            <v>1250</v>
          </cell>
          <cell r="Q201">
            <v>349</v>
          </cell>
          <cell r="R201">
            <v>901</v>
          </cell>
          <cell r="S201">
            <v>3981</v>
          </cell>
          <cell r="T201">
            <v>1333</v>
          </cell>
        </row>
        <row r="202">
          <cell r="C202" t="str">
            <v>Census Tract 249.01, King County, Washington</v>
          </cell>
          <cell r="D202">
            <v>5011</v>
          </cell>
          <cell r="E202">
            <v>3887</v>
          </cell>
          <cell r="F202">
            <v>1776</v>
          </cell>
          <cell r="G202">
            <v>2073</v>
          </cell>
          <cell r="H202">
            <v>359</v>
          </cell>
          <cell r="I202">
            <v>684</v>
          </cell>
          <cell r="J202">
            <v>272</v>
          </cell>
          <cell r="K202">
            <v>758</v>
          </cell>
          <cell r="L202">
            <v>38</v>
          </cell>
          <cell r="M202">
            <v>0</v>
          </cell>
          <cell r="N202">
            <v>0</v>
          </cell>
          <cell r="O202">
            <v>38</v>
          </cell>
          <cell r="P202">
            <v>1124</v>
          </cell>
          <cell r="Q202">
            <v>659</v>
          </cell>
          <cell r="R202">
            <v>465</v>
          </cell>
          <cell r="S202">
            <v>3849</v>
          </cell>
          <cell r="T202">
            <v>1162</v>
          </cell>
        </row>
        <row r="203">
          <cell r="C203" t="str">
            <v>Census Tract 249.02, King County, Washington</v>
          </cell>
          <cell r="D203">
            <v>3586</v>
          </cell>
          <cell r="E203">
            <v>2936</v>
          </cell>
          <cell r="F203">
            <v>1368</v>
          </cell>
          <cell r="G203">
            <v>1507</v>
          </cell>
          <cell r="H203">
            <v>164</v>
          </cell>
          <cell r="I203">
            <v>482</v>
          </cell>
          <cell r="J203">
            <v>170</v>
          </cell>
          <cell r="K203">
            <v>691</v>
          </cell>
          <cell r="L203">
            <v>61</v>
          </cell>
          <cell r="M203">
            <v>0</v>
          </cell>
          <cell r="N203">
            <v>0</v>
          </cell>
          <cell r="O203">
            <v>61</v>
          </cell>
          <cell r="P203">
            <v>650</v>
          </cell>
          <cell r="Q203">
            <v>285</v>
          </cell>
          <cell r="R203">
            <v>365</v>
          </cell>
          <cell r="S203">
            <v>2875</v>
          </cell>
          <cell r="T203">
            <v>711</v>
          </cell>
        </row>
        <row r="204">
          <cell r="C204" t="str">
            <v>Census Tract 249.03, King County, Washington</v>
          </cell>
          <cell r="D204">
            <v>6649</v>
          </cell>
          <cell r="E204">
            <v>5122</v>
          </cell>
          <cell r="F204">
            <v>2222</v>
          </cell>
          <cell r="G204">
            <v>2820</v>
          </cell>
          <cell r="H204">
            <v>554</v>
          </cell>
          <cell r="I204">
            <v>800</v>
          </cell>
          <cell r="J204">
            <v>424</v>
          </cell>
          <cell r="K204">
            <v>1042</v>
          </cell>
          <cell r="L204">
            <v>80</v>
          </cell>
          <cell r="M204">
            <v>0</v>
          </cell>
          <cell r="N204">
            <v>10</v>
          </cell>
          <cell r="O204">
            <v>70</v>
          </cell>
          <cell r="P204">
            <v>1527</v>
          </cell>
          <cell r="Q204">
            <v>979</v>
          </cell>
          <cell r="R204">
            <v>548</v>
          </cell>
          <cell r="S204">
            <v>5042</v>
          </cell>
          <cell r="T204">
            <v>1607</v>
          </cell>
        </row>
        <row r="205">
          <cell r="C205" t="str">
            <v>Census Tract 250.01, King County, Washington</v>
          </cell>
          <cell r="D205">
            <v>4789</v>
          </cell>
          <cell r="E205">
            <v>3826</v>
          </cell>
          <cell r="F205">
            <v>1765</v>
          </cell>
          <cell r="G205">
            <v>2017</v>
          </cell>
          <cell r="H205">
            <v>226</v>
          </cell>
          <cell r="I205">
            <v>683</v>
          </cell>
          <cell r="J205">
            <v>237</v>
          </cell>
          <cell r="K205">
            <v>871</v>
          </cell>
          <cell r="L205">
            <v>44</v>
          </cell>
          <cell r="M205">
            <v>0</v>
          </cell>
          <cell r="N205">
            <v>0</v>
          </cell>
          <cell r="O205">
            <v>44</v>
          </cell>
          <cell r="P205">
            <v>963</v>
          </cell>
          <cell r="Q205">
            <v>586</v>
          </cell>
          <cell r="R205">
            <v>377</v>
          </cell>
          <cell r="S205">
            <v>3782</v>
          </cell>
          <cell r="T205">
            <v>1007</v>
          </cell>
        </row>
        <row r="206">
          <cell r="C206" t="str">
            <v>Census Tract 250.03, King County, Washington</v>
          </cell>
          <cell r="D206">
            <v>6678</v>
          </cell>
          <cell r="E206">
            <v>5644</v>
          </cell>
          <cell r="F206">
            <v>2622</v>
          </cell>
          <cell r="G206">
            <v>2964</v>
          </cell>
          <cell r="H206">
            <v>441</v>
          </cell>
          <cell r="I206">
            <v>825</v>
          </cell>
          <cell r="J206">
            <v>556</v>
          </cell>
          <cell r="K206">
            <v>1142</v>
          </cell>
          <cell r="L206">
            <v>58</v>
          </cell>
          <cell r="M206">
            <v>0</v>
          </cell>
          <cell r="N206">
            <v>0</v>
          </cell>
          <cell r="O206">
            <v>58</v>
          </cell>
          <cell r="P206">
            <v>1034</v>
          </cell>
          <cell r="Q206">
            <v>611</v>
          </cell>
          <cell r="R206">
            <v>423</v>
          </cell>
          <cell r="S206">
            <v>5586</v>
          </cell>
          <cell r="T206">
            <v>1092</v>
          </cell>
        </row>
        <row r="207">
          <cell r="C207" t="str">
            <v>Census Tract 250.04, King County, Washington</v>
          </cell>
          <cell r="D207">
            <v>4202</v>
          </cell>
          <cell r="E207">
            <v>3479</v>
          </cell>
          <cell r="F207">
            <v>1755</v>
          </cell>
          <cell r="G207">
            <v>1661</v>
          </cell>
          <cell r="H207">
            <v>351</v>
          </cell>
          <cell r="I207">
            <v>471</v>
          </cell>
          <cell r="J207">
            <v>253</v>
          </cell>
          <cell r="K207">
            <v>586</v>
          </cell>
          <cell r="L207">
            <v>63</v>
          </cell>
          <cell r="M207">
            <v>0</v>
          </cell>
          <cell r="N207">
            <v>6</v>
          </cell>
          <cell r="O207">
            <v>57</v>
          </cell>
          <cell r="P207">
            <v>723</v>
          </cell>
          <cell r="Q207">
            <v>401</v>
          </cell>
          <cell r="R207">
            <v>322</v>
          </cell>
          <cell r="S207">
            <v>3416</v>
          </cell>
          <cell r="T207">
            <v>786</v>
          </cell>
        </row>
        <row r="208">
          <cell r="C208" t="str">
            <v>Census Tract 251.01, King County, Washington</v>
          </cell>
          <cell r="D208">
            <v>5029</v>
          </cell>
          <cell r="E208">
            <v>3923</v>
          </cell>
          <cell r="F208">
            <v>2135</v>
          </cell>
          <cell r="G208">
            <v>1710</v>
          </cell>
          <cell r="H208">
            <v>149</v>
          </cell>
          <cell r="I208">
            <v>461</v>
          </cell>
          <cell r="J208">
            <v>183</v>
          </cell>
          <cell r="K208">
            <v>917</v>
          </cell>
          <cell r="L208">
            <v>78</v>
          </cell>
          <cell r="M208">
            <v>0</v>
          </cell>
          <cell r="N208">
            <v>6</v>
          </cell>
          <cell r="O208">
            <v>72</v>
          </cell>
          <cell r="P208">
            <v>1106</v>
          </cell>
          <cell r="Q208">
            <v>436</v>
          </cell>
          <cell r="R208">
            <v>670</v>
          </cell>
          <cell r="S208">
            <v>3845</v>
          </cell>
          <cell r="T208">
            <v>1184</v>
          </cell>
        </row>
        <row r="209">
          <cell r="C209" t="str">
            <v>Census Tract 251.02, King County, Washington</v>
          </cell>
          <cell r="D209">
            <v>4429</v>
          </cell>
          <cell r="E209">
            <v>3710</v>
          </cell>
          <cell r="F209">
            <v>2199</v>
          </cell>
          <cell r="G209">
            <v>1414</v>
          </cell>
          <cell r="H209">
            <v>112</v>
          </cell>
          <cell r="I209">
            <v>582</v>
          </cell>
          <cell r="J209">
            <v>133</v>
          </cell>
          <cell r="K209">
            <v>587</v>
          </cell>
          <cell r="L209">
            <v>97</v>
          </cell>
          <cell r="M209">
            <v>0</v>
          </cell>
          <cell r="N209">
            <v>0</v>
          </cell>
          <cell r="O209">
            <v>97</v>
          </cell>
          <cell r="P209">
            <v>719</v>
          </cell>
          <cell r="Q209">
            <v>401</v>
          </cell>
          <cell r="R209">
            <v>318</v>
          </cell>
          <cell r="S209">
            <v>3613</v>
          </cell>
          <cell r="T209">
            <v>816</v>
          </cell>
        </row>
        <row r="210">
          <cell r="C210" t="str">
            <v>Census Tract 252, King County, Washington</v>
          </cell>
          <cell r="D210">
            <v>6272</v>
          </cell>
          <cell r="E210">
            <v>5381</v>
          </cell>
          <cell r="F210">
            <v>3150</v>
          </cell>
          <cell r="G210">
            <v>2173</v>
          </cell>
          <cell r="H210">
            <v>189</v>
          </cell>
          <cell r="I210">
            <v>836</v>
          </cell>
          <cell r="J210">
            <v>343</v>
          </cell>
          <cell r="K210">
            <v>805</v>
          </cell>
          <cell r="L210">
            <v>58</v>
          </cell>
          <cell r="M210">
            <v>0</v>
          </cell>
          <cell r="N210">
            <v>0</v>
          </cell>
          <cell r="O210">
            <v>58</v>
          </cell>
          <cell r="P210">
            <v>891</v>
          </cell>
          <cell r="Q210">
            <v>439</v>
          </cell>
          <cell r="R210">
            <v>452</v>
          </cell>
          <cell r="S210">
            <v>5323</v>
          </cell>
          <cell r="T210">
            <v>949</v>
          </cell>
        </row>
        <row r="211">
          <cell r="C211" t="str">
            <v>Census Tract 253, King County, Washington</v>
          </cell>
          <cell r="D211">
            <v>6967</v>
          </cell>
          <cell r="E211">
            <v>6195</v>
          </cell>
          <cell r="F211">
            <v>3453</v>
          </cell>
          <cell r="G211">
            <v>2719</v>
          </cell>
          <cell r="H211">
            <v>161</v>
          </cell>
          <cell r="I211">
            <v>854</v>
          </cell>
          <cell r="J211">
            <v>496</v>
          </cell>
          <cell r="K211">
            <v>1208</v>
          </cell>
          <cell r="L211">
            <v>23</v>
          </cell>
          <cell r="M211">
            <v>0</v>
          </cell>
          <cell r="N211">
            <v>10</v>
          </cell>
          <cell r="O211">
            <v>13</v>
          </cell>
          <cell r="P211">
            <v>772</v>
          </cell>
          <cell r="Q211">
            <v>357</v>
          </cell>
          <cell r="R211">
            <v>415</v>
          </cell>
          <cell r="S211">
            <v>6172</v>
          </cell>
          <cell r="T211">
            <v>795</v>
          </cell>
        </row>
        <row r="212">
          <cell r="C212" t="str">
            <v>Census Tract 254, King County, Washington</v>
          </cell>
          <cell r="D212">
            <v>6316</v>
          </cell>
          <cell r="E212">
            <v>5002</v>
          </cell>
          <cell r="F212">
            <v>2768</v>
          </cell>
          <cell r="G212">
            <v>2208</v>
          </cell>
          <cell r="H212">
            <v>275</v>
          </cell>
          <cell r="I212">
            <v>574</v>
          </cell>
          <cell r="J212">
            <v>394</v>
          </cell>
          <cell r="K212">
            <v>965</v>
          </cell>
          <cell r="L212">
            <v>26</v>
          </cell>
          <cell r="M212">
            <v>0</v>
          </cell>
          <cell r="N212">
            <v>0</v>
          </cell>
          <cell r="O212">
            <v>26</v>
          </cell>
          <cell r="P212">
            <v>1314</v>
          </cell>
          <cell r="Q212">
            <v>630</v>
          </cell>
          <cell r="R212">
            <v>684</v>
          </cell>
          <cell r="S212">
            <v>4976</v>
          </cell>
          <cell r="T212">
            <v>1340</v>
          </cell>
        </row>
        <row r="213">
          <cell r="C213" t="str">
            <v>Census Tract 255, King County, Washington</v>
          </cell>
          <cell r="D213">
            <v>4241</v>
          </cell>
          <cell r="E213">
            <v>3357</v>
          </cell>
          <cell r="F213">
            <v>1754</v>
          </cell>
          <cell r="G213">
            <v>1555</v>
          </cell>
          <cell r="H213">
            <v>197</v>
          </cell>
          <cell r="I213">
            <v>450</v>
          </cell>
          <cell r="J213">
            <v>163</v>
          </cell>
          <cell r="K213">
            <v>745</v>
          </cell>
          <cell r="L213">
            <v>48</v>
          </cell>
          <cell r="M213">
            <v>0</v>
          </cell>
          <cell r="N213">
            <v>0</v>
          </cell>
          <cell r="O213">
            <v>48</v>
          </cell>
          <cell r="P213">
            <v>884</v>
          </cell>
          <cell r="Q213">
            <v>342</v>
          </cell>
          <cell r="R213">
            <v>542</v>
          </cell>
          <cell r="S213">
            <v>3309</v>
          </cell>
          <cell r="T213">
            <v>932</v>
          </cell>
        </row>
        <row r="214">
          <cell r="C214" t="str">
            <v>Census Tract 256, King County, Washington</v>
          </cell>
          <cell r="D214">
            <v>6164</v>
          </cell>
          <cell r="E214">
            <v>5408</v>
          </cell>
          <cell r="F214">
            <v>3147</v>
          </cell>
          <cell r="G214">
            <v>2179</v>
          </cell>
          <cell r="H214">
            <v>181</v>
          </cell>
          <cell r="I214">
            <v>781</v>
          </cell>
          <cell r="J214">
            <v>404</v>
          </cell>
          <cell r="K214">
            <v>813</v>
          </cell>
          <cell r="L214">
            <v>82</v>
          </cell>
          <cell r="M214">
            <v>0</v>
          </cell>
          <cell r="N214">
            <v>34</v>
          </cell>
          <cell r="O214">
            <v>48</v>
          </cell>
          <cell r="P214">
            <v>756</v>
          </cell>
          <cell r="Q214">
            <v>267</v>
          </cell>
          <cell r="R214">
            <v>489</v>
          </cell>
          <cell r="S214">
            <v>5326</v>
          </cell>
          <cell r="T214">
            <v>838</v>
          </cell>
        </row>
        <row r="215">
          <cell r="C215" t="str">
            <v>Census Tract 257.01, King County, Washington</v>
          </cell>
          <cell r="D215">
            <v>5402</v>
          </cell>
          <cell r="E215">
            <v>3752</v>
          </cell>
          <cell r="F215">
            <v>2000</v>
          </cell>
          <cell r="G215">
            <v>1658</v>
          </cell>
          <cell r="H215">
            <v>137</v>
          </cell>
          <cell r="I215">
            <v>351</v>
          </cell>
          <cell r="J215">
            <v>282</v>
          </cell>
          <cell r="K215">
            <v>888</v>
          </cell>
          <cell r="L215">
            <v>94</v>
          </cell>
          <cell r="M215">
            <v>0</v>
          </cell>
          <cell r="N215">
            <v>14</v>
          </cell>
          <cell r="O215">
            <v>80</v>
          </cell>
          <cell r="P215">
            <v>1650</v>
          </cell>
          <cell r="Q215">
            <v>497</v>
          </cell>
          <cell r="R215">
            <v>1153</v>
          </cell>
          <cell r="S215">
            <v>3658</v>
          </cell>
          <cell r="T215">
            <v>1744</v>
          </cell>
        </row>
        <row r="216">
          <cell r="C216" t="str">
            <v>Census Tract 257.02, King County, Washington</v>
          </cell>
          <cell r="D216">
            <v>3418</v>
          </cell>
          <cell r="E216">
            <v>3007</v>
          </cell>
          <cell r="F216">
            <v>1707</v>
          </cell>
          <cell r="G216">
            <v>1262</v>
          </cell>
          <cell r="H216">
            <v>134</v>
          </cell>
          <cell r="I216">
            <v>458</v>
          </cell>
          <cell r="J216">
            <v>153</v>
          </cell>
          <cell r="K216">
            <v>517</v>
          </cell>
          <cell r="L216">
            <v>38</v>
          </cell>
          <cell r="M216">
            <v>0</v>
          </cell>
          <cell r="N216">
            <v>0</v>
          </cell>
          <cell r="O216">
            <v>38</v>
          </cell>
          <cell r="P216">
            <v>411</v>
          </cell>
          <cell r="Q216">
            <v>287</v>
          </cell>
          <cell r="R216">
            <v>124</v>
          </cell>
          <cell r="S216">
            <v>2969</v>
          </cell>
          <cell r="T216">
            <v>449</v>
          </cell>
        </row>
        <row r="217">
          <cell r="C217" t="str">
            <v>Census Tract 258.01, King County, Washington</v>
          </cell>
          <cell r="D217">
            <v>7816</v>
          </cell>
          <cell r="E217">
            <v>6433</v>
          </cell>
          <cell r="F217">
            <v>3503</v>
          </cell>
          <cell r="G217">
            <v>2783</v>
          </cell>
          <cell r="H217">
            <v>224</v>
          </cell>
          <cell r="I217">
            <v>634</v>
          </cell>
          <cell r="J217">
            <v>420</v>
          </cell>
          <cell r="K217">
            <v>1505</v>
          </cell>
          <cell r="L217">
            <v>147</v>
          </cell>
          <cell r="M217">
            <v>0</v>
          </cell>
          <cell r="N217">
            <v>0</v>
          </cell>
          <cell r="O217">
            <v>147</v>
          </cell>
          <cell r="P217">
            <v>1383</v>
          </cell>
          <cell r="Q217">
            <v>733</v>
          </cell>
          <cell r="R217">
            <v>650</v>
          </cell>
          <cell r="S217">
            <v>6286</v>
          </cell>
          <cell r="T217">
            <v>1530</v>
          </cell>
        </row>
        <row r="218">
          <cell r="C218" t="str">
            <v>Census Tract 258.03, King County, Washington</v>
          </cell>
          <cell r="D218">
            <v>4228</v>
          </cell>
          <cell r="E218">
            <v>3684</v>
          </cell>
          <cell r="F218">
            <v>2204</v>
          </cell>
          <cell r="G218">
            <v>1422</v>
          </cell>
          <cell r="H218">
            <v>70</v>
          </cell>
          <cell r="I218">
            <v>367</v>
          </cell>
          <cell r="J218">
            <v>209</v>
          </cell>
          <cell r="K218">
            <v>776</v>
          </cell>
          <cell r="L218">
            <v>58</v>
          </cell>
          <cell r="M218">
            <v>0</v>
          </cell>
          <cell r="N218">
            <v>0</v>
          </cell>
          <cell r="O218">
            <v>58</v>
          </cell>
          <cell r="P218">
            <v>544</v>
          </cell>
          <cell r="Q218">
            <v>271</v>
          </cell>
          <cell r="R218">
            <v>273</v>
          </cell>
          <cell r="S218">
            <v>3626</v>
          </cell>
          <cell r="T218">
            <v>602</v>
          </cell>
        </row>
        <row r="219">
          <cell r="C219" t="str">
            <v>Census Tract 258.04, King County, Washington</v>
          </cell>
          <cell r="D219">
            <v>3759</v>
          </cell>
          <cell r="E219">
            <v>3322</v>
          </cell>
          <cell r="F219">
            <v>1945</v>
          </cell>
          <cell r="G219">
            <v>1298</v>
          </cell>
          <cell r="H219">
            <v>135</v>
          </cell>
          <cell r="I219">
            <v>366</v>
          </cell>
          <cell r="J219">
            <v>206</v>
          </cell>
          <cell r="K219">
            <v>591</v>
          </cell>
          <cell r="L219">
            <v>79</v>
          </cell>
          <cell r="M219">
            <v>0</v>
          </cell>
          <cell r="N219">
            <v>0</v>
          </cell>
          <cell r="O219">
            <v>79</v>
          </cell>
          <cell r="P219">
            <v>437</v>
          </cell>
          <cell r="Q219">
            <v>295</v>
          </cell>
          <cell r="R219">
            <v>142</v>
          </cell>
          <cell r="S219">
            <v>3243</v>
          </cell>
          <cell r="T219">
            <v>516</v>
          </cell>
        </row>
        <row r="220">
          <cell r="C220" t="str">
            <v>Census Tract 260.01, King County, Washington</v>
          </cell>
          <cell r="D220">
            <v>5132</v>
          </cell>
          <cell r="E220">
            <v>4251</v>
          </cell>
          <cell r="F220">
            <v>2534</v>
          </cell>
          <cell r="G220">
            <v>1636</v>
          </cell>
          <cell r="H220">
            <v>119</v>
          </cell>
          <cell r="I220">
            <v>473</v>
          </cell>
          <cell r="J220">
            <v>515</v>
          </cell>
          <cell r="K220">
            <v>529</v>
          </cell>
          <cell r="L220">
            <v>81</v>
          </cell>
          <cell r="M220">
            <v>0</v>
          </cell>
          <cell r="N220">
            <v>13</v>
          </cell>
          <cell r="O220">
            <v>68</v>
          </cell>
          <cell r="P220">
            <v>881</v>
          </cell>
          <cell r="Q220">
            <v>484</v>
          </cell>
          <cell r="R220">
            <v>397</v>
          </cell>
          <cell r="S220">
            <v>4170</v>
          </cell>
          <cell r="T220">
            <v>962</v>
          </cell>
        </row>
        <row r="221">
          <cell r="C221" t="str">
            <v>Census Tract 260.02, King County, Washington</v>
          </cell>
          <cell r="D221">
            <v>5812</v>
          </cell>
          <cell r="E221">
            <v>4738</v>
          </cell>
          <cell r="F221">
            <v>2540</v>
          </cell>
          <cell r="G221">
            <v>2034</v>
          </cell>
          <cell r="H221">
            <v>252</v>
          </cell>
          <cell r="I221">
            <v>553</v>
          </cell>
          <cell r="J221">
            <v>565</v>
          </cell>
          <cell r="K221">
            <v>664</v>
          </cell>
          <cell r="L221">
            <v>164</v>
          </cell>
          <cell r="M221">
            <v>11</v>
          </cell>
          <cell r="N221">
            <v>0</v>
          </cell>
          <cell r="O221">
            <v>153</v>
          </cell>
          <cell r="P221">
            <v>1074</v>
          </cell>
          <cell r="Q221">
            <v>583</v>
          </cell>
          <cell r="R221">
            <v>491</v>
          </cell>
          <cell r="S221">
            <v>4574</v>
          </cell>
          <cell r="T221">
            <v>1238</v>
          </cell>
        </row>
        <row r="222">
          <cell r="C222" t="str">
            <v>Census Tract 261, King County, Washington</v>
          </cell>
          <cell r="D222">
            <v>6036</v>
          </cell>
          <cell r="E222">
            <v>4874</v>
          </cell>
          <cell r="F222">
            <v>2745</v>
          </cell>
          <cell r="G222">
            <v>2005</v>
          </cell>
          <cell r="H222">
            <v>109</v>
          </cell>
          <cell r="I222">
            <v>638</v>
          </cell>
          <cell r="J222">
            <v>741</v>
          </cell>
          <cell r="K222">
            <v>517</v>
          </cell>
          <cell r="L222">
            <v>124</v>
          </cell>
          <cell r="M222">
            <v>20</v>
          </cell>
          <cell r="N222">
            <v>52</v>
          </cell>
          <cell r="O222">
            <v>52</v>
          </cell>
          <cell r="P222">
            <v>1162</v>
          </cell>
          <cell r="Q222">
            <v>584</v>
          </cell>
          <cell r="R222">
            <v>578</v>
          </cell>
          <cell r="S222">
            <v>4750</v>
          </cell>
          <cell r="T222">
            <v>1286</v>
          </cell>
        </row>
        <row r="223">
          <cell r="C223" t="str">
            <v>Census Tract 262, King County, Washington</v>
          </cell>
          <cell r="D223">
            <v>4938</v>
          </cell>
          <cell r="E223">
            <v>4121</v>
          </cell>
          <cell r="F223">
            <v>1897</v>
          </cell>
          <cell r="G223">
            <v>2160</v>
          </cell>
          <cell r="H223">
            <v>152</v>
          </cell>
          <cell r="I223">
            <v>599</v>
          </cell>
          <cell r="J223">
            <v>429</v>
          </cell>
          <cell r="K223">
            <v>980</v>
          </cell>
          <cell r="L223">
            <v>64</v>
          </cell>
          <cell r="M223">
            <v>0</v>
          </cell>
          <cell r="N223">
            <v>0</v>
          </cell>
          <cell r="O223">
            <v>64</v>
          </cell>
          <cell r="P223">
            <v>817</v>
          </cell>
          <cell r="Q223">
            <v>262</v>
          </cell>
          <cell r="R223">
            <v>555</v>
          </cell>
          <cell r="S223">
            <v>4057</v>
          </cell>
          <cell r="T223">
            <v>881</v>
          </cell>
        </row>
        <row r="224">
          <cell r="C224" t="str">
            <v>Census Tract 263, King County, Washington</v>
          </cell>
          <cell r="D224">
            <v>1244</v>
          </cell>
          <cell r="E224">
            <v>926</v>
          </cell>
          <cell r="F224">
            <v>549</v>
          </cell>
          <cell r="G224">
            <v>340</v>
          </cell>
          <cell r="H224">
            <v>72</v>
          </cell>
          <cell r="I224">
            <v>86</v>
          </cell>
          <cell r="J224">
            <v>50</v>
          </cell>
          <cell r="K224">
            <v>132</v>
          </cell>
          <cell r="L224">
            <v>37</v>
          </cell>
          <cell r="M224">
            <v>0</v>
          </cell>
          <cell r="N224">
            <v>0</v>
          </cell>
          <cell r="O224">
            <v>37</v>
          </cell>
          <cell r="P224">
            <v>318</v>
          </cell>
          <cell r="Q224">
            <v>72</v>
          </cell>
          <cell r="R224">
            <v>246</v>
          </cell>
          <cell r="S224">
            <v>889</v>
          </cell>
          <cell r="T224">
            <v>355</v>
          </cell>
        </row>
        <row r="225">
          <cell r="C225" t="str">
            <v>Census Tract 264, King County, Washington</v>
          </cell>
          <cell r="D225">
            <v>5824</v>
          </cell>
          <cell r="E225">
            <v>4485</v>
          </cell>
          <cell r="F225">
            <v>2576</v>
          </cell>
          <cell r="G225">
            <v>1876</v>
          </cell>
          <cell r="H225">
            <v>125</v>
          </cell>
          <cell r="I225">
            <v>639</v>
          </cell>
          <cell r="J225">
            <v>307</v>
          </cell>
          <cell r="K225">
            <v>805</v>
          </cell>
          <cell r="L225">
            <v>33</v>
          </cell>
          <cell r="M225">
            <v>0</v>
          </cell>
          <cell r="N225">
            <v>0</v>
          </cell>
          <cell r="O225">
            <v>33</v>
          </cell>
          <cell r="P225">
            <v>1339</v>
          </cell>
          <cell r="Q225">
            <v>467</v>
          </cell>
          <cell r="R225">
            <v>872</v>
          </cell>
          <cell r="S225">
            <v>4452</v>
          </cell>
          <cell r="T225">
            <v>1372</v>
          </cell>
        </row>
        <row r="226">
          <cell r="C226" t="str">
            <v>Census Tract 265, King County, Washington</v>
          </cell>
          <cell r="D226">
            <v>2576</v>
          </cell>
          <cell r="E226">
            <v>1258</v>
          </cell>
          <cell r="F226">
            <v>879</v>
          </cell>
          <cell r="G226">
            <v>368</v>
          </cell>
          <cell r="H226">
            <v>8</v>
          </cell>
          <cell r="I226">
            <v>90</v>
          </cell>
          <cell r="J226">
            <v>105</v>
          </cell>
          <cell r="K226">
            <v>165</v>
          </cell>
          <cell r="L226">
            <v>11</v>
          </cell>
          <cell r="M226">
            <v>0</v>
          </cell>
          <cell r="N226">
            <v>0</v>
          </cell>
          <cell r="O226">
            <v>11</v>
          </cell>
          <cell r="P226">
            <v>1318</v>
          </cell>
          <cell r="Q226">
            <v>374</v>
          </cell>
          <cell r="R226">
            <v>944</v>
          </cell>
          <cell r="S226">
            <v>1247</v>
          </cell>
          <cell r="T226">
            <v>1329</v>
          </cell>
        </row>
        <row r="227">
          <cell r="C227" t="str">
            <v>Census Tract 266, King County, Washington</v>
          </cell>
          <cell r="D227">
            <v>2187</v>
          </cell>
          <cell r="E227">
            <v>1618</v>
          </cell>
          <cell r="F227">
            <v>938</v>
          </cell>
          <cell r="G227">
            <v>680</v>
          </cell>
          <cell r="H227">
            <v>47</v>
          </cell>
          <cell r="I227">
            <v>183</v>
          </cell>
          <cell r="J227">
            <v>135</v>
          </cell>
          <cell r="K227">
            <v>315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569</v>
          </cell>
          <cell r="Q227">
            <v>285</v>
          </cell>
          <cell r="R227">
            <v>284</v>
          </cell>
          <cell r="S227">
            <v>1618</v>
          </cell>
          <cell r="T227">
            <v>569</v>
          </cell>
        </row>
        <row r="228">
          <cell r="C228" t="str">
            <v>Census Tract 267, King County, Washington</v>
          </cell>
          <cell r="D228">
            <v>5611</v>
          </cell>
          <cell r="E228">
            <v>4682</v>
          </cell>
          <cell r="F228">
            <v>3080</v>
          </cell>
          <cell r="G228">
            <v>1556</v>
          </cell>
          <cell r="H228">
            <v>120</v>
          </cell>
          <cell r="I228">
            <v>502</v>
          </cell>
          <cell r="J228">
            <v>223</v>
          </cell>
          <cell r="K228">
            <v>711</v>
          </cell>
          <cell r="L228">
            <v>46</v>
          </cell>
          <cell r="M228">
            <v>0</v>
          </cell>
          <cell r="N228">
            <v>14</v>
          </cell>
          <cell r="O228">
            <v>32</v>
          </cell>
          <cell r="P228">
            <v>929</v>
          </cell>
          <cell r="Q228">
            <v>301</v>
          </cell>
          <cell r="R228">
            <v>628</v>
          </cell>
          <cell r="S228">
            <v>4636</v>
          </cell>
          <cell r="T228">
            <v>975</v>
          </cell>
        </row>
        <row r="229">
          <cell r="C229" t="str">
            <v>Census Tract 268.01, King County, Washington</v>
          </cell>
          <cell r="D229">
            <v>4961</v>
          </cell>
          <cell r="E229">
            <v>3604</v>
          </cell>
          <cell r="F229">
            <v>2038</v>
          </cell>
          <cell r="G229">
            <v>1460</v>
          </cell>
          <cell r="H229">
            <v>68</v>
          </cell>
          <cell r="I229">
            <v>511</v>
          </cell>
          <cell r="J229">
            <v>186</v>
          </cell>
          <cell r="K229">
            <v>695</v>
          </cell>
          <cell r="L229">
            <v>106</v>
          </cell>
          <cell r="M229">
            <v>0</v>
          </cell>
          <cell r="N229">
            <v>74</v>
          </cell>
          <cell r="O229">
            <v>32</v>
          </cell>
          <cell r="P229">
            <v>1357</v>
          </cell>
          <cell r="Q229">
            <v>368</v>
          </cell>
          <cell r="R229">
            <v>989</v>
          </cell>
          <cell r="S229">
            <v>3498</v>
          </cell>
          <cell r="T229">
            <v>1463</v>
          </cell>
        </row>
        <row r="230">
          <cell r="C230" t="str">
            <v>Census Tract 268.02, King County, Washington</v>
          </cell>
          <cell r="D230">
            <v>5117</v>
          </cell>
          <cell r="E230">
            <v>3629</v>
          </cell>
          <cell r="F230">
            <v>2133</v>
          </cell>
          <cell r="G230">
            <v>1400</v>
          </cell>
          <cell r="H230">
            <v>71</v>
          </cell>
          <cell r="I230">
            <v>380</v>
          </cell>
          <cell r="J230">
            <v>223</v>
          </cell>
          <cell r="K230">
            <v>726</v>
          </cell>
          <cell r="L230">
            <v>96</v>
          </cell>
          <cell r="M230">
            <v>60</v>
          </cell>
          <cell r="N230">
            <v>15</v>
          </cell>
          <cell r="O230">
            <v>21</v>
          </cell>
          <cell r="P230">
            <v>1488</v>
          </cell>
          <cell r="Q230">
            <v>514</v>
          </cell>
          <cell r="R230">
            <v>974</v>
          </cell>
          <cell r="S230">
            <v>3533</v>
          </cell>
          <cell r="T230">
            <v>1584</v>
          </cell>
        </row>
        <row r="231">
          <cell r="C231" t="str">
            <v>Census Tract 269, King County, Washington</v>
          </cell>
          <cell r="D231">
            <v>1492</v>
          </cell>
          <cell r="E231">
            <v>1225</v>
          </cell>
          <cell r="F231">
            <v>845</v>
          </cell>
          <cell r="G231">
            <v>362</v>
          </cell>
          <cell r="H231">
            <v>44</v>
          </cell>
          <cell r="I231">
            <v>138</v>
          </cell>
          <cell r="J231">
            <v>63</v>
          </cell>
          <cell r="K231">
            <v>117</v>
          </cell>
          <cell r="L231">
            <v>18</v>
          </cell>
          <cell r="M231">
            <v>0</v>
          </cell>
          <cell r="N231">
            <v>0</v>
          </cell>
          <cell r="O231">
            <v>18</v>
          </cell>
          <cell r="P231">
            <v>267</v>
          </cell>
          <cell r="Q231">
            <v>148</v>
          </cell>
          <cell r="R231">
            <v>119</v>
          </cell>
          <cell r="S231">
            <v>1207</v>
          </cell>
          <cell r="T231">
            <v>285</v>
          </cell>
        </row>
        <row r="232">
          <cell r="C232" t="str">
            <v>Census Tract 270, King County, Washington</v>
          </cell>
          <cell r="D232">
            <v>3228</v>
          </cell>
          <cell r="E232">
            <v>2420</v>
          </cell>
          <cell r="F232">
            <v>1604</v>
          </cell>
          <cell r="G232">
            <v>789</v>
          </cell>
          <cell r="H232">
            <v>80</v>
          </cell>
          <cell r="I232">
            <v>314</v>
          </cell>
          <cell r="J232">
            <v>82</v>
          </cell>
          <cell r="K232">
            <v>313</v>
          </cell>
          <cell r="L232">
            <v>27</v>
          </cell>
          <cell r="M232">
            <v>0</v>
          </cell>
          <cell r="N232">
            <v>0</v>
          </cell>
          <cell r="O232">
            <v>27</v>
          </cell>
          <cell r="P232">
            <v>808</v>
          </cell>
          <cell r="Q232">
            <v>313</v>
          </cell>
          <cell r="R232">
            <v>495</v>
          </cell>
          <cell r="S232">
            <v>2393</v>
          </cell>
          <cell r="T232">
            <v>835</v>
          </cell>
        </row>
        <row r="233">
          <cell r="C233" t="str">
            <v>Census Tract 271, King County, Washington</v>
          </cell>
          <cell r="D233">
            <v>2988</v>
          </cell>
          <cell r="E233">
            <v>2529</v>
          </cell>
          <cell r="F233">
            <v>1385</v>
          </cell>
          <cell r="G233">
            <v>1108</v>
          </cell>
          <cell r="H233">
            <v>133</v>
          </cell>
          <cell r="I233">
            <v>315</v>
          </cell>
          <cell r="J233">
            <v>245</v>
          </cell>
          <cell r="K233">
            <v>415</v>
          </cell>
          <cell r="L233">
            <v>36</v>
          </cell>
          <cell r="M233">
            <v>6</v>
          </cell>
          <cell r="N233">
            <v>25</v>
          </cell>
          <cell r="O233">
            <v>5</v>
          </cell>
          <cell r="P233">
            <v>459</v>
          </cell>
          <cell r="Q233">
            <v>161</v>
          </cell>
          <cell r="R233">
            <v>298</v>
          </cell>
          <cell r="S233">
            <v>2493</v>
          </cell>
          <cell r="T233">
            <v>495</v>
          </cell>
        </row>
        <row r="234">
          <cell r="C234" t="str">
            <v>Census Tract 272, King County, Washington</v>
          </cell>
          <cell r="D234">
            <v>2206</v>
          </cell>
          <cell r="E234">
            <v>1601</v>
          </cell>
          <cell r="F234">
            <v>1050</v>
          </cell>
          <cell r="G234">
            <v>551</v>
          </cell>
          <cell r="H234">
            <v>27</v>
          </cell>
          <cell r="I234">
            <v>203</v>
          </cell>
          <cell r="J234">
            <v>80</v>
          </cell>
          <cell r="K234">
            <v>241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605</v>
          </cell>
          <cell r="Q234">
            <v>237</v>
          </cell>
          <cell r="R234">
            <v>368</v>
          </cell>
          <cell r="S234">
            <v>1601</v>
          </cell>
          <cell r="T234">
            <v>605</v>
          </cell>
        </row>
        <row r="235">
          <cell r="C235" t="str">
            <v>Census Tract 273, King County, Washington</v>
          </cell>
          <cell r="D235">
            <v>5624</v>
          </cell>
          <cell r="E235">
            <v>3903</v>
          </cell>
          <cell r="F235">
            <v>2654</v>
          </cell>
          <cell r="G235">
            <v>1219</v>
          </cell>
          <cell r="H235">
            <v>92</v>
          </cell>
          <cell r="I235">
            <v>307</v>
          </cell>
          <cell r="J235">
            <v>198</v>
          </cell>
          <cell r="K235">
            <v>622</v>
          </cell>
          <cell r="L235">
            <v>30</v>
          </cell>
          <cell r="M235">
            <v>14</v>
          </cell>
          <cell r="N235">
            <v>0</v>
          </cell>
          <cell r="O235">
            <v>16</v>
          </cell>
          <cell r="P235">
            <v>1721</v>
          </cell>
          <cell r="Q235">
            <v>358</v>
          </cell>
          <cell r="R235">
            <v>1363</v>
          </cell>
          <cell r="S235">
            <v>3873</v>
          </cell>
          <cell r="T235">
            <v>1751</v>
          </cell>
        </row>
        <row r="236">
          <cell r="C236" t="str">
            <v>Census Tract 274, King County, Washington</v>
          </cell>
          <cell r="D236">
            <v>4980</v>
          </cell>
          <cell r="E236">
            <v>4108</v>
          </cell>
          <cell r="F236">
            <v>2561</v>
          </cell>
          <cell r="G236">
            <v>1490</v>
          </cell>
          <cell r="H236">
            <v>133</v>
          </cell>
          <cell r="I236">
            <v>443</v>
          </cell>
          <cell r="J236">
            <v>245</v>
          </cell>
          <cell r="K236">
            <v>669</v>
          </cell>
          <cell r="L236">
            <v>57</v>
          </cell>
          <cell r="M236">
            <v>0</v>
          </cell>
          <cell r="N236">
            <v>0</v>
          </cell>
          <cell r="O236">
            <v>57</v>
          </cell>
          <cell r="P236">
            <v>872</v>
          </cell>
          <cell r="Q236">
            <v>387</v>
          </cell>
          <cell r="R236">
            <v>485</v>
          </cell>
          <cell r="S236">
            <v>4051</v>
          </cell>
          <cell r="T236">
            <v>929</v>
          </cell>
        </row>
        <row r="237">
          <cell r="C237" t="str">
            <v>Census Tract 275, King County, Washington</v>
          </cell>
          <cell r="D237">
            <v>4578</v>
          </cell>
          <cell r="E237">
            <v>3878</v>
          </cell>
          <cell r="F237">
            <v>2215</v>
          </cell>
          <cell r="G237">
            <v>1623</v>
          </cell>
          <cell r="H237">
            <v>103</v>
          </cell>
          <cell r="I237">
            <v>676</v>
          </cell>
          <cell r="J237">
            <v>201</v>
          </cell>
          <cell r="K237">
            <v>643</v>
          </cell>
          <cell r="L237">
            <v>40</v>
          </cell>
          <cell r="M237">
            <v>0</v>
          </cell>
          <cell r="N237">
            <v>14</v>
          </cell>
          <cell r="O237">
            <v>26</v>
          </cell>
          <cell r="P237">
            <v>700</v>
          </cell>
          <cell r="Q237">
            <v>301</v>
          </cell>
          <cell r="R237">
            <v>399</v>
          </cell>
          <cell r="S237">
            <v>3838</v>
          </cell>
          <cell r="T237">
            <v>740</v>
          </cell>
        </row>
        <row r="238">
          <cell r="C238" t="str">
            <v>Census Tract 276, King County, Washington</v>
          </cell>
          <cell r="D238">
            <v>4168</v>
          </cell>
          <cell r="E238">
            <v>3428</v>
          </cell>
          <cell r="F238">
            <v>1809</v>
          </cell>
          <cell r="G238">
            <v>1612</v>
          </cell>
          <cell r="H238">
            <v>106</v>
          </cell>
          <cell r="I238">
            <v>509</v>
          </cell>
          <cell r="J238">
            <v>208</v>
          </cell>
          <cell r="K238">
            <v>789</v>
          </cell>
          <cell r="L238">
            <v>7</v>
          </cell>
          <cell r="M238">
            <v>0</v>
          </cell>
          <cell r="N238">
            <v>0</v>
          </cell>
          <cell r="O238">
            <v>7</v>
          </cell>
          <cell r="P238">
            <v>740</v>
          </cell>
          <cell r="Q238">
            <v>178</v>
          </cell>
          <cell r="R238">
            <v>562</v>
          </cell>
          <cell r="S238">
            <v>3421</v>
          </cell>
          <cell r="T238">
            <v>747</v>
          </cell>
        </row>
        <row r="239">
          <cell r="C239" t="str">
            <v>Census Tract 277.01, King County, Washington</v>
          </cell>
          <cell r="D239">
            <v>5161</v>
          </cell>
          <cell r="E239">
            <v>4868</v>
          </cell>
          <cell r="F239">
            <v>2417</v>
          </cell>
          <cell r="G239">
            <v>2369</v>
          </cell>
          <cell r="H239">
            <v>330</v>
          </cell>
          <cell r="I239">
            <v>774</v>
          </cell>
          <cell r="J239">
            <v>308</v>
          </cell>
          <cell r="K239">
            <v>957</v>
          </cell>
          <cell r="L239">
            <v>82</v>
          </cell>
          <cell r="M239">
            <v>0</v>
          </cell>
          <cell r="N239">
            <v>0</v>
          </cell>
          <cell r="O239">
            <v>82</v>
          </cell>
          <cell r="P239">
            <v>293</v>
          </cell>
          <cell r="Q239">
            <v>109</v>
          </cell>
          <cell r="R239">
            <v>184</v>
          </cell>
          <cell r="S239">
            <v>4786</v>
          </cell>
          <cell r="T239">
            <v>375</v>
          </cell>
        </row>
        <row r="240">
          <cell r="C240" t="str">
            <v>Census Tract 277.02, King County, Washington</v>
          </cell>
          <cell r="D240">
            <v>4962</v>
          </cell>
          <cell r="E240">
            <v>4786</v>
          </cell>
          <cell r="F240">
            <v>2426</v>
          </cell>
          <cell r="G240">
            <v>2280</v>
          </cell>
          <cell r="H240">
            <v>405</v>
          </cell>
          <cell r="I240">
            <v>655</v>
          </cell>
          <cell r="J240">
            <v>316</v>
          </cell>
          <cell r="K240">
            <v>904</v>
          </cell>
          <cell r="L240">
            <v>80</v>
          </cell>
          <cell r="M240">
            <v>0</v>
          </cell>
          <cell r="N240">
            <v>0</v>
          </cell>
          <cell r="O240">
            <v>80</v>
          </cell>
          <cell r="P240">
            <v>176</v>
          </cell>
          <cell r="Q240">
            <v>52</v>
          </cell>
          <cell r="R240">
            <v>124</v>
          </cell>
          <cell r="S240">
            <v>4706</v>
          </cell>
          <cell r="T240">
            <v>256</v>
          </cell>
        </row>
        <row r="241">
          <cell r="C241" t="str">
            <v>Census Tract 278, King County, Washington</v>
          </cell>
          <cell r="D241">
            <v>3396</v>
          </cell>
          <cell r="E241">
            <v>3252</v>
          </cell>
          <cell r="F241">
            <v>1862</v>
          </cell>
          <cell r="G241">
            <v>1336</v>
          </cell>
          <cell r="H241">
            <v>164</v>
          </cell>
          <cell r="I241">
            <v>553</v>
          </cell>
          <cell r="J241">
            <v>164</v>
          </cell>
          <cell r="K241">
            <v>455</v>
          </cell>
          <cell r="L241">
            <v>54</v>
          </cell>
          <cell r="M241">
            <v>0</v>
          </cell>
          <cell r="N241">
            <v>3</v>
          </cell>
          <cell r="O241">
            <v>51</v>
          </cell>
          <cell r="P241">
            <v>144</v>
          </cell>
          <cell r="Q241">
            <v>114</v>
          </cell>
          <cell r="R241">
            <v>30</v>
          </cell>
          <cell r="S241">
            <v>3198</v>
          </cell>
          <cell r="T241">
            <v>198</v>
          </cell>
        </row>
        <row r="242">
          <cell r="C242" t="str">
            <v>Census Tract 279, King County, Washington</v>
          </cell>
          <cell r="D242">
            <v>6356</v>
          </cell>
          <cell r="E242">
            <v>5638</v>
          </cell>
          <cell r="F242">
            <v>3191</v>
          </cell>
          <cell r="G242">
            <v>2331</v>
          </cell>
          <cell r="H242">
            <v>218</v>
          </cell>
          <cell r="I242">
            <v>935</v>
          </cell>
          <cell r="J242">
            <v>200</v>
          </cell>
          <cell r="K242">
            <v>978</v>
          </cell>
          <cell r="L242">
            <v>116</v>
          </cell>
          <cell r="M242">
            <v>0</v>
          </cell>
          <cell r="N242">
            <v>9</v>
          </cell>
          <cell r="O242">
            <v>107</v>
          </cell>
          <cell r="P242">
            <v>718</v>
          </cell>
          <cell r="Q242">
            <v>307</v>
          </cell>
          <cell r="R242">
            <v>411</v>
          </cell>
          <cell r="S242">
            <v>5522</v>
          </cell>
          <cell r="T242">
            <v>834</v>
          </cell>
        </row>
        <row r="243">
          <cell r="C243" t="str">
            <v>Census Tract 280, King County, Washington</v>
          </cell>
          <cell r="D243">
            <v>3392</v>
          </cell>
          <cell r="E243">
            <v>2593</v>
          </cell>
          <cell r="F243">
            <v>1618</v>
          </cell>
          <cell r="G243">
            <v>948</v>
          </cell>
          <cell r="H243">
            <v>71</v>
          </cell>
          <cell r="I243">
            <v>297</v>
          </cell>
          <cell r="J243">
            <v>117</v>
          </cell>
          <cell r="K243">
            <v>463</v>
          </cell>
          <cell r="L243">
            <v>27</v>
          </cell>
          <cell r="M243">
            <v>7</v>
          </cell>
          <cell r="N243">
            <v>7</v>
          </cell>
          <cell r="O243">
            <v>13</v>
          </cell>
          <cell r="P243">
            <v>799</v>
          </cell>
          <cell r="Q243">
            <v>219</v>
          </cell>
          <cell r="R243">
            <v>580</v>
          </cell>
          <cell r="S243">
            <v>2566</v>
          </cell>
          <cell r="T243">
            <v>826</v>
          </cell>
        </row>
        <row r="244">
          <cell r="C244" t="str">
            <v>Census Tract 281, King County, Washington</v>
          </cell>
          <cell r="D244">
            <v>2224</v>
          </cell>
          <cell r="E244">
            <v>1542</v>
          </cell>
          <cell r="F244">
            <v>943</v>
          </cell>
          <cell r="G244">
            <v>469</v>
          </cell>
          <cell r="H244">
            <v>73</v>
          </cell>
          <cell r="I244">
            <v>81</v>
          </cell>
          <cell r="J244">
            <v>105</v>
          </cell>
          <cell r="K244">
            <v>210</v>
          </cell>
          <cell r="L244">
            <v>130</v>
          </cell>
          <cell r="M244">
            <v>0</v>
          </cell>
          <cell r="N244">
            <v>116</v>
          </cell>
          <cell r="O244">
            <v>14</v>
          </cell>
          <cell r="P244">
            <v>682</v>
          </cell>
          <cell r="Q244">
            <v>202</v>
          </cell>
          <cell r="R244">
            <v>480</v>
          </cell>
          <cell r="S244">
            <v>1412</v>
          </cell>
          <cell r="T244">
            <v>812</v>
          </cell>
        </row>
        <row r="245">
          <cell r="C245" t="str">
            <v>Census Tract 282, King County, Washington</v>
          </cell>
          <cell r="D245">
            <v>4362</v>
          </cell>
          <cell r="E245">
            <v>3059</v>
          </cell>
          <cell r="F245">
            <v>1497</v>
          </cell>
          <cell r="G245">
            <v>1485</v>
          </cell>
          <cell r="H245">
            <v>64</v>
          </cell>
          <cell r="I245">
            <v>348</v>
          </cell>
          <cell r="J245">
            <v>468</v>
          </cell>
          <cell r="K245">
            <v>605</v>
          </cell>
          <cell r="L245">
            <v>77</v>
          </cell>
          <cell r="M245">
            <v>0</v>
          </cell>
          <cell r="N245">
            <v>12</v>
          </cell>
          <cell r="O245">
            <v>65</v>
          </cell>
          <cell r="P245">
            <v>1303</v>
          </cell>
          <cell r="Q245">
            <v>595</v>
          </cell>
          <cell r="R245">
            <v>708</v>
          </cell>
          <cell r="S245">
            <v>2982</v>
          </cell>
          <cell r="T245">
            <v>1380</v>
          </cell>
        </row>
        <row r="246">
          <cell r="C246" t="str">
            <v>Census Tract 283, King County, Washington</v>
          </cell>
          <cell r="D246">
            <v>3175</v>
          </cell>
          <cell r="E246">
            <v>2731</v>
          </cell>
          <cell r="F246">
            <v>1690</v>
          </cell>
          <cell r="G246">
            <v>1031</v>
          </cell>
          <cell r="H246">
            <v>90</v>
          </cell>
          <cell r="I246">
            <v>461</v>
          </cell>
          <cell r="J246">
            <v>80</v>
          </cell>
          <cell r="K246">
            <v>400</v>
          </cell>
          <cell r="L246">
            <v>10</v>
          </cell>
          <cell r="M246">
            <v>0</v>
          </cell>
          <cell r="N246">
            <v>0</v>
          </cell>
          <cell r="O246">
            <v>10</v>
          </cell>
          <cell r="P246">
            <v>444</v>
          </cell>
          <cell r="Q246">
            <v>280</v>
          </cell>
          <cell r="R246">
            <v>164</v>
          </cell>
          <cell r="S246">
            <v>2721</v>
          </cell>
          <cell r="T246">
            <v>454</v>
          </cell>
        </row>
        <row r="247">
          <cell r="C247" t="str">
            <v>Census Tract 284.02, King County, Washington</v>
          </cell>
          <cell r="D247">
            <v>4628</v>
          </cell>
          <cell r="E247">
            <v>3510</v>
          </cell>
          <cell r="F247">
            <v>2135</v>
          </cell>
          <cell r="G247">
            <v>1304</v>
          </cell>
          <cell r="H247">
            <v>134</v>
          </cell>
          <cell r="I247">
            <v>397</v>
          </cell>
          <cell r="J247">
            <v>147</v>
          </cell>
          <cell r="K247">
            <v>626</v>
          </cell>
          <cell r="L247">
            <v>71</v>
          </cell>
          <cell r="M247">
            <v>6</v>
          </cell>
          <cell r="N247">
            <v>14</v>
          </cell>
          <cell r="O247">
            <v>51</v>
          </cell>
          <cell r="P247">
            <v>1118</v>
          </cell>
          <cell r="Q247">
            <v>241</v>
          </cell>
          <cell r="R247">
            <v>877</v>
          </cell>
          <cell r="S247">
            <v>3439</v>
          </cell>
          <cell r="T247">
            <v>1189</v>
          </cell>
        </row>
        <row r="248">
          <cell r="C248" t="str">
            <v>Census Tract 284.03, King County, Washington</v>
          </cell>
          <cell r="D248">
            <v>4852</v>
          </cell>
          <cell r="E248">
            <v>3510</v>
          </cell>
          <cell r="F248">
            <v>1789</v>
          </cell>
          <cell r="G248">
            <v>1619</v>
          </cell>
          <cell r="H248">
            <v>105</v>
          </cell>
          <cell r="I248">
            <v>570</v>
          </cell>
          <cell r="J248">
            <v>313</v>
          </cell>
          <cell r="K248">
            <v>631</v>
          </cell>
          <cell r="L248">
            <v>102</v>
          </cell>
          <cell r="M248">
            <v>0</v>
          </cell>
          <cell r="N248">
            <v>38</v>
          </cell>
          <cell r="O248">
            <v>64</v>
          </cell>
          <cell r="P248">
            <v>1342</v>
          </cell>
          <cell r="Q248">
            <v>377</v>
          </cell>
          <cell r="R248">
            <v>965</v>
          </cell>
          <cell r="S248">
            <v>3408</v>
          </cell>
          <cell r="T248">
            <v>1444</v>
          </cell>
        </row>
        <row r="249">
          <cell r="C249" t="str">
            <v>Census Tract 285, King County, Washington</v>
          </cell>
          <cell r="D249">
            <v>3587</v>
          </cell>
          <cell r="E249">
            <v>3037</v>
          </cell>
          <cell r="F249">
            <v>1753</v>
          </cell>
          <cell r="G249">
            <v>1221</v>
          </cell>
          <cell r="H249">
            <v>131</v>
          </cell>
          <cell r="I249">
            <v>523</v>
          </cell>
          <cell r="J249">
            <v>198</v>
          </cell>
          <cell r="K249">
            <v>369</v>
          </cell>
          <cell r="L249">
            <v>63</v>
          </cell>
          <cell r="M249">
            <v>18</v>
          </cell>
          <cell r="N249">
            <v>0</v>
          </cell>
          <cell r="O249">
            <v>45</v>
          </cell>
          <cell r="P249">
            <v>550</v>
          </cell>
          <cell r="Q249">
            <v>323</v>
          </cell>
          <cell r="R249">
            <v>227</v>
          </cell>
          <cell r="S249">
            <v>2974</v>
          </cell>
          <cell r="T249">
            <v>613</v>
          </cell>
        </row>
        <row r="250">
          <cell r="C250" t="str">
            <v>Census Tract 286, King County, Washington</v>
          </cell>
          <cell r="D250">
            <v>6298</v>
          </cell>
          <cell r="E250">
            <v>5630</v>
          </cell>
          <cell r="F250">
            <v>2893</v>
          </cell>
          <cell r="G250">
            <v>2662</v>
          </cell>
          <cell r="H250">
            <v>290</v>
          </cell>
          <cell r="I250">
            <v>904</v>
          </cell>
          <cell r="J250">
            <v>291</v>
          </cell>
          <cell r="K250">
            <v>1177</v>
          </cell>
          <cell r="L250">
            <v>75</v>
          </cell>
          <cell r="M250">
            <v>0</v>
          </cell>
          <cell r="N250">
            <v>10</v>
          </cell>
          <cell r="O250">
            <v>65</v>
          </cell>
          <cell r="P250">
            <v>668</v>
          </cell>
          <cell r="Q250">
            <v>407</v>
          </cell>
          <cell r="R250">
            <v>261</v>
          </cell>
          <cell r="S250">
            <v>5555</v>
          </cell>
          <cell r="T250">
            <v>743</v>
          </cell>
        </row>
        <row r="251">
          <cell r="C251" t="str">
            <v>Census Tract 287, King County, Washington</v>
          </cell>
          <cell r="D251">
            <v>5075</v>
          </cell>
          <cell r="E251">
            <v>4751</v>
          </cell>
          <cell r="F251">
            <v>3024</v>
          </cell>
          <cell r="G251">
            <v>1664</v>
          </cell>
          <cell r="H251">
            <v>152</v>
          </cell>
          <cell r="I251">
            <v>634</v>
          </cell>
          <cell r="J251">
            <v>210</v>
          </cell>
          <cell r="K251">
            <v>668</v>
          </cell>
          <cell r="L251">
            <v>63</v>
          </cell>
          <cell r="M251">
            <v>16</v>
          </cell>
          <cell r="N251">
            <v>0</v>
          </cell>
          <cell r="O251">
            <v>47</v>
          </cell>
          <cell r="P251">
            <v>324</v>
          </cell>
          <cell r="Q251">
            <v>208</v>
          </cell>
          <cell r="R251">
            <v>116</v>
          </cell>
          <cell r="S251">
            <v>4688</v>
          </cell>
          <cell r="T251">
            <v>387</v>
          </cell>
        </row>
        <row r="252">
          <cell r="C252" t="str">
            <v>Census Tract 288.01, King County, Washington</v>
          </cell>
          <cell r="D252">
            <v>3693</v>
          </cell>
          <cell r="E252">
            <v>3053</v>
          </cell>
          <cell r="F252">
            <v>1366</v>
          </cell>
          <cell r="G252">
            <v>1668</v>
          </cell>
          <cell r="H252">
            <v>119</v>
          </cell>
          <cell r="I252">
            <v>558</v>
          </cell>
          <cell r="J252">
            <v>147</v>
          </cell>
          <cell r="K252">
            <v>844</v>
          </cell>
          <cell r="L252">
            <v>19</v>
          </cell>
          <cell r="M252">
            <v>0</v>
          </cell>
          <cell r="N252">
            <v>7</v>
          </cell>
          <cell r="O252">
            <v>12</v>
          </cell>
          <cell r="P252">
            <v>640</v>
          </cell>
          <cell r="Q252">
            <v>152</v>
          </cell>
          <cell r="R252">
            <v>488</v>
          </cell>
          <cell r="S252">
            <v>3034</v>
          </cell>
          <cell r="T252">
            <v>659</v>
          </cell>
        </row>
        <row r="253">
          <cell r="C253" t="str">
            <v>Census Tract 288.02, King County, Washington</v>
          </cell>
          <cell r="D253">
            <v>5997</v>
          </cell>
          <cell r="E253">
            <v>4643</v>
          </cell>
          <cell r="F253">
            <v>2407</v>
          </cell>
          <cell r="G253">
            <v>2074</v>
          </cell>
          <cell r="H253">
            <v>134</v>
          </cell>
          <cell r="I253">
            <v>619</v>
          </cell>
          <cell r="J253">
            <v>380</v>
          </cell>
          <cell r="K253">
            <v>941</v>
          </cell>
          <cell r="L253">
            <v>162</v>
          </cell>
          <cell r="M253">
            <v>0</v>
          </cell>
          <cell r="N253">
            <v>57</v>
          </cell>
          <cell r="O253">
            <v>105</v>
          </cell>
          <cell r="P253">
            <v>1354</v>
          </cell>
          <cell r="Q253">
            <v>409</v>
          </cell>
          <cell r="R253">
            <v>945</v>
          </cell>
          <cell r="S253">
            <v>4481</v>
          </cell>
          <cell r="T253">
            <v>1516</v>
          </cell>
        </row>
        <row r="254">
          <cell r="C254" t="str">
            <v>Census Tract 289.01, King County, Washington</v>
          </cell>
          <cell r="D254">
            <v>3638</v>
          </cell>
          <cell r="E254">
            <v>3294</v>
          </cell>
          <cell r="F254">
            <v>1593</v>
          </cell>
          <cell r="G254">
            <v>1684</v>
          </cell>
          <cell r="H254">
            <v>171</v>
          </cell>
          <cell r="I254">
            <v>512</v>
          </cell>
          <cell r="J254">
            <v>202</v>
          </cell>
          <cell r="K254">
            <v>799</v>
          </cell>
          <cell r="L254">
            <v>17</v>
          </cell>
          <cell r="M254">
            <v>0</v>
          </cell>
          <cell r="N254">
            <v>0</v>
          </cell>
          <cell r="O254">
            <v>17</v>
          </cell>
          <cell r="P254">
            <v>344</v>
          </cell>
          <cell r="Q254">
            <v>167</v>
          </cell>
          <cell r="R254">
            <v>177</v>
          </cell>
          <cell r="S254">
            <v>3277</v>
          </cell>
          <cell r="T254">
            <v>361</v>
          </cell>
        </row>
        <row r="255">
          <cell r="C255" t="str">
            <v>Census Tract 289.02, King County, Washington</v>
          </cell>
          <cell r="D255">
            <v>6453</v>
          </cell>
          <cell r="E255">
            <v>5158</v>
          </cell>
          <cell r="F255">
            <v>2882</v>
          </cell>
          <cell r="G255">
            <v>2142</v>
          </cell>
          <cell r="H255">
            <v>199</v>
          </cell>
          <cell r="I255">
            <v>618</v>
          </cell>
          <cell r="J255">
            <v>385</v>
          </cell>
          <cell r="K255">
            <v>940</v>
          </cell>
          <cell r="L255">
            <v>134</v>
          </cell>
          <cell r="M255">
            <v>7</v>
          </cell>
          <cell r="N255">
            <v>40</v>
          </cell>
          <cell r="O255">
            <v>87</v>
          </cell>
          <cell r="P255">
            <v>1295</v>
          </cell>
          <cell r="Q255">
            <v>355</v>
          </cell>
          <cell r="R255">
            <v>940</v>
          </cell>
          <cell r="S255">
            <v>5024</v>
          </cell>
          <cell r="T255">
            <v>1429</v>
          </cell>
        </row>
        <row r="256">
          <cell r="C256" t="str">
            <v>Census Tract 290.01, King County, Washington</v>
          </cell>
          <cell r="D256">
            <v>4610</v>
          </cell>
          <cell r="E256">
            <v>4229</v>
          </cell>
          <cell r="F256">
            <v>2289</v>
          </cell>
          <cell r="G256">
            <v>1925</v>
          </cell>
          <cell r="H256">
            <v>162</v>
          </cell>
          <cell r="I256">
            <v>731</v>
          </cell>
          <cell r="J256">
            <v>219</v>
          </cell>
          <cell r="K256">
            <v>813</v>
          </cell>
          <cell r="L256">
            <v>15</v>
          </cell>
          <cell r="M256">
            <v>0</v>
          </cell>
          <cell r="N256">
            <v>0</v>
          </cell>
          <cell r="O256">
            <v>15</v>
          </cell>
          <cell r="P256">
            <v>381</v>
          </cell>
          <cell r="Q256">
            <v>214</v>
          </cell>
          <cell r="R256">
            <v>167</v>
          </cell>
          <cell r="S256">
            <v>4214</v>
          </cell>
          <cell r="T256">
            <v>396</v>
          </cell>
        </row>
        <row r="257">
          <cell r="C257" t="str">
            <v>Census Tract 290.03, King County, Washington</v>
          </cell>
          <cell r="D257">
            <v>5240</v>
          </cell>
          <cell r="E257">
            <v>4329</v>
          </cell>
          <cell r="F257">
            <v>2654</v>
          </cell>
          <cell r="G257">
            <v>1544</v>
          </cell>
          <cell r="H257">
            <v>137</v>
          </cell>
          <cell r="I257">
            <v>401</v>
          </cell>
          <cell r="J257">
            <v>199</v>
          </cell>
          <cell r="K257">
            <v>807</v>
          </cell>
          <cell r="L257">
            <v>131</v>
          </cell>
          <cell r="M257">
            <v>30</v>
          </cell>
          <cell r="N257">
            <v>5</v>
          </cell>
          <cell r="O257">
            <v>96</v>
          </cell>
          <cell r="P257">
            <v>911</v>
          </cell>
          <cell r="Q257">
            <v>424</v>
          </cell>
          <cell r="R257">
            <v>487</v>
          </cell>
          <cell r="S257">
            <v>4198</v>
          </cell>
          <cell r="T257">
            <v>1042</v>
          </cell>
        </row>
        <row r="258">
          <cell r="C258" t="str">
            <v>Census Tract 290.04, King County, Washington</v>
          </cell>
          <cell r="D258">
            <v>3442</v>
          </cell>
          <cell r="E258">
            <v>2691</v>
          </cell>
          <cell r="F258">
            <v>1829</v>
          </cell>
          <cell r="G258">
            <v>847</v>
          </cell>
          <cell r="H258">
            <v>61</v>
          </cell>
          <cell r="I258">
            <v>235</v>
          </cell>
          <cell r="J258">
            <v>149</v>
          </cell>
          <cell r="K258">
            <v>402</v>
          </cell>
          <cell r="L258">
            <v>15</v>
          </cell>
          <cell r="M258">
            <v>0</v>
          </cell>
          <cell r="N258">
            <v>9</v>
          </cell>
          <cell r="O258">
            <v>6</v>
          </cell>
          <cell r="P258">
            <v>751</v>
          </cell>
          <cell r="Q258">
            <v>290</v>
          </cell>
          <cell r="R258">
            <v>461</v>
          </cell>
          <cell r="S258">
            <v>2676</v>
          </cell>
          <cell r="T258">
            <v>766</v>
          </cell>
        </row>
        <row r="259">
          <cell r="C259" t="str">
            <v>Census Tract 291, King County, Washington</v>
          </cell>
          <cell r="D259">
            <v>4926</v>
          </cell>
          <cell r="E259">
            <v>4292</v>
          </cell>
          <cell r="F259">
            <v>2501</v>
          </cell>
          <cell r="G259">
            <v>1730</v>
          </cell>
          <cell r="H259">
            <v>102</v>
          </cell>
          <cell r="I259">
            <v>631</v>
          </cell>
          <cell r="J259">
            <v>293</v>
          </cell>
          <cell r="K259">
            <v>704</v>
          </cell>
          <cell r="L259">
            <v>61</v>
          </cell>
          <cell r="M259">
            <v>0</v>
          </cell>
          <cell r="N259">
            <v>4</v>
          </cell>
          <cell r="O259">
            <v>57</v>
          </cell>
          <cell r="P259">
            <v>634</v>
          </cell>
          <cell r="Q259">
            <v>271</v>
          </cell>
          <cell r="R259">
            <v>363</v>
          </cell>
          <cell r="S259">
            <v>4231</v>
          </cell>
          <cell r="T259">
            <v>695</v>
          </cell>
        </row>
        <row r="260">
          <cell r="C260" t="str">
            <v>Census Tract 292.01, King County, Washington</v>
          </cell>
          <cell r="D260">
            <v>8751</v>
          </cell>
          <cell r="E260">
            <v>7306</v>
          </cell>
          <cell r="F260">
            <v>3182</v>
          </cell>
          <cell r="G260">
            <v>4030</v>
          </cell>
          <cell r="H260">
            <v>311</v>
          </cell>
          <cell r="I260">
            <v>1170</v>
          </cell>
          <cell r="J260">
            <v>592</v>
          </cell>
          <cell r="K260">
            <v>1957</v>
          </cell>
          <cell r="L260">
            <v>94</v>
          </cell>
          <cell r="M260">
            <v>29</v>
          </cell>
          <cell r="N260">
            <v>14</v>
          </cell>
          <cell r="O260">
            <v>51</v>
          </cell>
          <cell r="P260">
            <v>1445</v>
          </cell>
          <cell r="Q260">
            <v>490</v>
          </cell>
          <cell r="R260">
            <v>955</v>
          </cell>
          <cell r="S260">
            <v>7212</v>
          </cell>
          <cell r="T260">
            <v>1539</v>
          </cell>
        </row>
        <row r="261">
          <cell r="C261" t="str">
            <v>Census Tract 292.03, King County, Washington</v>
          </cell>
          <cell r="D261">
            <v>2628</v>
          </cell>
          <cell r="E261">
            <v>2264</v>
          </cell>
          <cell r="F261">
            <v>1063</v>
          </cell>
          <cell r="G261">
            <v>1159</v>
          </cell>
          <cell r="H261">
            <v>114</v>
          </cell>
          <cell r="I261">
            <v>269</v>
          </cell>
          <cell r="J261">
            <v>152</v>
          </cell>
          <cell r="K261">
            <v>624</v>
          </cell>
          <cell r="L261">
            <v>42</v>
          </cell>
          <cell r="M261">
            <v>0</v>
          </cell>
          <cell r="N261">
            <v>0</v>
          </cell>
          <cell r="O261">
            <v>42</v>
          </cell>
          <cell r="P261">
            <v>364</v>
          </cell>
          <cell r="Q261">
            <v>156</v>
          </cell>
          <cell r="R261">
            <v>208</v>
          </cell>
          <cell r="S261">
            <v>2222</v>
          </cell>
          <cell r="T261">
            <v>406</v>
          </cell>
        </row>
        <row r="262">
          <cell r="C262" t="str">
            <v>Census Tract 292.04, King County, Washington</v>
          </cell>
          <cell r="D262">
            <v>5195</v>
          </cell>
          <cell r="E262">
            <v>4422</v>
          </cell>
          <cell r="F262">
            <v>2359</v>
          </cell>
          <cell r="G262">
            <v>2037</v>
          </cell>
          <cell r="H262">
            <v>159</v>
          </cell>
          <cell r="I262">
            <v>516</v>
          </cell>
          <cell r="J262">
            <v>330</v>
          </cell>
          <cell r="K262">
            <v>1032</v>
          </cell>
          <cell r="L262">
            <v>26</v>
          </cell>
          <cell r="M262">
            <v>0</v>
          </cell>
          <cell r="N262">
            <v>0</v>
          </cell>
          <cell r="O262">
            <v>26</v>
          </cell>
          <cell r="P262">
            <v>773</v>
          </cell>
          <cell r="Q262">
            <v>312</v>
          </cell>
          <cell r="R262">
            <v>461</v>
          </cell>
          <cell r="S262">
            <v>4396</v>
          </cell>
          <cell r="T262">
            <v>799</v>
          </cell>
        </row>
        <row r="263">
          <cell r="C263" t="str">
            <v>Census Tract 293.03, King County, Washington</v>
          </cell>
          <cell r="D263">
            <v>5413</v>
          </cell>
          <cell r="E263">
            <v>4435</v>
          </cell>
          <cell r="F263">
            <v>2335</v>
          </cell>
          <cell r="G263">
            <v>1981</v>
          </cell>
          <cell r="H263">
            <v>123</v>
          </cell>
          <cell r="I263">
            <v>644</v>
          </cell>
          <cell r="J263">
            <v>272</v>
          </cell>
          <cell r="K263">
            <v>942</v>
          </cell>
          <cell r="L263">
            <v>119</v>
          </cell>
          <cell r="M263">
            <v>0</v>
          </cell>
          <cell r="N263">
            <v>10</v>
          </cell>
          <cell r="O263">
            <v>109</v>
          </cell>
          <cell r="P263">
            <v>978</v>
          </cell>
          <cell r="Q263">
            <v>423</v>
          </cell>
          <cell r="R263">
            <v>555</v>
          </cell>
          <cell r="S263">
            <v>4316</v>
          </cell>
          <cell r="T263">
            <v>1097</v>
          </cell>
        </row>
        <row r="264">
          <cell r="C264" t="str">
            <v>Census Tract 293.04, King County, Washington</v>
          </cell>
          <cell r="D264">
            <v>4567</v>
          </cell>
          <cell r="E264">
            <v>3989</v>
          </cell>
          <cell r="F264">
            <v>2264</v>
          </cell>
          <cell r="G264">
            <v>1676</v>
          </cell>
          <cell r="H264">
            <v>186</v>
          </cell>
          <cell r="I264">
            <v>488</v>
          </cell>
          <cell r="J264">
            <v>194</v>
          </cell>
          <cell r="K264">
            <v>808</v>
          </cell>
          <cell r="L264">
            <v>49</v>
          </cell>
          <cell r="M264">
            <v>0</v>
          </cell>
          <cell r="N264">
            <v>0</v>
          </cell>
          <cell r="O264">
            <v>49</v>
          </cell>
          <cell r="P264">
            <v>578</v>
          </cell>
          <cell r="Q264">
            <v>305</v>
          </cell>
          <cell r="R264">
            <v>273</v>
          </cell>
          <cell r="S264">
            <v>3940</v>
          </cell>
          <cell r="T264">
            <v>627</v>
          </cell>
        </row>
        <row r="265">
          <cell r="C265" t="str">
            <v>Census Tract 293.05, King County, Washington</v>
          </cell>
          <cell r="D265">
            <v>3701</v>
          </cell>
          <cell r="E265">
            <v>2918</v>
          </cell>
          <cell r="F265">
            <v>1889</v>
          </cell>
          <cell r="G265">
            <v>977</v>
          </cell>
          <cell r="H265">
            <v>86</v>
          </cell>
          <cell r="I265">
            <v>437</v>
          </cell>
          <cell r="J265">
            <v>78</v>
          </cell>
          <cell r="K265">
            <v>376</v>
          </cell>
          <cell r="L265">
            <v>52</v>
          </cell>
          <cell r="M265">
            <v>0</v>
          </cell>
          <cell r="N265">
            <v>0</v>
          </cell>
          <cell r="O265">
            <v>52</v>
          </cell>
          <cell r="P265">
            <v>783</v>
          </cell>
          <cell r="Q265">
            <v>460</v>
          </cell>
          <cell r="R265">
            <v>323</v>
          </cell>
          <cell r="S265">
            <v>2866</v>
          </cell>
          <cell r="T265">
            <v>835</v>
          </cell>
        </row>
        <row r="266">
          <cell r="C266" t="str">
            <v>Census Tract 293.06, King County, Washington</v>
          </cell>
          <cell r="D266">
            <v>2691</v>
          </cell>
          <cell r="E266">
            <v>2218</v>
          </cell>
          <cell r="F266">
            <v>1141</v>
          </cell>
          <cell r="G266">
            <v>1077</v>
          </cell>
          <cell r="H266">
            <v>90</v>
          </cell>
          <cell r="I266">
            <v>393</v>
          </cell>
          <cell r="J266">
            <v>122</v>
          </cell>
          <cell r="K266">
            <v>472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473</v>
          </cell>
          <cell r="Q266">
            <v>360</v>
          </cell>
          <cell r="R266">
            <v>113</v>
          </cell>
          <cell r="S266">
            <v>2218</v>
          </cell>
          <cell r="T266">
            <v>473</v>
          </cell>
        </row>
        <row r="267">
          <cell r="C267" t="str">
            <v>Census Tract 293.07, King County, Washington</v>
          </cell>
          <cell r="D267">
            <v>4064</v>
          </cell>
          <cell r="E267">
            <v>3679</v>
          </cell>
          <cell r="F267">
            <v>2289</v>
          </cell>
          <cell r="G267">
            <v>1351</v>
          </cell>
          <cell r="H267">
            <v>206</v>
          </cell>
          <cell r="I267">
            <v>291</v>
          </cell>
          <cell r="J267">
            <v>216</v>
          </cell>
          <cell r="K267">
            <v>638</v>
          </cell>
          <cell r="L267">
            <v>39</v>
          </cell>
          <cell r="M267">
            <v>0</v>
          </cell>
          <cell r="N267">
            <v>0</v>
          </cell>
          <cell r="O267">
            <v>39</v>
          </cell>
          <cell r="P267">
            <v>385</v>
          </cell>
          <cell r="Q267">
            <v>317</v>
          </cell>
          <cell r="R267">
            <v>68</v>
          </cell>
          <cell r="S267">
            <v>3640</v>
          </cell>
          <cell r="T267">
            <v>424</v>
          </cell>
        </row>
        <row r="268">
          <cell r="C268" t="str">
            <v>Census Tract 294.03, King County, Washington</v>
          </cell>
          <cell r="D268">
            <v>5179</v>
          </cell>
          <cell r="E268">
            <v>4107</v>
          </cell>
          <cell r="F268">
            <v>2387</v>
          </cell>
          <cell r="G268">
            <v>1659</v>
          </cell>
          <cell r="H268">
            <v>117</v>
          </cell>
          <cell r="I268">
            <v>495</v>
          </cell>
          <cell r="J268">
            <v>201</v>
          </cell>
          <cell r="K268">
            <v>846</v>
          </cell>
          <cell r="L268">
            <v>61</v>
          </cell>
          <cell r="M268">
            <v>0</v>
          </cell>
          <cell r="N268">
            <v>0</v>
          </cell>
          <cell r="O268">
            <v>61</v>
          </cell>
          <cell r="P268">
            <v>1072</v>
          </cell>
          <cell r="Q268">
            <v>520</v>
          </cell>
          <cell r="R268">
            <v>552</v>
          </cell>
          <cell r="S268">
            <v>4046</v>
          </cell>
          <cell r="T268">
            <v>1133</v>
          </cell>
        </row>
        <row r="269">
          <cell r="C269" t="str">
            <v>Census Tract 294.05, King County, Washington</v>
          </cell>
          <cell r="D269">
            <v>5688</v>
          </cell>
          <cell r="E269">
            <v>4986</v>
          </cell>
          <cell r="F269">
            <v>2917</v>
          </cell>
          <cell r="G269">
            <v>1958</v>
          </cell>
          <cell r="H269">
            <v>171</v>
          </cell>
          <cell r="I269">
            <v>417</v>
          </cell>
          <cell r="J269">
            <v>208</v>
          </cell>
          <cell r="K269">
            <v>1162</v>
          </cell>
          <cell r="L269">
            <v>111</v>
          </cell>
          <cell r="M269">
            <v>0</v>
          </cell>
          <cell r="N269">
            <v>0</v>
          </cell>
          <cell r="O269">
            <v>111</v>
          </cell>
          <cell r="P269">
            <v>702</v>
          </cell>
          <cell r="Q269">
            <v>425</v>
          </cell>
          <cell r="R269">
            <v>277</v>
          </cell>
          <cell r="S269">
            <v>4875</v>
          </cell>
          <cell r="T269">
            <v>813</v>
          </cell>
        </row>
        <row r="270">
          <cell r="C270" t="str">
            <v>Census Tract 294.06, King County, Washington</v>
          </cell>
          <cell r="D270">
            <v>3855</v>
          </cell>
          <cell r="E270">
            <v>3466</v>
          </cell>
          <cell r="F270">
            <v>1969</v>
          </cell>
          <cell r="G270">
            <v>1436</v>
          </cell>
          <cell r="H270">
            <v>135</v>
          </cell>
          <cell r="I270">
            <v>420</v>
          </cell>
          <cell r="J270">
            <v>192</v>
          </cell>
          <cell r="K270">
            <v>689</v>
          </cell>
          <cell r="L270">
            <v>61</v>
          </cell>
          <cell r="M270">
            <v>25</v>
          </cell>
          <cell r="N270">
            <v>0</v>
          </cell>
          <cell r="O270">
            <v>36</v>
          </cell>
          <cell r="P270">
            <v>389</v>
          </cell>
          <cell r="Q270">
            <v>206</v>
          </cell>
          <cell r="R270">
            <v>183</v>
          </cell>
          <cell r="S270">
            <v>3405</v>
          </cell>
          <cell r="T270">
            <v>450</v>
          </cell>
        </row>
        <row r="271">
          <cell r="C271" t="str">
            <v>Census Tract 294.07, King County, Washington</v>
          </cell>
          <cell r="D271">
            <v>4410</v>
          </cell>
          <cell r="E271">
            <v>3292</v>
          </cell>
          <cell r="F271">
            <v>1755</v>
          </cell>
          <cell r="G271">
            <v>1430</v>
          </cell>
          <cell r="H271">
            <v>241</v>
          </cell>
          <cell r="I271">
            <v>310</v>
          </cell>
          <cell r="J271">
            <v>250</v>
          </cell>
          <cell r="K271">
            <v>629</v>
          </cell>
          <cell r="L271">
            <v>107</v>
          </cell>
          <cell r="M271">
            <v>0</v>
          </cell>
          <cell r="N271">
            <v>67</v>
          </cell>
          <cell r="O271">
            <v>40</v>
          </cell>
          <cell r="P271">
            <v>1118</v>
          </cell>
          <cell r="Q271">
            <v>328</v>
          </cell>
          <cell r="R271">
            <v>790</v>
          </cell>
          <cell r="S271">
            <v>3185</v>
          </cell>
          <cell r="T271">
            <v>1225</v>
          </cell>
        </row>
        <row r="272">
          <cell r="C272" t="str">
            <v>Census Tract 294.08, King County, Washington</v>
          </cell>
          <cell r="D272">
            <v>4157</v>
          </cell>
          <cell r="E272">
            <v>3102</v>
          </cell>
          <cell r="F272">
            <v>1777</v>
          </cell>
          <cell r="G272">
            <v>1271</v>
          </cell>
          <cell r="H272">
            <v>77</v>
          </cell>
          <cell r="I272">
            <v>341</v>
          </cell>
          <cell r="J272">
            <v>236</v>
          </cell>
          <cell r="K272">
            <v>617</v>
          </cell>
          <cell r="L272">
            <v>54</v>
          </cell>
          <cell r="M272">
            <v>0</v>
          </cell>
          <cell r="N272">
            <v>0</v>
          </cell>
          <cell r="O272">
            <v>54</v>
          </cell>
          <cell r="P272">
            <v>1055</v>
          </cell>
          <cell r="Q272">
            <v>329</v>
          </cell>
          <cell r="R272">
            <v>726</v>
          </cell>
          <cell r="S272">
            <v>3048</v>
          </cell>
          <cell r="T272">
            <v>1109</v>
          </cell>
        </row>
        <row r="273">
          <cell r="C273" t="str">
            <v>Census Tract 295.02, King County, Washington</v>
          </cell>
          <cell r="D273">
            <v>5572</v>
          </cell>
          <cell r="E273">
            <v>4890</v>
          </cell>
          <cell r="F273">
            <v>2779</v>
          </cell>
          <cell r="G273">
            <v>2056</v>
          </cell>
          <cell r="H273">
            <v>190</v>
          </cell>
          <cell r="I273">
            <v>495</v>
          </cell>
          <cell r="J273">
            <v>312</v>
          </cell>
          <cell r="K273">
            <v>1059</v>
          </cell>
          <cell r="L273">
            <v>55</v>
          </cell>
          <cell r="M273">
            <v>5</v>
          </cell>
          <cell r="N273">
            <v>0</v>
          </cell>
          <cell r="O273">
            <v>50</v>
          </cell>
          <cell r="P273">
            <v>682</v>
          </cell>
          <cell r="Q273">
            <v>449</v>
          </cell>
          <cell r="R273">
            <v>233</v>
          </cell>
          <cell r="S273">
            <v>4835</v>
          </cell>
          <cell r="T273">
            <v>737</v>
          </cell>
        </row>
        <row r="274">
          <cell r="C274" t="str">
            <v>Census Tract 295.03, King County, Washington</v>
          </cell>
          <cell r="D274">
            <v>7146</v>
          </cell>
          <cell r="E274">
            <v>5224</v>
          </cell>
          <cell r="F274">
            <v>2686</v>
          </cell>
          <cell r="G274">
            <v>2507</v>
          </cell>
          <cell r="H274">
            <v>281</v>
          </cell>
          <cell r="I274">
            <v>549</v>
          </cell>
          <cell r="J274">
            <v>481</v>
          </cell>
          <cell r="K274">
            <v>1196</v>
          </cell>
          <cell r="L274">
            <v>31</v>
          </cell>
          <cell r="M274">
            <v>0</v>
          </cell>
          <cell r="N274">
            <v>0</v>
          </cell>
          <cell r="O274">
            <v>31</v>
          </cell>
          <cell r="P274">
            <v>1922</v>
          </cell>
          <cell r="Q274">
            <v>372</v>
          </cell>
          <cell r="R274">
            <v>1550</v>
          </cell>
          <cell r="S274">
            <v>5193</v>
          </cell>
          <cell r="T274">
            <v>1953</v>
          </cell>
        </row>
        <row r="275">
          <cell r="C275" t="str">
            <v>Census Tract 295.04, King County, Washington</v>
          </cell>
          <cell r="D275">
            <v>4484</v>
          </cell>
          <cell r="E275">
            <v>3976</v>
          </cell>
          <cell r="F275">
            <v>2280</v>
          </cell>
          <cell r="G275">
            <v>1649</v>
          </cell>
          <cell r="H275">
            <v>87</v>
          </cell>
          <cell r="I275">
            <v>413</v>
          </cell>
          <cell r="J275">
            <v>289</v>
          </cell>
          <cell r="K275">
            <v>860</v>
          </cell>
          <cell r="L275">
            <v>47</v>
          </cell>
          <cell r="M275">
            <v>0</v>
          </cell>
          <cell r="N275">
            <v>0</v>
          </cell>
          <cell r="O275">
            <v>47</v>
          </cell>
          <cell r="P275">
            <v>508</v>
          </cell>
          <cell r="Q275">
            <v>140</v>
          </cell>
          <cell r="R275">
            <v>368</v>
          </cell>
          <cell r="S275">
            <v>3929</v>
          </cell>
          <cell r="T275">
            <v>555</v>
          </cell>
        </row>
        <row r="276">
          <cell r="C276" t="str">
            <v>Census Tract 296.01, King County, Washington</v>
          </cell>
          <cell r="D276">
            <v>6933</v>
          </cell>
          <cell r="E276">
            <v>4755</v>
          </cell>
          <cell r="F276">
            <v>2860</v>
          </cell>
          <cell r="G276">
            <v>1870</v>
          </cell>
          <cell r="H276">
            <v>119</v>
          </cell>
          <cell r="I276">
            <v>430</v>
          </cell>
          <cell r="J276">
            <v>460</v>
          </cell>
          <cell r="K276">
            <v>861</v>
          </cell>
          <cell r="L276">
            <v>25</v>
          </cell>
          <cell r="M276">
            <v>0</v>
          </cell>
          <cell r="N276">
            <v>0</v>
          </cell>
          <cell r="O276">
            <v>25</v>
          </cell>
          <cell r="P276">
            <v>2178</v>
          </cell>
          <cell r="Q276">
            <v>781</v>
          </cell>
          <cell r="R276">
            <v>1397</v>
          </cell>
          <cell r="S276">
            <v>4730</v>
          </cell>
          <cell r="T276">
            <v>2203</v>
          </cell>
        </row>
        <row r="277">
          <cell r="C277" t="str">
            <v>Census Tract 296.02, King County, Washington</v>
          </cell>
          <cell r="D277">
            <v>3003</v>
          </cell>
          <cell r="E277">
            <v>2631</v>
          </cell>
          <cell r="F277">
            <v>1479</v>
          </cell>
          <cell r="G277">
            <v>1145</v>
          </cell>
          <cell r="H277">
            <v>169</v>
          </cell>
          <cell r="I277">
            <v>289</v>
          </cell>
          <cell r="J277">
            <v>191</v>
          </cell>
          <cell r="K277">
            <v>496</v>
          </cell>
          <cell r="L277">
            <v>7</v>
          </cell>
          <cell r="M277">
            <v>0</v>
          </cell>
          <cell r="N277">
            <v>0</v>
          </cell>
          <cell r="O277">
            <v>7</v>
          </cell>
          <cell r="P277">
            <v>372</v>
          </cell>
          <cell r="Q277">
            <v>150</v>
          </cell>
          <cell r="R277">
            <v>222</v>
          </cell>
          <cell r="S277">
            <v>2624</v>
          </cell>
          <cell r="T277">
            <v>379</v>
          </cell>
        </row>
        <row r="278">
          <cell r="C278" t="str">
            <v>Census Tract 297, King County, Washington</v>
          </cell>
          <cell r="D278">
            <v>6173</v>
          </cell>
          <cell r="E278">
            <v>5662</v>
          </cell>
          <cell r="F278">
            <v>3048</v>
          </cell>
          <cell r="G278">
            <v>2554</v>
          </cell>
          <cell r="H278">
            <v>133</v>
          </cell>
          <cell r="I278">
            <v>1013</v>
          </cell>
          <cell r="J278">
            <v>432</v>
          </cell>
          <cell r="K278">
            <v>976</v>
          </cell>
          <cell r="L278">
            <v>60</v>
          </cell>
          <cell r="M278">
            <v>0</v>
          </cell>
          <cell r="N278">
            <v>0</v>
          </cell>
          <cell r="O278">
            <v>60</v>
          </cell>
          <cell r="P278">
            <v>511</v>
          </cell>
          <cell r="Q278">
            <v>195</v>
          </cell>
          <cell r="R278">
            <v>316</v>
          </cell>
          <cell r="S278">
            <v>5602</v>
          </cell>
          <cell r="T278">
            <v>571</v>
          </cell>
        </row>
        <row r="279">
          <cell r="C279" t="str">
            <v>Census Tract 298.01, King County, Washington</v>
          </cell>
          <cell r="D279">
            <v>7556</v>
          </cell>
          <cell r="E279">
            <v>6659</v>
          </cell>
          <cell r="F279">
            <v>3477</v>
          </cell>
          <cell r="G279">
            <v>3093</v>
          </cell>
          <cell r="H279">
            <v>237</v>
          </cell>
          <cell r="I279">
            <v>790</v>
          </cell>
          <cell r="J279">
            <v>551</v>
          </cell>
          <cell r="K279">
            <v>1515</v>
          </cell>
          <cell r="L279">
            <v>89</v>
          </cell>
          <cell r="M279">
            <v>0</v>
          </cell>
          <cell r="N279">
            <v>0</v>
          </cell>
          <cell r="O279">
            <v>89</v>
          </cell>
          <cell r="P279">
            <v>897</v>
          </cell>
          <cell r="Q279">
            <v>288</v>
          </cell>
          <cell r="R279">
            <v>609</v>
          </cell>
          <cell r="S279">
            <v>6570</v>
          </cell>
          <cell r="T279">
            <v>986</v>
          </cell>
        </row>
        <row r="280">
          <cell r="C280" t="str">
            <v>Census Tract 298.02, King County, Washington</v>
          </cell>
          <cell r="D280">
            <v>7049</v>
          </cell>
          <cell r="E280">
            <v>6354</v>
          </cell>
          <cell r="F280">
            <v>3909</v>
          </cell>
          <cell r="G280">
            <v>2310</v>
          </cell>
          <cell r="H280">
            <v>171</v>
          </cell>
          <cell r="I280">
            <v>775</v>
          </cell>
          <cell r="J280">
            <v>268</v>
          </cell>
          <cell r="K280">
            <v>1096</v>
          </cell>
          <cell r="L280">
            <v>135</v>
          </cell>
          <cell r="M280">
            <v>0</v>
          </cell>
          <cell r="N280">
            <v>37</v>
          </cell>
          <cell r="O280">
            <v>98</v>
          </cell>
          <cell r="P280">
            <v>695</v>
          </cell>
          <cell r="Q280">
            <v>347</v>
          </cell>
          <cell r="R280">
            <v>348</v>
          </cell>
          <cell r="S280">
            <v>6219</v>
          </cell>
          <cell r="T280">
            <v>830</v>
          </cell>
        </row>
        <row r="281">
          <cell r="C281" t="str">
            <v>Census Tract 299.01, King County, Washington</v>
          </cell>
          <cell r="D281">
            <v>4676</v>
          </cell>
          <cell r="E281">
            <v>3836</v>
          </cell>
          <cell r="F281">
            <v>2254</v>
          </cell>
          <cell r="G281">
            <v>1529</v>
          </cell>
          <cell r="H281">
            <v>150</v>
          </cell>
          <cell r="I281">
            <v>391</v>
          </cell>
          <cell r="J281">
            <v>243</v>
          </cell>
          <cell r="K281">
            <v>745</v>
          </cell>
          <cell r="L281">
            <v>53</v>
          </cell>
          <cell r="M281">
            <v>0</v>
          </cell>
          <cell r="N281">
            <v>0</v>
          </cell>
          <cell r="O281">
            <v>53</v>
          </cell>
          <cell r="P281">
            <v>840</v>
          </cell>
          <cell r="Q281">
            <v>282</v>
          </cell>
          <cell r="R281">
            <v>558</v>
          </cell>
          <cell r="S281">
            <v>3783</v>
          </cell>
          <cell r="T281">
            <v>893</v>
          </cell>
        </row>
        <row r="282">
          <cell r="C282" t="str">
            <v>Census Tract 299.02, King County, Washington</v>
          </cell>
          <cell r="D282">
            <v>3826</v>
          </cell>
          <cell r="E282">
            <v>3513</v>
          </cell>
          <cell r="F282">
            <v>1816</v>
          </cell>
          <cell r="G282">
            <v>1645</v>
          </cell>
          <cell r="H282">
            <v>142</v>
          </cell>
          <cell r="I282">
            <v>499</v>
          </cell>
          <cell r="J282">
            <v>200</v>
          </cell>
          <cell r="K282">
            <v>804</v>
          </cell>
          <cell r="L282">
            <v>52</v>
          </cell>
          <cell r="M282">
            <v>0</v>
          </cell>
          <cell r="N282">
            <v>0</v>
          </cell>
          <cell r="O282">
            <v>52</v>
          </cell>
          <cell r="P282">
            <v>313</v>
          </cell>
          <cell r="Q282">
            <v>172</v>
          </cell>
          <cell r="R282">
            <v>141</v>
          </cell>
          <cell r="S282">
            <v>3461</v>
          </cell>
          <cell r="T282">
            <v>365</v>
          </cell>
        </row>
        <row r="283">
          <cell r="C283" t="str">
            <v>Census Tract 300.02, King County, Washington</v>
          </cell>
          <cell r="D283">
            <v>8504</v>
          </cell>
          <cell r="E283">
            <v>6892</v>
          </cell>
          <cell r="F283">
            <v>3714</v>
          </cell>
          <cell r="G283">
            <v>3044</v>
          </cell>
          <cell r="H283">
            <v>237</v>
          </cell>
          <cell r="I283">
            <v>845</v>
          </cell>
          <cell r="J283">
            <v>551</v>
          </cell>
          <cell r="K283">
            <v>1411</v>
          </cell>
          <cell r="L283">
            <v>134</v>
          </cell>
          <cell r="M283">
            <v>12</v>
          </cell>
          <cell r="N283">
            <v>14</v>
          </cell>
          <cell r="O283">
            <v>108</v>
          </cell>
          <cell r="P283">
            <v>1612</v>
          </cell>
          <cell r="Q283">
            <v>485</v>
          </cell>
          <cell r="R283">
            <v>1127</v>
          </cell>
          <cell r="S283">
            <v>6758</v>
          </cell>
          <cell r="T283">
            <v>1746</v>
          </cell>
        </row>
        <row r="284">
          <cell r="C284" t="str">
            <v>Census Tract 300.03, King County, Washington</v>
          </cell>
          <cell r="D284">
            <v>5363</v>
          </cell>
          <cell r="E284">
            <v>4618</v>
          </cell>
          <cell r="F284">
            <v>2428</v>
          </cell>
          <cell r="G284">
            <v>2129</v>
          </cell>
          <cell r="H284">
            <v>185</v>
          </cell>
          <cell r="I284">
            <v>687</v>
          </cell>
          <cell r="J284">
            <v>487</v>
          </cell>
          <cell r="K284">
            <v>770</v>
          </cell>
          <cell r="L284">
            <v>61</v>
          </cell>
          <cell r="M284">
            <v>0</v>
          </cell>
          <cell r="N284">
            <v>0</v>
          </cell>
          <cell r="O284">
            <v>61</v>
          </cell>
          <cell r="P284">
            <v>745</v>
          </cell>
          <cell r="Q284">
            <v>323</v>
          </cell>
          <cell r="R284">
            <v>422</v>
          </cell>
          <cell r="S284">
            <v>4557</v>
          </cell>
          <cell r="T284">
            <v>806</v>
          </cell>
        </row>
        <row r="285">
          <cell r="C285" t="str">
            <v>Census Tract 300.04, King County, Washington</v>
          </cell>
          <cell r="D285">
            <v>7680</v>
          </cell>
          <cell r="E285">
            <v>5569</v>
          </cell>
          <cell r="F285">
            <v>2968</v>
          </cell>
          <cell r="G285">
            <v>2508</v>
          </cell>
          <cell r="H285">
            <v>264</v>
          </cell>
          <cell r="I285">
            <v>593</v>
          </cell>
          <cell r="J285">
            <v>621</v>
          </cell>
          <cell r="K285">
            <v>1030</v>
          </cell>
          <cell r="L285">
            <v>93</v>
          </cell>
          <cell r="M285">
            <v>11</v>
          </cell>
          <cell r="N285">
            <v>23</v>
          </cell>
          <cell r="O285">
            <v>59</v>
          </cell>
          <cell r="P285">
            <v>2111</v>
          </cell>
          <cell r="Q285">
            <v>543</v>
          </cell>
          <cell r="R285">
            <v>1568</v>
          </cell>
          <cell r="S285">
            <v>5476</v>
          </cell>
          <cell r="T285">
            <v>2204</v>
          </cell>
        </row>
        <row r="286">
          <cell r="C286" t="str">
            <v>Census Tract 301, King County, Washington</v>
          </cell>
          <cell r="D286">
            <v>7485</v>
          </cell>
          <cell r="E286">
            <v>6699</v>
          </cell>
          <cell r="F286">
            <v>3508</v>
          </cell>
          <cell r="G286">
            <v>3128</v>
          </cell>
          <cell r="H286">
            <v>337</v>
          </cell>
          <cell r="I286">
            <v>1002</v>
          </cell>
          <cell r="J286">
            <v>515</v>
          </cell>
          <cell r="K286">
            <v>1274</v>
          </cell>
          <cell r="L286">
            <v>63</v>
          </cell>
          <cell r="M286">
            <v>0</v>
          </cell>
          <cell r="N286">
            <v>9</v>
          </cell>
          <cell r="O286">
            <v>54</v>
          </cell>
          <cell r="P286">
            <v>786</v>
          </cell>
          <cell r="Q286">
            <v>364</v>
          </cell>
          <cell r="R286">
            <v>422</v>
          </cell>
          <cell r="S286">
            <v>6636</v>
          </cell>
          <cell r="T286">
            <v>849</v>
          </cell>
        </row>
        <row r="287">
          <cell r="C287" t="str">
            <v>Census Tract 302.01, King County, Washington</v>
          </cell>
          <cell r="D287">
            <v>5133</v>
          </cell>
          <cell r="E287">
            <v>4415</v>
          </cell>
          <cell r="F287">
            <v>2490</v>
          </cell>
          <cell r="G287">
            <v>1809</v>
          </cell>
          <cell r="H287">
            <v>136</v>
          </cell>
          <cell r="I287">
            <v>555</v>
          </cell>
          <cell r="J287">
            <v>294</v>
          </cell>
          <cell r="K287">
            <v>824</v>
          </cell>
          <cell r="L287">
            <v>116</v>
          </cell>
          <cell r="M287">
            <v>17</v>
          </cell>
          <cell r="N287">
            <v>0</v>
          </cell>
          <cell r="O287">
            <v>99</v>
          </cell>
          <cell r="P287">
            <v>718</v>
          </cell>
          <cell r="Q287">
            <v>382</v>
          </cell>
          <cell r="R287">
            <v>336</v>
          </cell>
          <cell r="S287">
            <v>4299</v>
          </cell>
          <cell r="T287">
            <v>834</v>
          </cell>
        </row>
        <row r="288">
          <cell r="C288" t="str">
            <v>Census Tract 302.02, King County, Washington</v>
          </cell>
          <cell r="D288">
            <v>6514</v>
          </cell>
          <cell r="E288">
            <v>5455</v>
          </cell>
          <cell r="F288">
            <v>2934</v>
          </cell>
          <cell r="G288">
            <v>2492</v>
          </cell>
          <cell r="H288">
            <v>300</v>
          </cell>
          <cell r="I288">
            <v>789</v>
          </cell>
          <cell r="J288">
            <v>432</v>
          </cell>
          <cell r="K288">
            <v>971</v>
          </cell>
          <cell r="L288">
            <v>29</v>
          </cell>
          <cell r="M288">
            <v>9</v>
          </cell>
          <cell r="N288">
            <v>12</v>
          </cell>
          <cell r="O288">
            <v>8</v>
          </cell>
          <cell r="P288">
            <v>1059</v>
          </cell>
          <cell r="Q288">
            <v>315</v>
          </cell>
          <cell r="R288">
            <v>744</v>
          </cell>
          <cell r="S288">
            <v>5426</v>
          </cell>
          <cell r="T288">
            <v>1088</v>
          </cell>
        </row>
        <row r="289">
          <cell r="C289" t="str">
            <v>Census Tract 303.03, King County, Washington</v>
          </cell>
          <cell r="D289">
            <v>7054</v>
          </cell>
          <cell r="E289">
            <v>5871</v>
          </cell>
          <cell r="F289">
            <v>2584</v>
          </cell>
          <cell r="G289">
            <v>3140</v>
          </cell>
          <cell r="H289">
            <v>234</v>
          </cell>
          <cell r="I289">
            <v>863</v>
          </cell>
          <cell r="J289">
            <v>685</v>
          </cell>
          <cell r="K289">
            <v>1358</v>
          </cell>
          <cell r="L289">
            <v>147</v>
          </cell>
          <cell r="M289">
            <v>11</v>
          </cell>
          <cell r="N289">
            <v>31</v>
          </cell>
          <cell r="O289">
            <v>105</v>
          </cell>
          <cell r="P289">
            <v>1183</v>
          </cell>
          <cell r="Q289">
            <v>548</v>
          </cell>
          <cell r="R289">
            <v>635</v>
          </cell>
          <cell r="S289">
            <v>5724</v>
          </cell>
          <cell r="T289">
            <v>1330</v>
          </cell>
        </row>
        <row r="290">
          <cell r="C290" t="str">
            <v>Census Tract 303.04, King County, Washington</v>
          </cell>
          <cell r="D290">
            <v>2497</v>
          </cell>
          <cell r="E290">
            <v>2298</v>
          </cell>
          <cell r="F290">
            <v>1366</v>
          </cell>
          <cell r="G290">
            <v>899</v>
          </cell>
          <cell r="H290">
            <v>129</v>
          </cell>
          <cell r="I290">
            <v>230</v>
          </cell>
          <cell r="J290">
            <v>87</v>
          </cell>
          <cell r="K290">
            <v>453</v>
          </cell>
          <cell r="L290">
            <v>33</v>
          </cell>
          <cell r="M290">
            <v>0</v>
          </cell>
          <cell r="N290">
            <v>0</v>
          </cell>
          <cell r="O290">
            <v>33</v>
          </cell>
          <cell r="P290">
            <v>199</v>
          </cell>
          <cell r="Q290">
            <v>121</v>
          </cell>
          <cell r="R290">
            <v>78</v>
          </cell>
          <cell r="S290">
            <v>2265</v>
          </cell>
          <cell r="T290">
            <v>232</v>
          </cell>
        </row>
        <row r="291">
          <cell r="C291" t="str">
            <v>Census Tract 303.05, King County, Washington</v>
          </cell>
          <cell r="D291">
            <v>4735</v>
          </cell>
          <cell r="E291">
            <v>4308</v>
          </cell>
          <cell r="F291">
            <v>2131</v>
          </cell>
          <cell r="G291">
            <v>2110</v>
          </cell>
          <cell r="H291">
            <v>135</v>
          </cell>
          <cell r="I291">
            <v>636</v>
          </cell>
          <cell r="J291">
            <v>382</v>
          </cell>
          <cell r="K291">
            <v>957</v>
          </cell>
          <cell r="L291">
            <v>67</v>
          </cell>
          <cell r="M291">
            <v>0</v>
          </cell>
          <cell r="N291">
            <v>0</v>
          </cell>
          <cell r="O291">
            <v>67</v>
          </cell>
          <cell r="P291">
            <v>427</v>
          </cell>
          <cell r="Q291">
            <v>298</v>
          </cell>
          <cell r="R291">
            <v>129</v>
          </cell>
          <cell r="S291">
            <v>4241</v>
          </cell>
          <cell r="T291">
            <v>494</v>
          </cell>
        </row>
        <row r="292">
          <cell r="C292" t="str">
            <v>Census Tract 303.06, King County, Washington</v>
          </cell>
          <cell r="D292">
            <v>5804</v>
          </cell>
          <cell r="E292">
            <v>4964</v>
          </cell>
          <cell r="F292">
            <v>2465</v>
          </cell>
          <cell r="G292">
            <v>2412</v>
          </cell>
          <cell r="H292">
            <v>229</v>
          </cell>
          <cell r="I292">
            <v>568</v>
          </cell>
          <cell r="J292">
            <v>314</v>
          </cell>
          <cell r="K292">
            <v>1301</v>
          </cell>
          <cell r="L292">
            <v>87</v>
          </cell>
          <cell r="M292">
            <v>0</v>
          </cell>
          <cell r="N292">
            <v>0</v>
          </cell>
          <cell r="O292">
            <v>87</v>
          </cell>
          <cell r="P292">
            <v>840</v>
          </cell>
          <cell r="Q292">
            <v>388</v>
          </cell>
          <cell r="R292">
            <v>452</v>
          </cell>
          <cell r="S292">
            <v>4877</v>
          </cell>
          <cell r="T292">
            <v>927</v>
          </cell>
        </row>
        <row r="293">
          <cell r="C293" t="str">
            <v>Census Tract 303.08, King County, Washington</v>
          </cell>
          <cell r="D293">
            <v>6703</v>
          </cell>
          <cell r="E293">
            <v>5251</v>
          </cell>
          <cell r="F293">
            <v>2480</v>
          </cell>
          <cell r="G293">
            <v>2658</v>
          </cell>
          <cell r="H293">
            <v>166</v>
          </cell>
          <cell r="I293">
            <v>567</v>
          </cell>
          <cell r="J293">
            <v>496</v>
          </cell>
          <cell r="K293">
            <v>1429</v>
          </cell>
          <cell r="L293">
            <v>113</v>
          </cell>
          <cell r="M293">
            <v>6</v>
          </cell>
          <cell r="N293">
            <v>11</v>
          </cell>
          <cell r="O293">
            <v>96</v>
          </cell>
          <cell r="P293">
            <v>1452</v>
          </cell>
          <cell r="Q293">
            <v>564</v>
          </cell>
          <cell r="R293">
            <v>888</v>
          </cell>
          <cell r="S293">
            <v>5138</v>
          </cell>
          <cell r="T293">
            <v>1565</v>
          </cell>
        </row>
        <row r="294">
          <cell r="C294" t="str">
            <v>Census Tract 303.09, King County, Washington</v>
          </cell>
          <cell r="D294">
            <v>5692</v>
          </cell>
          <cell r="E294">
            <v>4449</v>
          </cell>
          <cell r="F294">
            <v>2112</v>
          </cell>
          <cell r="G294">
            <v>2239</v>
          </cell>
          <cell r="H294">
            <v>174</v>
          </cell>
          <cell r="I294">
            <v>529</v>
          </cell>
          <cell r="J294">
            <v>427</v>
          </cell>
          <cell r="K294">
            <v>1109</v>
          </cell>
          <cell r="L294">
            <v>98</v>
          </cell>
          <cell r="M294">
            <v>20</v>
          </cell>
          <cell r="N294">
            <v>12</v>
          </cell>
          <cell r="O294">
            <v>66</v>
          </cell>
          <cell r="P294">
            <v>1243</v>
          </cell>
          <cell r="Q294">
            <v>516</v>
          </cell>
          <cell r="R294">
            <v>727</v>
          </cell>
          <cell r="S294">
            <v>4351</v>
          </cell>
          <cell r="T294">
            <v>1341</v>
          </cell>
        </row>
        <row r="295">
          <cell r="C295" t="str">
            <v>Census Tract 303.10, King County, Washington</v>
          </cell>
          <cell r="D295">
            <v>5051</v>
          </cell>
          <cell r="E295">
            <v>3854</v>
          </cell>
          <cell r="F295">
            <v>1929</v>
          </cell>
          <cell r="G295">
            <v>1827</v>
          </cell>
          <cell r="H295">
            <v>151</v>
          </cell>
          <cell r="I295">
            <v>372</v>
          </cell>
          <cell r="J295">
            <v>353</v>
          </cell>
          <cell r="K295">
            <v>951</v>
          </cell>
          <cell r="L295">
            <v>98</v>
          </cell>
          <cell r="M295">
            <v>0</v>
          </cell>
          <cell r="N295">
            <v>21</v>
          </cell>
          <cell r="O295">
            <v>77</v>
          </cell>
          <cell r="P295">
            <v>1197</v>
          </cell>
          <cell r="Q295">
            <v>682</v>
          </cell>
          <cell r="R295">
            <v>515</v>
          </cell>
          <cell r="S295">
            <v>3756</v>
          </cell>
          <cell r="T295">
            <v>1295</v>
          </cell>
        </row>
        <row r="296">
          <cell r="C296" t="str">
            <v>Census Tract 303.11, King County, Washington</v>
          </cell>
          <cell r="D296">
            <v>5107</v>
          </cell>
          <cell r="E296">
            <v>4408</v>
          </cell>
          <cell r="F296">
            <v>2697</v>
          </cell>
          <cell r="G296">
            <v>1642</v>
          </cell>
          <cell r="H296">
            <v>88</v>
          </cell>
          <cell r="I296">
            <v>365</v>
          </cell>
          <cell r="J296">
            <v>332</v>
          </cell>
          <cell r="K296">
            <v>857</v>
          </cell>
          <cell r="L296">
            <v>69</v>
          </cell>
          <cell r="M296">
            <v>0</v>
          </cell>
          <cell r="N296">
            <v>0</v>
          </cell>
          <cell r="O296">
            <v>69</v>
          </cell>
          <cell r="P296">
            <v>699</v>
          </cell>
          <cell r="Q296">
            <v>263</v>
          </cell>
          <cell r="R296">
            <v>436</v>
          </cell>
          <cell r="S296">
            <v>4339</v>
          </cell>
          <cell r="T296">
            <v>768</v>
          </cell>
        </row>
        <row r="297">
          <cell r="C297" t="str">
            <v>Census Tract 303.12, King County, Washington</v>
          </cell>
          <cell r="D297">
            <v>5040</v>
          </cell>
          <cell r="E297">
            <v>4176</v>
          </cell>
          <cell r="F297">
            <v>2037</v>
          </cell>
          <cell r="G297">
            <v>2067</v>
          </cell>
          <cell r="H297">
            <v>300</v>
          </cell>
          <cell r="I297">
            <v>411</v>
          </cell>
          <cell r="J297">
            <v>425</v>
          </cell>
          <cell r="K297">
            <v>931</v>
          </cell>
          <cell r="L297">
            <v>72</v>
          </cell>
          <cell r="M297">
            <v>7</v>
          </cell>
          <cell r="N297">
            <v>0</v>
          </cell>
          <cell r="O297">
            <v>65</v>
          </cell>
          <cell r="P297">
            <v>864</v>
          </cell>
          <cell r="Q297">
            <v>382</v>
          </cell>
          <cell r="R297">
            <v>482</v>
          </cell>
          <cell r="S297">
            <v>4104</v>
          </cell>
          <cell r="T297">
            <v>936</v>
          </cell>
        </row>
        <row r="298">
          <cell r="C298" t="str">
            <v>Census Tract 304.01, King County, Washington</v>
          </cell>
          <cell r="D298">
            <v>5613</v>
          </cell>
          <cell r="E298">
            <v>5264</v>
          </cell>
          <cell r="F298">
            <v>2898</v>
          </cell>
          <cell r="G298">
            <v>2309</v>
          </cell>
          <cell r="H298">
            <v>182</v>
          </cell>
          <cell r="I298">
            <v>736</v>
          </cell>
          <cell r="J298">
            <v>372</v>
          </cell>
          <cell r="K298">
            <v>1019</v>
          </cell>
          <cell r="L298">
            <v>57</v>
          </cell>
          <cell r="M298">
            <v>0</v>
          </cell>
          <cell r="N298">
            <v>12</v>
          </cell>
          <cell r="O298">
            <v>45</v>
          </cell>
          <cell r="P298">
            <v>349</v>
          </cell>
          <cell r="Q298">
            <v>234</v>
          </cell>
          <cell r="R298">
            <v>115</v>
          </cell>
          <cell r="S298">
            <v>5207</v>
          </cell>
          <cell r="T298">
            <v>406</v>
          </cell>
        </row>
        <row r="299">
          <cell r="C299" t="str">
            <v>Census Tract 304.03, King County, Washington</v>
          </cell>
          <cell r="D299">
            <v>4279</v>
          </cell>
          <cell r="E299">
            <v>3807</v>
          </cell>
          <cell r="F299">
            <v>1963</v>
          </cell>
          <cell r="G299">
            <v>1784</v>
          </cell>
          <cell r="H299">
            <v>93</v>
          </cell>
          <cell r="I299">
            <v>453</v>
          </cell>
          <cell r="J299">
            <v>257</v>
          </cell>
          <cell r="K299">
            <v>981</v>
          </cell>
          <cell r="L299">
            <v>60</v>
          </cell>
          <cell r="M299">
            <v>0</v>
          </cell>
          <cell r="N299">
            <v>11</v>
          </cell>
          <cell r="O299">
            <v>49</v>
          </cell>
          <cell r="P299">
            <v>472</v>
          </cell>
          <cell r="Q299">
            <v>247</v>
          </cell>
          <cell r="R299">
            <v>225</v>
          </cell>
          <cell r="S299">
            <v>3747</v>
          </cell>
          <cell r="T299">
            <v>532</v>
          </cell>
        </row>
        <row r="300">
          <cell r="C300" t="str">
            <v>Census Tract 304.04, King County, Washington</v>
          </cell>
          <cell r="D300">
            <v>3145</v>
          </cell>
          <cell r="E300">
            <v>2968</v>
          </cell>
          <cell r="F300">
            <v>1757</v>
          </cell>
          <cell r="G300">
            <v>1180</v>
          </cell>
          <cell r="H300">
            <v>82</v>
          </cell>
          <cell r="I300">
            <v>317</v>
          </cell>
          <cell r="J300">
            <v>202</v>
          </cell>
          <cell r="K300">
            <v>579</v>
          </cell>
          <cell r="L300">
            <v>31</v>
          </cell>
          <cell r="M300">
            <v>0</v>
          </cell>
          <cell r="N300">
            <v>6</v>
          </cell>
          <cell r="O300">
            <v>25</v>
          </cell>
          <cell r="P300">
            <v>177</v>
          </cell>
          <cell r="Q300">
            <v>86</v>
          </cell>
          <cell r="R300">
            <v>91</v>
          </cell>
          <cell r="S300">
            <v>2937</v>
          </cell>
          <cell r="T300">
            <v>208</v>
          </cell>
        </row>
        <row r="301">
          <cell r="C301" t="str">
            <v>Census Tract 305.01, King County, Washington</v>
          </cell>
          <cell r="D301">
            <v>1913</v>
          </cell>
          <cell r="E301">
            <v>1673</v>
          </cell>
          <cell r="F301">
            <v>920</v>
          </cell>
          <cell r="G301">
            <v>732</v>
          </cell>
          <cell r="H301">
            <v>100</v>
          </cell>
          <cell r="I301">
            <v>296</v>
          </cell>
          <cell r="J301">
            <v>78</v>
          </cell>
          <cell r="K301">
            <v>258</v>
          </cell>
          <cell r="L301">
            <v>21</v>
          </cell>
          <cell r="M301">
            <v>21</v>
          </cell>
          <cell r="N301">
            <v>0</v>
          </cell>
          <cell r="O301">
            <v>0</v>
          </cell>
          <cell r="P301">
            <v>240</v>
          </cell>
          <cell r="Q301">
            <v>57</v>
          </cell>
          <cell r="R301">
            <v>183</v>
          </cell>
          <cell r="S301">
            <v>1652</v>
          </cell>
          <cell r="T301">
            <v>261</v>
          </cell>
        </row>
        <row r="302">
          <cell r="C302" t="str">
            <v>Census Tract 305.03, King County, Washington</v>
          </cell>
          <cell r="D302">
            <v>3904</v>
          </cell>
          <cell r="E302">
            <v>3469</v>
          </cell>
          <cell r="F302">
            <v>1808</v>
          </cell>
          <cell r="G302">
            <v>1634</v>
          </cell>
          <cell r="H302">
            <v>80</v>
          </cell>
          <cell r="I302">
            <v>586</v>
          </cell>
          <cell r="J302">
            <v>219</v>
          </cell>
          <cell r="K302">
            <v>749</v>
          </cell>
          <cell r="L302">
            <v>27</v>
          </cell>
          <cell r="M302">
            <v>8</v>
          </cell>
          <cell r="N302">
            <v>9</v>
          </cell>
          <cell r="O302">
            <v>10</v>
          </cell>
          <cell r="P302">
            <v>435</v>
          </cell>
          <cell r="Q302">
            <v>203</v>
          </cell>
          <cell r="R302">
            <v>232</v>
          </cell>
          <cell r="S302">
            <v>3442</v>
          </cell>
          <cell r="T302">
            <v>462</v>
          </cell>
        </row>
        <row r="303">
          <cell r="C303" t="str">
            <v>Census Tract 305.04, King County, Washington</v>
          </cell>
          <cell r="D303">
            <v>4657</v>
          </cell>
          <cell r="E303">
            <v>3825</v>
          </cell>
          <cell r="F303">
            <v>2158</v>
          </cell>
          <cell r="G303">
            <v>1627</v>
          </cell>
          <cell r="H303">
            <v>235</v>
          </cell>
          <cell r="I303">
            <v>567</v>
          </cell>
          <cell r="J303">
            <v>152</v>
          </cell>
          <cell r="K303">
            <v>673</v>
          </cell>
          <cell r="L303">
            <v>40</v>
          </cell>
          <cell r="M303">
            <v>0</v>
          </cell>
          <cell r="N303">
            <v>0</v>
          </cell>
          <cell r="O303">
            <v>40</v>
          </cell>
          <cell r="P303">
            <v>832</v>
          </cell>
          <cell r="Q303">
            <v>281</v>
          </cell>
          <cell r="R303">
            <v>551</v>
          </cell>
          <cell r="S303">
            <v>3785</v>
          </cell>
          <cell r="T303">
            <v>872</v>
          </cell>
        </row>
        <row r="304">
          <cell r="C304" t="str">
            <v>Census Tract 306, King County, Washington</v>
          </cell>
          <cell r="D304">
            <v>5075</v>
          </cell>
          <cell r="E304">
            <v>4664</v>
          </cell>
          <cell r="F304">
            <v>2665</v>
          </cell>
          <cell r="G304">
            <v>1888</v>
          </cell>
          <cell r="H304">
            <v>246</v>
          </cell>
          <cell r="I304">
            <v>639</v>
          </cell>
          <cell r="J304">
            <v>271</v>
          </cell>
          <cell r="K304">
            <v>732</v>
          </cell>
          <cell r="L304">
            <v>111</v>
          </cell>
          <cell r="M304">
            <v>10</v>
          </cell>
          <cell r="N304">
            <v>0</v>
          </cell>
          <cell r="O304">
            <v>101</v>
          </cell>
          <cell r="P304">
            <v>411</v>
          </cell>
          <cell r="Q304">
            <v>114</v>
          </cell>
          <cell r="R304">
            <v>297</v>
          </cell>
          <cell r="S304">
            <v>4553</v>
          </cell>
          <cell r="T304">
            <v>522</v>
          </cell>
        </row>
        <row r="305">
          <cell r="C305" t="str">
            <v>Census Tract 307, King County, Washington</v>
          </cell>
          <cell r="D305">
            <v>3845</v>
          </cell>
          <cell r="E305">
            <v>3217</v>
          </cell>
          <cell r="F305">
            <v>1909</v>
          </cell>
          <cell r="G305">
            <v>1241</v>
          </cell>
          <cell r="H305">
            <v>29</v>
          </cell>
          <cell r="I305">
            <v>466</v>
          </cell>
          <cell r="J305">
            <v>158</v>
          </cell>
          <cell r="K305">
            <v>588</v>
          </cell>
          <cell r="L305">
            <v>67</v>
          </cell>
          <cell r="M305">
            <v>0</v>
          </cell>
          <cell r="N305">
            <v>0</v>
          </cell>
          <cell r="O305">
            <v>67</v>
          </cell>
          <cell r="P305">
            <v>628</v>
          </cell>
          <cell r="Q305">
            <v>140</v>
          </cell>
          <cell r="R305">
            <v>488</v>
          </cell>
          <cell r="S305">
            <v>3150</v>
          </cell>
          <cell r="T305">
            <v>695</v>
          </cell>
        </row>
        <row r="306">
          <cell r="C306" t="str">
            <v>Census Tract 308.01, King County, Washington</v>
          </cell>
          <cell r="D306">
            <v>5958</v>
          </cell>
          <cell r="E306">
            <v>5322</v>
          </cell>
          <cell r="F306">
            <v>2939</v>
          </cell>
          <cell r="G306">
            <v>2286</v>
          </cell>
          <cell r="H306">
            <v>187</v>
          </cell>
          <cell r="I306">
            <v>660</v>
          </cell>
          <cell r="J306">
            <v>337</v>
          </cell>
          <cell r="K306">
            <v>1102</v>
          </cell>
          <cell r="L306">
            <v>97</v>
          </cell>
          <cell r="M306">
            <v>0</v>
          </cell>
          <cell r="N306">
            <v>0</v>
          </cell>
          <cell r="O306">
            <v>97</v>
          </cell>
          <cell r="P306">
            <v>636</v>
          </cell>
          <cell r="Q306">
            <v>229</v>
          </cell>
          <cell r="R306">
            <v>407</v>
          </cell>
          <cell r="S306">
            <v>5225</v>
          </cell>
          <cell r="T306">
            <v>733</v>
          </cell>
        </row>
        <row r="307">
          <cell r="C307" t="str">
            <v>Census Tract 308.02, King County, Washington</v>
          </cell>
          <cell r="D307">
            <v>3699</v>
          </cell>
          <cell r="E307">
            <v>3298</v>
          </cell>
          <cell r="F307">
            <v>2082</v>
          </cell>
          <cell r="G307">
            <v>1216</v>
          </cell>
          <cell r="H307">
            <v>85</v>
          </cell>
          <cell r="I307">
            <v>434</v>
          </cell>
          <cell r="J307">
            <v>197</v>
          </cell>
          <cell r="K307">
            <v>500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401</v>
          </cell>
          <cell r="Q307">
            <v>85</v>
          </cell>
          <cell r="R307">
            <v>316</v>
          </cell>
          <cell r="S307">
            <v>3298</v>
          </cell>
          <cell r="T307">
            <v>401</v>
          </cell>
        </row>
        <row r="308">
          <cell r="C308" t="str">
            <v>Census Tract 309.01, King County, Washington</v>
          </cell>
          <cell r="D308">
            <v>2940</v>
          </cell>
          <cell r="E308">
            <v>2628</v>
          </cell>
          <cell r="F308">
            <v>1744</v>
          </cell>
          <cell r="G308">
            <v>859</v>
          </cell>
          <cell r="H308">
            <v>108</v>
          </cell>
          <cell r="I308">
            <v>220</v>
          </cell>
          <cell r="J308">
            <v>136</v>
          </cell>
          <cell r="K308">
            <v>395</v>
          </cell>
          <cell r="L308">
            <v>25</v>
          </cell>
          <cell r="M308">
            <v>0</v>
          </cell>
          <cell r="N308">
            <v>0</v>
          </cell>
          <cell r="O308">
            <v>25</v>
          </cell>
          <cell r="P308">
            <v>312</v>
          </cell>
          <cell r="Q308">
            <v>173</v>
          </cell>
          <cell r="R308">
            <v>139</v>
          </cell>
          <cell r="S308">
            <v>2603</v>
          </cell>
          <cell r="T308">
            <v>337</v>
          </cell>
        </row>
        <row r="309">
          <cell r="C309" t="str">
            <v>Census Tract 309.02, King County, Washington</v>
          </cell>
          <cell r="D309">
            <v>4651</v>
          </cell>
          <cell r="E309">
            <v>4304</v>
          </cell>
          <cell r="F309">
            <v>2601</v>
          </cell>
          <cell r="G309">
            <v>1677</v>
          </cell>
          <cell r="H309">
            <v>98</v>
          </cell>
          <cell r="I309">
            <v>409</v>
          </cell>
          <cell r="J309">
            <v>180</v>
          </cell>
          <cell r="K309">
            <v>990</v>
          </cell>
          <cell r="L309">
            <v>26</v>
          </cell>
          <cell r="M309">
            <v>0</v>
          </cell>
          <cell r="N309">
            <v>0</v>
          </cell>
          <cell r="O309">
            <v>26</v>
          </cell>
          <cell r="P309">
            <v>347</v>
          </cell>
          <cell r="Q309">
            <v>122</v>
          </cell>
          <cell r="R309">
            <v>225</v>
          </cell>
          <cell r="S309">
            <v>4278</v>
          </cell>
          <cell r="T309">
            <v>373</v>
          </cell>
        </row>
        <row r="310">
          <cell r="C310" t="str">
            <v>Census Tract 310, King County, Washington</v>
          </cell>
          <cell r="D310">
            <v>3084</v>
          </cell>
          <cell r="E310">
            <v>2840</v>
          </cell>
          <cell r="F310">
            <v>1659</v>
          </cell>
          <cell r="G310">
            <v>1099</v>
          </cell>
          <cell r="H310">
            <v>121</v>
          </cell>
          <cell r="I310">
            <v>284</v>
          </cell>
          <cell r="J310">
            <v>188</v>
          </cell>
          <cell r="K310">
            <v>506</v>
          </cell>
          <cell r="L310">
            <v>82</v>
          </cell>
          <cell r="M310">
            <v>13</v>
          </cell>
          <cell r="N310">
            <v>10</v>
          </cell>
          <cell r="O310">
            <v>59</v>
          </cell>
          <cell r="P310">
            <v>244</v>
          </cell>
          <cell r="Q310">
            <v>103</v>
          </cell>
          <cell r="R310">
            <v>141</v>
          </cell>
          <cell r="S310">
            <v>2758</v>
          </cell>
          <cell r="T310">
            <v>326</v>
          </cell>
        </row>
        <row r="311">
          <cell r="C311" t="str">
            <v>Census Tract 311, King County, Washington</v>
          </cell>
          <cell r="D311">
            <v>6657</v>
          </cell>
          <cell r="E311">
            <v>6163</v>
          </cell>
          <cell r="F311">
            <v>3529</v>
          </cell>
          <cell r="G311">
            <v>2556</v>
          </cell>
          <cell r="H311">
            <v>262</v>
          </cell>
          <cell r="I311">
            <v>814</v>
          </cell>
          <cell r="J311">
            <v>322</v>
          </cell>
          <cell r="K311">
            <v>1158</v>
          </cell>
          <cell r="L311">
            <v>78</v>
          </cell>
          <cell r="M311">
            <v>0</v>
          </cell>
          <cell r="N311">
            <v>0</v>
          </cell>
          <cell r="O311">
            <v>78</v>
          </cell>
          <cell r="P311">
            <v>494</v>
          </cell>
          <cell r="Q311">
            <v>216</v>
          </cell>
          <cell r="R311">
            <v>278</v>
          </cell>
          <cell r="S311">
            <v>6085</v>
          </cell>
          <cell r="T311">
            <v>572</v>
          </cell>
        </row>
        <row r="312">
          <cell r="C312" t="str">
            <v>Census Tract 312.02, King County, Washington</v>
          </cell>
          <cell r="D312">
            <v>6040</v>
          </cell>
          <cell r="E312">
            <v>5736</v>
          </cell>
          <cell r="F312">
            <v>3770</v>
          </cell>
          <cell r="G312">
            <v>1903</v>
          </cell>
          <cell r="H312">
            <v>184</v>
          </cell>
          <cell r="I312">
            <v>626</v>
          </cell>
          <cell r="J312">
            <v>191</v>
          </cell>
          <cell r="K312">
            <v>902</v>
          </cell>
          <cell r="L312">
            <v>63</v>
          </cell>
          <cell r="M312">
            <v>12</v>
          </cell>
          <cell r="N312">
            <v>16</v>
          </cell>
          <cell r="O312">
            <v>35</v>
          </cell>
          <cell r="P312">
            <v>304</v>
          </cell>
          <cell r="Q312">
            <v>123</v>
          </cell>
          <cell r="R312">
            <v>181</v>
          </cell>
          <cell r="S312">
            <v>5673</v>
          </cell>
          <cell r="T312">
            <v>367</v>
          </cell>
        </row>
        <row r="313">
          <cell r="C313" t="str">
            <v>Census Tract 312.04, King County, Washington</v>
          </cell>
          <cell r="D313">
            <v>5812</v>
          </cell>
          <cell r="E313">
            <v>5549</v>
          </cell>
          <cell r="F313">
            <v>3541</v>
          </cell>
          <cell r="G313">
            <v>1984</v>
          </cell>
          <cell r="H313">
            <v>218</v>
          </cell>
          <cell r="I313">
            <v>476</v>
          </cell>
          <cell r="J313">
            <v>336</v>
          </cell>
          <cell r="K313">
            <v>954</v>
          </cell>
          <cell r="L313">
            <v>24</v>
          </cell>
          <cell r="M313">
            <v>14</v>
          </cell>
          <cell r="N313">
            <v>0</v>
          </cell>
          <cell r="O313">
            <v>10</v>
          </cell>
          <cell r="P313">
            <v>263</v>
          </cell>
          <cell r="Q313">
            <v>146</v>
          </cell>
          <cell r="R313">
            <v>117</v>
          </cell>
          <cell r="S313">
            <v>5525</v>
          </cell>
          <cell r="T313">
            <v>287</v>
          </cell>
        </row>
        <row r="314">
          <cell r="C314" t="str">
            <v>Census Tract 312.05, King County, Washington</v>
          </cell>
          <cell r="D314">
            <v>3893</v>
          </cell>
          <cell r="E314">
            <v>3488</v>
          </cell>
          <cell r="F314">
            <v>2082</v>
          </cell>
          <cell r="G314">
            <v>1394</v>
          </cell>
          <cell r="H314">
            <v>39</v>
          </cell>
          <cell r="I314">
            <v>421</v>
          </cell>
          <cell r="J314">
            <v>180</v>
          </cell>
          <cell r="K314">
            <v>754</v>
          </cell>
          <cell r="L314">
            <v>12</v>
          </cell>
          <cell r="M314">
            <v>0</v>
          </cell>
          <cell r="N314">
            <v>0</v>
          </cell>
          <cell r="O314">
            <v>12</v>
          </cell>
          <cell r="P314">
            <v>405</v>
          </cell>
          <cell r="Q314">
            <v>182</v>
          </cell>
          <cell r="R314">
            <v>223</v>
          </cell>
          <cell r="S314">
            <v>3476</v>
          </cell>
          <cell r="T314">
            <v>417</v>
          </cell>
        </row>
        <row r="315">
          <cell r="C315" t="str">
            <v>Census Tract 312.06, King County, Washington</v>
          </cell>
          <cell r="D315">
            <v>4363</v>
          </cell>
          <cell r="E315">
            <v>3990</v>
          </cell>
          <cell r="F315">
            <v>2239</v>
          </cell>
          <cell r="G315">
            <v>1743</v>
          </cell>
          <cell r="H315">
            <v>104</v>
          </cell>
          <cell r="I315">
            <v>422</v>
          </cell>
          <cell r="J315">
            <v>354</v>
          </cell>
          <cell r="K315">
            <v>863</v>
          </cell>
          <cell r="L315">
            <v>8</v>
          </cell>
          <cell r="M315">
            <v>0</v>
          </cell>
          <cell r="N315">
            <v>0</v>
          </cell>
          <cell r="O315">
            <v>8</v>
          </cell>
          <cell r="P315">
            <v>373</v>
          </cell>
          <cell r="Q315">
            <v>89</v>
          </cell>
          <cell r="R315">
            <v>284</v>
          </cell>
          <cell r="S315">
            <v>3982</v>
          </cell>
          <cell r="T315">
            <v>381</v>
          </cell>
        </row>
        <row r="316">
          <cell r="C316" t="str">
            <v>Census Tract 313.01, King County, Washington</v>
          </cell>
          <cell r="D316">
            <v>2659</v>
          </cell>
          <cell r="E316">
            <v>2484</v>
          </cell>
          <cell r="F316">
            <v>1504</v>
          </cell>
          <cell r="G316">
            <v>950</v>
          </cell>
          <cell r="H316">
            <v>114</v>
          </cell>
          <cell r="I316">
            <v>252</v>
          </cell>
          <cell r="J316">
            <v>56</v>
          </cell>
          <cell r="K316">
            <v>528</v>
          </cell>
          <cell r="L316">
            <v>30</v>
          </cell>
          <cell r="M316">
            <v>0</v>
          </cell>
          <cell r="N316">
            <v>0</v>
          </cell>
          <cell r="O316">
            <v>30</v>
          </cell>
          <cell r="P316">
            <v>175</v>
          </cell>
          <cell r="Q316">
            <v>110</v>
          </cell>
          <cell r="R316">
            <v>65</v>
          </cell>
          <cell r="S316">
            <v>2454</v>
          </cell>
          <cell r="T316">
            <v>205</v>
          </cell>
        </row>
        <row r="317">
          <cell r="C317" t="str">
            <v>Census Tract 313.02, King County, Washington</v>
          </cell>
          <cell r="D317">
            <v>4553</v>
          </cell>
          <cell r="E317">
            <v>4409</v>
          </cell>
          <cell r="F317">
            <v>2252</v>
          </cell>
          <cell r="G317">
            <v>2116</v>
          </cell>
          <cell r="H317">
            <v>262</v>
          </cell>
          <cell r="I317">
            <v>766</v>
          </cell>
          <cell r="J317">
            <v>177</v>
          </cell>
          <cell r="K317">
            <v>911</v>
          </cell>
          <cell r="L317">
            <v>41</v>
          </cell>
          <cell r="M317">
            <v>0</v>
          </cell>
          <cell r="N317">
            <v>0</v>
          </cell>
          <cell r="O317">
            <v>41</v>
          </cell>
          <cell r="P317">
            <v>144</v>
          </cell>
          <cell r="Q317">
            <v>48</v>
          </cell>
          <cell r="R317">
            <v>96</v>
          </cell>
          <cell r="S317">
            <v>4368</v>
          </cell>
          <cell r="T317">
            <v>185</v>
          </cell>
        </row>
        <row r="318">
          <cell r="C318" t="str">
            <v>Census Tract 314, King County, Washington</v>
          </cell>
          <cell r="D318">
            <v>6185</v>
          </cell>
          <cell r="E318">
            <v>5991</v>
          </cell>
          <cell r="F318">
            <v>3795</v>
          </cell>
          <cell r="G318">
            <v>2154</v>
          </cell>
          <cell r="H318">
            <v>218</v>
          </cell>
          <cell r="I318">
            <v>710</v>
          </cell>
          <cell r="J318">
            <v>320</v>
          </cell>
          <cell r="K318">
            <v>906</v>
          </cell>
          <cell r="L318">
            <v>42</v>
          </cell>
          <cell r="M318">
            <v>3</v>
          </cell>
          <cell r="N318">
            <v>7</v>
          </cell>
          <cell r="O318">
            <v>32</v>
          </cell>
          <cell r="P318">
            <v>194</v>
          </cell>
          <cell r="Q318">
            <v>154</v>
          </cell>
          <cell r="R318">
            <v>40</v>
          </cell>
          <cell r="S318">
            <v>5949</v>
          </cell>
          <cell r="T318">
            <v>236</v>
          </cell>
        </row>
        <row r="319">
          <cell r="C319" t="str">
            <v>Census Tract 315.01, King County, Washington</v>
          </cell>
          <cell r="D319">
            <v>3225</v>
          </cell>
          <cell r="E319">
            <v>3134</v>
          </cell>
          <cell r="F319">
            <v>2130</v>
          </cell>
          <cell r="G319">
            <v>972</v>
          </cell>
          <cell r="H319">
            <v>55</v>
          </cell>
          <cell r="I319">
            <v>362</v>
          </cell>
          <cell r="J319">
            <v>62</v>
          </cell>
          <cell r="K319">
            <v>493</v>
          </cell>
          <cell r="L319">
            <v>32</v>
          </cell>
          <cell r="M319">
            <v>0</v>
          </cell>
          <cell r="N319">
            <v>9</v>
          </cell>
          <cell r="O319">
            <v>23</v>
          </cell>
          <cell r="P319">
            <v>91</v>
          </cell>
          <cell r="Q319">
            <v>34</v>
          </cell>
          <cell r="R319">
            <v>57</v>
          </cell>
          <cell r="S319">
            <v>3102</v>
          </cell>
          <cell r="T319">
            <v>123</v>
          </cell>
        </row>
        <row r="320">
          <cell r="C320" t="str">
            <v>Census Tract 315.02, King County, Washington</v>
          </cell>
          <cell r="D320">
            <v>4034</v>
          </cell>
          <cell r="E320">
            <v>3902</v>
          </cell>
          <cell r="F320">
            <v>2391</v>
          </cell>
          <cell r="G320">
            <v>1474</v>
          </cell>
          <cell r="H320">
            <v>117</v>
          </cell>
          <cell r="I320">
            <v>554</v>
          </cell>
          <cell r="J320">
            <v>181</v>
          </cell>
          <cell r="K320">
            <v>622</v>
          </cell>
          <cell r="L320">
            <v>37</v>
          </cell>
          <cell r="M320">
            <v>0</v>
          </cell>
          <cell r="N320">
            <v>7</v>
          </cell>
          <cell r="O320">
            <v>30</v>
          </cell>
          <cell r="P320">
            <v>132</v>
          </cell>
          <cell r="Q320">
            <v>68</v>
          </cell>
          <cell r="R320">
            <v>64</v>
          </cell>
          <cell r="S320">
            <v>3865</v>
          </cell>
          <cell r="T320">
            <v>169</v>
          </cell>
        </row>
        <row r="321">
          <cell r="C321" t="str">
            <v>Census Tract 316.01, King County, Washington</v>
          </cell>
          <cell r="D321">
            <v>4353</v>
          </cell>
          <cell r="E321">
            <v>4252</v>
          </cell>
          <cell r="F321">
            <v>2428</v>
          </cell>
          <cell r="G321">
            <v>1812</v>
          </cell>
          <cell r="H321">
            <v>162</v>
          </cell>
          <cell r="I321">
            <v>485</v>
          </cell>
          <cell r="J321">
            <v>264</v>
          </cell>
          <cell r="K321">
            <v>901</v>
          </cell>
          <cell r="L321">
            <v>12</v>
          </cell>
          <cell r="M321">
            <v>0</v>
          </cell>
          <cell r="N321">
            <v>0</v>
          </cell>
          <cell r="O321">
            <v>12</v>
          </cell>
          <cell r="P321">
            <v>101</v>
          </cell>
          <cell r="Q321">
            <v>21</v>
          </cell>
          <cell r="R321">
            <v>80</v>
          </cell>
          <cell r="S321">
            <v>4240</v>
          </cell>
          <cell r="T321">
            <v>113</v>
          </cell>
        </row>
        <row r="322">
          <cell r="C322" t="str">
            <v>Census Tract 316.02, King County, Washington</v>
          </cell>
          <cell r="D322">
            <v>5553</v>
          </cell>
          <cell r="E322">
            <v>5333</v>
          </cell>
          <cell r="F322">
            <v>3386</v>
          </cell>
          <cell r="G322">
            <v>1895</v>
          </cell>
          <cell r="H322">
            <v>176</v>
          </cell>
          <cell r="I322">
            <v>595</v>
          </cell>
          <cell r="J322">
            <v>217</v>
          </cell>
          <cell r="K322">
            <v>907</v>
          </cell>
          <cell r="L322">
            <v>52</v>
          </cell>
          <cell r="M322">
            <v>0</v>
          </cell>
          <cell r="N322">
            <v>0</v>
          </cell>
          <cell r="O322">
            <v>52</v>
          </cell>
          <cell r="P322">
            <v>220</v>
          </cell>
          <cell r="Q322">
            <v>77</v>
          </cell>
          <cell r="R322">
            <v>143</v>
          </cell>
          <cell r="S322">
            <v>5281</v>
          </cell>
          <cell r="T322">
            <v>272</v>
          </cell>
        </row>
        <row r="323">
          <cell r="C323" t="str">
            <v>Census Tract 316.03, King County, Washington</v>
          </cell>
          <cell r="D323">
            <v>3352</v>
          </cell>
          <cell r="E323">
            <v>3184</v>
          </cell>
          <cell r="F323">
            <v>1831</v>
          </cell>
          <cell r="G323">
            <v>1336</v>
          </cell>
          <cell r="H323">
            <v>107</v>
          </cell>
          <cell r="I323">
            <v>290</v>
          </cell>
          <cell r="J323">
            <v>192</v>
          </cell>
          <cell r="K323">
            <v>747</v>
          </cell>
          <cell r="L323">
            <v>17</v>
          </cell>
          <cell r="M323">
            <v>0</v>
          </cell>
          <cell r="N323">
            <v>0</v>
          </cell>
          <cell r="O323">
            <v>17</v>
          </cell>
          <cell r="P323">
            <v>168</v>
          </cell>
          <cell r="Q323">
            <v>93</v>
          </cell>
          <cell r="R323">
            <v>75</v>
          </cell>
          <cell r="S323">
            <v>3167</v>
          </cell>
          <cell r="T323">
            <v>185</v>
          </cell>
        </row>
        <row r="324">
          <cell r="C324" t="str">
            <v>Census Tract 317.02, King County, Washington</v>
          </cell>
          <cell r="D324">
            <v>6307</v>
          </cell>
          <cell r="E324">
            <v>5963</v>
          </cell>
          <cell r="F324">
            <v>3419</v>
          </cell>
          <cell r="G324">
            <v>2416</v>
          </cell>
          <cell r="H324">
            <v>207</v>
          </cell>
          <cell r="I324">
            <v>562</v>
          </cell>
          <cell r="J324">
            <v>431</v>
          </cell>
          <cell r="K324">
            <v>1216</v>
          </cell>
          <cell r="L324">
            <v>128</v>
          </cell>
          <cell r="M324">
            <v>0</v>
          </cell>
          <cell r="N324">
            <v>0</v>
          </cell>
          <cell r="O324">
            <v>128</v>
          </cell>
          <cell r="P324">
            <v>344</v>
          </cell>
          <cell r="Q324">
            <v>225</v>
          </cell>
          <cell r="R324">
            <v>119</v>
          </cell>
          <cell r="S324">
            <v>5835</v>
          </cell>
          <cell r="T324">
            <v>472</v>
          </cell>
        </row>
        <row r="325">
          <cell r="C325" t="str">
            <v>Census Tract 317.03, King County, Washington</v>
          </cell>
          <cell r="D325">
            <v>6678</v>
          </cell>
          <cell r="E325">
            <v>6182</v>
          </cell>
          <cell r="F325">
            <v>3421</v>
          </cell>
          <cell r="G325">
            <v>2713</v>
          </cell>
          <cell r="H325">
            <v>179</v>
          </cell>
          <cell r="I325">
            <v>797</v>
          </cell>
          <cell r="J325">
            <v>347</v>
          </cell>
          <cell r="K325">
            <v>1390</v>
          </cell>
          <cell r="L325">
            <v>48</v>
          </cell>
          <cell r="M325">
            <v>0</v>
          </cell>
          <cell r="N325">
            <v>2</v>
          </cell>
          <cell r="O325">
            <v>46</v>
          </cell>
          <cell r="P325">
            <v>496</v>
          </cell>
          <cell r="Q325">
            <v>314</v>
          </cell>
          <cell r="R325">
            <v>182</v>
          </cell>
          <cell r="S325">
            <v>6134</v>
          </cell>
          <cell r="T325">
            <v>544</v>
          </cell>
        </row>
        <row r="326">
          <cell r="C326" t="str">
            <v>Census Tract 317.04, King County, Washington</v>
          </cell>
          <cell r="D326">
            <v>3903</v>
          </cell>
          <cell r="E326">
            <v>3500</v>
          </cell>
          <cell r="F326">
            <v>1927</v>
          </cell>
          <cell r="G326">
            <v>1553</v>
          </cell>
          <cell r="H326">
            <v>124</v>
          </cell>
          <cell r="I326">
            <v>404</v>
          </cell>
          <cell r="J326">
            <v>163</v>
          </cell>
          <cell r="K326">
            <v>862</v>
          </cell>
          <cell r="L326">
            <v>20</v>
          </cell>
          <cell r="M326">
            <v>0</v>
          </cell>
          <cell r="N326">
            <v>0</v>
          </cell>
          <cell r="O326">
            <v>20</v>
          </cell>
          <cell r="P326">
            <v>403</v>
          </cell>
          <cell r="Q326">
            <v>197</v>
          </cell>
          <cell r="R326">
            <v>206</v>
          </cell>
          <cell r="S326">
            <v>3480</v>
          </cell>
          <cell r="T326">
            <v>423</v>
          </cell>
        </row>
        <row r="327">
          <cell r="C327" t="str">
            <v>Census Tract 318, King County, Washington</v>
          </cell>
          <cell r="D327">
            <v>3943</v>
          </cell>
          <cell r="E327">
            <v>3687</v>
          </cell>
          <cell r="F327">
            <v>1994</v>
          </cell>
          <cell r="G327">
            <v>1629</v>
          </cell>
          <cell r="H327">
            <v>128</v>
          </cell>
          <cell r="I327">
            <v>591</v>
          </cell>
          <cell r="J327">
            <v>169</v>
          </cell>
          <cell r="K327">
            <v>741</v>
          </cell>
          <cell r="L327">
            <v>64</v>
          </cell>
          <cell r="M327">
            <v>0</v>
          </cell>
          <cell r="N327">
            <v>28</v>
          </cell>
          <cell r="O327">
            <v>36</v>
          </cell>
          <cell r="P327">
            <v>256</v>
          </cell>
          <cell r="Q327">
            <v>176</v>
          </cell>
          <cell r="R327">
            <v>80</v>
          </cell>
          <cell r="S327">
            <v>3623</v>
          </cell>
          <cell r="T327">
            <v>320</v>
          </cell>
        </row>
        <row r="328">
          <cell r="C328" t="str">
            <v>Census Tract 319.03, King County, Washington</v>
          </cell>
          <cell r="D328">
            <v>6003</v>
          </cell>
          <cell r="E328">
            <v>5700</v>
          </cell>
          <cell r="F328">
            <v>3692</v>
          </cell>
          <cell r="G328">
            <v>1960</v>
          </cell>
          <cell r="H328">
            <v>208</v>
          </cell>
          <cell r="I328">
            <v>483</v>
          </cell>
          <cell r="J328">
            <v>269</v>
          </cell>
          <cell r="K328">
            <v>1000</v>
          </cell>
          <cell r="L328">
            <v>48</v>
          </cell>
          <cell r="M328">
            <v>0</v>
          </cell>
          <cell r="N328">
            <v>0</v>
          </cell>
          <cell r="O328">
            <v>48</v>
          </cell>
          <cell r="P328">
            <v>303</v>
          </cell>
          <cell r="Q328">
            <v>130</v>
          </cell>
          <cell r="R328">
            <v>173</v>
          </cell>
          <cell r="S328">
            <v>5652</v>
          </cell>
          <cell r="T328">
            <v>351</v>
          </cell>
        </row>
        <row r="329">
          <cell r="C329" t="str">
            <v>Census Tract 319.04, King County, Washington</v>
          </cell>
          <cell r="D329">
            <v>3524</v>
          </cell>
          <cell r="E329">
            <v>3379</v>
          </cell>
          <cell r="F329">
            <v>2110</v>
          </cell>
          <cell r="G329">
            <v>1257</v>
          </cell>
          <cell r="H329">
            <v>106</v>
          </cell>
          <cell r="I329">
            <v>439</v>
          </cell>
          <cell r="J329">
            <v>125</v>
          </cell>
          <cell r="K329">
            <v>587</v>
          </cell>
          <cell r="L329">
            <v>12</v>
          </cell>
          <cell r="M329">
            <v>0</v>
          </cell>
          <cell r="N329">
            <v>0</v>
          </cell>
          <cell r="O329">
            <v>12</v>
          </cell>
          <cell r="P329">
            <v>145</v>
          </cell>
          <cell r="Q329">
            <v>103</v>
          </cell>
          <cell r="R329">
            <v>42</v>
          </cell>
          <cell r="S329">
            <v>3367</v>
          </cell>
          <cell r="T329">
            <v>157</v>
          </cell>
        </row>
        <row r="330">
          <cell r="C330" t="str">
            <v>Census Tract 319.06, King County, Washington</v>
          </cell>
          <cell r="D330">
            <v>2670</v>
          </cell>
          <cell r="E330">
            <v>2528</v>
          </cell>
          <cell r="F330">
            <v>1459</v>
          </cell>
          <cell r="G330">
            <v>1063</v>
          </cell>
          <cell r="H330">
            <v>72</v>
          </cell>
          <cell r="I330">
            <v>322</v>
          </cell>
          <cell r="J330">
            <v>189</v>
          </cell>
          <cell r="K330">
            <v>480</v>
          </cell>
          <cell r="L330">
            <v>6</v>
          </cell>
          <cell r="M330">
            <v>0</v>
          </cell>
          <cell r="N330">
            <v>0</v>
          </cell>
          <cell r="O330">
            <v>6</v>
          </cell>
          <cell r="P330">
            <v>142</v>
          </cell>
          <cell r="Q330">
            <v>97</v>
          </cell>
          <cell r="R330">
            <v>45</v>
          </cell>
          <cell r="S330">
            <v>2522</v>
          </cell>
          <cell r="T330">
            <v>148</v>
          </cell>
        </row>
        <row r="331">
          <cell r="C331" t="str">
            <v>Census Tract 319.07, King County, Washington</v>
          </cell>
          <cell r="D331">
            <v>5686</v>
          </cell>
          <cell r="E331">
            <v>4847</v>
          </cell>
          <cell r="F331">
            <v>2534</v>
          </cell>
          <cell r="G331">
            <v>2235</v>
          </cell>
          <cell r="H331">
            <v>219</v>
          </cell>
          <cell r="I331">
            <v>574</v>
          </cell>
          <cell r="J331">
            <v>373</v>
          </cell>
          <cell r="K331">
            <v>1069</v>
          </cell>
          <cell r="L331">
            <v>78</v>
          </cell>
          <cell r="M331">
            <v>0</v>
          </cell>
          <cell r="N331">
            <v>10</v>
          </cell>
          <cell r="O331">
            <v>68</v>
          </cell>
          <cell r="P331">
            <v>839</v>
          </cell>
          <cell r="Q331">
            <v>541</v>
          </cell>
          <cell r="R331">
            <v>298</v>
          </cell>
          <cell r="S331">
            <v>4769</v>
          </cell>
          <cell r="T331">
            <v>917</v>
          </cell>
        </row>
        <row r="332">
          <cell r="C332" t="str">
            <v>Census Tract 319.08, King County, Washington</v>
          </cell>
          <cell r="D332">
            <v>4419</v>
          </cell>
          <cell r="E332">
            <v>3909</v>
          </cell>
          <cell r="F332">
            <v>2194</v>
          </cell>
          <cell r="G332">
            <v>1660</v>
          </cell>
          <cell r="H332">
            <v>116</v>
          </cell>
          <cell r="I332">
            <v>481</v>
          </cell>
          <cell r="J332">
            <v>333</v>
          </cell>
          <cell r="K332">
            <v>730</v>
          </cell>
          <cell r="L332">
            <v>55</v>
          </cell>
          <cell r="M332">
            <v>0</v>
          </cell>
          <cell r="N332">
            <v>0</v>
          </cell>
          <cell r="O332">
            <v>55</v>
          </cell>
          <cell r="P332">
            <v>510</v>
          </cell>
          <cell r="Q332">
            <v>171</v>
          </cell>
          <cell r="R332">
            <v>339</v>
          </cell>
          <cell r="S332">
            <v>3854</v>
          </cell>
          <cell r="T332">
            <v>565</v>
          </cell>
        </row>
        <row r="333">
          <cell r="C333" t="str">
            <v>Census Tract 319.09, King County, Washington</v>
          </cell>
          <cell r="D333">
            <v>2764</v>
          </cell>
          <cell r="E333">
            <v>2446</v>
          </cell>
          <cell r="F333">
            <v>1444</v>
          </cell>
          <cell r="G333">
            <v>960</v>
          </cell>
          <cell r="H333">
            <v>122</v>
          </cell>
          <cell r="I333">
            <v>297</v>
          </cell>
          <cell r="J333">
            <v>126</v>
          </cell>
          <cell r="K333">
            <v>415</v>
          </cell>
          <cell r="L333">
            <v>42</v>
          </cell>
          <cell r="M333">
            <v>0</v>
          </cell>
          <cell r="N333">
            <v>0</v>
          </cell>
          <cell r="O333">
            <v>42</v>
          </cell>
          <cell r="P333">
            <v>318</v>
          </cell>
          <cell r="Q333">
            <v>219</v>
          </cell>
          <cell r="R333">
            <v>99</v>
          </cell>
          <cell r="S333">
            <v>2404</v>
          </cell>
          <cell r="T333">
            <v>360</v>
          </cell>
        </row>
        <row r="334">
          <cell r="C334" t="str">
            <v>Census Tract 320.02, King County, Washington</v>
          </cell>
          <cell r="D334">
            <v>3038</v>
          </cell>
          <cell r="E334">
            <v>2875</v>
          </cell>
          <cell r="F334">
            <v>1708</v>
          </cell>
          <cell r="G334">
            <v>1146</v>
          </cell>
          <cell r="H334">
            <v>131</v>
          </cell>
          <cell r="I334">
            <v>390</v>
          </cell>
          <cell r="J334">
            <v>181</v>
          </cell>
          <cell r="K334">
            <v>444</v>
          </cell>
          <cell r="L334">
            <v>21</v>
          </cell>
          <cell r="M334">
            <v>0</v>
          </cell>
          <cell r="N334">
            <v>0</v>
          </cell>
          <cell r="O334">
            <v>21</v>
          </cell>
          <cell r="P334">
            <v>163</v>
          </cell>
          <cell r="Q334">
            <v>66</v>
          </cell>
          <cell r="R334">
            <v>97</v>
          </cell>
          <cell r="S334">
            <v>2854</v>
          </cell>
          <cell r="T334">
            <v>184</v>
          </cell>
        </row>
        <row r="335">
          <cell r="C335" t="str">
            <v>Census Tract 320.03, King County, Washington</v>
          </cell>
          <cell r="D335">
            <v>4669</v>
          </cell>
          <cell r="E335">
            <v>4471</v>
          </cell>
          <cell r="F335">
            <v>2538</v>
          </cell>
          <cell r="G335">
            <v>1889</v>
          </cell>
          <cell r="H335">
            <v>201</v>
          </cell>
          <cell r="I335">
            <v>598</v>
          </cell>
          <cell r="J335">
            <v>222</v>
          </cell>
          <cell r="K335">
            <v>868</v>
          </cell>
          <cell r="L335">
            <v>44</v>
          </cell>
          <cell r="M335">
            <v>0</v>
          </cell>
          <cell r="N335">
            <v>0</v>
          </cell>
          <cell r="O335">
            <v>44</v>
          </cell>
          <cell r="P335">
            <v>198</v>
          </cell>
          <cell r="Q335">
            <v>168</v>
          </cell>
          <cell r="R335">
            <v>30</v>
          </cell>
          <cell r="S335">
            <v>4427</v>
          </cell>
          <cell r="T335">
            <v>242</v>
          </cell>
        </row>
        <row r="336">
          <cell r="C336" t="str">
            <v>Census Tract 320.05, King County, Washington</v>
          </cell>
          <cell r="D336">
            <v>7100</v>
          </cell>
          <cell r="E336">
            <v>6742</v>
          </cell>
          <cell r="F336">
            <v>3687</v>
          </cell>
          <cell r="G336">
            <v>2934</v>
          </cell>
          <cell r="H336">
            <v>237</v>
          </cell>
          <cell r="I336">
            <v>783</v>
          </cell>
          <cell r="J336">
            <v>490</v>
          </cell>
          <cell r="K336">
            <v>1424</v>
          </cell>
          <cell r="L336">
            <v>121</v>
          </cell>
          <cell r="M336">
            <v>0</v>
          </cell>
          <cell r="N336">
            <v>16</v>
          </cell>
          <cell r="O336">
            <v>105</v>
          </cell>
          <cell r="P336">
            <v>358</v>
          </cell>
          <cell r="Q336">
            <v>222</v>
          </cell>
          <cell r="R336">
            <v>136</v>
          </cell>
          <cell r="S336">
            <v>6621</v>
          </cell>
          <cell r="T336">
            <v>479</v>
          </cell>
        </row>
        <row r="337">
          <cell r="C337" t="str">
            <v>Census Tract 320.06, King County, Washington</v>
          </cell>
          <cell r="D337">
            <v>4097</v>
          </cell>
          <cell r="E337">
            <v>3914</v>
          </cell>
          <cell r="F337">
            <v>1949</v>
          </cell>
          <cell r="G337">
            <v>1960</v>
          </cell>
          <cell r="H337">
            <v>190</v>
          </cell>
          <cell r="I337">
            <v>507</v>
          </cell>
          <cell r="J337">
            <v>354</v>
          </cell>
          <cell r="K337">
            <v>909</v>
          </cell>
          <cell r="L337">
            <v>5</v>
          </cell>
          <cell r="M337">
            <v>0</v>
          </cell>
          <cell r="N337">
            <v>0</v>
          </cell>
          <cell r="O337">
            <v>5</v>
          </cell>
          <cell r="P337">
            <v>183</v>
          </cell>
          <cell r="Q337">
            <v>128</v>
          </cell>
          <cell r="R337">
            <v>55</v>
          </cell>
          <cell r="S337">
            <v>3909</v>
          </cell>
          <cell r="T337">
            <v>188</v>
          </cell>
        </row>
        <row r="338">
          <cell r="C338" t="str">
            <v>Census Tract 320.07, King County, Washington</v>
          </cell>
          <cell r="D338">
            <v>3206</v>
          </cell>
          <cell r="E338">
            <v>3015</v>
          </cell>
          <cell r="F338">
            <v>1750</v>
          </cell>
          <cell r="G338">
            <v>1226</v>
          </cell>
          <cell r="H338">
            <v>85</v>
          </cell>
          <cell r="I338">
            <v>276</v>
          </cell>
          <cell r="J338">
            <v>226</v>
          </cell>
          <cell r="K338">
            <v>639</v>
          </cell>
          <cell r="L338">
            <v>39</v>
          </cell>
          <cell r="M338">
            <v>0</v>
          </cell>
          <cell r="N338">
            <v>0</v>
          </cell>
          <cell r="O338">
            <v>39</v>
          </cell>
          <cell r="P338">
            <v>191</v>
          </cell>
          <cell r="Q338">
            <v>99</v>
          </cell>
          <cell r="R338">
            <v>92</v>
          </cell>
          <cell r="S338">
            <v>2976</v>
          </cell>
          <cell r="T338">
            <v>230</v>
          </cell>
        </row>
        <row r="339">
          <cell r="C339" t="str">
            <v>Census Tract 320.08, King County, Washington</v>
          </cell>
          <cell r="D339">
            <v>4148</v>
          </cell>
          <cell r="E339">
            <v>4006</v>
          </cell>
          <cell r="F339">
            <v>2051</v>
          </cell>
          <cell r="G339">
            <v>1920</v>
          </cell>
          <cell r="H339">
            <v>182</v>
          </cell>
          <cell r="I339">
            <v>513</v>
          </cell>
          <cell r="J339">
            <v>314</v>
          </cell>
          <cell r="K339">
            <v>911</v>
          </cell>
          <cell r="L339">
            <v>35</v>
          </cell>
          <cell r="M339">
            <v>0</v>
          </cell>
          <cell r="N339">
            <v>0</v>
          </cell>
          <cell r="O339">
            <v>35</v>
          </cell>
          <cell r="P339">
            <v>142</v>
          </cell>
          <cell r="Q339">
            <v>77</v>
          </cell>
          <cell r="R339">
            <v>65</v>
          </cell>
          <cell r="S339">
            <v>3971</v>
          </cell>
          <cell r="T339">
            <v>177</v>
          </cell>
        </row>
        <row r="340">
          <cell r="C340" t="str">
            <v>Census Tract 320.09, King County, Washington</v>
          </cell>
          <cell r="D340">
            <v>5592</v>
          </cell>
          <cell r="E340">
            <v>5378</v>
          </cell>
          <cell r="F340">
            <v>2963</v>
          </cell>
          <cell r="G340">
            <v>2339</v>
          </cell>
          <cell r="H340">
            <v>359</v>
          </cell>
          <cell r="I340">
            <v>611</v>
          </cell>
          <cell r="J340">
            <v>223</v>
          </cell>
          <cell r="K340">
            <v>1146</v>
          </cell>
          <cell r="L340">
            <v>76</v>
          </cell>
          <cell r="M340">
            <v>0</v>
          </cell>
          <cell r="N340">
            <v>0</v>
          </cell>
          <cell r="O340">
            <v>76</v>
          </cell>
          <cell r="P340">
            <v>214</v>
          </cell>
          <cell r="Q340">
            <v>149</v>
          </cell>
          <cell r="R340">
            <v>65</v>
          </cell>
          <cell r="S340">
            <v>5302</v>
          </cell>
          <cell r="T340">
            <v>290</v>
          </cell>
        </row>
        <row r="341">
          <cell r="C341" t="str">
            <v>Census Tract 321.02, King County, Washington</v>
          </cell>
          <cell r="D341">
            <v>4566</v>
          </cell>
          <cell r="E341">
            <v>4357</v>
          </cell>
          <cell r="F341">
            <v>2131</v>
          </cell>
          <cell r="G341">
            <v>2160</v>
          </cell>
          <cell r="H341">
            <v>300</v>
          </cell>
          <cell r="I341">
            <v>669</v>
          </cell>
          <cell r="J341">
            <v>269</v>
          </cell>
          <cell r="K341">
            <v>922</v>
          </cell>
          <cell r="L341">
            <v>66</v>
          </cell>
          <cell r="M341">
            <v>0</v>
          </cell>
          <cell r="N341">
            <v>8</v>
          </cell>
          <cell r="O341">
            <v>58</v>
          </cell>
          <cell r="P341">
            <v>209</v>
          </cell>
          <cell r="Q341">
            <v>119</v>
          </cell>
          <cell r="R341">
            <v>90</v>
          </cell>
          <cell r="S341">
            <v>4291</v>
          </cell>
          <cell r="T341">
            <v>275</v>
          </cell>
        </row>
        <row r="342">
          <cell r="C342" t="str">
            <v>Census Tract 321.03, King County, Washington</v>
          </cell>
          <cell r="D342">
            <v>4452</v>
          </cell>
          <cell r="E342">
            <v>3890</v>
          </cell>
          <cell r="F342">
            <v>1570</v>
          </cell>
          <cell r="G342">
            <v>2271</v>
          </cell>
          <cell r="H342">
            <v>303</v>
          </cell>
          <cell r="I342">
            <v>683</v>
          </cell>
          <cell r="J342">
            <v>274</v>
          </cell>
          <cell r="K342">
            <v>1011</v>
          </cell>
          <cell r="L342">
            <v>49</v>
          </cell>
          <cell r="M342">
            <v>0</v>
          </cell>
          <cell r="N342">
            <v>0</v>
          </cell>
          <cell r="O342">
            <v>49</v>
          </cell>
          <cell r="P342">
            <v>562</v>
          </cell>
          <cell r="Q342">
            <v>241</v>
          </cell>
          <cell r="R342">
            <v>321</v>
          </cell>
          <cell r="S342">
            <v>3841</v>
          </cell>
          <cell r="T342">
            <v>611</v>
          </cell>
        </row>
        <row r="343">
          <cell r="C343" t="str">
            <v>Census Tract 321.04, King County, Washington</v>
          </cell>
          <cell r="D343">
            <v>5981</v>
          </cell>
          <cell r="E343">
            <v>5528</v>
          </cell>
          <cell r="F343">
            <v>2314</v>
          </cell>
          <cell r="G343">
            <v>3142</v>
          </cell>
          <cell r="H343">
            <v>347</v>
          </cell>
          <cell r="I343">
            <v>869</v>
          </cell>
          <cell r="J343">
            <v>435</v>
          </cell>
          <cell r="K343">
            <v>1491</v>
          </cell>
          <cell r="L343">
            <v>72</v>
          </cell>
          <cell r="M343">
            <v>0</v>
          </cell>
          <cell r="N343">
            <v>9</v>
          </cell>
          <cell r="O343">
            <v>63</v>
          </cell>
          <cell r="P343">
            <v>453</v>
          </cell>
          <cell r="Q343">
            <v>278</v>
          </cell>
          <cell r="R343">
            <v>175</v>
          </cell>
          <cell r="S343">
            <v>5456</v>
          </cell>
          <cell r="T343">
            <v>525</v>
          </cell>
        </row>
        <row r="344">
          <cell r="C344" t="str">
            <v>Census Tract 322.03, King County, Washington</v>
          </cell>
          <cell r="D344">
            <v>5104</v>
          </cell>
          <cell r="E344">
            <v>4779</v>
          </cell>
          <cell r="F344">
            <v>2297</v>
          </cell>
          <cell r="G344">
            <v>2424</v>
          </cell>
          <cell r="H344">
            <v>342</v>
          </cell>
          <cell r="I344">
            <v>656</v>
          </cell>
          <cell r="J344">
            <v>194</v>
          </cell>
          <cell r="K344">
            <v>1232</v>
          </cell>
          <cell r="L344">
            <v>58</v>
          </cell>
          <cell r="M344">
            <v>9</v>
          </cell>
          <cell r="N344">
            <v>0</v>
          </cell>
          <cell r="O344">
            <v>49</v>
          </cell>
          <cell r="P344">
            <v>325</v>
          </cell>
          <cell r="Q344">
            <v>149</v>
          </cell>
          <cell r="R344">
            <v>176</v>
          </cell>
          <cell r="S344">
            <v>4721</v>
          </cell>
          <cell r="T344">
            <v>383</v>
          </cell>
        </row>
        <row r="345">
          <cell r="C345" t="str">
            <v>Census Tract 322.07, King County, Washington</v>
          </cell>
          <cell r="D345">
            <v>2869</v>
          </cell>
          <cell r="E345">
            <v>2682</v>
          </cell>
          <cell r="F345">
            <v>1232</v>
          </cell>
          <cell r="G345">
            <v>1432</v>
          </cell>
          <cell r="H345">
            <v>149</v>
          </cell>
          <cell r="I345">
            <v>399</v>
          </cell>
          <cell r="J345">
            <v>195</v>
          </cell>
          <cell r="K345">
            <v>689</v>
          </cell>
          <cell r="L345">
            <v>18</v>
          </cell>
          <cell r="M345">
            <v>0</v>
          </cell>
          <cell r="N345">
            <v>0</v>
          </cell>
          <cell r="O345">
            <v>18</v>
          </cell>
          <cell r="P345">
            <v>187</v>
          </cell>
          <cell r="Q345">
            <v>79</v>
          </cell>
          <cell r="R345">
            <v>108</v>
          </cell>
          <cell r="S345">
            <v>2664</v>
          </cell>
          <cell r="T345">
            <v>205</v>
          </cell>
        </row>
        <row r="346">
          <cell r="C346" t="str">
            <v>Census Tract 322.08, King County, Washington</v>
          </cell>
          <cell r="D346">
            <v>4356</v>
          </cell>
          <cell r="E346">
            <v>3956</v>
          </cell>
          <cell r="F346">
            <v>1432</v>
          </cell>
          <cell r="G346">
            <v>2474</v>
          </cell>
          <cell r="H346">
            <v>268</v>
          </cell>
          <cell r="I346">
            <v>880</v>
          </cell>
          <cell r="J346">
            <v>336</v>
          </cell>
          <cell r="K346">
            <v>990</v>
          </cell>
          <cell r="L346">
            <v>50</v>
          </cell>
          <cell r="M346">
            <v>0</v>
          </cell>
          <cell r="N346">
            <v>0</v>
          </cell>
          <cell r="O346">
            <v>50</v>
          </cell>
          <cell r="P346">
            <v>400</v>
          </cell>
          <cell r="Q346">
            <v>232</v>
          </cell>
          <cell r="R346">
            <v>168</v>
          </cell>
          <cell r="S346">
            <v>3906</v>
          </cell>
          <cell r="T346">
            <v>450</v>
          </cell>
        </row>
        <row r="347">
          <cell r="C347" t="str">
            <v>Census Tract 322.09, King County, Washington</v>
          </cell>
          <cell r="D347">
            <v>7872</v>
          </cell>
          <cell r="E347">
            <v>7006</v>
          </cell>
          <cell r="F347">
            <v>3148</v>
          </cell>
          <cell r="G347">
            <v>3752</v>
          </cell>
          <cell r="H347">
            <v>693</v>
          </cell>
          <cell r="I347">
            <v>965</v>
          </cell>
          <cell r="J347">
            <v>511</v>
          </cell>
          <cell r="K347">
            <v>1583</v>
          </cell>
          <cell r="L347">
            <v>106</v>
          </cell>
          <cell r="M347">
            <v>7</v>
          </cell>
          <cell r="N347">
            <v>9</v>
          </cell>
          <cell r="O347">
            <v>90</v>
          </cell>
          <cell r="P347">
            <v>866</v>
          </cell>
          <cell r="Q347">
            <v>281</v>
          </cell>
          <cell r="R347">
            <v>585</v>
          </cell>
          <cell r="S347">
            <v>6900</v>
          </cell>
          <cell r="T347">
            <v>972</v>
          </cell>
        </row>
        <row r="348">
          <cell r="C348" t="str">
            <v>Census Tract 322.10, King County, Washington</v>
          </cell>
          <cell r="D348">
            <v>2059</v>
          </cell>
          <cell r="E348">
            <v>1952</v>
          </cell>
          <cell r="F348">
            <v>940</v>
          </cell>
          <cell r="G348">
            <v>983</v>
          </cell>
          <cell r="H348">
            <v>157</v>
          </cell>
          <cell r="I348">
            <v>290</v>
          </cell>
          <cell r="J348">
            <v>84</v>
          </cell>
          <cell r="K348">
            <v>452</v>
          </cell>
          <cell r="L348">
            <v>29</v>
          </cell>
          <cell r="M348">
            <v>0</v>
          </cell>
          <cell r="N348">
            <v>0</v>
          </cell>
          <cell r="O348">
            <v>29</v>
          </cell>
          <cell r="P348">
            <v>107</v>
          </cell>
          <cell r="Q348">
            <v>57</v>
          </cell>
          <cell r="R348">
            <v>50</v>
          </cell>
          <cell r="S348">
            <v>1923</v>
          </cell>
          <cell r="T348">
            <v>136</v>
          </cell>
        </row>
        <row r="349">
          <cell r="C349" t="str">
            <v>Census Tract 322.11, King County, Washington</v>
          </cell>
          <cell r="D349">
            <v>5002</v>
          </cell>
          <cell r="E349">
            <v>4240</v>
          </cell>
          <cell r="F349">
            <v>1606</v>
          </cell>
          <cell r="G349">
            <v>2578</v>
          </cell>
          <cell r="H349">
            <v>494</v>
          </cell>
          <cell r="I349">
            <v>563</v>
          </cell>
          <cell r="J349">
            <v>296</v>
          </cell>
          <cell r="K349">
            <v>1225</v>
          </cell>
          <cell r="L349">
            <v>56</v>
          </cell>
          <cell r="M349">
            <v>5</v>
          </cell>
          <cell r="N349">
            <v>0</v>
          </cell>
          <cell r="O349">
            <v>51</v>
          </cell>
          <cell r="P349">
            <v>762</v>
          </cell>
          <cell r="Q349">
            <v>381</v>
          </cell>
          <cell r="R349">
            <v>381</v>
          </cell>
          <cell r="S349">
            <v>4184</v>
          </cell>
          <cell r="T349">
            <v>818</v>
          </cell>
        </row>
        <row r="350">
          <cell r="C350" t="str">
            <v>Census Tract 322.12, King County, Washington</v>
          </cell>
          <cell r="D350">
            <v>7976</v>
          </cell>
          <cell r="E350">
            <v>6734</v>
          </cell>
          <cell r="F350">
            <v>2887</v>
          </cell>
          <cell r="G350">
            <v>3754</v>
          </cell>
          <cell r="H350">
            <v>426</v>
          </cell>
          <cell r="I350">
            <v>919</v>
          </cell>
          <cell r="J350">
            <v>609</v>
          </cell>
          <cell r="K350">
            <v>1800</v>
          </cell>
          <cell r="L350">
            <v>93</v>
          </cell>
          <cell r="M350">
            <v>9</v>
          </cell>
          <cell r="N350">
            <v>0</v>
          </cell>
          <cell r="O350">
            <v>84</v>
          </cell>
          <cell r="P350">
            <v>1242</v>
          </cell>
          <cell r="Q350">
            <v>382</v>
          </cell>
          <cell r="R350">
            <v>860</v>
          </cell>
          <cell r="S350">
            <v>6641</v>
          </cell>
          <cell r="T350">
            <v>1335</v>
          </cell>
        </row>
        <row r="351">
          <cell r="C351" t="str">
            <v>Census Tract 323.07, King County, Washington</v>
          </cell>
          <cell r="D351">
            <v>6771</v>
          </cell>
          <cell r="E351">
            <v>6413</v>
          </cell>
          <cell r="F351">
            <v>2849</v>
          </cell>
          <cell r="G351">
            <v>3485</v>
          </cell>
          <cell r="H351">
            <v>436</v>
          </cell>
          <cell r="I351">
            <v>891</v>
          </cell>
          <cell r="J351">
            <v>487</v>
          </cell>
          <cell r="K351">
            <v>1671</v>
          </cell>
          <cell r="L351">
            <v>79</v>
          </cell>
          <cell r="M351">
            <v>25</v>
          </cell>
          <cell r="N351">
            <v>0</v>
          </cell>
          <cell r="O351">
            <v>54</v>
          </cell>
          <cell r="P351">
            <v>358</v>
          </cell>
          <cell r="Q351">
            <v>205</v>
          </cell>
          <cell r="R351">
            <v>153</v>
          </cell>
          <cell r="S351">
            <v>6334</v>
          </cell>
          <cell r="T351">
            <v>437</v>
          </cell>
        </row>
        <row r="352">
          <cell r="C352" t="str">
            <v>Census Tract 323.09, King County, Washington</v>
          </cell>
          <cell r="D352">
            <v>3642</v>
          </cell>
          <cell r="E352">
            <v>2949</v>
          </cell>
          <cell r="F352">
            <v>966</v>
          </cell>
          <cell r="G352">
            <v>1923</v>
          </cell>
          <cell r="H352">
            <v>199</v>
          </cell>
          <cell r="I352">
            <v>605</v>
          </cell>
          <cell r="J352">
            <v>319</v>
          </cell>
          <cell r="K352">
            <v>800</v>
          </cell>
          <cell r="L352">
            <v>60</v>
          </cell>
          <cell r="M352">
            <v>9</v>
          </cell>
          <cell r="N352">
            <v>6</v>
          </cell>
          <cell r="O352">
            <v>45</v>
          </cell>
          <cell r="P352">
            <v>693</v>
          </cell>
          <cell r="Q352">
            <v>180</v>
          </cell>
          <cell r="R352">
            <v>513</v>
          </cell>
          <cell r="S352">
            <v>2889</v>
          </cell>
          <cell r="T352">
            <v>753</v>
          </cell>
        </row>
        <row r="353">
          <cell r="C353" t="str">
            <v>Census Tract 323.11, King County, Washington</v>
          </cell>
          <cell r="D353">
            <v>6130</v>
          </cell>
          <cell r="E353">
            <v>5727</v>
          </cell>
          <cell r="F353">
            <v>2832</v>
          </cell>
          <cell r="G353">
            <v>2836</v>
          </cell>
          <cell r="H353">
            <v>343</v>
          </cell>
          <cell r="I353">
            <v>824</v>
          </cell>
          <cell r="J353">
            <v>482</v>
          </cell>
          <cell r="K353">
            <v>1187</v>
          </cell>
          <cell r="L353">
            <v>59</v>
          </cell>
          <cell r="M353">
            <v>0</v>
          </cell>
          <cell r="N353">
            <v>0</v>
          </cell>
          <cell r="O353">
            <v>59</v>
          </cell>
          <cell r="P353">
            <v>403</v>
          </cell>
          <cell r="Q353">
            <v>225</v>
          </cell>
          <cell r="R353">
            <v>178</v>
          </cell>
          <cell r="S353">
            <v>5668</v>
          </cell>
          <cell r="T353">
            <v>462</v>
          </cell>
        </row>
        <row r="354">
          <cell r="C354" t="str">
            <v>Census Tract 323.12, King County, Washington</v>
          </cell>
          <cell r="D354">
            <v>5135</v>
          </cell>
          <cell r="E354">
            <v>4589</v>
          </cell>
          <cell r="F354">
            <v>2071</v>
          </cell>
          <cell r="G354">
            <v>2470</v>
          </cell>
          <cell r="H354">
            <v>443</v>
          </cell>
          <cell r="I354">
            <v>628</v>
          </cell>
          <cell r="J354">
            <v>269</v>
          </cell>
          <cell r="K354">
            <v>1130</v>
          </cell>
          <cell r="L354">
            <v>48</v>
          </cell>
          <cell r="M354">
            <v>0</v>
          </cell>
          <cell r="N354">
            <v>0</v>
          </cell>
          <cell r="O354">
            <v>48</v>
          </cell>
          <cell r="P354">
            <v>546</v>
          </cell>
          <cell r="Q354">
            <v>197</v>
          </cell>
          <cell r="R354">
            <v>349</v>
          </cell>
          <cell r="S354">
            <v>4541</v>
          </cell>
          <cell r="T354">
            <v>594</v>
          </cell>
        </row>
        <row r="355">
          <cell r="C355" t="str">
            <v>Census Tract 323.13, King County, Washington</v>
          </cell>
          <cell r="D355">
            <v>3709</v>
          </cell>
          <cell r="E355">
            <v>2943</v>
          </cell>
          <cell r="F355">
            <v>1331</v>
          </cell>
          <cell r="G355">
            <v>1578</v>
          </cell>
          <cell r="H355">
            <v>180</v>
          </cell>
          <cell r="I355">
            <v>412</v>
          </cell>
          <cell r="J355">
            <v>222</v>
          </cell>
          <cell r="K355">
            <v>764</v>
          </cell>
          <cell r="L355">
            <v>34</v>
          </cell>
          <cell r="M355">
            <v>0</v>
          </cell>
          <cell r="N355">
            <v>0</v>
          </cell>
          <cell r="O355">
            <v>34</v>
          </cell>
          <cell r="P355">
            <v>766</v>
          </cell>
          <cell r="Q355">
            <v>137</v>
          </cell>
          <cell r="R355">
            <v>629</v>
          </cell>
          <cell r="S355">
            <v>2909</v>
          </cell>
          <cell r="T355">
            <v>800</v>
          </cell>
        </row>
        <row r="356">
          <cell r="C356" t="str">
            <v>Census Tract 323.14, King County, Washington</v>
          </cell>
          <cell r="D356">
            <v>4634</v>
          </cell>
          <cell r="E356">
            <v>4215</v>
          </cell>
          <cell r="F356">
            <v>1962</v>
          </cell>
          <cell r="G356">
            <v>2193</v>
          </cell>
          <cell r="H356">
            <v>260</v>
          </cell>
          <cell r="I356">
            <v>491</v>
          </cell>
          <cell r="J356">
            <v>323</v>
          </cell>
          <cell r="K356">
            <v>1119</v>
          </cell>
          <cell r="L356">
            <v>60</v>
          </cell>
          <cell r="M356">
            <v>0</v>
          </cell>
          <cell r="N356">
            <v>0</v>
          </cell>
          <cell r="O356">
            <v>60</v>
          </cell>
          <cell r="P356">
            <v>419</v>
          </cell>
          <cell r="Q356">
            <v>193</v>
          </cell>
          <cell r="R356">
            <v>226</v>
          </cell>
          <cell r="S356">
            <v>4155</v>
          </cell>
          <cell r="T356">
            <v>479</v>
          </cell>
        </row>
        <row r="357">
          <cell r="C357" t="str">
            <v>Census Tract 323.15, King County, Washington</v>
          </cell>
          <cell r="D357">
            <v>5016</v>
          </cell>
          <cell r="E357">
            <v>4540</v>
          </cell>
          <cell r="F357">
            <v>2242</v>
          </cell>
          <cell r="G357">
            <v>2267</v>
          </cell>
          <cell r="H357">
            <v>264</v>
          </cell>
          <cell r="I357">
            <v>552</v>
          </cell>
          <cell r="J357">
            <v>285</v>
          </cell>
          <cell r="K357">
            <v>1166</v>
          </cell>
          <cell r="L357">
            <v>31</v>
          </cell>
          <cell r="M357">
            <v>0</v>
          </cell>
          <cell r="N357">
            <v>0</v>
          </cell>
          <cell r="O357">
            <v>31</v>
          </cell>
          <cell r="P357">
            <v>476</v>
          </cell>
          <cell r="Q357">
            <v>274</v>
          </cell>
          <cell r="R357">
            <v>202</v>
          </cell>
          <cell r="S357">
            <v>4509</v>
          </cell>
          <cell r="T357">
            <v>507</v>
          </cell>
        </row>
        <row r="358">
          <cell r="C358" t="str">
            <v>Census Tract 323.16, King County, Washington</v>
          </cell>
          <cell r="D358">
            <v>4220</v>
          </cell>
          <cell r="E358">
            <v>3709</v>
          </cell>
          <cell r="F358">
            <v>1553</v>
          </cell>
          <cell r="G358">
            <v>2062</v>
          </cell>
          <cell r="H358">
            <v>257</v>
          </cell>
          <cell r="I358">
            <v>601</v>
          </cell>
          <cell r="J358">
            <v>326</v>
          </cell>
          <cell r="K358">
            <v>878</v>
          </cell>
          <cell r="L358">
            <v>94</v>
          </cell>
          <cell r="M358">
            <v>0</v>
          </cell>
          <cell r="N358">
            <v>0</v>
          </cell>
          <cell r="O358">
            <v>94</v>
          </cell>
          <cell r="P358">
            <v>511</v>
          </cell>
          <cell r="Q358">
            <v>316</v>
          </cell>
          <cell r="R358">
            <v>195</v>
          </cell>
          <cell r="S358">
            <v>3615</v>
          </cell>
          <cell r="T358">
            <v>605</v>
          </cell>
        </row>
        <row r="359">
          <cell r="C359" t="str">
            <v>Census Tract 323.17, King County, Washington</v>
          </cell>
          <cell r="D359">
            <v>6324</v>
          </cell>
          <cell r="E359">
            <v>5854</v>
          </cell>
          <cell r="F359">
            <v>2296</v>
          </cell>
          <cell r="G359">
            <v>3442</v>
          </cell>
          <cell r="H359">
            <v>461</v>
          </cell>
          <cell r="I359">
            <v>855</v>
          </cell>
          <cell r="J359">
            <v>524</v>
          </cell>
          <cell r="K359">
            <v>1602</v>
          </cell>
          <cell r="L359">
            <v>116</v>
          </cell>
          <cell r="M359">
            <v>0</v>
          </cell>
          <cell r="N359">
            <v>0</v>
          </cell>
          <cell r="O359">
            <v>116</v>
          </cell>
          <cell r="P359">
            <v>470</v>
          </cell>
          <cell r="Q359">
            <v>284</v>
          </cell>
          <cell r="R359">
            <v>186</v>
          </cell>
          <cell r="S359">
            <v>5738</v>
          </cell>
          <cell r="T359">
            <v>586</v>
          </cell>
        </row>
        <row r="360">
          <cell r="C360" t="str">
            <v>Census Tract 323.18, King County, Washington</v>
          </cell>
          <cell r="D360">
            <v>4828</v>
          </cell>
          <cell r="E360">
            <v>4245</v>
          </cell>
          <cell r="F360">
            <v>1771</v>
          </cell>
          <cell r="G360">
            <v>2428</v>
          </cell>
          <cell r="H360">
            <v>430</v>
          </cell>
          <cell r="I360">
            <v>636</v>
          </cell>
          <cell r="J360">
            <v>350</v>
          </cell>
          <cell r="K360">
            <v>1012</v>
          </cell>
          <cell r="L360">
            <v>46</v>
          </cell>
          <cell r="M360">
            <v>0</v>
          </cell>
          <cell r="N360">
            <v>0</v>
          </cell>
          <cell r="O360">
            <v>46</v>
          </cell>
          <cell r="P360">
            <v>583</v>
          </cell>
          <cell r="Q360">
            <v>262</v>
          </cell>
          <cell r="R360">
            <v>321</v>
          </cell>
          <cell r="S360">
            <v>4199</v>
          </cell>
          <cell r="T360">
            <v>629</v>
          </cell>
        </row>
        <row r="361">
          <cell r="C361" t="str">
            <v>Census Tract 323.19, King County, Washington</v>
          </cell>
          <cell r="D361">
            <v>4529</v>
          </cell>
          <cell r="E361">
            <v>3860</v>
          </cell>
          <cell r="F361">
            <v>1971</v>
          </cell>
          <cell r="G361">
            <v>1841</v>
          </cell>
          <cell r="H361">
            <v>191</v>
          </cell>
          <cell r="I361">
            <v>640</v>
          </cell>
          <cell r="J361">
            <v>229</v>
          </cell>
          <cell r="K361">
            <v>781</v>
          </cell>
          <cell r="L361">
            <v>48</v>
          </cell>
          <cell r="M361">
            <v>0</v>
          </cell>
          <cell r="N361">
            <v>0</v>
          </cell>
          <cell r="O361">
            <v>48</v>
          </cell>
          <cell r="P361">
            <v>669</v>
          </cell>
          <cell r="Q361">
            <v>163</v>
          </cell>
          <cell r="R361">
            <v>506</v>
          </cell>
          <cell r="S361">
            <v>3812</v>
          </cell>
          <cell r="T361">
            <v>717</v>
          </cell>
        </row>
        <row r="362">
          <cell r="C362" t="str">
            <v>Census Tract 323.20, King County, Washington</v>
          </cell>
          <cell r="D362">
            <v>4074</v>
          </cell>
          <cell r="E362">
            <v>3839</v>
          </cell>
          <cell r="F362">
            <v>1828</v>
          </cell>
          <cell r="G362">
            <v>1968</v>
          </cell>
          <cell r="H362">
            <v>206</v>
          </cell>
          <cell r="I362">
            <v>553</v>
          </cell>
          <cell r="J362">
            <v>195</v>
          </cell>
          <cell r="K362">
            <v>1014</v>
          </cell>
          <cell r="L362">
            <v>43</v>
          </cell>
          <cell r="M362">
            <v>0</v>
          </cell>
          <cell r="N362">
            <v>0</v>
          </cell>
          <cell r="O362">
            <v>43</v>
          </cell>
          <cell r="P362">
            <v>235</v>
          </cell>
          <cell r="Q362">
            <v>93</v>
          </cell>
          <cell r="R362">
            <v>142</v>
          </cell>
          <cell r="S362">
            <v>3796</v>
          </cell>
          <cell r="T362">
            <v>278</v>
          </cell>
        </row>
        <row r="363">
          <cell r="C363" t="str">
            <v>Census Tract 323.21, King County, Washington</v>
          </cell>
          <cell r="D363">
            <v>3166</v>
          </cell>
          <cell r="E363">
            <v>2949</v>
          </cell>
          <cell r="F363">
            <v>1274</v>
          </cell>
          <cell r="G363">
            <v>1642</v>
          </cell>
          <cell r="H363">
            <v>218</v>
          </cell>
          <cell r="I363">
            <v>448</v>
          </cell>
          <cell r="J363">
            <v>204</v>
          </cell>
          <cell r="K363">
            <v>772</v>
          </cell>
          <cell r="L363">
            <v>33</v>
          </cell>
          <cell r="M363">
            <v>0</v>
          </cell>
          <cell r="N363">
            <v>0</v>
          </cell>
          <cell r="O363">
            <v>33</v>
          </cell>
          <cell r="P363">
            <v>217</v>
          </cell>
          <cell r="Q363">
            <v>164</v>
          </cell>
          <cell r="R363">
            <v>53</v>
          </cell>
          <cell r="S363">
            <v>2916</v>
          </cell>
          <cell r="T363">
            <v>250</v>
          </cell>
        </row>
        <row r="364">
          <cell r="C364" t="str">
            <v>Census Tract 323.22, King County, Washington</v>
          </cell>
          <cell r="D364">
            <v>3644</v>
          </cell>
          <cell r="E364">
            <v>3256</v>
          </cell>
          <cell r="F364">
            <v>1457</v>
          </cell>
          <cell r="G364">
            <v>1732</v>
          </cell>
          <cell r="H364">
            <v>356</v>
          </cell>
          <cell r="I364">
            <v>290</v>
          </cell>
          <cell r="J364">
            <v>250</v>
          </cell>
          <cell r="K364">
            <v>836</v>
          </cell>
          <cell r="L364">
            <v>67</v>
          </cell>
          <cell r="M364">
            <v>0</v>
          </cell>
          <cell r="N364">
            <v>0</v>
          </cell>
          <cell r="O364">
            <v>67</v>
          </cell>
          <cell r="P364">
            <v>388</v>
          </cell>
          <cell r="Q364">
            <v>228</v>
          </cell>
          <cell r="R364">
            <v>160</v>
          </cell>
          <cell r="S364">
            <v>3189</v>
          </cell>
          <cell r="T364">
            <v>455</v>
          </cell>
        </row>
        <row r="365">
          <cell r="C365" t="str">
            <v>Census Tract 323.23, King County, Washington</v>
          </cell>
          <cell r="D365">
            <v>5086</v>
          </cell>
          <cell r="E365">
            <v>4331</v>
          </cell>
          <cell r="F365">
            <v>1834</v>
          </cell>
          <cell r="G365">
            <v>2445</v>
          </cell>
          <cell r="H365">
            <v>208</v>
          </cell>
          <cell r="I365">
            <v>819</v>
          </cell>
          <cell r="J365">
            <v>387</v>
          </cell>
          <cell r="K365">
            <v>1031</v>
          </cell>
          <cell r="L365">
            <v>52</v>
          </cell>
          <cell r="M365">
            <v>0</v>
          </cell>
          <cell r="N365">
            <v>0</v>
          </cell>
          <cell r="O365">
            <v>52</v>
          </cell>
          <cell r="P365">
            <v>755</v>
          </cell>
          <cell r="Q365">
            <v>249</v>
          </cell>
          <cell r="R365">
            <v>506</v>
          </cell>
          <cell r="S365">
            <v>4279</v>
          </cell>
          <cell r="T365">
            <v>807</v>
          </cell>
        </row>
        <row r="366">
          <cell r="C366" t="str">
            <v>Census Tract 323.24, King County, Washington</v>
          </cell>
          <cell r="D366">
            <v>4853</v>
          </cell>
          <cell r="E366">
            <v>4204</v>
          </cell>
          <cell r="F366">
            <v>1864</v>
          </cell>
          <cell r="G366">
            <v>2260</v>
          </cell>
          <cell r="H366">
            <v>296</v>
          </cell>
          <cell r="I366">
            <v>523</v>
          </cell>
          <cell r="J366">
            <v>366</v>
          </cell>
          <cell r="K366">
            <v>1075</v>
          </cell>
          <cell r="L366">
            <v>80</v>
          </cell>
          <cell r="M366">
            <v>6</v>
          </cell>
          <cell r="N366">
            <v>0</v>
          </cell>
          <cell r="O366">
            <v>74</v>
          </cell>
          <cell r="P366">
            <v>649</v>
          </cell>
          <cell r="Q366">
            <v>176</v>
          </cell>
          <cell r="R366">
            <v>473</v>
          </cell>
          <cell r="S366">
            <v>4124</v>
          </cell>
          <cell r="T366">
            <v>729</v>
          </cell>
        </row>
        <row r="367">
          <cell r="C367" t="str">
            <v>Census Tract 323.25, King County, Washington</v>
          </cell>
          <cell r="D367">
            <v>5358</v>
          </cell>
          <cell r="E367">
            <v>4191</v>
          </cell>
          <cell r="F367">
            <v>1651</v>
          </cell>
          <cell r="G367">
            <v>2473</v>
          </cell>
          <cell r="H367">
            <v>342</v>
          </cell>
          <cell r="I367">
            <v>708</v>
          </cell>
          <cell r="J367">
            <v>443</v>
          </cell>
          <cell r="K367">
            <v>980</v>
          </cell>
          <cell r="L367">
            <v>67</v>
          </cell>
          <cell r="M367">
            <v>0</v>
          </cell>
          <cell r="N367">
            <v>16</v>
          </cell>
          <cell r="O367">
            <v>51</v>
          </cell>
          <cell r="P367">
            <v>1167</v>
          </cell>
          <cell r="Q367">
            <v>235</v>
          </cell>
          <cell r="R367">
            <v>932</v>
          </cell>
          <cell r="S367">
            <v>4124</v>
          </cell>
          <cell r="T367">
            <v>1234</v>
          </cell>
        </row>
        <row r="368">
          <cell r="C368" t="str">
            <v>Census Tract 324.01, King County, Washington</v>
          </cell>
          <cell r="D368">
            <v>4689</v>
          </cell>
          <cell r="E368">
            <v>4515</v>
          </cell>
          <cell r="F368">
            <v>2400</v>
          </cell>
          <cell r="G368">
            <v>2038</v>
          </cell>
          <cell r="H368">
            <v>254</v>
          </cell>
          <cell r="I368">
            <v>579</v>
          </cell>
          <cell r="J368">
            <v>253</v>
          </cell>
          <cell r="K368">
            <v>952</v>
          </cell>
          <cell r="L368">
            <v>77</v>
          </cell>
          <cell r="M368">
            <v>0</v>
          </cell>
          <cell r="N368">
            <v>9</v>
          </cell>
          <cell r="O368">
            <v>68</v>
          </cell>
          <cell r="P368">
            <v>174</v>
          </cell>
          <cell r="Q368">
            <v>93</v>
          </cell>
          <cell r="R368">
            <v>81</v>
          </cell>
          <cell r="S368">
            <v>4438</v>
          </cell>
          <cell r="T368">
            <v>251</v>
          </cell>
        </row>
        <row r="369">
          <cell r="C369" t="str">
            <v>Census Tract 324.02, King County, Washington</v>
          </cell>
          <cell r="D369">
            <v>4982</v>
          </cell>
          <cell r="E369">
            <v>4790</v>
          </cell>
          <cell r="F369">
            <v>2577</v>
          </cell>
          <cell r="G369">
            <v>2159</v>
          </cell>
          <cell r="H369">
            <v>346</v>
          </cell>
          <cell r="I369">
            <v>489</v>
          </cell>
          <cell r="J369">
            <v>291</v>
          </cell>
          <cell r="K369">
            <v>1033</v>
          </cell>
          <cell r="L369">
            <v>54</v>
          </cell>
          <cell r="M369">
            <v>0</v>
          </cell>
          <cell r="N369">
            <v>0</v>
          </cell>
          <cell r="O369">
            <v>54</v>
          </cell>
          <cell r="P369">
            <v>192</v>
          </cell>
          <cell r="Q369">
            <v>57</v>
          </cell>
          <cell r="R369">
            <v>135</v>
          </cell>
          <cell r="S369">
            <v>4736</v>
          </cell>
          <cell r="T369">
            <v>246</v>
          </cell>
        </row>
        <row r="370">
          <cell r="C370" t="str">
            <v>Census Tract 325, King County, Washington</v>
          </cell>
          <cell r="D370">
            <v>4903</v>
          </cell>
          <cell r="E370">
            <v>4640</v>
          </cell>
          <cell r="F370">
            <v>2903</v>
          </cell>
          <cell r="G370">
            <v>1717</v>
          </cell>
          <cell r="H370">
            <v>222</v>
          </cell>
          <cell r="I370">
            <v>411</v>
          </cell>
          <cell r="J370">
            <v>274</v>
          </cell>
          <cell r="K370">
            <v>810</v>
          </cell>
          <cell r="L370">
            <v>20</v>
          </cell>
          <cell r="M370">
            <v>4</v>
          </cell>
          <cell r="N370">
            <v>0</v>
          </cell>
          <cell r="O370">
            <v>16</v>
          </cell>
          <cell r="P370">
            <v>263</v>
          </cell>
          <cell r="Q370">
            <v>134</v>
          </cell>
          <cell r="R370">
            <v>129</v>
          </cell>
          <cell r="S370">
            <v>4620</v>
          </cell>
          <cell r="T370">
            <v>283</v>
          </cell>
        </row>
        <row r="371">
          <cell r="C371" t="str">
            <v>Census Tract 326.01, King County, Washington</v>
          </cell>
          <cell r="D371">
            <v>2690</v>
          </cell>
          <cell r="E371">
            <v>2597</v>
          </cell>
          <cell r="F371">
            <v>1768</v>
          </cell>
          <cell r="G371">
            <v>778</v>
          </cell>
          <cell r="H371">
            <v>82</v>
          </cell>
          <cell r="I371">
            <v>229</v>
          </cell>
          <cell r="J371">
            <v>130</v>
          </cell>
          <cell r="K371">
            <v>337</v>
          </cell>
          <cell r="L371">
            <v>51</v>
          </cell>
          <cell r="M371">
            <v>8</v>
          </cell>
          <cell r="N371">
            <v>0</v>
          </cell>
          <cell r="O371">
            <v>43</v>
          </cell>
          <cell r="P371">
            <v>93</v>
          </cell>
          <cell r="Q371">
            <v>36</v>
          </cell>
          <cell r="R371">
            <v>57</v>
          </cell>
          <cell r="S371">
            <v>2546</v>
          </cell>
          <cell r="T371">
            <v>144</v>
          </cell>
        </row>
        <row r="372">
          <cell r="C372" t="str">
            <v>Census Tract 326.02, King County, Washington</v>
          </cell>
          <cell r="D372">
            <v>2587</v>
          </cell>
          <cell r="E372">
            <v>2491</v>
          </cell>
          <cell r="F372">
            <v>1449</v>
          </cell>
          <cell r="G372">
            <v>1017</v>
          </cell>
          <cell r="H372">
            <v>87</v>
          </cell>
          <cell r="I372">
            <v>285</v>
          </cell>
          <cell r="J372">
            <v>119</v>
          </cell>
          <cell r="K372">
            <v>526</v>
          </cell>
          <cell r="L372">
            <v>25</v>
          </cell>
          <cell r="M372">
            <v>0</v>
          </cell>
          <cell r="N372">
            <v>7</v>
          </cell>
          <cell r="O372">
            <v>18</v>
          </cell>
          <cell r="P372">
            <v>96</v>
          </cell>
          <cell r="Q372">
            <v>61</v>
          </cell>
          <cell r="R372">
            <v>35</v>
          </cell>
          <cell r="S372">
            <v>2466</v>
          </cell>
          <cell r="T372">
            <v>121</v>
          </cell>
        </row>
        <row r="373">
          <cell r="C373" t="str">
            <v>Census Tract 327.02, King County, Washington</v>
          </cell>
          <cell r="D373">
            <v>6325</v>
          </cell>
          <cell r="E373">
            <v>5975</v>
          </cell>
          <cell r="F373">
            <v>3053</v>
          </cell>
          <cell r="G373">
            <v>2852</v>
          </cell>
          <cell r="H373">
            <v>354</v>
          </cell>
          <cell r="I373">
            <v>721</v>
          </cell>
          <cell r="J373">
            <v>425</v>
          </cell>
          <cell r="K373">
            <v>1352</v>
          </cell>
          <cell r="L373">
            <v>70</v>
          </cell>
          <cell r="M373">
            <v>0</v>
          </cell>
          <cell r="N373">
            <v>0</v>
          </cell>
          <cell r="O373">
            <v>70</v>
          </cell>
          <cell r="P373">
            <v>350</v>
          </cell>
          <cell r="Q373">
            <v>181</v>
          </cell>
          <cell r="R373">
            <v>169</v>
          </cell>
          <cell r="S373">
            <v>5905</v>
          </cell>
          <cell r="T373">
            <v>420</v>
          </cell>
        </row>
        <row r="374">
          <cell r="C374" t="str">
            <v>Census Tract 327.03, King County, Washington</v>
          </cell>
          <cell r="D374">
            <v>1926</v>
          </cell>
          <cell r="E374">
            <v>1823</v>
          </cell>
          <cell r="F374">
            <v>1089</v>
          </cell>
          <cell r="G374">
            <v>713</v>
          </cell>
          <cell r="H374">
            <v>83</v>
          </cell>
          <cell r="I374">
            <v>221</v>
          </cell>
          <cell r="J374">
            <v>82</v>
          </cell>
          <cell r="K374">
            <v>327</v>
          </cell>
          <cell r="L374">
            <v>21</v>
          </cell>
          <cell r="M374">
            <v>0</v>
          </cell>
          <cell r="N374">
            <v>3</v>
          </cell>
          <cell r="O374">
            <v>18</v>
          </cell>
          <cell r="P374">
            <v>103</v>
          </cell>
          <cell r="Q374">
            <v>45</v>
          </cell>
          <cell r="R374">
            <v>58</v>
          </cell>
          <cell r="S374">
            <v>1802</v>
          </cell>
          <cell r="T374">
            <v>124</v>
          </cell>
        </row>
        <row r="375">
          <cell r="C375" t="str">
            <v>Census Tract 327.04, King County, Washington</v>
          </cell>
          <cell r="D375">
            <v>6095</v>
          </cell>
          <cell r="E375">
            <v>5829</v>
          </cell>
          <cell r="F375">
            <v>2756</v>
          </cell>
          <cell r="G375">
            <v>2979</v>
          </cell>
          <cell r="H375">
            <v>372</v>
          </cell>
          <cell r="I375">
            <v>999</v>
          </cell>
          <cell r="J375">
            <v>293</v>
          </cell>
          <cell r="K375">
            <v>1315</v>
          </cell>
          <cell r="L375">
            <v>94</v>
          </cell>
          <cell r="M375">
            <v>0</v>
          </cell>
          <cell r="N375">
            <v>0</v>
          </cell>
          <cell r="O375">
            <v>94</v>
          </cell>
          <cell r="P375">
            <v>266</v>
          </cell>
          <cell r="Q375">
            <v>94</v>
          </cell>
          <cell r="R375">
            <v>172</v>
          </cell>
          <cell r="S375">
            <v>5735</v>
          </cell>
          <cell r="T375">
            <v>360</v>
          </cell>
        </row>
        <row r="376">
          <cell r="C376" t="str">
            <v>Census Tract 328, King County, Washington</v>
          </cell>
          <cell r="D376">
            <v>2696</v>
          </cell>
          <cell r="E376">
            <v>2611</v>
          </cell>
          <cell r="F376">
            <v>1587</v>
          </cell>
          <cell r="G376">
            <v>999</v>
          </cell>
          <cell r="H376">
            <v>71</v>
          </cell>
          <cell r="I376">
            <v>390</v>
          </cell>
          <cell r="J376">
            <v>118</v>
          </cell>
          <cell r="K376">
            <v>420</v>
          </cell>
          <cell r="L376">
            <v>25</v>
          </cell>
          <cell r="M376">
            <v>0</v>
          </cell>
          <cell r="N376">
            <v>2</v>
          </cell>
          <cell r="O376">
            <v>23</v>
          </cell>
          <cell r="P376">
            <v>85</v>
          </cell>
          <cell r="Q376">
            <v>48</v>
          </cell>
          <cell r="R376">
            <v>37</v>
          </cell>
          <cell r="S376">
            <v>2586</v>
          </cell>
          <cell r="T376">
            <v>110</v>
          </cell>
        </row>
        <row r="377">
          <cell r="C377" t="str">
            <v>Aberdeen city, Washington</v>
          </cell>
          <cell r="D377">
            <v>16494</v>
          </cell>
          <cell r="E377">
            <v>15330</v>
          </cell>
          <cell r="F377">
            <v>10111</v>
          </cell>
          <cell r="G377">
            <v>5094</v>
          </cell>
          <cell r="H377">
            <v>269</v>
          </cell>
          <cell r="I377">
            <v>1419</v>
          </cell>
          <cell r="J377">
            <v>658</v>
          </cell>
          <cell r="K377">
            <v>2748</v>
          </cell>
          <cell r="L377">
            <v>125</v>
          </cell>
          <cell r="M377">
            <v>12</v>
          </cell>
          <cell r="N377">
            <v>5</v>
          </cell>
          <cell r="O377">
            <v>108</v>
          </cell>
          <cell r="P377">
            <v>1164</v>
          </cell>
          <cell r="Q377">
            <v>289</v>
          </cell>
          <cell r="R377">
            <v>875</v>
          </cell>
          <cell r="S377">
            <v>15205</v>
          </cell>
          <cell r="T377">
            <v>1289</v>
          </cell>
        </row>
        <row r="378">
          <cell r="C378" t="str">
            <v>Aberdeen Gardens CDP, Washington</v>
          </cell>
          <cell r="D378">
            <v>226</v>
          </cell>
          <cell r="E378">
            <v>220</v>
          </cell>
          <cell r="F378">
            <v>169</v>
          </cell>
          <cell r="G378">
            <v>51</v>
          </cell>
          <cell r="H378">
            <v>8</v>
          </cell>
          <cell r="I378">
            <v>23</v>
          </cell>
          <cell r="J378">
            <v>0</v>
          </cell>
          <cell r="K378">
            <v>20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6</v>
          </cell>
          <cell r="Q378">
            <v>0</v>
          </cell>
          <cell r="R378">
            <v>6</v>
          </cell>
          <cell r="S378">
            <v>220</v>
          </cell>
          <cell r="T378">
            <v>6</v>
          </cell>
        </row>
        <row r="379">
          <cell r="C379" t="str">
            <v>Acme CDP, Washington</v>
          </cell>
          <cell r="D379">
            <v>167</v>
          </cell>
          <cell r="E379">
            <v>167</v>
          </cell>
          <cell r="F379">
            <v>109</v>
          </cell>
          <cell r="G379">
            <v>55</v>
          </cell>
          <cell r="H379">
            <v>0</v>
          </cell>
          <cell r="I379">
            <v>33</v>
          </cell>
          <cell r="J379">
            <v>6</v>
          </cell>
          <cell r="K379">
            <v>16</v>
          </cell>
          <cell r="L379">
            <v>3</v>
          </cell>
          <cell r="M379">
            <v>0</v>
          </cell>
          <cell r="N379">
            <v>0</v>
          </cell>
          <cell r="O379">
            <v>3</v>
          </cell>
          <cell r="P379">
            <v>0</v>
          </cell>
          <cell r="Q379">
            <v>0</v>
          </cell>
          <cell r="R379">
            <v>0</v>
          </cell>
          <cell r="S379">
            <v>164</v>
          </cell>
          <cell r="T379">
            <v>3</v>
          </cell>
        </row>
        <row r="380">
          <cell r="C380" t="str">
            <v>Ahtanum CDP, Washington</v>
          </cell>
          <cell r="D380">
            <v>4318</v>
          </cell>
          <cell r="E380">
            <v>4043</v>
          </cell>
          <cell r="F380">
            <v>2635</v>
          </cell>
          <cell r="G380">
            <v>1384</v>
          </cell>
          <cell r="H380">
            <v>64</v>
          </cell>
          <cell r="I380">
            <v>374</v>
          </cell>
          <cell r="J380">
            <v>280</v>
          </cell>
          <cell r="K380">
            <v>666</v>
          </cell>
          <cell r="L380">
            <v>24</v>
          </cell>
          <cell r="M380">
            <v>11</v>
          </cell>
          <cell r="N380">
            <v>0</v>
          </cell>
          <cell r="O380">
            <v>13</v>
          </cell>
          <cell r="P380">
            <v>275</v>
          </cell>
          <cell r="Q380">
            <v>65</v>
          </cell>
          <cell r="R380">
            <v>210</v>
          </cell>
          <cell r="S380">
            <v>4019</v>
          </cell>
          <cell r="T380">
            <v>299</v>
          </cell>
        </row>
        <row r="381">
          <cell r="C381" t="str">
            <v>Airway Heights city, Washington</v>
          </cell>
          <cell r="D381">
            <v>4526</v>
          </cell>
          <cell r="E381">
            <v>4201</v>
          </cell>
          <cell r="F381">
            <v>2050</v>
          </cell>
          <cell r="G381">
            <v>2107</v>
          </cell>
          <cell r="H381">
            <v>123</v>
          </cell>
          <cell r="I381">
            <v>437</v>
          </cell>
          <cell r="J381">
            <v>555</v>
          </cell>
          <cell r="K381">
            <v>992</v>
          </cell>
          <cell r="L381">
            <v>44</v>
          </cell>
          <cell r="M381">
            <v>7</v>
          </cell>
          <cell r="N381">
            <v>0</v>
          </cell>
          <cell r="O381">
            <v>37</v>
          </cell>
          <cell r="P381">
            <v>325</v>
          </cell>
          <cell r="Q381">
            <v>61</v>
          </cell>
          <cell r="R381">
            <v>264</v>
          </cell>
          <cell r="S381">
            <v>4157</v>
          </cell>
          <cell r="T381">
            <v>369</v>
          </cell>
        </row>
        <row r="382">
          <cell r="C382" t="str">
            <v>Albion town, Washington</v>
          </cell>
          <cell r="D382">
            <v>581</v>
          </cell>
          <cell r="E382">
            <v>569</v>
          </cell>
          <cell r="F382">
            <v>209</v>
          </cell>
          <cell r="G382">
            <v>344</v>
          </cell>
          <cell r="H382">
            <v>14</v>
          </cell>
          <cell r="I382">
            <v>54</v>
          </cell>
          <cell r="J382">
            <v>31</v>
          </cell>
          <cell r="K382">
            <v>245</v>
          </cell>
          <cell r="L382">
            <v>16</v>
          </cell>
          <cell r="M382">
            <v>0</v>
          </cell>
          <cell r="N382">
            <v>10</v>
          </cell>
          <cell r="O382">
            <v>6</v>
          </cell>
          <cell r="P382">
            <v>12</v>
          </cell>
          <cell r="Q382">
            <v>5</v>
          </cell>
          <cell r="R382">
            <v>7</v>
          </cell>
          <cell r="S382">
            <v>553</v>
          </cell>
          <cell r="T382">
            <v>28</v>
          </cell>
        </row>
        <row r="383">
          <cell r="C383" t="str">
            <v>Alderwood Manor CDP, Washington</v>
          </cell>
          <cell r="D383">
            <v>15254</v>
          </cell>
          <cell r="E383">
            <v>13616</v>
          </cell>
          <cell r="F383">
            <v>8004</v>
          </cell>
          <cell r="G383">
            <v>5419</v>
          </cell>
          <cell r="H383">
            <v>571</v>
          </cell>
          <cell r="I383">
            <v>1419</v>
          </cell>
          <cell r="J383">
            <v>784</v>
          </cell>
          <cell r="K383">
            <v>2645</v>
          </cell>
          <cell r="L383">
            <v>193</v>
          </cell>
          <cell r="M383">
            <v>18</v>
          </cell>
          <cell r="N383">
            <v>0</v>
          </cell>
          <cell r="O383">
            <v>175</v>
          </cell>
          <cell r="P383">
            <v>1638</v>
          </cell>
          <cell r="Q383">
            <v>957</v>
          </cell>
          <cell r="R383">
            <v>681</v>
          </cell>
          <cell r="S383">
            <v>13423</v>
          </cell>
          <cell r="T383">
            <v>1831</v>
          </cell>
        </row>
        <row r="384">
          <cell r="C384" t="str">
            <v>Alger CDP, Washington</v>
          </cell>
          <cell r="D384">
            <v>81</v>
          </cell>
          <cell r="E384">
            <v>81</v>
          </cell>
          <cell r="F384">
            <v>24</v>
          </cell>
          <cell r="G384">
            <v>57</v>
          </cell>
          <cell r="H384">
            <v>18</v>
          </cell>
          <cell r="I384">
            <v>24</v>
          </cell>
          <cell r="J384">
            <v>9</v>
          </cell>
          <cell r="K384">
            <v>6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81</v>
          </cell>
          <cell r="T384">
            <v>0</v>
          </cell>
        </row>
        <row r="385">
          <cell r="C385" t="str">
            <v>Algona city, Washington</v>
          </cell>
          <cell r="D385">
            <v>2451</v>
          </cell>
          <cell r="E385">
            <v>2154</v>
          </cell>
          <cell r="F385">
            <v>1356</v>
          </cell>
          <cell r="G385">
            <v>773</v>
          </cell>
          <cell r="H385">
            <v>83</v>
          </cell>
          <cell r="I385">
            <v>233</v>
          </cell>
          <cell r="J385">
            <v>138</v>
          </cell>
          <cell r="K385">
            <v>319</v>
          </cell>
          <cell r="L385">
            <v>25</v>
          </cell>
          <cell r="M385">
            <v>0</v>
          </cell>
          <cell r="N385">
            <v>0</v>
          </cell>
          <cell r="O385">
            <v>25</v>
          </cell>
          <cell r="P385">
            <v>297</v>
          </cell>
          <cell r="Q385">
            <v>166</v>
          </cell>
          <cell r="R385">
            <v>131</v>
          </cell>
          <cell r="S385">
            <v>2129</v>
          </cell>
          <cell r="T385">
            <v>322</v>
          </cell>
        </row>
        <row r="386">
          <cell r="C386" t="str">
            <v>Allyn-Grapeview CDP, Washington</v>
          </cell>
          <cell r="D386">
            <v>2147</v>
          </cell>
          <cell r="E386">
            <v>2077</v>
          </cell>
          <cell r="F386">
            <v>994</v>
          </cell>
          <cell r="G386">
            <v>1065</v>
          </cell>
          <cell r="H386">
            <v>66</v>
          </cell>
          <cell r="I386">
            <v>290</v>
          </cell>
          <cell r="J386">
            <v>126</v>
          </cell>
          <cell r="K386">
            <v>583</v>
          </cell>
          <cell r="L386">
            <v>18</v>
          </cell>
          <cell r="M386">
            <v>0</v>
          </cell>
          <cell r="N386">
            <v>0</v>
          </cell>
          <cell r="O386">
            <v>18</v>
          </cell>
          <cell r="P386">
            <v>70</v>
          </cell>
          <cell r="Q386">
            <v>54</v>
          </cell>
          <cell r="R386">
            <v>16</v>
          </cell>
          <cell r="S386">
            <v>2059</v>
          </cell>
          <cell r="T386">
            <v>88</v>
          </cell>
        </row>
        <row r="387">
          <cell r="C387" t="str">
            <v>Almira town, Washington</v>
          </cell>
          <cell r="D387">
            <v>321</v>
          </cell>
          <cell r="E387">
            <v>321</v>
          </cell>
          <cell r="F387">
            <v>190</v>
          </cell>
          <cell r="G387">
            <v>129</v>
          </cell>
          <cell r="H387">
            <v>2</v>
          </cell>
          <cell r="I387">
            <v>39</v>
          </cell>
          <cell r="J387">
            <v>15</v>
          </cell>
          <cell r="K387">
            <v>73</v>
          </cell>
          <cell r="L387">
            <v>2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0</v>
          </cell>
          <cell r="R387">
            <v>0</v>
          </cell>
          <cell r="S387">
            <v>319</v>
          </cell>
          <cell r="T387">
            <v>2</v>
          </cell>
        </row>
        <row r="388">
          <cell r="C388" t="str">
            <v>Amboy CDP, Washington</v>
          </cell>
          <cell r="D388">
            <v>2225</v>
          </cell>
          <cell r="E388">
            <v>2195</v>
          </cell>
          <cell r="F388">
            <v>1078</v>
          </cell>
          <cell r="G388">
            <v>1112</v>
          </cell>
          <cell r="H388">
            <v>73</v>
          </cell>
          <cell r="I388">
            <v>193</v>
          </cell>
          <cell r="J388">
            <v>91</v>
          </cell>
          <cell r="K388">
            <v>755</v>
          </cell>
          <cell r="L388">
            <v>5</v>
          </cell>
          <cell r="M388">
            <v>2</v>
          </cell>
          <cell r="N388">
            <v>0</v>
          </cell>
          <cell r="O388">
            <v>3</v>
          </cell>
          <cell r="P388">
            <v>30</v>
          </cell>
          <cell r="Q388">
            <v>20</v>
          </cell>
          <cell r="R388">
            <v>10</v>
          </cell>
          <cell r="S388">
            <v>2190</v>
          </cell>
          <cell r="T388">
            <v>35</v>
          </cell>
        </row>
        <row r="389">
          <cell r="C389" t="str">
            <v>Ames Lake CDP, Washington</v>
          </cell>
          <cell r="D389">
            <v>1430</v>
          </cell>
          <cell r="E389">
            <v>1301</v>
          </cell>
          <cell r="F389">
            <v>623</v>
          </cell>
          <cell r="G389">
            <v>669</v>
          </cell>
          <cell r="H389">
            <v>121</v>
          </cell>
          <cell r="I389">
            <v>162</v>
          </cell>
          <cell r="J389">
            <v>53</v>
          </cell>
          <cell r="K389">
            <v>333</v>
          </cell>
          <cell r="L389">
            <v>9</v>
          </cell>
          <cell r="M389">
            <v>0</v>
          </cell>
          <cell r="N389">
            <v>0</v>
          </cell>
          <cell r="O389">
            <v>9</v>
          </cell>
          <cell r="P389">
            <v>129</v>
          </cell>
          <cell r="Q389">
            <v>87</v>
          </cell>
          <cell r="R389">
            <v>42</v>
          </cell>
          <cell r="S389">
            <v>1292</v>
          </cell>
          <cell r="T389">
            <v>138</v>
          </cell>
        </row>
        <row r="390">
          <cell r="C390" t="str">
            <v>Anacortes city, Washington</v>
          </cell>
          <cell r="D390">
            <v>14707</v>
          </cell>
          <cell r="E390">
            <v>13972</v>
          </cell>
          <cell r="F390">
            <v>6992</v>
          </cell>
          <cell r="G390">
            <v>6795</v>
          </cell>
          <cell r="H390">
            <v>875</v>
          </cell>
          <cell r="I390">
            <v>1968</v>
          </cell>
          <cell r="J390">
            <v>975</v>
          </cell>
          <cell r="K390">
            <v>2977</v>
          </cell>
          <cell r="L390">
            <v>185</v>
          </cell>
          <cell r="M390">
            <v>0</v>
          </cell>
          <cell r="N390">
            <v>10</v>
          </cell>
          <cell r="O390">
            <v>175</v>
          </cell>
          <cell r="P390">
            <v>735</v>
          </cell>
          <cell r="Q390">
            <v>407</v>
          </cell>
          <cell r="R390">
            <v>328</v>
          </cell>
          <cell r="S390">
            <v>13787</v>
          </cell>
          <cell r="T390">
            <v>920</v>
          </cell>
        </row>
        <row r="391">
          <cell r="C391" t="str">
            <v>Arlington city, Washington</v>
          </cell>
          <cell r="D391">
            <v>11885</v>
          </cell>
          <cell r="E391">
            <v>11215</v>
          </cell>
          <cell r="F391">
            <v>6168</v>
          </cell>
          <cell r="G391">
            <v>4876</v>
          </cell>
          <cell r="H391">
            <v>360</v>
          </cell>
          <cell r="I391">
            <v>1263</v>
          </cell>
          <cell r="J391">
            <v>670</v>
          </cell>
          <cell r="K391">
            <v>2583</v>
          </cell>
          <cell r="L391">
            <v>171</v>
          </cell>
          <cell r="M391">
            <v>14</v>
          </cell>
          <cell r="N391">
            <v>9</v>
          </cell>
          <cell r="O391">
            <v>148</v>
          </cell>
          <cell r="P391">
            <v>670</v>
          </cell>
          <cell r="Q391">
            <v>330</v>
          </cell>
          <cell r="R391">
            <v>340</v>
          </cell>
          <cell r="S391">
            <v>11044</v>
          </cell>
          <cell r="T391">
            <v>841</v>
          </cell>
        </row>
        <row r="392">
          <cell r="C392" t="str">
            <v>Arlington Heights CDP, Washington</v>
          </cell>
          <cell r="D392">
            <v>2524</v>
          </cell>
          <cell r="E392">
            <v>2515</v>
          </cell>
          <cell r="F392">
            <v>1604</v>
          </cell>
          <cell r="G392">
            <v>911</v>
          </cell>
          <cell r="H392">
            <v>58</v>
          </cell>
          <cell r="I392">
            <v>224</v>
          </cell>
          <cell r="J392">
            <v>202</v>
          </cell>
          <cell r="K392">
            <v>427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9</v>
          </cell>
          <cell r="Q392">
            <v>9</v>
          </cell>
          <cell r="R392">
            <v>0</v>
          </cell>
          <cell r="S392">
            <v>2515</v>
          </cell>
          <cell r="T392">
            <v>9</v>
          </cell>
        </row>
        <row r="393">
          <cell r="C393" t="str">
            <v>Artondale CDP, Washington</v>
          </cell>
          <cell r="D393">
            <v>8588</v>
          </cell>
          <cell r="E393">
            <v>8286</v>
          </cell>
          <cell r="F393">
            <v>4550</v>
          </cell>
          <cell r="G393">
            <v>3611</v>
          </cell>
          <cell r="H393">
            <v>313</v>
          </cell>
          <cell r="I393">
            <v>1046</v>
          </cell>
          <cell r="J393">
            <v>473</v>
          </cell>
          <cell r="K393">
            <v>1779</v>
          </cell>
          <cell r="L393">
            <v>125</v>
          </cell>
          <cell r="M393">
            <v>10</v>
          </cell>
          <cell r="N393">
            <v>0</v>
          </cell>
          <cell r="O393">
            <v>115</v>
          </cell>
          <cell r="P393">
            <v>302</v>
          </cell>
          <cell r="Q393">
            <v>243</v>
          </cell>
          <cell r="R393">
            <v>59</v>
          </cell>
          <cell r="S393">
            <v>8161</v>
          </cell>
          <cell r="T393">
            <v>427</v>
          </cell>
        </row>
        <row r="394">
          <cell r="C394" t="str">
            <v>Ashford CDP, Washington</v>
          </cell>
          <cell r="D394">
            <v>259</v>
          </cell>
          <cell r="E394">
            <v>259</v>
          </cell>
          <cell r="F394">
            <v>147</v>
          </cell>
          <cell r="G394">
            <v>102</v>
          </cell>
          <cell r="H394">
            <v>26</v>
          </cell>
          <cell r="I394">
            <v>27</v>
          </cell>
          <cell r="J394">
            <v>12</v>
          </cell>
          <cell r="K394">
            <v>37</v>
          </cell>
          <cell r="L394">
            <v>10</v>
          </cell>
          <cell r="M394">
            <v>0</v>
          </cell>
          <cell r="N394">
            <v>0</v>
          </cell>
          <cell r="O394">
            <v>10</v>
          </cell>
          <cell r="P394">
            <v>0</v>
          </cell>
          <cell r="Q394">
            <v>0</v>
          </cell>
          <cell r="R394">
            <v>0</v>
          </cell>
          <cell r="S394">
            <v>249</v>
          </cell>
          <cell r="T394">
            <v>10</v>
          </cell>
        </row>
        <row r="395">
          <cell r="C395" t="str">
            <v>Asotin city, Washington</v>
          </cell>
          <cell r="D395">
            <v>1095</v>
          </cell>
          <cell r="E395">
            <v>1076</v>
          </cell>
          <cell r="F395">
            <v>268</v>
          </cell>
          <cell r="G395">
            <v>804</v>
          </cell>
          <cell r="H395">
            <v>17</v>
          </cell>
          <cell r="I395">
            <v>70</v>
          </cell>
          <cell r="J395">
            <v>43</v>
          </cell>
          <cell r="K395">
            <v>674</v>
          </cell>
          <cell r="L395">
            <v>4</v>
          </cell>
          <cell r="M395">
            <v>0</v>
          </cell>
          <cell r="N395">
            <v>0</v>
          </cell>
          <cell r="O395">
            <v>4</v>
          </cell>
          <cell r="P395">
            <v>19</v>
          </cell>
          <cell r="Q395">
            <v>8</v>
          </cell>
          <cell r="R395">
            <v>11</v>
          </cell>
          <cell r="S395">
            <v>1072</v>
          </cell>
          <cell r="T395">
            <v>23</v>
          </cell>
        </row>
        <row r="396">
          <cell r="C396" t="str">
            <v>Auburn city, Washington</v>
          </cell>
          <cell r="D396">
            <v>40279</v>
          </cell>
          <cell r="E396">
            <v>35775</v>
          </cell>
          <cell r="F396">
            <v>20403</v>
          </cell>
          <cell r="G396">
            <v>14822</v>
          </cell>
          <cell r="H396">
            <v>1365</v>
          </cell>
          <cell r="I396">
            <v>4876</v>
          </cell>
          <cell r="J396">
            <v>1993</v>
          </cell>
          <cell r="K396">
            <v>6588</v>
          </cell>
          <cell r="L396">
            <v>550</v>
          </cell>
          <cell r="M396">
            <v>57</v>
          </cell>
          <cell r="N396">
            <v>19</v>
          </cell>
          <cell r="O396">
            <v>474</v>
          </cell>
          <cell r="P396">
            <v>4504</v>
          </cell>
          <cell r="Q396">
            <v>1519</v>
          </cell>
          <cell r="R396">
            <v>2985</v>
          </cell>
          <cell r="S396">
            <v>35225</v>
          </cell>
          <cell r="T396">
            <v>5054</v>
          </cell>
        </row>
        <row r="397">
          <cell r="C397" t="str">
            <v>Ault Field CDP, Washington</v>
          </cell>
          <cell r="D397">
            <v>2061</v>
          </cell>
          <cell r="E397">
            <v>1746</v>
          </cell>
          <cell r="F397">
            <v>207</v>
          </cell>
          <cell r="G397">
            <v>1448</v>
          </cell>
          <cell r="H397">
            <v>173</v>
          </cell>
          <cell r="I397">
            <v>319</v>
          </cell>
          <cell r="J397">
            <v>448</v>
          </cell>
          <cell r="K397">
            <v>508</v>
          </cell>
          <cell r="L397">
            <v>91</v>
          </cell>
          <cell r="M397">
            <v>6</v>
          </cell>
          <cell r="N397">
            <v>38</v>
          </cell>
          <cell r="O397">
            <v>47</v>
          </cell>
          <cell r="P397">
            <v>315</v>
          </cell>
          <cell r="Q397">
            <v>104</v>
          </cell>
          <cell r="R397">
            <v>211</v>
          </cell>
          <cell r="S397">
            <v>1655</v>
          </cell>
          <cell r="T397">
            <v>406</v>
          </cell>
        </row>
        <row r="398">
          <cell r="C398" t="str">
            <v>Bainbridge Island city, Washington</v>
          </cell>
          <cell r="D398">
            <v>20308</v>
          </cell>
          <cell r="E398">
            <v>19133</v>
          </cell>
          <cell r="F398">
            <v>7988</v>
          </cell>
          <cell r="G398">
            <v>10756</v>
          </cell>
          <cell r="H398">
            <v>2214</v>
          </cell>
          <cell r="I398">
            <v>2638</v>
          </cell>
          <cell r="J398">
            <v>1427</v>
          </cell>
          <cell r="K398">
            <v>4477</v>
          </cell>
          <cell r="L398">
            <v>389</v>
          </cell>
          <cell r="M398">
            <v>32</v>
          </cell>
          <cell r="N398">
            <v>23</v>
          </cell>
          <cell r="O398">
            <v>334</v>
          </cell>
          <cell r="P398">
            <v>1175</v>
          </cell>
          <cell r="Q398">
            <v>546</v>
          </cell>
          <cell r="R398">
            <v>629</v>
          </cell>
          <cell r="S398">
            <v>18744</v>
          </cell>
          <cell r="T398">
            <v>1564</v>
          </cell>
        </row>
        <row r="399">
          <cell r="C399" t="str">
            <v>Bangor Trident Base CDP, Washington</v>
          </cell>
          <cell r="D399">
            <v>7253</v>
          </cell>
          <cell r="E399">
            <v>6919</v>
          </cell>
          <cell r="F399">
            <v>1173</v>
          </cell>
          <cell r="G399">
            <v>5487</v>
          </cell>
          <cell r="H399">
            <v>821</v>
          </cell>
          <cell r="I399">
            <v>1128</v>
          </cell>
          <cell r="J399">
            <v>1531</v>
          </cell>
          <cell r="K399">
            <v>2007</v>
          </cell>
          <cell r="L399">
            <v>259</v>
          </cell>
          <cell r="M399">
            <v>7</v>
          </cell>
          <cell r="N399">
            <v>134</v>
          </cell>
          <cell r="O399">
            <v>118</v>
          </cell>
          <cell r="P399">
            <v>334</v>
          </cell>
          <cell r="Q399">
            <v>212</v>
          </cell>
          <cell r="R399">
            <v>122</v>
          </cell>
          <cell r="S399">
            <v>6660</v>
          </cell>
          <cell r="T399">
            <v>593</v>
          </cell>
        </row>
        <row r="400">
          <cell r="C400" t="str">
            <v>Banks Lake South CDP, Washington</v>
          </cell>
          <cell r="D400">
            <v>138</v>
          </cell>
          <cell r="E400">
            <v>138</v>
          </cell>
          <cell r="F400">
            <v>105</v>
          </cell>
          <cell r="G400">
            <v>33</v>
          </cell>
          <cell r="H400">
            <v>5</v>
          </cell>
          <cell r="I400">
            <v>7</v>
          </cell>
          <cell r="J400">
            <v>10</v>
          </cell>
          <cell r="K400">
            <v>11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138</v>
          </cell>
          <cell r="T400">
            <v>0</v>
          </cell>
        </row>
        <row r="401">
          <cell r="C401" t="str">
            <v>Barberton CDP, Washington</v>
          </cell>
          <cell r="D401">
            <v>4602</v>
          </cell>
          <cell r="E401">
            <v>4454</v>
          </cell>
          <cell r="F401">
            <v>1600</v>
          </cell>
          <cell r="G401">
            <v>2831</v>
          </cell>
          <cell r="H401">
            <v>163</v>
          </cell>
          <cell r="I401">
            <v>416</v>
          </cell>
          <cell r="J401">
            <v>303</v>
          </cell>
          <cell r="K401">
            <v>1949</v>
          </cell>
          <cell r="L401">
            <v>23</v>
          </cell>
          <cell r="M401">
            <v>0</v>
          </cell>
          <cell r="N401">
            <v>15</v>
          </cell>
          <cell r="O401">
            <v>8</v>
          </cell>
          <cell r="P401">
            <v>148</v>
          </cell>
          <cell r="Q401">
            <v>84</v>
          </cell>
          <cell r="R401">
            <v>64</v>
          </cell>
          <cell r="S401">
            <v>4431</v>
          </cell>
          <cell r="T401">
            <v>171</v>
          </cell>
        </row>
        <row r="402">
          <cell r="C402" t="str">
            <v>Baring CDP, Washington</v>
          </cell>
          <cell r="D402">
            <v>225</v>
          </cell>
          <cell r="E402">
            <v>218</v>
          </cell>
          <cell r="F402">
            <v>96</v>
          </cell>
          <cell r="G402">
            <v>115</v>
          </cell>
          <cell r="H402">
            <v>2</v>
          </cell>
          <cell r="I402">
            <v>29</v>
          </cell>
          <cell r="J402">
            <v>26</v>
          </cell>
          <cell r="K402">
            <v>58</v>
          </cell>
          <cell r="L402">
            <v>7</v>
          </cell>
          <cell r="M402">
            <v>0</v>
          </cell>
          <cell r="N402">
            <v>0</v>
          </cell>
          <cell r="O402">
            <v>7</v>
          </cell>
          <cell r="P402">
            <v>7</v>
          </cell>
          <cell r="Q402">
            <v>2</v>
          </cell>
          <cell r="R402">
            <v>5</v>
          </cell>
          <cell r="S402">
            <v>211</v>
          </cell>
          <cell r="T402">
            <v>14</v>
          </cell>
        </row>
        <row r="403">
          <cell r="C403" t="str">
            <v>Basin City CDP, Washington</v>
          </cell>
          <cell r="D403">
            <v>850</v>
          </cell>
          <cell r="E403">
            <v>479</v>
          </cell>
          <cell r="F403">
            <v>362</v>
          </cell>
          <cell r="G403">
            <v>108</v>
          </cell>
          <cell r="H403">
            <v>0</v>
          </cell>
          <cell r="I403">
            <v>35</v>
          </cell>
          <cell r="J403">
            <v>11</v>
          </cell>
          <cell r="K403">
            <v>62</v>
          </cell>
          <cell r="L403">
            <v>9</v>
          </cell>
          <cell r="M403">
            <v>0</v>
          </cell>
          <cell r="N403">
            <v>0</v>
          </cell>
          <cell r="O403">
            <v>9</v>
          </cell>
          <cell r="P403">
            <v>371</v>
          </cell>
          <cell r="Q403">
            <v>39</v>
          </cell>
          <cell r="R403">
            <v>332</v>
          </cell>
          <cell r="S403">
            <v>470</v>
          </cell>
          <cell r="T403">
            <v>380</v>
          </cell>
        </row>
        <row r="404">
          <cell r="C404" t="str">
            <v>Battle Ground city, Washington</v>
          </cell>
          <cell r="D404">
            <v>9344</v>
          </cell>
          <cell r="E404">
            <v>8822</v>
          </cell>
          <cell r="F404">
            <v>3642</v>
          </cell>
          <cell r="G404">
            <v>5089</v>
          </cell>
          <cell r="H404">
            <v>341</v>
          </cell>
          <cell r="I404">
            <v>1100</v>
          </cell>
          <cell r="J404">
            <v>402</v>
          </cell>
          <cell r="K404">
            <v>3246</v>
          </cell>
          <cell r="L404">
            <v>91</v>
          </cell>
          <cell r="M404">
            <v>7</v>
          </cell>
          <cell r="N404">
            <v>0</v>
          </cell>
          <cell r="O404">
            <v>84</v>
          </cell>
          <cell r="P404">
            <v>522</v>
          </cell>
          <cell r="Q404">
            <v>134</v>
          </cell>
          <cell r="R404">
            <v>388</v>
          </cell>
          <cell r="S404">
            <v>8731</v>
          </cell>
          <cell r="T404">
            <v>613</v>
          </cell>
        </row>
        <row r="405">
          <cell r="C405" t="str">
            <v>Bay Center CDP, Washington</v>
          </cell>
          <cell r="D405">
            <v>164</v>
          </cell>
          <cell r="E405">
            <v>161</v>
          </cell>
          <cell r="F405">
            <v>77</v>
          </cell>
          <cell r="G405">
            <v>68</v>
          </cell>
          <cell r="H405">
            <v>0</v>
          </cell>
          <cell r="I405">
            <v>13</v>
          </cell>
          <cell r="J405">
            <v>17</v>
          </cell>
          <cell r="K405">
            <v>38</v>
          </cell>
          <cell r="L405">
            <v>16</v>
          </cell>
          <cell r="M405">
            <v>0</v>
          </cell>
          <cell r="N405">
            <v>0</v>
          </cell>
          <cell r="O405">
            <v>16</v>
          </cell>
          <cell r="P405">
            <v>3</v>
          </cell>
          <cell r="Q405">
            <v>0</v>
          </cell>
          <cell r="R405">
            <v>3</v>
          </cell>
          <cell r="S405">
            <v>145</v>
          </cell>
          <cell r="T405">
            <v>19</v>
          </cell>
        </row>
        <row r="406">
          <cell r="C406" t="str">
            <v>Bay View CDP, Washington</v>
          </cell>
          <cell r="D406">
            <v>442</v>
          </cell>
          <cell r="E406">
            <v>427</v>
          </cell>
          <cell r="F406">
            <v>213</v>
          </cell>
          <cell r="G406">
            <v>214</v>
          </cell>
          <cell r="H406">
            <v>0</v>
          </cell>
          <cell r="I406">
            <v>62</v>
          </cell>
          <cell r="J406">
            <v>23</v>
          </cell>
          <cell r="K406">
            <v>129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15</v>
          </cell>
          <cell r="Q406">
            <v>15</v>
          </cell>
          <cell r="R406">
            <v>0</v>
          </cell>
          <cell r="S406">
            <v>427</v>
          </cell>
          <cell r="T406">
            <v>15</v>
          </cell>
        </row>
        <row r="407">
          <cell r="C407" t="str">
            <v>Beaux Arts Village town, Washington</v>
          </cell>
          <cell r="D407">
            <v>312</v>
          </cell>
          <cell r="E407">
            <v>284</v>
          </cell>
          <cell r="F407">
            <v>134</v>
          </cell>
          <cell r="G407">
            <v>140</v>
          </cell>
          <cell r="H407">
            <v>20</v>
          </cell>
          <cell r="I407">
            <v>46</v>
          </cell>
          <cell r="J407">
            <v>21</v>
          </cell>
          <cell r="K407">
            <v>53</v>
          </cell>
          <cell r="L407">
            <v>10</v>
          </cell>
          <cell r="M407">
            <v>0</v>
          </cell>
          <cell r="N407">
            <v>0</v>
          </cell>
          <cell r="O407">
            <v>10</v>
          </cell>
          <cell r="P407">
            <v>28</v>
          </cell>
          <cell r="Q407">
            <v>28</v>
          </cell>
          <cell r="R407">
            <v>0</v>
          </cell>
          <cell r="S407">
            <v>274</v>
          </cell>
          <cell r="T407">
            <v>38</v>
          </cell>
        </row>
        <row r="408">
          <cell r="C408" t="str">
            <v>Bellevue city, Washington</v>
          </cell>
          <cell r="D408">
            <v>109189</v>
          </cell>
          <cell r="E408">
            <v>82407</v>
          </cell>
          <cell r="F408">
            <v>36771</v>
          </cell>
          <cell r="G408">
            <v>44180</v>
          </cell>
          <cell r="H408">
            <v>6695</v>
          </cell>
          <cell r="I408">
            <v>12536</v>
          </cell>
          <cell r="J408">
            <v>6884</v>
          </cell>
          <cell r="K408">
            <v>18065</v>
          </cell>
          <cell r="L408">
            <v>1456</v>
          </cell>
          <cell r="M408">
            <v>69</v>
          </cell>
          <cell r="N408">
            <v>100</v>
          </cell>
          <cell r="O408">
            <v>1287</v>
          </cell>
          <cell r="P408">
            <v>26782</v>
          </cell>
          <cell r="Q408">
            <v>11034</v>
          </cell>
          <cell r="R408">
            <v>15748</v>
          </cell>
          <cell r="S408">
            <v>80951</v>
          </cell>
          <cell r="T408">
            <v>28238</v>
          </cell>
        </row>
        <row r="409">
          <cell r="C409" t="str">
            <v>Bell Hill CDP, Washington</v>
          </cell>
          <cell r="D409">
            <v>831</v>
          </cell>
          <cell r="E409">
            <v>777</v>
          </cell>
          <cell r="F409">
            <v>227</v>
          </cell>
          <cell r="G409">
            <v>514</v>
          </cell>
          <cell r="H409">
            <v>80</v>
          </cell>
          <cell r="I409">
            <v>155</v>
          </cell>
          <cell r="J409">
            <v>64</v>
          </cell>
          <cell r="K409">
            <v>215</v>
          </cell>
          <cell r="L409">
            <v>36</v>
          </cell>
          <cell r="M409">
            <v>0</v>
          </cell>
          <cell r="N409">
            <v>0</v>
          </cell>
          <cell r="O409">
            <v>36</v>
          </cell>
          <cell r="P409">
            <v>54</v>
          </cell>
          <cell r="Q409">
            <v>47</v>
          </cell>
          <cell r="R409">
            <v>7</v>
          </cell>
          <cell r="S409">
            <v>741</v>
          </cell>
          <cell r="T409">
            <v>90</v>
          </cell>
        </row>
        <row r="410">
          <cell r="C410" t="str">
            <v>Bellingham city, Washington</v>
          </cell>
          <cell r="D410">
            <v>66815</v>
          </cell>
          <cell r="E410">
            <v>60727</v>
          </cell>
          <cell r="F410">
            <v>32981</v>
          </cell>
          <cell r="G410">
            <v>26594</v>
          </cell>
          <cell r="H410">
            <v>3030</v>
          </cell>
          <cell r="I410">
            <v>7397</v>
          </cell>
          <cell r="J410">
            <v>3517</v>
          </cell>
          <cell r="K410">
            <v>12650</v>
          </cell>
          <cell r="L410">
            <v>1152</v>
          </cell>
          <cell r="M410">
            <v>52</v>
          </cell>
          <cell r="N410">
            <v>25</v>
          </cell>
          <cell r="O410">
            <v>1075</v>
          </cell>
          <cell r="P410">
            <v>6088</v>
          </cell>
          <cell r="Q410">
            <v>2694</v>
          </cell>
          <cell r="R410">
            <v>3394</v>
          </cell>
          <cell r="S410">
            <v>59575</v>
          </cell>
          <cell r="T410">
            <v>7240</v>
          </cell>
        </row>
        <row r="411">
          <cell r="C411" t="str">
            <v>Benton City city, Washington</v>
          </cell>
          <cell r="D411">
            <v>2533</v>
          </cell>
          <cell r="E411">
            <v>2332</v>
          </cell>
          <cell r="F411">
            <v>1225</v>
          </cell>
          <cell r="G411">
            <v>1092</v>
          </cell>
          <cell r="H411">
            <v>60</v>
          </cell>
          <cell r="I411">
            <v>207</v>
          </cell>
          <cell r="J411">
            <v>156</v>
          </cell>
          <cell r="K411">
            <v>669</v>
          </cell>
          <cell r="L411">
            <v>15</v>
          </cell>
          <cell r="M411">
            <v>0</v>
          </cell>
          <cell r="N411">
            <v>0</v>
          </cell>
          <cell r="O411">
            <v>15</v>
          </cell>
          <cell r="P411">
            <v>201</v>
          </cell>
          <cell r="Q411">
            <v>40</v>
          </cell>
          <cell r="R411">
            <v>161</v>
          </cell>
          <cell r="S411">
            <v>2317</v>
          </cell>
          <cell r="T411">
            <v>216</v>
          </cell>
        </row>
        <row r="412">
          <cell r="C412" t="str">
            <v>Bickleton CDP, Washington</v>
          </cell>
          <cell r="D412">
            <v>99</v>
          </cell>
          <cell r="E412">
            <v>99</v>
          </cell>
          <cell r="F412">
            <v>61</v>
          </cell>
          <cell r="G412">
            <v>35</v>
          </cell>
          <cell r="H412">
            <v>2</v>
          </cell>
          <cell r="I412">
            <v>8</v>
          </cell>
          <cell r="J412">
            <v>0</v>
          </cell>
          <cell r="K412">
            <v>25</v>
          </cell>
          <cell r="L412">
            <v>3</v>
          </cell>
          <cell r="M412">
            <v>0</v>
          </cell>
          <cell r="N412">
            <v>0</v>
          </cell>
          <cell r="O412">
            <v>3</v>
          </cell>
          <cell r="P412">
            <v>0</v>
          </cell>
          <cell r="Q412">
            <v>0</v>
          </cell>
          <cell r="R412">
            <v>0</v>
          </cell>
          <cell r="S412">
            <v>96</v>
          </cell>
          <cell r="T412">
            <v>3</v>
          </cell>
        </row>
        <row r="413">
          <cell r="C413" t="str">
            <v>Big Lake CDP, Washington</v>
          </cell>
          <cell r="D413">
            <v>1366</v>
          </cell>
          <cell r="E413">
            <v>1350</v>
          </cell>
          <cell r="F413">
            <v>842</v>
          </cell>
          <cell r="G413">
            <v>497</v>
          </cell>
          <cell r="H413">
            <v>64</v>
          </cell>
          <cell r="I413">
            <v>83</v>
          </cell>
          <cell r="J413">
            <v>63</v>
          </cell>
          <cell r="K413">
            <v>287</v>
          </cell>
          <cell r="L413">
            <v>11</v>
          </cell>
          <cell r="M413">
            <v>0</v>
          </cell>
          <cell r="N413">
            <v>0</v>
          </cell>
          <cell r="O413">
            <v>11</v>
          </cell>
          <cell r="P413">
            <v>16</v>
          </cell>
          <cell r="Q413">
            <v>16</v>
          </cell>
          <cell r="R413">
            <v>0</v>
          </cell>
          <cell r="S413">
            <v>1339</v>
          </cell>
          <cell r="T413">
            <v>27</v>
          </cell>
        </row>
        <row r="414">
          <cell r="C414" t="str">
            <v>Bingen city, Washington</v>
          </cell>
          <cell r="D414">
            <v>657</v>
          </cell>
          <cell r="E414">
            <v>555</v>
          </cell>
          <cell r="F414">
            <v>195</v>
          </cell>
          <cell r="G414">
            <v>358</v>
          </cell>
          <cell r="H414">
            <v>18</v>
          </cell>
          <cell r="I414">
            <v>55</v>
          </cell>
          <cell r="J414">
            <v>50</v>
          </cell>
          <cell r="K414">
            <v>235</v>
          </cell>
          <cell r="L414">
            <v>2</v>
          </cell>
          <cell r="M414">
            <v>0</v>
          </cell>
          <cell r="N414">
            <v>0</v>
          </cell>
          <cell r="O414">
            <v>2</v>
          </cell>
          <cell r="P414">
            <v>102</v>
          </cell>
          <cell r="Q414">
            <v>15</v>
          </cell>
          <cell r="R414">
            <v>87</v>
          </cell>
          <cell r="S414">
            <v>553</v>
          </cell>
          <cell r="T414">
            <v>104</v>
          </cell>
        </row>
        <row r="415">
          <cell r="C415" t="str">
            <v>Birch Bay CDP, Washington</v>
          </cell>
          <cell r="D415">
            <v>4970</v>
          </cell>
          <cell r="E415">
            <v>4137</v>
          </cell>
          <cell r="F415">
            <v>2057</v>
          </cell>
          <cell r="G415">
            <v>2058</v>
          </cell>
          <cell r="H415">
            <v>243</v>
          </cell>
          <cell r="I415">
            <v>664</v>
          </cell>
          <cell r="J415">
            <v>228</v>
          </cell>
          <cell r="K415">
            <v>923</v>
          </cell>
          <cell r="L415">
            <v>22</v>
          </cell>
          <cell r="M415">
            <v>0</v>
          </cell>
          <cell r="N415">
            <v>0</v>
          </cell>
          <cell r="O415">
            <v>22</v>
          </cell>
          <cell r="P415">
            <v>833</v>
          </cell>
          <cell r="Q415">
            <v>338</v>
          </cell>
          <cell r="R415">
            <v>495</v>
          </cell>
          <cell r="S415">
            <v>4115</v>
          </cell>
          <cell r="T415">
            <v>855</v>
          </cell>
        </row>
        <row r="416">
          <cell r="C416" t="str">
            <v>Black Diamond city, Washington</v>
          </cell>
          <cell r="D416">
            <v>3919</v>
          </cell>
          <cell r="E416">
            <v>3737</v>
          </cell>
          <cell r="F416">
            <v>2266</v>
          </cell>
          <cell r="G416">
            <v>1430</v>
          </cell>
          <cell r="H416">
            <v>121</v>
          </cell>
          <cell r="I416">
            <v>378</v>
          </cell>
          <cell r="J416">
            <v>168</v>
          </cell>
          <cell r="K416">
            <v>763</v>
          </cell>
          <cell r="L416">
            <v>41</v>
          </cell>
          <cell r="M416">
            <v>0</v>
          </cell>
          <cell r="N416">
            <v>0</v>
          </cell>
          <cell r="O416">
            <v>41</v>
          </cell>
          <cell r="P416">
            <v>182</v>
          </cell>
          <cell r="Q416">
            <v>97</v>
          </cell>
          <cell r="R416">
            <v>85</v>
          </cell>
          <cell r="S416">
            <v>3696</v>
          </cell>
          <cell r="T416">
            <v>223</v>
          </cell>
        </row>
        <row r="417">
          <cell r="C417" t="str">
            <v>Blaine city, Washington</v>
          </cell>
          <cell r="D417">
            <v>3713</v>
          </cell>
          <cell r="E417">
            <v>2986</v>
          </cell>
          <cell r="F417">
            <v>1361</v>
          </cell>
          <cell r="G417">
            <v>1522</v>
          </cell>
          <cell r="H417">
            <v>142</v>
          </cell>
          <cell r="I417">
            <v>456</v>
          </cell>
          <cell r="J417">
            <v>186</v>
          </cell>
          <cell r="K417">
            <v>738</v>
          </cell>
          <cell r="L417">
            <v>103</v>
          </cell>
          <cell r="M417">
            <v>0</v>
          </cell>
          <cell r="N417">
            <v>0</v>
          </cell>
          <cell r="O417">
            <v>103</v>
          </cell>
          <cell r="P417">
            <v>727</v>
          </cell>
          <cell r="Q417">
            <v>265</v>
          </cell>
          <cell r="R417">
            <v>462</v>
          </cell>
          <cell r="S417">
            <v>2883</v>
          </cell>
          <cell r="T417">
            <v>830</v>
          </cell>
        </row>
        <row r="418">
          <cell r="C418" t="str">
            <v>Blyn CDP, Washington</v>
          </cell>
          <cell r="D418">
            <v>133</v>
          </cell>
          <cell r="E418">
            <v>133</v>
          </cell>
          <cell r="F418">
            <v>46</v>
          </cell>
          <cell r="G418">
            <v>87</v>
          </cell>
          <cell r="H418">
            <v>12</v>
          </cell>
          <cell r="I418">
            <v>18</v>
          </cell>
          <cell r="J418">
            <v>32</v>
          </cell>
          <cell r="K418">
            <v>25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133</v>
          </cell>
          <cell r="T418">
            <v>0</v>
          </cell>
        </row>
        <row r="419">
          <cell r="C419" t="str">
            <v>Bonney Lake city, Washington</v>
          </cell>
          <cell r="D419">
            <v>9358</v>
          </cell>
          <cell r="E419">
            <v>9141</v>
          </cell>
          <cell r="F419">
            <v>5713</v>
          </cell>
          <cell r="G419">
            <v>3341</v>
          </cell>
          <cell r="H419">
            <v>265</v>
          </cell>
          <cell r="I419">
            <v>937</v>
          </cell>
          <cell r="J419">
            <v>479</v>
          </cell>
          <cell r="K419">
            <v>1660</v>
          </cell>
          <cell r="L419">
            <v>87</v>
          </cell>
          <cell r="M419">
            <v>0</v>
          </cell>
          <cell r="N419">
            <v>0</v>
          </cell>
          <cell r="O419">
            <v>87</v>
          </cell>
          <cell r="P419">
            <v>217</v>
          </cell>
          <cell r="Q419">
            <v>113</v>
          </cell>
          <cell r="R419">
            <v>104</v>
          </cell>
          <cell r="S419">
            <v>9054</v>
          </cell>
          <cell r="T419">
            <v>304</v>
          </cell>
        </row>
        <row r="420">
          <cell r="C420" t="str">
            <v>Bothell city, Washington</v>
          </cell>
          <cell r="D420">
            <v>29869</v>
          </cell>
          <cell r="E420">
            <v>26523</v>
          </cell>
          <cell r="F420">
            <v>14256</v>
          </cell>
          <cell r="G420">
            <v>12021</v>
          </cell>
          <cell r="H420">
            <v>1380</v>
          </cell>
          <cell r="I420">
            <v>3749</v>
          </cell>
          <cell r="J420">
            <v>1631</v>
          </cell>
          <cell r="K420">
            <v>5261</v>
          </cell>
          <cell r="L420">
            <v>246</v>
          </cell>
          <cell r="M420">
            <v>22</v>
          </cell>
          <cell r="N420">
            <v>9</v>
          </cell>
          <cell r="O420">
            <v>215</v>
          </cell>
          <cell r="P420">
            <v>3346</v>
          </cell>
          <cell r="Q420">
            <v>1494</v>
          </cell>
          <cell r="R420">
            <v>1852</v>
          </cell>
          <cell r="S420">
            <v>26277</v>
          </cell>
          <cell r="T420">
            <v>3592</v>
          </cell>
        </row>
        <row r="421">
          <cell r="C421" t="str">
            <v>Brady CDP, Washington</v>
          </cell>
          <cell r="D421">
            <v>834</v>
          </cell>
          <cell r="E421">
            <v>834</v>
          </cell>
          <cell r="F421">
            <v>452</v>
          </cell>
          <cell r="G421">
            <v>360</v>
          </cell>
          <cell r="H421">
            <v>29</v>
          </cell>
          <cell r="I421">
            <v>99</v>
          </cell>
          <cell r="J421">
            <v>47</v>
          </cell>
          <cell r="K421">
            <v>185</v>
          </cell>
          <cell r="L421">
            <v>22</v>
          </cell>
          <cell r="M421">
            <v>0</v>
          </cell>
          <cell r="N421">
            <v>0</v>
          </cell>
          <cell r="O421">
            <v>22</v>
          </cell>
          <cell r="P421">
            <v>0</v>
          </cell>
          <cell r="Q421">
            <v>0</v>
          </cell>
          <cell r="R421">
            <v>0</v>
          </cell>
          <cell r="S421">
            <v>812</v>
          </cell>
          <cell r="T421">
            <v>22</v>
          </cell>
        </row>
        <row r="422">
          <cell r="C422" t="str">
            <v>Bremerton city, Washington</v>
          </cell>
          <cell r="D422">
            <v>37054</v>
          </cell>
          <cell r="E422">
            <v>34373</v>
          </cell>
          <cell r="F422">
            <v>13977</v>
          </cell>
          <cell r="G422">
            <v>19613</v>
          </cell>
          <cell r="H422">
            <v>2047</v>
          </cell>
          <cell r="I422">
            <v>4903</v>
          </cell>
          <cell r="J422">
            <v>3840</v>
          </cell>
          <cell r="K422">
            <v>8823</v>
          </cell>
          <cell r="L422">
            <v>783</v>
          </cell>
          <cell r="M422">
            <v>65</v>
          </cell>
          <cell r="N422">
            <v>106</v>
          </cell>
          <cell r="O422">
            <v>612</v>
          </cell>
          <cell r="P422">
            <v>2681</v>
          </cell>
          <cell r="Q422">
            <v>1357</v>
          </cell>
          <cell r="R422">
            <v>1324</v>
          </cell>
          <cell r="S422">
            <v>33590</v>
          </cell>
          <cell r="T422">
            <v>3464</v>
          </cell>
        </row>
        <row r="423">
          <cell r="C423" t="str">
            <v>Brewster city, Washington</v>
          </cell>
          <cell r="D423">
            <v>2179</v>
          </cell>
          <cell r="E423">
            <v>1325</v>
          </cell>
          <cell r="F423">
            <v>909</v>
          </cell>
          <cell r="G423">
            <v>409</v>
          </cell>
          <cell r="H423">
            <v>3</v>
          </cell>
          <cell r="I423">
            <v>154</v>
          </cell>
          <cell r="J423">
            <v>74</v>
          </cell>
          <cell r="K423">
            <v>178</v>
          </cell>
          <cell r="L423">
            <v>7</v>
          </cell>
          <cell r="M423">
            <v>0</v>
          </cell>
          <cell r="N423">
            <v>0</v>
          </cell>
          <cell r="O423">
            <v>7</v>
          </cell>
          <cell r="P423">
            <v>854</v>
          </cell>
          <cell r="Q423">
            <v>110</v>
          </cell>
          <cell r="R423">
            <v>744</v>
          </cell>
          <cell r="S423">
            <v>1318</v>
          </cell>
          <cell r="T423">
            <v>861</v>
          </cell>
        </row>
        <row r="424">
          <cell r="C424" t="str">
            <v>Bridgeport city, Washington</v>
          </cell>
          <cell r="D424">
            <v>2099</v>
          </cell>
          <cell r="E424">
            <v>1216</v>
          </cell>
          <cell r="F424">
            <v>796</v>
          </cell>
          <cell r="G424">
            <v>407</v>
          </cell>
          <cell r="H424">
            <v>8</v>
          </cell>
          <cell r="I424">
            <v>106</v>
          </cell>
          <cell r="J424">
            <v>69</v>
          </cell>
          <cell r="K424">
            <v>224</v>
          </cell>
          <cell r="L424">
            <v>13</v>
          </cell>
          <cell r="M424">
            <v>0</v>
          </cell>
          <cell r="N424">
            <v>0</v>
          </cell>
          <cell r="O424">
            <v>13</v>
          </cell>
          <cell r="P424">
            <v>883</v>
          </cell>
          <cell r="Q424">
            <v>64</v>
          </cell>
          <cell r="R424">
            <v>819</v>
          </cell>
          <cell r="S424">
            <v>1203</v>
          </cell>
          <cell r="T424">
            <v>896</v>
          </cell>
        </row>
        <row r="425">
          <cell r="C425" t="str">
            <v>Brier city, Washington</v>
          </cell>
          <cell r="D425">
            <v>6548</v>
          </cell>
          <cell r="E425">
            <v>5887</v>
          </cell>
          <cell r="F425">
            <v>3624</v>
          </cell>
          <cell r="G425">
            <v>2233</v>
          </cell>
          <cell r="H425">
            <v>256</v>
          </cell>
          <cell r="I425">
            <v>583</v>
          </cell>
          <cell r="J425">
            <v>299</v>
          </cell>
          <cell r="K425">
            <v>1095</v>
          </cell>
          <cell r="L425">
            <v>30</v>
          </cell>
          <cell r="M425">
            <v>0</v>
          </cell>
          <cell r="N425">
            <v>0</v>
          </cell>
          <cell r="O425">
            <v>30</v>
          </cell>
          <cell r="P425">
            <v>661</v>
          </cell>
          <cell r="Q425">
            <v>499</v>
          </cell>
          <cell r="R425">
            <v>162</v>
          </cell>
          <cell r="S425">
            <v>5857</v>
          </cell>
          <cell r="T425">
            <v>691</v>
          </cell>
        </row>
        <row r="426">
          <cell r="C426" t="str">
            <v>Brinnon CDP, Washington</v>
          </cell>
          <cell r="D426">
            <v>831</v>
          </cell>
          <cell r="E426">
            <v>801</v>
          </cell>
          <cell r="F426">
            <v>409</v>
          </cell>
          <cell r="G426">
            <v>387</v>
          </cell>
          <cell r="H426">
            <v>30</v>
          </cell>
          <cell r="I426">
            <v>166</v>
          </cell>
          <cell r="J426">
            <v>34</v>
          </cell>
          <cell r="K426">
            <v>157</v>
          </cell>
          <cell r="L426">
            <v>5</v>
          </cell>
          <cell r="M426">
            <v>0</v>
          </cell>
          <cell r="N426">
            <v>0</v>
          </cell>
          <cell r="O426">
            <v>5</v>
          </cell>
          <cell r="P426">
            <v>30</v>
          </cell>
          <cell r="Q426">
            <v>26</v>
          </cell>
          <cell r="R426">
            <v>4</v>
          </cell>
          <cell r="S426">
            <v>796</v>
          </cell>
          <cell r="T426">
            <v>35</v>
          </cell>
        </row>
        <row r="427">
          <cell r="C427" t="str">
            <v>Brush Prairie CDP, Washington</v>
          </cell>
          <cell r="D427">
            <v>2415</v>
          </cell>
          <cell r="E427">
            <v>2294</v>
          </cell>
          <cell r="F427">
            <v>802</v>
          </cell>
          <cell r="G427">
            <v>1465</v>
          </cell>
          <cell r="H427">
            <v>121</v>
          </cell>
          <cell r="I427">
            <v>283</v>
          </cell>
          <cell r="J427">
            <v>137</v>
          </cell>
          <cell r="K427">
            <v>924</v>
          </cell>
          <cell r="L427">
            <v>27</v>
          </cell>
          <cell r="M427">
            <v>0</v>
          </cell>
          <cell r="N427">
            <v>0</v>
          </cell>
          <cell r="O427">
            <v>27</v>
          </cell>
          <cell r="P427">
            <v>121</v>
          </cell>
          <cell r="Q427">
            <v>69</v>
          </cell>
          <cell r="R427">
            <v>52</v>
          </cell>
          <cell r="S427">
            <v>2267</v>
          </cell>
          <cell r="T427">
            <v>148</v>
          </cell>
        </row>
        <row r="428">
          <cell r="C428" t="str">
            <v>Bryn Mawr-Skyway CDP, Washington</v>
          </cell>
          <cell r="D428">
            <v>14050</v>
          </cell>
          <cell r="E428">
            <v>11514</v>
          </cell>
          <cell r="F428">
            <v>6645</v>
          </cell>
          <cell r="G428">
            <v>4604</v>
          </cell>
          <cell r="H428">
            <v>273</v>
          </cell>
          <cell r="I428">
            <v>1497</v>
          </cell>
          <cell r="J428">
            <v>1441</v>
          </cell>
          <cell r="K428">
            <v>1393</v>
          </cell>
          <cell r="L428">
            <v>265</v>
          </cell>
          <cell r="M428">
            <v>31</v>
          </cell>
          <cell r="N428">
            <v>65</v>
          </cell>
          <cell r="O428">
            <v>169</v>
          </cell>
          <cell r="P428">
            <v>2536</v>
          </cell>
          <cell r="Q428">
            <v>1387</v>
          </cell>
          <cell r="R428">
            <v>1149</v>
          </cell>
          <cell r="S428">
            <v>11249</v>
          </cell>
          <cell r="T428">
            <v>2801</v>
          </cell>
        </row>
        <row r="429">
          <cell r="C429" t="str">
            <v>Buckley city, Washington</v>
          </cell>
          <cell r="D429">
            <v>4064</v>
          </cell>
          <cell r="E429">
            <v>3997</v>
          </cell>
          <cell r="F429">
            <v>2758</v>
          </cell>
          <cell r="G429">
            <v>1144</v>
          </cell>
          <cell r="H429">
            <v>78</v>
          </cell>
          <cell r="I429">
            <v>355</v>
          </cell>
          <cell r="J429">
            <v>76</v>
          </cell>
          <cell r="K429">
            <v>635</v>
          </cell>
          <cell r="L429">
            <v>95</v>
          </cell>
          <cell r="M429">
            <v>0</v>
          </cell>
          <cell r="N429">
            <v>34</v>
          </cell>
          <cell r="O429">
            <v>61</v>
          </cell>
          <cell r="P429">
            <v>67</v>
          </cell>
          <cell r="Q429">
            <v>67</v>
          </cell>
          <cell r="R429">
            <v>0</v>
          </cell>
          <cell r="S429">
            <v>3902</v>
          </cell>
          <cell r="T429">
            <v>162</v>
          </cell>
        </row>
        <row r="430">
          <cell r="C430" t="str">
            <v>Bucoda town, Washington</v>
          </cell>
          <cell r="D430">
            <v>648</v>
          </cell>
          <cell r="E430">
            <v>630</v>
          </cell>
          <cell r="F430">
            <v>413</v>
          </cell>
          <cell r="G430">
            <v>214</v>
          </cell>
          <cell r="H430">
            <v>32</v>
          </cell>
          <cell r="I430">
            <v>32</v>
          </cell>
          <cell r="J430">
            <v>29</v>
          </cell>
          <cell r="K430">
            <v>121</v>
          </cell>
          <cell r="L430">
            <v>3</v>
          </cell>
          <cell r="M430">
            <v>0</v>
          </cell>
          <cell r="N430">
            <v>0</v>
          </cell>
          <cell r="O430">
            <v>3</v>
          </cell>
          <cell r="P430">
            <v>18</v>
          </cell>
          <cell r="Q430">
            <v>5</v>
          </cell>
          <cell r="R430">
            <v>13</v>
          </cell>
          <cell r="S430">
            <v>627</v>
          </cell>
          <cell r="T430">
            <v>21</v>
          </cell>
        </row>
        <row r="431">
          <cell r="C431" t="str">
            <v>Burbank CDP, Washington</v>
          </cell>
          <cell r="D431">
            <v>3394</v>
          </cell>
          <cell r="E431">
            <v>3175</v>
          </cell>
          <cell r="F431">
            <v>1913</v>
          </cell>
          <cell r="G431">
            <v>1223</v>
          </cell>
          <cell r="H431">
            <v>64</v>
          </cell>
          <cell r="I431">
            <v>343</v>
          </cell>
          <cell r="J431">
            <v>180</v>
          </cell>
          <cell r="K431">
            <v>636</v>
          </cell>
          <cell r="L431">
            <v>39</v>
          </cell>
          <cell r="M431">
            <v>0</v>
          </cell>
          <cell r="N431">
            <v>0</v>
          </cell>
          <cell r="O431">
            <v>39</v>
          </cell>
          <cell r="P431">
            <v>219</v>
          </cell>
          <cell r="Q431">
            <v>92</v>
          </cell>
          <cell r="R431">
            <v>127</v>
          </cell>
          <cell r="S431">
            <v>3136</v>
          </cell>
          <cell r="T431">
            <v>258</v>
          </cell>
        </row>
        <row r="432">
          <cell r="C432" t="str">
            <v>Burien city, Washington</v>
          </cell>
          <cell r="D432">
            <v>31744</v>
          </cell>
          <cell r="E432">
            <v>26904</v>
          </cell>
          <cell r="F432">
            <v>15655</v>
          </cell>
          <cell r="G432">
            <v>10875</v>
          </cell>
          <cell r="H432">
            <v>921</v>
          </cell>
          <cell r="I432">
            <v>3961</v>
          </cell>
          <cell r="J432">
            <v>1434</v>
          </cell>
          <cell r="K432">
            <v>4559</v>
          </cell>
          <cell r="L432">
            <v>374</v>
          </cell>
          <cell r="M432">
            <v>25</v>
          </cell>
          <cell r="N432">
            <v>48</v>
          </cell>
          <cell r="O432">
            <v>301</v>
          </cell>
          <cell r="P432">
            <v>4840</v>
          </cell>
          <cell r="Q432">
            <v>1916</v>
          </cell>
          <cell r="R432">
            <v>2924</v>
          </cell>
          <cell r="S432">
            <v>26530</v>
          </cell>
          <cell r="T432">
            <v>5214</v>
          </cell>
        </row>
        <row r="433">
          <cell r="C433" t="str">
            <v>Burlington city, Washington</v>
          </cell>
          <cell r="D433">
            <v>6623</v>
          </cell>
          <cell r="E433">
            <v>5854</v>
          </cell>
          <cell r="F433">
            <v>3612</v>
          </cell>
          <cell r="G433">
            <v>2151</v>
          </cell>
          <cell r="H433">
            <v>109</v>
          </cell>
          <cell r="I433">
            <v>554</v>
          </cell>
          <cell r="J433">
            <v>462</v>
          </cell>
          <cell r="K433">
            <v>1026</v>
          </cell>
          <cell r="L433">
            <v>91</v>
          </cell>
          <cell r="M433">
            <v>0</v>
          </cell>
          <cell r="N433">
            <v>0</v>
          </cell>
          <cell r="O433">
            <v>91</v>
          </cell>
          <cell r="P433">
            <v>769</v>
          </cell>
          <cell r="Q433">
            <v>298</v>
          </cell>
          <cell r="R433">
            <v>471</v>
          </cell>
          <cell r="S433">
            <v>5763</v>
          </cell>
          <cell r="T433">
            <v>860</v>
          </cell>
        </row>
        <row r="434">
          <cell r="C434" t="str">
            <v>Camano CDP, Washington</v>
          </cell>
          <cell r="D434">
            <v>13529</v>
          </cell>
          <cell r="E434">
            <v>12962</v>
          </cell>
          <cell r="F434">
            <v>6938</v>
          </cell>
          <cell r="G434">
            <v>5876</v>
          </cell>
          <cell r="H434">
            <v>598</v>
          </cell>
          <cell r="I434">
            <v>1751</v>
          </cell>
          <cell r="J434">
            <v>742</v>
          </cell>
          <cell r="K434">
            <v>2785</v>
          </cell>
          <cell r="L434">
            <v>148</v>
          </cell>
          <cell r="M434">
            <v>6</v>
          </cell>
          <cell r="N434">
            <v>31</v>
          </cell>
          <cell r="O434">
            <v>111</v>
          </cell>
          <cell r="P434">
            <v>567</v>
          </cell>
          <cell r="Q434">
            <v>404</v>
          </cell>
          <cell r="R434">
            <v>163</v>
          </cell>
          <cell r="S434">
            <v>12814</v>
          </cell>
          <cell r="T434">
            <v>715</v>
          </cell>
        </row>
        <row r="435">
          <cell r="C435" t="str">
            <v>Camas city, Washington</v>
          </cell>
          <cell r="D435">
            <v>12682</v>
          </cell>
          <cell r="E435">
            <v>12195</v>
          </cell>
          <cell r="F435">
            <v>4024</v>
          </cell>
          <cell r="G435">
            <v>7955</v>
          </cell>
          <cell r="H435">
            <v>469</v>
          </cell>
          <cell r="I435">
            <v>1280</v>
          </cell>
          <cell r="J435">
            <v>786</v>
          </cell>
          <cell r="K435">
            <v>5420</v>
          </cell>
          <cell r="L435">
            <v>216</v>
          </cell>
          <cell r="M435">
            <v>0</v>
          </cell>
          <cell r="N435">
            <v>20</v>
          </cell>
          <cell r="O435">
            <v>196</v>
          </cell>
          <cell r="P435">
            <v>487</v>
          </cell>
          <cell r="Q435">
            <v>314</v>
          </cell>
          <cell r="R435">
            <v>173</v>
          </cell>
          <cell r="S435">
            <v>11979</v>
          </cell>
          <cell r="T435">
            <v>703</v>
          </cell>
        </row>
        <row r="436">
          <cell r="C436" t="str">
            <v>Carbonado town, Washington</v>
          </cell>
          <cell r="D436">
            <v>784</v>
          </cell>
          <cell r="E436">
            <v>784</v>
          </cell>
          <cell r="F436">
            <v>592</v>
          </cell>
          <cell r="G436">
            <v>188</v>
          </cell>
          <cell r="H436">
            <v>21</v>
          </cell>
          <cell r="I436">
            <v>64</v>
          </cell>
          <cell r="J436">
            <v>18</v>
          </cell>
          <cell r="K436">
            <v>85</v>
          </cell>
          <cell r="L436">
            <v>4</v>
          </cell>
          <cell r="M436">
            <v>0</v>
          </cell>
          <cell r="N436">
            <v>0</v>
          </cell>
          <cell r="O436">
            <v>4</v>
          </cell>
          <cell r="P436">
            <v>0</v>
          </cell>
          <cell r="Q436">
            <v>0</v>
          </cell>
          <cell r="R436">
            <v>0</v>
          </cell>
          <cell r="S436">
            <v>780</v>
          </cell>
          <cell r="T436">
            <v>4</v>
          </cell>
        </row>
        <row r="437">
          <cell r="C437" t="str">
            <v>Carlsborg CDP, Washington</v>
          </cell>
          <cell r="D437">
            <v>762</v>
          </cell>
          <cell r="E437">
            <v>727</v>
          </cell>
          <cell r="F437">
            <v>303</v>
          </cell>
          <cell r="G437">
            <v>398</v>
          </cell>
          <cell r="H437">
            <v>51</v>
          </cell>
          <cell r="I437">
            <v>109</v>
          </cell>
          <cell r="J437">
            <v>90</v>
          </cell>
          <cell r="K437">
            <v>148</v>
          </cell>
          <cell r="L437">
            <v>26</v>
          </cell>
          <cell r="M437">
            <v>0</v>
          </cell>
          <cell r="N437">
            <v>0</v>
          </cell>
          <cell r="O437">
            <v>26</v>
          </cell>
          <cell r="P437">
            <v>35</v>
          </cell>
          <cell r="Q437">
            <v>15</v>
          </cell>
          <cell r="R437">
            <v>20</v>
          </cell>
          <cell r="S437">
            <v>701</v>
          </cell>
          <cell r="T437">
            <v>61</v>
          </cell>
        </row>
        <row r="438">
          <cell r="C438" t="str">
            <v>Carnation city, Washington</v>
          </cell>
          <cell r="D438">
            <v>1905</v>
          </cell>
          <cell r="E438">
            <v>1793</v>
          </cell>
          <cell r="F438">
            <v>1116</v>
          </cell>
          <cell r="G438">
            <v>669</v>
          </cell>
          <cell r="H438">
            <v>75</v>
          </cell>
          <cell r="I438">
            <v>119</v>
          </cell>
          <cell r="J438">
            <v>104</v>
          </cell>
          <cell r="K438">
            <v>371</v>
          </cell>
          <cell r="L438">
            <v>8</v>
          </cell>
          <cell r="M438">
            <v>4</v>
          </cell>
          <cell r="N438">
            <v>0</v>
          </cell>
          <cell r="O438">
            <v>4</v>
          </cell>
          <cell r="P438">
            <v>112</v>
          </cell>
          <cell r="Q438">
            <v>73</v>
          </cell>
          <cell r="R438">
            <v>39</v>
          </cell>
          <cell r="S438">
            <v>1785</v>
          </cell>
          <cell r="T438">
            <v>120</v>
          </cell>
        </row>
        <row r="439">
          <cell r="C439" t="str">
            <v>Carson River Valley CDP, Washington</v>
          </cell>
          <cell r="D439">
            <v>2095</v>
          </cell>
          <cell r="E439">
            <v>1964</v>
          </cell>
          <cell r="F439">
            <v>908</v>
          </cell>
          <cell r="G439">
            <v>1040</v>
          </cell>
          <cell r="H439">
            <v>29</v>
          </cell>
          <cell r="I439">
            <v>188</v>
          </cell>
          <cell r="J439">
            <v>71</v>
          </cell>
          <cell r="K439">
            <v>752</v>
          </cell>
          <cell r="L439">
            <v>16</v>
          </cell>
          <cell r="M439">
            <v>0</v>
          </cell>
          <cell r="N439">
            <v>6</v>
          </cell>
          <cell r="O439">
            <v>10</v>
          </cell>
          <cell r="P439">
            <v>131</v>
          </cell>
          <cell r="Q439">
            <v>74</v>
          </cell>
          <cell r="R439">
            <v>57</v>
          </cell>
          <cell r="S439">
            <v>1948</v>
          </cell>
          <cell r="T439">
            <v>147</v>
          </cell>
        </row>
        <row r="440">
          <cell r="C440" t="str">
            <v>Cascade-Fairwood CDP, Washington</v>
          </cell>
          <cell r="D440">
            <v>34433</v>
          </cell>
          <cell r="E440">
            <v>29781</v>
          </cell>
          <cell r="F440">
            <v>16589</v>
          </cell>
          <cell r="G440">
            <v>12617</v>
          </cell>
          <cell r="H440">
            <v>1058</v>
          </cell>
          <cell r="I440">
            <v>3647</v>
          </cell>
          <cell r="J440">
            <v>1847</v>
          </cell>
          <cell r="K440">
            <v>6065</v>
          </cell>
          <cell r="L440">
            <v>575</v>
          </cell>
          <cell r="M440">
            <v>0</v>
          </cell>
          <cell r="N440">
            <v>20</v>
          </cell>
          <cell r="O440">
            <v>555</v>
          </cell>
          <cell r="P440">
            <v>4652</v>
          </cell>
          <cell r="Q440">
            <v>2405</v>
          </cell>
          <cell r="R440">
            <v>2247</v>
          </cell>
          <cell r="S440">
            <v>29206</v>
          </cell>
          <cell r="T440">
            <v>5227</v>
          </cell>
        </row>
        <row r="441">
          <cell r="C441" t="str">
            <v>Cascade Valley CDP, Washington</v>
          </cell>
          <cell r="D441">
            <v>1785</v>
          </cell>
          <cell r="E441">
            <v>1627</v>
          </cell>
          <cell r="F441">
            <v>942</v>
          </cell>
          <cell r="G441">
            <v>685</v>
          </cell>
          <cell r="H441">
            <v>39</v>
          </cell>
          <cell r="I441">
            <v>174</v>
          </cell>
          <cell r="J441">
            <v>126</v>
          </cell>
          <cell r="K441">
            <v>346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158</v>
          </cell>
          <cell r="Q441">
            <v>6</v>
          </cell>
          <cell r="R441">
            <v>152</v>
          </cell>
          <cell r="S441">
            <v>1627</v>
          </cell>
          <cell r="T441">
            <v>158</v>
          </cell>
        </row>
        <row r="442">
          <cell r="C442" t="str">
            <v>Cashmere city, Washington</v>
          </cell>
          <cell r="D442">
            <v>2929</v>
          </cell>
          <cell r="E442">
            <v>2609</v>
          </cell>
          <cell r="F442">
            <v>1561</v>
          </cell>
          <cell r="G442">
            <v>1026</v>
          </cell>
          <cell r="H442">
            <v>87</v>
          </cell>
          <cell r="I442">
            <v>252</v>
          </cell>
          <cell r="J442">
            <v>156</v>
          </cell>
          <cell r="K442">
            <v>531</v>
          </cell>
          <cell r="L442">
            <v>22</v>
          </cell>
          <cell r="M442">
            <v>0</v>
          </cell>
          <cell r="N442">
            <v>0</v>
          </cell>
          <cell r="O442">
            <v>22</v>
          </cell>
          <cell r="P442">
            <v>320</v>
          </cell>
          <cell r="Q442">
            <v>77</v>
          </cell>
          <cell r="R442">
            <v>243</v>
          </cell>
          <cell r="S442">
            <v>2587</v>
          </cell>
          <cell r="T442">
            <v>342</v>
          </cell>
        </row>
        <row r="443">
          <cell r="C443" t="str">
            <v>Castle Rock city, Washington</v>
          </cell>
          <cell r="D443">
            <v>2145</v>
          </cell>
          <cell r="E443">
            <v>2123</v>
          </cell>
          <cell r="F443">
            <v>1353</v>
          </cell>
          <cell r="G443">
            <v>765</v>
          </cell>
          <cell r="H443">
            <v>30</v>
          </cell>
          <cell r="I443">
            <v>176</v>
          </cell>
          <cell r="J443">
            <v>84</v>
          </cell>
          <cell r="K443">
            <v>475</v>
          </cell>
          <cell r="L443">
            <v>5</v>
          </cell>
          <cell r="M443">
            <v>0</v>
          </cell>
          <cell r="N443">
            <v>5</v>
          </cell>
          <cell r="O443">
            <v>0</v>
          </cell>
          <cell r="P443">
            <v>22</v>
          </cell>
          <cell r="Q443">
            <v>22</v>
          </cell>
          <cell r="R443">
            <v>0</v>
          </cell>
          <cell r="S443">
            <v>2118</v>
          </cell>
          <cell r="T443">
            <v>27</v>
          </cell>
        </row>
        <row r="444">
          <cell r="C444" t="str">
            <v>Cathan CDP, Washington</v>
          </cell>
          <cell r="D444">
            <v>489</v>
          </cell>
          <cell r="E444">
            <v>478</v>
          </cell>
          <cell r="F444">
            <v>304</v>
          </cell>
          <cell r="G444">
            <v>170</v>
          </cell>
          <cell r="H444">
            <v>5</v>
          </cell>
          <cell r="I444">
            <v>44</v>
          </cell>
          <cell r="J444">
            <v>25</v>
          </cell>
          <cell r="K444">
            <v>96</v>
          </cell>
          <cell r="L444">
            <v>4</v>
          </cell>
          <cell r="M444">
            <v>0</v>
          </cell>
          <cell r="N444">
            <v>0</v>
          </cell>
          <cell r="O444">
            <v>4</v>
          </cell>
          <cell r="P444">
            <v>11</v>
          </cell>
          <cell r="Q444">
            <v>8</v>
          </cell>
          <cell r="R444">
            <v>3</v>
          </cell>
          <cell r="S444">
            <v>474</v>
          </cell>
          <cell r="T444">
            <v>15</v>
          </cell>
        </row>
        <row r="445">
          <cell r="C445" t="str">
            <v>Cathcart CDP, Washington</v>
          </cell>
          <cell r="D445">
            <v>2837</v>
          </cell>
          <cell r="E445">
            <v>2747</v>
          </cell>
          <cell r="F445">
            <v>1760</v>
          </cell>
          <cell r="G445">
            <v>978</v>
          </cell>
          <cell r="H445">
            <v>138</v>
          </cell>
          <cell r="I445">
            <v>243</v>
          </cell>
          <cell r="J445">
            <v>115</v>
          </cell>
          <cell r="K445">
            <v>482</v>
          </cell>
          <cell r="L445">
            <v>9</v>
          </cell>
          <cell r="M445">
            <v>0</v>
          </cell>
          <cell r="N445">
            <v>0</v>
          </cell>
          <cell r="O445">
            <v>9</v>
          </cell>
          <cell r="P445">
            <v>90</v>
          </cell>
          <cell r="Q445">
            <v>73</v>
          </cell>
          <cell r="R445">
            <v>17</v>
          </cell>
          <cell r="S445">
            <v>2738</v>
          </cell>
          <cell r="T445">
            <v>99</v>
          </cell>
        </row>
        <row r="446">
          <cell r="C446" t="str">
            <v>Cathlamet town, Washington</v>
          </cell>
          <cell r="D446">
            <v>548</v>
          </cell>
          <cell r="E446">
            <v>534</v>
          </cell>
          <cell r="F446">
            <v>228</v>
          </cell>
          <cell r="G446">
            <v>300</v>
          </cell>
          <cell r="H446">
            <v>9</v>
          </cell>
          <cell r="I446">
            <v>79</v>
          </cell>
          <cell r="J446">
            <v>14</v>
          </cell>
          <cell r="K446">
            <v>198</v>
          </cell>
          <cell r="L446">
            <v>6</v>
          </cell>
          <cell r="M446">
            <v>0</v>
          </cell>
          <cell r="N446">
            <v>0</v>
          </cell>
          <cell r="O446">
            <v>6</v>
          </cell>
          <cell r="P446">
            <v>14</v>
          </cell>
          <cell r="Q446">
            <v>12</v>
          </cell>
          <cell r="R446">
            <v>2</v>
          </cell>
          <cell r="S446">
            <v>528</v>
          </cell>
          <cell r="T446">
            <v>20</v>
          </cell>
        </row>
        <row r="447">
          <cell r="C447" t="str">
            <v>Centerville CDP, Washington</v>
          </cell>
          <cell r="D447">
            <v>104</v>
          </cell>
          <cell r="E447">
            <v>104</v>
          </cell>
          <cell r="F447">
            <v>54</v>
          </cell>
          <cell r="G447">
            <v>48</v>
          </cell>
          <cell r="H447">
            <v>4</v>
          </cell>
          <cell r="I447">
            <v>12</v>
          </cell>
          <cell r="J447">
            <v>0</v>
          </cell>
          <cell r="K447">
            <v>32</v>
          </cell>
          <cell r="L447">
            <v>2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0</v>
          </cell>
          <cell r="R447">
            <v>0</v>
          </cell>
          <cell r="S447">
            <v>102</v>
          </cell>
          <cell r="T447">
            <v>2</v>
          </cell>
        </row>
        <row r="448">
          <cell r="C448" t="str">
            <v>Centralia city, Washington</v>
          </cell>
          <cell r="D448">
            <v>14720</v>
          </cell>
          <cell r="E448">
            <v>13589</v>
          </cell>
          <cell r="F448">
            <v>8023</v>
          </cell>
          <cell r="G448">
            <v>5415</v>
          </cell>
          <cell r="H448">
            <v>292</v>
          </cell>
          <cell r="I448">
            <v>1459</v>
          </cell>
          <cell r="J448">
            <v>799</v>
          </cell>
          <cell r="K448">
            <v>2865</v>
          </cell>
          <cell r="L448">
            <v>151</v>
          </cell>
          <cell r="M448">
            <v>7</v>
          </cell>
          <cell r="N448">
            <v>17</v>
          </cell>
          <cell r="O448">
            <v>127</v>
          </cell>
          <cell r="P448">
            <v>1131</v>
          </cell>
          <cell r="Q448">
            <v>230</v>
          </cell>
          <cell r="R448">
            <v>901</v>
          </cell>
          <cell r="S448">
            <v>13438</v>
          </cell>
          <cell r="T448">
            <v>1282</v>
          </cell>
        </row>
        <row r="449">
          <cell r="C449" t="str">
            <v>Central Park CDP, Washington</v>
          </cell>
          <cell r="D449">
            <v>2542</v>
          </cell>
          <cell r="E449">
            <v>2475</v>
          </cell>
          <cell r="F449">
            <v>1719</v>
          </cell>
          <cell r="G449">
            <v>744</v>
          </cell>
          <cell r="H449">
            <v>53</v>
          </cell>
          <cell r="I449">
            <v>179</v>
          </cell>
          <cell r="J449">
            <v>116</v>
          </cell>
          <cell r="K449">
            <v>396</v>
          </cell>
          <cell r="L449">
            <v>12</v>
          </cell>
          <cell r="M449">
            <v>0</v>
          </cell>
          <cell r="N449">
            <v>0</v>
          </cell>
          <cell r="O449">
            <v>12</v>
          </cell>
          <cell r="P449">
            <v>67</v>
          </cell>
          <cell r="Q449">
            <v>34</v>
          </cell>
          <cell r="R449">
            <v>33</v>
          </cell>
          <cell r="S449">
            <v>2463</v>
          </cell>
          <cell r="T449">
            <v>79</v>
          </cell>
        </row>
        <row r="450">
          <cell r="C450" t="str">
            <v>Chehalis city, Washington</v>
          </cell>
          <cell r="D450">
            <v>7003</v>
          </cell>
          <cell r="E450">
            <v>6606</v>
          </cell>
          <cell r="F450">
            <v>3893</v>
          </cell>
          <cell r="G450">
            <v>2637</v>
          </cell>
          <cell r="H450">
            <v>178</v>
          </cell>
          <cell r="I450">
            <v>689</v>
          </cell>
          <cell r="J450">
            <v>316</v>
          </cell>
          <cell r="K450">
            <v>1454</v>
          </cell>
          <cell r="L450">
            <v>76</v>
          </cell>
          <cell r="M450">
            <v>0</v>
          </cell>
          <cell r="N450">
            <v>6</v>
          </cell>
          <cell r="O450">
            <v>70</v>
          </cell>
          <cell r="P450">
            <v>397</v>
          </cell>
          <cell r="Q450">
            <v>82</v>
          </cell>
          <cell r="R450">
            <v>315</v>
          </cell>
          <cell r="S450">
            <v>6530</v>
          </cell>
          <cell r="T450">
            <v>473</v>
          </cell>
        </row>
        <row r="451">
          <cell r="C451" t="str">
            <v>Chehalis Village CDP, Washington</v>
          </cell>
          <cell r="D451">
            <v>330</v>
          </cell>
          <cell r="E451">
            <v>328</v>
          </cell>
          <cell r="F451">
            <v>271</v>
          </cell>
          <cell r="G451">
            <v>57</v>
          </cell>
          <cell r="H451">
            <v>0</v>
          </cell>
          <cell r="I451">
            <v>2</v>
          </cell>
          <cell r="J451">
            <v>9</v>
          </cell>
          <cell r="K451">
            <v>46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2</v>
          </cell>
          <cell r="Q451">
            <v>0</v>
          </cell>
          <cell r="R451">
            <v>2</v>
          </cell>
          <cell r="S451">
            <v>328</v>
          </cell>
          <cell r="T451">
            <v>2</v>
          </cell>
        </row>
        <row r="452">
          <cell r="C452" t="str">
            <v>Chelan city, Washington</v>
          </cell>
          <cell r="D452">
            <v>3594</v>
          </cell>
          <cell r="E452">
            <v>3170</v>
          </cell>
          <cell r="F452">
            <v>1881</v>
          </cell>
          <cell r="G452">
            <v>1269</v>
          </cell>
          <cell r="H452">
            <v>71</v>
          </cell>
          <cell r="I452">
            <v>430</v>
          </cell>
          <cell r="J452">
            <v>214</v>
          </cell>
          <cell r="K452">
            <v>554</v>
          </cell>
          <cell r="L452">
            <v>20</v>
          </cell>
          <cell r="M452">
            <v>0</v>
          </cell>
          <cell r="N452">
            <v>0</v>
          </cell>
          <cell r="O452">
            <v>20</v>
          </cell>
          <cell r="P452">
            <v>424</v>
          </cell>
          <cell r="Q452">
            <v>107</v>
          </cell>
          <cell r="R452">
            <v>317</v>
          </cell>
          <cell r="S452">
            <v>3150</v>
          </cell>
          <cell r="T452">
            <v>444</v>
          </cell>
        </row>
        <row r="453">
          <cell r="C453" t="str">
            <v>Cheney city, Washington</v>
          </cell>
          <cell r="D453">
            <v>8972</v>
          </cell>
          <cell r="E453">
            <v>8406</v>
          </cell>
          <cell r="F453">
            <v>4313</v>
          </cell>
          <cell r="G453">
            <v>3858</v>
          </cell>
          <cell r="H453">
            <v>244</v>
          </cell>
          <cell r="I453">
            <v>653</v>
          </cell>
          <cell r="J453">
            <v>466</v>
          </cell>
          <cell r="K453">
            <v>2495</v>
          </cell>
          <cell r="L453">
            <v>235</v>
          </cell>
          <cell r="M453">
            <v>0</v>
          </cell>
          <cell r="N453">
            <v>0</v>
          </cell>
          <cell r="O453">
            <v>235</v>
          </cell>
          <cell r="P453">
            <v>566</v>
          </cell>
          <cell r="Q453">
            <v>99</v>
          </cell>
          <cell r="R453">
            <v>467</v>
          </cell>
          <cell r="S453">
            <v>8171</v>
          </cell>
          <cell r="T453">
            <v>801</v>
          </cell>
        </row>
        <row r="454">
          <cell r="C454" t="str">
            <v>Cherry Grove CDP, Washington</v>
          </cell>
          <cell r="D454">
            <v>642</v>
          </cell>
          <cell r="E454">
            <v>642</v>
          </cell>
          <cell r="F454">
            <v>271</v>
          </cell>
          <cell r="G454">
            <v>371</v>
          </cell>
          <cell r="H454">
            <v>24</v>
          </cell>
          <cell r="I454">
            <v>79</v>
          </cell>
          <cell r="J454">
            <v>7</v>
          </cell>
          <cell r="K454">
            <v>261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642</v>
          </cell>
          <cell r="T454">
            <v>0</v>
          </cell>
        </row>
        <row r="455">
          <cell r="C455" t="str">
            <v>Chewelah city, Washington</v>
          </cell>
          <cell r="D455">
            <v>2196</v>
          </cell>
          <cell r="E455">
            <v>2123</v>
          </cell>
          <cell r="F455">
            <v>1257</v>
          </cell>
          <cell r="G455">
            <v>843</v>
          </cell>
          <cell r="H455">
            <v>42</v>
          </cell>
          <cell r="I455">
            <v>230</v>
          </cell>
          <cell r="J455">
            <v>78</v>
          </cell>
          <cell r="K455">
            <v>493</v>
          </cell>
          <cell r="L455">
            <v>23</v>
          </cell>
          <cell r="M455">
            <v>0</v>
          </cell>
          <cell r="N455">
            <v>2</v>
          </cell>
          <cell r="O455">
            <v>21</v>
          </cell>
          <cell r="P455">
            <v>73</v>
          </cell>
          <cell r="Q455">
            <v>39</v>
          </cell>
          <cell r="R455">
            <v>34</v>
          </cell>
          <cell r="S455">
            <v>2100</v>
          </cell>
          <cell r="T455">
            <v>96</v>
          </cell>
        </row>
        <row r="456">
          <cell r="C456" t="str">
            <v>Chinook CDP, Washington</v>
          </cell>
          <cell r="D456">
            <v>417</v>
          </cell>
          <cell r="E456">
            <v>395</v>
          </cell>
          <cell r="F456">
            <v>159</v>
          </cell>
          <cell r="G456">
            <v>236</v>
          </cell>
          <cell r="H456">
            <v>12</v>
          </cell>
          <cell r="I456">
            <v>6</v>
          </cell>
          <cell r="J456">
            <v>35</v>
          </cell>
          <cell r="K456">
            <v>183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22</v>
          </cell>
          <cell r="Q456">
            <v>17</v>
          </cell>
          <cell r="R456">
            <v>5</v>
          </cell>
          <cell r="S456">
            <v>395</v>
          </cell>
          <cell r="T456">
            <v>22</v>
          </cell>
        </row>
        <row r="457">
          <cell r="C457" t="str">
            <v>Clarkston city, Washington</v>
          </cell>
          <cell r="D457">
            <v>7351</v>
          </cell>
          <cell r="E457">
            <v>7229</v>
          </cell>
          <cell r="F457">
            <v>1762</v>
          </cell>
          <cell r="G457">
            <v>5432</v>
          </cell>
          <cell r="H457">
            <v>176</v>
          </cell>
          <cell r="I457">
            <v>791</v>
          </cell>
          <cell r="J457">
            <v>412</v>
          </cell>
          <cell r="K457">
            <v>4053</v>
          </cell>
          <cell r="L457">
            <v>35</v>
          </cell>
          <cell r="M457">
            <v>0</v>
          </cell>
          <cell r="N457">
            <v>0</v>
          </cell>
          <cell r="O457">
            <v>35</v>
          </cell>
          <cell r="P457">
            <v>122</v>
          </cell>
          <cell r="Q457">
            <v>49</v>
          </cell>
          <cell r="R457">
            <v>73</v>
          </cell>
          <cell r="S457">
            <v>7194</v>
          </cell>
          <cell r="T457">
            <v>157</v>
          </cell>
        </row>
        <row r="458">
          <cell r="C458" t="str">
            <v>Clarkston Heights-Vineland CDP, Washington</v>
          </cell>
          <cell r="D458">
            <v>6166</v>
          </cell>
          <cell r="E458">
            <v>6025</v>
          </cell>
          <cell r="F458">
            <v>1568</v>
          </cell>
          <cell r="G458">
            <v>4429</v>
          </cell>
          <cell r="H458">
            <v>169</v>
          </cell>
          <cell r="I458">
            <v>587</v>
          </cell>
          <cell r="J458">
            <v>260</v>
          </cell>
          <cell r="K458">
            <v>3413</v>
          </cell>
          <cell r="L458">
            <v>28</v>
          </cell>
          <cell r="M458">
            <v>0</v>
          </cell>
          <cell r="N458">
            <v>6</v>
          </cell>
          <cell r="O458">
            <v>22</v>
          </cell>
          <cell r="P458">
            <v>141</v>
          </cell>
          <cell r="Q458">
            <v>106</v>
          </cell>
          <cell r="R458">
            <v>35</v>
          </cell>
          <cell r="S458">
            <v>5997</v>
          </cell>
          <cell r="T458">
            <v>169</v>
          </cell>
        </row>
        <row r="459">
          <cell r="C459" t="str">
            <v>Clear Lake CDP, Washington</v>
          </cell>
          <cell r="D459">
            <v>1049</v>
          </cell>
          <cell r="E459">
            <v>1035</v>
          </cell>
          <cell r="F459">
            <v>702</v>
          </cell>
          <cell r="G459">
            <v>319</v>
          </cell>
          <cell r="H459">
            <v>13</v>
          </cell>
          <cell r="I459">
            <v>77</v>
          </cell>
          <cell r="J459">
            <v>40</v>
          </cell>
          <cell r="K459">
            <v>189</v>
          </cell>
          <cell r="L459">
            <v>14</v>
          </cell>
          <cell r="M459">
            <v>0</v>
          </cell>
          <cell r="N459">
            <v>0</v>
          </cell>
          <cell r="O459">
            <v>14</v>
          </cell>
          <cell r="P459">
            <v>14</v>
          </cell>
          <cell r="Q459">
            <v>7</v>
          </cell>
          <cell r="R459">
            <v>7</v>
          </cell>
          <cell r="S459">
            <v>1021</v>
          </cell>
          <cell r="T459">
            <v>28</v>
          </cell>
        </row>
        <row r="460">
          <cell r="C460" t="str">
            <v>Cle Elum city, Washington</v>
          </cell>
          <cell r="D460">
            <v>1787</v>
          </cell>
          <cell r="E460">
            <v>1725</v>
          </cell>
          <cell r="F460">
            <v>1127</v>
          </cell>
          <cell r="G460">
            <v>574</v>
          </cell>
          <cell r="H460">
            <v>73</v>
          </cell>
          <cell r="I460">
            <v>204</v>
          </cell>
          <cell r="J460">
            <v>62</v>
          </cell>
          <cell r="K460">
            <v>235</v>
          </cell>
          <cell r="L460">
            <v>24</v>
          </cell>
          <cell r="M460">
            <v>0</v>
          </cell>
          <cell r="N460">
            <v>4</v>
          </cell>
          <cell r="O460">
            <v>20</v>
          </cell>
          <cell r="P460">
            <v>62</v>
          </cell>
          <cell r="Q460">
            <v>26</v>
          </cell>
          <cell r="R460">
            <v>36</v>
          </cell>
          <cell r="S460">
            <v>1701</v>
          </cell>
          <cell r="T460">
            <v>86</v>
          </cell>
        </row>
        <row r="461">
          <cell r="C461" t="str">
            <v>Clinton CDP, Washington</v>
          </cell>
          <cell r="D461">
            <v>789</v>
          </cell>
          <cell r="E461">
            <v>769</v>
          </cell>
          <cell r="F461">
            <v>471</v>
          </cell>
          <cell r="G461">
            <v>298</v>
          </cell>
          <cell r="H461">
            <v>22</v>
          </cell>
          <cell r="I461">
            <v>67</v>
          </cell>
          <cell r="J461">
            <v>27</v>
          </cell>
          <cell r="K461">
            <v>182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20</v>
          </cell>
          <cell r="Q461">
            <v>11</v>
          </cell>
          <cell r="R461">
            <v>9</v>
          </cell>
          <cell r="S461">
            <v>769</v>
          </cell>
          <cell r="T461">
            <v>20</v>
          </cell>
        </row>
        <row r="462">
          <cell r="C462" t="str">
            <v>Clyde Hill city, Washington</v>
          </cell>
          <cell r="D462">
            <v>2890</v>
          </cell>
          <cell r="E462">
            <v>2533</v>
          </cell>
          <cell r="F462">
            <v>1324</v>
          </cell>
          <cell r="G462">
            <v>1177</v>
          </cell>
          <cell r="H462">
            <v>222</v>
          </cell>
          <cell r="I462">
            <v>314</v>
          </cell>
          <cell r="J462">
            <v>198</v>
          </cell>
          <cell r="K462">
            <v>443</v>
          </cell>
          <cell r="L462">
            <v>32</v>
          </cell>
          <cell r="M462">
            <v>0</v>
          </cell>
          <cell r="N462">
            <v>0</v>
          </cell>
          <cell r="O462">
            <v>32</v>
          </cell>
          <cell r="P462">
            <v>357</v>
          </cell>
          <cell r="Q462">
            <v>222</v>
          </cell>
          <cell r="R462">
            <v>135</v>
          </cell>
          <cell r="S462">
            <v>2501</v>
          </cell>
          <cell r="T462">
            <v>389</v>
          </cell>
        </row>
        <row r="463">
          <cell r="C463" t="str">
            <v>Cohassett Beach CDP, Washington</v>
          </cell>
          <cell r="D463">
            <v>621</v>
          </cell>
          <cell r="E463">
            <v>607</v>
          </cell>
          <cell r="F463">
            <v>416</v>
          </cell>
          <cell r="G463">
            <v>191</v>
          </cell>
          <cell r="H463">
            <v>5</v>
          </cell>
          <cell r="I463">
            <v>60</v>
          </cell>
          <cell r="J463">
            <v>29</v>
          </cell>
          <cell r="K463">
            <v>97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14</v>
          </cell>
          <cell r="Q463">
            <v>6</v>
          </cell>
          <cell r="R463">
            <v>8</v>
          </cell>
          <cell r="S463">
            <v>607</v>
          </cell>
          <cell r="T463">
            <v>14</v>
          </cell>
        </row>
        <row r="464">
          <cell r="C464" t="str">
            <v>Colfax city, Washington</v>
          </cell>
          <cell r="D464">
            <v>2846</v>
          </cell>
          <cell r="E464">
            <v>2722</v>
          </cell>
          <cell r="F464">
            <v>1617</v>
          </cell>
          <cell r="G464">
            <v>1076</v>
          </cell>
          <cell r="H464">
            <v>51</v>
          </cell>
          <cell r="I464">
            <v>301</v>
          </cell>
          <cell r="J464">
            <v>83</v>
          </cell>
          <cell r="K464">
            <v>641</v>
          </cell>
          <cell r="L464">
            <v>29</v>
          </cell>
          <cell r="M464">
            <v>0</v>
          </cell>
          <cell r="N464">
            <v>0</v>
          </cell>
          <cell r="O464">
            <v>29</v>
          </cell>
          <cell r="P464">
            <v>124</v>
          </cell>
          <cell r="Q464">
            <v>56</v>
          </cell>
          <cell r="R464">
            <v>68</v>
          </cell>
          <cell r="S464">
            <v>2693</v>
          </cell>
          <cell r="T464">
            <v>153</v>
          </cell>
        </row>
        <row r="465">
          <cell r="C465" t="str">
            <v>College Place city, Washington</v>
          </cell>
          <cell r="D465">
            <v>7814</v>
          </cell>
          <cell r="E465">
            <v>7065</v>
          </cell>
          <cell r="F465">
            <v>3019</v>
          </cell>
          <cell r="G465">
            <v>3912</v>
          </cell>
          <cell r="H465">
            <v>164</v>
          </cell>
          <cell r="I465">
            <v>822</v>
          </cell>
          <cell r="J465">
            <v>537</v>
          </cell>
          <cell r="K465">
            <v>2389</v>
          </cell>
          <cell r="L465">
            <v>134</v>
          </cell>
          <cell r="M465">
            <v>17</v>
          </cell>
          <cell r="N465">
            <v>14</v>
          </cell>
          <cell r="O465">
            <v>103</v>
          </cell>
          <cell r="P465">
            <v>749</v>
          </cell>
          <cell r="Q465">
            <v>279</v>
          </cell>
          <cell r="R465">
            <v>470</v>
          </cell>
          <cell r="S465">
            <v>6931</v>
          </cell>
          <cell r="T465">
            <v>883</v>
          </cell>
        </row>
        <row r="466">
          <cell r="C466" t="str">
            <v>Colton town, Washington</v>
          </cell>
          <cell r="D466">
            <v>406</v>
          </cell>
          <cell r="E466">
            <v>406</v>
          </cell>
          <cell r="F466">
            <v>227</v>
          </cell>
          <cell r="G466">
            <v>179</v>
          </cell>
          <cell r="H466">
            <v>6</v>
          </cell>
          <cell r="I466">
            <v>30</v>
          </cell>
          <cell r="J466">
            <v>6</v>
          </cell>
          <cell r="K466">
            <v>137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406</v>
          </cell>
          <cell r="T466">
            <v>0</v>
          </cell>
        </row>
        <row r="467">
          <cell r="C467" t="str">
            <v>Colville city, Washington</v>
          </cell>
          <cell r="D467">
            <v>5004</v>
          </cell>
          <cell r="E467">
            <v>4877</v>
          </cell>
          <cell r="F467">
            <v>2901</v>
          </cell>
          <cell r="G467">
            <v>1947</v>
          </cell>
          <cell r="H467">
            <v>84</v>
          </cell>
          <cell r="I467">
            <v>484</v>
          </cell>
          <cell r="J467">
            <v>208</v>
          </cell>
          <cell r="K467">
            <v>1171</v>
          </cell>
          <cell r="L467">
            <v>29</v>
          </cell>
          <cell r="M467">
            <v>0</v>
          </cell>
          <cell r="N467">
            <v>9</v>
          </cell>
          <cell r="O467">
            <v>20</v>
          </cell>
          <cell r="P467">
            <v>127</v>
          </cell>
          <cell r="Q467">
            <v>77</v>
          </cell>
          <cell r="R467">
            <v>50</v>
          </cell>
          <cell r="S467">
            <v>4848</v>
          </cell>
          <cell r="T467">
            <v>156</v>
          </cell>
        </row>
        <row r="468">
          <cell r="C468" t="str">
            <v>Conconully town, Washington</v>
          </cell>
          <cell r="D468">
            <v>209</v>
          </cell>
          <cell r="E468">
            <v>205</v>
          </cell>
          <cell r="F468">
            <v>114</v>
          </cell>
          <cell r="G468">
            <v>91</v>
          </cell>
          <cell r="H468">
            <v>7</v>
          </cell>
          <cell r="I468">
            <v>41</v>
          </cell>
          <cell r="J468">
            <v>7</v>
          </cell>
          <cell r="K468">
            <v>36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4</v>
          </cell>
          <cell r="Q468">
            <v>4</v>
          </cell>
          <cell r="R468">
            <v>0</v>
          </cell>
          <cell r="S468">
            <v>205</v>
          </cell>
          <cell r="T468">
            <v>4</v>
          </cell>
        </row>
        <row r="469">
          <cell r="C469" t="str">
            <v>Concrete town, Washington</v>
          </cell>
          <cell r="D469">
            <v>832</v>
          </cell>
          <cell r="E469">
            <v>829</v>
          </cell>
          <cell r="F469">
            <v>498</v>
          </cell>
          <cell r="G469">
            <v>314</v>
          </cell>
          <cell r="H469">
            <v>14</v>
          </cell>
          <cell r="I469">
            <v>50</v>
          </cell>
          <cell r="J469">
            <v>52</v>
          </cell>
          <cell r="K469">
            <v>198</v>
          </cell>
          <cell r="L469">
            <v>17</v>
          </cell>
          <cell r="M469">
            <v>3</v>
          </cell>
          <cell r="N469">
            <v>0</v>
          </cell>
          <cell r="O469">
            <v>14</v>
          </cell>
          <cell r="P469">
            <v>3</v>
          </cell>
          <cell r="Q469">
            <v>2</v>
          </cell>
          <cell r="R469">
            <v>1</v>
          </cell>
          <cell r="S469">
            <v>812</v>
          </cell>
          <cell r="T469">
            <v>20</v>
          </cell>
        </row>
        <row r="470">
          <cell r="C470" t="str">
            <v>Connell city, Washington</v>
          </cell>
          <cell r="D470">
            <v>2930</v>
          </cell>
          <cell r="E470">
            <v>2185</v>
          </cell>
          <cell r="F470">
            <v>1327</v>
          </cell>
          <cell r="G470">
            <v>835</v>
          </cell>
          <cell r="H470">
            <v>14</v>
          </cell>
          <cell r="I470">
            <v>153</v>
          </cell>
          <cell r="J470">
            <v>174</v>
          </cell>
          <cell r="K470">
            <v>494</v>
          </cell>
          <cell r="L470">
            <v>23</v>
          </cell>
          <cell r="M470">
            <v>9</v>
          </cell>
          <cell r="N470">
            <v>0</v>
          </cell>
          <cell r="O470">
            <v>14</v>
          </cell>
          <cell r="P470">
            <v>745</v>
          </cell>
          <cell r="Q470">
            <v>157</v>
          </cell>
          <cell r="R470">
            <v>588</v>
          </cell>
          <cell r="S470">
            <v>2162</v>
          </cell>
          <cell r="T470">
            <v>768</v>
          </cell>
        </row>
        <row r="471">
          <cell r="C471" t="str">
            <v>Conway CDP, Washington</v>
          </cell>
          <cell r="D471">
            <v>49</v>
          </cell>
          <cell r="E471">
            <v>49</v>
          </cell>
          <cell r="F471">
            <v>24</v>
          </cell>
          <cell r="G471">
            <v>25</v>
          </cell>
          <cell r="H471">
            <v>0</v>
          </cell>
          <cell r="I471">
            <v>9</v>
          </cell>
          <cell r="J471">
            <v>0</v>
          </cell>
          <cell r="K471">
            <v>16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49</v>
          </cell>
          <cell r="T471">
            <v>0</v>
          </cell>
        </row>
        <row r="472">
          <cell r="C472" t="str">
            <v>Copalis Beach CDP, Washington</v>
          </cell>
          <cell r="D472">
            <v>448</v>
          </cell>
          <cell r="E472">
            <v>442</v>
          </cell>
          <cell r="F472">
            <v>290</v>
          </cell>
          <cell r="G472">
            <v>145</v>
          </cell>
          <cell r="H472">
            <v>7</v>
          </cell>
          <cell r="I472">
            <v>27</v>
          </cell>
          <cell r="J472">
            <v>41</v>
          </cell>
          <cell r="K472">
            <v>70</v>
          </cell>
          <cell r="L472">
            <v>7</v>
          </cell>
          <cell r="M472">
            <v>0</v>
          </cell>
          <cell r="N472">
            <v>0</v>
          </cell>
          <cell r="O472">
            <v>7</v>
          </cell>
          <cell r="P472">
            <v>6</v>
          </cell>
          <cell r="Q472">
            <v>6</v>
          </cell>
          <cell r="R472">
            <v>0</v>
          </cell>
          <cell r="S472">
            <v>435</v>
          </cell>
          <cell r="T472">
            <v>13</v>
          </cell>
        </row>
        <row r="473">
          <cell r="C473" t="str">
            <v>Cosmopolis city, Washington</v>
          </cell>
          <cell r="D473">
            <v>1595</v>
          </cell>
          <cell r="E473">
            <v>1524</v>
          </cell>
          <cell r="F473">
            <v>1103</v>
          </cell>
          <cell r="G473">
            <v>407</v>
          </cell>
          <cell r="H473">
            <v>17</v>
          </cell>
          <cell r="I473">
            <v>72</v>
          </cell>
          <cell r="J473">
            <v>74</v>
          </cell>
          <cell r="K473">
            <v>244</v>
          </cell>
          <cell r="L473">
            <v>14</v>
          </cell>
          <cell r="M473">
            <v>0</v>
          </cell>
          <cell r="N473">
            <v>0</v>
          </cell>
          <cell r="O473">
            <v>14</v>
          </cell>
          <cell r="P473">
            <v>71</v>
          </cell>
          <cell r="Q473">
            <v>42</v>
          </cell>
          <cell r="R473">
            <v>29</v>
          </cell>
          <cell r="S473">
            <v>1510</v>
          </cell>
          <cell r="T473">
            <v>85</v>
          </cell>
        </row>
        <row r="474">
          <cell r="C474" t="str">
            <v>Cottage Lake CDP, Washington</v>
          </cell>
          <cell r="D474">
            <v>24299</v>
          </cell>
          <cell r="E474">
            <v>22623</v>
          </cell>
          <cell r="F474">
            <v>10306</v>
          </cell>
          <cell r="G474">
            <v>12038</v>
          </cell>
          <cell r="H474">
            <v>1798</v>
          </cell>
          <cell r="I474">
            <v>3036</v>
          </cell>
          <cell r="J474">
            <v>1692</v>
          </cell>
          <cell r="K474">
            <v>5512</v>
          </cell>
          <cell r="L474">
            <v>279</v>
          </cell>
          <cell r="M474">
            <v>25</v>
          </cell>
          <cell r="N474">
            <v>0</v>
          </cell>
          <cell r="O474">
            <v>254</v>
          </cell>
          <cell r="P474">
            <v>1676</v>
          </cell>
          <cell r="Q474">
            <v>911</v>
          </cell>
          <cell r="R474">
            <v>765</v>
          </cell>
          <cell r="S474">
            <v>22344</v>
          </cell>
          <cell r="T474">
            <v>1955</v>
          </cell>
        </row>
        <row r="475">
          <cell r="C475" t="str">
            <v>Coulee City town, Washington</v>
          </cell>
          <cell r="D475">
            <v>615</v>
          </cell>
          <cell r="E475">
            <v>607</v>
          </cell>
          <cell r="F475">
            <v>384</v>
          </cell>
          <cell r="G475">
            <v>223</v>
          </cell>
          <cell r="H475">
            <v>15</v>
          </cell>
          <cell r="I475">
            <v>77</v>
          </cell>
          <cell r="J475">
            <v>32</v>
          </cell>
          <cell r="K475">
            <v>99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8</v>
          </cell>
          <cell r="Q475">
            <v>8</v>
          </cell>
          <cell r="R475">
            <v>0</v>
          </cell>
          <cell r="S475">
            <v>607</v>
          </cell>
          <cell r="T475">
            <v>8</v>
          </cell>
        </row>
        <row r="476">
          <cell r="C476" t="str">
            <v>Coulee Dam town, Washington</v>
          </cell>
          <cell r="D476">
            <v>1047</v>
          </cell>
          <cell r="E476">
            <v>1028</v>
          </cell>
          <cell r="F476">
            <v>600</v>
          </cell>
          <cell r="G476">
            <v>428</v>
          </cell>
          <cell r="H476">
            <v>33</v>
          </cell>
          <cell r="I476">
            <v>146</v>
          </cell>
          <cell r="J476">
            <v>32</v>
          </cell>
          <cell r="K476">
            <v>217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19</v>
          </cell>
          <cell r="Q476">
            <v>10</v>
          </cell>
          <cell r="R476">
            <v>9</v>
          </cell>
          <cell r="S476">
            <v>1028</v>
          </cell>
          <cell r="T476">
            <v>19</v>
          </cell>
        </row>
        <row r="477">
          <cell r="C477" t="str">
            <v>Country Homes CDP, Washington</v>
          </cell>
          <cell r="D477">
            <v>5203</v>
          </cell>
          <cell r="E477">
            <v>5068</v>
          </cell>
          <cell r="F477">
            <v>2710</v>
          </cell>
          <cell r="G477">
            <v>2317</v>
          </cell>
          <cell r="H477">
            <v>112</v>
          </cell>
          <cell r="I477">
            <v>842</v>
          </cell>
          <cell r="J477">
            <v>216</v>
          </cell>
          <cell r="K477">
            <v>1147</v>
          </cell>
          <cell r="L477">
            <v>41</v>
          </cell>
          <cell r="M477">
            <v>0</v>
          </cell>
          <cell r="N477">
            <v>6</v>
          </cell>
          <cell r="O477">
            <v>35</v>
          </cell>
          <cell r="P477">
            <v>135</v>
          </cell>
          <cell r="Q477">
            <v>72</v>
          </cell>
          <cell r="R477">
            <v>63</v>
          </cell>
          <cell r="S477">
            <v>5027</v>
          </cell>
          <cell r="T477">
            <v>176</v>
          </cell>
        </row>
        <row r="478">
          <cell r="C478" t="str">
            <v>Coupeville town, Washington</v>
          </cell>
          <cell r="D478">
            <v>1738</v>
          </cell>
          <cell r="E478">
            <v>1621</v>
          </cell>
          <cell r="F478">
            <v>631</v>
          </cell>
          <cell r="G478">
            <v>956</v>
          </cell>
          <cell r="H478">
            <v>142</v>
          </cell>
          <cell r="I478">
            <v>262</v>
          </cell>
          <cell r="J478">
            <v>163</v>
          </cell>
          <cell r="K478">
            <v>389</v>
          </cell>
          <cell r="L478">
            <v>34</v>
          </cell>
          <cell r="M478">
            <v>0</v>
          </cell>
          <cell r="N478">
            <v>4</v>
          </cell>
          <cell r="O478">
            <v>30</v>
          </cell>
          <cell r="P478">
            <v>117</v>
          </cell>
          <cell r="Q478">
            <v>49</v>
          </cell>
          <cell r="R478">
            <v>68</v>
          </cell>
          <cell r="S478">
            <v>1587</v>
          </cell>
          <cell r="T478">
            <v>151</v>
          </cell>
        </row>
        <row r="479">
          <cell r="C479" t="str">
            <v>Covington city, Washington</v>
          </cell>
          <cell r="D479">
            <v>13768</v>
          </cell>
          <cell r="E479">
            <v>13014</v>
          </cell>
          <cell r="F479">
            <v>7144</v>
          </cell>
          <cell r="G479">
            <v>5635</v>
          </cell>
          <cell r="H479">
            <v>489</v>
          </cell>
          <cell r="I479">
            <v>1441</v>
          </cell>
          <cell r="J479">
            <v>1031</v>
          </cell>
          <cell r="K479">
            <v>2674</v>
          </cell>
          <cell r="L479">
            <v>235</v>
          </cell>
          <cell r="M479">
            <v>0</v>
          </cell>
          <cell r="N479">
            <v>2</v>
          </cell>
          <cell r="O479">
            <v>233</v>
          </cell>
          <cell r="P479">
            <v>754</v>
          </cell>
          <cell r="Q479">
            <v>448</v>
          </cell>
          <cell r="R479">
            <v>306</v>
          </cell>
          <cell r="S479">
            <v>12779</v>
          </cell>
          <cell r="T479">
            <v>989</v>
          </cell>
        </row>
        <row r="480">
          <cell r="C480" t="str">
            <v>Creston town, Washington</v>
          </cell>
          <cell r="D480">
            <v>230</v>
          </cell>
          <cell r="E480">
            <v>230</v>
          </cell>
          <cell r="F480">
            <v>147</v>
          </cell>
          <cell r="G480">
            <v>83</v>
          </cell>
          <cell r="H480">
            <v>5</v>
          </cell>
          <cell r="I480">
            <v>17</v>
          </cell>
          <cell r="J480">
            <v>17</v>
          </cell>
          <cell r="K480">
            <v>44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230</v>
          </cell>
          <cell r="T480">
            <v>0</v>
          </cell>
        </row>
        <row r="481">
          <cell r="C481" t="str">
            <v>Cusick town, Washington</v>
          </cell>
          <cell r="D481">
            <v>211</v>
          </cell>
          <cell r="E481">
            <v>211</v>
          </cell>
          <cell r="F481">
            <v>120</v>
          </cell>
          <cell r="G481">
            <v>91</v>
          </cell>
          <cell r="H481">
            <v>2</v>
          </cell>
          <cell r="I481">
            <v>17</v>
          </cell>
          <cell r="J481">
            <v>17</v>
          </cell>
          <cell r="K481">
            <v>55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211</v>
          </cell>
          <cell r="T481">
            <v>0</v>
          </cell>
        </row>
        <row r="482">
          <cell r="C482" t="str">
            <v>Custer CDP, Washington</v>
          </cell>
          <cell r="D482">
            <v>188</v>
          </cell>
          <cell r="E482">
            <v>182</v>
          </cell>
          <cell r="F482">
            <v>61</v>
          </cell>
          <cell r="G482">
            <v>121</v>
          </cell>
          <cell r="H482">
            <v>37</v>
          </cell>
          <cell r="I482">
            <v>10</v>
          </cell>
          <cell r="J482">
            <v>33</v>
          </cell>
          <cell r="K482">
            <v>41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6</v>
          </cell>
          <cell r="Q482">
            <v>6</v>
          </cell>
          <cell r="R482">
            <v>0</v>
          </cell>
          <cell r="S482">
            <v>182</v>
          </cell>
          <cell r="T482">
            <v>6</v>
          </cell>
        </row>
        <row r="483">
          <cell r="C483" t="str">
            <v>Dallesport CDP, Washington</v>
          </cell>
          <cell r="D483">
            <v>1241</v>
          </cell>
          <cell r="E483">
            <v>1176</v>
          </cell>
          <cell r="F483">
            <v>292</v>
          </cell>
          <cell r="G483">
            <v>872</v>
          </cell>
          <cell r="H483">
            <v>3</v>
          </cell>
          <cell r="I483">
            <v>174</v>
          </cell>
          <cell r="J483">
            <v>64</v>
          </cell>
          <cell r="K483">
            <v>631</v>
          </cell>
          <cell r="L483">
            <v>12</v>
          </cell>
          <cell r="M483">
            <v>0</v>
          </cell>
          <cell r="N483">
            <v>4</v>
          </cell>
          <cell r="O483">
            <v>8</v>
          </cell>
          <cell r="P483">
            <v>65</v>
          </cell>
          <cell r="Q483">
            <v>23</v>
          </cell>
          <cell r="R483">
            <v>42</v>
          </cell>
          <cell r="S483">
            <v>1164</v>
          </cell>
          <cell r="T483">
            <v>77</v>
          </cell>
        </row>
        <row r="484">
          <cell r="C484" t="str">
            <v>Darrington town, Washington</v>
          </cell>
          <cell r="D484">
            <v>1169</v>
          </cell>
          <cell r="E484">
            <v>1137</v>
          </cell>
          <cell r="F484">
            <v>689</v>
          </cell>
          <cell r="G484">
            <v>448</v>
          </cell>
          <cell r="H484">
            <v>20</v>
          </cell>
          <cell r="I484">
            <v>106</v>
          </cell>
          <cell r="J484">
            <v>114</v>
          </cell>
          <cell r="K484">
            <v>208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32</v>
          </cell>
          <cell r="Q484">
            <v>17</v>
          </cell>
          <cell r="R484">
            <v>15</v>
          </cell>
          <cell r="S484">
            <v>1137</v>
          </cell>
          <cell r="T484">
            <v>32</v>
          </cell>
        </row>
        <row r="485">
          <cell r="C485" t="str">
            <v>Davenport city, Washington</v>
          </cell>
          <cell r="D485">
            <v>1738</v>
          </cell>
          <cell r="E485">
            <v>1719</v>
          </cell>
          <cell r="F485">
            <v>1106</v>
          </cell>
          <cell r="G485">
            <v>596</v>
          </cell>
          <cell r="H485">
            <v>38</v>
          </cell>
          <cell r="I485">
            <v>147</v>
          </cell>
          <cell r="J485">
            <v>84</v>
          </cell>
          <cell r="K485">
            <v>327</v>
          </cell>
          <cell r="L485">
            <v>17</v>
          </cell>
          <cell r="M485">
            <v>0</v>
          </cell>
          <cell r="N485">
            <v>0</v>
          </cell>
          <cell r="O485">
            <v>17</v>
          </cell>
          <cell r="P485">
            <v>19</v>
          </cell>
          <cell r="Q485">
            <v>17</v>
          </cell>
          <cell r="R485">
            <v>2</v>
          </cell>
          <cell r="S485">
            <v>1702</v>
          </cell>
          <cell r="T485">
            <v>36</v>
          </cell>
        </row>
        <row r="486">
          <cell r="C486" t="str">
            <v>Dayton city, Washington</v>
          </cell>
          <cell r="D486">
            <v>2650</v>
          </cell>
          <cell r="E486">
            <v>2539</v>
          </cell>
          <cell r="F486">
            <v>1548</v>
          </cell>
          <cell r="G486">
            <v>972</v>
          </cell>
          <cell r="H486">
            <v>56</v>
          </cell>
          <cell r="I486">
            <v>261</v>
          </cell>
          <cell r="J486">
            <v>106</v>
          </cell>
          <cell r="K486">
            <v>549</v>
          </cell>
          <cell r="L486">
            <v>19</v>
          </cell>
          <cell r="M486">
            <v>0</v>
          </cell>
          <cell r="N486">
            <v>0</v>
          </cell>
          <cell r="O486">
            <v>19</v>
          </cell>
          <cell r="P486">
            <v>111</v>
          </cell>
          <cell r="Q486">
            <v>53</v>
          </cell>
          <cell r="R486">
            <v>58</v>
          </cell>
          <cell r="S486">
            <v>2520</v>
          </cell>
          <cell r="T486">
            <v>130</v>
          </cell>
        </row>
        <row r="487">
          <cell r="C487" t="str">
            <v>Deer Park city, Washington</v>
          </cell>
          <cell r="D487">
            <v>3028</v>
          </cell>
          <cell r="E487">
            <v>3013</v>
          </cell>
          <cell r="F487">
            <v>1724</v>
          </cell>
          <cell r="G487">
            <v>1230</v>
          </cell>
          <cell r="H487">
            <v>137</v>
          </cell>
          <cell r="I487">
            <v>335</v>
          </cell>
          <cell r="J487">
            <v>88</v>
          </cell>
          <cell r="K487">
            <v>670</v>
          </cell>
          <cell r="L487">
            <v>59</v>
          </cell>
          <cell r="M487">
            <v>0</v>
          </cell>
          <cell r="N487">
            <v>0</v>
          </cell>
          <cell r="O487">
            <v>59</v>
          </cell>
          <cell r="P487">
            <v>15</v>
          </cell>
          <cell r="Q487">
            <v>15</v>
          </cell>
          <cell r="R487">
            <v>0</v>
          </cell>
          <cell r="S487">
            <v>2954</v>
          </cell>
          <cell r="T487">
            <v>74</v>
          </cell>
        </row>
        <row r="488">
          <cell r="C488" t="str">
            <v>Deming CDP, Washington</v>
          </cell>
          <cell r="D488">
            <v>181</v>
          </cell>
          <cell r="E488">
            <v>179</v>
          </cell>
          <cell r="F488">
            <v>126</v>
          </cell>
          <cell r="G488">
            <v>53</v>
          </cell>
          <cell r="H488">
            <v>5</v>
          </cell>
          <cell r="I488">
            <v>9</v>
          </cell>
          <cell r="J488">
            <v>15</v>
          </cell>
          <cell r="K488">
            <v>24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2</v>
          </cell>
          <cell r="Q488">
            <v>0</v>
          </cell>
          <cell r="R488">
            <v>2</v>
          </cell>
          <cell r="S488">
            <v>179</v>
          </cell>
          <cell r="T488">
            <v>2</v>
          </cell>
        </row>
        <row r="489">
          <cell r="C489" t="str">
            <v>Desert Aire CDP, Washington</v>
          </cell>
          <cell r="D489">
            <v>1421</v>
          </cell>
          <cell r="E489">
            <v>946</v>
          </cell>
          <cell r="F489">
            <v>626</v>
          </cell>
          <cell r="G489">
            <v>320</v>
          </cell>
          <cell r="H489">
            <v>17</v>
          </cell>
          <cell r="I489">
            <v>108</v>
          </cell>
          <cell r="J489">
            <v>48</v>
          </cell>
          <cell r="K489">
            <v>147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475</v>
          </cell>
          <cell r="Q489">
            <v>28</v>
          </cell>
          <cell r="R489">
            <v>447</v>
          </cell>
          <cell r="S489">
            <v>946</v>
          </cell>
          <cell r="T489">
            <v>475</v>
          </cell>
        </row>
        <row r="490">
          <cell r="C490" t="str">
            <v>Des Moines city, Washington</v>
          </cell>
          <cell r="D490">
            <v>29409</v>
          </cell>
          <cell r="E490">
            <v>25797</v>
          </cell>
          <cell r="F490">
            <v>14591</v>
          </cell>
          <cell r="G490">
            <v>10808</v>
          </cell>
          <cell r="H490">
            <v>940</v>
          </cell>
          <cell r="I490">
            <v>3686</v>
          </cell>
          <cell r="J490">
            <v>1504</v>
          </cell>
          <cell r="K490">
            <v>4678</v>
          </cell>
          <cell r="L490">
            <v>398</v>
          </cell>
          <cell r="M490">
            <v>53</v>
          </cell>
          <cell r="N490">
            <v>45</v>
          </cell>
          <cell r="O490">
            <v>300</v>
          </cell>
          <cell r="P490">
            <v>3612</v>
          </cell>
          <cell r="Q490">
            <v>1562</v>
          </cell>
          <cell r="R490">
            <v>2050</v>
          </cell>
          <cell r="S490">
            <v>25399</v>
          </cell>
          <cell r="T490">
            <v>4010</v>
          </cell>
        </row>
        <row r="491">
          <cell r="C491" t="str">
            <v>Dishman CDP, Washington</v>
          </cell>
          <cell r="D491">
            <v>9993</v>
          </cell>
          <cell r="E491">
            <v>9747</v>
          </cell>
          <cell r="F491">
            <v>5209</v>
          </cell>
          <cell r="G491">
            <v>4464</v>
          </cell>
          <cell r="H491">
            <v>183</v>
          </cell>
          <cell r="I491">
            <v>1092</v>
          </cell>
          <cell r="J491">
            <v>422</v>
          </cell>
          <cell r="K491">
            <v>2767</v>
          </cell>
          <cell r="L491">
            <v>74</v>
          </cell>
          <cell r="M491">
            <v>7</v>
          </cell>
          <cell r="N491">
            <v>0</v>
          </cell>
          <cell r="O491">
            <v>67</v>
          </cell>
          <cell r="P491">
            <v>246</v>
          </cell>
          <cell r="Q491">
            <v>153</v>
          </cell>
          <cell r="R491">
            <v>93</v>
          </cell>
          <cell r="S491">
            <v>9673</v>
          </cell>
          <cell r="T491">
            <v>320</v>
          </cell>
        </row>
        <row r="492">
          <cell r="C492" t="str">
            <v>Dixie CDP, Washington</v>
          </cell>
          <cell r="D492">
            <v>214</v>
          </cell>
          <cell r="E492">
            <v>214</v>
          </cell>
          <cell r="F492">
            <v>120</v>
          </cell>
          <cell r="G492">
            <v>94</v>
          </cell>
          <cell r="H492">
            <v>5</v>
          </cell>
          <cell r="I492">
            <v>28</v>
          </cell>
          <cell r="J492">
            <v>21</v>
          </cell>
          <cell r="K492">
            <v>40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214</v>
          </cell>
          <cell r="T492">
            <v>0</v>
          </cell>
        </row>
        <row r="493">
          <cell r="C493" t="str">
            <v>Dollar Corner CDP, Washington</v>
          </cell>
          <cell r="D493">
            <v>1116</v>
          </cell>
          <cell r="E493">
            <v>1091</v>
          </cell>
          <cell r="F493">
            <v>622</v>
          </cell>
          <cell r="G493">
            <v>460</v>
          </cell>
          <cell r="H493">
            <v>0</v>
          </cell>
          <cell r="I493">
            <v>97</v>
          </cell>
          <cell r="J493">
            <v>27</v>
          </cell>
          <cell r="K493">
            <v>336</v>
          </cell>
          <cell r="L493">
            <v>9</v>
          </cell>
          <cell r="M493">
            <v>0</v>
          </cell>
          <cell r="N493">
            <v>0</v>
          </cell>
          <cell r="O493">
            <v>9</v>
          </cell>
          <cell r="P493">
            <v>25</v>
          </cell>
          <cell r="Q493">
            <v>0</v>
          </cell>
          <cell r="R493">
            <v>25</v>
          </cell>
          <cell r="S493">
            <v>1082</v>
          </cell>
          <cell r="T493">
            <v>34</v>
          </cell>
        </row>
        <row r="494">
          <cell r="C494" t="str">
            <v>DuPont city, Washington</v>
          </cell>
          <cell r="D494">
            <v>2464</v>
          </cell>
          <cell r="E494">
            <v>2219</v>
          </cell>
          <cell r="F494">
            <v>655</v>
          </cell>
          <cell r="G494">
            <v>1425</v>
          </cell>
          <cell r="H494">
            <v>182</v>
          </cell>
          <cell r="I494">
            <v>313</v>
          </cell>
          <cell r="J494">
            <v>497</v>
          </cell>
          <cell r="K494">
            <v>433</v>
          </cell>
          <cell r="L494">
            <v>139</v>
          </cell>
          <cell r="M494">
            <v>0</v>
          </cell>
          <cell r="N494">
            <v>9</v>
          </cell>
          <cell r="O494">
            <v>130</v>
          </cell>
          <cell r="P494">
            <v>245</v>
          </cell>
          <cell r="Q494">
            <v>141</v>
          </cell>
          <cell r="R494">
            <v>104</v>
          </cell>
          <cell r="S494">
            <v>2080</v>
          </cell>
          <cell r="T494">
            <v>384</v>
          </cell>
        </row>
        <row r="495">
          <cell r="C495" t="str">
            <v>Duvall city, Washington</v>
          </cell>
          <cell r="D495">
            <v>4647</v>
          </cell>
          <cell r="E495">
            <v>4533</v>
          </cell>
          <cell r="F495">
            <v>2246</v>
          </cell>
          <cell r="G495">
            <v>2226</v>
          </cell>
          <cell r="H495">
            <v>334</v>
          </cell>
          <cell r="I495">
            <v>484</v>
          </cell>
          <cell r="J495">
            <v>408</v>
          </cell>
          <cell r="K495">
            <v>1000</v>
          </cell>
          <cell r="L495">
            <v>61</v>
          </cell>
          <cell r="M495">
            <v>0</v>
          </cell>
          <cell r="N495">
            <v>9</v>
          </cell>
          <cell r="O495">
            <v>52</v>
          </cell>
          <cell r="P495">
            <v>114</v>
          </cell>
          <cell r="Q495">
            <v>82</v>
          </cell>
          <cell r="R495">
            <v>32</v>
          </cell>
          <cell r="S495">
            <v>4472</v>
          </cell>
          <cell r="T495">
            <v>175</v>
          </cell>
        </row>
        <row r="496">
          <cell r="C496" t="str">
            <v>East Cathlamet CDP, Washington</v>
          </cell>
          <cell r="D496">
            <v>535</v>
          </cell>
          <cell r="E496">
            <v>528</v>
          </cell>
          <cell r="F496">
            <v>296</v>
          </cell>
          <cell r="G496">
            <v>232</v>
          </cell>
          <cell r="H496">
            <v>15</v>
          </cell>
          <cell r="I496">
            <v>48</v>
          </cell>
          <cell r="J496">
            <v>30</v>
          </cell>
          <cell r="K496">
            <v>139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7</v>
          </cell>
          <cell r="Q496">
            <v>0</v>
          </cell>
          <cell r="R496">
            <v>7</v>
          </cell>
          <cell r="S496">
            <v>528</v>
          </cell>
          <cell r="T496">
            <v>7</v>
          </cell>
        </row>
        <row r="497">
          <cell r="C497" t="str">
            <v>Eastgate CDP, Washington</v>
          </cell>
          <cell r="D497">
            <v>4646</v>
          </cell>
          <cell r="E497">
            <v>3880</v>
          </cell>
          <cell r="F497">
            <v>2006</v>
          </cell>
          <cell r="G497">
            <v>1811</v>
          </cell>
          <cell r="H497">
            <v>153</v>
          </cell>
          <cell r="I497">
            <v>530</v>
          </cell>
          <cell r="J497">
            <v>245</v>
          </cell>
          <cell r="K497">
            <v>883</v>
          </cell>
          <cell r="L497">
            <v>63</v>
          </cell>
          <cell r="M497">
            <v>0</v>
          </cell>
          <cell r="N497">
            <v>10</v>
          </cell>
          <cell r="O497">
            <v>53</v>
          </cell>
          <cell r="P497">
            <v>766</v>
          </cell>
          <cell r="Q497">
            <v>254</v>
          </cell>
          <cell r="R497">
            <v>512</v>
          </cell>
          <cell r="S497">
            <v>3817</v>
          </cell>
          <cell r="T497">
            <v>829</v>
          </cell>
        </row>
        <row r="498">
          <cell r="C498" t="str">
            <v>East Hill-Meridian CDP, Washington</v>
          </cell>
          <cell r="D498">
            <v>29620</v>
          </cell>
          <cell r="E498">
            <v>25014</v>
          </cell>
          <cell r="F498">
            <v>14373</v>
          </cell>
          <cell r="G498">
            <v>10213</v>
          </cell>
          <cell r="H498">
            <v>1040</v>
          </cell>
          <cell r="I498">
            <v>2953</v>
          </cell>
          <cell r="J498">
            <v>1230</v>
          </cell>
          <cell r="K498">
            <v>4990</v>
          </cell>
          <cell r="L498">
            <v>428</v>
          </cell>
          <cell r="M498">
            <v>25</v>
          </cell>
          <cell r="N498">
            <v>95</v>
          </cell>
          <cell r="O498">
            <v>308</v>
          </cell>
          <cell r="P498">
            <v>4606</v>
          </cell>
          <cell r="Q498">
            <v>2403</v>
          </cell>
          <cell r="R498">
            <v>2203</v>
          </cell>
          <cell r="S498">
            <v>24586</v>
          </cell>
          <cell r="T498">
            <v>5034</v>
          </cell>
        </row>
        <row r="499">
          <cell r="C499" t="str">
            <v>Easton CDP, Washington</v>
          </cell>
          <cell r="D499">
            <v>418</v>
          </cell>
          <cell r="E499">
            <v>399</v>
          </cell>
          <cell r="F499">
            <v>266</v>
          </cell>
          <cell r="G499">
            <v>128</v>
          </cell>
          <cell r="H499">
            <v>9</v>
          </cell>
          <cell r="I499">
            <v>36</v>
          </cell>
          <cell r="J499">
            <v>13</v>
          </cell>
          <cell r="K499">
            <v>70</v>
          </cell>
          <cell r="L499">
            <v>5</v>
          </cell>
          <cell r="M499">
            <v>0</v>
          </cell>
          <cell r="N499">
            <v>0</v>
          </cell>
          <cell r="O499">
            <v>5</v>
          </cell>
          <cell r="P499">
            <v>19</v>
          </cell>
          <cell r="Q499">
            <v>0</v>
          </cell>
          <cell r="R499">
            <v>19</v>
          </cell>
          <cell r="S499">
            <v>394</v>
          </cell>
          <cell r="T499">
            <v>24</v>
          </cell>
        </row>
        <row r="500">
          <cell r="C500" t="str">
            <v>East Port Orchard CDP, Washington</v>
          </cell>
          <cell r="D500">
            <v>5092</v>
          </cell>
          <cell r="E500">
            <v>4901</v>
          </cell>
          <cell r="F500">
            <v>2260</v>
          </cell>
          <cell r="G500">
            <v>2423</v>
          </cell>
          <cell r="H500">
            <v>194</v>
          </cell>
          <cell r="I500">
            <v>821</v>
          </cell>
          <cell r="J500">
            <v>375</v>
          </cell>
          <cell r="K500">
            <v>1033</v>
          </cell>
          <cell r="L500">
            <v>218</v>
          </cell>
          <cell r="M500">
            <v>0</v>
          </cell>
          <cell r="N500">
            <v>53</v>
          </cell>
          <cell r="O500">
            <v>165</v>
          </cell>
          <cell r="P500">
            <v>191</v>
          </cell>
          <cell r="Q500">
            <v>106</v>
          </cell>
          <cell r="R500">
            <v>85</v>
          </cell>
          <cell r="S500">
            <v>4683</v>
          </cell>
          <cell r="T500">
            <v>409</v>
          </cell>
        </row>
        <row r="501">
          <cell r="C501" t="str">
            <v>East Renton Highlands CDP, Washington</v>
          </cell>
          <cell r="D501">
            <v>13106</v>
          </cell>
          <cell r="E501">
            <v>12345</v>
          </cell>
          <cell r="F501">
            <v>7814</v>
          </cell>
          <cell r="G501">
            <v>4414</v>
          </cell>
          <cell r="H501">
            <v>320</v>
          </cell>
          <cell r="I501">
            <v>1536</v>
          </cell>
          <cell r="J501">
            <v>539</v>
          </cell>
          <cell r="K501">
            <v>2019</v>
          </cell>
          <cell r="L501">
            <v>117</v>
          </cell>
          <cell r="M501">
            <v>0</v>
          </cell>
          <cell r="N501">
            <v>16</v>
          </cell>
          <cell r="O501">
            <v>101</v>
          </cell>
          <cell r="P501">
            <v>761</v>
          </cell>
          <cell r="Q501">
            <v>443</v>
          </cell>
          <cell r="R501">
            <v>318</v>
          </cell>
          <cell r="S501">
            <v>12228</v>
          </cell>
          <cell r="T501">
            <v>878</v>
          </cell>
        </row>
        <row r="502">
          <cell r="C502" t="str">
            <v>East Wenatchee city, Washington</v>
          </cell>
          <cell r="D502">
            <v>5813</v>
          </cell>
          <cell r="E502">
            <v>5328</v>
          </cell>
          <cell r="F502">
            <v>3473</v>
          </cell>
          <cell r="G502">
            <v>1817</v>
          </cell>
          <cell r="H502">
            <v>92</v>
          </cell>
          <cell r="I502">
            <v>467</v>
          </cell>
          <cell r="J502">
            <v>282</v>
          </cell>
          <cell r="K502">
            <v>976</v>
          </cell>
          <cell r="L502">
            <v>38</v>
          </cell>
          <cell r="M502">
            <v>18</v>
          </cell>
          <cell r="N502">
            <v>5</v>
          </cell>
          <cell r="O502">
            <v>15</v>
          </cell>
          <cell r="P502">
            <v>485</v>
          </cell>
          <cell r="Q502">
            <v>237</v>
          </cell>
          <cell r="R502">
            <v>248</v>
          </cell>
          <cell r="S502">
            <v>5290</v>
          </cell>
          <cell r="T502">
            <v>523</v>
          </cell>
        </row>
        <row r="503">
          <cell r="C503" t="str">
            <v>East Wenatchee Bench CDP, Washington</v>
          </cell>
          <cell r="D503">
            <v>13595</v>
          </cell>
          <cell r="E503">
            <v>12259</v>
          </cell>
          <cell r="F503">
            <v>7877</v>
          </cell>
          <cell r="G503">
            <v>4323</v>
          </cell>
          <cell r="H503">
            <v>210</v>
          </cell>
          <cell r="I503">
            <v>1274</v>
          </cell>
          <cell r="J503">
            <v>752</v>
          </cell>
          <cell r="K503">
            <v>2087</v>
          </cell>
          <cell r="L503">
            <v>59</v>
          </cell>
          <cell r="M503">
            <v>24</v>
          </cell>
          <cell r="N503">
            <v>0</v>
          </cell>
          <cell r="O503">
            <v>35</v>
          </cell>
          <cell r="P503">
            <v>1336</v>
          </cell>
          <cell r="Q503">
            <v>478</v>
          </cell>
          <cell r="R503">
            <v>858</v>
          </cell>
          <cell r="S503">
            <v>12200</v>
          </cell>
          <cell r="T503">
            <v>1395</v>
          </cell>
        </row>
        <row r="504">
          <cell r="C504" t="str">
            <v>Eatonville town, Washington</v>
          </cell>
          <cell r="D504">
            <v>1970</v>
          </cell>
          <cell r="E504">
            <v>1891</v>
          </cell>
          <cell r="F504">
            <v>1232</v>
          </cell>
          <cell r="G504">
            <v>627</v>
          </cell>
          <cell r="H504">
            <v>33</v>
          </cell>
          <cell r="I504">
            <v>193</v>
          </cell>
          <cell r="J504">
            <v>100</v>
          </cell>
          <cell r="K504">
            <v>301</v>
          </cell>
          <cell r="L504">
            <v>32</v>
          </cell>
          <cell r="M504">
            <v>0</v>
          </cell>
          <cell r="N504">
            <v>2</v>
          </cell>
          <cell r="O504">
            <v>30</v>
          </cell>
          <cell r="P504">
            <v>79</v>
          </cell>
          <cell r="Q504">
            <v>26</v>
          </cell>
          <cell r="R504">
            <v>53</v>
          </cell>
          <cell r="S504">
            <v>1859</v>
          </cell>
          <cell r="T504">
            <v>111</v>
          </cell>
        </row>
        <row r="505">
          <cell r="C505" t="str">
            <v>Echo Lake CDP, Washington</v>
          </cell>
          <cell r="D505">
            <v>926</v>
          </cell>
          <cell r="E505">
            <v>900</v>
          </cell>
          <cell r="F505">
            <v>592</v>
          </cell>
          <cell r="G505">
            <v>303</v>
          </cell>
          <cell r="H505">
            <v>31</v>
          </cell>
          <cell r="I505">
            <v>78</v>
          </cell>
          <cell r="J505">
            <v>43</v>
          </cell>
          <cell r="K505">
            <v>151</v>
          </cell>
          <cell r="L505">
            <v>5</v>
          </cell>
          <cell r="M505">
            <v>5</v>
          </cell>
          <cell r="N505">
            <v>0</v>
          </cell>
          <cell r="O505">
            <v>0</v>
          </cell>
          <cell r="P505">
            <v>26</v>
          </cell>
          <cell r="Q505">
            <v>20</v>
          </cell>
          <cell r="R505">
            <v>6</v>
          </cell>
          <cell r="S505">
            <v>895</v>
          </cell>
          <cell r="T505">
            <v>31</v>
          </cell>
        </row>
        <row r="506">
          <cell r="C506" t="str">
            <v>Edgewood city, Washington</v>
          </cell>
          <cell r="D506">
            <v>9110</v>
          </cell>
          <cell r="E506">
            <v>8788</v>
          </cell>
          <cell r="F506">
            <v>5555</v>
          </cell>
          <cell r="G506">
            <v>3082</v>
          </cell>
          <cell r="H506">
            <v>202</v>
          </cell>
          <cell r="I506">
            <v>1140</v>
          </cell>
          <cell r="J506">
            <v>361</v>
          </cell>
          <cell r="K506">
            <v>1379</v>
          </cell>
          <cell r="L506">
            <v>151</v>
          </cell>
          <cell r="M506">
            <v>0</v>
          </cell>
          <cell r="N506">
            <v>11</v>
          </cell>
          <cell r="O506">
            <v>140</v>
          </cell>
          <cell r="P506">
            <v>322</v>
          </cell>
          <cell r="Q506">
            <v>209</v>
          </cell>
          <cell r="R506">
            <v>113</v>
          </cell>
          <cell r="S506">
            <v>8637</v>
          </cell>
          <cell r="T506">
            <v>473</v>
          </cell>
        </row>
        <row r="507">
          <cell r="C507" t="str">
            <v>Edison CDP, Washington</v>
          </cell>
          <cell r="D507">
            <v>142</v>
          </cell>
          <cell r="E507">
            <v>142</v>
          </cell>
          <cell r="F507">
            <v>109</v>
          </cell>
          <cell r="G507">
            <v>33</v>
          </cell>
          <cell r="H507">
            <v>0</v>
          </cell>
          <cell r="I507">
            <v>16</v>
          </cell>
          <cell r="J507">
            <v>0</v>
          </cell>
          <cell r="K507">
            <v>17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142</v>
          </cell>
          <cell r="T507">
            <v>0</v>
          </cell>
        </row>
        <row r="508">
          <cell r="C508" t="str">
            <v>Edmonds city, Washington</v>
          </cell>
          <cell r="D508">
            <v>39610</v>
          </cell>
          <cell r="E508">
            <v>35259</v>
          </cell>
          <cell r="F508">
            <v>19590</v>
          </cell>
          <cell r="G508">
            <v>15176</v>
          </cell>
          <cell r="H508">
            <v>1811</v>
          </cell>
          <cell r="I508">
            <v>4781</v>
          </cell>
          <cell r="J508">
            <v>1995</v>
          </cell>
          <cell r="K508">
            <v>6589</v>
          </cell>
          <cell r="L508">
            <v>493</v>
          </cell>
          <cell r="M508">
            <v>0</v>
          </cell>
          <cell r="N508">
            <v>50</v>
          </cell>
          <cell r="O508">
            <v>443</v>
          </cell>
          <cell r="P508">
            <v>4351</v>
          </cell>
          <cell r="Q508">
            <v>2211</v>
          </cell>
          <cell r="R508">
            <v>2140</v>
          </cell>
          <cell r="S508">
            <v>34766</v>
          </cell>
          <cell r="T508">
            <v>4844</v>
          </cell>
        </row>
        <row r="509">
          <cell r="C509" t="str">
            <v>Elbe CDP, Washington</v>
          </cell>
          <cell r="D509">
            <v>8</v>
          </cell>
          <cell r="E509">
            <v>8</v>
          </cell>
          <cell r="F509">
            <v>8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8</v>
          </cell>
          <cell r="T509">
            <v>0</v>
          </cell>
        </row>
        <row r="510">
          <cell r="C510" t="str">
            <v>Electric City town, Washington</v>
          </cell>
          <cell r="D510">
            <v>903</v>
          </cell>
          <cell r="E510">
            <v>887</v>
          </cell>
          <cell r="F510">
            <v>501</v>
          </cell>
          <cell r="G510">
            <v>386</v>
          </cell>
          <cell r="H510">
            <v>16</v>
          </cell>
          <cell r="I510">
            <v>99</v>
          </cell>
          <cell r="J510">
            <v>57</v>
          </cell>
          <cell r="K510">
            <v>214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16</v>
          </cell>
          <cell r="Q510">
            <v>16</v>
          </cell>
          <cell r="R510">
            <v>0</v>
          </cell>
          <cell r="S510">
            <v>887</v>
          </cell>
          <cell r="T510">
            <v>16</v>
          </cell>
        </row>
        <row r="511">
          <cell r="C511" t="str">
            <v>Elk Plain CDP, Washington</v>
          </cell>
          <cell r="D511">
            <v>15687</v>
          </cell>
          <cell r="E511">
            <v>14778</v>
          </cell>
          <cell r="F511">
            <v>8072</v>
          </cell>
          <cell r="G511">
            <v>6017</v>
          </cell>
          <cell r="H511">
            <v>472</v>
          </cell>
          <cell r="I511">
            <v>1482</v>
          </cell>
          <cell r="J511">
            <v>1214</v>
          </cell>
          <cell r="K511">
            <v>2849</v>
          </cell>
          <cell r="L511">
            <v>689</v>
          </cell>
          <cell r="M511">
            <v>4</v>
          </cell>
          <cell r="N511">
            <v>153</v>
          </cell>
          <cell r="O511">
            <v>532</v>
          </cell>
          <cell r="P511">
            <v>909</v>
          </cell>
          <cell r="Q511">
            <v>510</v>
          </cell>
          <cell r="R511">
            <v>399</v>
          </cell>
          <cell r="S511">
            <v>14089</v>
          </cell>
          <cell r="T511">
            <v>1598</v>
          </cell>
        </row>
        <row r="512">
          <cell r="C512" t="str">
            <v>Ellensburg city, Washington</v>
          </cell>
          <cell r="D512">
            <v>15369</v>
          </cell>
          <cell r="E512">
            <v>14354</v>
          </cell>
          <cell r="F512">
            <v>9075</v>
          </cell>
          <cell r="G512">
            <v>5095</v>
          </cell>
          <cell r="H512">
            <v>399</v>
          </cell>
          <cell r="I512">
            <v>1359</v>
          </cell>
          <cell r="J512">
            <v>703</v>
          </cell>
          <cell r="K512">
            <v>2634</v>
          </cell>
          <cell r="L512">
            <v>184</v>
          </cell>
          <cell r="M512">
            <v>9</v>
          </cell>
          <cell r="N512">
            <v>47</v>
          </cell>
          <cell r="O512">
            <v>128</v>
          </cell>
          <cell r="P512">
            <v>1015</v>
          </cell>
          <cell r="Q512">
            <v>302</v>
          </cell>
          <cell r="R512">
            <v>713</v>
          </cell>
          <cell r="S512">
            <v>14170</v>
          </cell>
          <cell r="T512">
            <v>1199</v>
          </cell>
        </row>
        <row r="513">
          <cell r="C513" t="str">
            <v>Elma city, Washington</v>
          </cell>
          <cell r="D513">
            <v>2955</v>
          </cell>
          <cell r="E513">
            <v>2883</v>
          </cell>
          <cell r="F513">
            <v>1997</v>
          </cell>
          <cell r="G513">
            <v>871</v>
          </cell>
          <cell r="H513">
            <v>10</v>
          </cell>
          <cell r="I513">
            <v>215</v>
          </cell>
          <cell r="J513">
            <v>130</v>
          </cell>
          <cell r="K513">
            <v>516</v>
          </cell>
          <cell r="L513">
            <v>15</v>
          </cell>
          <cell r="M513">
            <v>0</v>
          </cell>
          <cell r="N513">
            <v>5</v>
          </cell>
          <cell r="O513">
            <v>10</v>
          </cell>
          <cell r="P513">
            <v>72</v>
          </cell>
          <cell r="Q513">
            <v>27</v>
          </cell>
          <cell r="R513">
            <v>45</v>
          </cell>
          <cell r="S513">
            <v>2868</v>
          </cell>
          <cell r="T513">
            <v>87</v>
          </cell>
        </row>
        <row r="514">
          <cell r="C514" t="str">
            <v>Elmer City town, Washington</v>
          </cell>
          <cell r="D514">
            <v>290</v>
          </cell>
          <cell r="E514">
            <v>288</v>
          </cell>
          <cell r="F514">
            <v>188</v>
          </cell>
          <cell r="G514">
            <v>96</v>
          </cell>
          <cell r="H514">
            <v>4</v>
          </cell>
          <cell r="I514">
            <v>17</v>
          </cell>
          <cell r="J514">
            <v>14</v>
          </cell>
          <cell r="K514">
            <v>61</v>
          </cell>
          <cell r="L514">
            <v>4</v>
          </cell>
          <cell r="M514">
            <v>0</v>
          </cell>
          <cell r="N514">
            <v>0</v>
          </cell>
          <cell r="O514">
            <v>4</v>
          </cell>
          <cell r="P514">
            <v>2</v>
          </cell>
          <cell r="Q514">
            <v>0</v>
          </cell>
          <cell r="R514">
            <v>2</v>
          </cell>
          <cell r="S514">
            <v>284</v>
          </cell>
          <cell r="T514">
            <v>6</v>
          </cell>
        </row>
        <row r="515">
          <cell r="C515" t="str">
            <v>Endicott town, Washington</v>
          </cell>
          <cell r="D515">
            <v>621</v>
          </cell>
          <cell r="E515">
            <v>619</v>
          </cell>
          <cell r="F515">
            <v>434</v>
          </cell>
          <cell r="G515">
            <v>176</v>
          </cell>
          <cell r="H515">
            <v>8</v>
          </cell>
          <cell r="I515">
            <v>34</v>
          </cell>
          <cell r="J515">
            <v>15</v>
          </cell>
          <cell r="K515">
            <v>119</v>
          </cell>
          <cell r="L515">
            <v>9</v>
          </cell>
          <cell r="M515">
            <v>0</v>
          </cell>
          <cell r="N515">
            <v>0</v>
          </cell>
          <cell r="O515">
            <v>9</v>
          </cell>
          <cell r="P515">
            <v>2</v>
          </cell>
          <cell r="Q515">
            <v>0</v>
          </cell>
          <cell r="R515">
            <v>2</v>
          </cell>
          <cell r="S515">
            <v>610</v>
          </cell>
          <cell r="T515">
            <v>11</v>
          </cell>
        </row>
        <row r="516">
          <cell r="C516" t="str">
            <v>Entiat city, Washington</v>
          </cell>
          <cell r="D516">
            <v>959</v>
          </cell>
          <cell r="E516">
            <v>859</v>
          </cell>
          <cell r="F516">
            <v>544</v>
          </cell>
          <cell r="G516">
            <v>308</v>
          </cell>
          <cell r="H516">
            <v>6</v>
          </cell>
          <cell r="I516">
            <v>72</v>
          </cell>
          <cell r="J516">
            <v>37</v>
          </cell>
          <cell r="K516">
            <v>193</v>
          </cell>
          <cell r="L516">
            <v>7</v>
          </cell>
          <cell r="M516">
            <v>0</v>
          </cell>
          <cell r="N516">
            <v>0</v>
          </cell>
          <cell r="O516">
            <v>7</v>
          </cell>
          <cell r="P516">
            <v>100</v>
          </cell>
          <cell r="Q516">
            <v>17</v>
          </cell>
          <cell r="R516">
            <v>83</v>
          </cell>
          <cell r="S516">
            <v>852</v>
          </cell>
          <cell r="T516">
            <v>107</v>
          </cell>
        </row>
        <row r="517">
          <cell r="C517" t="str">
            <v>Enumclaw city, Washington</v>
          </cell>
          <cell r="D517">
            <v>11183</v>
          </cell>
          <cell r="E517">
            <v>10791</v>
          </cell>
          <cell r="F517">
            <v>6128</v>
          </cell>
          <cell r="G517">
            <v>4566</v>
          </cell>
          <cell r="H517">
            <v>497</v>
          </cell>
          <cell r="I517">
            <v>1585</v>
          </cell>
          <cell r="J517">
            <v>547</v>
          </cell>
          <cell r="K517">
            <v>1937</v>
          </cell>
          <cell r="L517">
            <v>97</v>
          </cell>
          <cell r="M517">
            <v>3</v>
          </cell>
          <cell r="N517">
            <v>7</v>
          </cell>
          <cell r="O517">
            <v>87</v>
          </cell>
          <cell r="P517">
            <v>392</v>
          </cell>
          <cell r="Q517">
            <v>217</v>
          </cell>
          <cell r="R517">
            <v>175</v>
          </cell>
          <cell r="S517">
            <v>10694</v>
          </cell>
          <cell r="T517">
            <v>489</v>
          </cell>
        </row>
        <row r="518">
          <cell r="C518" t="str">
            <v>Ephrata city, Washington</v>
          </cell>
          <cell r="D518">
            <v>6818</v>
          </cell>
          <cell r="E518">
            <v>6259</v>
          </cell>
          <cell r="F518">
            <v>4001</v>
          </cell>
          <cell r="G518">
            <v>2215</v>
          </cell>
          <cell r="H518">
            <v>57</v>
          </cell>
          <cell r="I518">
            <v>588</v>
          </cell>
          <cell r="J518">
            <v>246</v>
          </cell>
          <cell r="K518">
            <v>1324</v>
          </cell>
          <cell r="L518">
            <v>43</v>
          </cell>
          <cell r="M518">
            <v>0</v>
          </cell>
          <cell r="N518">
            <v>0</v>
          </cell>
          <cell r="O518">
            <v>43</v>
          </cell>
          <cell r="P518">
            <v>559</v>
          </cell>
          <cell r="Q518">
            <v>259</v>
          </cell>
          <cell r="R518">
            <v>300</v>
          </cell>
          <cell r="S518">
            <v>6216</v>
          </cell>
          <cell r="T518">
            <v>602</v>
          </cell>
        </row>
        <row r="519">
          <cell r="C519" t="str">
            <v>Erlands Point-Kitsap Lake CDP, Washington</v>
          </cell>
          <cell r="D519">
            <v>2678</v>
          </cell>
          <cell r="E519">
            <v>2547</v>
          </cell>
          <cell r="F519">
            <v>1358</v>
          </cell>
          <cell r="G519">
            <v>1134</v>
          </cell>
          <cell r="H519">
            <v>138</v>
          </cell>
          <cell r="I519">
            <v>385</v>
          </cell>
          <cell r="J519">
            <v>100</v>
          </cell>
          <cell r="K519">
            <v>511</v>
          </cell>
          <cell r="L519">
            <v>55</v>
          </cell>
          <cell r="M519">
            <v>7</v>
          </cell>
          <cell r="N519">
            <v>6</v>
          </cell>
          <cell r="O519">
            <v>42</v>
          </cell>
          <cell r="P519">
            <v>131</v>
          </cell>
          <cell r="Q519">
            <v>103</v>
          </cell>
          <cell r="R519">
            <v>28</v>
          </cell>
          <cell r="S519">
            <v>2492</v>
          </cell>
          <cell r="T519">
            <v>186</v>
          </cell>
        </row>
        <row r="520">
          <cell r="C520" t="str">
            <v>Eschbach CDP, Washington</v>
          </cell>
          <cell r="D520">
            <v>424</v>
          </cell>
          <cell r="E520">
            <v>409</v>
          </cell>
          <cell r="F520">
            <v>284</v>
          </cell>
          <cell r="G520">
            <v>125</v>
          </cell>
          <cell r="H520">
            <v>10</v>
          </cell>
          <cell r="I520">
            <v>49</v>
          </cell>
          <cell r="J520">
            <v>7</v>
          </cell>
          <cell r="K520">
            <v>59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15</v>
          </cell>
          <cell r="Q520">
            <v>0</v>
          </cell>
          <cell r="R520">
            <v>15</v>
          </cell>
          <cell r="S520">
            <v>409</v>
          </cell>
          <cell r="T520">
            <v>15</v>
          </cell>
        </row>
        <row r="521">
          <cell r="C521" t="str">
            <v>Esperance CDP, Washington</v>
          </cell>
          <cell r="D521">
            <v>3581</v>
          </cell>
          <cell r="E521">
            <v>3218</v>
          </cell>
          <cell r="F521">
            <v>2043</v>
          </cell>
          <cell r="G521">
            <v>1118</v>
          </cell>
          <cell r="H521">
            <v>74</v>
          </cell>
          <cell r="I521">
            <v>364</v>
          </cell>
          <cell r="J521">
            <v>73</v>
          </cell>
          <cell r="K521">
            <v>607</v>
          </cell>
          <cell r="L521">
            <v>57</v>
          </cell>
          <cell r="M521">
            <v>21</v>
          </cell>
          <cell r="N521">
            <v>0</v>
          </cell>
          <cell r="O521">
            <v>36</v>
          </cell>
          <cell r="P521">
            <v>363</v>
          </cell>
          <cell r="Q521">
            <v>165</v>
          </cell>
          <cell r="R521">
            <v>198</v>
          </cell>
          <cell r="S521">
            <v>3161</v>
          </cell>
          <cell r="T521">
            <v>420</v>
          </cell>
        </row>
        <row r="522">
          <cell r="C522" t="str">
            <v>Everett city, Washington</v>
          </cell>
          <cell r="D522">
            <v>91290</v>
          </cell>
          <cell r="E522">
            <v>79963</v>
          </cell>
          <cell r="F522">
            <v>44271</v>
          </cell>
          <cell r="G522">
            <v>34500</v>
          </cell>
          <cell r="H522">
            <v>3275</v>
          </cell>
          <cell r="I522">
            <v>9681</v>
          </cell>
          <cell r="J522">
            <v>5613</v>
          </cell>
          <cell r="K522">
            <v>15931</v>
          </cell>
          <cell r="L522">
            <v>1192</v>
          </cell>
          <cell r="M522">
            <v>73</v>
          </cell>
          <cell r="N522">
            <v>103</v>
          </cell>
          <cell r="O522">
            <v>1016</v>
          </cell>
          <cell r="P522">
            <v>11327</v>
          </cell>
          <cell r="Q522">
            <v>4026</v>
          </cell>
          <cell r="R522">
            <v>7301</v>
          </cell>
          <cell r="S522">
            <v>78771</v>
          </cell>
          <cell r="T522">
            <v>12519</v>
          </cell>
        </row>
        <row r="523">
          <cell r="C523" t="str">
            <v>Everson city, Washington</v>
          </cell>
          <cell r="D523">
            <v>2048</v>
          </cell>
          <cell r="E523">
            <v>1770</v>
          </cell>
          <cell r="F523">
            <v>1159</v>
          </cell>
          <cell r="G523">
            <v>584</v>
          </cell>
          <cell r="H523">
            <v>29</v>
          </cell>
          <cell r="I523">
            <v>136</v>
          </cell>
          <cell r="J523">
            <v>119</v>
          </cell>
          <cell r="K523">
            <v>300</v>
          </cell>
          <cell r="L523">
            <v>27</v>
          </cell>
          <cell r="M523">
            <v>0</v>
          </cell>
          <cell r="N523">
            <v>0</v>
          </cell>
          <cell r="O523">
            <v>27</v>
          </cell>
          <cell r="P523">
            <v>278</v>
          </cell>
          <cell r="Q523">
            <v>48</v>
          </cell>
          <cell r="R523">
            <v>230</v>
          </cell>
          <cell r="S523">
            <v>1743</v>
          </cell>
          <cell r="T523">
            <v>305</v>
          </cell>
        </row>
        <row r="524">
          <cell r="C524" t="str">
            <v>Fairchild AFB CDP, Washington</v>
          </cell>
          <cell r="D524">
            <v>4357</v>
          </cell>
          <cell r="E524">
            <v>4193</v>
          </cell>
          <cell r="F524">
            <v>788</v>
          </cell>
          <cell r="G524">
            <v>3204</v>
          </cell>
          <cell r="H524">
            <v>343</v>
          </cell>
          <cell r="I524">
            <v>781</v>
          </cell>
          <cell r="J524">
            <v>976</v>
          </cell>
          <cell r="K524">
            <v>1104</v>
          </cell>
          <cell r="L524">
            <v>201</v>
          </cell>
          <cell r="M524">
            <v>0</v>
          </cell>
          <cell r="N524">
            <v>11</v>
          </cell>
          <cell r="O524">
            <v>190</v>
          </cell>
          <cell r="P524">
            <v>164</v>
          </cell>
          <cell r="Q524">
            <v>104</v>
          </cell>
          <cell r="R524">
            <v>60</v>
          </cell>
          <cell r="S524">
            <v>3992</v>
          </cell>
          <cell r="T524">
            <v>365</v>
          </cell>
        </row>
        <row r="525">
          <cell r="C525" t="str">
            <v>Fairfield town, Washington</v>
          </cell>
          <cell r="D525">
            <v>487</v>
          </cell>
          <cell r="E525">
            <v>480</v>
          </cell>
          <cell r="F525">
            <v>294</v>
          </cell>
          <cell r="G525">
            <v>186</v>
          </cell>
          <cell r="H525">
            <v>20</v>
          </cell>
          <cell r="I525">
            <v>40</v>
          </cell>
          <cell r="J525">
            <v>30</v>
          </cell>
          <cell r="K525">
            <v>96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7</v>
          </cell>
          <cell r="Q525">
            <v>7</v>
          </cell>
          <cell r="R525">
            <v>0</v>
          </cell>
          <cell r="S525">
            <v>480</v>
          </cell>
          <cell r="T525">
            <v>7</v>
          </cell>
        </row>
        <row r="526">
          <cell r="C526" t="str">
            <v>Fairwood CDP, Washington</v>
          </cell>
          <cell r="D526">
            <v>6784</v>
          </cell>
          <cell r="E526">
            <v>6374</v>
          </cell>
          <cell r="F526">
            <v>3337</v>
          </cell>
          <cell r="G526">
            <v>2936</v>
          </cell>
          <cell r="H526">
            <v>304</v>
          </cell>
          <cell r="I526">
            <v>815</v>
          </cell>
          <cell r="J526">
            <v>228</v>
          </cell>
          <cell r="K526">
            <v>1589</v>
          </cell>
          <cell r="L526">
            <v>101</v>
          </cell>
          <cell r="M526">
            <v>0</v>
          </cell>
          <cell r="N526">
            <v>0</v>
          </cell>
          <cell r="O526">
            <v>101</v>
          </cell>
          <cell r="P526">
            <v>410</v>
          </cell>
          <cell r="Q526">
            <v>135</v>
          </cell>
          <cell r="R526">
            <v>275</v>
          </cell>
          <cell r="S526">
            <v>6273</v>
          </cell>
          <cell r="T526">
            <v>511</v>
          </cell>
        </row>
        <row r="527">
          <cell r="C527" t="str">
            <v>Fall City CDP, Washington</v>
          </cell>
          <cell r="D527">
            <v>1651</v>
          </cell>
          <cell r="E527">
            <v>1603</v>
          </cell>
          <cell r="F527">
            <v>1097</v>
          </cell>
          <cell r="G527">
            <v>496</v>
          </cell>
          <cell r="H527">
            <v>63</v>
          </cell>
          <cell r="I527">
            <v>132</v>
          </cell>
          <cell r="J527">
            <v>88</v>
          </cell>
          <cell r="K527">
            <v>213</v>
          </cell>
          <cell r="L527">
            <v>10</v>
          </cell>
          <cell r="M527">
            <v>0</v>
          </cell>
          <cell r="N527">
            <v>0</v>
          </cell>
          <cell r="O527">
            <v>10</v>
          </cell>
          <cell r="P527">
            <v>48</v>
          </cell>
          <cell r="Q527">
            <v>25</v>
          </cell>
          <cell r="R527">
            <v>23</v>
          </cell>
          <cell r="S527">
            <v>1593</v>
          </cell>
          <cell r="T527">
            <v>58</v>
          </cell>
        </row>
        <row r="528">
          <cell r="C528" t="str">
            <v>Farmington town, Washington</v>
          </cell>
          <cell r="D528">
            <v>117</v>
          </cell>
          <cell r="E528">
            <v>117</v>
          </cell>
          <cell r="F528">
            <v>67</v>
          </cell>
          <cell r="G528">
            <v>50</v>
          </cell>
          <cell r="H528">
            <v>4</v>
          </cell>
          <cell r="I528">
            <v>8</v>
          </cell>
          <cell r="J528">
            <v>7</v>
          </cell>
          <cell r="K528">
            <v>31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117</v>
          </cell>
          <cell r="T528">
            <v>0</v>
          </cell>
        </row>
        <row r="529">
          <cell r="C529" t="str">
            <v>Federal Way city, Washington</v>
          </cell>
          <cell r="D529">
            <v>83233</v>
          </cell>
          <cell r="E529">
            <v>68708</v>
          </cell>
          <cell r="F529">
            <v>35563</v>
          </cell>
          <cell r="G529">
            <v>31906</v>
          </cell>
          <cell r="H529">
            <v>2889</v>
          </cell>
          <cell r="I529">
            <v>8282</v>
          </cell>
          <cell r="J529">
            <v>5941</v>
          </cell>
          <cell r="K529">
            <v>14794</v>
          </cell>
          <cell r="L529">
            <v>1239</v>
          </cell>
          <cell r="M529">
            <v>93</v>
          </cell>
          <cell r="N529">
            <v>133</v>
          </cell>
          <cell r="O529">
            <v>1013</v>
          </cell>
          <cell r="P529">
            <v>14525</v>
          </cell>
          <cell r="Q529">
            <v>5920</v>
          </cell>
          <cell r="R529">
            <v>8605</v>
          </cell>
          <cell r="S529">
            <v>67469</v>
          </cell>
          <cell r="T529">
            <v>15764</v>
          </cell>
        </row>
        <row r="530">
          <cell r="C530" t="str">
            <v>Felida CDP, Washington</v>
          </cell>
          <cell r="D530">
            <v>5783</v>
          </cell>
          <cell r="E530">
            <v>5432</v>
          </cell>
          <cell r="F530">
            <v>1918</v>
          </cell>
          <cell r="G530">
            <v>3472</v>
          </cell>
          <cell r="H530">
            <v>367</v>
          </cell>
          <cell r="I530">
            <v>597</v>
          </cell>
          <cell r="J530">
            <v>287</v>
          </cell>
          <cell r="K530">
            <v>2221</v>
          </cell>
          <cell r="L530">
            <v>42</v>
          </cell>
          <cell r="M530">
            <v>0</v>
          </cell>
          <cell r="N530">
            <v>0</v>
          </cell>
          <cell r="O530">
            <v>42</v>
          </cell>
          <cell r="P530">
            <v>351</v>
          </cell>
          <cell r="Q530">
            <v>241</v>
          </cell>
          <cell r="R530">
            <v>110</v>
          </cell>
          <cell r="S530">
            <v>5390</v>
          </cell>
          <cell r="T530">
            <v>393</v>
          </cell>
        </row>
        <row r="531">
          <cell r="C531" t="str">
            <v>Ferndale city, Washington</v>
          </cell>
          <cell r="D531">
            <v>8813</v>
          </cell>
          <cell r="E531">
            <v>7611</v>
          </cell>
          <cell r="F531">
            <v>4488</v>
          </cell>
          <cell r="G531">
            <v>3023</v>
          </cell>
          <cell r="H531">
            <v>188</v>
          </cell>
          <cell r="I531">
            <v>775</v>
          </cell>
          <cell r="J531">
            <v>437</v>
          </cell>
          <cell r="K531">
            <v>1623</v>
          </cell>
          <cell r="L531">
            <v>100</v>
          </cell>
          <cell r="M531">
            <v>0</v>
          </cell>
          <cell r="N531">
            <v>0</v>
          </cell>
          <cell r="O531">
            <v>100</v>
          </cell>
          <cell r="P531">
            <v>1202</v>
          </cell>
          <cell r="Q531">
            <v>321</v>
          </cell>
          <cell r="R531">
            <v>881</v>
          </cell>
          <cell r="S531">
            <v>7511</v>
          </cell>
          <cell r="T531">
            <v>1302</v>
          </cell>
        </row>
        <row r="532">
          <cell r="C532" t="str">
            <v>Fife city, Washington</v>
          </cell>
          <cell r="D532">
            <v>4760</v>
          </cell>
          <cell r="E532">
            <v>4152</v>
          </cell>
          <cell r="F532">
            <v>2469</v>
          </cell>
          <cell r="G532">
            <v>1609</v>
          </cell>
          <cell r="H532">
            <v>153</v>
          </cell>
          <cell r="I532">
            <v>373</v>
          </cell>
          <cell r="J532">
            <v>335</v>
          </cell>
          <cell r="K532">
            <v>748</v>
          </cell>
          <cell r="L532">
            <v>74</v>
          </cell>
          <cell r="M532">
            <v>0</v>
          </cell>
          <cell r="N532">
            <v>23</v>
          </cell>
          <cell r="O532">
            <v>51</v>
          </cell>
          <cell r="P532">
            <v>608</v>
          </cell>
          <cell r="Q532">
            <v>228</v>
          </cell>
          <cell r="R532">
            <v>380</v>
          </cell>
          <cell r="S532">
            <v>4078</v>
          </cell>
          <cell r="T532">
            <v>682</v>
          </cell>
        </row>
        <row r="533">
          <cell r="C533" t="str">
            <v>Finley CDP, Washington</v>
          </cell>
          <cell r="D533">
            <v>5664</v>
          </cell>
          <cell r="E533">
            <v>5394</v>
          </cell>
          <cell r="F533">
            <v>3182</v>
          </cell>
          <cell r="G533">
            <v>2162</v>
          </cell>
          <cell r="H533">
            <v>54</v>
          </cell>
          <cell r="I533">
            <v>418</v>
          </cell>
          <cell r="J533">
            <v>529</v>
          </cell>
          <cell r="K533">
            <v>1161</v>
          </cell>
          <cell r="L533">
            <v>50</v>
          </cell>
          <cell r="M533">
            <v>0</v>
          </cell>
          <cell r="N533">
            <v>0</v>
          </cell>
          <cell r="O533">
            <v>50</v>
          </cell>
          <cell r="P533">
            <v>270</v>
          </cell>
          <cell r="Q533">
            <v>91</v>
          </cell>
          <cell r="R533">
            <v>179</v>
          </cell>
          <cell r="S533">
            <v>5344</v>
          </cell>
          <cell r="T533">
            <v>320</v>
          </cell>
        </row>
        <row r="534">
          <cell r="C534" t="str">
            <v>Fircrest city, Washington</v>
          </cell>
          <cell r="D534">
            <v>5849</v>
          </cell>
          <cell r="E534">
            <v>5516</v>
          </cell>
          <cell r="F534">
            <v>3300</v>
          </cell>
          <cell r="G534">
            <v>2166</v>
          </cell>
          <cell r="H534">
            <v>291</v>
          </cell>
          <cell r="I534">
            <v>563</v>
          </cell>
          <cell r="J534">
            <v>473</v>
          </cell>
          <cell r="K534">
            <v>839</v>
          </cell>
          <cell r="L534">
            <v>50</v>
          </cell>
          <cell r="M534">
            <v>11</v>
          </cell>
          <cell r="N534">
            <v>0</v>
          </cell>
          <cell r="O534">
            <v>39</v>
          </cell>
          <cell r="P534">
            <v>333</v>
          </cell>
          <cell r="Q534">
            <v>236</v>
          </cell>
          <cell r="R534">
            <v>97</v>
          </cell>
          <cell r="S534">
            <v>5466</v>
          </cell>
          <cell r="T534">
            <v>383</v>
          </cell>
        </row>
        <row r="535">
          <cell r="C535" t="str">
            <v>Five Corners CDP, Washington</v>
          </cell>
          <cell r="D535">
            <v>12119</v>
          </cell>
          <cell r="E535">
            <v>11191</v>
          </cell>
          <cell r="F535">
            <v>3932</v>
          </cell>
          <cell r="G535">
            <v>7129</v>
          </cell>
          <cell r="H535">
            <v>463</v>
          </cell>
          <cell r="I535">
            <v>1323</v>
          </cell>
          <cell r="J535">
            <v>582</v>
          </cell>
          <cell r="K535">
            <v>4761</v>
          </cell>
          <cell r="L535">
            <v>130</v>
          </cell>
          <cell r="M535">
            <v>0</v>
          </cell>
          <cell r="N535">
            <v>12</v>
          </cell>
          <cell r="O535">
            <v>118</v>
          </cell>
          <cell r="P535">
            <v>928</v>
          </cell>
          <cell r="Q535">
            <v>443</v>
          </cell>
          <cell r="R535">
            <v>485</v>
          </cell>
          <cell r="S535">
            <v>11061</v>
          </cell>
          <cell r="T535">
            <v>1058</v>
          </cell>
        </row>
        <row r="536">
          <cell r="C536" t="str">
            <v>Fords Prairie CDP, Washington</v>
          </cell>
          <cell r="D536">
            <v>1917</v>
          </cell>
          <cell r="E536">
            <v>1884</v>
          </cell>
          <cell r="F536">
            <v>1122</v>
          </cell>
          <cell r="G536">
            <v>733</v>
          </cell>
          <cell r="H536">
            <v>27</v>
          </cell>
          <cell r="I536">
            <v>288</v>
          </cell>
          <cell r="J536">
            <v>94</v>
          </cell>
          <cell r="K536">
            <v>324</v>
          </cell>
          <cell r="L536">
            <v>29</v>
          </cell>
          <cell r="M536">
            <v>7</v>
          </cell>
          <cell r="N536">
            <v>0</v>
          </cell>
          <cell r="O536">
            <v>22</v>
          </cell>
          <cell r="P536">
            <v>33</v>
          </cell>
          <cell r="Q536">
            <v>33</v>
          </cell>
          <cell r="R536">
            <v>0</v>
          </cell>
          <cell r="S536">
            <v>1855</v>
          </cell>
          <cell r="T536">
            <v>62</v>
          </cell>
        </row>
        <row r="537">
          <cell r="C537" t="str">
            <v>Forks city, Washington</v>
          </cell>
          <cell r="D537">
            <v>3047</v>
          </cell>
          <cell r="E537">
            <v>2726</v>
          </cell>
          <cell r="F537">
            <v>1834</v>
          </cell>
          <cell r="G537">
            <v>882</v>
          </cell>
          <cell r="H537">
            <v>75</v>
          </cell>
          <cell r="I537">
            <v>140</v>
          </cell>
          <cell r="J537">
            <v>141</v>
          </cell>
          <cell r="K537">
            <v>526</v>
          </cell>
          <cell r="L537">
            <v>10</v>
          </cell>
          <cell r="M537">
            <v>0</v>
          </cell>
          <cell r="N537">
            <v>0</v>
          </cell>
          <cell r="O537">
            <v>10</v>
          </cell>
          <cell r="P537">
            <v>321</v>
          </cell>
          <cell r="Q537">
            <v>47</v>
          </cell>
          <cell r="R537">
            <v>274</v>
          </cell>
          <cell r="S537">
            <v>2716</v>
          </cell>
          <cell r="T537">
            <v>331</v>
          </cell>
        </row>
        <row r="538">
          <cell r="C538" t="str">
            <v>Fort Lewis CDP, Washington</v>
          </cell>
          <cell r="D538">
            <v>19026</v>
          </cell>
          <cell r="E538">
            <v>17834</v>
          </cell>
          <cell r="F538">
            <v>2307</v>
          </cell>
          <cell r="G538">
            <v>14117</v>
          </cell>
          <cell r="H538">
            <v>1769</v>
          </cell>
          <cell r="I538">
            <v>2889</v>
          </cell>
          <cell r="J538">
            <v>5453</v>
          </cell>
          <cell r="K538">
            <v>4006</v>
          </cell>
          <cell r="L538">
            <v>1410</v>
          </cell>
          <cell r="M538">
            <v>206</v>
          </cell>
          <cell r="N538">
            <v>217</v>
          </cell>
          <cell r="O538">
            <v>987</v>
          </cell>
          <cell r="P538">
            <v>1192</v>
          </cell>
          <cell r="Q538">
            <v>457</v>
          </cell>
          <cell r="R538">
            <v>735</v>
          </cell>
          <cell r="S538">
            <v>16424</v>
          </cell>
          <cell r="T538">
            <v>2602</v>
          </cell>
        </row>
        <row r="539">
          <cell r="C539" t="str">
            <v>Fox Island CDP, Washington</v>
          </cell>
          <cell r="D539">
            <v>2803</v>
          </cell>
          <cell r="E539">
            <v>2777</v>
          </cell>
          <cell r="F539">
            <v>1498</v>
          </cell>
          <cell r="G539">
            <v>1234</v>
          </cell>
          <cell r="H539">
            <v>214</v>
          </cell>
          <cell r="I539">
            <v>363</v>
          </cell>
          <cell r="J539">
            <v>170</v>
          </cell>
          <cell r="K539">
            <v>487</v>
          </cell>
          <cell r="L539">
            <v>45</v>
          </cell>
          <cell r="M539">
            <v>0</v>
          </cell>
          <cell r="N539">
            <v>11</v>
          </cell>
          <cell r="O539">
            <v>34</v>
          </cell>
          <cell r="P539">
            <v>26</v>
          </cell>
          <cell r="Q539">
            <v>26</v>
          </cell>
          <cell r="R539">
            <v>0</v>
          </cell>
          <cell r="S539">
            <v>2732</v>
          </cell>
          <cell r="T539">
            <v>71</v>
          </cell>
        </row>
        <row r="540">
          <cell r="C540" t="str">
            <v>Frederickson CDP, Washington</v>
          </cell>
          <cell r="D540">
            <v>5804</v>
          </cell>
          <cell r="E540">
            <v>5562</v>
          </cell>
          <cell r="F540">
            <v>2996</v>
          </cell>
          <cell r="G540">
            <v>2440</v>
          </cell>
          <cell r="H540">
            <v>360</v>
          </cell>
          <cell r="I540">
            <v>585</v>
          </cell>
          <cell r="J540">
            <v>573</v>
          </cell>
          <cell r="K540">
            <v>922</v>
          </cell>
          <cell r="L540">
            <v>126</v>
          </cell>
          <cell r="M540">
            <v>0</v>
          </cell>
          <cell r="N540">
            <v>0</v>
          </cell>
          <cell r="O540">
            <v>126</v>
          </cell>
          <cell r="P540">
            <v>242</v>
          </cell>
          <cell r="Q540">
            <v>193</v>
          </cell>
          <cell r="R540">
            <v>49</v>
          </cell>
          <cell r="S540">
            <v>5436</v>
          </cell>
          <cell r="T540">
            <v>368</v>
          </cell>
        </row>
        <row r="541">
          <cell r="C541" t="str">
            <v>Freeland CDP, Washington</v>
          </cell>
          <cell r="D541">
            <v>1320</v>
          </cell>
          <cell r="E541">
            <v>1260</v>
          </cell>
          <cell r="F541">
            <v>642</v>
          </cell>
          <cell r="G541">
            <v>611</v>
          </cell>
          <cell r="H541">
            <v>66</v>
          </cell>
          <cell r="I541">
            <v>152</v>
          </cell>
          <cell r="J541">
            <v>121</v>
          </cell>
          <cell r="K541">
            <v>272</v>
          </cell>
          <cell r="L541">
            <v>7</v>
          </cell>
          <cell r="M541">
            <v>0</v>
          </cell>
          <cell r="N541">
            <v>0</v>
          </cell>
          <cell r="O541">
            <v>7</v>
          </cell>
          <cell r="P541">
            <v>60</v>
          </cell>
          <cell r="Q541">
            <v>47</v>
          </cell>
          <cell r="R541">
            <v>13</v>
          </cell>
          <cell r="S541">
            <v>1253</v>
          </cell>
          <cell r="T541">
            <v>67</v>
          </cell>
        </row>
        <row r="542">
          <cell r="C542" t="str">
            <v>Friday Harbor town, Washington</v>
          </cell>
          <cell r="D542">
            <v>2008</v>
          </cell>
          <cell r="E542">
            <v>1862</v>
          </cell>
          <cell r="F542">
            <v>747</v>
          </cell>
          <cell r="G542">
            <v>1089</v>
          </cell>
          <cell r="H542">
            <v>139</v>
          </cell>
          <cell r="I542">
            <v>216</v>
          </cell>
          <cell r="J542">
            <v>91</v>
          </cell>
          <cell r="K542">
            <v>643</v>
          </cell>
          <cell r="L542">
            <v>26</v>
          </cell>
          <cell r="M542">
            <v>0</v>
          </cell>
          <cell r="N542">
            <v>0</v>
          </cell>
          <cell r="O542">
            <v>26</v>
          </cell>
          <cell r="P542">
            <v>146</v>
          </cell>
          <cell r="Q542">
            <v>50</v>
          </cell>
          <cell r="R542">
            <v>96</v>
          </cell>
          <cell r="S542">
            <v>1836</v>
          </cell>
          <cell r="T542">
            <v>172</v>
          </cell>
        </row>
        <row r="543">
          <cell r="C543" t="str">
            <v>Garfield town, Washington</v>
          </cell>
          <cell r="D543">
            <v>607</v>
          </cell>
          <cell r="E543">
            <v>602</v>
          </cell>
          <cell r="F543">
            <v>305</v>
          </cell>
          <cell r="G543">
            <v>287</v>
          </cell>
          <cell r="H543">
            <v>16</v>
          </cell>
          <cell r="I543">
            <v>55</v>
          </cell>
          <cell r="J543">
            <v>14</v>
          </cell>
          <cell r="K543">
            <v>202</v>
          </cell>
          <cell r="L543">
            <v>10</v>
          </cell>
          <cell r="M543">
            <v>0</v>
          </cell>
          <cell r="N543">
            <v>0</v>
          </cell>
          <cell r="O543">
            <v>10</v>
          </cell>
          <cell r="P543">
            <v>5</v>
          </cell>
          <cell r="Q543">
            <v>5</v>
          </cell>
          <cell r="R543">
            <v>0</v>
          </cell>
          <cell r="S543">
            <v>592</v>
          </cell>
          <cell r="T543">
            <v>15</v>
          </cell>
        </row>
        <row r="544">
          <cell r="C544" t="str">
            <v>Garrett CDP, Washington</v>
          </cell>
          <cell r="D544">
            <v>954</v>
          </cell>
          <cell r="E544">
            <v>945</v>
          </cell>
          <cell r="F544">
            <v>560</v>
          </cell>
          <cell r="G544">
            <v>375</v>
          </cell>
          <cell r="H544">
            <v>44</v>
          </cell>
          <cell r="I544">
            <v>93</v>
          </cell>
          <cell r="J544">
            <v>37</v>
          </cell>
          <cell r="K544">
            <v>201</v>
          </cell>
          <cell r="L544">
            <v>10</v>
          </cell>
          <cell r="M544">
            <v>0</v>
          </cell>
          <cell r="N544">
            <v>0</v>
          </cell>
          <cell r="O544">
            <v>10</v>
          </cell>
          <cell r="P544">
            <v>9</v>
          </cell>
          <cell r="Q544">
            <v>9</v>
          </cell>
          <cell r="R544">
            <v>0</v>
          </cell>
          <cell r="S544">
            <v>935</v>
          </cell>
          <cell r="T544">
            <v>19</v>
          </cell>
        </row>
        <row r="545">
          <cell r="C545" t="str">
            <v>Geneva CDP, Washington</v>
          </cell>
          <cell r="D545">
            <v>2082</v>
          </cell>
          <cell r="E545">
            <v>2022</v>
          </cell>
          <cell r="F545">
            <v>1154</v>
          </cell>
          <cell r="G545">
            <v>817</v>
          </cell>
          <cell r="H545">
            <v>125</v>
          </cell>
          <cell r="I545">
            <v>216</v>
          </cell>
          <cell r="J545">
            <v>184</v>
          </cell>
          <cell r="K545">
            <v>292</v>
          </cell>
          <cell r="L545">
            <v>51</v>
          </cell>
          <cell r="M545">
            <v>0</v>
          </cell>
          <cell r="N545">
            <v>0</v>
          </cell>
          <cell r="O545">
            <v>51</v>
          </cell>
          <cell r="P545">
            <v>60</v>
          </cell>
          <cell r="Q545">
            <v>34</v>
          </cell>
          <cell r="R545">
            <v>26</v>
          </cell>
          <cell r="S545">
            <v>1971</v>
          </cell>
          <cell r="T545">
            <v>111</v>
          </cell>
        </row>
        <row r="546">
          <cell r="C546" t="str">
            <v>George city, Washington</v>
          </cell>
          <cell r="D546">
            <v>510</v>
          </cell>
          <cell r="E546">
            <v>263</v>
          </cell>
          <cell r="F546">
            <v>180</v>
          </cell>
          <cell r="G546">
            <v>83</v>
          </cell>
          <cell r="H546">
            <v>0</v>
          </cell>
          <cell r="I546">
            <v>27</v>
          </cell>
          <cell r="J546">
            <v>18</v>
          </cell>
          <cell r="K546">
            <v>38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247</v>
          </cell>
          <cell r="Q546">
            <v>31</v>
          </cell>
          <cell r="R546">
            <v>216</v>
          </cell>
          <cell r="S546">
            <v>263</v>
          </cell>
          <cell r="T546">
            <v>247</v>
          </cell>
        </row>
        <row r="547">
          <cell r="C547" t="str">
            <v>Gig Harbor city, Washington</v>
          </cell>
          <cell r="D547">
            <v>6593</v>
          </cell>
          <cell r="E547">
            <v>6272</v>
          </cell>
          <cell r="F547">
            <v>3056</v>
          </cell>
          <cell r="G547">
            <v>3139</v>
          </cell>
          <cell r="H547">
            <v>286</v>
          </cell>
          <cell r="I547">
            <v>892</v>
          </cell>
          <cell r="J547">
            <v>429</v>
          </cell>
          <cell r="K547">
            <v>1532</v>
          </cell>
          <cell r="L547">
            <v>77</v>
          </cell>
          <cell r="M547">
            <v>0</v>
          </cell>
          <cell r="N547">
            <v>13</v>
          </cell>
          <cell r="O547">
            <v>64</v>
          </cell>
          <cell r="P547">
            <v>321</v>
          </cell>
          <cell r="Q547">
            <v>201</v>
          </cell>
          <cell r="R547">
            <v>120</v>
          </cell>
          <cell r="S547">
            <v>6195</v>
          </cell>
          <cell r="T547">
            <v>398</v>
          </cell>
        </row>
        <row r="548">
          <cell r="C548" t="str">
            <v>Glacier CDP, Washington</v>
          </cell>
          <cell r="D548">
            <v>73</v>
          </cell>
          <cell r="E548">
            <v>73</v>
          </cell>
          <cell r="F548">
            <v>50</v>
          </cell>
          <cell r="G548">
            <v>23</v>
          </cell>
          <cell r="H548">
            <v>0</v>
          </cell>
          <cell r="I548">
            <v>10</v>
          </cell>
          <cell r="J548">
            <v>13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73</v>
          </cell>
          <cell r="T548">
            <v>0</v>
          </cell>
        </row>
        <row r="549">
          <cell r="C549" t="str">
            <v>Gleed CDP, Washington</v>
          </cell>
          <cell r="D549">
            <v>2593</v>
          </cell>
          <cell r="E549">
            <v>2475</v>
          </cell>
          <cell r="F549">
            <v>1570</v>
          </cell>
          <cell r="G549">
            <v>889</v>
          </cell>
          <cell r="H549">
            <v>34</v>
          </cell>
          <cell r="I549">
            <v>253</v>
          </cell>
          <cell r="J549">
            <v>130</v>
          </cell>
          <cell r="K549">
            <v>472</v>
          </cell>
          <cell r="L549">
            <v>16</v>
          </cell>
          <cell r="M549">
            <v>0</v>
          </cell>
          <cell r="N549">
            <v>0</v>
          </cell>
          <cell r="O549">
            <v>16</v>
          </cell>
          <cell r="P549">
            <v>118</v>
          </cell>
          <cell r="Q549">
            <v>29</v>
          </cell>
          <cell r="R549">
            <v>89</v>
          </cell>
          <cell r="S549">
            <v>2459</v>
          </cell>
          <cell r="T549">
            <v>134</v>
          </cell>
        </row>
        <row r="550">
          <cell r="C550" t="str">
            <v>Gold Bar city, Washington</v>
          </cell>
          <cell r="D550">
            <v>1969</v>
          </cell>
          <cell r="E550">
            <v>1903</v>
          </cell>
          <cell r="F550">
            <v>1085</v>
          </cell>
          <cell r="G550">
            <v>788</v>
          </cell>
          <cell r="H550">
            <v>64</v>
          </cell>
          <cell r="I550">
            <v>224</v>
          </cell>
          <cell r="J550">
            <v>127</v>
          </cell>
          <cell r="K550">
            <v>373</v>
          </cell>
          <cell r="L550">
            <v>30</v>
          </cell>
          <cell r="M550">
            <v>0</v>
          </cell>
          <cell r="N550">
            <v>4</v>
          </cell>
          <cell r="O550">
            <v>26</v>
          </cell>
          <cell r="P550">
            <v>66</v>
          </cell>
          <cell r="Q550">
            <v>33</v>
          </cell>
          <cell r="R550">
            <v>33</v>
          </cell>
          <cell r="S550">
            <v>1873</v>
          </cell>
          <cell r="T550">
            <v>96</v>
          </cell>
        </row>
        <row r="551">
          <cell r="C551" t="str">
            <v>Goldendale city, Washington</v>
          </cell>
          <cell r="D551">
            <v>3776</v>
          </cell>
          <cell r="E551">
            <v>3635</v>
          </cell>
          <cell r="F551">
            <v>1777</v>
          </cell>
          <cell r="G551">
            <v>1820</v>
          </cell>
          <cell r="H551">
            <v>98</v>
          </cell>
          <cell r="I551">
            <v>415</v>
          </cell>
          <cell r="J551">
            <v>144</v>
          </cell>
          <cell r="K551">
            <v>1163</v>
          </cell>
          <cell r="L551">
            <v>38</v>
          </cell>
          <cell r="M551">
            <v>0</v>
          </cell>
          <cell r="N551">
            <v>0</v>
          </cell>
          <cell r="O551">
            <v>38</v>
          </cell>
          <cell r="P551">
            <v>141</v>
          </cell>
          <cell r="Q551">
            <v>16</v>
          </cell>
          <cell r="R551">
            <v>125</v>
          </cell>
          <cell r="S551">
            <v>3597</v>
          </cell>
          <cell r="T551">
            <v>179</v>
          </cell>
        </row>
        <row r="552">
          <cell r="C552" t="str">
            <v>Graham CDP, Washington</v>
          </cell>
          <cell r="D552">
            <v>8880</v>
          </cell>
          <cell r="E552">
            <v>8684</v>
          </cell>
          <cell r="F552">
            <v>4854</v>
          </cell>
          <cell r="G552">
            <v>3672</v>
          </cell>
          <cell r="H552">
            <v>429</v>
          </cell>
          <cell r="I552">
            <v>982</v>
          </cell>
          <cell r="J552">
            <v>507</v>
          </cell>
          <cell r="K552">
            <v>1754</v>
          </cell>
          <cell r="L552">
            <v>158</v>
          </cell>
          <cell r="M552">
            <v>0</v>
          </cell>
          <cell r="N552">
            <v>0</v>
          </cell>
          <cell r="O552">
            <v>158</v>
          </cell>
          <cell r="P552">
            <v>196</v>
          </cell>
          <cell r="Q552">
            <v>129</v>
          </cell>
          <cell r="R552">
            <v>67</v>
          </cell>
          <cell r="S552">
            <v>8526</v>
          </cell>
          <cell r="T552">
            <v>354</v>
          </cell>
        </row>
        <row r="553">
          <cell r="C553" t="str">
            <v>Grand Coulee city, Washington</v>
          </cell>
          <cell r="D553">
            <v>902</v>
          </cell>
          <cell r="E553">
            <v>873</v>
          </cell>
          <cell r="F553">
            <v>482</v>
          </cell>
          <cell r="G553">
            <v>388</v>
          </cell>
          <cell r="H553">
            <v>16</v>
          </cell>
          <cell r="I553">
            <v>110</v>
          </cell>
          <cell r="J553">
            <v>45</v>
          </cell>
          <cell r="K553">
            <v>217</v>
          </cell>
          <cell r="L553">
            <v>3</v>
          </cell>
          <cell r="M553">
            <v>0</v>
          </cell>
          <cell r="N553">
            <v>0</v>
          </cell>
          <cell r="O553">
            <v>3</v>
          </cell>
          <cell r="P553">
            <v>29</v>
          </cell>
          <cell r="Q553">
            <v>26</v>
          </cell>
          <cell r="R553">
            <v>3</v>
          </cell>
          <cell r="S553">
            <v>870</v>
          </cell>
          <cell r="T553">
            <v>32</v>
          </cell>
        </row>
        <row r="554">
          <cell r="C554" t="str">
            <v>Grand Mound CDP, Washington</v>
          </cell>
          <cell r="D554">
            <v>2072</v>
          </cell>
          <cell r="E554">
            <v>2038</v>
          </cell>
          <cell r="F554">
            <v>1365</v>
          </cell>
          <cell r="G554">
            <v>621</v>
          </cell>
          <cell r="H554">
            <v>15</v>
          </cell>
          <cell r="I554">
            <v>197</v>
          </cell>
          <cell r="J554">
            <v>75</v>
          </cell>
          <cell r="K554">
            <v>334</v>
          </cell>
          <cell r="L554">
            <v>52</v>
          </cell>
          <cell r="M554">
            <v>2</v>
          </cell>
          <cell r="N554">
            <v>50</v>
          </cell>
          <cell r="O554">
            <v>0</v>
          </cell>
          <cell r="P554">
            <v>34</v>
          </cell>
          <cell r="Q554">
            <v>5</v>
          </cell>
          <cell r="R554">
            <v>29</v>
          </cell>
          <cell r="S554">
            <v>1986</v>
          </cell>
          <cell r="T554">
            <v>86</v>
          </cell>
        </row>
        <row r="555">
          <cell r="C555" t="str">
            <v>Grandview city, Washington</v>
          </cell>
          <cell r="D555">
            <v>8377</v>
          </cell>
          <cell r="E555">
            <v>6145</v>
          </cell>
          <cell r="F555">
            <v>4362</v>
          </cell>
          <cell r="G555">
            <v>1729</v>
          </cell>
          <cell r="H555">
            <v>39</v>
          </cell>
          <cell r="I555">
            <v>355</v>
          </cell>
          <cell r="J555">
            <v>592</v>
          </cell>
          <cell r="K555">
            <v>743</v>
          </cell>
          <cell r="L555">
            <v>54</v>
          </cell>
          <cell r="M555">
            <v>21</v>
          </cell>
          <cell r="N555">
            <v>0</v>
          </cell>
          <cell r="O555">
            <v>33</v>
          </cell>
          <cell r="P555">
            <v>2232</v>
          </cell>
          <cell r="Q555">
            <v>714</v>
          </cell>
          <cell r="R555">
            <v>1518</v>
          </cell>
          <cell r="S555">
            <v>6091</v>
          </cell>
          <cell r="T555">
            <v>2286</v>
          </cell>
        </row>
        <row r="556">
          <cell r="C556" t="str">
            <v>Granger town, Washington</v>
          </cell>
          <cell r="D556">
            <v>2586</v>
          </cell>
          <cell r="E556">
            <v>1594</v>
          </cell>
          <cell r="F556">
            <v>1127</v>
          </cell>
          <cell r="G556">
            <v>463</v>
          </cell>
          <cell r="H556">
            <v>4</v>
          </cell>
          <cell r="I556">
            <v>57</v>
          </cell>
          <cell r="J556">
            <v>213</v>
          </cell>
          <cell r="K556">
            <v>189</v>
          </cell>
          <cell r="L556">
            <v>4</v>
          </cell>
          <cell r="M556">
            <v>0</v>
          </cell>
          <cell r="N556">
            <v>0</v>
          </cell>
          <cell r="O556">
            <v>4</v>
          </cell>
          <cell r="P556">
            <v>992</v>
          </cell>
          <cell r="Q556">
            <v>134</v>
          </cell>
          <cell r="R556">
            <v>858</v>
          </cell>
          <cell r="S556">
            <v>1590</v>
          </cell>
          <cell r="T556">
            <v>996</v>
          </cell>
        </row>
        <row r="557">
          <cell r="C557" t="str">
            <v>Granite Falls city, Washington</v>
          </cell>
          <cell r="D557">
            <v>2352</v>
          </cell>
          <cell r="E557">
            <v>2294</v>
          </cell>
          <cell r="F557">
            <v>1375</v>
          </cell>
          <cell r="G557">
            <v>904</v>
          </cell>
          <cell r="H557">
            <v>75</v>
          </cell>
          <cell r="I557">
            <v>212</v>
          </cell>
          <cell r="J557">
            <v>122</v>
          </cell>
          <cell r="K557">
            <v>495</v>
          </cell>
          <cell r="L557">
            <v>15</v>
          </cell>
          <cell r="M557">
            <v>0</v>
          </cell>
          <cell r="N557">
            <v>0</v>
          </cell>
          <cell r="O557">
            <v>15</v>
          </cell>
          <cell r="P557">
            <v>58</v>
          </cell>
          <cell r="Q557">
            <v>17</v>
          </cell>
          <cell r="R557">
            <v>41</v>
          </cell>
          <cell r="S557">
            <v>2279</v>
          </cell>
          <cell r="T557">
            <v>73</v>
          </cell>
        </row>
        <row r="558">
          <cell r="C558" t="str">
            <v>Grayland CDP, Washington</v>
          </cell>
          <cell r="D558">
            <v>992</v>
          </cell>
          <cell r="E558">
            <v>946</v>
          </cell>
          <cell r="F558">
            <v>524</v>
          </cell>
          <cell r="G558">
            <v>407</v>
          </cell>
          <cell r="H558">
            <v>31</v>
          </cell>
          <cell r="I558">
            <v>160</v>
          </cell>
          <cell r="J558">
            <v>38</v>
          </cell>
          <cell r="K558">
            <v>178</v>
          </cell>
          <cell r="L558">
            <v>15</v>
          </cell>
          <cell r="M558">
            <v>0</v>
          </cell>
          <cell r="N558">
            <v>0</v>
          </cell>
          <cell r="O558">
            <v>15</v>
          </cell>
          <cell r="P558">
            <v>46</v>
          </cell>
          <cell r="Q558">
            <v>15</v>
          </cell>
          <cell r="R558">
            <v>31</v>
          </cell>
          <cell r="S558">
            <v>931</v>
          </cell>
          <cell r="T558">
            <v>61</v>
          </cell>
        </row>
        <row r="559">
          <cell r="C559" t="str">
            <v>Green Acres CDP, Washington</v>
          </cell>
          <cell r="D559">
            <v>5175</v>
          </cell>
          <cell r="E559">
            <v>5012</v>
          </cell>
          <cell r="F559">
            <v>2758</v>
          </cell>
          <cell r="G559">
            <v>2236</v>
          </cell>
          <cell r="H559">
            <v>168</v>
          </cell>
          <cell r="I559">
            <v>471</v>
          </cell>
          <cell r="J559">
            <v>226</v>
          </cell>
          <cell r="K559">
            <v>1371</v>
          </cell>
          <cell r="L559">
            <v>18</v>
          </cell>
          <cell r="M559">
            <v>0</v>
          </cell>
          <cell r="N559">
            <v>8</v>
          </cell>
          <cell r="O559">
            <v>10</v>
          </cell>
          <cell r="P559">
            <v>163</v>
          </cell>
          <cell r="Q559">
            <v>85</v>
          </cell>
          <cell r="R559">
            <v>78</v>
          </cell>
          <cell r="S559">
            <v>4994</v>
          </cell>
          <cell r="T559">
            <v>181</v>
          </cell>
        </row>
        <row r="560">
          <cell r="C560" t="str">
            <v>Greenwater CDP, Washington</v>
          </cell>
          <cell r="D560">
            <v>67</v>
          </cell>
          <cell r="E560">
            <v>63</v>
          </cell>
          <cell r="F560">
            <v>33</v>
          </cell>
          <cell r="G560">
            <v>30</v>
          </cell>
          <cell r="H560">
            <v>0</v>
          </cell>
          <cell r="I560">
            <v>18</v>
          </cell>
          <cell r="J560">
            <v>4</v>
          </cell>
          <cell r="K560">
            <v>8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4</v>
          </cell>
          <cell r="Q560">
            <v>4</v>
          </cell>
          <cell r="R560">
            <v>0</v>
          </cell>
          <cell r="S560">
            <v>63</v>
          </cell>
          <cell r="T560">
            <v>4</v>
          </cell>
        </row>
        <row r="561">
          <cell r="C561" t="str">
            <v>Hamilton town, Washington</v>
          </cell>
          <cell r="D561">
            <v>330</v>
          </cell>
          <cell r="E561">
            <v>321</v>
          </cell>
          <cell r="F561">
            <v>181</v>
          </cell>
          <cell r="G561">
            <v>135</v>
          </cell>
          <cell r="H561">
            <v>8</v>
          </cell>
          <cell r="I561">
            <v>38</v>
          </cell>
          <cell r="J561">
            <v>30</v>
          </cell>
          <cell r="K561">
            <v>59</v>
          </cell>
          <cell r="L561">
            <v>5</v>
          </cell>
          <cell r="M561">
            <v>0</v>
          </cell>
          <cell r="N561">
            <v>0</v>
          </cell>
          <cell r="O561">
            <v>5</v>
          </cell>
          <cell r="P561">
            <v>9</v>
          </cell>
          <cell r="Q561">
            <v>1</v>
          </cell>
          <cell r="R561">
            <v>8</v>
          </cell>
          <cell r="S561">
            <v>316</v>
          </cell>
          <cell r="T561">
            <v>14</v>
          </cell>
        </row>
        <row r="562">
          <cell r="C562" t="str">
            <v>Harrah town, Washington</v>
          </cell>
          <cell r="D562">
            <v>532</v>
          </cell>
          <cell r="E562">
            <v>432</v>
          </cell>
          <cell r="F562">
            <v>285</v>
          </cell>
          <cell r="G562">
            <v>147</v>
          </cell>
          <cell r="H562">
            <v>8</v>
          </cell>
          <cell r="I562">
            <v>39</v>
          </cell>
          <cell r="J562">
            <v>17</v>
          </cell>
          <cell r="K562">
            <v>83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100</v>
          </cell>
          <cell r="Q562">
            <v>42</v>
          </cell>
          <cell r="R562">
            <v>58</v>
          </cell>
          <cell r="S562">
            <v>432</v>
          </cell>
          <cell r="T562">
            <v>100</v>
          </cell>
        </row>
        <row r="563">
          <cell r="C563" t="str">
            <v>Harrington city, Washington</v>
          </cell>
          <cell r="D563">
            <v>384</v>
          </cell>
          <cell r="E563">
            <v>382</v>
          </cell>
          <cell r="F563">
            <v>274</v>
          </cell>
          <cell r="G563">
            <v>104</v>
          </cell>
          <cell r="H563">
            <v>3</v>
          </cell>
          <cell r="I563">
            <v>36</v>
          </cell>
          <cell r="J563">
            <v>8</v>
          </cell>
          <cell r="K563">
            <v>57</v>
          </cell>
          <cell r="L563">
            <v>4</v>
          </cell>
          <cell r="M563">
            <v>0</v>
          </cell>
          <cell r="N563">
            <v>0</v>
          </cell>
          <cell r="O563">
            <v>4</v>
          </cell>
          <cell r="P563">
            <v>2</v>
          </cell>
          <cell r="Q563">
            <v>2</v>
          </cell>
          <cell r="R563">
            <v>0</v>
          </cell>
          <cell r="S563">
            <v>378</v>
          </cell>
          <cell r="T563">
            <v>6</v>
          </cell>
        </row>
        <row r="564">
          <cell r="C564" t="str">
            <v>Hartline town, Washington</v>
          </cell>
          <cell r="D564">
            <v>142</v>
          </cell>
          <cell r="E564">
            <v>139</v>
          </cell>
          <cell r="F564">
            <v>77</v>
          </cell>
          <cell r="G564">
            <v>62</v>
          </cell>
          <cell r="H564">
            <v>0</v>
          </cell>
          <cell r="I564">
            <v>14</v>
          </cell>
          <cell r="J564">
            <v>9</v>
          </cell>
          <cell r="K564">
            <v>39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3</v>
          </cell>
          <cell r="Q564">
            <v>3</v>
          </cell>
          <cell r="R564">
            <v>0</v>
          </cell>
          <cell r="S564">
            <v>139</v>
          </cell>
          <cell r="T564">
            <v>3</v>
          </cell>
        </row>
        <row r="565">
          <cell r="C565" t="str">
            <v>Hatton town, Washington</v>
          </cell>
          <cell r="D565">
            <v>118</v>
          </cell>
          <cell r="E565">
            <v>83</v>
          </cell>
          <cell r="F565">
            <v>42</v>
          </cell>
          <cell r="G565">
            <v>41</v>
          </cell>
          <cell r="H565">
            <v>0</v>
          </cell>
          <cell r="I565">
            <v>10</v>
          </cell>
          <cell r="J565">
            <v>6</v>
          </cell>
          <cell r="K565">
            <v>25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35</v>
          </cell>
          <cell r="Q565">
            <v>0</v>
          </cell>
          <cell r="R565">
            <v>35</v>
          </cell>
          <cell r="S565">
            <v>83</v>
          </cell>
          <cell r="T565">
            <v>35</v>
          </cell>
        </row>
        <row r="566">
          <cell r="C566" t="str">
            <v>Hazel Dell North CDP, Washington</v>
          </cell>
          <cell r="D566">
            <v>9382</v>
          </cell>
          <cell r="E566">
            <v>8224</v>
          </cell>
          <cell r="F566">
            <v>2916</v>
          </cell>
          <cell r="G566">
            <v>5178</v>
          </cell>
          <cell r="H566">
            <v>168</v>
          </cell>
          <cell r="I566">
            <v>1058</v>
          </cell>
          <cell r="J566">
            <v>451</v>
          </cell>
          <cell r="K566">
            <v>3501</v>
          </cell>
          <cell r="L566">
            <v>130</v>
          </cell>
          <cell r="M566">
            <v>0</v>
          </cell>
          <cell r="N566">
            <v>83</v>
          </cell>
          <cell r="O566">
            <v>47</v>
          </cell>
          <cell r="P566">
            <v>1158</v>
          </cell>
          <cell r="Q566">
            <v>230</v>
          </cell>
          <cell r="R566">
            <v>928</v>
          </cell>
          <cell r="S566">
            <v>8094</v>
          </cell>
          <cell r="T566">
            <v>1288</v>
          </cell>
        </row>
        <row r="567">
          <cell r="C567" t="str">
            <v>Hazel Dell South CDP, Washington</v>
          </cell>
          <cell r="D567">
            <v>6700</v>
          </cell>
          <cell r="E567">
            <v>6465</v>
          </cell>
          <cell r="F567">
            <v>2193</v>
          </cell>
          <cell r="G567">
            <v>4220</v>
          </cell>
          <cell r="H567">
            <v>225</v>
          </cell>
          <cell r="I567">
            <v>769</v>
          </cell>
          <cell r="J567">
            <v>428</v>
          </cell>
          <cell r="K567">
            <v>2798</v>
          </cell>
          <cell r="L567">
            <v>52</v>
          </cell>
          <cell r="M567">
            <v>0</v>
          </cell>
          <cell r="N567">
            <v>0</v>
          </cell>
          <cell r="O567">
            <v>52</v>
          </cell>
          <cell r="P567">
            <v>235</v>
          </cell>
          <cell r="Q567">
            <v>86</v>
          </cell>
          <cell r="R567">
            <v>149</v>
          </cell>
          <cell r="S567">
            <v>6413</v>
          </cell>
          <cell r="T567">
            <v>287</v>
          </cell>
        </row>
        <row r="568">
          <cell r="C568" t="str">
            <v>Highland CDP, Washington</v>
          </cell>
          <cell r="D568">
            <v>3303</v>
          </cell>
          <cell r="E568">
            <v>3187</v>
          </cell>
          <cell r="F568">
            <v>1719</v>
          </cell>
          <cell r="G568">
            <v>1439</v>
          </cell>
          <cell r="H568">
            <v>103</v>
          </cell>
          <cell r="I568">
            <v>369</v>
          </cell>
          <cell r="J568">
            <v>184</v>
          </cell>
          <cell r="K568">
            <v>783</v>
          </cell>
          <cell r="L568">
            <v>29</v>
          </cell>
          <cell r="M568">
            <v>0</v>
          </cell>
          <cell r="N568">
            <v>0</v>
          </cell>
          <cell r="O568">
            <v>29</v>
          </cell>
          <cell r="P568">
            <v>116</v>
          </cell>
          <cell r="Q568">
            <v>85</v>
          </cell>
          <cell r="R568">
            <v>31</v>
          </cell>
          <cell r="S568">
            <v>3158</v>
          </cell>
          <cell r="T568">
            <v>145</v>
          </cell>
        </row>
        <row r="569">
          <cell r="C569" t="str">
            <v>Hobart CDP, Washington</v>
          </cell>
          <cell r="D569">
            <v>6152</v>
          </cell>
          <cell r="E569">
            <v>5918</v>
          </cell>
          <cell r="F569">
            <v>3476</v>
          </cell>
          <cell r="G569">
            <v>2377</v>
          </cell>
          <cell r="H569">
            <v>252</v>
          </cell>
          <cell r="I569">
            <v>835</v>
          </cell>
          <cell r="J569">
            <v>314</v>
          </cell>
          <cell r="K569">
            <v>976</v>
          </cell>
          <cell r="L569">
            <v>65</v>
          </cell>
          <cell r="M569">
            <v>0</v>
          </cell>
          <cell r="N569">
            <v>0</v>
          </cell>
          <cell r="O569">
            <v>65</v>
          </cell>
          <cell r="P569">
            <v>234</v>
          </cell>
          <cell r="Q569">
            <v>191</v>
          </cell>
          <cell r="R569">
            <v>43</v>
          </cell>
          <cell r="S569">
            <v>5853</v>
          </cell>
          <cell r="T569">
            <v>299</v>
          </cell>
        </row>
        <row r="570">
          <cell r="C570" t="str">
            <v>Hockinson CDP, Washington</v>
          </cell>
          <cell r="D570">
            <v>5024</v>
          </cell>
          <cell r="E570">
            <v>4837</v>
          </cell>
          <cell r="F570">
            <v>1675</v>
          </cell>
          <cell r="G570">
            <v>3097</v>
          </cell>
          <cell r="H570">
            <v>134</v>
          </cell>
          <cell r="I570">
            <v>574</v>
          </cell>
          <cell r="J570">
            <v>159</v>
          </cell>
          <cell r="K570">
            <v>2230</v>
          </cell>
          <cell r="L570">
            <v>65</v>
          </cell>
          <cell r="M570">
            <v>0</v>
          </cell>
          <cell r="N570">
            <v>0</v>
          </cell>
          <cell r="O570">
            <v>65</v>
          </cell>
          <cell r="P570">
            <v>187</v>
          </cell>
          <cell r="Q570">
            <v>109</v>
          </cell>
          <cell r="R570">
            <v>78</v>
          </cell>
          <cell r="S570">
            <v>4772</v>
          </cell>
          <cell r="T570">
            <v>252</v>
          </cell>
        </row>
        <row r="571">
          <cell r="C571" t="str">
            <v>Hoquiam city, Washington</v>
          </cell>
          <cell r="D571">
            <v>9088</v>
          </cell>
          <cell r="E571">
            <v>8660</v>
          </cell>
          <cell r="F571">
            <v>5991</v>
          </cell>
          <cell r="G571">
            <v>2563</v>
          </cell>
          <cell r="H571">
            <v>176</v>
          </cell>
          <cell r="I571">
            <v>871</v>
          </cell>
          <cell r="J571">
            <v>368</v>
          </cell>
          <cell r="K571">
            <v>1148</v>
          </cell>
          <cell r="L571">
            <v>106</v>
          </cell>
          <cell r="M571">
            <v>7</v>
          </cell>
          <cell r="N571">
            <v>16</v>
          </cell>
          <cell r="O571">
            <v>83</v>
          </cell>
          <cell r="P571">
            <v>428</v>
          </cell>
          <cell r="Q571">
            <v>176</v>
          </cell>
          <cell r="R571">
            <v>252</v>
          </cell>
          <cell r="S571">
            <v>8554</v>
          </cell>
          <cell r="T571">
            <v>534</v>
          </cell>
        </row>
        <row r="572">
          <cell r="C572" t="str">
            <v>Humptulips CDP, Washington</v>
          </cell>
          <cell r="D572">
            <v>227</v>
          </cell>
          <cell r="E572">
            <v>205</v>
          </cell>
          <cell r="F572">
            <v>123</v>
          </cell>
          <cell r="G572">
            <v>82</v>
          </cell>
          <cell r="H572">
            <v>0</v>
          </cell>
          <cell r="I572">
            <v>8</v>
          </cell>
          <cell r="J572">
            <v>15</v>
          </cell>
          <cell r="K572">
            <v>59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22</v>
          </cell>
          <cell r="Q572">
            <v>0</v>
          </cell>
          <cell r="R572">
            <v>22</v>
          </cell>
          <cell r="S572">
            <v>205</v>
          </cell>
          <cell r="T572">
            <v>22</v>
          </cell>
        </row>
        <row r="573">
          <cell r="C573" t="str">
            <v>Hunts Point town, Washington</v>
          </cell>
          <cell r="D573">
            <v>444</v>
          </cell>
          <cell r="E573">
            <v>407</v>
          </cell>
          <cell r="F573">
            <v>199</v>
          </cell>
          <cell r="G573">
            <v>206</v>
          </cell>
          <cell r="H573">
            <v>37</v>
          </cell>
          <cell r="I573">
            <v>45</v>
          </cell>
          <cell r="J573">
            <v>29</v>
          </cell>
          <cell r="K573">
            <v>95</v>
          </cell>
          <cell r="L573">
            <v>2</v>
          </cell>
          <cell r="M573">
            <v>0</v>
          </cell>
          <cell r="N573">
            <v>0</v>
          </cell>
          <cell r="O573">
            <v>2</v>
          </cell>
          <cell r="P573">
            <v>37</v>
          </cell>
          <cell r="Q573">
            <v>18</v>
          </cell>
          <cell r="R573">
            <v>19</v>
          </cell>
          <cell r="S573">
            <v>405</v>
          </cell>
          <cell r="T573">
            <v>39</v>
          </cell>
        </row>
        <row r="574">
          <cell r="C574" t="str">
            <v>Ilwaco city, Washington</v>
          </cell>
          <cell r="D574">
            <v>974</v>
          </cell>
          <cell r="E574">
            <v>898</v>
          </cell>
          <cell r="F574">
            <v>264</v>
          </cell>
          <cell r="G574">
            <v>621</v>
          </cell>
          <cell r="H574">
            <v>24</v>
          </cell>
          <cell r="I574">
            <v>109</v>
          </cell>
          <cell r="J574">
            <v>32</v>
          </cell>
          <cell r="K574">
            <v>456</v>
          </cell>
          <cell r="L574">
            <v>13</v>
          </cell>
          <cell r="M574">
            <v>0</v>
          </cell>
          <cell r="N574">
            <v>0</v>
          </cell>
          <cell r="O574">
            <v>13</v>
          </cell>
          <cell r="P574">
            <v>76</v>
          </cell>
          <cell r="Q574">
            <v>25</v>
          </cell>
          <cell r="R574">
            <v>51</v>
          </cell>
          <cell r="S574">
            <v>885</v>
          </cell>
          <cell r="T574">
            <v>89</v>
          </cell>
        </row>
        <row r="575">
          <cell r="C575" t="str">
            <v>Inchelium CDP, Washington</v>
          </cell>
          <cell r="D575">
            <v>410</v>
          </cell>
          <cell r="E575">
            <v>408</v>
          </cell>
          <cell r="F575">
            <v>363</v>
          </cell>
          <cell r="G575">
            <v>45</v>
          </cell>
          <cell r="H575">
            <v>2</v>
          </cell>
          <cell r="I575">
            <v>4</v>
          </cell>
          <cell r="J575">
            <v>7</v>
          </cell>
          <cell r="K575">
            <v>32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2</v>
          </cell>
          <cell r="Q575">
            <v>2</v>
          </cell>
          <cell r="R575">
            <v>0</v>
          </cell>
          <cell r="S575">
            <v>408</v>
          </cell>
          <cell r="T575">
            <v>2</v>
          </cell>
        </row>
        <row r="576">
          <cell r="C576" t="str">
            <v>Index town, Washington</v>
          </cell>
          <cell r="D576">
            <v>154</v>
          </cell>
          <cell r="E576">
            <v>150</v>
          </cell>
          <cell r="F576">
            <v>99</v>
          </cell>
          <cell r="G576">
            <v>51</v>
          </cell>
          <cell r="H576">
            <v>10</v>
          </cell>
          <cell r="I576">
            <v>22</v>
          </cell>
          <cell r="J576">
            <v>6</v>
          </cell>
          <cell r="K576">
            <v>13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4</v>
          </cell>
          <cell r="Q576">
            <v>4</v>
          </cell>
          <cell r="R576">
            <v>0</v>
          </cell>
          <cell r="S576">
            <v>150</v>
          </cell>
          <cell r="T576">
            <v>4</v>
          </cell>
        </row>
        <row r="577">
          <cell r="C577" t="str">
            <v>Indianola CDP, Washington</v>
          </cell>
          <cell r="D577">
            <v>3026</v>
          </cell>
          <cell r="E577">
            <v>2932</v>
          </cell>
          <cell r="F577">
            <v>1541</v>
          </cell>
          <cell r="G577">
            <v>1348</v>
          </cell>
          <cell r="H577">
            <v>206</v>
          </cell>
          <cell r="I577">
            <v>295</v>
          </cell>
          <cell r="J577">
            <v>158</v>
          </cell>
          <cell r="K577">
            <v>689</v>
          </cell>
          <cell r="L577">
            <v>43</v>
          </cell>
          <cell r="M577">
            <v>0</v>
          </cell>
          <cell r="N577">
            <v>16</v>
          </cell>
          <cell r="O577">
            <v>27</v>
          </cell>
          <cell r="P577">
            <v>94</v>
          </cell>
          <cell r="Q577">
            <v>50</v>
          </cell>
          <cell r="R577">
            <v>44</v>
          </cell>
          <cell r="S577">
            <v>2889</v>
          </cell>
          <cell r="T577">
            <v>137</v>
          </cell>
        </row>
        <row r="578">
          <cell r="C578" t="str">
            <v>Inglewood-Finn Hill CDP, Washington</v>
          </cell>
          <cell r="D578">
            <v>22652</v>
          </cell>
          <cell r="E578">
            <v>20020</v>
          </cell>
          <cell r="F578">
            <v>10619</v>
          </cell>
          <cell r="G578">
            <v>9138</v>
          </cell>
          <cell r="H578">
            <v>1157</v>
          </cell>
          <cell r="I578">
            <v>2584</v>
          </cell>
          <cell r="J578">
            <v>1183</v>
          </cell>
          <cell r="K578">
            <v>4214</v>
          </cell>
          <cell r="L578">
            <v>263</v>
          </cell>
          <cell r="M578">
            <v>15</v>
          </cell>
          <cell r="N578">
            <v>20</v>
          </cell>
          <cell r="O578">
            <v>228</v>
          </cell>
          <cell r="P578">
            <v>2632</v>
          </cell>
          <cell r="Q578">
            <v>1332</v>
          </cell>
          <cell r="R578">
            <v>1300</v>
          </cell>
          <cell r="S578">
            <v>19757</v>
          </cell>
          <cell r="T578">
            <v>2895</v>
          </cell>
        </row>
        <row r="579">
          <cell r="C579" t="str">
            <v>Ione town, Washington</v>
          </cell>
          <cell r="D579">
            <v>506</v>
          </cell>
          <cell r="E579">
            <v>492</v>
          </cell>
          <cell r="F579">
            <v>294</v>
          </cell>
          <cell r="G579">
            <v>193</v>
          </cell>
          <cell r="H579">
            <v>17</v>
          </cell>
          <cell r="I579">
            <v>52</v>
          </cell>
          <cell r="J579">
            <v>31</v>
          </cell>
          <cell r="K579">
            <v>93</v>
          </cell>
          <cell r="L579">
            <v>5</v>
          </cell>
          <cell r="M579">
            <v>0</v>
          </cell>
          <cell r="N579">
            <v>0</v>
          </cell>
          <cell r="O579">
            <v>5</v>
          </cell>
          <cell r="P579">
            <v>14</v>
          </cell>
          <cell r="Q579">
            <v>8</v>
          </cell>
          <cell r="R579">
            <v>6</v>
          </cell>
          <cell r="S579">
            <v>487</v>
          </cell>
          <cell r="T579">
            <v>19</v>
          </cell>
        </row>
        <row r="580">
          <cell r="C580" t="str">
            <v>Issaquah city, Washington</v>
          </cell>
          <cell r="D580">
            <v>11205</v>
          </cell>
          <cell r="E580">
            <v>9833</v>
          </cell>
          <cell r="F580">
            <v>3933</v>
          </cell>
          <cell r="G580">
            <v>5778</v>
          </cell>
          <cell r="H580">
            <v>712</v>
          </cell>
          <cell r="I580">
            <v>1671</v>
          </cell>
          <cell r="J580">
            <v>732</v>
          </cell>
          <cell r="K580">
            <v>2663</v>
          </cell>
          <cell r="L580">
            <v>122</v>
          </cell>
          <cell r="M580">
            <v>0</v>
          </cell>
          <cell r="N580">
            <v>9</v>
          </cell>
          <cell r="O580">
            <v>113</v>
          </cell>
          <cell r="P580">
            <v>1372</v>
          </cell>
          <cell r="Q580">
            <v>645</v>
          </cell>
          <cell r="R580">
            <v>727</v>
          </cell>
          <cell r="S580">
            <v>9711</v>
          </cell>
          <cell r="T580">
            <v>1494</v>
          </cell>
        </row>
        <row r="581">
          <cell r="C581" t="str">
            <v>John Sam Lake CDP, Washington</v>
          </cell>
          <cell r="D581">
            <v>755</v>
          </cell>
          <cell r="E581">
            <v>716</v>
          </cell>
          <cell r="F581">
            <v>435</v>
          </cell>
          <cell r="G581">
            <v>270</v>
          </cell>
          <cell r="H581">
            <v>23</v>
          </cell>
          <cell r="I581">
            <v>39</v>
          </cell>
          <cell r="J581">
            <v>54</v>
          </cell>
          <cell r="K581">
            <v>154</v>
          </cell>
          <cell r="L581">
            <v>11</v>
          </cell>
          <cell r="M581">
            <v>2</v>
          </cell>
          <cell r="N581">
            <v>0</v>
          </cell>
          <cell r="O581">
            <v>9</v>
          </cell>
          <cell r="P581">
            <v>39</v>
          </cell>
          <cell r="Q581">
            <v>26</v>
          </cell>
          <cell r="R581">
            <v>13</v>
          </cell>
          <cell r="S581">
            <v>705</v>
          </cell>
          <cell r="T581">
            <v>50</v>
          </cell>
        </row>
        <row r="582">
          <cell r="C582" t="str">
            <v>Jordan Road-Canyon Creek CDP, Washington</v>
          </cell>
          <cell r="D582">
            <v>2465</v>
          </cell>
          <cell r="E582">
            <v>2419</v>
          </cell>
          <cell r="F582">
            <v>1603</v>
          </cell>
          <cell r="G582">
            <v>768</v>
          </cell>
          <cell r="H582">
            <v>28</v>
          </cell>
          <cell r="I582">
            <v>189</v>
          </cell>
          <cell r="J582">
            <v>125</v>
          </cell>
          <cell r="K582">
            <v>426</v>
          </cell>
          <cell r="L582">
            <v>48</v>
          </cell>
          <cell r="M582">
            <v>0</v>
          </cell>
          <cell r="N582">
            <v>4</v>
          </cell>
          <cell r="O582">
            <v>44</v>
          </cell>
          <cell r="P582">
            <v>46</v>
          </cell>
          <cell r="Q582">
            <v>18</v>
          </cell>
          <cell r="R582">
            <v>28</v>
          </cell>
          <cell r="S582">
            <v>2371</v>
          </cell>
          <cell r="T582">
            <v>94</v>
          </cell>
        </row>
        <row r="583">
          <cell r="C583" t="str">
            <v>Junction City CDP, Washington</v>
          </cell>
          <cell r="D583">
            <v>95</v>
          </cell>
          <cell r="E583">
            <v>95</v>
          </cell>
          <cell r="F583">
            <v>74</v>
          </cell>
          <cell r="G583">
            <v>21</v>
          </cell>
          <cell r="H583">
            <v>0</v>
          </cell>
          <cell r="I583">
            <v>6</v>
          </cell>
          <cell r="J583">
            <v>0</v>
          </cell>
          <cell r="K583">
            <v>15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95</v>
          </cell>
          <cell r="T583">
            <v>0</v>
          </cell>
        </row>
        <row r="584">
          <cell r="C584" t="str">
            <v>Kahlotus city, Washington</v>
          </cell>
          <cell r="D584">
            <v>257</v>
          </cell>
          <cell r="E584">
            <v>254</v>
          </cell>
          <cell r="F584">
            <v>123</v>
          </cell>
          <cell r="G584">
            <v>131</v>
          </cell>
          <cell r="H584">
            <v>11</v>
          </cell>
          <cell r="I584">
            <v>26</v>
          </cell>
          <cell r="J584">
            <v>31</v>
          </cell>
          <cell r="K584">
            <v>63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</v>
          </cell>
          <cell r="Q584">
            <v>3</v>
          </cell>
          <cell r="R584">
            <v>0</v>
          </cell>
          <cell r="S584">
            <v>254</v>
          </cell>
          <cell r="T584">
            <v>3</v>
          </cell>
        </row>
        <row r="585">
          <cell r="C585" t="str">
            <v>Kalama city, Washington</v>
          </cell>
          <cell r="D585">
            <v>1798</v>
          </cell>
          <cell r="E585">
            <v>1745</v>
          </cell>
          <cell r="F585">
            <v>827</v>
          </cell>
          <cell r="G585">
            <v>904</v>
          </cell>
          <cell r="H585">
            <v>66</v>
          </cell>
          <cell r="I585">
            <v>242</v>
          </cell>
          <cell r="J585">
            <v>89</v>
          </cell>
          <cell r="K585">
            <v>507</v>
          </cell>
          <cell r="L585">
            <v>14</v>
          </cell>
          <cell r="M585">
            <v>0</v>
          </cell>
          <cell r="N585">
            <v>0</v>
          </cell>
          <cell r="O585">
            <v>14</v>
          </cell>
          <cell r="P585">
            <v>53</v>
          </cell>
          <cell r="Q585">
            <v>22</v>
          </cell>
          <cell r="R585">
            <v>31</v>
          </cell>
          <cell r="S585">
            <v>1731</v>
          </cell>
          <cell r="T585">
            <v>67</v>
          </cell>
        </row>
        <row r="586">
          <cell r="C586" t="str">
            <v>Kelso city, Washington</v>
          </cell>
          <cell r="D586">
            <v>12034</v>
          </cell>
          <cell r="E586">
            <v>11533</v>
          </cell>
          <cell r="F586">
            <v>6359</v>
          </cell>
          <cell r="G586">
            <v>5116</v>
          </cell>
          <cell r="H586">
            <v>142</v>
          </cell>
          <cell r="I586">
            <v>1177</v>
          </cell>
          <cell r="J586">
            <v>610</v>
          </cell>
          <cell r="K586">
            <v>3187</v>
          </cell>
          <cell r="L586">
            <v>58</v>
          </cell>
          <cell r="M586">
            <v>0</v>
          </cell>
          <cell r="N586">
            <v>0</v>
          </cell>
          <cell r="O586">
            <v>58</v>
          </cell>
          <cell r="P586">
            <v>501</v>
          </cell>
          <cell r="Q586">
            <v>140</v>
          </cell>
          <cell r="R586">
            <v>361</v>
          </cell>
          <cell r="S586">
            <v>11475</v>
          </cell>
          <cell r="T586">
            <v>559</v>
          </cell>
        </row>
        <row r="587">
          <cell r="C587" t="str">
            <v>Kendall CDP, Washington</v>
          </cell>
          <cell r="D587">
            <v>66</v>
          </cell>
          <cell r="E587">
            <v>66</v>
          </cell>
          <cell r="F587">
            <v>54</v>
          </cell>
          <cell r="G587">
            <v>12</v>
          </cell>
          <cell r="H587">
            <v>6</v>
          </cell>
          <cell r="I587">
            <v>6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66</v>
          </cell>
          <cell r="T587">
            <v>0</v>
          </cell>
        </row>
        <row r="588">
          <cell r="C588" t="str">
            <v>Kenmore city, Washington</v>
          </cell>
          <cell r="D588">
            <v>18540</v>
          </cell>
          <cell r="E588">
            <v>16612</v>
          </cell>
          <cell r="F588">
            <v>9411</v>
          </cell>
          <cell r="G588">
            <v>6863</v>
          </cell>
          <cell r="H588">
            <v>886</v>
          </cell>
          <cell r="I588">
            <v>2086</v>
          </cell>
          <cell r="J588">
            <v>723</v>
          </cell>
          <cell r="K588">
            <v>3168</v>
          </cell>
          <cell r="L588">
            <v>338</v>
          </cell>
          <cell r="M588">
            <v>37</v>
          </cell>
          <cell r="N588">
            <v>6</v>
          </cell>
          <cell r="O588">
            <v>295</v>
          </cell>
          <cell r="P588">
            <v>1928</v>
          </cell>
          <cell r="Q588">
            <v>1128</v>
          </cell>
          <cell r="R588">
            <v>800</v>
          </cell>
          <cell r="S588">
            <v>16274</v>
          </cell>
          <cell r="T588">
            <v>2266</v>
          </cell>
        </row>
        <row r="589">
          <cell r="C589" t="str">
            <v>Kennewick city, Washington</v>
          </cell>
          <cell r="D589">
            <v>55090</v>
          </cell>
          <cell r="E589">
            <v>49784</v>
          </cell>
          <cell r="F589">
            <v>25940</v>
          </cell>
          <cell r="G589">
            <v>23388</v>
          </cell>
          <cell r="H589">
            <v>1942</v>
          </cell>
          <cell r="I589">
            <v>5233</v>
          </cell>
          <cell r="J589">
            <v>3622</v>
          </cell>
          <cell r="K589">
            <v>12591</v>
          </cell>
          <cell r="L589">
            <v>456</v>
          </cell>
          <cell r="M589">
            <v>6</v>
          </cell>
          <cell r="N589">
            <v>21</v>
          </cell>
          <cell r="O589">
            <v>429</v>
          </cell>
          <cell r="P589">
            <v>5306</v>
          </cell>
          <cell r="Q589">
            <v>1551</v>
          </cell>
          <cell r="R589">
            <v>3755</v>
          </cell>
          <cell r="S589">
            <v>49328</v>
          </cell>
          <cell r="T589">
            <v>5762</v>
          </cell>
        </row>
        <row r="590">
          <cell r="C590" t="str">
            <v>Kent city, Washington</v>
          </cell>
          <cell r="D590">
            <v>79325</v>
          </cell>
          <cell r="E590">
            <v>65899</v>
          </cell>
          <cell r="F590">
            <v>35610</v>
          </cell>
          <cell r="G590">
            <v>29575</v>
          </cell>
          <cell r="H590">
            <v>2319</v>
          </cell>
          <cell r="I590">
            <v>8036</v>
          </cell>
          <cell r="J590">
            <v>4968</v>
          </cell>
          <cell r="K590">
            <v>14252</v>
          </cell>
          <cell r="L590">
            <v>714</v>
          </cell>
          <cell r="M590">
            <v>34</v>
          </cell>
          <cell r="N590">
            <v>27</v>
          </cell>
          <cell r="O590">
            <v>653</v>
          </cell>
          <cell r="P590">
            <v>13426</v>
          </cell>
          <cell r="Q590">
            <v>4983</v>
          </cell>
          <cell r="R590">
            <v>8443</v>
          </cell>
          <cell r="S590">
            <v>65185</v>
          </cell>
          <cell r="T590">
            <v>14140</v>
          </cell>
        </row>
        <row r="591">
          <cell r="C591" t="str">
            <v>Kettle Falls city, Washington</v>
          </cell>
          <cell r="D591">
            <v>1553</v>
          </cell>
          <cell r="E591">
            <v>1522</v>
          </cell>
          <cell r="F591">
            <v>903</v>
          </cell>
          <cell r="G591">
            <v>608</v>
          </cell>
          <cell r="H591">
            <v>23</v>
          </cell>
          <cell r="I591">
            <v>125</v>
          </cell>
          <cell r="J591">
            <v>86</v>
          </cell>
          <cell r="K591">
            <v>374</v>
          </cell>
          <cell r="L591">
            <v>11</v>
          </cell>
          <cell r="M591">
            <v>0</v>
          </cell>
          <cell r="N591">
            <v>0</v>
          </cell>
          <cell r="O591">
            <v>11</v>
          </cell>
          <cell r="P591">
            <v>31</v>
          </cell>
          <cell r="Q591">
            <v>25</v>
          </cell>
          <cell r="R591">
            <v>6</v>
          </cell>
          <cell r="S591">
            <v>1511</v>
          </cell>
          <cell r="T591">
            <v>42</v>
          </cell>
        </row>
        <row r="592">
          <cell r="C592" t="str">
            <v>Kingsgate CDP, Washington</v>
          </cell>
          <cell r="D592">
            <v>12028</v>
          </cell>
          <cell r="E592">
            <v>9939</v>
          </cell>
          <cell r="F592">
            <v>5200</v>
          </cell>
          <cell r="G592">
            <v>4605</v>
          </cell>
          <cell r="H592">
            <v>562</v>
          </cell>
          <cell r="I592">
            <v>1118</v>
          </cell>
          <cell r="J592">
            <v>516</v>
          </cell>
          <cell r="K592">
            <v>2409</v>
          </cell>
          <cell r="L592">
            <v>134</v>
          </cell>
          <cell r="M592">
            <v>9</v>
          </cell>
          <cell r="N592">
            <v>9</v>
          </cell>
          <cell r="O592">
            <v>116</v>
          </cell>
          <cell r="P592">
            <v>2089</v>
          </cell>
          <cell r="Q592">
            <v>801</v>
          </cell>
          <cell r="R592">
            <v>1288</v>
          </cell>
          <cell r="S592">
            <v>9805</v>
          </cell>
          <cell r="T592">
            <v>2223</v>
          </cell>
        </row>
        <row r="593">
          <cell r="C593" t="str">
            <v>Kingston CDP, Washington</v>
          </cell>
          <cell r="D593">
            <v>1653</v>
          </cell>
          <cell r="E593">
            <v>1551</v>
          </cell>
          <cell r="F593">
            <v>759</v>
          </cell>
          <cell r="G593">
            <v>759</v>
          </cell>
          <cell r="H593">
            <v>78</v>
          </cell>
          <cell r="I593">
            <v>242</v>
          </cell>
          <cell r="J593">
            <v>130</v>
          </cell>
          <cell r="K593">
            <v>309</v>
          </cell>
          <cell r="L593">
            <v>33</v>
          </cell>
          <cell r="M593">
            <v>8</v>
          </cell>
          <cell r="N593">
            <v>0</v>
          </cell>
          <cell r="O593">
            <v>25</v>
          </cell>
          <cell r="P593">
            <v>102</v>
          </cell>
          <cell r="Q593">
            <v>81</v>
          </cell>
          <cell r="R593">
            <v>21</v>
          </cell>
          <cell r="S593">
            <v>1518</v>
          </cell>
          <cell r="T593">
            <v>135</v>
          </cell>
        </row>
        <row r="594">
          <cell r="C594" t="str">
            <v>Kirkland city, Washington</v>
          </cell>
          <cell r="D594">
            <v>44986</v>
          </cell>
          <cell r="E594">
            <v>38520</v>
          </cell>
          <cell r="F594">
            <v>17547</v>
          </cell>
          <cell r="G594">
            <v>20319</v>
          </cell>
          <cell r="H594">
            <v>2562</v>
          </cell>
          <cell r="I594">
            <v>5734</v>
          </cell>
          <cell r="J594">
            <v>2647</v>
          </cell>
          <cell r="K594">
            <v>9376</v>
          </cell>
          <cell r="L594">
            <v>654</v>
          </cell>
          <cell r="M594">
            <v>21</v>
          </cell>
          <cell r="N594">
            <v>35</v>
          </cell>
          <cell r="O594">
            <v>598</v>
          </cell>
          <cell r="P594">
            <v>6466</v>
          </cell>
          <cell r="Q594">
            <v>2747</v>
          </cell>
          <cell r="R594">
            <v>3719</v>
          </cell>
          <cell r="S594">
            <v>37866</v>
          </cell>
          <cell r="T594">
            <v>7120</v>
          </cell>
        </row>
        <row r="595">
          <cell r="C595" t="str">
            <v>Kittitas city, Washington</v>
          </cell>
          <cell r="D595">
            <v>1130</v>
          </cell>
          <cell r="E595">
            <v>971</v>
          </cell>
          <cell r="F595">
            <v>639</v>
          </cell>
          <cell r="G595">
            <v>323</v>
          </cell>
          <cell r="H595">
            <v>24</v>
          </cell>
          <cell r="I595">
            <v>53</v>
          </cell>
          <cell r="J595">
            <v>47</v>
          </cell>
          <cell r="K595">
            <v>199</v>
          </cell>
          <cell r="L595">
            <v>9</v>
          </cell>
          <cell r="M595">
            <v>0</v>
          </cell>
          <cell r="N595">
            <v>0</v>
          </cell>
          <cell r="O595">
            <v>9</v>
          </cell>
          <cell r="P595">
            <v>159</v>
          </cell>
          <cell r="Q595">
            <v>42</v>
          </cell>
          <cell r="R595">
            <v>117</v>
          </cell>
          <cell r="S595">
            <v>962</v>
          </cell>
          <cell r="T595">
            <v>168</v>
          </cell>
        </row>
        <row r="596">
          <cell r="C596" t="str">
            <v>Klickitat CDP, Washington</v>
          </cell>
          <cell r="D596">
            <v>418</v>
          </cell>
          <cell r="E596">
            <v>393</v>
          </cell>
          <cell r="F596">
            <v>171</v>
          </cell>
          <cell r="G596">
            <v>220</v>
          </cell>
          <cell r="H596">
            <v>12</v>
          </cell>
          <cell r="I596">
            <v>36</v>
          </cell>
          <cell r="J596">
            <v>22</v>
          </cell>
          <cell r="K596">
            <v>150</v>
          </cell>
          <cell r="L596">
            <v>2</v>
          </cell>
          <cell r="M596">
            <v>0</v>
          </cell>
          <cell r="N596">
            <v>0</v>
          </cell>
          <cell r="O596">
            <v>2</v>
          </cell>
          <cell r="P596">
            <v>25</v>
          </cell>
          <cell r="Q596">
            <v>25</v>
          </cell>
          <cell r="R596">
            <v>0</v>
          </cell>
          <cell r="S596">
            <v>391</v>
          </cell>
          <cell r="T596">
            <v>27</v>
          </cell>
        </row>
        <row r="597">
          <cell r="C597" t="str">
            <v>Krupp town, Washington</v>
          </cell>
          <cell r="D597">
            <v>78</v>
          </cell>
          <cell r="E597">
            <v>77</v>
          </cell>
          <cell r="F597">
            <v>54</v>
          </cell>
          <cell r="G597">
            <v>23</v>
          </cell>
          <cell r="H597">
            <v>2</v>
          </cell>
          <cell r="I597">
            <v>8</v>
          </cell>
          <cell r="J597">
            <v>11</v>
          </cell>
          <cell r="K597">
            <v>2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1</v>
          </cell>
          <cell r="Q597">
            <v>1</v>
          </cell>
          <cell r="R597">
            <v>0</v>
          </cell>
          <cell r="S597">
            <v>77</v>
          </cell>
          <cell r="T597">
            <v>1</v>
          </cell>
        </row>
        <row r="598">
          <cell r="C598" t="str">
            <v>La Center city, Washington</v>
          </cell>
          <cell r="D598">
            <v>1639</v>
          </cell>
          <cell r="E598">
            <v>1549</v>
          </cell>
          <cell r="F598">
            <v>637</v>
          </cell>
          <cell r="G598">
            <v>892</v>
          </cell>
          <cell r="H598">
            <v>54</v>
          </cell>
          <cell r="I598">
            <v>129</v>
          </cell>
          <cell r="J598">
            <v>87</v>
          </cell>
          <cell r="K598">
            <v>622</v>
          </cell>
          <cell r="L598">
            <v>20</v>
          </cell>
          <cell r="M598">
            <v>0</v>
          </cell>
          <cell r="N598">
            <v>2</v>
          </cell>
          <cell r="O598">
            <v>18</v>
          </cell>
          <cell r="P598">
            <v>90</v>
          </cell>
          <cell r="Q598">
            <v>41</v>
          </cell>
          <cell r="R598">
            <v>49</v>
          </cell>
          <cell r="S598">
            <v>1529</v>
          </cell>
          <cell r="T598">
            <v>110</v>
          </cell>
        </row>
        <row r="599">
          <cell r="C599" t="str">
            <v>Lacey city, Washington</v>
          </cell>
          <cell r="D599">
            <v>31107</v>
          </cell>
          <cell r="E599">
            <v>28188</v>
          </cell>
          <cell r="F599">
            <v>12503</v>
          </cell>
          <cell r="G599">
            <v>14654</v>
          </cell>
          <cell r="H599">
            <v>1406</v>
          </cell>
          <cell r="I599">
            <v>3645</v>
          </cell>
          <cell r="J599">
            <v>2998</v>
          </cell>
          <cell r="K599">
            <v>6605</v>
          </cell>
          <cell r="L599">
            <v>1031</v>
          </cell>
          <cell r="M599">
            <v>143</v>
          </cell>
          <cell r="N599">
            <v>129</v>
          </cell>
          <cell r="O599">
            <v>759</v>
          </cell>
          <cell r="P599">
            <v>2919</v>
          </cell>
          <cell r="Q599">
            <v>1632</v>
          </cell>
          <cell r="R599">
            <v>1287</v>
          </cell>
          <cell r="S599">
            <v>27157</v>
          </cell>
          <cell r="T599">
            <v>3950</v>
          </cell>
        </row>
        <row r="600">
          <cell r="C600" t="str">
            <v>La Conner town, Washington</v>
          </cell>
          <cell r="D600">
            <v>782</v>
          </cell>
          <cell r="E600">
            <v>736</v>
          </cell>
          <cell r="F600">
            <v>395</v>
          </cell>
          <cell r="G600">
            <v>331</v>
          </cell>
          <cell r="H600">
            <v>56</v>
          </cell>
          <cell r="I600">
            <v>90</v>
          </cell>
          <cell r="J600">
            <v>57</v>
          </cell>
          <cell r="K600">
            <v>128</v>
          </cell>
          <cell r="L600">
            <v>10</v>
          </cell>
          <cell r="M600">
            <v>0</v>
          </cell>
          <cell r="N600">
            <v>0</v>
          </cell>
          <cell r="O600">
            <v>10</v>
          </cell>
          <cell r="P600">
            <v>46</v>
          </cell>
          <cell r="Q600">
            <v>21</v>
          </cell>
          <cell r="R600">
            <v>25</v>
          </cell>
          <cell r="S600">
            <v>726</v>
          </cell>
          <cell r="T600">
            <v>56</v>
          </cell>
        </row>
        <row r="601">
          <cell r="C601" t="str">
            <v>La Crosse town, Washington</v>
          </cell>
          <cell r="D601">
            <v>370</v>
          </cell>
          <cell r="E601">
            <v>368</v>
          </cell>
          <cell r="F601">
            <v>251</v>
          </cell>
          <cell r="G601">
            <v>112</v>
          </cell>
          <cell r="H601">
            <v>2</v>
          </cell>
          <cell r="I601">
            <v>24</v>
          </cell>
          <cell r="J601">
            <v>6</v>
          </cell>
          <cell r="K601">
            <v>80</v>
          </cell>
          <cell r="L601">
            <v>5</v>
          </cell>
          <cell r="M601">
            <v>0</v>
          </cell>
          <cell r="N601">
            <v>0</v>
          </cell>
          <cell r="O601">
            <v>5</v>
          </cell>
          <cell r="P601">
            <v>2</v>
          </cell>
          <cell r="Q601">
            <v>2</v>
          </cell>
          <cell r="R601">
            <v>0</v>
          </cell>
          <cell r="S601">
            <v>363</v>
          </cell>
          <cell r="T601">
            <v>7</v>
          </cell>
        </row>
        <row r="602">
          <cell r="C602" t="str">
            <v>Lake Bosworth CDP, Washington</v>
          </cell>
          <cell r="D602">
            <v>162</v>
          </cell>
          <cell r="E602">
            <v>162</v>
          </cell>
          <cell r="F602">
            <v>105</v>
          </cell>
          <cell r="G602">
            <v>57</v>
          </cell>
          <cell r="H602">
            <v>17</v>
          </cell>
          <cell r="I602">
            <v>19</v>
          </cell>
          <cell r="J602">
            <v>6</v>
          </cell>
          <cell r="K602">
            <v>15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162</v>
          </cell>
          <cell r="T602">
            <v>0</v>
          </cell>
        </row>
        <row r="603">
          <cell r="C603" t="str">
            <v>Lake Cavanaugh CDP, Washington</v>
          </cell>
          <cell r="D603">
            <v>97</v>
          </cell>
          <cell r="E603">
            <v>97</v>
          </cell>
          <cell r="F603">
            <v>41</v>
          </cell>
          <cell r="G603">
            <v>56</v>
          </cell>
          <cell r="H603">
            <v>0</v>
          </cell>
          <cell r="I603">
            <v>42</v>
          </cell>
          <cell r="J603">
            <v>0</v>
          </cell>
          <cell r="K603">
            <v>14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97</v>
          </cell>
          <cell r="T603">
            <v>0</v>
          </cell>
        </row>
        <row r="604">
          <cell r="C604" t="str">
            <v>Lake Forest Park city, Washington</v>
          </cell>
          <cell r="D604">
            <v>13443</v>
          </cell>
          <cell r="E604">
            <v>11857</v>
          </cell>
          <cell r="F604">
            <v>6652</v>
          </cell>
          <cell r="G604">
            <v>4941</v>
          </cell>
          <cell r="H604">
            <v>717</v>
          </cell>
          <cell r="I604">
            <v>1568</v>
          </cell>
          <cell r="J604">
            <v>625</v>
          </cell>
          <cell r="K604">
            <v>2031</v>
          </cell>
          <cell r="L604">
            <v>264</v>
          </cell>
          <cell r="M604">
            <v>0</v>
          </cell>
          <cell r="N604">
            <v>39</v>
          </cell>
          <cell r="O604">
            <v>225</v>
          </cell>
          <cell r="P604">
            <v>1586</v>
          </cell>
          <cell r="Q604">
            <v>969</v>
          </cell>
          <cell r="R604">
            <v>617</v>
          </cell>
          <cell r="S604">
            <v>11593</v>
          </cell>
          <cell r="T604">
            <v>1850</v>
          </cell>
        </row>
        <row r="605">
          <cell r="C605" t="str">
            <v>Lake Goodwin CDP, Washington</v>
          </cell>
          <cell r="D605">
            <v>3175</v>
          </cell>
          <cell r="E605">
            <v>3081</v>
          </cell>
          <cell r="F605">
            <v>1990</v>
          </cell>
          <cell r="G605">
            <v>1020</v>
          </cell>
          <cell r="H605">
            <v>65</v>
          </cell>
          <cell r="I605">
            <v>296</v>
          </cell>
          <cell r="J605">
            <v>131</v>
          </cell>
          <cell r="K605">
            <v>528</v>
          </cell>
          <cell r="L605">
            <v>71</v>
          </cell>
          <cell r="M605">
            <v>0</v>
          </cell>
          <cell r="N605">
            <v>0</v>
          </cell>
          <cell r="O605">
            <v>71</v>
          </cell>
          <cell r="P605">
            <v>94</v>
          </cell>
          <cell r="Q605">
            <v>50</v>
          </cell>
          <cell r="R605">
            <v>44</v>
          </cell>
          <cell r="S605">
            <v>3010</v>
          </cell>
          <cell r="T605">
            <v>165</v>
          </cell>
        </row>
        <row r="606">
          <cell r="C606" t="str">
            <v>Lake Ketchum CDP, Washington</v>
          </cell>
          <cell r="D606">
            <v>1183</v>
          </cell>
          <cell r="E606">
            <v>1148</v>
          </cell>
          <cell r="F606">
            <v>781</v>
          </cell>
          <cell r="G606">
            <v>357</v>
          </cell>
          <cell r="H606">
            <v>14</v>
          </cell>
          <cell r="I606">
            <v>124</v>
          </cell>
          <cell r="J606">
            <v>59</v>
          </cell>
          <cell r="K606">
            <v>160</v>
          </cell>
          <cell r="L606">
            <v>10</v>
          </cell>
          <cell r="M606">
            <v>0</v>
          </cell>
          <cell r="N606">
            <v>0</v>
          </cell>
          <cell r="O606">
            <v>10</v>
          </cell>
          <cell r="P606">
            <v>35</v>
          </cell>
          <cell r="Q606">
            <v>35</v>
          </cell>
          <cell r="R606">
            <v>0</v>
          </cell>
          <cell r="S606">
            <v>1138</v>
          </cell>
          <cell r="T606">
            <v>45</v>
          </cell>
        </row>
        <row r="607">
          <cell r="C607" t="str">
            <v>Lakeland North CDP, Washington</v>
          </cell>
          <cell r="D607">
            <v>15146</v>
          </cell>
          <cell r="E607">
            <v>13402</v>
          </cell>
          <cell r="F607">
            <v>7797</v>
          </cell>
          <cell r="G607">
            <v>5398</v>
          </cell>
          <cell r="H607">
            <v>486</v>
          </cell>
          <cell r="I607">
            <v>1595</v>
          </cell>
          <cell r="J607">
            <v>667</v>
          </cell>
          <cell r="K607">
            <v>2650</v>
          </cell>
          <cell r="L607">
            <v>207</v>
          </cell>
          <cell r="M607">
            <v>0</v>
          </cell>
          <cell r="N607">
            <v>37</v>
          </cell>
          <cell r="O607">
            <v>170</v>
          </cell>
          <cell r="P607">
            <v>1744</v>
          </cell>
          <cell r="Q607">
            <v>732</v>
          </cell>
          <cell r="R607">
            <v>1012</v>
          </cell>
          <cell r="S607">
            <v>13195</v>
          </cell>
          <cell r="T607">
            <v>1951</v>
          </cell>
        </row>
        <row r="608">
          <cell r="C608" t="str">
            <v>Lakeland South CDP, Washington</v>
          </cell>
          <cell r="D608">
            <v>11499</v>
          </cell>
          <cell r="E608">
            <v>10586</v>
          </cell>
          <cell r="F608">
            <v>5849</v>
          </cell>
          <cell r="G608">
            <v>4610</v>
          </cell>
          <cell r="H608">
            <v>301</v>
          </cell>
          <cell r="I608">
            <v>1253</v>
          </cell>
          <cell r="J608">
            <v>792</v>
          </cell>
          <cell r="K608">
            <v>2264</v>
          </cell>
          <cell r="L608">
            <v>127</v>
          </cell>
          <cell r="M608">
            <v>0</v>
          </cell>
          <cell r="N608">
            <v>18</v>
          </cell>
          <cell r="O608">
            <v>109</v>
          </cell>
          <cell r="P608">
            <v>913</v>
          </cell>
          <cell r="Q608">
            <v>511</v>
          </cell>
          <cell r="R608">
            <v>402</v>
          </cell>
          <cell r="S608">
            <v>10459</v>
          </cell>
          <cell r="T608">
            <v>1040</v>
          </cell>
        </row>
        <row r="609">
          <cell r="C609" t="str">
            <v>Lake McMurray CDP, Washington</v>
          </cell>
          <cell r="D609">
            <v>178</v>
          </cell>
          <cell r="E609">
            <v>178</v>
          </cell>
          <cell r="F609">
            <v>105</v>
          </cell>
          <cell r="G609">
            <v>73</v>
          </cell>
          <cell r="H609">
            <v>5</v>
          </cell>
          <cell r="I609">
            <v>26</v>
          </cell>
          <cell r="J609">
            <v>24</v>
          </cell>
          <cell r="K609">
            <v>18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178</v>
          </cell>
          <cell r="T609">
            <v>0</v>
          </cell>
        </row>
        <row r="610">
          <cell r="C610" t="str">
            <v>Lake Marcel-Stillwater CDP, Washington</v>
          </cell>
          <cell r="D610">
            <v>1426</v>
          </cell>
          <cell r="E610">
            <v>1375</v>
          </cell>
          <cell r="F610">
            <v>769</v>
          </cell>
          <cell r="G610">
            <v>587</v>
          </cell>
          <cell r="H610">
            <v>73</v>
          </cell>
          <cell r="I610">
            <v>165</v>
          </cell>
          <cell r="J610">
            <v>41</v>
          </cell>
          <cell r="K610">
            <v>308</v>
          </cell>
          <cell r="L610">
            <v>19</v>
          </cell>
          <cell r="M610">
            <v>0</v>
          </cell>
          <cell r="N610">
            <v>0</v>
          </cell>
          <cell r="O610">
            <v>19</v>
          </cell>
          <cell r="P610">
            <v>51</v>
          </cell>
          <cell r="Q610">
            <v>18</v>
          </cell>
          <cell r="R610">
            <v>33</v>
          </cell>
          <cell r="S610">
            <v>1356</v>
          </cell>
          <cell r="T610">
            <v>70</v>
          </cell>
        </row>
        <row r="611">
          <cell r="C611" t="str">
            <v>Lake Morton-Berrydale CDP, Washington</v>
          </cell>
          <cell r="D611">
            <v>9736</v>
          </cell>
          <cell r="E611">
            <v>9396</v>
          </cell>
          <cell r="F611">
            <v>5279</v>
          </cell>
          <cell r="G611">
            <v>4100</v>
          </cell>
          <cell r="H611">
            <v>368</v>
          </cell>
          <cell r="I611">
            <v>1116</v>
          </cell>
          <cell r="J611">
            <v>636</v>
          </cell>
          <cell r="K611">
            <v>1980</v>
          </cell>
          <cell r="L611">
            <v>17</v>
          </cell>
          <cell r="M611">
            <v>0</v>
          </cell>
          <cell r="N611">
            <v>0</v>
          </cell>
          <cell r="O611">
            <v>17</v>
          </cell>
          <cell r="P611">
            <v>340</v>
          </cell>
          <cell r="Q611">
            <v>185</v>
          </cell>
          <cell r="R611">
            <v>155</v>
          </cell>
          <cell r="S611">
            <v>9379</v>
          </cell>
          <cell r="T611">
            <v>357</v>
          </cell>
        </row>
        <row r="612">
          <cell r="C612" t="str">
            <v>Lake Roesiger CDP, Washington</v>
          </cell>
          <cell r="D612">
            <v>672</v>
          </cell>
          <cell r="E612">
            <v>644</v>
          </cell>
          <cell r="F612">
            <v>395</v>
          </cell>
          <cell r="G612">
            <v>237</v>
          </cell>
          <cell r="H612">
            <v>26</v>
          </cell>
          <cell r="I612">
            <v>93</v>
          </cell>
          <cell r="J612">
            <v>15</v>
          </cell>
          <cell r="K612">
            <v>103</v>
          </cell>
          <cell r="L612">
            <v>12</v>
          </cell>
          <cell r="M612">
            <v>0</v>
          </cell>
          <cell r="N612">
            <v>0</v>
          </cell>
          <cell r="O612">
            <v>12</v>
          </cell>
          <cell r="P612">
            <v>28</v>
          </cell>
          <cell r="Q612">
            <v>28</v>
          </cell>
          <cell r="R612">
            <v>0</v>
          </cell>
          <cell r="S612">
            <v>632</v>
          </cell>
          <cell r="T612">
            <v>40</v>
          </cell>
        </row>
        <row r="613">
          <cell r="C613" t="str">
            <v>Lake Shore CDP, Washington</v>
          </cell>
          <cell r="D613">
            <v>6628</v>
          </cell>
          <cell r="E613">
            <v>6359</v>
          </cell>
          <cell r="F613">
            <v>2255</v>
          </cell>
          <cell r="G613">
            <v>4033</v>
          </cell>
          <cell r="H613">
            <v>135</v>
          </cell>
          <cell r="I613">
            <v>748</v>
          </cell>
          <cell r="J613">
            <v>325</v>
          </cell>
          <cell r="K613">
            <v>2825</v>
          </cell>
          <cell r="L613">
            <v>71</v>
          </cell>
          <cell r="M613">
            <v>0</v>
          </cell>
          <cell r="N613">
            <v>0</v>
          </cell>
          <cell r="O613">
            <v>71</v>
          </cell>
          <cell r="P613">
            <v>269</v>
          </cell>
          <cell r="Q613">
            <v>137</v>
          </cell>
          <cell r="R613">
            <v>132</v>
          </cell>
          <cell r="S613">
            <v>6288</v>
          </cell>
          <cell r="T613">
            <v>340</v>
          </cell>
        </row>
        <row r="614">
          <cell r="C614" t="str">
            <v>Lake Stevens city, Washington</v>
          </cell>
          <cell r="D614">
            <v>6484</v>
          </cell>
          <cell r="E614">
            <v>6222</v>
          </cell>
          <cell r="F614">
            <v>3733</v>
          </cell>
          <cell r="G614">
            <v>2466</v>
          </cell>
          <cell r="H614">
            <v>219</v>
          </cell>
          <cell r="I614">
            <v>682</v>
          </cell>
          <cell r="J614">
            <v>329</v>
          </cell>
          <cell r="K614">
            <v>1236</v>
          </cell>
          <cell r="L614">
            <v>23</v>
          </cell>
          <cell r="M614">
            <v>0</v>
          </cell>
          <cell r="N614">
            <v>0</v>
          </cell>
          <cell r="O614">
            <v>23</v>
          </cell>
          <cell r="P614">
            <v>262</v>
          </cell>
          <cell r="Q614">
            <v>191</v>
          </cell>
          <cell r="R614">
            <v>71</v>
          </cell>
          <cell r="S614">
            <v>6199</v>
          </cell>
          <cell r="T614">
            <v>285</v>
          </cell>
        </row>
        <row r="615">
          <cell r="C615" t="str">
            <v>Lakeview CDP, Washington</v>
          </cell>
          <cell r="D615">
            <v>753</v>
          </cell>
          <cell r="E615">
            <v>710</v>
          </cell>
          <cell r="F615">
            <v>444</v>
          </cell>
          <cell r="G615">
            <v>257</v>
          </cell>
          <cell r="H615">
            <v>20</v>
          </cell>
          <cell r="I615">
            <v>71</v>
          </cell>
          <cell r="J615">
            <v>62</v>
          </cell>
          <cell r="K615">
            <v>104</v>
          </cell>
          <cell r="L615">
            <v>9</v>
          </cell>
          <cell r="M615">
            <v>0</v>
          </cell>
          <cell r="N615">
            <v>0</v>
          </cell>
          <cell r="O615">
            <v>9</v>
          </cell>
          <cell r="P615">
            <v>43</v>
          </cell>
          <cell r="Q615">
            <v>19</v>
          </cell>
          <cell r="R615">
            <v>24</v>
          </cell>
          <cell r="S615">
            <v>701</v>
          </cell>
          <cell r="T615">
            <v>52</v>
          </cell>
        </row>
        <row r="616">
          <cell r="C616" t="str">
            <v>Lakewood city, Washington</v>
          </cell>
          <cell r="D616">
            <v>58317</v>
          </cell>
          <cell r="E616">
            <v>50920</v>
          </cell>
          <cell r="F616">
            <v>21034</v>
          </cell>
          <cell r="G616">
            <v>27323</v>
          </cell>
          <cell r="H616">
            <v>3307</v>
          </cell>
          <cell r="I616">
            <v>6421</v>
          </cell>
          <cell r="J616">
            <v>7525</v>
          </cell>
          <cell r="K616">
            <v>10070</v>
          </cell>
          <cell r="L616">
            <v>2563</v>
          </cell>
          <cell r="M616">
            <v>327</v>
          </cell>
          <cell r="N616">
            <v>273</v>
          </cell>
          <cell r="O616">
            <v>1963</v>
          </cell>
          <cell r="P616">
            <v>7397</v>
          </cell>
          <cell r="Q616">
            <v>4119</v>
          </cell>
          <cell r="R616">
            <v>3278</v>
          </cell>
          <cell r="S616">
            <v>48357</v>
          </cell>
          <cell r="T616">
            <v>9960</v>
          </cell>
        </row>
        <row r="617">
          <cell r="C617" t="str">
            <v>Lamont town, Washington</v>
          </cell>
          <cell r="D617">
            <v>91</v>
          </cell>
          <cell r="E617">
            <v>91</v>
          </cell>
          <cell r="F617">
            <v>51</v>
          </cell>
          <cell r="G617">
            <v>40</v>
          </cell>
          <cell r="H617">
            <v>4</v>
          </cell>
          <cell r="I617">
            <v>5</v>
          </cell>
          <cell r="J617">
            <v>8</v>
          </cell>
          <cell r="K617">
            <v>23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91</v>
          </cell>
          <cell r="T617">
            <v>0</v>
          </cell>
        </row>
        <row r="618">
          <cell r="C618" t="str">
            <v>Langley city, Washington</v>
          </cell>
          <cell r="D618">
            <v>938</v>
          </cell>
          <cell r="E618">
            <v>895</v>
          </cell>
          <cell r="F618">
            <v>359</v>
          </cell>
          <cell r="G618">
            <v>511</v>
          </cell>
          <cell r="H618">
            <v>66</v>
          </cell>
          <cell r="I618">
            <v>150</v>
          </cell>
          <cell r="J618">
            <v>80</v>
          </cell>
          <cell r="K618">
            <v>215</v>
          </cell>
          <cell r="L618">
            <v>25</v>
          </cell>
          <cell r="M618">
            <v>0</v>
          </cell>
          <cell r="N618">
            <v>0</v>
          </cell>
          <cell r="O618">
            <v>25</v>
          </cell>
          <cell r="P618">
            <v>43</v>
          </cell>
          <cell r="Q618">
            <v>33</v>
          </cell>
          <cell r="R618">
            <v>10</v>
          </cell>
          <cell r="S618">
            <v>870</v>
          </cell>
          <cell r="T618">
            <v>68</v>
          </cell>
        </row>
        <row r="619">
          <cell r="C619" t="str">
            <v>Latah town, Washington</v>
          </cell>
          <cell r="D619">
            <v>182</v>
          </cell>
          <cell r="E619">
            <v>182</v>
          </cell>
          <cell r="F619">
            <v>90</v>
          </cell>
          <cell r="G619">
            <v>92</v>
          </cell>
          <cell r="H619">
            <v>0</v>
          </cell>
          <cell r="I619">
            <v>24</v>
          </cell>
          <cell r="J619">
            <v>11</v>
          </cell>
          <cell r="K619">
            <v>57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182</v>
          </cell>
          <cell r="T619">
            <v>0</v>
          </cell>
        </row>
        <row r="620">
          <cell r="C620" t="str">
            <v>Lea Hill CDP, Washington</v>
          </cell>
          <cell r="D620">
            <v>10669</v>
          </cell>
          <cell r="E620">
            <v>9658</v>
          </cell>
          <cell r="F620">
            <v>5621</v>
          </cell>
          <cell r="G620">
            <v>4010</v>
          </cell>
          <cell r="H620">
            <v>266</v>
          </cell>
          <cell r="I620">
            <v>1078</v>
          </cell>
          <cell r="J620">
            <v>644</v>
          </cell>
          <cell r="K620">
            <v>2022</v>
          </cell>
          <cell r="L620">
            <v>27</v>
          </cell>
          <cell r="M620">
            <v>0</v>
          </cell>
          <cell r="N620">
            <v>0</v>
          </cell>
          <cell r="O620">
            <v>27</v>
          </cell>
          <cell r="P620">
            <v>1011</v>
          </cell>
          <cell r="Q620">
            <v>401</v>
          </cell>
          <cell r="R620">
            <v>610</v>
          </cell>
          <cell r="S620">
            <v>9631</v>
          </cell>
          <cell r="T620">
            <v>1038</v>
          </cell>
        </row>
        <row r="621">
          <cell r="C621" t="str">
            <v>Leavenworth city, Washington</v>
          </cell>
          <cell r="D621">
            <v>2036</v>
          </cell>
          <cell r="E621">
            <v>1875</v>
          </cell>
          <cell r="F621">
            <v>1161</v>
          </cell>
          <cell r="G621">
            <v>698</v>
          </cell>
          <cell r="H621">
            <v>19</v>
          </cell>
          <cell r="I621">
            <v>237</v>
          </cell>
          <cell r="J621">
            <v>105</v>
          </cell>
          <cell r="K621">
            <v>337</v>
          </cell>
          <cell r="L621">
            <v>16</v>
          </cell>
          <cell r="M621">
            <v>0</v>
          </cell>
          <cell r="N621">
            <v>0</v>
          </cell>
          <cell r="O621">
            <v>16</v>
          </cell>
          <cell r="P621">
            <v>161</v>
          </cell>
          <cell r="Q621">
            <v>69</v>
          </cell>
          <cell r="R621">
            <v>92</v>
          </cell>
          <cell r="S621">
            <v>1859</v>
          </cell>
          <cell r="T621">
            <v>177</v>
          </cell>
        </row>
        <row r="622">
          <cell r="C622" t="str">
            <v>Lebam CDP, Washington</v>
          </cell>
          <cell r="D622">
            <v>202</v>
          </cell>
          <cell r="E622">
            <v>192</v>
          </cell>
          <cell r="F622">
            <v>136</v>
          </cell>
          <cell r="G622">
            <v>56</v>
          </cell>
          <cell r="H622">
            <v>4</v>
          </cell>
          <cell r="I622">
            <v>38</v>
          </cell>
          <cell r="J622">
            <v>7</v>
          </cell>
          <cell r="K622">
            <v>7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10</v>
          </cell>
          <cell r="Q622">
            <v>0</v>
          </cell>
          <cell r="R622">
            <v>10</v>
          </cell>
          <cell r="S622">
            <v>192</v>
          </cell>
          <cell r="T622">
            <v>10</v>
          </cell>
        </row>
        <row r="623">
          <cell r="C623" t="str">
            <v>Lewisville CDP, Washington</v>
          </cell>
          <cell r="D623">
            <v>1717</v>
          </cell>
          <cell r="E623">
            <v>1691</v>
          </cell>
          <cell r="F623">
            <v>517</v>
          </cell>
          <cell r="G623">
            <v>1156</v>
          </cell>
          <cell r="H623">
            <v>41</v>
          </cell>
          <cell r="I623">
            <v>401</v>
          </cell>
          <cell r="J623">
            <v>38</v>
          </cell>
          <cell r="K623">
            <v>676</v>
          </cell>
          <cell r="L623">
            <v>18</v>
          </cell>
          <cell r="M623">
            <v>0</v>
          </cell>
          <cell r="N623">
            <v>0</v>
          </cell>
          <cell r="O623">
            <v>18</v>
          </cell>
          <cell r="P623">
            <v>26</v>
          </cell>
          <cell r="Q623">
            <v>10</v>
          </cell>
          <cell r="R623">
            <v>16</v>
          </cell>
          <cell r="S623">
            <v>1673</v>
          </cell>
          <cell r="T623">
            <v>44</v>
          </cell>
        </row>
        <row r="624">
          <cell r="C624" t="str">
            <v>Liberty Lake CDP, Washington</v>
          </cell>
          <cell r="D624">
            <v>4785</v>
          </cell>
          <cell r="E624">
            <v>4615</v>
          </cell>
          <cell r="F624">
            <v>2407</v>
          </cell>
          <cell r="G624">
            <v>2131</v>
          </cell>
          <cell r="H624">
            <v>101</v>
          </cell>
          <cell r="I624">
            <v>493</v>
          </cell>
          <cell r="J624">
            <v>233</v>
          </cell>
          <cell r="K624">
            <v>1304</v>
          </cell>
          <cell r="L624">
            <v>77</v>
          </cell>
          <cell r="M624">
            <v>0</v>
          </cell>
          <cell r="N624">
            <v>0</v>
          </cell>
          <cell r="O624">
            <v>77</v>
          </cell>
          <cell r="P624">
            <v>170</v>
          </cell>
          <cell r="Q624">
            <v>94</v>
          </cell>
          <cell r="R624">
            <v>76</v>
          </cell>
          <cell r="S624">
            <v>4538</v>
          </cell>
          <cell r="T624">
            <v>247</v>
          </cell>
        </row>
        <row r="625">
          <cell r="C625" t="str">
            <v>Lind town, Washington</v>
          </cell>
          <cell r="D625">
            <v>585</v>
          </cell>
          <cell r="E625">
            <v>559</v>
          </cell>
          <cell r="F625">
            <v>364</v>
          </cell>
          <cell r="G625">
            <v>193</v>
          </cell>
          <cell r="H625">
            <v>7</v>
          </cell>
          <cell r="I625">
            <v>46</v>
          </cell>
          <cell r="J625">
            <v>34</v>
          </cell>
          <cell r="K625">
            <v>106</v>
          </cell>
          <cell r="L625">
            <v>2</v>
          </cell>
          <cell r="M625">
            <v>0</v>
          </cell>
          <cell r="N625">
            <v>0</v>
          </cell>
          <cell r="O625">
            <v>2</v>
          </cell>
          <cell r="P625">
            <v>26</v>
          </cell>
          <cell r="Q625">
            <v>5</v>
          </cell>
          <cell r="R625">
            <v>21</v>
          </cell>
          <cell r="S625">
            <v>557</v>
          </cell>
          <cell r="T625">
            <v>28</v>
          </cell>
        </row>
        <row r="626">
          <cell r="C626" t="str">
            <v>Lochsloy CDP, Washington</v>
          </cell>
          <cell r="D626">
            <v>2111</v>
          </cell>
          <cell r="E626">
            <v>1986</v>
          </cell>
          <cell r="F626">
            <v>1095</v>
          </cell>
          <cell r="G626">
            <v>867</v>
          </cell>
          <cell r="H626">
            <v>59</v>
          </cell>
          <cell r="I626">
            <v>298</v>
          </cell>
          <cell r="J626">
            <v>95</v>
          </cell>
          <cell r="K626">
            <v>415</v>
          </cell>
          <cell r="L626">
            <v>24</v>
          </cell>
          <cell r="M626">
            <v>0</v>
          </cell>
          <cell r="N626">
            <v>0</v>
          </cell>
          <cell r="O626">
            <v>24</v>
          </cell>
          <cell r="P626">
            <v>125</v>
          </cell>
          <cell r="Q626">
            <v>83</v>
          </cell>
          <cell r="R626">
            <v>42</v>
          </cell>
          <cell r="S626">
            <v>1962</v>
          </cell>
          <cell r="T626">
            <v>149</v>
          </cell>
        </row>
        <row r="627">
          <cell r="C627" t="str">
            <v>Long Beach city, Washington</v>
          </cell>
          <cell r="D627">
            <v>1286</v>
          </cell>
          <cell r="E627">
            <v>1206</v>
          </cell>
          <cell r="F627">
            <v>441</v>
          </cell>
          <cell r="G627">
            <v>754</v>
          </cell>
          <cell r="H627">
            <v>42</v>
          </cell>
          <cell r="I627">
            <v>178</v>
          </cell>
          <cell r="J627">
            <v>59</v>
          </cell>
          <cell r="K627">
            <v>475</v>
          </cell>
          <cell r="L627">
            <v>11</v>
          </cell>
          <cell r="M627">
            <v>2</v>
          </cell>
          <cell r="N627">
            <v>0</v>
          </cell>
          <cell r="O627">
            <v>9</v>
          </cell>
          <cell r="P627">
            <v>80</v>
          </cell>
          <cell r="Q627">
            <v>50</v>
          </cell>
          <cell r="R627">
            <v>30</v>
          </cell>
          <cell r="S627">
            <v>1195</v>
          </cell>
          <cell r="T627">
            <v>91</v>
          </cell>
        </row>
        <row r="628">
          <cell r="C628" t="str">
            <v>Longview city, Washington</v>
          </cell>
          <cell r="D628">
            <v>34804</v>
          </cell>
          <cell r="E628">
            <v>32886</v>
          </cell>
          <cell r="F628">
            <v>18010</v>
          </cell>
          <cell r="G628">
            <v>14611</v>
          </cell>
          <cell r="H628">
            <v>634</v>
          </cell>
          <cell r="I628">
            <v>3765</v>
          </cell>
          <cell r="J628">
            <v>1819</v>
          </cell>
          <cell r="K628">
            <v>8393</v>
          </cell>
          <cell r="L628">
            <v>265</v>
          </cell>
          <cell r="M628">
            <v>9</v>
          </cell>
          <cell r="N628">
            <v>0</v>
          </cell>
          <cell r="O628">
            <v>256</v>
          </cell>
          <cell r="P628">
            <v>1918</v>
          </cell>
          <cell r="Q628">
            <v>753</v>
          </cell>
          <cell r="R628">
            <v>1165</v>
          </cell>
          <cell r="S628">
            <v>32621</v>
          </cell>
          <cell r="T628">
            <v>2183</v>
          </cell>
        </row>
        <row r="629">
          <cell r="C629" t="str">
            <v>Longview Heights CDP, Washington</v>
          </cell>
          <cell r="D629">
            <v>3292</v>
          </cell>
          <cell r="E629">
            <v>3202</v>
          </cell>
          <cell r="F629">
            <v>1714</v>
          </cell>
          <cell r="G629">
            <v>1463</v>
          </cell>
          <cell r="H629">
            <v>48</v>
          </cell>
          <cell r="I629">
            <v>369</v>
          </cell>
          <cell r="J629">
            <v>240</v>
          </cell>
          <cell r="K629">
            <v>806</v>
          </cell>
          <cell r="L629">
            <v>25</v>
          </cell>
          <cell r="M629">
            <v>0</v>
          </cell>
          <cell r="N629">
            <v>0</v>
          </cell>
          <cell r="O629">
            <v>25</v>
          </cell>
          <cell r="P629">
            <v>90</v>
          </cell>
          <cell r="Q629">
            <v>39</v>
          </cell>
          <cell r="R629">
            <v>51</v>
          </cell>
          <cell r="S629">
            <v>3177</v>
          </cell>
          <cell r="T629">
            <v>115</v>
          </cell>
        </row>
        <row r="630">
          <cell r="C630" t="str">
            <v>Lyle CDP, Washington</v>
          </cell>
          <cell r="D630">
            <v>507</v>
          </cell>
          <cell r="E630">
            <v>496</v>
          </cell>
          <cell r="F630">
            <v>183</v>
          </cell>
          <cell r="G630">
            <v>313</v>
          </cell>
          <cell r="H630">
            <v>0</v>
          </cell>
          <cell r="I630">
            <v>64</v>
          </cell>
          <cell r="J630">
            <v>27</v>
          </cell>
          <cell r="K630">
            <v>222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11</v>
          </cell>
          <cell r="Q630">
            <v>11</v>
          </cell>
          <cell r="R630">
            <v>0</v>
          </cell>
          <cell r="S630">
            <v>496</v>
          </cell>
          <cell r="T630">
            <v>11</v>
          </cell>
        </row>
        <row r="631">
          <cell r="C631" t="str">
            <v>Lyman town, Washington</v>
          </cell>
          <cell r="D631">
            <v>384</v>
          </cell>
          <cell r="E631">
            <v>377</v>
          </cell>
          <cell r="F631">
            <v>253</v>
          </cell>
          <cell r="G631">
            <v>121</v>
          </cell>
          <cell r="H631">
            <v>9</v>
          </cell>
          <cell r="I631">
            <v>14</v>
          </cell>
          <cell r="J631">
            <v>67</v>
          </cell>
          <cell r="K631">
            <v>31</v>
          </cell>
          <cell r="L631">
            <v>3</v>
          </cell>
          <cell r="M631">
            <v>0</v>
          </cell>
          <cell r="N631">
            <v>0</v>
          </cell>
          <cell r="O631">
            <v>3</v>
          </cell>
          <cell r="P631">
            <v>7</v>
          </cell>
          <cell r="Q631">
            <v>0</v>
          </cell>
          <cell r="R631">
            <v>7</v>
          </cell>
          <cell r="S631">
            <v>374</v>
          </cell>
          <cell r="T631">
            <v>10</v>
          </cell>
        </row>
        <row r="632">
          <cell r="C632" t="str">
            <v>Lynden city, Washington</v>
          </cell>
          <cell r="D632">
            <v>9093</v>
          </cell>
          <cell r="E632">
            <v>8085</v>
          </cell>
          <cell r="F632">
            <v>4311</v>
          </cell>
          <cell r="G632">
            <v>3588</v>
          </cell>
          <cell r="H632">
            <v>346</v>
          </cell>
          <cell r="I632">
            <v>1300</v>
          </cell>
          <cell r="J632">
            <v>384</v>
          </cell>
          <cell r="K632">
            <v>1558</v>
          </cell>
          <cell r="L632">
            <v>186</v>
          </cell>
          <cell r="M632">
            <v>0</v>
          </cell>
          <cell r="N632">
            <v>13</v>
          </cell>
          <cell r="O632">
            <v>173</v>
          </cell>
          <cell r="P632">
            <v>1008</v>
          </cell>
          <cell r="Q632">
            <v>555</v>
          </cell>
          <cell r="R632">
            <v>453</v>
          </cell>
          <cell r="S632">
            <v>7899</v>
          </cell>
          <cell r="T632">
            <v>1194</v>
          </cell>
        </row>
        <row r="633">
          <cell r="C633" t="str">
            <v>Lynnwood city, Washington</v>
          </cell>
          <cell r="D633">
            <v>33730</v>
          </cell>
          <cell r="E633">
            <v>26517</v>
          </cell>
          <cell r="F633">
            <v>14876</v>
          </cell>
          <cell r="G633">
            <v>11128</v>
          </cell>
          <cell r="H633">
            <v>1274</v>
          </cell>
          <cell r="I633">
            <v>3345</v>
          </cell>
          <cell r="J633">
            <v>1557</v>
          </cell>
          <cell r="K633">
            <v>4952</v>
          </cell>
          <cell r="L633">
            <v>513</v>
          </cell>
          <cell r="M633">
            <v>42</v>
          </cell>
          <cell r="N633">
            <v>41</v>
          </cell>
          <cell r="O633">
            <v>430</v>
          </cell>
          <cell r="P633">
            <v>7213</v>
          </cell>
          <cell r="Q633">
            <v>3159</v>
          </cell>
          <cell r="R633">
            <v>4054</v>
          </cell>
          <cell r="S633">
            <v>26004</v>
          </cell>
          <cell r="T633">
            <v>7726</v>
          </cell>
        </row>
        <row r="634">
          <cell r="C634" t="str">
            <v>Mabton city, Washington</v>
          </cell>
          <cell r="D634">
            <v>1923</v>
          </cell>
          <cell r="E634">
            <v>1280</v>
          </cell>
          <cell r="F634">
            <v>928</v>
          </cell>
          <cell r="G634">
            <v>331</v>
          </cell>
          <cell r="H634">
            <v>3</v>
          </cell>
          <cell r="I634">
            <v>29</v>
          </cell>
          <cell r="J634">
            <v>148</v>
          </cell>
          <cell r="K634">
            <v>151</v>
          </cell>
          <cell r="L634">
            <v>21</v>
          </cell>
          <cell r="M634">
            <v>13</v>
          </cell>
          <cell r="N634">
            <v>0</v>
          </cell>
          <cell r="O634">
            <v>8</v>
          </cell>
          <cell r="P634">
            <v>643</v>
          </cell>
          <cell r="Q634">
            <v>137</v>
          </cell>
          <cell r="R634">
            <v>506</v>
          </cell>
          <cell r="S634">
            <v>1259</v>
          </cell>
          <cell r="T634">
            <v>664</v>
          </cell>
        </row>
        <row r="635">
          <cell r="C635" t="str">
            <v>McChord AFB CDP, Washington</v>
          </cell>
          <cell r="D635">
            <v>4168</v>
          </cell>
          <cell r="E635">
            <v>3941</v>
          </cell>
          <cell r="F635">
            <v>702</v>
          </cell>
          <cell r="G635">
            <v>2994</v>
          </cell>
          <cell r="H635">
            <v>353</v>
          </cell>
          <cell r="I635">
            <v>671</v>
          </cell>
          <cell r="J635">
            <v>785</v>
          </cell>
          <cell r="K635">
            <v>1185</v>
          </cell>
          <cell r="L635">
            <v>245</v>
          </cell>
          <cell r="M635">
            <v>0</v>
          </cell>
          <cell r="N635">
            <v>4</v>
          </cell>
          <cell r="O635">
            <v>241</v>
          </cell>
          <cell r="P635">
            <v>227</v>
          </cell>
          <cell r="Q635">
            <v>107</v>
          </cell>
          <cell r="R635">
            <v>120</v>
          </cell>
          <cell r="S635">
            <v>3696</v>
          </cell>
          <cell r="T635">
            <v>472</v>
          </cell>
        </row>
        <row r="636">
          <cell r="C636" t="str">
            <v>McCleary city, Washington</v>
          </cell>
          <cell r="D636">
            <v>1464</v>
          </cell>
          <cell r="E636">
            <v>1430</v>
          </cell>
          <cell r="F636">
            <v>876</v>
          </cell>
          <cell r="G636">
            <v>540</v>
          </cell>
          <cell r="H636">
            <v>37</v>
          </cell>
          <cell r="I636">
            <v>153</v>
          </cell>
          <cell r="J636">
            <v>101</v>
          </cell>
          <cell r="K636">
            <v>249</v>
          </cell>
          <cell r="L636">
            <v>14</v>
          </cell>
          <cell r="M636">
            <v>0</v>
          </cell>
          <cell r="N636">
            <v>2</v>
          </cell>
          <cell r="O636">
            <v>12</v>
          </cell>
          <cell r="P636">
            <v>34</v>
          </cell>
          <cell r="Q636">
            <v>23</v>
          </cell>
          <cell r="R636">
            <v>11</v>
          </cell>
          <cell r="S636">
            <v>1416</v>
          </cell>
          <cell r="T636">
            <v>48</v>
          </cell>
        </row>
        <row r="637">
          <cell r="C637" t="str">
            <v>Machias CDP, Washington</v>
          </cell>
          <cell r="D637">
            <v>1095</v>
          </cell>
          <cell r="E637">
            <v>1089</v>
          </cell>
          <cell r="F637">
            <v>571</v>
          </cell>
          <cell r="G637">
            <v>511</v>
          </cell>
          <cell r="H637">
            <v>65</v>
          </cell>
          <cell r="I637">
            <v>187</v>
          </cell>
          <cell r="J637">
            <v>63</v>
          </cell>
          <cell r="K637">
            <v>196</v>
          </cell>
          <cell r="L637">
            <v>7</v>
          </cell>
          <cell r="M637">
            <v>0</v>
          </cell>
          <cell r="N637">
            <v>0</v>
          </cell>
          <cell r="O637">
            <v>7</v>
          </cell>
          <cell r="P637">
            <v>6</v>
          </cell>
          <cell r="Q637">
            <v>0</v>
          </cell>
          <cell r="R637">
            <v>6</v>
          </cell>
          <cell r="S637">
            <v>1082</v>
          </cell>
          <cell r="T637">
            <v>13</v>
          </cell>
        </row>
        <row r="638">
          <cell r="C638" t="str">
            <v>Malden town, Washington</v>
          </cell>
          <cell r="D638">
            <v>213</v>
          </cell>
          <cell r="E638">
            <v>209</v>
          </cell>
          <cell r="F638">
            <v>112</v>
          </cell>
          <cell r="G638">
            <v>97</v>
          </cell>
          <cell r="H638">
            <v>14</v>
          </cell>
          <cell r="I638">
            <v>31</v>
          </cell>
          <cell r="J638">
            <v>7</v>
          </cell>
          <cell r="K638">
            <v>45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4</v>
          </cell>
          <cell r="Q638">
            <v>0</v>
          </cell>
          <cell r="R638">
            <v>4</v>
          </cell>
          <cell r="S638">
            <v>209</v>
          </cell>
          <cell r="T638">
            <v>4</v>
          </cell>
        </row>
        <row r="639">
          <cell r="C639" t="str">
            <v>Malone-Porter CDP, Washington</v>
          </cell>
          <cell r="D639">
            <v>502</v>
          </cell>
          <cell r="E639">
            <v>502</v>
          </cell>
          <cell r="F639">
            <v>333</v>
          </cell>
          <cell r="G639">
            <v>164</v>
          </cell>
          <cell r="H639">
            <v>4</v>
          </cell>
          <cell r="I639">
            <v>31</v>
          </cell>
          <cell r="J639">
            <v>48</v>
          </cell>
          <cell r="K639">
            <v>81</v>
          </cell>
          <cell r="L639">
            <v>5</v>
          </cell>
          <cell r="M639">
            <v>0</v>
          </cell>
          <cell r="N639">
            <v>0</v>
          </cell>
          <cell r="O639">
            <v>5</v>
          </cell>
          <cell r="P639">
            <v>0</v>
          </cell>
          <cell r="Q639">
            <v>0</v>
          </cell>
          <cell r="R639">
            <v>0</v>
          </cell>
          <cell r="S639">
            <v>497</v>
          </cell>
          <cell r="T639">
            <v>5</v>
          </cell>
        </row>
        <row r="640">
          <cell r="C640" t="str">
            <v>Maltby CDP, Washington</v>
          </cell>
          <cell r="D640">
            <v>8472</v>
          </cell>
          <cell r="E640">
            <v>8235</v>
          </cell>
          <cell r="F640">
            <v>4630</v>
          </cell>
          <cell r="G640">
            <v>3514</v>
          </cell>
          <cell r="H640">
            <v>394</v>
          </cell>
          <cell r="I640">
            <v>890</v>
          </cell>
          <cell r="J640">
            <v>423</v>
          </cell>
          <cell r="K640">
            <v>1807</v>
          </cell>
          <cell r="L640">
            <v>91</v>
          </cell>
          <cell r="M640">
            <v>0</v>
          </cell>
          <cell r="N640">
            <v>0</v>
          </cell>
          <cell r="O640">
            <v>91</v>
          </cell>
          <cell r="P640">
            <v>237</v>
          </cell>
          <cell r="Q640">
            <v>167</v>
          </cell>
          <cell r="R640">
            <v>70</v>
          </cell>
          <cell r="S640">
            <v>8144</v>
          </cell>
          <cell r="T640">
            <v>328</v>
          </cell>
        </row>
        <row r="641">
          <cell r="C641" t="str">
            <v>Manchester CDP, Washington</v>
          </cell>
          <cell r="D641">
            <v>4873</v>
          </cell>
          <cell r="E641">
            <v>4699</v>
          </cell>
          <cell r="F641">
            <v>2413</v>
          </cell>
          <cell r="G641">
            <v>2196</v>
          </cell>
          <cell r="H641">
            <v>208</v>
          </cell>
          <cell r="I641">
            <v>443</v>
          </cell>
          <cell r="J641">
            <v>371</v>
          </cell>
          <cell r="K641">
            <v>1174</v>
          </cell>
          <cell r="L641">
            <v>90</v>
          </cell>
          <cell r="M641">
            <v>0</v>
          </cell>
          <cell r="N641">
            <v>10</v>
          </cell>
          <cell r="O641">
            <v>80</v>
          </cell>
          <cell r="P641">
            <v>174</v>
          </cell>
          <cell r="Q641">
            <v>136</v>
          </cell>
          <cell r="R641">
            <v>38</v>
          </cell>
          <cell r="S641">
            <v>4609</v>
          </cell>
          <cell r="T641">
            <v>264</v>
          </cell>
        </row>
        <row r="642">
          <cell r="C642" t="str">
            <v>Mansfield town, Washington</v>
          </cell>
          <cell r="D642">
            <v>298</v>
          </cell>
          <cell r="E642">
            <v>291</v>
          </cell>
          <cell r="F642">
            <v>192</v>
          </cell>
          <cell r="G642">
            <v>96</v>
          </cell>
          <cell r="H642">
            <v>3</v>
          </cell>
          <cell r="I642">
            <v>12</v>
          </cell>
          <cell r="J642">
            <v>33</v>
          </cell>
          <cell r="K642">
            <v>48</v>
          </cell>
          <cell r="L642">
            <v>3</v>
          </cell>
          <cell r="M642">
            <v>0</v>
          </cell>
          <cell r="N642">
            <v>0</v>
          </cell>
          <cell r="O642">
            <v>3</v>
          </cell>
          <cell r="P642">
            <v>7</v>
          </cell>
          <cell r="Q642">
            <v>2</v>
          </cell>
          <cell r="R642">
            <v>5</v>
          </cell>
          <cell r="S642">
            <v>288</v>
          </cell>
          <cell r="T642">
            <v>10</v>
          </cell>
        </row>
        <row r="643">
          <cell r="C643" t="str">
            <v>Maple Falls CDP, Washington</v>
          </cell>
          <cell r="D643">
            <v>238</v>
          </cell>
          <cell r="E643">
            <v>238</v>
          </cell>
          <cell r="F643">
            <v>127</v>
          </cell>
          <cell r="G643">
            <v>111</v>
          </cell>
          <cell r="H643">
            <v>20</v>
          </cell>
          <cell r="I643">
            <v>32</v>
          </cell>
          <cell r="J643">
            <v>15</v>
          </cell>
          <cell r="K643">
            <v>44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238</v>
          </cell>
          <cell r="T643">
            <v>0</v>
          </cell>
        </row>
        <row r="644">
          <cell r="C644" t="str">
            <v>Maple Heights-Lake Desire CDP, Washington</v>
          </cell>
          <cell r="D644">
            <v>2582</v>
          </cell>
          <cell r="E644">
            <v>2440</v>
          </cell>
          <cell r="F644">
            <v>1413</v>
          </cell>
          <cell r="G644">
            <v>1021</v>
          </cell>
          <cell r="H644">
            <v>65</v>
          </cell>
          <cell r="I644">
            <v>312</v>
          </cell>
          <cell r="J644">
            <v>171</v>
          </cell>
          <cell r="K644">
            <v>473</v>
          </cell>
          <cell r="L644">
            <v>6</v>
          </cell>
          <cell r="M644">
            <v>0</v>
          </cell>
          <cell r="N644">
            <v>0</v>
          </cell>
          <cell r="O644">
            <v>6</v>
          </cell>
          <cell r="P644">
            <v>142</v>
          </cell>
          <cell r="Q644">
            <v>97</v>
          </cell>
          <cell r="R644">
            <v>45</v>
          </cell>
          <cell r="S644">
            <v>2434</v>
          </cell>
          <cell r="T644">
            <v>148</v>
          </cell>
        </row>
        <row r="645">
          <cell r="C645" t="str">
            <v>Maple Valley city, Washington</v>
          </cell>
          <cell r="D645">
            <v>14341</v>
          </cell>
          <cell r="E645">
            <v>13684</v>
          </cell>
          <cell r="F645">
            <v>7583</v>
          </cell>
          <cell r="G645">
            <v>5953</v>
          </cell>
          <cell r="H645">
            <v>658</v>
          </cell>
          <cell r="I645">
            <v>1600</v>
          </cell>
          <cell r="J645">
            <v>724</v>
          </cell>
          <cell r="K645">
            <v>2971</v>
          </cell>
          <cell r="L645">
            <v>148</v>
          </cell>
          <cell r="M645">
            <v>0</v>
          </cell>
          <cell r="N645">
            <v>0</v>
          </cell>
          <cell r="O645">
            <v>148</v>
          </cell>
          <cell r="P645">
            <v>657</v>
          </cell>
          <cell r="Q645">
            <v>389</v>
          </cell>
          <cell r="R645">
            <v>268</v>
          </cell>
          <cell r="S645">
            <v>13536</v>
          </cell>
          <cell r="T645">
            <v>805</v>
          </cell>
        </row>
        <row r="646">
          <cell r="C646" t="str">
            <v>Marblemount CDP, Washington</v>
          </cell>
          <cell r="D646">
            <v>327</v>
          </cell>
          <cell r="E646">
            <v>303</v>
          </cell>
          <cell r="F646">
            <v>137</v>
          </cell>
          <cell r="G646">
            <v>166</v>
          </cell>
          <cell r="H646">
            <v>13</v>
          </cell>
          <cell r="I646">
            <v>8</v>
          </cell>
          <cell r="J646">
            <v>84</v>
          </cell>
          <cell r="K646">
            <v>61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24</v>
          </cell>
          <cell r="Q646">
            <v>24</v>
          </cell>
          <cell r="R646">
            <v>0</v>
          </cell>
          <cell r="S646">
            <v>303</v>
          </cell>
          <cell r="T646">
            <v>24</v>
          </cell>
        </row>
        <row r="647">
          <cell r="C647" t="str">
            <v>Marcus town, Washington</v>
          </cell>
          <cell r="D647">
            <v>141</v>
          </cell>
          <cell r="E647">
            <v>137</v>
          </cell>
          <cell r="F647">
            <v>92</v>
          </cell>
          <cell r="G647">
            <v>41</v>
          </cell>
          <cell r="H647">
            <v>6</v>
          </cell>
          <cell r="I647">
            <v>8</v>
          </cell>
          <cell r="J647">
            <v>2</v>
          </cell>
          <cell r="K647">
            <v>25</v>
          </cell>
          <cell r="L647">
            <v>4</v>
          </cell>
          <cell r="M647">
            <v>0</v>
          </cell>
          <cell r="N647">
            <v>0</v>
          </cell>
          <cell r="O647">
            <v>4</v>
          </cell>
          <cell r="P647">
            <v>4</v>
          </cell>
          <cell r="Q647">
            <v>0</v>
          </cell>
          <cell r="R647">
            <v>4</v>
          </cell>
          <cell r="S647">
            <v>133</v>
          </cell>
          <cell r="T647">
            <v>8</v>
          </cell>
        </row>
        <row r="648">
          <cell r="C648" t="str">
            <v>Marietta-Alderwood CDP, Washington</v>
          </cell>
          <cell r="D648">
            <v>3901</v>
          </cell>
          <cell r="E648">
            <v>3412</v>
          </cell>
          <cell r="F648">
            <v>2000</v>
          </cell>
          <cell r="G648">
            <v>1393</v>
          </cell>
          <cell r="H648">
            <v>96</v>
          </cell>
          <cell r="I648">
            <v>337</v>
          </cell>
          <cell r="J648">
            <v>161</v>
          </cell>
          <cell r="K648">
            <v>799</v>
          </cell>
          <cell r="L648">
            <v>19</v>
          </cell>
          <cell r="M648">
            <v>0</v>
          </cell>
          <cell r="N648">
            <v>0</v>
          </cell>
          <cell r="O648">
            <v>19</v>
          </cell>
          <cell r="P648">
            <v>489</v>
          </cell>
          <cell r="Q648">
            <v>144</v>
          </cell>
          <cell r="R648">
            <v>345</v>
          </cell>
          <cell r="S648">
            <v>3393</v>
          </cell>
          <cell r="T648">
            <v>508</v>
          </cell>
        </row>
        <row r="649">
          <cell r="C649" t="str">
            <v>Markham CDP, Washington</v>
          </cell>
          <cell r="D649">
            <v>73</v>
          </cell>
          <cell r="E649">
            <v>73</v>
          </cell>
          <cell r="F649">
            <v>59</v>
          </cell>
          <cell r="G649">
            <v>14</v>
          </cell>
          <cell r="H649">
            <v>0</v>
          </cell>
          <cell r="I649">
            <v>14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73</v>
          </cell>
          <cell r="T649">
            <v>0</v>
          </cell>
        </row>
        <row r="650">
          <cell r="C650" t="str">
            <v>Marrowstone CDP, Washington</v>
          </cell>
          <cell r="D650">
            <v>876</v>
          </cell>
          <cell r="E650">
            <v>869</v>
          </cell>
          <cell r="F650">
            <v>333</v>
          </cell>
          <cell r="G650">
            <v>522</v>
          </cell>
          <cell r="H650">
            <v>79</v>
          </cell>
          <cell r="I650">
            <v>150</v>
          </cell>
          <cell r="J650">
            <v>57</v>
          </cell>
          <cell r="K650">
            <v>236</v>
          </cell>
          <cell r="L650">
            <v>14</v>
          </cell>
          <cell r="M650">
            <v>0</v>
          </cell>
          <cell r="N650">
            <v>0</v>
          </cell>
          <cell r="O650">
            <v>14</v>
          </cell>
          <cell r="P650">
            <v>7</v>
          </cell>
          <cell r="Q650">
            <v>7</v>
          </cell>
          <cell r="R650">
            <v>0</v>
          </cell>
          <cell r="S650">
            <v>855</v>
          </cell>
          <cell r="T650">
            <v>21</v>
          </cell>
        </row>
        <row r="651">
          <cell r="C651" t="str">
            <v>Martha Lake CDP, Washington</v>
          </cell>
          <cell r="D651">
            <v>12640</v>
          </cell>
          <cell r="E651">
            <v>11317</v>
          </cell>
          <cell r="F651">
            <v>6841</v>
          </cell>
          <cell r="G651">
            <v>4384</v>
          </cell>
          <cell r="H651">
            <v>459</v>
          </cell>
          <cell r="I651">
            <v>1122</v>
          </cell>
          <cell r="J651">
            <v>481</v>
          </cell>
          <cell r="K651">
            <v>2322</v>
          </cell>
          <cell r="L651">
            <v>92</v>
          </cell>
          <cell r="M651">
            <v>0</v>
          </cell>
          <cell r="N651">
            <v>0</v>
          </cell>
          <cell r="O651">
            <v>92</v>
          </cell>
          <cell r="P651">
            <v>1323</v>
          </cell>
          <cell r="Q651">
            <v>803</v>
          </cell>
          <cell r="R651">
            <v>520</v>
          </cell>
          <cell r="S651">
            <v>11225</v>
          </cell>
          <cell r="T651">
            <v>1415</v>
          </cell>
        </row>
        <row r="652">
          <cell r="C652" t="str">
            <v>Maryhill CDP, Washington</v>
          </cell>
          <cell r="D652">
            <v>85</v>
          </cell>
          <cell r="E652">
            <v>85</v>
          </cell>
          <cell r="F652">
            <v>63</v>
          </cell>
          <cell r="G652">
            <v>22</v>
          </cell>
          <cell r="H652">
            <v>0</v>
          </cell>
          <cell r="I652">
            <v>14</v>
          </cell>
          <cell r="J652">
            <v>0</v>
          </cell>
          <cell r="K652">
            <v>8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85</v>
          </cell>
          <cell r="T652">
            <v>0</v>
          </cell>
        </row>
        <row r="653">
          <cell r="C653" t="str">
            <v>Marysville city, Washington</v>
          </cell>
          <cell r="D653">
            <v>25221</v>
          </cell>
          <cell r="E653">
            <v>23361</v>
          </cell>
          <cell r="F653">
            <v>13425</v>
          </cell>
          <cell r="G653">
            <v>9585</v>
          </cell>
          <cell r="H653">
            <v>824</v>
          </cell>
          <cell r="I653">
            <v>2782</v>
          </cell>
          <cell r="J653">
            <v>1388</v>
          </cell>
          <cell r="K653">
            <v>4591</v>
          </cell>
          <cell r="L653">
            <v>351</v>
          </cell>
          <cell r="M653">
            <v>25</v>
          </cell>
          <cell r="N653">
            <v>8</v>
          </cell>
          <cell r="O653">
            <v>318</v>
          </cell>
          <cell r="P653">
            <v>1860</v>
          </cell>
          <cell r="Q653">
            <v>1029</v>
          </cell>
          <cell r="R653">
            <v>831</v>
          </cell>
          <cell r="S653">
            <v>23010</v>
          </cell>
          <cell r="T653">
            <v>2211</v>
          </cell>
        </row>
        <row r="654">
          <cell r="C654" t="str">
            <v>Mattawa town, Washington</v>
          </cell>
          <cell r="D654">
            <v>2703</v>
          </cell>
          <cell r="E654">
            <v>851</v>
          </cell>
          <cell r="F654">
            <v>652</v>
          </cell>
          <cell r="G654">
            <v>163</v>
          </cell>
          <cell r="H654">
            <v>0</v>
          </cell>
          <cell r="I654">
            <v>32</v>
          </cell>
          <cell r="J654">
            <v>31</v>
          </cell>
          <cell r="K654">
            <v>100</v>
          </cell>
          <cell r="L654">
            <v>36</v>
          </cell>
          <cell r="M654">
            <v>0</v>
          </cell>
          <cell r="N654">
            <v>0</v>
          </cell>
          <cell r="O654">
            <v>36</v>
          </cell>
          <cell r="P654">
            <v>1852</v>
          </cell>
          <cell r="Q654">
            <v>148</v>
          </cell>
          <cell r="R654">
            <v>1704</v>
          </cell>
          <cell r="S654">
            <v>815</v>
          </cell>
          <cell r="T654">
            <v>1888</v>
          </cell>
        </row>
        <row r="655">
          <cell r="C655" t="str">
            <v>May Creek CDP, Washington</v>
          </cell>
          <cell r="D655">
            <v>987</v>
          </cell>
          <cell r="E655">
            <v>987</v>
          </cell>
          <cell r="F655">
            <v>600</v>
          </cell>
          <cell r="G655">
            <v>383</v>
          </cell>
          <cell r="H655">
            <v>37</v>
          </cell>
          <cell r="I655">
            <v>138</v>
          </cell>
          <cell r="J655">
            <v>33</v>
          </cell>
          <cell r="K655">
            <v>175</v>
          </cell>
          <cell r="L655">
            <v>4</v>
          </cell>
          <cell r="M655">
            <v>0</v>
          </cell>
          <cell r="N655">
            <v>0</v>
          </cell>
          <cell r="O655">
            <v>4</v>
          </cell>
          <cell r="P655">
            <v>0</v>
          </cell>
          <cell r="Q655">
            <v>0</v>
          </cell>
          <cell r="R655">
            <v>0</v>
          </cell>
          <cell r="S655">
            <v>983</v>
          </cell>
          <cell r="T655">
            <v>4</v>
          </cell>
        </row>
        <row r="656">
          <cell r="C656" t="str">
            <v>Meadow Glade CDP, Washington</v>
          </cell>
          <cell r="D656">
            <v>2262</v>
          </cell>
          <cell r="E656">
            <v>2240</v>
          </cell>
          <cell r="F656">
            <v>832</v>
          </cell>
          <cell r="G656">
            <v>1401</v>
          </cell>
          <cell r="H656">
            <v>91</v>
          </cell>
          <cell r="I656">
            <v>315</v>
          </cell>
          <cell r="J656">
            <v>146</v>
          </cell>
          <cell r="K656">
            <v>849</v>
          </cell>
          <cell r="L656">
            <v>7</v>
          </cell>
          <cell r="M656">
            <v>0</v>
          </cell>
          <cell r="N656">
            <v>0</v>
          </cell>
          <cell r="O656">
            <v>7</v>
          </cell>
          <cell r="P656">
            <v>22</v>
          </cell>
          <cell r="Q656">
            <v>0</v>
          </cell>
          <cell r="R656">
            <v>22</v>
          </cell>
          <cell r="S656">
            <v>2233</v>
          </cell>
          <cell r="T656">
            <v>29</v>
          </cell>
        </row>
        <row r="657">
          <cell r="C657" t="str">
            <v>Medical Lake city, Washington</v>
          </cell>
          <cell r="D657">
            <v>3771</v>
          </cell>
          <cell r="E657">
            <v>3730</v>
          </cell>
          <cell r="F657">
            <v>1701</v>
          </cell>
          <cell r="G657">
            <v>1948</v>
          </cell>
          <cell r="H657">
            <v>186</v>
          </cell>
          <cell r="I657">
            <v>453</v>
          </cell>
          <cell r="J657">
            <v>350</v>
          </cell>
          <cell r="K657">
            <v>959</v>
          </cell>
          <cell r="L657">
            <v>81</v>
          </cell>
          <cell r="M657">
            <v>0</v>
          </cell>
          <cell r="N657">
            <v>7</v>
          </cell>
          <cell r="O657">
            <v>74</v>
          </cell>
          <cell r="P657">
            <v>41</v>
          </cell>
          <cell r="Q657">
            <v>36</v>
          </cell>
          <cell r="R657">
            <v>5</v>
          </cell>
          <cell r="S657">
            <v>3649</v>
          </cell>
          <cell r="T657">
            <v>122</v>
          </cell>
        </row>
        <row r="658">
          <cell r="C658" t="str">
            <v>Medina city, Washington</v>
          </cell>
          <cell r="D658">
            <v>3001</v>
          </cell>
          <cell r="E658">
            <v>2744</v>
          </cell>
          <cell r="F658">
            <v>1378</v>
          </cell>
          <cell r="G658">
            <v>1318</v>
          </cell>
          <cell r="H658">
            <v>257</v>
          </cell>
          <cell r="I658">
            <v>325</v>
          </cell>
          <cell r="J658">
            <v>190</v>
          </cell>
          <cell r="K658">
            <v>546</v>
          </cell>
          <cell r="L658">
            <v>48</v>
          </cell>
          <cell r="M658">
            <v>0</v>
          </cell>
          <cell r="N658">
            <v>1</v>
          </cell>
          <cell r="O658">
            <v>47</v>
          </cell>
          <cell r="P658">
            <v>257</v>
          </cell>
          <cell r="Q658">
            <v>106</v>
          </cell>
          <cell r="R658">
            <v>151</v>
          </cell>
          <cell r="S658">
            <v>2696</v>
          </cell>
          <cell r="T658">
            <v>305</v>
          </cell>
        </row>
        <row r="659">
          <cell r="C659" t="str">
            <v>Mercer Island city, Washington</v>
          </cell>
          <cell r="D659">
            <v>22036</v>
          </cell>
          <cell r="E659">
            <v>18990</v>
          </cell>
          <cell r="F659">
            <v>8341</v>
          </cell>
          <cell r="G659">
            <v>10414</v>
          </cell>
          <cell r="H659">
            <v>2133</v>
          </cell>
          <cell r="I659">
            <v>3174</v>
          </cell>
          <cell r="J659">
            <v>1295</v>
          </cell>
          <cell r="K659">
            <v>3812</v>
          </cell>
          <cell r="L659">
            <v>235</v>
          </cell>
          <cell r="M659">
            <v>18</v>
          </cell>
          <cell r="N659">
            <v>29</v>
          </cell>
          <cell r="O659">
            <v>188</v>
          </cell>
          <cell r="P659">
            <v>3046</v>
          </cell>
          <cell r="Q659">
            <v>1943</v>
          </cell>
          <cell r="R659">
            <v>1103</v>
          </cell>
          <cell r="S659">
            <v>18755</v>
          </cell>
          <cell r="T659">
            <v>3281</v>
          </cell>
        </row>
        <row r="660">
          <cell r="C660" t="str">
            <v>Mesa city, Washington</v>
          </cell>
          <cell r="D660">
            <v>441</v>
          </cell>
          <cell r="E660">
            <v>275</v>
          </cell>
          <cell r="F660">
            <v>190</v>
          </cell>
          <cell r="G660">
            <v>85</v>
          </cell>
          <cell r="H660">
            <v>0</v>
          </cell>
          <cell r="I660">
            <v>9</v>
          </cell>
          <cell r="J660">
            <v>22</v>
          </cell>
          <cell r="K660">
            <v>54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166</v>
          </cell>
          <cell r="Q660">
            <v>21</v>
          </cell>
          <cell r="R660">
            <v>145</v>
          </cell>
          <cell r="S660">
            <v>275</v>
          </cell>
          <cell r="T660">
            <v>166</v>
          </cell>
        </row>
        <row r="661">
          <cell r="C661" t="str">
            <v>Metaline town, Washington</v>
          </cell>
          <cell r="D661">
            <v>179</v>
          </cell>
          <cell r="E661">
            <v>177</v>
          </cell>
          <cell r="F661">
            <v>116</v>
          </cell>
          <cell r="G661">
            <v>55</v>
          </cell>
          <cell r="H661">
            <v>7</v>
          </cell>
          <cell r="I661">
            <v>13</v>
          </cell>
          <cell r="J661">
            <v>8</v>
          </cell>
          <cell r="K661">
            <v>27</v>
          </cell>
          <cell r="L661">
            <v>6</v>
          </cell>
          <cell r="M661">
            <v>0</v>
          </cell>
          <cell r="N661">
            <v>0</v>
          </cell>
          <cell r="O661">
            <v>6</v>
          </cell>
          <cell r="P661">
            <v>2</v>
          </cell>
          <cell r="Q661">
            <v>2</v>
          </cell>
          <cell r="R661">
            <v>0</v>
          </cell>
          <cell r="S661">
            <v>171</v>
          </cell>
          <cell r="T661">
            <v>8</v>
          </cell>
        </row>
        <row r="662">
          <cell r="C662" t="str">
            <v>Metaline Falls town, Washington</v>
          </cell>
          <cell r="D662">
            <v>199</v>
          </cell>
          <cell r="E662">
            <v>183</v>
          </cell>
          <cell r="F662">
            <v>105</v>
          </cell>
          <cell r="G662">
            <v>78</v>
          </cell>
          <cell r="H662">
            <v>1</v>
          </cell>
          <cell r="I662">
            <v>26</v>
          </cell>
          <cell r="J662">
            <v>4</v>
          </cell>
          <cell r="K662">
            <v>47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16</v>
          </cell>
          <cell r="Q662">
            <v>8</v>
          </cell>
          <cell r="R662">
            <v>8</v>
          </cell>
          <cell r="S662">
            <v>183</v>
          </cell>
          <cell r="T662">
            <v>16</v>
          </cell>
        </row>
        <row r="663">
          <cell r="C663" t="str">
            <v>Midland CDP, Washington</v>
          </cell>
          <cell r="D663">
            <v>7473</v>
          </cell>
          <cell r="E663">
            <v>6858</v>
          </cell>
          <cell r="F663">
            <v>4084</v>
          </cell>
          <cell r="G663">
            <v>2658</v>
          </cell>
          <cell r="H663">
            <v>216</v>
          </cell>
          <cell r="I663">
            <v>673</v>
          </cell>
          <cell r="J663">
            <v>618</v>
          </cell>
          <cell r="K663">
            <v>1151</v>
          </cell>
          <cell r="L663">
            <v>116</v>
          </cell>
          <cell r="M663">
            <v>18</v>
          </cell>
          <cell r="N663">
            <v>2</v>
          </cell>
          <cell r="O663">
            <v>96</v>
          </cell>
          <cell r="P663">
            <v>615</v>
          </cell>
          <cell r="Q663">
            <v>222</v>
          </cell>
          <cell r="R663">
            <v>393</v>
          </cell>
          <cell r="S663">
            <v>6742</v>
          </cell>
          <cell r="T663">
            <v>731</v>
          </cell>
        </row>
        <row r="664">
          <cell r="C664" t="str">
            <v>Mill Creek city, Washington</v>
          </cell>
          <cell r="D664">
            <v>11444</v>
          </cell>
          <cell r="E664">
            <v>9650</v>
          </cell>
          <cell r="F664">
            <v>4896</v>
          </cell>
          <cell r="G664">
            <v>4553</v>
          </cell>
          <cell r="H664">
            <v>710</v>
          </cell>
          <cell r="I664">
            <v>1381</v>
          </cell>
          <cell r="J664">
            <v>600</v>
          </cell>
          <cell r="K664">
            <v>1862</v>
          </cell>
          <cell r="L664">
            <v>201</v>
          </cell>
          <cell r="M664">
            <v>13</v>
          </cell>
          <cell r="N664">
            <v>30</v>
          </cell>
          <cell r="O664">
            <v>158</v>
          </cell>
          <cell r="P664">
            <v>1794</v>
          </cell>
          <cell r="Q664">
            <v>990</v>
          </cell>
          <cell r="R664">
            <v>804</v>
          </cell>
          <cell r="S664">
            <v>9449</v>
          </cell>
          <cell r="T664">
            <v>1995</v>
          </cell>
        </row>
        <row r="665">
          <cell r="C665" t="str">
            <v>Mill Plain CDP, Washington</v>
          </cell>
          <cell r="D665">
            <v>7490</v>
          </cell>
          <cell r="E665">
            <v>6436</v>
          </cell>
          <cell r="F665">
            <v>2100</v>
          </cell>
          <cell r="G665">
            <v>4256</v>
          </cell>
          <cell r="H665">
            <v>270</v>
          </cell>
          <cell r="I665">
            <v>688</v>
          </cell>
          <cell r="J665">
            <v>366</v>
          </cell>
          <cell r="K665">
            <v>2932</v>
          </cell>
          <cell r="L665">
            <v>80</v>
          </cell>
          <cell r="M665">
            <v>0</v>
          </cell>
          <cell r="N665">
            <v>0</v>
          </cell>
          <cell r="O665">
            <v>80</v>
          </cell>
          <cell r="P665">
            <v>1054</v>
          </cell>
          <cell r="Q665">
            <v>265</v>
          </cell>
          <cell r="R665">
            <v>789</v>
          </cell>
          <cell r="S665">
            <v>6356</v>
          </cell>
          <cell r="T665">
            <v>1134</v>
          </cell>
        </row>
        <row r="666">
          <cell r="C666" t="str">
            <v>Millwood town, Washington</v>
          </cell>
          <cell r="D666">
            <v>1649</v>
          </cell>
          <cell r="E666">
            <v>1612</v>
          </cell>
          <cell r="F666">
            <v>923</v>
          </cell>
          <cell r="G666">
            <v>673</v>
          </cell>
          <cell r="H666">
            <v>52</v>
          </cell>
          <cell r="I666">
            <v>140</v>
          </cell>
          <cell r="J666">
            <v>57</v>
          </cell>
          <cell r="K666">
            <v>424</v>
          </cell>
          <cell r="L666">
            <v>16</v>
          </cell>
          <cell r="M666">
            <v>0</v>
          </cell>
          <cell r="N666">
            <v>0</v>
          </cell>
          <cell r="O666">
            <v>16</v>
          </cell>
          <cell r="P666">
            <v>37</v>
          </cell>
          <cell r="Q666">
            <v>34</v>
          </cell>
          <cell r="R666">
            <v>3</v>
          </cell>
          <cell r="S666">
            <v>1596</v>
          </cell>
          <cell r="T666">
            <v>53</v>
          </cell>
        </row>
        <row r="667">
          <cell r="C667" t="str">
            <v>Milton city, Washington</v>
          </cell>
          <cell r="D667">
            <v>5831</v>
          </cell>
          <cell r="E667">
            <v>5585</v>
          </cell>
          <cell r="F667">
            <v>3199</v>
          </cell>
          <cell r="G667">
            <v>2335</v>
          </cell>
          <cell r="H667">
            <v>150</v>
          </cell>
          <cell r="I667">
            <v>797</v>
          </cell>
          <cell r="J667">
            <v>310</v>
          </cell>
          <cell r="K667">
            <v>1078</v>
          </cell>
          <cell r="L667">
            <v>51</v>
          </cell>
          <cell r="M667">
            <v>5</v>
          </cell>
          <cell r="N667">
            <v>11</v>
          </cell>
          <cell r="O667">
            <v>35</v>
          </cell>
          <cell r="P667">
            <v>246</v>
          </cell>
          <cell r="Q667">
            <v>124</v>
          </cell>
          <cell r="R667">
            <v>122</v>
          </cell>
          <cell r="S667">
            <v>5534</v>
          </cell>
          <cell r="T667">
            <v>297</v>
          </cell>
        </row>
        <row r="668">
          <cell r="C668" t="str">
            <v>Minnehaha CDP, Washington</v>
          </cell>
          <cell r="D668">
            <v>7673</v>
          </cell>
          <cell r="E668">
            <v>6862</v>
          </cell>
          <cell r="F668">
            <v>2648</v>
          </cell>
          <cell r="G668">
            <v>4196</v>
          </cell>
          <cell r="H668">
            <v>176</v>
          </cell>
          <cell r="I668">
            <v>744</v>
          </cell>
          <cell r="J668">
            <v>373</v>
          </cell>
          <cell r="K668">
            <v>2903</v>
          </cell>
          <cell r="L668">
            <v>18</v>
          </cell>
          <cell r="M668">
            <v>0</v>
          </cell>
          <cell r="N668">
            <v>0</v>
          </cell>
          <cell r="O668">
            <v>18</v>
          </cell>
          <cell r="P668">
            <v>811</v>
          </cell>
          <cell r="Q668">
            <v>261</v>
          </cell>
          <cell r="R668">
            <v>550</v>
          </cell>
          <cell r="S668">
            <v>6844</v>
          </cell>
          <cell r="T668">
            <v>829</v>
          </cell>
        </row>
        <row r="669">
          <cell r="C669" t="str">
            <v>Mirrormont CDP, Washington</v>
          </cell>
          <cell r="D669">
            <v>3807</v>
          </cell>
          <cell r="E669">
            <v>3544</v>
          </cell>
          <cell r="F669">
            <v>1681</v>
          </cell>
          <cell r="G669">
            <v>1829</v>
          </cell>
          <cell r="H669">
            <v>295</v>
          </cell>
          <cell r="I669">
            <v>519</v>
          </cell>
          <cell r="J669">
            <v>195</v>
          </cell>
          <cell r="K669">
            <v>820</v>
          </cell>
          <cell r="L669">
            <v>34</v>
          </cell>
          <cell r="M669">
            <v>0</v>
          </cell>
          <cell r="N669">
            <v>5</v>
          </cell>
          <cell r="O669">
            <v>29</v>
          </cell>
          <cell r="P669">
            <v>263</v>
          </cell>
          <cell r="Q669">
            <v>112</v>
          </cell>
          <cell r="R669">
            <v>151</v>
          </cell>
          <cell r="S669">
            <v>3510</v>
          </cell>
          <cell r="T669">
            <v>297</v>
          </cell>
        </row>
        <row r="670">
          <cell r="C670" t="str">
            <v>Moclips CDP, Washington</v>
          </cell>
          <cell r="D670">
            <v>598</v>
          </cell>
          <cell r="E670">
            <v>549</v>
          </cell>
          <cell r="F670">
            <v>349</v>
          </cell>
          <cell r="G670">
            <v>200</v>
          </cell>
          <cell r="H670">
            <v>11</v>
          </cell>
          <cell r="I670">
            <v>42</v>
          </cell>
          <cell r="J670">
            <v>14</v>
          </cell>
          <cell r="K670">
            <v>133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49</v>
          </cell>
          <cell r="Q670">
            <v>7</v>
          </cell>
          <cell r="R670">
            <v>42</v>
          </cell>
          <cell r="S670">
            <v>549</v>
          </cell>
          <cell r="T670">
            <v>49</v>
          </cell>
        </row>
        <row r="671">
          <cell r="C671" t="str">
            <v>Monroe city, Washington</v>
          </cell>
          <cell r="D671">
            <v>13462</v>
          </cell>
          <cell r="E671">
            <v>12242</v>
          </cell>
          <cell r="F671">
            <v>7620</v>
          </cell>
          <cell r="G671">
            <v>4519</v>
          </cell>
          <cell r="H671">
            <v>357</v>
          </cell>
          <cell r="I671">
            <v>1633</v>
          </cell>
          <cell r="J671">
            <v>478</v>
          </cell>
          <cell r="K671">
            <v>2051</v>
          </cell>
          <cell r="L671">
            <v>103</v>
          </cell>
          <cell r="M671">
            <v>11</v>
          </cell>
          <cell r="N671">
            <v>0</v>
          </cell>
          <cell r="O671">
            <v>92</v>
          </cell>
          <cell r="P671">
            <v>1220</v>
          </cell>
          <cell r="Q671">
            <v>391</v>
          </cell>
          <cell r="R671">
            <v>829</v>
          </cell>
          <cell r="S671">
            <v>12139</v>
          </cell>
          <cell r="T671">
            <v>1323</v>
          </cell>
        </row>
        <row r="672">
          <cell r="C672" t="str">
            <v>Montesano city, Washington</v>
          </cell>
          <cell r="D672">
            <v>3384</v>
          </cell>
          <cell r="E672">
            <v>3290</v>
          </cell>
          <cell r="F672">
            <v>2134</v>
          </cell>
          <cell r="G672">
            <v>1113</v>
          </cell>
          <cell r="H672">
            <v>70</v>
          </cell>
          <cell r="I672">
            <v>316</v>
          </cell>
          <cell r="J672">
            <v>114</v>
          </cell>
          <cell r="K672">
            <v>613</v>
          </cell>
          <cell r="L672">
            <v>43</v>
          </cell>
          <cell r="M672">
            <v>0</v>
          </cell>
          <cell r="N672">
            <v>0</v>
          </cell>
          <cell r="O672">
            <v>43</v>
          </cell>
          <cell r="P672">
            <v>94</v>
          </cell>
          <cell r="Q672">
            <v>68</v>
          </cell>
          <cell r="R672">
            <v>26</v>
          </cell>
          <cell r="S672">
            <v>3247</v>
          </cell>
          <cell r="T672">
            <v>137</v>
          </cell>
        </row>
        <row r="673">
          <cell r="C673" t="str">
            <v>Morton city, Washington</v>
          </cell>
          <cell r="D673">
            <v>1059</v>
          </cell>
          <cell r="E673">
            <v>1030</v>
          </cell>
          <cell r="F673">
            <v>604</v>
          </cell>
          <cell r="G673">
            <v>422</v>
          </cell>
          <cell r="H673">
            <v>24</v>
          </cell>
          <cell r="I673">
            <v>123</v>
          </cell>
          <cell r="J673">
            <v>69</v>
          </cell>
          <cell r="K673">
            <v>206</v>
          </cell>
          <cell r="L673">
            <v>4</v>
          </cell>
          <cell r="M673">
            <v>0</v>
          </cell>
          <cell r="N673">
            <v>0</v>
          </cell>
          <cell r="O673">
            <v>4</v>
          </cell>
          <cell r="P673">
            <v>29</v>
          </cell>
          <cell r="Q673">
            <v>26</v>
          </cell>
          <cell r="R673">
            <v>3</v>
          </cell>
          <cell r="S673">
            <v>1026</v>
          </cell>
          <cell r="T673">
            <v>33</v>
          </cell>
        </row>
        <row r="674">
          <cell r="C674" t="str">
            <v>Moses Lake city, Washington</v>
          </cell>
          <cell r="D674">
            <v>14951</v>
          </cell>
          <cell r="E674">
            <v>13450</v>
          </cell>
          <cell r="F674">
            <v>7275</v>
          </cell>
          <cell r="G674">
            <v>6082</v>
          </cell>
          <cell r="H674">
            <v>169</v>
          </cell>
          <cell r="I674">
            <v>1257</v>
          </cell>
          <cell r="J674">
            <v>1488</v>
          </cell>
          <cell r="K674">
            <v>3168</v>
          </cell>
          <cell r="L674">
            <v>93</v>
          </cell>
          <cell r="M674">
            <v>31</v>
          </cell>
          <cell r="N674">
            <v>0</v>
          </cell>
          <cell r="O674">
            <v>62</v>
          </cell>
          <cell r="P674">
            <v>1501</v>
          </cell>
          <cell r="Q674">
            <v>493</v>
          </cell>
          <cell r="R674">
            <v>1008</v>
          </cell>
          <cell r="S674">
            <v>13357</v>
          </cell>
          <cell r="T674">
            <v>1594</v>
          </cell>
        </row>
        <row r="675">
          <cell r="C675" t="str">
            <v>Moses Lake North CDP, Washington</v>
          </cell>
          <cell r="D675">
            <v>4217</v>
          </cell>
          <cell r="E675">
            <v>3726</v>
          </cell>
          <cell r="F675">
            <v>2249</v>
          </cell>
          <cell r="G675">
            <v>1439</v>
          </cell>
          <cell r="H675">
            <v>84</v>
          </cell>
          <cell r="I675">
            <v>312</v>
          </cell>
          <cell r="J675">
            <v>261</v>
          </cell>
          <cell r="K675">
            <v>782</v>
          </cell>
          <cell r="L675">
            <v>38</v>
          </cell>
          <cell r="M675">
            <v>0</v>
          </cell>
          <cell r="N675">
            <v>0</v>
          </cell>
          <cell r="O675">
            <v>38</v>
          </cell>
          <cell r="P675">
            <v>491</v>
          </cell>
          <cell r="Q675">
            <v>82</v>
          </cell>
          <cell r="R675">
            <v>409</v>
          </cell>
          <cell r="S675">
            <v>3688</v>
          </cell>
          <cell r="T675">
            <v>529</v>
          </cell>
        </row>
        <row r="676">
          <cell r="C676" t="str">
            <v>Mossyrock city, Washington</v>
          </cell>
          <cell r="D676">
            <v>463</v>
          </cell>
          <cell r="E676">
            <v>448</v>
          </cell>
          <cell r="F676">
            <v>278</v>
          </cell>
          <cell r="G676">
            <v>169</v>
          </cell>
          <cell r="H676">
            <v>16</v>
          </cell>
          <cell r="I676">
            <v>32</v>
          </cell>
          <cell r="J676">
            <v>20</v>
          </cell>
          <cell r="K676">
            <v>101</v>
          </cell>
          <cell r="L676">
            <v>1</v>
          </cell>
          <cell r="M676">
            <v>0</v>
          </cell>
          <cell r="N676">
            <v>0</v>
          </cell>
          <cell r="O676">
            <v>1</v>
          </cell>
          <cell r="P676">
            <v>15</v>
          </cell>
          <cell r="Q676">
            <v>2</v>
          </cell>
          <cell r="R676">
            <v>13</v>
          </cell>
          <cell r="S676">
            <v>447</v>
          </cell>
          <cell r="T676">
            <v>16</v>
          </cell>
        </row>
        <row r="677">
          <cell r="C677" t="str">
            <v>Mountlake Terrace city, Washington</v>
          </cell>
          <cell r="D677">
            <v>20300</v>
          </cell>
          <cell r="E677">
            <v>16864</v>
          </cell>
          <cell r="F677">
            <v>9800</v>
          </cell>
          <cell r="G677">
            <v>6641</v>
          </cell>
          <cell r="H677">
            <v>639</v>
          </cell>
          <cell r="I677">
            <v>1793</v>
          </cell>
          <cell r="J677">
            <v>963</v>
          </cell>
          <cell r="K677">
            <v>3246</v>
          </cell>
          <cell r="L677">
            <v>423</v>
          </cell>
          <cell r="M677">
            <v>12</v>
          </cell>
          <cell r="N677">
            <v>115</v>
          </cell>
          <cell r="O677">
            <v>296</v>
          </cell>
          <cell r="P677">
            <v>3436</v>
          </cell>
          <cell r="Q677">
            <v>1655</v>
          </cell>
          <cell r="R677">
            <v>1781</v>
          </cell>
          <cell r="S677">
            <v>16441</v>
          </cell>
          <cell r="T677">
            <v>3859</v>
          </cell>
        </row>
        <row r="678">
          <cell r="C678" t="str">
            <v>Mount Vernon city, Washington</v>
          </cell>
          <cell r="D678">
            <v>26297</v>
          </cell>
          <cell r="E678">
            <v>21163</v>
          </cell>
          <cell r="F678">
            <v>12587</v>
          </cell>
          <cell r="G678">
            <v>8266</v>
          </cell>
          <cell r="H678">
            <v>556</v>
          </cell>
          <cell r="I678">
            <v>2297</v>
          </cell>
          <cell r="J678">
            <v>1796</v>
          </cell>
          <cell r="K678">
            <v>3617</v>
          </cell>
          <cell r="L678">
            <v>310</v>
          </cell>
          <cell r="M678">
            <v>0</v>
          </cell>
          <cell r="N678">
            <v>10</v>
          </cell>
          <cell r="O678">
            <v>300</v>
          </cell>
          <cell r="P678">
            <v>5134</v>
          </cell>
          <cell r="Q678">
            <v>1074</v>
          </cell>
          <cell r="R678">
            <v>4060</v>
          </cell>
          <cell r="S678">
            <v>20853</v>
          </cell>
          <cell r="T678">
            <v>5444</v>
          </cell>
        </row>
        <row r="679">
          <cell r="C679" t="str">
            <v>Mount Vista CDP, Washington</v>
          </cell>
          <cell r="D679">
            <v>5800</v>
          </cell>
          <cell r="E679">
            <v>5511</v>
          </cell>
          <cell r="F679">
            <v>1593</v>
          </cell>
          <cell r="G679">
            <v>3869</v>
          </cell>
          <cell r="H679">
            <v>237</v>
          </cell>
          <cell r="I679">
            <v>807</v>
          </cell>
          <cell r="J679">
            <v>521</v>
          </cell>
          <cell r="K679">
            <v>2304</v>
          </cell>
          <cell r="L679">
            <v>49</v>
          </cell>
          <cell r="M679">
            <v>0</v>
          </cell>
          <cell r="N679">
            <v>8</v>
          </cell>
          <cell r="O679">
            <v>41</v>
          </cell>
          <cell r="P679">
            <v>289</v>
          </cell>
          <cell r="Q679">
            <v>154</v>
          </cell>
          <cell r="R679">
            <v>135</v>
          </cell>
          <cell r="S679">
            <v>5462</v>
          </cell>
          <cell r="T679">
            <v>338</v>
          </cell>
        </row>
        <row r="680">
          <cell r="C680" t="str">
            <v>Moxee city, Washington</v>
          </cell>
          <cell r="D680">
            <v>762</v>
          </cell>
          <cell r="E680">
            <v>620</v>
          </cell>
          <cell r="F680">
            <v>418</v>
          </cell>
          <cell r="G680">
            <v>199</v>
          </cell>
          <cell r="H680">
            <v>5</v>
          </cell>
          <cell r="I680">
            <v>45</v>
          </cell>
          <cell r="J680">
            <v>31</v>
          </cell>
          <cell r="K680">
            <v>118</v>
          </cell>
          <cell r="L680">
            <v>3</v>
          </cell>
          <cell r="M680">
            <v>0</v>
          </cell>
          <cell r="N680">
            <v>0</v>
          </cell>
          <cell r="O680">
            <v>3</v>
          </cell>
          <cell r="P680">
            <v>142</v>
          </cell>
          <cell r="Q680">
            <v>66</v>
          </cell>
          <cell r="R680">
            <v>76</v>
          </cell>
          <cell r="S680">
            <v>617</v>
          </cell>
          <cell r="T680">
            <v>145</v>
          </cell>
        </row>
        <row r="681">
          <cell r="C681" t="str">
            <v>Mukilteo city, Washington</v>
          </cell>
          <cell r="D681">
            <v>18042</v>
          </cell>
          <cell r="E681">
            <v>15565</v>
          </cell>
          <cell r="F681">
            <v>8190</v>
          </cell>
          <cell r="G681">
            <v>7189</v>
          </cell>
          <cell r="H681">
            <v>866</v>
          </cell>
          <cell r="I681">
            <v>1896</v>
          </cell>
          <cell r="J681">
            <v>1142</v>
          </cell>
          <cell r="K681">
            <v>3285</v>
          </cell>
          <cell r="L681">
            <v>186</v>
          </cell>
          <cell r="M681">
            <v>0</v>
          </cell>
          <cell r="N681">
            <v>0</v>
          </cell>
          <cell r="O681">
            <v>186</v>
          </cell>
          <cell r="P681">
            <v>2477</v>
          </cell>
          <cell r="Q681">
            <v>1403</v>
          </cell>
          <cell r="R681">
            <v>1074</v>
          </cell>
          <cell r="S681">
            <v>15379</v>
          </cell>
          <cell r="T681">
            <v>2663</v>
          </cell>
        </row>
        <row r="682">
          <cell r="C682" t="str">
            <v>Naches town, Washington</v>
          </cell>
          <cell r="D682">
            <v>663</v>
          </cell>
          <cell r="E682">
            <v>626</v>
          </cell>
          <cell r="F682">
            <v>423</v>
          </cell>
          <cell r="G682">
            <v>203</v>
          </cell>
          <cell r="H682">
            <v>26</v>
          </cell>
          <cell r="I682">
            <v>26</v>
          </cell>
          <cell r="J682">
            <v>38</v>
          </cell>
          <cell r="K682">
            <v>113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37</v>
          </cell>
          <cell r="Q682">
            <v>8</v>
          </cell>
          <cell r="R682">
            <v>29</v>
          </cell>
          <cell r="S682">
            <v>626</v>
          </cell>
          <cell r="T682">
            <v>37</v>
          </cell>
        </row>
        <row r="683">
          <cell r="C683" t="str">
            <v>Napavine city, Washington</v>
          </cell>
          <cell r="D683">
            <v>1319</v>
          </cell>
          <cell r="E683">
            <v>1235</v>
          </cell>
          <cell r="F683">
            <v>828</v>
          </cell>
          <cell r="G683">
            <v>404</v>
          </cell>
          <cell r="H683">
            <v>31</v>
          </cell>
          <cell r="I683">
            <v>131</v>
          </cell>
          <cell r="J683">
            <v>40</v>
          </cell>
          <cell r="K683">
            <v>202</v>
          </cell>
          <cell r="L683">
            <v>3</v>
          </cell>
          <cell r="M683">
            <v>0</v>
          </cell>
          <cell r="N683">
            <v>0</v>
          </cell>
          <cell r="O683">
            <v>3</v>
          </cell>
          <cell r="P683">
            <v>84</v>
          </cell>
          <cell r="Q683">
            <v>25</v>
          </cell>
          <cell r="R683">
            <v>59</v>
          </cell>
          <cell r="S683">
            <v>1232</v>
          </cell>
          <cell r="T683">
            <v>87</v>
          </cell>
        </row>
        <row r="684">
          <cell r="C684" t="str">
            <v>Naselle CDP, Washington</v>
          </cell>
          <cell r="D684">
            <v>361</v>
          </cell>
          <cell r="E684">
            <v>346</v>
          </cell>
          <cell r="F684">
            <v>188</v>
          </cell>
          <cell r="G684">
            <v>152</v>
          </cell>
          <cell r="H684">
            <v>2</v>
          </cell>
          <cell r="I684">
            <v>33</v>
          </cell>
          <cell r="J684">
            <v>21</v>
          </cell>
          <cell r="K684">
            <v>96</v>
          </cell>
          <cell r="L684">
            <v>6</v>
          </cell>
          <cell r="M684">
            <v>3</v>
          </cell>
          <cell r="N684">
            <v>0</v>
          </cell>
          <cell r="O684">
            <v>3</v>
          </cell>
          <cell r="P684">
            <v>15</v>
          </cell>
          <cell r="Q684">
            <v>10</v>
          </cell>
          <cell r="R684">
            <v>5</v>
          </cell>
          <cell r="S684">
            <v>340</v>
          </cell>
          <cell r="T684">
            <v>21</v>
          </cell>
        </row>
        <row r="685">
          <cell r="C685" t="str">
            <v>Navy Yard City CDP, Washington</v>
          </cell>
          <cell r="D685">
            <v>2685</v>
          </cell>
          <cell r="E685">
            <v>2436</v>
          </cell>
          <cell r="F685">
            <v>1022</v>
          </cell>
          <cell r="G685">
            <v>1384</v>
          </cell>
          <cell r="H685">
            <v>148</v>
          </cell>
          <cell r="I685">
            <v>384</v>
          </cell>
          <cell r="J685">
            <v>334</v>
          </cell>
          <cell r="K685">
            <v>518</v>
          </cell>
          <cell r="L685">
            <v>30</v>
          </cell>
          <cell r="M685">
            <v>7</v>
          </cell>
          <cell r="N685">
            <v>0</v>
          </cell>
          <cell r="O685">
            <v>23</v>
          </cell>
          <cell r="P685">
            <v>249</v>
          </cell>
          <cell r="Q685">
            <v>141</v>
          </cell>
          <cell r="R685">
            <v>108</v>
          </cell>
          <cell r="S685">
            <v>2406</v>
          </cell>
          <cell r="T685">
            <v>279</v>
          </cell>
        </row>
        <row r="686">
          <cell r="C686" t="str">
            <v>Neah Bay CDP, Washington</v>
          </cell>
          <cell r="D686">
            <v>780</v>
          </cell>
          <cell r="E686">
            <v>774</v>
          </cell>
          <cell r="F686">
            <v>646</v>
          </cell>
          <cell r="G686">
            <v>121</v>
          </cell>
          <cell r="H686">
            <v>4</v>
          </cell>
          <cell r="I686">
            <v>38</v>
          </cell>
          <cell r="J686">
            <v>24</v>
          </cell>
          <cell r="K686">
            <v>55</v>
          </cell>
          <cell r="L686">
            <v>7</v>
          </cell>
          <cell r="M686">
            <v>0</v>
          </cell>
          <cell r="N686">
            <v>0</v>
          </cell>
          <cell r="O686">
            <v>7</v>
          </cell>
          <cell r="P686">
            <v>6</v>
          </cell>
          <cell r="Q686">
            <v>0</v>
          </cell>
          <cell r="R686">
            <v>6</v>
          </cell>
          <cell r="S686">
            <v>767</v>
          </cell>
          <cell r="T686">
            <v>13</v>
          </cell>
        </row>
        <row r="687">
          <cell r="C687" t="str">
            <v>Neilton CDP, Washington</v>
          </cell>
          <cell r="D687">
            <v>344</v>
          </cell>
          <cell r="E687">
            <v>334</v>
          </cell>
          <cell r="F687">
            <v>245</v>
          </cell>
          <cell r="G687">
            <v>89</v>
          </cell>
          <cell r="H687">
            <v>4</v>
          </cell>
          <cell r="I687">
            <v>20</v>
          </cell>
          <cell r="J687">
            <v>12</v>
          </cell>
          <cell r="K687">
            <v>53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10</v>
          </cell>
          <cell r="Q687">
            <v>7</v>
          </cell>
          <cell r="R687">
            <v>3</v>
          </cell>
          <cell r="S687">
            <v>334</v>
          </cell>
          <cell r="T687">
            <v>10</v>
          </cell>
        </row>
        <row r="688">
          <cell r="C688" t="str">
            <v>Nespelem town, Washington</v>
          </cell>
          <cell r="D688">
            <v>165</v>
          </cell>
          <cell r="E688">
            <v>163</v>
          </cell>
          <cell r="F688">
            <v>134</v>
          </cell>
          <cell r="G688">
            <v>29</v>
          </cell>
          <cell r="H688">
            <v>4</v>
          </cell>
          <cell r="I688">
            <v>8</v>
          </cell>
          <cell r="J688">
            <v>0</v>
          </cell>
          <cell r="K688">
            <v>17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</v>
          </cell>
          <cell r="Q688">
            <v>0</v>
          </cell>
          <cell r="R688">
            <v>2</v>
          </cell>
          <cell r="S688">
            <v>163</v>
          </cell>
          <cell r="T688">
            <v>2</v>
          </cell>
        </row>
        <row r="689">
          <cell r="C689" t="str">
            <v>Nespelem Community CDP, Washington</v>
          </cell>
          <cell r="D689">
            <v>269</v>
          </cell>
          <cell r="E689">
            <v>266</v>
          </cell>
          <cell r="F689">
            <v>234</v>
          </cell>
          <cell r="G689">
            <v>32</v>
          </cell>
          <cell r="H689">
            <v>3</v>
          </cell>
          <cell r="I689">
            <v>4</v>
          </cell>
          <cell r="J689">
            <v>1</v>
          </cell>
          <cell r="K689">
            <v>24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3</v>
          </cell>
          <cell r="Q689">
            <v>1</v>
          </cell>
          <cell r="R689">
            <v>2</v>
          </cell>
          <cell r="S689">
            <v>266</v>
          </cell>
          <cell r="T689">
            <v>3</v>
          </cell>
        </row>
        <row r="690">
          <cell r="C690" t="str">
            <v>Newcastle city, Washington</v>
          </cell>
          <cell r="D690">
            <v>8038</v>
          </cell>
          <cell r="E690">
            <v>6335</v>
          </cell>
          <cell r="F690">
            <v>3184</v>
          </cell>
          <cell r="G690">
            <v>3007</v>
          </cell>
          <cell r="H690">
            <v>401</v>
          </cell>
          <cell r="I690">
            <v>1085</v>
          </cell>
          <cell r="J690">
            <v>431</v>
          </cell>
          <cell r="K690">
            <v>1090</v>
          </cell>
          <cell r="L690">
            <v>144</v>
          </cell>
          <cell r="M690">
            <v>0</v>
          </cell>
          <cell r="N690">
            <v>6</v>
          </cell>
          <cell r="O690">
            <v>138</v>
          </cell>
          <cell r="P690">
            <v>1703</v>
          </cell>
          <cell r="Q690">
            <v>830</v>
          </cell>
          <cell r="R690">
            <v>873</v>
          </cell>
          <cell r="S690">
            <v>6191</v>
          </cell>
          <cell r="T690">
            <v>1847</v>
          </cell>
        </row>
        <row r="691">
          <cell r="C691" t="str">
            <v>Newport city, Washington</v>
          </cell>
          <cell r="D691">
            <v>1888</v>
          </cell>
          <cell r="E691">
            <v>1849</v>
          </cell>
          <cell r="F691">
            <v>902</v>
          </cell>
          <cell r="G691">
            <v>946</v>
          </cell>
          <cell r="H691">
            <v>45</v>
          </cell>
          <cell r="I691">
            <v>210</v>
          </cell>
          <cell r="J691">
            <v>132</v>
          </cell>
          <cell r="K691">
            <v>559</v>
          </cell>
          <cell r="L691">
            <v>1</v>
          </cell>
          <cell r="M691">
            <v>0</v>
          </cell>
          <cell r="N691">
            <v>0</v>
          </cell>
          <cell r="O691">
            <v>1</v>
          </cell>
          <cell r="P691">
            <v>39</v>
          </cell>
          <cell r="Q691">
            <v>16</v>
          </cell>
          <cell r="R691">
            <v>23</v>
          </cell>
          <cell r="S691">
            <v>1848</v>
          </cell>
          <cell r="T691">
            <v>40</v>
          </cell>
        </row>
        <row r="692">
          <cell r="C692" t="str">
            <v>Nisqually Indian Community CDP, Washington</v>
          </cell>
          <cell r="D692">
            <v>591</v>
          </cell>
          <cell r="E692">
            <v>562</v>
          </cell>
          <cell r="F692">
            <v>418</v>
          </cell>
          <cell r="G692">
            <v>132</v>
          </cell>
          <cell r="H692">
            <v>14</v>
          </cell>
          <cell r="I692">
            <v>17</v>
          </cell>
          <cell r="J692">
            <v>21</v>
          </cell>
          <cell r="K692">
            <v>80</v>
          </cell>
          <cell r="L692">
            <v>12</v>
          </cell>
          <cell r="M692">
            <v>0</v>
          </cell>
          <cell r="N692">
            <v>4</v>
          </cell>
          <cell r="O692">
            <v>8</v>
          </cell>
          <cell r="P692">
            <v>29</v>
          </cell>
          <cell r="Q692">
            <v>17</v>
          </cell>
          <cell r="R692">
            <v>12</v>
          </cell>
          <cell r="S692">
            <v>550</v>
          </cell>
          <cell r="T692">
            <v>41</v>
          </cell>
        </row>
        <row r="693">
          <cell r="C693" t="str">
            <v>Nooksack city, Washington</v>
          </cell>
          <cell r="D693">
            <v>841</v>
          </cell>
          <cell r="E693">
            <v>763</v>
          </cell>
          <cell r="F693">
            <v>505</v>
          </cell>
          <cell r="G693">
            <v>228</v>
          </cell>
          <cell r="H693">
            <v>8</v>
          </cell>
          <cell r="I693">
            <v>41</v>
          </cell>
          <cell r="J693">
            <v>52</v>
          </cell>
          <cell r="K693">
            <v>127</v>
          </cell>
          <cell r="L693">
            <v>30</v>
          </cell>
          <cell r="M693">
            <v>0</v>
          </cell>
          <cell r="N693">
            <v>0</v>
          </cell>
          <cell r="O693">
            <v>30</v>
          </cell>
          <cell r="P693">
            <v>78</v>
          </cell>
          <cell r="Q693">
            <v>19</v>
          </cell>
          <cell r="R693">
            <v>59</v>
          </cell>
          <cell r="S693">
            <v>733</v>
          </cell>
          <cell r="T693">
            <v>108</v>
          </cell>
        </row>
        <row r="694">
          <cell r="C694" t="str">
            <v>Normandy Park city, Washington</v>
          </cell>
          <cell r="D694">
            <v>6403</v>
          </cell>
          <cell r="E694">
            <v>5716</v>
          </cell>
          <cell r="F694">
            <v>2869</v>
          </cell>
          <cell r="G694">
            <v>2764</v>
          </cell>
          <cell r="H694">
            <v>279</v>
          </cell>
          <cell r="I694">
            <v>980</v>
          </cell>
          <cell r="J694">
            <v>283</v>
          </cell>
          <cell r="K694">
            <v>1222</v>
          </cell>
          <cell r="L694">
            <v>83</v>
          </cell>
          <cell r="M694">
            <v>0</v>
          </cell>
          <cell r="N694">
            <v>10</v>
          </cell>
          <cell r="O694">
            <v>73</v>
          </cell>
          <cell r="P694">
            <v>687</v>
          </cell>
          <cell r="Q694">
            <v>416</v>
          </cell>
          <cell r="R694">
            <v>271</v>
          </cell>
          <cell r="S694">
            <v>5633</v>
          </cell>
          <cell r="T694">
            <v>770</v>
          </cell>
        </row>
        <row r="695">
          <cell r="C695" t="str">
            <v>North Bend city, Washington</v>
          </cell>
          <cell r="D695">
            <v>4893</v>
          </cell>
          <cell r="E695">
            <v>4596</v>
          </cell>
          <cell r="F695">
            <v>2013</v>
          </cell>
          <cell r="G695">
            <v>2501</v>
          </cell>
          <cell r="H695">
            <v>252</v>
          </cell>
          <cell r="I695">
            <v>788</v>
          </cell>
          <cell r="J695">
            <v>366</v>
          </cell>
          <cell r="K695">
            <v>1095</v>
          </cell>
          <cell r="L695">
            <v>82</v>
          </cell>
          <cell r="M695">
            <v>0</v>
          </cell>
          <cell r="N695">
            <v>0</v>
          </cell>
          <cell r="O695">
            <v>82</v>
          </cell>
          <cell r="P695">
            <v>297</v>
          </cell>
          <cell r="Q695">
            <v>89</v>
          </cell>
          <cell r="R695">
            <v>208</v>
          </cell>
          <cell r="S695">
            <v>4514</v>
          </cell>
          <cell r="T695">
            <v>379</v>
          </cell>
        </row>
        <row r="696">
          <cell r="C696" t="str">
            <v>North Bonneville city, Washington</v>
          </cell>
          <cell r="D696">
            <v>659</v>
          </cell>
          <cell r="E696">
            <v>632</v>
          </cell>
          <cell r="F696">
            <v>222</v>
          </cell>
          <cell r="G696">
            <v>407</v>
          </cell>
          <cell r="H696">
            <v>7</v>
          </cell>
          <cell r="I696">
            <v>93</v>
          </cell>
          <cell r="J696">
            <v>28</v>
          </cell>
          <cell r="K696">
            <v>279</v>
          </cell>
          <cell r="L696">
            <v>3</v>
          </cell>
          <cell r="M696">
            <v>0</v>
          </cell>
          <cell r="N696">
            <v>0</v>
          </cell>
          <cell r="O696">
            <v>3</v>
          </cell>
          <cell r="P696">
            <v>27</v>
          </cell>
          <cell r="Q696">
            <v>10</v>
          </cell>
          <cell r="R696">
            <v>17</v>
          </cell>
          <cell r="S696">
            <v>629</v>
          </cell>
          <cell r="T696">
            <v>30</v>
          </cell>
        </row>
        <row r="697">
          <cell r="C697" t="str">
            <v>North Creek CDP, Washington</v>
          </cell>
          <cell r="D697">
            <v>25979</v>
          </cell>
          <cell r="E697">
            <v>23832</v>
          </cell>
          <cell r="F697">
            <v>13840</v>
          </cell>
          <cell r="G697">
            <v>9715</v>
          </cell>
          <cell r="H697">
            <v>1060</v>
          </cell>
          <cell r="I697">
            <v>2428</v>
          </cell>
          <cell r="J697">
            <v>1111</v>
          </cell>
          <cell r="K697">
            <v>5116</v>
          </cell>
          <cell r="L697">
            <v>277</v>
          </cell>
          <cell r="M697">
            <v>9</v>
          </cell>
          <cell r="N697">
            <v>21</v>
          </cell>
          <cell r="O697">
            <v>247</v>
          </cell>
          <cell r="P697">
            <v>2147</v>
          </cell>
          <cell r="Q697">
            <v>1055</v>
          </cell>
          <cell r="R697">
            <v>1092</v>
          </cell>
          <cell r="S697">
            <v>23555</v>
          </cell>
          <cell r="T697">
            <v>2424</v>
          </cell>
        </row>
        <row r="698">
          <cell r="C698" t="str">
            <v>North Marysville CDP, Washington</v>
          </cell>
          <cell r="D698">
            <v>21319</v>
          </cell>
          <cell r="E698">
            <v>20087</v>
          </cell>
          <cell r="F698">
            <v>12146</v>
          </cell>
          <cell r="G698">
            <v>7699</v>
          </cell>
          <cell r="H698">
            <v>579</v>
          </cell>
          <cell r="I698">
            <v>2106</v>
          </cell>
          <cell r="J698">
            <v>1072</v>
          </cell>
          <cell r="K698">
            <v>3942</v>
          </cell>
          <cell r="L698">
            <v>242</v>
          </cell>
          <cell r="M698">
            <v>21</v>
          </cell>
          <cell r="N698">
            <v>16</v>
          </cell>
          <cell r="O698">
            <v>205</v>
          </cell>
          <cell r="P698">
            <v>1232</v>
          </cell>
          <cell r="Q698">
            <v>649</v>
          </cell>
          <cell r="R698">
            <v>583</v>
          </cell>
          <cell r="S698">
            <v>19845</v>
          </cell>
          <cell r="T698">
            <v>1474</v>
          </cell>
        </row>
        <row r="699">
          <cell r="C699" t="str">
            <v>North Omak CDP, Washington</v>
          </cell>
          <cell r="D699">
            <v>795</v>
          </cell>
          <cell r="E699">
            <v>702</v>
          </cell>
          <cell r="F699">
            <v>638</v>
          </cell>
          <cell r="G699">
            <v>64</v>
          </cell>
          <cell r="H699">
            <v>16</v>
          </cell>
          <cell r="I699">
            <v>4</v>
          </cell>
          <cell r="J699">
            <v>9</v>
          </cell>
          <cell r="K699">
            <v>35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93</v>
          </cell>
          <cell r="Q699">
            <v>26</v>
          </cell>
          <cell r="R699">
            <v>67</v>
          </cell>
          <cell r="S699">
            <v>702</v>
          </cell>
          <cell r="T699">
            <v>93</v>
          </cell>
        </row>
        <row r="700">
          <cell r="C700" t="str">
            <v>Northport town, Washington</v>
          </cell>
          <cell r="D700">
            <v>343</v>
          </cell>
          <cell r="E700">
            <v>330</v>
          </cell>
          <cell r="F700">
            <v>169</v>
          </cell>
          <cell r="G700">
            <v>158</v>
          </cell>
          <cell r="H700">
            <v>6</v>
          </cell>
          <cell r="I700">
            <v>43</v>
          </cell>
          <cell r="J700">
            <v>13</v>
          </cell>
          <cell r="K700">
            <v>96</v>
          </cell>
          <cell r="L700">
            <v>3</v>
          </cell>
          <cell r="M700">
            <v>0</v>
          </cell>
          <cell r="N700">
            <v>0</v>
          </cell>
          <cell r="O700">
            <v>3</v>
          </cell>
          <cell r="P700">
            <v>13</v>
          </cell>
          <cell r="Q700">
            <v>4</v>
          </cell>
          <cell r="R700">
            <v>9</v>
          </cell>
          <cell r="S700">
            <v>327</v>
          </cell>
          <cell r="T700">
            <v>16</v>
          </cell>
        </row>
        <row r="701">
          <cell r="C701" t="str">
            <v>North Stanwood CDP, Washington</v>
          </cell>
          <cell r="D701">
            <v>426</v>
          </cell>
          <cell r="E701">
            <v>418</v>
          </cell>
          <cell r="F701">
            <v>250</v>
          </cell>
          <cell r="G701">
            <v>168</v>
          </cell>
          <cell r="H701">
            <v>16</v>
          </cell>
          <cell r="I701">
            <v>44</v>
          </cell>
          <cell r="J701">
            <v>15</v>
          </cell>
          <cell r="K701">
            <v>93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8</v>
          </cell>
          <cell r="Q701">
            <v>8</v>
          </cell>
          <cell r="R701">
            <v>0</v>
          </cell>
          <cell r="S701">
            <v>418</v>
          </cell>
          <cell r="T701">
            <v>8</v>
          </cell>
        </row>
        <row r="702">
          <cell r="C702" t="str">
            <v>North Sultan CDP, Washington</v>
          </cell>
          <cell r="D702">
            <v>391</v>
          </cell>
          <cell r="E702">
            <v>391</v>
          </cell>
          <cell r="F702">
            <v>212</v>
          </cell>
          <cell r="G702">
            <v>179</v>
          </cell>
          <cell r="H702">
            <v>12</v>
          </cell>
          <cell r="I702">
            <v>38</v>
          </cell>
          <cell r="J702">
            <v>18</v>
          </cell>
          <cell r="K702">
            <v>111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391</v>
          </cell>
          <cell r="T702">
            <v>0</v>
          </cell>
        </row>
        <row r="703">
          <cell r="C703" t="str">
            <v>Northwest Snohomish CDP, Washington</v>
          </cell>
          <cell r="D703">
            <v>2128</v>
          </cell>
          <cell r="E703">
            <v>2073</v>
          </cell>
          <cell r="F703">
            <v>1308</v>
          </cell>
          <cell r="G703">
            <v>752</v>
          </cell>
          <cell r="H703">
            <v>48</v>
          </cell>
          <cell r="I703">
            <v>254</v>
          </cell>
          <cell r="J703">
            <v>27</v>
          </cell>
          <cell r="K703">
            <v>423</v>
          </cell>
          <cell r="L703">
            <v>13</v>
          </cell>
          <cell r="M703">
            <v>7</v>
          </cell>
          <cell r="N703">
            <v>0</v>
          </cell>
          <cell r="O703">
            <v>6</v>
          </cell>
          <cell r="P703">
            <v>55</v>
          </cell>
          <cell r="Q703">
            <v>37</v>
          </cell>
          <cell r="R703">
            <v>18</v>
          </cell>
          <cell r="S703">
            <v>2060</v>
          </cell>
          <cell r="T703">
            <v>68</v>
          </cell>
        </row>
        <row r="704">
          <cell r="C704" t="str">
            <v>North Yelm CDP, Washington</v>
          </cell>
          <cell r="D704">
            <v>2855</v>
          </cell>
          <cell r="E704">
            <v>2711</v>
          </cell>
          <cell r="F704">
            <v>1221</v>
          </cell>
          <cell r="G704">
            <v>1398</v>
          </cell>
          <cell r="H704">
            <v>141</v>
          </cell>
          <cell r="I704">
            <v>283</v>
          </cell>
          <cell r="J704">
            <v>343</v>
          </cell>
          <cell r="K704">
            <v>631</v>
          </cell>
          <cell r="L704">
            <v>92</v>
          </cell>
          <cell r="M704">
            <v>0</v>
          </cell>
          <cell r="N704">
            <v>60</v>
          </cell>
          <cell r="O704">
            <v>32</v>
          </cell>
          <cell r="P704">
            <v>144</v>
          </cell>
          <cell r="Q704">
            <v>98</v>
          </cell>
          <cell r="R704">
            <v>46</v>
          </cell>
          <cell r="S704">
            <v>2619</v>
          </cell>
          <cell r="T704">
            <v>236</v>
          </cell>
        </row>
        <row r="705">
          <cell r="C705" t="str">
            <v>Oakesdale town, Washington</v>
          </cell>
          <cell r="D705">
            <v>418</v>
          </cell>
          <cell r="E705">
            <v>418</v>
          </cell>
          <cell r="F705">
            <v>267</v>
          </cell>
          <cell r="G705">
            <v>151</v>
          </cell>
          <cell r="H705">
            <v>7</v>
          </cell>
          <cell r="I705">
            <v>29</v>
          </cell>
          <cell r="J705">
            <v>30</v>
          </cell>
          <cell r="K705">
            <v>85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418</v>
          </cell>
          <cell r="T705">
            <v>0</v>
          </cell>
        </row>
        <row r="706">
          <cell r="C706" t="str">
            <v>Oak Harbor city, Washington</v>
          </cell>
          <cell r="D706">
            <v>19905</v>
          </cell>
          <cell r="E706">
            <v>17953</v>
          </cell>
          <cell r="F706">
            <v>4745</v>
          </cell>
          <cell r="G706">
            <v>12371</v>
          </cell>
          <cell r="H706">
            <v>1515</v>
          </cell>
          <cell r="I706">
            <v>2599</v>
          </cell>
          <cell r="J706">
            <v>3212</v>
          </cell>
          <cell r="K706">
            <v>5045</v>
          </cell>
          <cell r="L706">
            <v>837</v>
          </cell>
          <cell r="M706">
            <v>44</v>
          </cell>
          <cell r="N706">
            <v>162</v>
          </cell>
          <cell r="O706">
            <v>631</v>
          </cell>
          <cell r="P706">
            <v>1952</v>
          </cell>
          <cell r="Q706">
            <v>1122</v>
          </cell>
          <cell r="R706">
            <v>830</v>
          </cell>
          <cell r="S706">
            <v>17116</v>
          </cell>
          <cell r="T706">
            <v>2789</v>
          </cell>
        </row>
        <row r="707">
          <cell r="C707" t="str">
            <v>Oakville city, Washington</v>
          </cell>
          <cell r="D707">
            <v>640</v>
          </cell>
          <cell r="E707">
            <v>627</v>
          </cell>
          <cell r="F707">
            <v>389</v>
          </cell>
          <cell r="G707">
            <v>227</v>
          </cell>
          <cell r="H707">
            <v>6</v>
          </cell>
          <cell r="I707">
            <v>65</v>
          </cell>
          <cell r="J707">
            <v>36</v>
          </cell>
          <cell r="K707">
            <v>120</v>
          </cell>
          <cell r="L707">
            <v>11</v>
          </cell>
          <cell r="M707">
            <v>0</v>
          </cell>
          <cell r="N707">
            <v>2</v>
          </cell>
          <cell r="O707">
            <v>9</v>
          </cell>
          <cell r="P707">
            <v>13</v>
          </cell>
          <cell r="Q707">
            <v>9</v>
          </cell>
          <cell r="R707">
            <v>4</v>
          </cell>
          <cell r="S707">
            <v>616</v>
          </cell>
          <cell r="T707">
            <v>24</v>
          </cell>
        </row>
        <row r="708">
          <cell r="C708" t="str">
            <v>Ocean City CDP, Washington</v>
          </cell>
          <cell r="D708">
            <v>179</v>
          </cell>
          <cell r="E708">
            <v>179</v>
          </cell>
          <cell r="F708">
            <v>109</v>
          </cell>
          <cell r="G708">
            <v>70</v>
          </cell>
          <cell r="H708">
            <v>23</v>
          </cell>
          <cell r="I708">
            <v>20</v>
          </cell>
          <cell r="J708">
            <v>0</v>
          </cell>
          <cell r="K708">
            <v>27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179</v>
          </cell>
          <cell r="T708">
            <v>0</v>
          </cell>
        </row>
        <row r="709">
          <cell r="C709" t="str">
            <v>Ocean Park CDP, Washington</v>
          </cell>
          <cell r="D709">
            <v>1405</v>
          </cell>
          <cell r="E709">
            <v>1354</v>
          </cell>
          <cell r="F709">
            <v>404</v>
          </cell>
          <cell r="G709">
            <v>950</v>
          </cell>
          <cell r="H709">
            <v>59</v>
          </cell>
          <cell r="I709">
            <v>270</v>
          </cell>
          <cell r="J709">
            <v>86</v>
          </cell>
          <cell r="K709">
            <v>535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51</v>
          </cell>
          <cell r="Q709">
            <v>24</v>
          </cell>
          <cell r="R709">
            <v>27</v>
          </cell>
          <cell r="S709">
            <v>1354</v>
          </cell>
          <cell r="T709">
            <v>51</v>
          </cell>
        </row>
        <row r="710">
          <cell r="C710" t="str">
            <v>Ocean Shores city, Washington</v>
          </cell>
          <cell r="D710">
            <v>3795</v>
          </cell>
          <cell r="E710">
            <v>3631</v>
          </cell>
          <cell r="F710">
            <v>1850</v>
          </cell>
          <cell r="G710">
            <v>1764</v>
          </cell>
          <cell r="H710">
            <v>105</v>
          </cell>
          <cell r="I710">
            <v>578</v>
          </cell>
          <cell r="J710">
            <v>134</v>
          </cell>
          <cell r="K710">
            <v>947</v>
          </cell>
          <cell r="L710">
            <v>17</v>
          </cell>
          <cell r="M710">
            <v>6</v>
          </cell>
          <cell r="N710">
            <v>0</v>
          </cell>
          <cell r="O710">
            <v>11</v>
          </cell>
          <cell r="P710">
            <v>164</v>
          </cell>
          <cell r="Q710">
            <v>101</v>
          </cell>
          <cell r="R710">
            <v>63</v>
          </cell>
          <cell r="S710">
            <v>3614</v>
          </cell>
          <cell r="T710">
            <v>181</v>
          </cell>
        </row>
        <row r="711">
          <cell r="C711" t="str">
            <v>Odessa town, Washington</v>
          </cell>
          <cell r="D711">
            <v>969</v>
          </cell>
          <cell r="E711">
            <v>961</v>
          </cell>
          <cell r="F711">
            <v>671</v>
          </cell>
          <cell r="G711">
            <v>283</v>
          </cell>
          <cell r="H711">
            <v>15</v>
          </cell>
          <cell r="I711">
            <v>60</v>
          </cell>
          <cell r="J711">
            <v>33</v>
          </cell>
          <cell r="K711">
            <v>175</v>
          </cell>
          <cell r="L711">
            <v>7</v>
          </cell>
          <cell r="M711">
            <v>0</v>
          </cell>
          <cell r="N711">
            <v>0</v>
          </cell>
          <cell r="O711">
            <v>7</v>
          </cell>
          <cell r="P711">
            <v>8</v>
          </cell>
          <cell r="Q711">
            <v>5</v>
          </cell>
          <cell r="R711">
            <v>3</v>
          </cell>
          <cell r="S711">
            <v>954</v>
          </cell>
          <cell r="T711">
            <v>15</v>
          </cell>
        </row>
        <row r="712">
          <cell r="C712" t="str">
            <v>Okanogan city, Washington</v>
          </cell>
          <cell r="D712">
            <v>2498</v>
          </cell>
          <cell r="E712">
            <v>2364</v>
          </cell>
          <cell r="F712">
            <v>1571</v>
          </cell>
          <cell r="G712">
            <v>780</v>
          </cell>
          <cell r="H712">
            <v>48</v>
          </cell>
          <cell r="I712">
            <v>192</v>
          </cell>
          <cell r="J712">
            <v>130</v>
          </cell>
          <cell r="K712">
            <v>410</v>
          </cell>
          <cell r="L712">
            <v>13</v>
          </cell>
          <cell r="M712">
            <v>0</v>
          </cell>
          <cell r="N712">
            <v>0</v>
          </cell>
          <cell r="O712">
            <v>13</v>
          </cell>
          <cell r="P712">
            <v>134</v>
          </cell>
          <cell r="Q712">
            <v>39</v>
          </cell>
          <cell r="R712">
            <v>95</v>
          </cell>
          <cell r="S712">
            <v>2351</v>
          </cell>
          <cell r="T712">
            <v>147</v>
          </cell>
        </row>
        <row r="713">
          <cell r="C713" t="str">
            <v>Olympia city, Washington</v>
          </cell>
          <cell r="D713">
            <v>42345</v>
          </cell>
          <cell r="E713">
            <v>39558</v>
          </cell>
          <cell r="F713">
            <v>19170</v>
          </cell>
          <cell r="G713">
            <v>19517</v>
          </cell>
          <cell r="H713">
            <v>2652</v>
          </cell>
          <cell r="I713">
            <v>5309</v>
          </cell>
          <cell r="J713">
            <v>2890</v>
          </cell>
          <cell r="K713">
            <v>8666</v>
          </cell>
          <cell r="L713">
            <v>871</v>
          </cell>
          <cell r="M713">
            <v>42</v>
          </cell>
          <cell r="N713">
            <v>78</v>
          </cell>
          <cell r="O713">
            <v>751</v>
          </cell>
          <cell r="P713">
            <v>2787</v>
          </cell>
          <cell r="Q713">
            <v>1602</v>
          </cell>
          <cell r="R713">
            <v>1185</v>
          </cell>
          <cell r="S713">
            <v>38687</v>
          </cell>
          <cell r="T713">
            <v>3658</v>
          </cell>
        </row>
        <row r="714">
          <cell r="C714" t="str">
            <v>Omak city, Washington</v>
          </cell>
          <cell r="D714">
            <v>4600</v>
          </cell>
          <cell r="E714">
            <v>4226</v>
          </cell>
          <cell r="F714">
            <v>2678</v>
          </cell>
          <cell r="G714">
            <v>1520</v>
          </cell>
          <cell r="H714">
            <v>28</v>
          </cell>
          <cell r="I714">
            <v>481</v>
          </cell>
          <cell r="J714">
            <v>289</v>
          </cell>
          <cell r="K714">
            <v>722</v>
          </cell>
          <cell r="L714">
            <v>28</v>
          </cell>
          <cell r="M714">
            <v>0</v>
          </cell>
          <cell r="N714">
            <v>0</v>
          </cell>
          <cell r="O714">
            <v>28</v>
          </cell>
          <cell r="P714">
            <v>374</v>
          </cell>
          <cell r="Q714">
            <v>113</v>
          </cell>
          <cell r="R714">
            <v>261</v>
          </cell>
          <cell r="S714">
            <v>4198</v>
          </cell>
          <cell r="T714">
            <v>402</v>
          </cell>
        </row>
        <row r="715">
          <cell r="C715" t="str">
            <v>Opportunity CDP, Washington</v>
          </cell>
          <cell r="D715">
            <v>25046</v>
          </cell>
          <cell r="E715">
            <v>24168</v>
          </cell>
          <cell r="F715">
            <v>13259</v>
          </cell>
          <cell r="G715">
            <v>10672</v>
          </cell>
          <cell r="H715">
            <v>664</v>
          </cell>
          <cell r="I715">
            <v>2595</v>
          </cell>
          <cell r="J715">
            <v>1252</v>
          </cell>
          <cell r="K715">
            <v>6161</v>
          </cell>
          <cell r="L715">
            <v>237</v>
          </cell>
          <cell r="M715">
            <v>24</v>
          </cell>
          <cell r="N715">
            <v>24</v>
          </cell>
          <cell r="O715">
            <v>189</v>
          </cell>
          <cell r="P715">
            <v>878</v>
          </cell>
          <cell r="Q715">
            <v>441</v>
          </cell>
          <cell r="R715">
            <v>437</v>
          </cell>
          <cell r="S715">
            <v>23931</v>
          </cell>
          <cell r="T715">
            <v>1115</v>
          </cell>
        </row>
        <row r="716">
          <cell r="C716" t="str">
            <v>Orchards CDP, Washington</v>
          </cell>
          <cell r="D716">
            <v>17924</v>
          </cell>
          <cell r="E716">
            <v>16407</v>
          </cell>
          <cell r="F716">
            <v>5758</v>
          </cell>
          <cell r="G716">
            <v>10397</v>
          </cell>
          <cell r="H716">
            <v>534</v>
          </cell>
          <cell r="I716">
            <v>1602</v>
          </cell>
          <cell r="J716">
            <v>821</v>
          </cell>
          <cell r="K716">
            <v>7440</v>
          </cell>
          <cell r="L716">
            <v>252</v>
          </cell>
          <cell r="M716">
            <v>15</v>
          </cell>
          <cell r="N716">
            <v>0</v>
          </cell>
          <cell r="O716">
            <v>237</v>
          </cell>
          <cell r="P716">
            <v>1517</v>
          </cell>
          <cell r="Q716">
            <v>512</v>
          </cell>
          <cell r="R716">
            <v>1005</v>
          </cell>
          <cell r="S716">
            <v>16155</v>
          </cell>
          <cell r="T716">
            <v>1769</v>
          </cell>
        </row>
        <row r="717">
          <cell r="C717" t="str">
            <v>Oroville city, Washington</v>
          </cell>
          <cell r="D717">
            <v>1638</v>
          </cell>
          <cell r="E717">
            <v>1439</v>
          </cell>
          <cell r="F717">
            <v>872</v>
          </cell>
          <cell r="G717">
            <v>543</v>
          </cell>
          <cell r="H717">
            <v>21</v>
          </cell>
          <cell r="I717">
            <v>164</v>
          </cell>
          <cell r="J717">
            <v>93</v>
          </cell>
          <cell r="K717">
            <v>265</v>
          </cell>
          <cell r="L717">
            <v>24</v>
          </cell>
          <cell r="M717">
            <v>1</v>
          </cell>
          <cell r="N717">
            <v>0</v>
          </cell>
          <cell r="O717">
            <v>23</v>
          </cell>
          <cell r="P717">
            <v>199</v>
          </cell>
          <cell r="Q717">
            <v>55</v>
          </cell>
          <cell r="R717">
            <v>144</v>
          </cell>
          <cell r="S717">
            <v>1415</v>
          </cell>
          <cell r="T717">
            <v>223</v>
          </cell>
        </row>
        <row r="718">
          <cell r="C718" t="str">
            <v>Orting city, Washington</v>
          </cell>
          <cell r="D718">
            <v>3776</v>
          </cell>
          <cell r="E718">
            <v>3567</v>
          </cell>
          <cell r="F718">
            <v>2229</v>
          </cell>
          <cell r="G718">
            <v>1307</v>
          </cell>
          <cell r="H718">
            <v>62</v>
          </cell>
          <cell r="I718">
            <v>340</v>
          </cell>
          <cell r="J718">
            <v>254</v>
          </cell>
          <cell r="K718">
            <v>651</v>
          </cell>
          <cell r="L718">
            <v>31</v>
          </cell>
          <cell r="M718">
            <v>0</v>
          </cell>
          <cell r="N718">
            <v>0</v>
          </cell>
          <cell r="O718">
            <v>31</v>
          </cell>
          <cell r="P718">
            <v>209</v>
          </cell>
          <cell r="Q718">
            <v>58</v>
          </cell>
          <cell r="R718">
            <v>151</v>
          </cell>
          <cell r="S718">
            <v>3536</v>
          </cell>
          <cell r="T718">
            <v>240</v>
          </cell>
        </row>
        <row r="719">
          <cell r="C719" t="str">
            <v>Oso CDP, Washington</v>
          </cell>
          <cell r="D719">
            <v>206</v>
          </cell>
          <cell r="E719">
            <v>206</v>
          </cell>
          <cell r="F719">
            <v>149</v>
          </cell>
          <cell r="G719">
            <v>57</v>
          </cell>
          <cell r="H719">
            <v>0</v>
          </cell>
          <cell r="I719">
            <v>31</v>
          </cell>
          <cell r="J719">
            <v>11</v>
          </cell>
          <cell r="K719">
            <v>15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206</v>
          </cell>
          <cell r="T719">
            <v>0</v>
          </cell>
        </row>
        <row r="720">
          <cell r="C720" t="str">
            <v>Othello city, Washington</v>
          </cell>
          <cell r="D720">
            <v>5750</v>
          </cell>
          <cell r="E720">
            <v>4043</v>
          </cell>
          <cell r="F720">
            <v>2650</v>
          </cell>
          <cell r="G720">
            <v>1375</v>
          </cell>
          <cell r="H720">
            <v>25</v>
          </cell>
          <cell r="I720">
            <v>344</v>
          </cell>
          <cell r="J720">
            <v>277</v>
          </cell>
          <cell r="K720">
            <v>729</v>
          </cell>
          <cell r="L720">
            <v>18</v>
          </cell>
          <cell r="M720">
            <v>0</v>
          </cell>
          <cell r="N720">
            <v>0</v>
          </cell>
          <cell r="O720">
            <v>18</v>
          </cell>
          <cell r="P720">
            <v>1707</v>
          </cell>
          <cell r="Q720">
            <v>415</v>
          </cell>
          <cell r="R720">
            <v>1292</v>
          </cell>
          <cell r="S720">
            <v>4025</v>
          </cell>
          <cell r="T720">
            <v>1725</v>
          </cell>
        </row>
        <row r="721">
          <cell r="C721" t="str">
            <v>Otis Orchards-East Farms CDP, Washington</v>
          </cell>
          <cell r="D721">
            <v>6328</v>
          </cell>
          <cell r="E721">
            <v>6216</v>
          </cell>
          <cell r="F721">
            <v>3678</v>
          </cell>
          <cell r="G721">
            <v>2508</v>
          </cell>
          <cell r="H721">
            <v>132</v>
          </cell>
          <cell r="I721">
            <v>400</v>
          </cell>
          <cell r="J721">
            <v>361</v>
          </cell>
          <cell r="K721">
            <v>1615</v>
          </cell>
          <cell r="L721">
            <v>30</v>
          </cell>
          <cell r="M721">
            <v>9</v>
          </cell>
          <cell r="N721">
            <v>0</v>
          </cell>
          <cell r="O721">
            <v>21</v>
          </cell>
          <cell r="P721">
            <v>112</v>
          </cell>
          <cell r="Q721">
            <v>72</v>
          </cell>
          <cell r="R721">
            <v>40</v>
          </cell>
          <cell r="S721">
            <v>6186</v>
          </cell>
          <cell r="T721">
            <v>142</v>
          </cell>
        </row>
        <row r="722">
          <cell r="C722" t="str">
            <v>Oyehut-Hogans Corner CDP, Washington</v>
          </cell>
          <cell r="D722">
            <v>206</v>
          </cell>
          <cell r="E722">
            <v>189</v>
          </cell>
          <cell r="F722">
            <v>128</v>
          </cell>
          <cell r="G722">
            <v>61</v>
          </cell>
          <cell r="H722">
            <v>4</v>
          </cell>
          <cell r="I722">
            <v>19</v>
          </cell>
          <cell r="J722">
            <v>17</v>
          </cell>
          <cell r="K722">
            <v>21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17</v>
          </cell>
          <cell r="Q722">
            <v>8</v>
          </cell>
          <cell r="R722">
            <v>9</v>
          </cell>
          <cell r="S722">
            <v>189</v>
          </cell>
          <cell r="T722">
            <v>17</v>
          </cell>
        </row>
        <row r="723">
          <cell r="C723" t="str">
            <v>Pacific city, Washington</v>
          </cell>
          <cell r="D723">
            <v>5482</v>
          </cell>
          <cell r="E723">
            <v>5120</v>
          </cell>
          <cell r="F723">
            <v>3225</v>
          </cell>
          <cell r="G723">
            <v>1869</v>
          </cell>
          <cell r="H723">
            <v>126</v>
          </cell>
          <cell r="I723">
            <v>415</v>
          </cell>
          <cell r="J723">
            <v>178</v>
          </cell>
          <cell r="K723">
            <v>1150</v>
          </cell>
          <cell r="L723">
            <v>26</v>
          </cell>
          <cell r="M723">
            <v>0</v>
          </cell>
          <cell r="N723">
            <v>0</v>
          </cell>
          <cell r="O723">
            <v>26</v>
          </cell>
          <cell r="P723">
            <v>362</v>
          </cell>
          <cell r="Q723">
            <v>129</v>
          </cell>
          <cell r="R723">
            <v>233</v>
          </cell>
          <cell r="S723">
            <v>5094</v>
          </cell>
          <cell r="T723">
            <v>388</v>
          </cell>
        </row>
        <row r="724">
          <cell r="C724" t="str">
            <v>Paine Field-Lake Stickney CDP, Washington</v>
          </cell>
          <cell r="D724">
            <v>24249</v>
          </cell>
          <cell r="E724">
            <v>21002</v>
          </cell>
          <cell r="F724">
            <v>11101</v>
          </cell>
          <cell r="G724">
            <v>9589</v>
          </cell>
          <cell r="H724">
            <v>1133</v>
          </cell>
          <cell r="I724">
            <v>2298</v>
          </cell>
          <cell r="J724">
            <v>1527</v>
          </cell>
          <cell r="K724">
            <v>4631</v>
          </cell>
          <cell r="L724">
            <v>312</v>
          </cell>
          <cell r="M724">
            <v>36</v>
          </cell>
          <cell r="N724">
            <v>0</v>
          </cell>
          <cell r="O724">
            <v>276</v>
          </cell>
          <cell r="P724">
            <v>3247</v>
          </cell>
          <cell r="Q724">
            <v>977</v>
          </cell>
          <cell r="R724">
            <v>2270</v>
          </cell>
          <cell r="S724">
            <v>20690</v>
          </cell>
          <cell r="T724">
            <v>3559</v>
          </cell>
        </row>
        <row r="725">
          <cell r="C725" t="str">
            <v>Palouse city, Washington</v>
          </cell>
          <cell r="D725">
            <v>1026</v>
          </cell>
          <cell r="E725">
            <v>1015</v>
          </cell>
          <cell r="F725">
            <v>464</v>
          </cell>
          <cell r="G725">
            <v>541</v>
          </cell>
          <cell r="H725">
            <v>16</v>
          </cell>
          <cell r="I725">
            <v>63</v>
          </cell>
          <cell r="J725">
            <v>36</v>
          </cell>
          <cell r="K725">
            <v>426</v>
          </cell>
          <cell r="L725">
            <v>10</v>
          </cell>
          <cell r="M725">
            <v>5</v>
          </cell>
          <cell r="N725">
            <v>0</v>
          </cell>
          <cell r="O725">
            <v>5</v>
          </cell>
          <cell r="P725">
            <v>11</v>
          </cell>
          <cell r="Q725">
            <v>6</v>
          </cell>
          <cell r="R725">
            <v>5</v>
          </cell>
          <cell r="S725">
            <v>1005</v>
          </cell>
          <cell r="T725">
            <v>21</v>
          </cell>
        </row>
        <row r="726">
          <cell r="C726" t="str">
            <v>Parkland CDP, Washington</v>
          </cell>
          <cell r="D726">
            <v>23908</v>
          </cell>
          <cell r="E726">
            <v>21638</v>
          </cell>
          <cell r="F726">
            <v>10966</v>
          </cell>
          <cell r="G726">
            <v>9874</v>
          </cell>
          <cell r="H726">
            <v>1057</v>
          </cell>
          <cell r="I726">
            <v>2606</v>
          </cell>
          <cell r="J726">
            <v>2200</v>
          </cell>
          <cell r="K726">
            <v>4011</v>
          </cell>
          <cell r="L726">
            <v>798</v>
          </cell>
          <cell r="M726">
            <v>43</v>
          </cell>
          <cell r="N726">
            <v>178</v>
          </cell>
          <cell r="O726">
            <v>577</v>
          </cell>
          <cell r="P726">
            <v>2270</v>
          </cell>
          <cell r="Q726">
            <v>1242</v>
          </cell>
          <cell r="R726">
            <v>1028</v>
          </cell>
          <cell r="S726">
            <v>20840</v>
          </cell>
          <cell r="T726">
            <v>3068</v>
          </cell>
        </row>
        <row r="727">
          <cell r="C727" t="str">
            <v>Parkwood CDP, Washington</v>
          </cell>
          <cell r="D727">
            <v>7238</v>
          </cell>
          <cell r="E727">
            <v>6900</v>
          </cell>
          <cell r="F727">
            <v>2888</v>
          </cell>
          <cell r="G727">
            <v>3842</v>
          </cell>
          <cell r="H727">
            <v>353</v>
          </cell>
          <cell r="I727">
            <v>925</v>
          </cell>
          <cell r="J727">
            <v>708</v>
          </cell>
          <cell r="K727">
            <v>1856</v>
          </cell>
          <cell r="L727">
            <v>170</v>
          </cell>
          <cell r="M727">
            <v>0</v>
          </cell>
          <cell r="N727">
            <v>33</v>
          </cell>
          <cell r="O727">
            <v>137</v>
          </cell>
          <cell r="P727">
            <v>338</v>
          </cell>
          <cell r="Q727">
            <v>234</v>
          </cell>
          <cell r="R727">
            <v>104</v>
          </cell>
          <cell r="S727">
            <v>6730</v>
          </cell>
          <cell r="T727">
            <v>508</v>
          </cell>
        </row>
        <row r="728">
          <cell r="C728" t="str">
            <v>Pasco city, Washington</v>
          </cell>
          <cell r="D728">
            <v>31976</v>
          </cell>
          <cell r="E728">
            <v>22216</v>
          </cell>
          <cell r="F728">
            <v>13315</v>
          </cell>
          <cell r="G728">
            <v>8682</v>
          </cell>
          <cell r="H728">
            <v>320</v>
          </cell>
          <cell r="I728">
            <v>1588</v>
          </cell>
          <cell r="J728">
            <v>2096</v>
          </cell>
          <cell r="K728">
            <v>4678</v>
          </cell>
          <cell r="L728">
            <v>219</v>
          </cell>
          <cell r="M728">
            <v>11</v>
          </cell>
          <cell r="N728">
            <v>0</v>
          </cell>
          <cell r="O728">
            <v>208</v>
          </cell>
          <cell r="P728">
            <v>9760</v>
          </cell>
          <cell r="Q728">
            <v>1848</v>
          </cell>
          <cell r="R728">
            <v>7912</v>
          </cell>
          <cell r="S728">
            <v>21997</v>
          </cell>
          <cell r="T728">
            <v>9979</v>
          </cell>
        </row>
        <row r="729">
          <cell r="C729" t="str">
            <v>Pateros city, Washington</v>
          </cell>
          <cell r="D729">
            <v>659</v>
          </cell>
          <cell r="E729">
            <v>482</v>
          </cell>
          <cell r="F729">
            <v>328</v>
          </cell>
          <cell r="G729">
            <v>154</v>
          </cell>
          <cell r="H729">
            <v>8</v>
          </cell>
          <cell r="I729">
            <v>29</v>
          </cell>
          <cell r="J729">
            <v>36</v>
          </cell>
          <cell r="K729">
            <v>81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177</v>
          </cell>
          <cell r="Q729">
            <v>25</v>
          </cell>
          <cell r="R729">
            <v>152</v>
          </cell>
          <cell r="S729">
            <v>482</v>
          </cell>
          <cell r="T729">
            <v>177</v>
          </cell>
        </row>
        <row r="730">
          <cell r="C730" t="str">
            <v>Peaceful Valley CDP, Washington</v>
          </cell>
          <cell r="D730">
            <v>2579</v>
          </cell>
          <cell r="E730">
            <v>1873</v>
          </cell>
          <cell r="F730">
            <v>934</v>
          </cell>
          <cell r="G730">
            <v>915</v>
          </cell>
          <cell r="H730">
            <v>75</v>
          </cell>
          <cell r="I730">
            <v>115</v>
          </cell>
          <cell r="J730">
            <v>239</v>
          </cell>
          <cell r="K730">
            <v>486</v>
          </cell>
          <cell r="L730">
            <v>24</v>
          </cell>
          <cell r="M730">
            <v>0</v>
          </cell>
          <cell r="N730">
            <v>0</v>
          </cell>
          <cell r="O730">
            <v>24</v>
          </cell>
          <cell r="P730">
            <v>706</v>
          </cell>
          <cell r="Q730">
            <v>53</v>
          </cell>
          <cell r="R730">
            <v>653</v>
          </cell>
          <cell r="S730">
            <v>1849</v>
          </cell>
          <cell r="T730">
            <v>730</v>
          </cell>
        </row>
        <row r="731">
          <cell r="C731" t="str">
            <v>Pe Ell town, Washington</v>
          </cell>
          <cell r="D731">
            <v>688</v>
          </cell>
          <cell r="E731">
            <v>677</v>
          </cell>
          <cell r="F731">
            <v>486</v>
          </cell>
          <cell r="G731">
            <v>180</v>
          </cell>
          <cell r="H731">
            <v>16</v>
          </cell>
          <cell r="I731">
            <v>37</v>
          </cell>
          <cell r="J731">
            <v>18</v>
          </cell>
          <cell r="K731">
            <v>109</v>
          </cell>
          <cell r="L731">
            <v>11</v>
          </cell>
          <cell r="M731">
            <v>0</v>
          </cell>
          <cell r="N731">
            <v>0</v>
          </cell>
          <cell r="O731">
            <v>11</v>
          </cell>
          <cell r="P731">
            <v>11</v>
          </cell>
          <cell r="Q731">
            <v>4</v>
          </cell>
          <cell r="R731">
            <v>7</v>
          </cell>
          <cell r="S731">
            <v>666</v>
          </cell>
          <cell r="T731">
            <v>22</v>
          </cell>
        </row>
        <row r="732">
          <cell r="C732" t="str">
            <v>Picnic Point-North Lynnwood CDP, Washington</v>
          </cell>
          <cell r="D732">
            <v>22824</v>
          </cell>
          <cell r="E732">
            <v>19044</v>
          </cell>
          <cell r="F732">
            <v>10754</v>
          </cell>
          <cell r="G732">
            <v>8120</v>
          </cell>
          <cell r="H732">
            <v>909</v>
          </cell>
          <cell r="I732">
            <v>2045</v>
          </cell>
          <cell r="J732">
            <v>1063</v>
          </cell>
          <cell r="K732">
            <v>4103</v>
          </cell>
          <cell r="L732">
            <v>170</v>
          </cell>
          <cell r="M732">
            <v>7</v>
          </cell>
          <cell r="N732">
            <v>10</v>
          </cell>
          <cell r="O732">
            <v>153</v>
          </cell>
          <cell r="P732">
            <v>3780</v>
          </cell>
          <cell r="Q732">
            <v>1495</v>
          </cell>
          <cell r="R732">
            <v>2285</v>
          </cell>
          <cell r="S732">
            <v>18874</v>
          </cell>
          <cell r="T732">
            <v>3950</v>
          </cell>
        </row>
        <row r="733">
          <cell r="C733" t="str">
            <v>Pomeroy city, Washington</v>
          </cell>
          <cell r="D733">
            <v>1514</v>
          </cell>
          <cell r="E733">
            <v>1492</v>
          </cell>
          <cell r="F733">
            <v>808</v>
          </cell>
          <cell r="G733">
            <v>677</v>
          </cell>
          <cell r="H733">
            <v>17</v>
          </cell>
          <cell r="I733">
            <v>93</v>
          </cell>
          <cell r="J733">
            <v>58</v>
          </cell>
          <cell r="K733">
            <v>509</v>
          </cell>
          <cell r="L733">
            <v>7</v>
          </cell>
          <cell r="M733">
            <v>3</v>
          </cell>
          <cell r="N733">
            <v>2</v>
          </cell>
          <cell r="O733">
            <v>2</v>
          </cell>
          <cell r="P733">
            <v>22</v>
          </cell>
          <cell r="Q733">
            <v>16</v>
          </cell>
          <cell r="R733">
            <v>6</v>
          </cell>
          <cell r="S733">
            <v>1485</v>
          </cell>
          <cell r="T733">
            <v>29</v>
          </cell>
        </row>
        <row r="734">
          <cell r="C734" t="str">
            <v>Port Angeles city, Washington</v>
          </cell>
          <cell r="D734">
            <v>18472</v>
          </cell>
          <cell r="E734">
            <v>17835</v>
          </cell>
          <cell r="F734">
            <v>9763</v>
          </cell>
          <cell r="G734">
            <v>7914</v>
          </cell>
          <cell r="H734">
            <v>822</v>
          </cell>
          <cell r="I734">
            <v>2466</v>
          </cell>
          <cell r="J734">
            <v>1132</v>
          </cell>
          <cell r="K734">
            <v>3494</v>
          </cell>
          <cell r="L734">
            <v>158</v>
          </cell>
          <cell r="M734">
            <v>0</v>
          </cell>
          <cell r="N734">
            <v>0</v>
          </cell>
          <cell r="O734">
            <v>158</v>
          </cell>
          <cell r="P734">
            <v>637</v>
          </cell>
          <cell r="Q734">
            <v>373</v>
          </cell>
          <cell r="R734">
            <v>264</v>
          </cell>
          <cell r="S734">
            <v>17677</v>
          </cell>
          <cell r="T734">
            <v>795</v>
          </cell>
        </row>
        <row r="735">
          <cell r="C735" t="str">
            <v>Port Angeles East CDP, Washington</v>
          </cell>
          <cell r="D735">
            <v>3050</v>
          </cell>
          <cell r="E735">
            <v>2937</v>
          </cell>
          <cell r="F735">
            <v>1711</v>
          </cell>
          <cell r="G735">
            <v>1187</v>
          </cell>
          <cell r="H735">
            <v>127</v>
          </cell>
          <cell r="I735">
            <v>424</v>
          </cell>
          <cell r="J735">
            <v>66</v>
          </cell>
          <cell r="K735">
            <v>570</v>
          </cell>
          <cell r="L735">
            <v>39</v>
          </cell>
          <cell r="M735">
            <v>0</v>
          </cell>
          <cell r="N735">
            <v>0</v>
          </cell>
          <cell r="O735">
            <v>39</v>
          </cell>
          <cell r="P735">
            <v>113</v>
          </cell>
          <cell r="Q735">
            <v>94</v>
          </cell>
          <cell r="R735">
            <v>19</v>
          </cell>
          <cell r="S735">
            <v>2898</v>
          </cell>
          <cell r="T735">
            <v>152</v>
          </cell>
        </row>
        <row r="736">
          <cell r="C736" t="str">
            <v>Port Hadlock-Irondale CDP, Washington</v>
          </cell>
          <cell r="D736">
            <v>3467</v>
          </cell>
          <cell r="E736">
            <v>3312</v>
          </cell>
          <cell r="F736">
            <v>1842</v>
          </cell>
          <cell r="G736">
            <v>1411</v>
          </cell>
          <cell r="H736">
            <v>149</v>
          </cell>
          <cell r="I736">
            <v>391</v>
          </cell>
          <cell r="J736">
            <v>142</v>
          </cell>
          <cell r="K736">
            <v>729</v>
          </cell>
          <cell r="L736">
            <v>59</v>
          </cell>
          <cell r="M736">
            <v>0</v>
          </cell>
          <cell r="N736">
            <v>0</v>
          </cell>
          <cell r="O736">
            <v>59</v>
          </cell>
          <cell r="P736">
            <v>155</v>
          </cell>
          <cell r="Q736">
            <v>52</v>
          </cell>
          <cell r="R736">
            <v>103</v>
          </cell>
          <cell r="S736">
            <v>3253</v>
          </cell>
          <cell r="T736">
            <v>214</v>
          </cell>
        </row>
        <row r="737">
          <cell r="C737" t="str">
            <v>Port Ludlow CDP, Washington</v>
          </cell>
          <cell r="D737">
            <v>1953</v>
          </cell>
          <cell r="E737">
            <v>1812</v>
          </cell>
          <cell r="F737">
            <v>541</v>
          </cell>
          <cell r="G737">
            <v>1266</v>
          </cell>
          <cell r="H737">
            <v>119</v>
          </cell>
          <cell r="I737">
            <v>362</v>
          </cell>
          <cell r="J737">
            <v>193</v>
          </cell>
          <cell r="K737">
            <v>592</v>
          </cell>
          <cell r="L737">
            <v>5</v>
          </cell>
          <cell r="M737">
            <v>0</v>
          </cell>
          <cell r="N737">
            <v>0</v>
          </cell>
          <cell r="O737">
            <v>5</v>
          </cell>
          <cell r="P737">
            <v>141</v>
          </cell>
          <cell r="Q737">
            <v>114</v>
          </cell>
          <cell r="R737">
            <v>27</v>
          </cell>
          <cell r="S737">
            <v>1807</v>
          </cell>
          <cell r="T737">
            <v>146</v>
          </cell>
        </row>
        <row r="738">
          <cell r="C738" t="str">
            <v>Port Orchard city, Washington</v>
          </cell>
          <cell r="D738">
            <v>7756</v>
          </cell>
          <cell r="E738">
            <v>7303</v>
          </cell>
          <cell r="F738">
            <v>3461</v>
          </cell>
          <cell r="G738">
            <v>3664</v>
          </cell>
          <cell r="H738">
            <v>263</v>
          </cell>
          <cell r="I738">
            <v>860</v>
          </cell>
          <cell r="J738">
            <v>705</v>
          </cell>
          <cell r="K738">
            <v>1836</v>
          </cell>
          <cell r="L738">
            <v>178</v>
          </cell>
          <cell r="M738">
            <v>7</v>
          </cell>
          <cell r="N738">
            <v>31</v>
          </cell>
          <cell r="O738">
            <v>140</v>
          </cell>
          <cell r="P738">
            <v>453</v>
          </cell>
          <cell r="Q738">
            <v>287</v>
          </cell>
          <cell r="R738">
            <v>166</v>
          </cell>
          <cell r="S738">
            <v>7125</v>
          </cell>
          <cell r="T738">
            <v>631</v>
          </cell>
        </row>
        <row r="739">
          <cell r="C739" t="str">
            <v>Port Townsend city, Washington</v>
          </cell>
          <cell r="D739">
            <v>8325</v>
          </cell>
          <cell r="E739">
            <v>8004</v>
          </cell>
          <cell r="F739">
            <v>3130</v>
          </cell>
          <cell r="G739">
            <v>4764</v>
          </cell>
          <cell r="H739">
            <v>790</v>
          </cell>
          <cell r="I739">
            <v>1196</v>
          </cell>
          <cell r="J739">
            <v>814</v>
          </cell>
          <cell r="K739">
            <v>1964</v>
          </cell>
          <cell r="L739">
            <v>110</v>
          </cell>
          <cell r="M739">
            <v>6</v>
          </cell>
          <cell r="N739">
            <v>0</v>
          </cell>
          <cell r="O739">
            <v>104</v>
          </cell>
          <cell r="P739">
            <v>321</v>
          </cell>
          <cell r="Q739">
            <v>228</v>
          </cell>
          <cell r="R739">
            <v>93</v>
          </cell>
          <cell r="S739">
            <v>7894</v>
          </cell>
          <cell r="T739">
            <v>431</v>
          </cell>
        </row>
        <row r="740">
          <cell r="C740" t="str">
            <v>Poulsbo city, Washington</v>
          </cell>
          <cell r="D740">
            <v>6902</v>
          </cell>
          <cell r="E740">
            <v>6438</v>
          </cell>
          <cell r="F740">
            <v>2826</v>
          </cell>
          <cell r="G740">
            <v>3478</v>
          </cell>
          <cell r="H740">
            <v>388</v>
          </cell>
          <cell r="I740">
            <v>904</v>
          </cell>
          <cell r="J740">
            <v>528</v>
          </cell>
          <cell r="K740">
            <v>1658</v>
          </cell>
          <cell r="L740">
            <v>134</v>
          </cell>
          <cell r="M740">
            <v>14</v>
          </cell>
          <cell r="N740">
            <v>38</v>
          </cell>
          <cell r="O740">
            <v>82</v>
          </cell>
          <cell r="P740">
            <v>464</v>
          </cell>
          <cell r="Q740">
            <v>213</v>
          </cell>
          <cell r="R740">
            <v>251</v>
          </cell>
          <cell r="S740">
            <v>6304</v>
          </cell>
          <cell r="T740">
            <v>598</v>
          </cell>
        </row>
        <row r="741">
          <cell r="C741" t="str">
            <v>Prairie Ridge CDP, Washington</v>
          </cell>
          <cell r="D741">
            <v>11509</v>
          </cell>
          <cell r="E741">
            <v>11177</v>
          </cell>
          <cell r="F741">
            <v>7008</v>
          </cell>
          <cell r="G741">
            <v>4052</v>
          </cell>
          <cell r="H741">
            <v>267</v>
          </cell>
          <cell r="I741">
            <v>1229</v>
          </cell>
          <cell r="J741">
            <v>535</v>
          </cell>
          <cell r="K741">
            <v>2021</v>
          </cell>
          <cell r="L741">
            <v>117</v>
          </cell>
          <cell r="M741">
            <v>0</v>
          </cell>
          <cell r="N741">
            <v>0</v>
          </cell>
          <cell r="O741">
            <v>117</v>
          </cell>
          <cell r="P741">
            <v>332</v>
          </cell>
          <cell r="Q741">
            <v>198</v>
          </cell>
          <cell r="R741">
            <v>134</v>
          </cell>
          <cell r="S741">
            <v>11060</v>
          </cell>
          <cell r="T741">
            <v>449</v>
          </cell>
        </row>
        <row r="742">
          <cell r="C742" t="str">
            <v>Prescott town, Washington</v>
          </cell>
          <cell r="D742">
            <v>294</v>
          </cell>
          <cell r="E742">
            <v>288</v>
          </cell>
          <cell r="F742">
            <v>179</v>
          </cell>
          <cell r="G742">
            <v>103</v>
          </cell>
          <cell r="H742">
            <v>1</v>
          </cell>
          <cell r="I742">
            <v>36</v>
          </cell>
          <cell r="J742">
            <v>9</v>
          </cell>
          <cell r="K742">
            <v>57</v>
          </cell>
          <cell r="L742">
            <v>6</v>
          </cell>
          <cell r="M742">
            <v>2</v>
          </cell>
          <cell r="N742">
            <v>0</v>
          </cell>
          <cell r="O742">
            <v>4</v>
          </cell>
          <cell r="P742">
            <v>6</v>
          </cell>
          <cell r="Q742">
            <v>5</v>
          </cell>
          <cell r="R742">
            <v>1</v>
          </cell>
          <cell r="S742">
            <v>282</v>
          </cell>
          <cell r="T742">
            <v>12</v>
          </cell>
        </row>
        <row r="743">
          <cell r="C743" t="str">
            <v>Priest Point CDP, Washington</v>
          </cell>
          <cell r="D743">
            <v>774</v>
          </cell>
          <cell r="E743">
            <v>743</v>
          </cell>
          <cell r="F743">
            <v>498</v>
          </cell>
          <cell r="G743">
            <v>237</v>
          </cell>
          <cell r="H743">
            <v>8</v>
          </cell>
          <cell r="I743">
            <v>73</v>
          </cell>
          <cell r="J743">
            <v>31</v>
          </cell>
          <cell r="K743">
            <v>125</v>
          </cell>
          <cell r="L743">
            <v>8</v>
          </cell>
          <cell r="M743">
            <v>0</v>
          </cell>
          <cell r="N743">
            <v>0</v>
          </cell>
          <cell r="O743">
            <v>8</v>
          </cell>
          <cell r="P743">
            <v>31</v>
          </cell>
          <cell r="Q743">
            <v>23</v>
          </cell>
          <cell r="R743">
            <v>8</v>
          </cell>
          <cell r="S743">
            <v>735</v>
          </cell>
          <cell r="T743">
            <v>39</v>
          </cell>
        </row>
        <row r="744">
          <cell r="C744" t="str">
            <v>Prosser city, Washington</v>
          </cell>
          <cell r="D744">
            <v>4599</v>
          </cell>
          <cell r="E744">
            <v>3992</v>
          </cell>
          <cell r="F744">
            <v>2553</v>
          </cell>
          <cell r="G744">
            <v>1439</v>
          </cell>
          <cell r="H744">
            <v>61</v>
          </cell>
          <cell r="I744">
            <v>404</v>
          </cell>
          <cell r="J744">
            <v>223</v>
          </cell>
          <cell r="K744">
            <v>751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607</v>
          </cell>
          <cell r="Q744">
            <v>206</v>
          </cell>
          <cell r="R744">
            <v>401</v>
          </cell>
          <cell r="S744">
            <v>3992</v>
          </cell>
          <cell r="T744">
            <v>607</v>
          </cell>
        </row>
        <row r="745">
          <cell r="C745" t="str">
            <v>Pullman city, Washington</v>
          </cell>
          <cell r="D745">
            <v>24740</v>
          </cell>
          <cell r="E745">
            <v>21877</v>
          </cell>
          <cell r="F745">
            <v>11419</v>
          </cell>
          <cell r="G745">
            <v>10037</v>
          </cell>
          <cell r="H745">
            <v>790</v>
          </cell>
          <cell r="I745">
            <v>2065</v>
          </cell>
          <cell r="J745">
            <v>1305</v>
          </cell>
          <cell r="K745">
            <v>5877</v>
          </cell>
          <cell r="L745">
            <v>421</v>
          </cell>
          <cell r="M745">
            <v>65</v>
          </cell>
          <cell r="N745">
            <v>25</v>
          </cell>
          <cell r="O745">
            <v>331</v>
          </cell>
          <cell r="P745">
            <v>2863</v>
          </cell>
          <cell r="Q745">
            <v>730</v>
          </cell>
          <cell r="R745">
            <v>2133</v>
          </cell>
          <cell r="S745">
            <v>21456</v>
          </cell>
          <cell r="T745">
            <v>3284</v>
          </cell>
        </row>
        <row r="746">
          <cell r="C746" t="str">
            <v>Puyallup city, Washington</v>
          </cell>
          <cell r="D746">
            <v>32682</v>
          </cell>
          <cell r="E746">
            <v>31108</v>
          </cell>
          <cell r="F746">
            <v>18041</v>
          </cell>
          <cell r="G746">
            <v>12529</v>
          </cell>
          <cell r="H746">
            <v>1036</v>
          </cell>
          <cell r="I746">
            <v>3711</v>
          </cell>
          <cell r="J746">
            <v>2117</v>
          </cell>
          <cell r="K746">
            <v>5665</v>
          </cell>
          <cell r="L746">
            <v>538</v>
          </cell>
          <cell r="M746">
            <v>70</v>
          </cell>
          <cell r="N746">
            <v>79</v>
          </cell>
          <cell r="O746">
            <v>389</v>
          </cell>
          <cell r="P746">
            <v>1574</v>
          </cell>
          <cell r="Q746">
            <v>899</v>
          </cell>
          <cell r="R746">
            <v>675</v>
          </cell>
          <cell r="S746">
            <v>30570</v>
          </cell>
          <cell r="T746">
            <v>2112</v>
          </cell>
        </row>
        <row r="747">
          <cell r="C747" t="str">
            <v>Quilcene CDP, Washington</v>
          </cell>
          <cell r="D747">
            <v>632</v>
          </cell>
          <cell r="E747">
            <v>619</v>
          </cell>
          <cell r="F747">
            <v>379</v>
          </cell>
          <cell r="G747">
            <v>232</v>
          </cell>
          <cell r="H747">
            <v>12</v>
          </cell>
          <cell r="I747">
            <v>80</v>
          </cell>
          <cell r="J747">
            <v>33</v>
          </cell>
          <cell r="K747">
            <v>107</v>
          </cell>
          <cell r="L747">
            <v>8</v>
          </cell>
          <cell r="M747">
            <v>0</v>
          </cell>
          <cell r="N747">
            <v>0</v>
          </cell>
          <cell r="O747">
            <v>8</v>
          </cell>
          <cell r="P747">
            <v>13</v>
          </cell>
          <cell r="Q747">
            <v>0</v>
          </cell>
          <cell r="R747">
            <v>13</v>
          </cell>
          <cell r="S747">
            <v>611</v>
          </cell>
          <cell r="T747">
            <v>21</v>
          </cell>
        </row>
        <row r="748">
          <cell r="C748" t="str">
            <v>Quincy city, Washington</v>
          </cell>
          <cell r="D748">
            <v>5196</v>
          </cell>
          <cell r="E748">
            <v>3364</v>
          </cell>
          <cell r="F748">
            <v>2079</v>
          </cell>
          <cell r="G748">
            <v>1279</v>
          </cell>
          <cell r="H748">
            <v>22</v>
          </cell>
          <cell r="I748">
            <v>195</v>
          </cell>
          <cell r="J748">
            <v>374</v>
          </cell>
          <cell r="K748">
            <v>688</v>
          </cell>
          <cell r="L748">
            <v>6</v>
          </cell>
          <cell r="M748">
            <v>0</v>
          </cell>
          <cell r="N748">
            <v>0</v>
          </cell>
          <cell r="O748">
            <v>6</v>
          </cell>
          <cell r="P748">
            <v>1832</v>
          </cell>
          <cell r="Q748">
            <v>305</v>
          </cell>
          <cell r="R748">
            <v>1527</v>
          </cell>
          <cell r="S748">
            <v>3358</v>
          </cell>
          <cell r="T748">
            <v>1838</v>
          </cell>
        </row>
        <row r="749">
          <cell r="C749" t="str">
            <v>Rainier town, Washington</v>
          </cell>
          <cell r="D749">
            <v>1483</v>
          </cell>
          <cell r="E749">
            <v>1436</v>
          </cell>
          <cell r="F749">
            <v>886</v>
          </cell>
          <cell r="G749">
            <v>526</v>
          </cell>
          <cell r="H749">
            <v>30</v>
          </cell>
          <cell r="I749">
            <v>119</v>
          </cell>
          <cell r="J749">
            <v>83</v>
          </cell>
          <cell r="K749">
            <v>294</v>
          </cell>
          <cell r="L749">
            <v>24</v>
          </cell>
          <cell r="M749">
            <v>2</v>
          </cell>
          <cell r="N749">
            <v>0</v>
          </cell>
          <cell r="O749">
            <v>22</v>
          </cell>
          <cell r="P749">
            <v>47</v>
          </cell>
          <cell r="Q749">
            <v>27</v>
          </cell>
          <cell r="R749">
            <v>20</v>
          </cell>
          <cell r="S749">
            <v>1412</v>
          </cell>
          <cell r="T749">
            <v>71</v>
          </cell>
        </row>
        <row r="750">
          <cell r="C750" t="str">
            <v>Ravensdale CDP, Washington</v>
          </cell>
          <cell r="D750">
            <v>761</v>
          </cell>
          <cell r="E750">
            <v>726</v>
          </cell>
          <cell r="F750">
            <v>529</v>
          </cell>
          <cell r="G750">
            <v>197</v>
          </cell>
          <cell r="H750">
            <v>24</v>
          </cell>
          <cell r="I750">
            <v>65</v>
          </cell>
          <cell r="J750">
            <v>8</v>
          </cell>
          <cell r="K750">
            <v>100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35</v>
          </cell>
          <cell r="Q750">
            <v>20</v>
          </cell>
          <cell r="R750">
            <v>15</v>
          </cell>
          <cell r="S750">
            <v>726</v>
          </cell>
          <cell r="T750">
            <v>35</v>
          </cell>
        </row>
        <row r="751">
          <cell r="C751" t="str">
            <v>Raymond city, Washington</v>
          </cell>
          <cell r="D751">
            <v>2820</v>
          </cell>
          <cell r="E751">
            <v>2452</v>
          </cell>
          <cell r="F751">
            <v>1513</v>
          </cell>
          <cell r="G751">
            <v>915</v>
          </cell>
          <cell r="H751">
            <v>10</v>
          </cell>
          <cell r="I751">
            <v>276</v>
          </cell>
          <cell r="J751">
            <v>145</v>
          </cell>
          <cell r="K751">
            <v>484</v>
          </cell>
          <cell r="L751">
            <v>24</v>
          </cell>
          <cell r="M751">
            <v>0</v>
          </cell>
          <cell r="N751">
            <v>0</v>
          </cell>
          <cell r="O751">
            <v>24</v>
          </cell>
          <cell r="P751">
            <v>368</v>
          </cell>
          <cell r="Q751">
            <v>122</v>
          </cell>
          <cell r="R751">
            <v>246</v>
          </cell>
          <cell r="S751">
            <v>2428</v>
          </cell>
          <cell r="T751">
            <v>392</v>
          </cell>
        </row>
        <row r="752">
          <cell r="C752" t="str">
            <v>Reardan town, Washington</v>
          </cell>
          <cell r="D752">
            <v>624</v>
          </cell>
          <cell r="E752">
            <v>606</v>
          </cell>
          <cell r="F752">
            <v>373</v>
          </cell>
          <cell r="G752">
            <v>224</v>
          </cell>
          <cell r="H752">
            <v>16</v>
          </cell>
          <cell r="I752">
            <v>73</v>
          </cell>
          <cell r="J752">
            <v>24</v>
          </cell>
          <cell r="K752">
            <v>111</v>
          </cell>
          <cell r="L752">
            <v>9</v>
          </cell>
          <cell r="M752">
            <v>0</v>
          </cell>
          <cell r="N752">
            <v>0</v>
          </cell>
          <cell r="O752">
            <v>9</v>
          </cell>
          <cell r="P752">
            <v>18</v>
          </cell>
          <cell r="Q752">
            <v>15</v>
          </cell>
          <cell r="R752">
            <v>3</v>
          </cell>
          <cell r="S752">
            <v>597</v>
          </cell>
          <cell r="T752">
            <v>27</v>
          </cell>
        </row>
        <row r="753">
          <cell r="C753" t="str">
            <v>Redmond city, Washington</v>
          </cell>
          <cell r="D753">
            <v>45389</v>
          </cell>
          <cell r="E753">
            <v>36021</v>
          </cell>
          <cell r="F753">
            <v>14749</v>
          </cell>
          <cell r="G753">
            <v>20653</v>
          </cell>
          <cell r="H753">
            <v>2683</v>
          </cell>
          <cell r="I753">
            <v>5778</v>
          </cell>
          <cell r="J753">
            <v>3252</v>
          </cell>
          <cell r="K753">
            <v>8940</v>
          </cell>
          <cell r="L753">
            <v>619</v>
          </cell>
          <cell r="M753">
            <v>15</v>
          </cell>
          <cell r="N753">
            <v>43</v>
          </cell>
          <cell r="O753">
            <v>561</v>
          </cell>
          <cell r="P753">
            <v>9368</v>
          </cell>
          <cell r="Q753">
            <v>2900</v>
          </cell>
          <cell r="R753">
            <v>6468</v>
          </cell>
          <cell r="S753">
            <v>35402</v>
          </cell>
          <cell r="T753">
            <v>9987</v>
          </cell>
        </row>
        <row r="754">
          <cell r="C754" t="str">
            <v>Renton city, Washington</v>
          </cell>
          <cell r="D754">
            <v>49894</v>
          </cell>
          <cell r="E754">
            <v>40304</v>
          </cell>
          <cell r="F754">
            <v>22070</v>
          </cell>
          <cell r="G754">
            <v>17589</v>
          </cell>
          <cell r="H754">
            <v>1758</v>
          </cell>
          <cell r="I754">
            <v>4964</v>
          </cell>
          <cell r="J754">
            <v>3056</v>
          </cell>
          <cell r="K754">
            <v>7811</v>
          </cell>
          <cell r="L754">
            <v>645</v>
          </cell>
          <cell r="M754">
            <v>0</v>
          </cell>
          <cell r="N754">
            <v>55</v>
          </cell>
          <cell r="O754">
            <v>590</v>
          </cell>
          <cell r="P754">
            <v>9590</v>
          </cell>
          <cell r="Q754">
            <v>4207</v>
          </cell>
          <cell r="R754">
            <v>5383</v>
          </cell>
          <cell r="S754">
            <v>39659</v>
          </cell>
          <cell r="T754">
            <v>10235</v>
          </cell>
        </row>
        <row r="755">
          <cell r="C755" t="str">
            <v>Republic city, Washington</v>
          </cell>
          <cell r="D755">
            <v>1009</v>
          </cell>
          <cell r="E755">
            <v>988</v>
          </cell>
          <cell r="F755">
            <v>582</v>
          </cell>
          <cell r="G755">
            <v>399</v>
          </cell>
          <cell r="H755">
            <v>30</v>
          </cell>
          <cell r="I755">
            <v>97</v>
          </cell>
          <cell r="J755">
            <v>60</v>
          </cell>
          <cell r="K755">
            <v>212</v>
          </cell>
          <cell r="L755">
            <v>7</v>
          </cell>
          <cell r="M755">
            <v>0</v>
          </cell>
          <cell r="N755">
            <v>0</v>
          </cell>
          <cell r="O755">
            <v>7</v>
          </cell>
          <cell r="P755">
            <v>21</v>
          </cell>
          <cell r="Q755">
            <v>12</v>
          </cell>
          <cell r="R755">
            <v>9</v>
          </cell>
          <cell r="S755">
            <v>981</v>
          </cell>
          <cell r="T755">
            <v>28</v>
          </cell>
        </row>
        <row r="756">
          <cell r="C756" t="str">
            <v>Richland city, Washington</v>
          </cell>
          <cell r="D756">
            <v>38653</v>
          </cell>
          <cell r="E756">
            <v>35871</v>
          </cell>
          <cell r="F756">
            <v>16519</v>
          </cell>
          <cell r="G756">
            <v>19069</v>
          </cell>
          <cell r="H756">
            <v>1862</v>
          </cell>
          <cell r="I756">
            <v>4826</v>
          </cell>
          <cell r="J756">
            <v>3315</v>
          </cell>
          <cell r="K756">
            <v>9066</v>
          </cell>
          <cell r="L756">
            <v>283</v>
          </cell>
          <cell r="M756">
            <v>5</v>
          </cell>
          <cell r="N756">
            <v>0</v>
          </cell>
          <cell r="O756">
            <v>278</v>
          </cell>
          <cell r="P756">
            <v>2782</v>
          </cell>
          <cell r="Q756">
            <v>1261</v>
          </cell>
          <cell r="R756">
            <v>1521</v>
          </cell>
          <cell r="S756">
            <v>35588</v>
          </cell>
          <cell r="T756">
            <v>3065</v>
          </cell>
        </row>
        <row r="757">
          <cell r="C757" t="str">
            <v>Ridgefield city, Washington</v>
          </cell>
          <cell r="D757">
            <v>2209</v>
          </cell>
          <cell r="E757">
            <v>2157</v>
          </cell>
          <cell r="F757">
            <v>882</v>
          </cell>
          <cell r="G757">
            <v>1247</v>
          </cell>
          <cell r="H757">
            <v>67</v>
          </cell>
          <cell r="I757">
            <v>273</v>
          </cell>
          <cell r="J757">
            <v>120</v>
          </cell>
          <cell r="K757">
            <v>787</v>
          </cell>
          <cell r="L757">
            <v>28</v>
          </cell>
          <cell r="M757">
            <v>0</v>
          </cell>
          <cell r="N757">
            <v>2</v>
          </cell>
          <cell r="O757">
            <v>26</v>
          </cell>
          <cell r="P757">
            <v>52</v>
          </cell>
          <cell r="Q757">
            <v>22</v>
          </cell>
          <cell r="R757">
            <v>30</v>
          </cell>
          <cell r="S757">
            <v>2129</v>
          </cell>
          <cell r="T757">
            <v>80</v>
          </cell>
        </row>
        <row r="758">
          <cell r="C758" t="str">
            <v>Ritzville city, Washington</v>
          </cell>
          <cell r="D758">
            <v>1758</v>
          </cell>
          <cell r="E758">
            <v>1716</v>
          </cell>
          <cell r="F758">
            <v>1100</v>
          </cell>
          <cell r="G758">
            <v>595</v>
          </cell>
          <cell r="H758">
            <v>7</v>
          </cell>
          <cell r="I758">
            <v>202</v>
          </cell>
          <cell r="J758">
            <v>83</v>
          </cell>
          <cell r="K758">
            <v>303</v>
          </cell>
          <cell r="L758">
            <v>21</v>
          </cell>
          <cell r="M758">
            <v>8</v>
          </cell>
          <cell r="N758">
            <v>2</v>
          </cell>
          <cell r="O758">
            <v>11</v>
          </cell>
          <cell r="P758">
            <v>42</v>
          </cell>
          <cell r="Q758">
            <v>23</v>
          </cell>
          <cell r="R758">
            <v>19</v>
          </cell>
          <cell r="S758">
            <v>1695</v>
          </cell>
          <cell r="T758">
            <v>63</v>
          </cell>
        </row>
        <row r="759">
          <cell r="C759" t="str">
            <v>Riverbend CDP, Washington</v>
          </cell>
          <cell r="D759">
            <v>2247</v>
          </cell>
          <cell r="E759">
            <v>2145</v>
          </cell>
          <cell r="F759">
            <v>1159</v>
          </cell>
          <cell r="G759">
            <v>979</v>
          </cell>
          <cell r="H759">
            <v>136</v>
          </cell>
          <cell r="I759">
            <v>238</v>
          </cell>
          <cell r="J759">
            <v>86</v>
          </cell>
          <cell r="K759">
            <v>519</v>
          </cell>
          <cell r="L759">
            <v>7</v>
          </cell>
          <cell r="M759">
            <v>0</v>
          </cell>
          <cell r="N759">
            <v>0</v>
          </cell>
          <cell r="O759">
            <v>7</v>
          </cell>
          <cell r="P759">
            <v>102</v>
          </cell>
          <cell r="Q759">
            <v>69</v>
          </cell>
          <cell r="R759">
            <v>33</v>
          </cell>
          <cell r="S759">
            <v>2138</v>
          </cell>
          <cell r="T759">
            <v>109</v>
          </cell>
        </row>
        <row r="760">
          <cell r="C760" t="str">
            <v>River Road CDP, Washington</v>
          </cell>
          <cell r="D760">
            <v>350</v>
          </cell>
          <cell r="E760">
            <v>341</v>
          </cell>
          <cell r="F760">
            <v>146</v>
          </cell>
          <cell r="G760">
            <v>195</v>
          </cell>
          <cell r="H760">
            <v>16</v>
          </cell>
          <cell r="I760">
            <v>58</v>
          </cell>
          <cell r="J760">
            <v>38</v>
          </cell>
          <cell r="K760">
            <v>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9</v>
          </cell>
          <cell r="Q760">
            <v>9</v>
          </cell>
          <cell r="R760">
            <v>0</v>
          </cell>
          <cell r="S760">
            <v>341</v>
          </cell>
          <cell r="T760">
            <v>9</v>
          </cell>
        </row>
        <row r="761">
          <cell r="C761" t="str">
            <v>Riverside town, Washington</v>
          </cell>
          <cell r="D761">
            <v>349</v>
          </cell>
          <cell r="E761">
            <v>340</v>
          </cell>
          <cell r="F761">
            <v>192</v>
          </cell>
          <cell r="G761">
            <v>145</v>
          </cell>
          <cell r="H761">
            <v>4</v>
          </cell>
          <cell r="I761">
            <v>38</v>
          </cell>
          <cell r="J761">
            <v>27</v>
          </cell>
          <cell r="K761">
            <v>76</v>
          </cell>
          <cell r="L761">
            <v>3</v>
          </cell>
          <cell r="M761">
            <v>0</v>
          </cell>
          <cell r="N761">
            <v>0</v>
          </cell>
          <cell r="O761">
            <v>3</v>
          </cell>
          <cell r="P761">
            <v>9</v>
          </cell>
          <cell r="Q761">
            <v>5</v>
          </cell>
          <cell r="R761">
            <v>4</v>
          </cell>
          <cell r="S761">
            <v>337</v>
          </cell>
          <cell r="T761">
            <v>12</v>
          </cell>
        </row>
        <row r="762">
          <cell r="C762" t="str">
            <v>Riverton-Boulevard Park CDP, Washington</v>
          </cell>
          <cell r="D762">
            <v>11389</v>
          </cell>
          <cell r="E762">
            <v>8867</v>
          </cell>
          <cell r="F762">
            <v>5132</v>
          </cell>
          <cell r="G762">
            <v>3677</v>
          </cell>
          <cell r="H762">
            <v>344</v>
          </cell>
          <cell r="I762">
            <v>1192</v>
          </cell>
          <cell r="J762">
            <v>617</v>
          </cell>
          <cell r="K762">
            <v>1524</v>
          </cell>
          <cell r="L762">
            <v>58</v>
          </cell>
          <cell r="M762">
            <v>0</v>
          </cell>
          <cell r="N762">
            <v>0</v>
          </cell>
          <cell r="O762">
            <v>58</v>
          </cell>
          <cell r="P762">
            <v>2522</v>
          </cell>
          <cell r="Q762">
            <v>924</v>
          </cell>
          <cell r="R762">
            <v>1598</v>
          </cell>
          <cell r="S762">
            <v>8809</v>
          </cell>
          <cell r="T762">
            <v>2580</v>
          </cell>
        </row>
        <row r="763">
          <cell r="C763" t="str">
            <v>Rochester CDP, Washington</v>
          </cell>
          <cell r="D763">
            <v>1991</v>
          </cell>
          <cell r="E763">
            <v>1835</v>
          </cell>
          <cell r="F763">
            <v>1158</v>
          </cell>
          <cell r="G763">
            <v>659</v>
          </cell>
          <cell r="H763">
            <v>71</v>
          </cell>
          <cell r="I763">
            <v>181</v>
          </cell>
          <cell r="J763">
            <v>86</v>
          </cell>
          <cell r="K763">
            <v>321</v>
          </cell>
          <cell r="L763">
            <v>18</v>
          </cell>
          <cell r="M763">
            <v>0</v>
          </cell>
          <cell r="N763">
            <v>0</v>
          </cell>
          <cell r="O763">
            <v>18</v>
          </cell>
          <cell r="P763">
            <v>156</v>
          </cell>
          <cell r="Q763">
            <v>23</v>
          </cell>
          <cell r="R763">
            <v>133</v>
          </cell>
          <cell r="S763">
            <v>1817</v>
          </cell>
          <cell r="T763">
            <v>174</v>
          </cell>
        </row>
        <row r="764">
          <cell r="C764" t="str">
            <v>Rockford town, Washington</v>
          </cell>
          <cell r="D764">
            <v>412</v>
          </cell>
          <cell r="E764">
            <v>410</v>
          </cell>
          <cell r="F764">
            <v>295</v>
          </cell>
          <cell r="G764">
            <v>115</v>
          </cell>
          <cell r="H764">
            <v>3</v>
          </cell>
          <cell r="I764">
            <v>40</v>
          </cell>
          <cell r="J764">
            <v>7</v>
          </cell>
          <cell r="K764">
            <v>65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2</v>
          </cell>
          <cell r="Q764">
            <v>2</v>
          </cell>
          <cell r="R764">
            <v>0</v>
          </cell>
          <cell r="S764">
            <v>410</v>
          </cell>
          <cell r="T764">
            <v>2</v>
          </cell>
        </row>
        <row r="765">
          <cell r="C765" t="str">
            <v>Rock Island city, Washington</v>
          </cell>
          <cell r="D765">
            <v>883</v>
          </cell>
          <cell r="E765">
            <v>725</v>
          </cell>
          <cell r="F765">
            <v>502</v>
          </cell>
          <cell r="G765">
            <v>223</v>
          </cell>
          <cell r="H765">
            <v>18</v>
          </cell>
          <cell r="I765">
            <v>51</v>
          </cell>
          <cell r="J765">
            <v>44</v>
          </cell>
          <cell r="K765">
            <v>110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158</v>
          </cell>
          <cell r="Q765">
            <v>62</v>
          </cell>
          <cell r="R765">
            <v>96</v>
          </cell>
          <cell r="S765">
            <v>725</v>
          </cell>
          <cell r="T765">
            <v>158</v>
          </cell>
        </row>
        <row r="766">
          <cell r="C766" t="str">
            <v>Rockport CDP, Washington</v>
          </cell>
          <cell r="D766">
            <v>53</v>
          </cell>
          <cell r="E766">
            <v>53</v>
          </cell>
          <cell r="F766">
            <v>20</v>
          </cell>
          <cell r="G766">
            <v>33</v>
          </cell>
          <cell r="H766">
            <v>0</v>
          </cell>
          <cell r="I766">
            <v>10</v>
          </cell>
          <cell r="J766">
            <v>12</v>
          </cell>
          <cell r="K766">
            <v>11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53</v>
          </cell>
          <cell r="T766">
            <v>0</v>
          </cell>
        </row>
        <row r="767">
          <cell r="C767" t="str">
            <v>Ronald CDP, Washington</v>
          </cell>
          <cell r="D767">
            <v>177</v>
          </cell>
          <cell r="E767">
            <v>169</v>
          </cell>
          <cell r="F767">
            <v>85</v>
          </cell>
          <cell r="G767">
            <v>79</v>
          </cell>
          <cell r="H767">
            <v>7</v>
          </cell>
          <cell r="I767">
            <v>14</v>
          </cell>
          <cell r="J767">
            <v>20</v>
          </cell>
          <cell r="K767">
            <v>38</v>
          </cell>
          <cell r="L767">
            <v>5</v>
          </cell>
          <cell r="M767">
            <v>0</v>
          </cell>
          <cell r="N767">
            <v>0</v>
          </cell>
          <cell r="O767">
            <v>5</v>
          </cell>
          <cell r="P767">
            <v>8</v>
          </cell>
          <cell r="Q767">
            <v>0</v>
          </cell>
          <cell r="R767">
            <v>8</v>
          </cell>
          <cell r="S767">
            <v>164</v>
          </cell>
          <cell r="T767">
            <v>13</v>
          </cell>
        </row>
        <row r="768">
          <cell r="C768" t="str">
            <v>Roosevelt CDP, Washington</v>
          </cell>
          <cell r="D768">
            <v>116</v>
          </cell>
          <cell r="E768">
            <v>97</v>
          </cell>
          <cell r="F768">
            <v>68</v>
          </cell>
          <cell r="G768">
            <v>29</v>
          </cell>
          <cell r="H768">
            <v>0</v>
          </cell>
          <cell r="I768">
            <v>0</v>
          </cell>
          <cell r="J768">
            <v>3</v>
          </cell>
          <cell r="K768">
            <v>26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19</v>
          </cell>
          <cell r="Q768">
            <v>0</v>
          </cell>
          <cell r="R768">
            <v>19</v>
          </cell>
          <cell r="S768">
            <v>97</v>
          </cell>
          <cell r="T768">
            <v>19</v>
          </cell>
        </row>
        <row r="769">
          <cell r="C769" t="str">
            <v>Rosalia town, Washington</v>
          </cell>
          <cell r="D769">
            <v>649</v>
          </cell>
          <cell r="E769">
            <v>641</v>
          </cell>
          <cell r="F769">
            <v>423</v>
          </cell>
          <cell r="G769">
            <v>216</v>
          </cell>
          <cell r="H769">
            <v>21</v>
          </cell>
          <cell r="I769">
            <v>49</v>
          </cell>
          <cell r="J769">
            <v>44</v>
          </cell>
          <cell r="K769">
            <v>102</v>
          </cell>
          <cell r="L769">
            <v>2</v>
          </cell>
          <cell r="M769">
            <v>0</v>
          </cell>
          <cell r="N769">
            <v>0</v>
          </cell>
          <cell r="O769">
            <v>2</v>
          </cell>
          <cell r="P769">
            <v>8</v>
          </cell>
          <cell r="Q769">
            <v>4</v>
          </cell>
          <cell r="R769">
            <v>4</v>
          </cell>
          <cell r="S769">
            <v>639</v>
          </cell>
          <cell r="T769">
            <v>10</v>
          </cell>
        </row>
        <row r="770">
          <cell r="C770" t="str">
            <v>Roslyn city, Washington</v>
          </cell>
          <cell r="D770">
            <v>1014</v>
          </cell>
          <cell r="E770">
            <v>990</v>
          </cell>
          <cell r="F770">
            <v>672</v>
          </cell>
          <cell r="G770">
            <v>309</v>
          </cell>
          <cell r="H770">
            <v>34</v>
          </cell>
          <cell r="I770">
            <v>106</v>
          </cell>
          <cell r="J770">
            <v>38</v>
          </cell>
          <cell r="K770">
            <v>131</v>
          </cell>
          <cell r="L770">
            <v>9</v>
          </cell>
          <cell r="M770">
            <v>0</v>
          </cell>
          <cell r="N770">
            <v>0</v>
          </cell>
          <cell r="O770">
            <v>9</v>
          </cell>
          <cell r="P770">
            <v>24</v>
          </cell>
          <cell r="Q770">
            <v>13</v>
          </cell>
          <cell r="R770">
            <v>11</v>
          </cell>
          <cell r="S770">
            <v>981</v>
          </cell>
          <cell r="T770">
            <v>33</v>
          </cell>
        </row>
        <row r="771">
          <cell r="C771" t="str">
            <v>Roy city, Washington</v>
          </cell>
          <cell r="D771">
            <v>259</v>
          </cell>
          <cell r="E771">
            <v>249</v>
          </cell>
          <cell r="F771">
            <v>120</v>
          </cell>
          <cell r="G771">
            <v>127</v>
          </cell>
          <cell r="H771">
            <v>4</v>
          </cell>
          <cell r="I771">
            <v>43</v>
          </cell>
          <cell r="J771">
            <v>11</v>
          </cell>
          <cell r="K771">
            <v>69</v>
          </cell>
          <cell r="L771">
            <v>2</v>
          </cell>
          <cell r="M771">
            <v>0</v>
          </cell>
          <cell r="N771">
            <v>0</v>
          </cell>
          <cell r="O771">
            <v>2</v>
          </cell>
          <cell r="P771">
            <v>10</v>
          </cell>
          <cell r="Q771">
            <v>10</v>
          </cell>
          <cell r="R771">
            <v>0</v>
          </cell>
          <cell r="S771">
            <v>247</v>
          </cell>
          <cell r="T771">
            <v>12</v>
          </cell>
        </row>
        <row r="772">
          <cell r="C772" t="str">
            <v>Royal City city, Washington</v>
          </cell>
          <cell r="D772">
            <v>1840</v>
          </cell>
          <cell r="E772">
            <v>881</v>
          </cell>
          <cell r="F772">
            <v>619</v>
          </cell>
          <cell r="G772">
            <v>256</v>
          </cell>
          <cell r="H772">
            <v>12</v>
          </cell>
          <cell r="I772">
            <v>58</v>
          </cell>
          <cell r="J772">
            <v>50</v>
          </cell>
          <cell r="K772">
            <v>136</v>
          </cell>
          <cell r="L772">
            <v>6</v>
          </cell>
          <cell r="M772">
            <v>0</v>
          </cell>
          <cell r="N772">
            <v>0</v>
          </cell>
          <cell r="O772">
            <v>6</v>
          </cell>
          <cell r="P772">
            <v>959</v>
          </cell>
          <cell r="Q772">
            <v>158</v>
          </cell>
          <cell r="R772">
            <v>801</v>
          </cell>
          <cell r="S772">
            <v>875</v>
          </cell>
          <cell r="T772">
            <v>965</v>
          </cell>
        </row>
        <row r="773">
          <cell r="C773" t="str">
            <v>Ruston town, Washington</v>
          </cell>
          <cell r="D773">
            <v>742</v>
          </cell>
          <cell r="E773">
            <v>697</v>
          </cell>
          <cell r="F773">
            <v>364</v>
          </cell>
          <cell r="G773">
            <v>312</v>
          </cell>
          <cell r="H773">
            <v>36</v>
          </cell>
          <cell r="I773">
            <v>83</v>
          </cell>
          <cell r="J773">
            <v>53</v>
          </cell>
          <cell r="K773">
            <v>140</v>
          </cell>
          <cell r="L773">
            <v>21</v>
          </cell>
          <cell r="M773">
            <v>0</v>
          </cell>
          <cell r="N773">
            <v>0</v>
          </cell>
          <cell r="O773">
            <v>21</v>
          </cell>
          <cell r="P773">
            <v>45</v>
          </cell>
          <cell r="Q773">
            <v>36</v>
          </cell>
          <cell r="R773">
            <v>9</v>
          </cell>
          <cell r="S773">
            <v>676</v>
          </cell>
          <cell r="T773">
            <v>66</v>
          </cell>
        </row>
        <row r="774">
          <cell r="C774" t="str">
            <v>St. John town, Washington</v>
          </cell>
          <cell r="D774">
            <v>568</v>
          </cell>
          <cell r="E774">
            <v>558</v>
          </cell>
          <cell r="F774">
            <v>388</v>
          </cell>
          <cell r="G774">
            <v>168</v>
          </cell>
          <cell r="H774">
            <v>5</v>
          </cell>
          <cell r="I774">
            <v>41</v>
          </cell>
          <cell r="J774">
            <v>21</v>
          </cell>
          <cell r="K774">
            <v>101</v>
          </cell>
          <cell r="L774">
            <v>2</v>
          </cell>
          <cell r="M774">
            <v>2</v>
          </cell>
          <cell r="N774">
            <v>0</v>
          </cell>
          <cell r="O774">
            <v>0</v>
          </cell>
          <cell r="P774">
            <v>10</v>
          </cell>
          <cell r="Q774">
            <v>10</v>
          </cell>
          <cell r="R774">
            <v>0</v>
          </cell>
          <cell r="S774">
            <v>556</v>
          </cell>
          <cell r="T774">
            <v>12</v>
          </cell>
        </row>
        <row r="775">
          <cell r="C775" t="str">
            <v>Salmon Creek CDP, Washington</v>
          </cell>
          <cell r="D775">
            <v>16730</v>
          </cell>
          <cell r="E775">
            <v>15711</v>
          </cell>
          <cell r="F775">
            <v>5072</v>
          </cell>
          <cell r="G775">
            <v>10450</v>
          </cell>
          <cell r="H775">
            <v>562</v>
          </cell>
          <cell r="I775">
            <v>2086</v>
          </cell>
          <cell r="J775">
            <v>852</v>
          </cell>
          <cell r="K775">
            <v>6950</v>
          </cell>
          <cell r="L775">
            <v>189</v>
          </cell>
          <cell r="M775">
            <v>0</v>
          </cell>
          <cell r="N775">
            <v>20</v>
          </cell>
          <cell r="O775">
            <v>169</v>
          </cell>
          <cell r="P775">
            <v>1019</v>
          </cell>
          <cell r="Q775">
            <v>545</v>
          </cell>
          <cell r="R775">
            <v>474</v>
          </cell>
          <cell r="S775">
            <v>15522</v>
          </cell>
          <cell r="T775">
            <v>1208</v>
          </cell>
        </row>
        <row r="776">
          <cell r="C776" t="str">
            <v>Sammamish city, Washington</v>
          </cell>
          <cell r="D776">
            <v>34119</v>
          </cell>
          <cell r="E776">
            <v>30749</v>
          </cell>
          <cell r="F776">
            <v>13221</v>
          </cell>
          <cell r="G776">
            <v>17058</v>
          </cell>
          <cell r="H776">
            <v>2494</v>
          </cell>
          <cell r="I776">
            <v>4501</v>
          </cell>
          <cell r="J776">
            <v>2247</v>
          </cell>
          <cell r="K776">
            <v>7816</v>
          </cell>
          <cell r="L776">
            <v>470</v>
          </cell>
          <cell r="M776">
            <v>21</v>
          </cell>
          <cell r="N776">
            <v>9</v>
          </cell>
          <cell r="O776">
            <v>440</v>
          </cell>
          <cell r="P776">
            <v>3370</v>
          </cell>
          <cell r="Q776">
            <v>1511</v>
          </cell>
          <cell r="R776">
            <v>1859</v>
          </cell>
          <cell r="S776">
            <v>30279</v>
          </cell>
          <cell r="T776">
            <v>3840</v>
          </cell>
        </row>
        <row r="777">
          <cell r="C777" t="str">
            <v>Satsop CDP, Washington</v>
          </cell>
          <cell r="D777">
            <v>648</v>
          </cell>
          <cell r="E777">
            <v>645</v>
          </cell>
          <cell r="F777">
            <v>439</v>
          </cell>
          <cell r="G777">
            <v>206</v>
          </cell>
          <cell r="H777">
            <v>21</v>
          </cell>
          <cell r="I777">
            <v>68</v>
          </cell>
          <cell r="J777">
            <v>23</v>
          </cell>
          <cell r="K777">
            <v>94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3</v>
          </cell>
          <cell r="Q777">
            <v>0</v>
          </cell>
          <cell r="R777">
            <v>3</v>
          </cell>
          <cell r="S777">
            <v>645</v>
          </cell>
          <cell r="T777">
            <v>3</v>
          </cell>
        </row>
        <row r="778">
          <cell r="C778" t="str">
            <v>Satus CDP, Washington</v>
          </cell>
          <cell r="D778">
            <v>744</v>
          </cell>
          <cell r="E778">
            <v>671</v>
          </cell>
          <cell r="F778">
            <v>485</v>
          </cell>
          <cell r="G778">
            <v>186</v>
          </cell>
          <cell r="H778">
            <v>0</v>
          </cell>
          <cell r="I778">
            <v>42</v>
          </cell>
          <cell r="J778">
            <v>69</v>
          </cell>
          <cell r="K778">
            <v>75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73</v>
          </cell>
          <cell r="Q778">
            <v>26</v>
          </cell>
          <cell r="R778">
            <v>47</v>
          </cell>
          <cell r="S778">
            <v>671</v>
          </cell>
          <cell r="T778">
            <v>73</v>
          </cell>
        </row>
        <row r="779">
          <cell r="C779" t="str">
            <v>SeaTac city, Washington</v>
          </cell>
          <cell r="D779">
            <v>25523</v>
          </cell>
          <cell r="E779">
            <v>19760</v>
          </cell>
          <cell r="F779">
            <v>11086</v>
          </cell>
          <cell r="G779">
            <v>8192</v>
          </cell>
          <cell r="H779">
            <v>717</v>
          </cell>
          <cell r="I779">
            <v>2549</v>
          </cell>
          <cell r="J779">
            <v>1192</v>
          </cell>
          <cell r="K779">
            <v>3734</v>
          </cell>
          <cell r="L779">
            <v>482</v>
          </cell>
          <cell r="M779">
            <v>6</v>
          </cell>
          <cell r="N779">
            <v>228</v>
          </cell>
          <cell r="O779">
            <v>248</v>
          </cell>
          <cell r="P779">
            <v>5763</v>
          </cell>
          <cell r="Q779">
            <v>1707</v>
          </cell>
          <cell r="R779">
            <v>4056</v>
          </cell>
          <cell r="S779">
            <v>19278</v>
          </cell>
          <cell r="T779">
            <v>6245</v>
          </cell>
        </row>
        <row r="780">
          <cell r="C780" t="str">
            <v>Seattle city, Washington</v>
          </cell>
          <cell r="D780">
            <v>563375</v>
          </cell>
          <cell r="E780">
            <v>468423</v>
          </cell>
          <cell r="F780">
            <v>218787</v>
          </cell>
          <cell r="G780">
            <v>239977</v>
          </cell>
          <cell r="H780">
            <v>39747</v>
          </cell>
          <cell r="I780">
            <v>66111</v>
          </cell>
          <cell r="J780">
            <v>43241</v>
          </cell>
          <cell r="K780">
            <v>90878</v>
          </cell>
          <cell r="L780">
            <v>9659</v>
          </cell>
          <cell r="M780">
            <v>429</v>
          </cell>
          <cell r="N780">
            <v>984</v>
          </cell>
          <cell r="O780">
            <v>8246</v>
          </cell>
          <cell r="P780">
            <v>94952</v>
          </cell>
          <cell r="Q780">
            <v>44334</v>
          </cell>
          <cell r="R780">
            <v>50618</v>
          </cell>
          <cell r="S780">
            <v>458764</v>
          </cell>
          <cell r="T780">
            <v>104611</v>
          </cell>
        </row>
        <row r="781">
          <cell r="C781" t="str">
            <v>Seattle Hill-Silver Firs CDP, Washington</v>
          </cell>
          <cell r="D781">
            <v>35551</v>
          </cell>
          <cell r="E781">
            <v>32294</v>
          </cell>
          <cell r="F781">
            <v>18909</v>
          </cell>
          <cell r="G781">
            <v>12845</v>
          </cell>
          <cell r="H781">
            <v>1305</v>
          </cell>
          <cell r="I781">
            <v>3658</v>
          </cell>
          <cell r="J781">
            <v>1645</v>
          </cell>
          <cell r="K781">
            <v>6237</v>
          </cell>
          <cell r="L781">
            <v>540</v>
          </cell>
          <cell r="M781">
            <v>7</v>
          </cell>
          <cell r="N781">
            <v>32</v>
          </cell>
          <cell r="O781">
            <v>501</v>
          </cell>
          <cell r="P781">
            <v>3257</v>
          </cell>
          <cell r="Q781">
            <v>1890</v>
          </cell>
          <cell r="R781">
            <v>1367</v>
          </cell>
          <cell r="S781">
            <v>31754</v>
          </cell>
          <cell r="T781">
            <v>3797</v>
          </cell>
        </row>
        <row r="782">
          <cell r="C782" t="str">
            <v>Sedro-Woolley city, Washington</v>
          </cell>
          <cell r="D782">
            <v>8698</v>
          </cell>
          <cell r="E782">
            <v>8375</v>
          </cell>
          <cell r="F782">
            <v>5225</v>
          </cell>
          <cell r="G782">
            <v>3032</v>
          </cell>
          <cell r="H782">
            <v>238</v>
          </cell>
          <cell r="I782">
            <v>821</v>
          </cell>
          <cell r="J782">
            <v>532</v>
          </cell>
          <cell r="K782">
            <v>1441</v>
          </cell>
          <cell r="L782">
            <v>118</v>
          </cell>
          <cell r="M782">
            <v>11</v>
          </cell>
          <cell r="N782">
            <v>5</v>
          </cell>
          <cell r="O782">
            <v>102</v>
          </cell>
          <cell r="P782">
            <v>323</v>
          </cell>
          <cell r="Q782">
            <v>129</v>
          </cell>
          <cell r="R782">
            <v>194</v>
          </cell>
          <cell r="S782">
            <v>8257</v>
          </cell>
          <cell r="T782">
            <v>441</v>
          </cell>
        </row>
        <row r="783">
          <cell r="C783" t="str">
            <v>Selah city, Washington</v>
          </cell>
          <cell r="D783">
            <v>6413</v>
          </cell>
          <cell r="E783">
            <v>6123</v>
          </cell>
          <cell r="F783">
            <v>3840</v>
          </cell>
          <cell r="G783">
            <v>2265</v>
          </cell>
          <cell r="H783">
            <v>199</v>
          </cell>
          <cell r="I783">
            <v>554</v>
          </cell>
          <cell r="J783">
            <v>415</v>
          </cell>
          <cell r="K783">
            <v>1097</v>
          </cell>
          <cell r="L783">
            <v>18</v>
          </cell>
          <cell r="M783">
            <v>0</v>
          </cell>
          <cell r="N783">
            <v>0</v>
          </cell>
          <cell r="O783">
            <v>18</v>
          </cell>
          <cell r="P783">
            <v>290</v>
          </cell>
          <cell r="Q783">
            <v>142</v>
          </cell>
          <cell r="R783">
            <v>148</v>
          </cell>
          <cell r="S783">
            <v>6105</v>
          </cell>
          <cell r="T783">
            <v>308</v>
          </cell>
        </row>
        <row r="784">
          <cell r="C784" t="str">
            <v>Sequim city, Washington</v>
          </cell>
          <cell r="D784">
            <v>4323</v>
          </cell>
          <cell r="E784">
            <v>3954</v>
          </cell>
          <cell r="F784">
            <v>1403</v>
          </cell>
          <cell r="G784">
            <v>2526</v>
          </cell>
          <cell r="H784">
            <v>321</v>
          </cell>
          <cell r="I784">
            <v>768</v>
          </cell>
          <cell r="J784">
            <v>348</v>
          </cell>
          <cell r="K784">
            <v>1089</v>
          </cell>
          <cell r="L784">
            <v>25</v>
          </cell>
          <cell r="M784">
            <v>0</v>
          </cell>
          <cell r="N784">
            <v>0</v>
          </cell>
          <cell r="O784">
            <v>25</v>
          </cell>
          <cell r="P784">
            <v>369</v>
          </cell>
          <cell r="Q784">
            <v>203</v>
          </cell>
          <cell r="R784">
            <v>166</v>
          </cell>
          <cell r="S784">
            <v>3929</v>
          </cell>
          <cell r="T784">
            <v>394</v>
          </cell>
        </row>
        <row r="785">
          <cell r="C785" t="str">
            <v>Shaker Church CDP, Washington</v>
          </cell>
          <cell r="D785">
            <v>709</v>
          </cell>
          <cell r="E785">
            <v>690</v>
          </cell>
          <cell r="F785">
            <v>478</v>
          </cell>
          <cell r="G785">
            <v>199</v>
          </cell>
          <cell r="H785">
            <v>25</v>
          </cell>
          <cell r="I785">
            <v>51</v>
          </cell>
          <cell r="J785">
            <v>41</v>
          </cell>
          <cell r="K785">
            <v>82</v>
          </cell>
          <cell r="L785">
            <v>13</v>
          </cell>
          <cell r="M785">
            <v>0</v>
          </cell>
          <cell r="N785">
            <v>0</v>
          </cell>
          <cell r="O785">
            <v>13</v>
          </cell>
          <cell r="P785">
            <v>19</v>
          </cell>
          <cell r="Q785">
            <v>16</v>
          </cell>
          <cell r="R785">
            <v>3</v>
          </cell>
          <cell r="S785">
            <v>677</v>
          </cell>
          <cell r="T785">
            <v>32</v>
          </cell>
        </row>
        <row r="786">
          <cell r="C786" t="str">
            <v>Shelton city, Washington</v>
          </cell>
          <cell r="D786">
            <v>8422</v>
          </cell>
          <cell r="E786">
            <v>7709</v>
          </cell>
          <cell r="F786">
            <v>4566</v>
          </cell>
          <cell r="G786">
            <v>3016</v>
          </cell>
          <cell r="H786">
            <v>167</v>
          </cell>
          <cell r="I786">
            <v>891</v>
          </cell>
          <cell r="J786">
            <v>524</v>
          </cell>
          <cell r="K786">
            <v>1434</v>
          </cell>
          <cell r="L786">
            <v>127</v>
          </cell>
          <cell r="M786">
            <v>12</v>
          </cell>
          <cell r="N786">
            <v>25</v>
          </cell>
          <cell r="O786">
            <v>90</v>
          </cell>
          <cell r="P786">
            <v>713</v>
          </cell>
          <cell r="Q786">
            <v>232</v>
          </cell>
          <cell r="R786">
            <v>481</v>
          </cell>
          <cell r="S786">
            <v>7582</v>
          </cell>
          <cell r="T786">
            <v>840</v>
          </cell>
        </row>
        <row r="787">
          <cell r="C787" t="str">
            <v>Shoreline city, Washington</v>
          </cell>
          <cell r="D787">
            <v>52954</v>
          </cell>
          <cell r="E787">
            <v>44012</v>
          </cell>
          <cell r="F787">
            <v>25874</v>
          </cell>
          <cell r="G787">
            <v>17457</v>
          </cell>
          <cell r="H787">
            <v>2038</v>
          </cell>
          <cell r="I787">
            <v>5389</v>
          </cell>
          <cell r="J787">
            <v>2539</v>
          </cell>
          <cell r="K787">
            <v>7491</v>
          </cell>
          <cell r="L787">
            <v>681</v>
          </cell>
          <cell r="M787">
            <v>34</v>
          </cell>
          <cell r="N787">
            <v>123</v>
          </cell>
          <cell r="O787">
            <v>524</v>
          </cell>
          <cell r="P787">
            <v>8942</v>
          </cell>
          <cell r="Q787">
            <v>4723</v>
          </cell>
          <cell r="R787">
            <v>4219</v>
          </cell>
          <cell r="S787">
            <v>43331</v>
          </cell>
          <cell r="T787">
            <v>9623</v>
          </cell>
        </row>
        <row r="788">
          <cell r="C788" t="str">
            <v>Silvana CDP, Washington</v>
          </cell>
          <cell r="D788">
            <v>96</v>
          </cell>
          <cell r="E788">
            <v>96</v>
          </cell>
          <cell r="F788">
            <v>96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96</v>
          </cell>
          <cell r="T788">
            <v>0</v>
          </cell>
        </row>
        <row r="789">
          <cell r="C789" t="str">
            <v>Silverdale CDP, Washington</v>
          </cell>
          <cell r="D789">
            <v>15768</v>
          </cell>
          <cell r="E789">
            <v>14178</v>
          </cell>
          <cell r="F789">
            <v>4283</v>
          </cell>
          <cell r="G789">
            <v>9226</v>
          </cell>
          <cell r="H789">
            <v>1180</v>
          </cell>
          <cell r="I789">
            <v>2218</v>
          </cell>
          <cell r="J789">
            <v>1860</v>
          </cell>
          <cell r="K789">
            <v>3968</v>
          </cell>
          <cell r="L789">
            <v>669</v>
          </cell>
          <cell r="M789">
            <v>7</v>
          </cell>
          <cell r="N789">
            <v>121</v>
          </cell>
          <cell r="O789">
            <v>541</v>
          </cell>
          <cell r="P789">
            <v>1590</v>
          </cell>
          <cell r="Q789">
            <v>1260</v>
          </cell>
          <cell r="R789">
            <v>330</v>
          </cell>
          <cell r="S789">
            <v>13509</v>
          </cell>
          <cell r="T789">
            <v>2259</v>
          </cell>
        </row>
        <row r="790">
          <cell r="C790" t="str">
            <v>Skokomish CDP, Washington</v>
          </cell>
          <cell r="D790">
            <v>648</v>
          </cell>
          <cell r="E790">
            <v>647</v>
          </cell>
          <cell r="F790">
            <v>562</v>
          </cell>
          <cell r="G790">
            <v>82</v>
          </cell>
          <cell r="H790">
            <v>6</v>
          </cell>
          <cell r="I790">
            <v>17</v>
          </cell>
          <cell r="J790">
            <v>5</v>
          </cell>
          <cell r="K790">
            <v>54</v>
          </cell>
          <cell r="L790">
            <v>3</v>
          </cell>
          <cell r="M790">
            <v>0</v>
          </cell>
          <cell r="N790">
            <v>3</v>
          </cell>
          <cell r="O790">
            <v>0</v>
          </cell>
          <cell r="P790">
            <v>1</v>
          </cell>
          <cell r="Q790">
            <v>0</v>
          </cell>
          <cell r="R790">
            <v>1</v>
          </cell>
          <cell r="S790">
            <v>644</v>
          </cell>
          <cell r="T790">
            <v>4</v>
          </cell>
        </row>
        <row r="791">
          <cell r="C791" t="str">
            <v>Skykomish town, Washington</v>
          </cell>
          <cell r="D791">
            <v>212</v>
          </cell>
          <cell r="E791">
            <v>205</v>
          </cell>
          <cell r="F791">
            <v>101</v>
          </cell>
          <cell r="G791">
            <v>103</v>
          </cell>
          <cell r="H791">
            <v>7</v>
          </cell>
          <cell r="I791">
            <v>20</v>
          </cell>
          <cell r="J791">
            <v>19</v>
          </cell>
          <cell r="K791">
            <v>57</v>
          </cell>
          <cell r="L791">
            <v>1</v>
          </cell>
          <cell r="M791">
            <v>0</v>
          </cell>
          <cell r="N791">
            <v>0</v>
          </cell>
          <cell r="O791">
            <v>1</v>
          </cell>
          <cell r="P791">
            <v>7</v>
          </cell>
          <cell r="Q791">
            <v>2</v>
          </cell>
          <cell r="R791">
            <v>5</v>
          </cell>
          <cell r="S791">
            <v>204</v>
          </cell>
          <cell r="T791">
            <v>8</v>
          </cell>
        </row>
        <row r="792">
          <cell r="C792" t="str">
            <v>Smokey Point CDP, Washington</v>
          </cell>
          <cell r="D792">
            <v>1547</v>
          </cell>
          <cell r="E792">
            <v>1469</v>
          </cell>
          <cell r="F792">
            <v>807</v>
          </cell>
          <cell r="G792">
            <v>641</v>
          </cell>
          <cell r="H792">
            <v>120</v>
          </cell>
          <cell r="I792">
            <v>204</v>
          </cell>
          <cell r="J792">
            <v>74</v>
          </cell>
          <cell r="K792">
            <v>243</v>
          </cell>
          <cell r="L792">
            <v>21</v>
          </cell>
          <cell r="M792">
            <v>0</v>
          </cell>
          <cell r="N792">
            <v>0</v>
          </cell>
          <cell r="O792">
            <v>21</v>
          </cell>
          <cell r="P792">
            <v>78</v>
          </cell>
          <cell r="Q792">
            <v>57</v>
          </cell>
          <cell r="R792">
            <v>21</v>
          </cell>
          <cell r="S792">
            <v>1448</v>
          </cell>
          <cell r="T792">
            <v>99</v>
          </cell>
        </row>
        <row r="793">
          <cell r="C793" t="str">
            <v>Snohomish city, Washington</v>
          </cell>
          <cell r="D793">
            <v>8454</v>
          </cell>
          <cell r="E793">
            <v>8060</v>
          </cell>
          <cell r="F793">
            <v>4747</v>
          </cell>
          <cell r="G793">
            <v>3220</v>
          </cell>
          <cell r="H793">
            <v>359</v>
          </cell>
          <cell r="I793">
            <v>802</v>
          </cell>
          <cell r="J793">
            <v>394</v>
          </cell>
          <cell r="K793">
            <v>1665</v>
          </cell>
          <cell r="L793">
            <v>93</v>
          </cell>
          <cell r="M793">
            <v>0</v>
          </cell>
          <cell r="N793">
            <v>9</v>
          </cell>
          <cell r="O793">
            <v>84</v>
          </cell>
          <cell r="P793">
            <v>394</v>
          </cell>
          <cell r="Q793">
            <v>173</v>
          </cell>
          <cell r="R793">
            <v>221</v>
          </cell>
          <cell r="S793">
            <v>7967</v>
          </cell>
          <cell r="T793">
            <v>487</v>
          </cell>
        </row>
        <row r="794">
          <cell r="C794" t="str">
            <v>Snoqualmie city, Washington</v>
          </cell>
          <cell r="D794">
            <v>1659</v>
          </cell>
          <cell r="E794">
            <v>1574</v>
          </cell>
          <cell r="F794">
            <v>936</v>
          </cell>
          <cell r="G794">
            <v>617</v>
          </cell>
          <cell r="H794">
            <v>54</v>
          </cell>
          <cell r="I794">
            <v>169</v>
          </cell>
          <cell r="J794">
            <v>84</v>
          </cell>
          <cell r="K794">
            <v>310</v>
          </cell>
          <cell r="L794">
            <v>21</v>
          </cell>
          <cell r="M794">
            <v>0</v>
          </cell>
          <cell r="N794">
            <v>3</v>
          </cell>
          <cell r="O794">
            <v>18</v>
          </cell>
          <cell r="P794">
            <v>85</v>
          </cell>
          <cell r="Q794">
            <v>48</v>
          </cell>
          <cell r="R794">
            <v>37</v>
          </cell>
          <cell r="S794">
            <v>1553</v>
          </cell>
          <cell r="T794">
            <v>106</v>
          </cell>
        </row>
        <row r="795">
          <cell r="C795" t="str">
            <v>Snoqualmie Pass CDP, Washington</v>
          </cell>
          <cell r="D795">
            <v>212</v>
          </cell>
          <cell r="E795">
            <v>208</v>
          </cell>
          <cell r="F795">
            <v>125</v>
          </cell>
          <cell r="G795">
            <v>75</v>
          </cell>
          <cell r="H795">
            <v>2</v>
          </cell>
          <cell r="I795">
            <v>29</v>
          </cell>
          <cell r="J795">
            <v>13</v>
          </cell>
          <cell r="K795">
            <v>31</v>
          </cell>
          <cell r="L795">
            <v>8</v>
          </cell>
          <cell r="M795">
            <v>0</v>
          </cell>
          <cell r="N795">
            <v>0</v>
          </cell>
          <cell r="O795">
            <v>8</v>
          </cell>
          <cell r="P795">
            <v>4</v>
          </cell>
          <cell r="Q795">
            <v>2</v>
          </cell>
          <cell r="R795">
            <v>2</v>
          </cell>
          <cell r="S795">
            <v>200</v>
          </cell>
          <cell r="T795">
            <v>12</v>
          </cell>
        </row>
        <row r="796">
          <cell r="C796" t="str">
            <v>Soap Lake city, Washington</v>
          </cell>
          <cell r="D796">
            <v>1741</v>
          </cell>
          <cell r="E796">
            <v>1428</v>
          </cell>
          <cell r="F796">
            <v>805</v>
          </cell>
          <cell r="G796">
            <v>621</v>
          </cell>
          <cell r="H796">
            <v>22</v>
          </cell>
          <cell r="I796">
            <v>144</v>
          </cell>
          <cell r="J796">
            <v>119</v>
          </cell>
          <cell r="K796">
            <v>336</v>
          </cell>
          <cell r="L796">
            <v>2</v>
          </cell>
          <cell r="M796">
            <v>0</v>
          </cell>
          <cell r="N796">
            <v>0</v>
          </cell>
          <cell r="O796">
            <v>2</v>
          </cell>
          <cell r="P796">
            <v>313</v>
          </cell>
          <cell r="Q796">
            <v>49</v>
          </cell>
          <cell r="R796">
            <v>264</v>
          </cell>
          <cell r="S796">
            <v>1426</v>
          </cell>
          <cell r="T796">
            <v>315</v>
          </cell>
        </row>
        <row r="797">
          <cell r="C797" t="str">
            <v>South Bend city, Washington</v>
          </cell>
          <cell r="D797">
            <v>1873</v>
          </cell>
          <cell r="E797">
            <v>1698</v>
          </cell>
          <cell r="F797">
            <v>1079</v>
          </cell>
          <cell r="G797">
            <v>604</v>
          </cell>
          <cell r="H797">
            <v>28</v>
          </cell>
          <cell r="I797">
            <v>164</v>
          </cell>
          <cell r="J797">
            <v>86</v>
          </cell>
          <cell r="K797">
            <v>326</v>
          </cell>
          <cell r="L797">
            <v>15</v>
          </cell>
          <cell r="M797">
            <v>0</v>
          </cell>
          <cell r="N797">
            <v>0</v>
          </cell>
          <cell r="O797">
            <v>15</v>
          </cell>
          <cell r="P797">
            <v>175</v>
          </cell>
          <cell r="Q797">
            <v>65</v>
          </cell>
          <cell r="R797">
            <v>110</v>
          </cell>
          <cell r="S797">
            <v>1683</v>
          </cell>
          <cell r="T797">
            <v>190</v>
          </cell>
        </row>
        <row r="798">
          <cell r="C798" t="str">
            <v>South Cle Elum town, Washington</v>
          </cell>
          <cell r="D798">
            <v>460</v>
          </cell>
          <cell r="E798">
            <v>454</v>
          </cell>
          <cell r="F798">
            <v>338</v>
          </cell>
          <cell r="G798">
            <v>116</v>
          </cell>
          <cell r="H798">
            <v>5</v>
          </cell>
          <cell r="I798">
            <v>31</v>
          </cell>
          <cell r="J798">
            <v>11</v>
          </cell>
          <cell r="K798">
            <v>69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6</v>
          </cell>
          <cell r="Q798">
            <v>0</v>
          </cell>
          <cell r="R798">
            <v>6</v>
          </cell>
          <cell r="S798">
            <v>454</v>
          </cell>
          <cell r="T798">
            <v>6</v>
          </cell>
        </row>
        <row r="799">
          <cell r="C799" t="str">
            <v>South Hill CDP, Washington</v>
          </cell>
          <cell r="D799">
            <v>31831</v>
          </cell>
          <cell r="E799">
            <v>30195</v>
          </cell>
          <cell r="F799">
            <v>16216</v>
          </cell>
          <cell r="G799">
            <v>13525</v>
          </cell>
          <cell r="H799">
            <v>1224</v>
          </cell>
          <cell r="I799">
            <v>3355</v>
          </cell>
          <cell r="J799">
            <v>2181</v>
          </cell>
          <cell r="K799">
            <v>6765</v>
          </cell>
          <cell r="L799">
            <v>454</v>
          </cell>
          <cell r="M799">
            <v>0</v>
          </cell>
          <cell r="N799">
            <v>38</v>
          </cell>
          <cell r="O799">
            <v>416</v>
          </cell>
          <cell r="P799">
            <v>1636</v>
          </cell>
          <cell r="Q799">
            <v>1065</v>
          </cell>
          <cell r="R799">
            <v>571</v>
          </cell>
          <cell r="S799">
            <v>29741</v>
          </cell>
          <cell r="T799">
            <v>2090</v>
          </cell>
        </row>
        <row r="800">
          <cell r="C800" t="str">
            <v>South Prairie town, Washington</v>
          </cell>
          <cell r="D800">
            <v>452</v>
          </cell>
          <cell r="E800">
            <v>443</v>
          </cell>
          <cell r="F800">
            <v>308</v>
          </cell>
          <cell r="G800">
            <v>124</v>
          </cell>
          <cell r="H800">
            <v>2</v>
          </cell>
          <cell r="I800">
            <v>32</v>
          </cell>
          <cell r="J800">
            <v>14</v>
          </cell>
          <cell r="K800">
            <v>76</v>
          </cell>
          <cell r="L800">
            <v>11</v>
          </cell>
          <cell r="M800">
            <v>0</v>
          </cell>
          <cell r="N800">
            <v>0</v>
          </cell>
          <cell r="O800">
            <v>11</v>
          </cell>
          <cell r="P800">
            <v>9</v>
          </cell>
          <cell r="Q800">
            <v>6</v>
          </cell>
          <cell r="R800">
            <v>3</v>
          </cell>
          <cell r="S800">
            <v>432</v>
          </cell>
          <cell r="T800">
            <v>20</v>
          </cell>
        </row>
        <row r="801">
          <cell r="C801" t="str">
            <v>South Wenatchee CDP, Washington</v>
          </cell>
          <cell r="D801">
            <v>2047</v>
          </cell>
          <cell r="E801">
            <v>1561</v>
          </cell>
          <cell r="F801">
            <v>986</v>
          </cell>
          <cell r="G801">
            <v>538</v>
          </cell>
          <cell r="H801">
            <v>21</v>
          </cell>
          <cell r="I801">
            <v>139</v>
          </cell>
          <cell r="J801">
            <v>81</v>
          </cell>
          <cell r="K801">
            <v>297</v>
          </cell>
          <cell r="L801">
            <v>37</v>
          </cell>
          <cell r="M801">
            <v>0</v>
          </cell>
          <cell r="N801">
            <v>0</v>
          </cell>
          <cell r="O801">
            <v>37</v>
          </cell>
          <cell r="P801">
            <v>486</v>
          </cell>
          <cell r="Q801">
            <v>56</v>
          </cell>
          <cell r="R801">
            <v>430</v>
          </cell>
          <cell r="S801">
            <v>1524</v>
          </cell>
          <cell r="T801">
            <v>523</v>
          </cell>
        </row>
        <row r="802">
          <cell r="C802" t="str">
            <v>Spanaway CDP, Washington</v>
          </cell>
          <cell r="D802">
            <v>21447</v>
          </cell>
          <cell r="E802">
            <v>19659</v>
          </cell>
          <cell r="F802">
            <v>9349</v>
          </cell>
          <cell r="G802">
            <v>9098</v>
          </cell>
          <cell r="H802">
            <v>1095</v>
          </cell>
          <cell r="I802">
            <v>2280</v>
          </cell>
          <cell r="J802">
            <v>2414</v>
          </cell>
          <cell r="K802">
            <v>3309</v>
          </cell>
          <cell r="L802">
            <v>1212</v>
          </cell>
          <cell r="M802">
            <v>108</v>
          </cell>
          <cell r="N802">
            <v>359</v>
          </cell>
          <cell r="O802">
            <v>745</v>
          </cell>
          <cell r="P802">
            <v>1788</v>
          </cell>
          <cell r="Q802">
            <v>1103</v>
          </cell>
          <cell r="R802">
            <v>685</v>
          </cell>
          <cell r="S802">
            <v>18447</v>
          </cell>
          <cell r="T802">
            <v>3000</v>
          </cell>
        </row>
        <row r="803">
          <cell r="C803" t="str">
            <v>Spangle town, Washington</v>
          </cell>
          <cell r="D803">
            <v>223</v>
          </cell>
          <cell r="E803">
            <v>219</v>
          </cell>
          <cell r="F803">
            <v>145</v>
          </cell>
          <cell r="G803">
            <v>71</v>
          </cell>
          <cell r="H803">
            <v>5</v>
          </cell>
          <cell r="I803">
            <v>8</v>
          </cell>
          <cell r="J803">
            <v>22</v>
          </cell>
          <cell r="K803">
            <v>36</v>
          </cell>
          <cell r="L803">
            <v>3</v>
          </cell>
          <cell r="M803">
            <v>0</v>
          </cell>
          <cell r="N803">
            <v>0</v>
          </cell>
          <cell r="O803">
            <v>3</v>
          </cell>
          <cell r="P803">
            <v>4</v>
          </cell>
          <cell r="Q803">
            <v>4</v>
          </cell>
          <cell r="R803">
            <v>0</v>
          </cell>
          <cell r="S803">
            <v>216</v>
          </cell>
          <cell r="T803">
            <v>7</v>
          </cell>
        </row>
        <row r="804">
          <cell r="C804" t="str">
            <v>Spokane city, Washington</v>
          </cell>
          <cell r="D804">
            <v>196143</v>
          </cell>
          <cell r="E804">
            <v>185047</v>
          </cell>
          <cell r="F804">
            <v>103334</v>
          </cell>
          <cell r="G804">
            <v>79097</v>
          </cell>
          <cell r="H804">
            <v>6343</v>
          </cell>
          <cell r="I804">
            <v>19354</v>
          </cell>
          <cell r="J804">
            <v>9676</v>
          </cell>
          <cell r="K804">
            <v>43724</v>
          </cell>
          <cell r="L804">
            <v>2616</v>
          </cell>
          <cell r="M804">
            <v>155</v>
          </cell>
          <cell r="N804">
            <v>190</v>
          </cell>
          <cell r="O804">
            <v>2271</v>
          </cell>
          <cell r="P804">
            <v>11096</v>
          </cell>
          <cell r="Q804">
            <v>4486</v>
          </cell>
          <cell r="R804">
            <v>6610</v>
          </cell>
          <cell r="S804">
            <v>182431</v>
          </cell>
          <cell r="T804">
            <v>13712</v>
          </cell>
        </row>
        <row r="805">
          <cell r="C805" t="str">
            <v>Sprague city, Washington</v>
          </cell>
          <cell r="D805">
            <v>478</v>
          </cell>
          <cell r="E805">
            <v>461</v>
          </cell>
          <cell r="F805">
            <v>278</v>
          </cell>
          <cell r="G805">
            <v>175</v>
          </cell>
          <cell r="H805">
            <v>7</v>
          </cell>
          <cell r="I805">
            <v>38</v>
          </cell>
          <cell r="J805">
            <v>22</v>
          </cell>
          <cell r="K805">
            <v>108</v>
          </cell>
          <cell r="L805">
            <v>8</v>
          </cell>
          <cell r="M805">
            <v>1</v>
          </cell>
          <cell r="N805">
            <v>0</v>
          </cell>
          <cell r="O805">
            <v>7</v>
          </cell>
          <cell r="P805">
            <v>17</v>
          </cell>
          <cell r="Q805">
            <v>11</v>
          </cell>
          <cell r="R805">
            <v>6</v>
          </cell>
          <cell r="S805">
            <v>453</v>
          </cell>
          <cell r="T805">
            <v>25</v>
          </cell>
        </row>
        <row r="806">
          <cell r="C806" t="str">
            <v>Springdale town, Washington</v>
          </cell>
          <cell r="D806">
            <v>323</v>
          </cell>
          <cell r="E806">
            <v>318</v>
          </cell>
          <cell r="F806">
            <v>198</v>
          </cell>
          <cell r="G806">
            <v>118</v>
          </cell>
          <cell r="H806">
            <v>2</v>
          </cell>
          <cell r="I806">
            <v>28</v>
          </cell>
          <cell r="J806">
            <v>14</v>
          </cell>
          <cell r="K806">
            <v>74</v>
          </cell>
          <cell r="L806">
            <v>2</v>
          </cell>
          <cell r="M806">
            <v>0</v>
          </cell>
          <cell r="N806">
            <v>2</v>
          </cell>
          <cell r="O806">
            <v>0</v>
          </cell>
          <cell r="P806">
            <v>5</v>
          </cell>
          <cell r="Q806">
            <v>5</v>
          </cell>
          <cell r="R806">
            <v>0</v>
          </cell>
          <cell r="S806">
            <v>316</v>
          </cell>
          <cell r="T806">
            <v>7</v>
          </cell>
        </row>
        <row r="807">
          <cell r="C807" t="str">
            <v>Stanwood city, Washington</v>
          </cell>
          <cell r="D807">
            <v>3858</v>
          </cell>
          <cell r="E807">
            <v>3699</v>
          </cell>
          <cell r="F807">
            <v>2162</v>
          </cell>
          <cell r="G807">
            <v>1483</v>
          </cell>
          <cell r="H807">
            <v>69</v>
          </cell>
          <cell r="I807">
            <v>372</v>
          </cell>
          <cell r="J807">
            <v>270</v>
          </cell>
          <cell r="K807">
            <v>772</v>
          </cell>
          <cell r="L807">
            <v>54</v>
          </cell>
          <cell r="M807">
            <v>0</v>
          </cell>
          <cell r="N807">
            <v>8</v>
          </cell>
          <cell r="O807">
            <v>46</v>
          </cell>
          <cell r="P807">
            <v>159</v>
          </cell>
          <cell r="Q807">
            <v>28</v>
          </cell>
          <cell r="R807">
            <v>131</v>
          </cell>
          <cell r="S807">
            <v>3645</v>
          </cell>
          <cell r="T807">
            <v>213</v>
          </cell>
        </row>
        <row r="808">
          <cell r="C808" t="str">
            <v>Starbuck town, Washington</v>
          </cell>
          <cell r="D808">
            <v>115</v>
          </cell>
          <cell r="E808">
            <v>115</v>
          </cell>
          <cell r="F808">
            <v>52</v>
          </cell>
          <cell r="G808">
            <v>63</v>
          </cell>
          <cell r="H808">
            <v>14</v>
          </cell>
          <cell r="I808">
            <v>4</v>
          </cell>
          <cell r="J808">
            <v>8</v>
          </cell>
          <cell r="K808">
            <v>37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115</v>
          </cell>
          <cell r="T808">
            <v>0</v>
          </cell>
        </row>
        <row r="809">
          <cell r="C809" t="str">
            <v>Startup CDP, Washington</v>
          </cell>
          <cell r="D809">
            <v>785</v>
          </cell>
          <cell r="E809">
            <v>754</v>
          </cell>
          <cell r="F809">
            <v>501</v>
          </cell>
          <cell r="G809">
            <v>239</v>
          </cell>
          <cell r="H809">
            <v>22</v>
          </cell>
          <cell r="I809">
            <v>46</v>
          </cell>
          <cell r="J809">
            <v>31</v>
          </cell>
          <cell r="K809">
            <v>140</v>
          </cell>
          <cell r="L809">
            <v>14</v>
          </cell>
          <cell r="M809">
            <v>0</v>
          </cell>
          <cell r="N809">
            <v>0</v>
          </cell>
          <cell r="O809">
            <v>14</v>
          </cell>
          <cell r="P809">
            <v>31</v>
          </cell>
          <cell r="Q809">
            <v>13</v>
          </cell>
          <cell r="R809">
            <v>18</v>
          </cell>
          <cell r="S809">
            <v>740</v>
          </cell>
          <cell r="T809">
            <v>45</v>
          </cell>
        </row>
        <row r="810">
          <cell r="C810" t="str">
            <v>Steilacoom town, Washington</v>
          </cell>
          <cell r="D810">
            <v>5980</v>
          </cell>
          <cell r="E810">
            <v>5364</v>
          </cell>
          <cell r="F810">
            <v>1867</v>
          </cell>
          <cell r="G810">
            <v>3233</v>
          </cell>
          <cell r="H810">
            <v>407</v>
          </cell>
          <cell r="I810">
            <v>953</v>
          </cell>
          <cell r="J810">
            <v>789</v>
          </cell>
          <cell r="K810">
            <v>1084</v>
          </cell>
          <cell r="L810">
            <v>264</v>
          </cell>
          <cell r="M810">
            <v>13</v>
          </cell>
          <cell r="N810">
            <v>0</v>
          </cell>
          <cell r="O810">
            <v>251</v>
          </cell>
          <cell r="P810">
            <v>616</v>
          </cell>
          <cell r="Q810">
            <v>406</v>
          </cell>
          <cell r="R810">
            <v>210</v>
          </cell>
          <cell r="S810">
            <v>5100</v>
          </cell>
          <cell r="T810">
            <v>880</v>
          </cell>
        </row>
        <row r="811">
          <cell r="C811" t="str">
            <v>Stevenson city, Washington</v>
          </cell>
          <cell r="D811">
            <v>1211</v>
          </cell>
          <cell r="E811">
            <v>1189</v>
          </cell>
          <cell r="F811">
            <v>409</v>
          </cell>
          <cell r="G811">
            <v>773</v>
          </cell>
          <cell r="H811">
            <v>34</v>
          </cell>
          <cell r="I811">
            <v>148</v>
          </cell>
          <cell r="J811">
            <v>70</v>
          </cell>
          <cell r="K811">
            <v>521</v>
          </cell>
          <cell r="L811">
            <v>7</v>
          </cell>
          <cell r="M811">
            <v>0</v>
          </cell>
          <cell r="N811">
            <v>0</v>
          </cell>
          <cell r="O811">
            <v>7</v>
          </cell>
          <cell r="P811">
            <v>22</v>
          </cell>
          <cell r="Q811">
            <v>13</v>
          </cell>
          <cell r="R811">
            <v>9</v>
          </cell>
          <cell r="S811">
            <v>1182</v>
          </cell>
          <cell r="T811">
            <v>29</v>
          </cell>
        </row>
        <row r="812">
          <cell r="C812" t="str">
            <v>Stimson Crossing CDP, Washington</v>
          </cell>
          <cell r="D812">
            <v>811</v>
          </cell>
          <cell r="E812">
            <v>791</v>
          </cell>
          <cell r="F812">
            <v>434</v>
          </cell>
          <cell r="G812">
            <v>346</v>
          </cell>
          <cell r="H812">
            <v>56</v>
          </cell>
          <cell r="I812">
            <v>123</v>
          </cell>
          <cell r="J812">
            <v>38</v>
          </cell>
          <cell r="K812">
            <v>129</v>
          </cell>
          <cell r="L812">
            <v>11</v>
          </cell>
          <cell r="M812">
            <v>2</v>
          </cell>
          <cell r="N812">
            <v>0</v>
          </cell>
          <cell r="O812">
            <v>9</v>
          </cell>
          <cell r="P812">
            <v>20</v>
          </cell>
          <cell r="Q812">
            <v>18</v>
          </cell>
          <cell r="R812">
            <v>2</v>
          </cell>
          <cell r="S812">
            <v>780</v>
          </cell>
          <cell r="T812">
            <v>31</v>
          </cell>
        </row>
        <row r="813">
          <cell r="C813" t="str">
            <v>Sudden Valley CDP, Washington</v>
          </cell>
          <cell r="D813">
            <v>4175</v>
          </cell>
          <cell r="E813">
            <v>3840</v>
          </cell>
          <cell r="F813">
            <v>1448</v>
          </cell>
          <cell r="G813">
            <v>2332</v>
          </cell>
          <cell r="H813">
            <v>296</v>
          </cell>
          <cell r="I813">
            <v>670</v>
          </cell>
          <cell r="J813">
            <v>246</v>
          </cell>
          <cell r="K813">
            <v>1120</v>
          </cell>
          <cell r="L813">
            <v>60</v>
          </cell>
          <cell r="M813">
            <v>9</v>
          </cell>
          <cell r="N813">
            <v>0</v>
          </cell>
          <cell r="O813">
            <v>51</v>
          </cell>
          <cell r="P813">
            <v>335</v>
          </cell>
          <cell r="Q813">
            <v>204</v>
          </cell>
          <cell r="R813">
            <v>131</v>
          </cell>
          <cell r="S813">
            <v>3780</v>
          </cell>
          <cell r="T813">
            <v>395</v>
          </cell>
        </row>
        <row r="814">
          <cell r="C814" t="str">
            <v>Sultan city, Washington</v>
          </cell>
          <cell r="D814">
            <v>3372</v>
          </cell>
          <cell r="E814">
            <v>3196</v>
          </cell>
          <cell r="F814">
            <v>2066</v>
          </cell>
          <cell r="G814">
            <v>1084</v>
          </cell>
          <cell r="H814">
            <v>67</v>
          </cell>
          <cell r="I814">
            <v>295</v>
          </cell>
          <cell r="J814">
            <v>138</v>
          </cell>
          <cell r="K814">
            <v>584</v>
          </cell>
          <cell r="L814">
            <v>46</v>
          </cell>
          <cell r="M814">
            <v>0</v>
          </cell>
          <cell r="N814">
            <v>4</v>
          </cell>
          <cell r="O814">
            <v>42</v>
          </cell>
          <cell r="P814">
            <v>176</v>
          </cell>
          <cell r="Q814">
            <v>78</v>
          </cell>
          <cell r="R814">
            <v>98</v>
          </cell>
          <cell r="S814">
            <v>3150</v>
          </cell>
          <cell r="T814">
            <v>222</v>
          </cell>
        </row>
        <row r="815">
          <cell r="C815" t="str">
            <v>Sumas city, Washington</v>
          </cell>
          <cell r="D815">
            <v>965</v>
          </cell>
          <cell r="E815">
            <v>837</v>
          </cell>
          <cell r="F815">
            <v>470</v>
          </cell>
          <cell r="G815">
            <v>340</v>
          </cell>
          <cell r="H815">
            <v>26</v>
          </cell>
          <cell r="I815">
            <v>83</v>
          </cell>
          <cell r="J815">
            <v>56</v>
          </cell>
          <cell r="K815">
            <v>175</v>
          </cell>
          <cell r="L815">
            <v>27</v>
          </cell>
          <cell r="M815">
            <v>0</v>
          </cell>
          <cell r="N815">
            <v>0</v>
          </cell>
          <cell r="O815">
            <v>27</v>
          </cell>
          <cell r="P815">
            <v>128</v>
          </cell>
          <cell r="Q815">
            <v>42</v>
          </cell>
          <cell r="R815">
            <v>86</v>
          </cell>
          <cell r="S815">
            <v>810</v>
          </cell>
          <cell r="T815">
            <v>155</v>
          </cell>
        </row>
        <row r="816">
          <cell r="C816" t="str">
            <v>Summit CDP, Washington</v>
          </cell>
          <cell r="D816">
            <v>8125</v>
          </cell>
          <cell r="E816">
            <v>7749</v>
          </cell>
          <cell r="F816">
            <v>4683</v>
          </cell>
          <cell r="G816">
            <v>2954</v>
          </cell>
          <cell r="H816">
            <v>227</v>
          </cell>
          <cell r="I816">
            <v>873</v>
          </cell>
          <cell r="J816">
            <v>518</v>
          </cell>
          <cell r="K816">
            <v>1336</v>
          </cell>
          <cell r="L816">
            <v>112</v>
          </cell>
          <cell r="M816">
            <v>8</v>
          </cell>
          <cell r="N816">
            <v>0</v>
          </cell>
          <cell r="O816">
            <v>104</v>
          </cell>
          <cell r="P816">
            <v>376</v>
          </cell>
          <cell r="Q816">
            <v>190</v>
          </cell>
          <cell r="R816">
            <v>186</v>
          </cell>
          <cell r="S816">
            <v>7637</v>
          </cell>
          <cell r="T816">
            <v>488</v>
          </cell>
        </row>
        <row r="817">
          <cell r="C817" t="str">
            <v>Summitview CDP, Washington</v>
          </cell>
          <cell r="D817">
            <v>793</v>
          </cell>
          <cell r="E817">
            <v>782</v>
          </cell>
          <cell r="F817">
            <v>522</v>
          </cell>
          <cell r="G817">
            <v>260</v>
          </cell>
          <cell r="H817">
            <v>17</v>
          </cell>
          <cell r="I817">
            <v>72</v>
          </cell>
          <cell r="J817">
            <v>68</v>
          </cell>
          <cell r="K817">
            <v>103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11</v>
          </cell>
          <cell r="Q817">
            <v>0</v>
          </cell>
          <cell r="R817">
            <v>11</v>
          </cell>
          <cell r="S817">
            <v>782</v>
          </cell>
          <cell r="T817">
            <v>11</v>
          </cell>
        </row>
        <row r="818">
          <cell r="C818" t="str">
            <v>Sumner city, Washington</v>
          </cell>
          <cell r="D818">
            <v>8443</v>
          </cell>
          <cell r="E818">
            <v>8034</v>
          </cell>
          <cell r="F818">
            <v>4795</v>
          </cell>
          <cell r="G818">
            <v>3141</v>
          </cell>
          <cell r="H818">
            <v>183</v>
          </cell>
          <cell r="I818">
            <v>1055</v>
          </cell>
          <cell r="J818">
            <v>586</v>
          </cell>
          <cell r="K818">
            <v>1317</v>
          </cell>
          <cell r="L818">
            <v>98</v>
          </cell>
          <cell r="M818">
            <v>7</v>
          </cell>
          <cell r="N818">
            <v>4</v>
          </cell>
          <cell r="O818">
            <v>87</v>
          </cell>
          <cell r="P818">
            <v>409</v>
          </cell>
          <cell r="Q818">
            <v>155</v>
          </cell>
          <cell r="R818">
            <v>254</v>
          </cell>
          <cell r="S818">
            <v>7936</v>
          </cell>
          <cell r="T818">
            <v>507</v>
          </cell>
        </row>
        <row r="819">
          <cell r="C819" t="str">
            <v>Sunnyside city, Washington</v>
          </cell>
          <cell r="D819">
            <v>14072</v>
          </cell>
          <cell r="E819">
            <v>9160</v>
          </cell>
          <cell r="F819">
            <v>6207</v>
          </cell>
          <cell r="G819">
            <v>2843</v>
          </cell>
          <cell r="H819">
            <v>102</v>
          </cell>
          <cell r="I819">
            <v>447</v>
          </cell>
          <cell r="J819">
            <v>828</v>
          </cell>
          <cell r="K819">
            <v>1466</v>
          </cell>
          <cell r="L819">
            <v>110</v>
          </cell>
          <cell r="M819">
            <v>41</v>
          </cell>
          <cell r="N819">
            <v>0</v>
          </cell>
          <cell r="O819">
            <v>69</v>
          </cell>
          <cell r="P819">
            <v>4912</v>
          </cell>
          <cell r="Q819">
            <v>1008</v>
          </cell>
          <cell r="R819">
            <v>3904</v>
          </cell>
          <cell r="S819">
            <v>9050</v>
          </cell>
          <cell r="T819">
            <v>5022</v>
          </cell>
        </row>
        <row r="820">
          <cell r="C820" t="str">
            <v>Sunnyslope CDP, Washington</v>
          </cell>
          <cell r="D820">
            <v>2481</v>
          </cell>
          <cell r="E820">
            <v>2325</v>
          </cell>
          <cell r="F820">
            <v>1337</v>
          </cell>
          <cell r="G820">
            <v>981</v>
          </cell>
          <cell r="H820">
            <v>72</v>
          </cell>
          <cell r="I820">
            <v>287</v>
          </cell>
          <cell r="J820">
            <v>138</v>
          </cell>
          <cell r="K820">
            <v>484</v>
          </cell>
          <cell r="L820">
            <v>7</v>
          </cell>
          <cell r="M820">
            <v>0</v>
          </cell>
          <cell r="N820">
            <v>0</v>
          </cell>
          <cell r="O820">
            <v>7</v>
          </cell>
          <cell r="P820">
            <v>156</v>
          </cell>
          <cell r="Q820">
            <v>103</v>
          </cell>
          <cell r="R820">
            <v>53</v>
          </cell>
          <cell r="S820">
            <v>2318</v>
          </cell>
          <cell r="T820">
            <v>163</v>
          </cell>
        </row>
        <row r="821">
          <cell r="C821" t="str">
            <v>Suquamish CDP, Washington</v>
          </cell>
          <cell r="D821">
            <v>3511</v>
          </cell>
          <cell r="E821">
            <v>3334</v>
          </cell>
          <cell r="F821">
            <v>1687</v>
          </cell>
          <cell r="G821">
            <v>1616</v>
          </cell>
          <cell r="H821">
            <v>195</v>
          </cell>
          <cell r="I821">
            <v>451</v>
          </cell>
          <cell r="J821">
            <v>205</v>
          </cell>
          <cell r="K821">
            <v>765</v>
          </cell>
          <cell r="L821">
            <v>31</v>
          </cell>
          <cell r="M821">
            <v>0</v>
          </cell>
          <cell r="N821">
            <v>3</v>
          </cell>
          <cell r="O821">
            <v>28</v>
          </cell>
          <cell r="P821">
            <v>177</v>
          </cell>
          <cell r="Q821">
            <v>99</v>
          </cell>
          <cell r="R821">
            <v>78</v>
          </cell>
          <cell r="S821">
            <v>3303</v>
          </cell>
          <cell r="T821">
            <v>208</v>
          </cell>
        </row>
        <row r="822">
          <cell r="C822" t="str">
            <v>Tacoma city, Washington</v>
          </cell>
          <cell r="D822">
            <v>193177</v>
          </cell>
          <cell r="E822">
            <v>170130</v>
          </cell>
          <cell r="F822">
            <v>93869</v>
          </cell>
          <cell r="G822">
            <v>71847</v>
          </cell>
          <cell r="H822">
            <v>6967</v>
          </cell>
          <cell r="I822">
            <v>19460</v>
          </cell>
          <cell r="J822">
            <v>16398</v>
          </cell>
          <cell r="K822">
            <v>29022</v>
          </cell>
          <cell r="L822">
            <v>4414</v>
          </cell>
          <cell r="M822">
            <v>404</v>
          </cell>
          <cell r="N822">
            <v>723</v>
          </cell>
          <cell r="O822">
            <v>3287</v>
          </cell>
          <cell r="P822">
            <v>23047</v>
          </cell>
          <cell r="Q822">
            <v>9657</v>
          </cell>
          <cell r="R822">
            <v>13390</v>
          </cell>
          <cell r="S822">
            <v>165716</v>
          </cell>
          <cell r="T822">
            <v>27461</v>
          </cell>
        </row>
        <row r="823">
          <cell r="C823" t="str">
            <v>Taholah CDP, Washington</v>
          </cell>
          <cell r="D823">
            <v>786</v>
          </cell>
          <cell r="E823">
            <v>776</v>
          </cell>
          <cell r="F823">
            <v>677</v>
          </cell>
          <cell r="G823">
            <v>88</v>
          </cell>
          <cell r="H823">
            <v>1</v>
          </cell>
          <cell r="I823">
            <v>8</v>
          </cell>
          <cell r="J823">
            <v>13</v>
          </cell>
          <cell r="K823">
            <v>66</v>
          </cell>
          <cell r="L823">
            <v>11</v>
          </cell>
          <cell r="M823">
            <v>0</v>
          </cell>
          <cell r="N823">
            <v>3</v>
          </cell>
          <cell r="O823">
            <v>8</v>
          </cell>
          <cell r="P823">
            <v>10</v>
          </cell>
          <cell r="Q823">
            <v>0</v>
          </cell>
          <cell r="R823">
            <v>10</v>
          </cell>
          <cell r="S823">
            <v>765</v>
          </cell>
          <cell r="T823">
            <v>21</v>
          </cell>
        </row>
        <row r="824">
          <cell r="C824" t="str">
            <v>Tanglewilde-Thompson Place CDP, Washington</v>
          </cell>
          <cell r="D824">
            <v>5716</v>
          </cell>
          <cell r="E824">
            <v>5166</v>
          </cell>
          <cell r="F824">
            <v>2416</v>
          </cell>
          <cell r="G824">
            <v>2401</v>
          </cell>
          <cell r="H824">
            <v>221</v>
          </cell>
          <cell r="I824">
            <v>495</v>
          </cell>
          <cell r="J824">
            <v>498</v>
          </cell>
          <cell r="K824">
            <v>1187</v>
          </cell>
          <cell r="L824">
            <v>349</v>
          </cell>
          <cell r="M824">
            <v>45</v>
          </cell>
          <cell r="N824">
            <v>69</v>
          </cell>
          <cell r="O824">
            <v>235</v>
          </cell>
          <cell r="P824">
            <v>550</v>
          </cell>
          <cell r="Q824">
            <v>309</v>
          </cell>
          <cell r="R824">
            <v>241</v>
          </cell>
          <cell r="S824">
            <v>4817</v>
          </cell>
          <cell r="T824">
            <v>899</v>
          </cell>
        </row>
        <row r="825">
          <cell r="C825" t="str">
            <v>Tanner CDP, Washington</v>
          </cell>
          <cell r="D825">
            <v>2961</v>
          </cell>
          <cell r="E825">
            <v>2836</v>
          </cell>
          <cell r="F825">
            <v>1415</v>
          </cell>
          <cell r="G825">
            <v>1385</v>
          </cell>
          <cell r="H825">
            <v>159</v>
          </cell>
          <cell r="I825">
            <v>557</v>
          </cell>
          <cell r="J825">
            <v>123</v>
          </cell>
          <cell r="K825">
            <v>546</v>
          </cell>
          <cell r="L825">
            <v>36</v>
          </cell>
          <cell r="M825">
            <v>0</v>
          </cell>
          <cell r="N825">
            <v>0</v>
          </cell>
          <cell r="O825">
            <v>36</v>
          </cell>
          <cell r="P825">
            <v>125</v>
          </cell>
          <cell r="Q825">
            <v>55</v>
          </cell>
          <cell r="R825">
            <v>70</v>
          </cell>
          <cell r="S825">
            <v>2800</v>
          </cell>
          <cell r="T825">
            <v>161</v>
          </cell>
        </row>
        <row r="826">
          <cell r="C826" t="str">
            <v>Tekoa city, Washington</v>
          </cell>
          <cell r="D826">
            <v>830</v>
          </cell>
          <cell r="E826">
            <v>815</v>
          </cell>
          <cell r="F826">
            <v>500</v>
          </cell>
          <cell r="G826">
            <v>315</v>
          </cell>
          <cell r="H826">
            <v>7</v>
          </cell>
          <cell r="I826">
            <v>79</v>
          </cell>
          <cell r="J826">
            <v>25</v>
          </cell>
          <cell r="K826">
            <v>204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15</v>
          </cell>
          <cell r="Q826">
            <v>8</v>
          </cell>
          <cell r="R826">
            <v>7</v>
          </cell>
          <cell r="S826">
            <v>815</v>
          </cell>
          <cell r="T826">
            <v>15</v>
          </cell>
        </row>
        <row r="827">
          <cell r="C827" t="str">
            <v>Tenino city, Washington</v>
          </cell>
          <cell r="D827">
            <v>1448</v>
          </cell>
          <cell r="E827">
            <v>1379</v>
          </cell>
          <cell r="F827">
            <v>891</v>
          </cell>
          <cell r="G827">
            <v>468</v>
          </cell>
          <cell r="H827">
            <v>51</v>
          </cell>
          <cell r="I827">
            <v>143</v>
          </cell>
          <cell r="J827">
            <v>48</v>
          </cell>
          <cell r="K827">
            <v>226</v>
          </cell>
          <cell r="L827">
            <v>20</v>
          </cell>
          <cell r="M827">
            <v>0</v>
          </cell>
          <cell r="N827">
            <v>0</v>
          </cell>
          <cell r="O827">
            <v>20</v>
          </cell>
          <cell r="P827">
            <v>69</v>
          </cell>
          <cell r="Q827">
            <v>15</v>
          </cell>
          <cell r="R827">
            <v>54</v>
          </cell>
          <cell r="S827">
            <v>1359</v>
          </cell>
          <cell r="T827">
            <v>89</v>
          </cell>
        </row>
        <row r="828">
          <cell r="C828" t="str">
            <v>Terrace Heights CDP, Washington</v>
          </cell>
          <cell r="D828">
            <v>6541</v>
          </cell>
          <cell r="E828">
            <v>6187</v>
          </cell>
          <cell r="F828">
            <v>4080</v>
          </cell>
          <cell r="G828">
            <v>2056</v>
          </cell>
          <cell r="H828">
            <v>157</v>
          </cell>
          <cell r="I828">
            <v>685</v>
          </cell>
          <cell r="J828">
            <v>375</v>
          </cell>
          <cell r="K828">
            <v>839</v>
          </cell>
          <cell r="L828">
            <v>51</v>
          </cell>
          <cell r="M828">
            <v>0</v>
          </cell>
          <cell r="N828">
            <v>0</v>
          </cell>
          <cell r="O828">
            <v>51</v>
          </cell>
          <cell r="P828">
            <v>354</v>
          </cell>
          <cell r="Q828">
            <v>143</v>
          </cell>
          <cell r="R828">
            <v>211</v>
          </cell>
          <cell r="S828">
            <v>6136</v>
          </cell>
          <cell r="T828">
            <v>405</v>
          </cell>
        </row>
        <row r="829">
          <cell r="C829" t="str">
            <v>Thorp CDP, Washington</v>
          </cell>
          <cell r="D829">
            <v>289</v>
          </cell>
          <cell r="E829">
            <v>279</v>
          </cell>
          <cell r="F829">
            <v>178</v>
          </cell>
          <cell r="G829">
            <v>101</v>
          </cell>
          <cell r="H829">
            <v>1</v>
          </cell>
          <cell r="I829">
            <v>10</v>
          </cell>
          <cell r="J829">
            <v>6</v>
          </cell>
          <cell r="K829">
            <v>84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10</v>
          </cell>
          <cell r="Q829">
            <v>2</v>
          </cell>
          <cell r="R829">
            <v>8</v>
          </cell>
          <cell r="S829">
            <v>279</v>
          </cell>
          <cell r="T829">
            <v>10</v>
          </cell>
        </row>
        <row r="830">
          <cell r="C830" t="str">
            <v>Three Lakes CDP, Washington</v>
          </cell>
          <cell r="D830">
            <v>2499</v>
          </cell>
          <cell r="E830">
            <v>2428</v>
          </cell>
          <cell r="F830">
            <v>1455</v>
          </cell>
          <cell r="G830">
            <v>951</v>
          </cell>
          <cell r="H830">
            <v>136</v>
          </cell>
          <cell r="I830">
            <v>287</v>
          </cell>
          <cell r="J830">
            <v>133</v>
          </cell>
          <cell r="K830">
            <v>395</v>
          </cell>
          <cell r="L830">
            <v>22</v>
          </cell>
          <cell r="M830">
            <v>0</v>
          </cell>
          <cell r="N830">
            <v>0</v>
          </cell>
          <cell r="O830">
            <v>22</v>
          </cell>
          <cell r="P830">
            <v>71</v>
          </cell>
          <cell r="Q830">
            <v>28</v>
          </cell>
          <cell r="R830">
            <v>43</v>
          </cell>
          <cell r="S830">
            <v>2406</v>
          </cell>
          <cell r="T830">
            <v>93</v>
          </cell>
        </row>
        <row r="831">
          <cell r="C831" t="str">
            <v>Tieton town, Washington</v>
          </cell>
          <cell r="D831">
            <v>1131</v>
          </cell>
          <cell r="E831">
            <v>782</v>
          </cell>
          <cell r="F831">
            <v>522</v>
          </cell>
          <cell r="G831">
            <v>255</v>
          </cell>
          <cell r="H831">
            <v>4</v>
          </cell>
          <cell r="I831">
            <v>44</v>
          </cell>
          <cell r="J831">
            <v>68</v>
          </cell>
          <cell r="K831">
            <v>139</v>
          </cell>
          <cell r="L831">
            <v>5</v>
          </cell>
          <cell r="M831">
            <v>0</v>
          </cell>
          <cell r="N831">
            <v>0</v>
          </cell>
          <cell r="O831">
            <v>5</v>
          </cell>
          <cell r="P831">
            <v>349</v>
          </cell>
          <cell r="Q831">
            <v>56</v>
          </cell>
          <cell r="R831">
            <v>293</v>
          </cell>
          <cell r="S831">
            <v>777</v>
          </cell>
          <cell r="T831">
            <v>354</v>
          </cell>
        </row>
        <row r="832">
          <cell r="C832" t="str">
            <v>Tokeland CDP, Washington</v>
          </cell>
          <cell r="D832">
            <v>275</v>
          </cell>
          <cell r="E832">
            <v>264</v>
          </cell>
          <cell r="F832">
            <v>168</v>
          </cell>
          <cell r="G832">
            <v>96</v>
          </cell>
          <cell r="H832">
            <v>9</v>
          </cell>
          <cell r="I832">
            <v>26</v>
          </cell>
          <cell r="J832">
            <v>15</v>
          </cell>
          <cell r="K832">
            <v>46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11</v>
          </cell>
          <cell r="Q832">
            <v>6</v>
          </cell>
          <cell r="R832">
            <v>5</v>
          </cell>
          <cell r="S832">
            <v>264</v>
          </cell>
          <cell r="T832">
            <v>11</v>
          </cell>
        </row>
        <row r="833">
          <cell r="C833" t="str">
            <v>Toledo city, Washington</v>
          </cell>
          <cell r="D833">
            <v>612</v>
          </cell>
          <cell r="E833">
            <v>591</v>
          </cell>
          <cell r="F833">
            <v>348</v>
          </cell>
          <cell r="G833">
            <v>238</v>
          </cell>
          <cell r="H833">
            <v>12</v>
          </cell>
          <cell r="I833">
            <v>62</v>
          </cell>
          <cell r="J833">
            <v>43</v>
          </cell>
          <cell r="K833">
            <v>121</v>
          </cell>
          <cell r="L833">
            <v>5</v>
          </cell>
          <cell r="M833">
            <v>0</v>
          </cell>
          <cell r="N833">
            <v>0</v>
          </cell>
          <cell r="O833">
            <v>5</v>
          </cell>
          <cell r="P833">
            <v>21</v>
          </cell>
          <cell r="Q833">
            <v>10</v>
          </cell>
          <cell r="R833">
            <v>11</v>
          </cell>
          <cell r="S833">
            <v>586</v>
          </cell>
          <cell r="T833">
            <v>26</v>
          </cell>
        </row>
        <row r="834">
          <cell r="C834" t="str">
            <v>Tonasket city, Washington</v>
          </cell>
          <cell r="D834">
            <v>986</v>
          </cell>
          <cell r="E834">
            <v>931</v>
          </cell>
          <cell r="F834">
            <v>570</v>
          </cell>
          <cell r="G834">
            <v>345</v>
          </cell>
          <cell r="H834">
            <v>26</v>
          </cell>
          <cell r="I834">
            <v>90</v>
          </cell>
          <cell r="J834">
            <v>77</v>
          </cell>
          <cell r="K834">
            <v>152</v>
          </cell>
          <cell r="L834">
            <v>16</v>
          </cell>
          <cell r="M834">
            <v>0</v>
          </cell>
          <cell r="N834">
            <v>0</v>
          </cell>
          <cell r="O834">
            <v>16</v>
          </cell>
          <cell r="P834">
            <v>55</v>
          </cell>
          <cell r="Q834">
            <v>22</v>
          </cell>
          <cell r="R834">
            <v>33</v>
          </cell>
          <cell r="S834">
            <v>915</v>
          </cell>
          <cell r="T834">
            <v>71</v>
          </cell>
        </row>
        <row r="835">
          <cell r="C835" t="str">
            <v>Toppenish city, Washington</v>
          </cell>
          <cell r="D835">
            <v>8912</v>
          </cell>
          <cell r="E835">
            <v>6005</v>
          </cell>
          <cell r="F835">
            <v>4421</v>
          </cell>
          <cell r="G835">
            <v>1577</v>
          </cell>
          <cell r="H835">
            <v>87</v>
          </cell>
          <cell r="I835">
            <v>264</v>
          </cell>
          <cell r="J835">
            <v>533</v>
          </cell>
          <cell r="K835">
            <v>693</v>
          </cell>
          <cell r="L835">
            <v>7</v>
          </cell>
          <cell r="M835">
            <v>0</v>
          </cell>
          <cell r="N835">
            <v>0</v>
          </cell>
          <cell r="O835">
            <v>7</v>
          </cell>
          <cell r="P835">
            <v>2907</v>
          </cell>
          <cell r="Q835">
            <v>644</v>
          </cell>
          <cell r="R835">
            <v>2263</v>
          </cell>
          <cell r="S835">
            <v>5998</v>
          </cell>
          <cell r="T835">
            <v>2914</v>
          </cell>
        </row>
        <row r="836">
          <cell r="C836" t="str">
            <v>Touchet CDP, Washington</v>
          </cell>
          <cell r="D836">
            <v>388</v>
          </cell>
          <cell r="E836">
            <v>347</v>
          </cell>
          <cell r="F836">
            <v>231</v>
          </cell>
          <cell r="G836">
            <v>113</v>
          </cell>
          <cell r="H836">
            <v>5</v>
          </cell>
          <cell r="I836">
            <v>13</v>
          </cell>
          <cell r="J836">
            <v>18</v>
          </cell>
          <cell r="K836">
            <v>77</v>
          </cell>
          <cell r="L836">
            <v>3</v>
          </cell>
          <cell r="M836">
            <v>2</v>
          </cell>
          <cell r="N836">
            <v>0</v>
          </cell>
          <cell r="O836">
            <v>1</v>
          </cell>
          <cell r="P836">
            <v>41</v>
          </cell>
          <cell r="Q836">
            <v>17</v>
          </cell>
          <cell r="R836">
            <v>24</v>
          </cell>
          <cell r="S836">
            <v>344</v>
          </cell>
          <cell r="T836">
            <v>44</v>
          </cell>
        </row>
        <row r="837">
          <cell r="C837" t="str">
            <v>Town and Country CDP, Washington</v>
          </cell>
          <cell r="D837">
            <v>4417</v>
          </cell>
          <cell r="E837">
            <v>4258</v>
          </cell>
          <cell r="F837">
            <v>2550</v>
          </cell>
          <cell r="G837">
            <v>1651</v>
          </cell>
          <cell r="H837">
            <v>107</v>
          </cell>
          <cell r="I837">
            <v>441</v>
          </cell>
          <cell r="J837">
            <v>169</v>
          </cell>
          <cell r="K837">
            <v>934</v>
          </cell>
          <cell r="L837">
            <v>57</v>
          </cell>
          <cell r="M837">
            <v>4</v>
          </cell>
          <cell r="N837">
            <v>0</v>
          </cell>
          <cell r="O837">
            <v>53</v>
          </cell>
          <cell r="P837">
            <v>159</v>
          </cell>
          <cell r="Q837">
            <v>104</v>
          </cell>
          <cell r="R837">
            <v>55</v>
          </cell>
          <cell r="S837">
            <v>4201</v>
          </cell>
          <cell r="T837">
            <v>216</v>
          </cell>
        </row>
        <row r="838">
          <cell r="C838" t="str">
            <v>Tracyton CDP, Washington</v>
          </cell>
          <cell r="D838">
            <v>3267</v>
          </cell>
          <cell r="E838">
            <v>3106</v>
          </cell>
          <cell r="F838">
            <v>1394</v>
          </cell>
          <cell r="G838">
            <v>1581</v>
          </cell>
          <cell r="H838">
            <v>197</v>
          </cell>
          <cell r="I838">
            <v>508</v>
          </cell>
          <cell r="J838">
            <v>329</v>
          </cell>
          <cell r="K838">
            <v>547</v>
          </cell>
          <cell r="L838">
            <v>131</v>
          </cell>
          <cell r="M838">
            <v>0</v>
          </cell>
          <cell r="N838">
            <v>77</v>
          </cell>
          <cell r="O838">
            <v>54</v>
          </cell>
          <cell r="P838">
            <v>161</v>
          </cell>
          <cell r="Q838">
            <v>98</v>
          </cell>
          <cell r="R838">
            <v>63</v>
          </cell>
          <cell r="S838">
            <v>2975</v>
          </cell>
          <cell r="T838">
            <v>292</v>
          </cell>
        </row>
        <row r="839">
          <cell r="C839" t="str">
            <v>Trentwood CDP, Washington</v>
          </cell>
          <cell r="D839">
            <v>4395</v>
          </cell>
          <cell r="E839">
            <v>4197</v>
          </cell>
          <cell r="F839">
            <v>2169</v>
          </cell>
          <cell r="G839">
            <v>1995</v>
          </cell>
          <cell r="H839">
            <v>94</v>
          </cell>
          <cell r="I839">
            <v>412</v>
          </cell>
          <cell r="J839">
            <v>272</v>
          </cell>
          <cell r="K839">
            <v>1217</v>
          </cell>
          <cell r="L839">
            <v>33</v>
          </cell>
          <cell r="M839">
            <v>5</v>
          </cell>
          <cell r="N839">
            <v>6</v>
          </cell>
          <cell r="O839">
            <v>22</v>
          </cell>
          <cell r="P839">
            <v>198</v>
          </cell>
          <cell r="Q839">
            <v>122</v>
          </cell>
          <cell r="R839">
            <v>76</v>
          </cell>
          <cell r="S839">
            <v>4164</v>
          </cell>
          <cell r="T839">
            <v>231</v>
          </cell>
        </row>
        <row r="840">
          <cell r="C840" t="str">
            <v>Trout Lake CDP, Washington</v>
          </cell>
          <cell r="D840">
            <v>453</v>
          </cell>
          <cell r="E840">
            <v>437</v>
          </cell>
          <cell r="F840">
            <v>183</v>
          </cell>
          <cell r="G840">
            <v>253</v>
          </cell>
          <cell r="H840">
            <v>24</v>
          </cell>
          <cell r="I840">
            <v>62</v>
          </cell>
          <cell r="J840">
            <v>18</v>
          </cell>
          <cell r="K840">
            <v>149</v>
          </cell>
          <cell r="L840">
            <v>1</v>
          </cell>
          <cell r="M840">
            <v>0</v>
          </cell>
          <cell r="N840">
            <v>0</v>
          </cell>
          <cell r="O840">
            <v>1</v>
          </cell>
          <cell r="P840">
            <v>16</v>
          </cell>
          <cell r="Q840">
            <v>2</v>
          </cell>
          <cell r="R840">
            <v>14</v>
          </cell>
          <cell r="S840">
            <v>436</v>
          </cell>
          <cell r="T840">
            <v>17</v>
          </cell>
        </row>
        <row r="841">
          <cell r="C841" t="str">
            <v>Tukwila city, Washington</v>
          </cell>
          <cell r="D841">
            <v>17204</v>
          </cell>
          <cell r="E841">
            <v>12692</v>
          </cell>
          <cell r="F841">
            <v>6784</v>
          </cell>
          <cell r="G841">
            <v>5665</v>
          </cell>
          <cell r="H841">
            <v>383</v>
          </cell>
          <cell r="I841">
            <v>1578</v>
          </cell>
          <cell r="J841">
            <v>1246</v>
          </cell>
          <cell r="K841">
            <v>2458</v>
          </cell>
          <cell r="L841">
            <v>243</v>
          </cell>
          <cell r="M841">
            <v>20</v>
          </cell>
          <cell r="N841">
            <v>41</v>
          </cell>
          <cell r="O841">
            <v>182</v>
          </cell>
          <cell r="P841">
            <v>4512</v>
          </cell>
          <cell r="Q841">
            <v>1422</v>
          </cell>
          <cell r="R841">
            <v>3090</v>
          </cell>
          <cell r="S841">
            <v>12449</v>
          </cell>
          <cell r="T841">
            <v>4755</v>
          </cell>
        </row>
        <row r="842">
          <cell r="C842" t="str">
            <v>Tulalip Bay CDP, Washington</v>
          </cell>
          <cell r="D842">
            <v>1555</v>
          </cell>
          <cell r="E842">
            <v>1486</v>
          </cell>
          <cell r="F842">
            <v>1083</v>
          </cell>
          <cell r="G842">
            <v>400</v>
          </cell>
          <cell r="H842">
            <v>49</v>
          </cell>
          <cell r="I842">
            <v>123</v>
          </cell>
          <cell r="J842">
            <v>65</v>
          </cell>
          <cell r="K842">
            <v>163</v>
          </cell>
          <cell r="L842">
            <v>3</v>
          </cell>
          <cell r="M842">
            <v>0</v>
          </cell>
          <cell r="N842">
            <v>0</v>
          </cell>
          <cell r="O842">
            <v>3</v>
          </cell>
          <cell r="P842">
            <v>69</v>
          </cell>
          <cell r="Q842">
            <v>40</v>
          </cell>
          <cell r="R842">
            <v>29</v>
          </cell>
          <cell r="S842">
            <v>1483</v>
          </cell>
          <cell r="T842">
            <v>72</v>
          </cell>
        </row>
        <row r="843">
          <cell r="C843" t="str">
            <v>Tumwater city, Washington</v>
          </cell>
          <cell r="D843">
            <v>12646</v>
          </cell>
          <cell r="E843">
            <v>11864</v>
          </cell>
          <cell r="F843">
            <v>5955</v>
          </cell>
          <cell r="G843">
            <v>5666</v>
          </cell>
          <cell r="H843">
            <v>609</v>
          </cell>
          <cell r="I843">
            <v>1556</v>
          </cell>
          <cell r="J843">
            <v>894</v>
          </cell>
          <cell r="K843">
            <v>2607</v>
          </cell>
          <cell r="L843">
            <v>243</v>
          </cell>
          <cell r="M843">
            <v>0</v>
          </cell>
          <cell r="N843">
            <v>43</v>
          </cell>
          <cell r="O843">
            <v>200</v>
          </cell>
          <cell r="P843">
            <v>782</v>
          </cell>
          <cell r="Q843">
            <v>277</v>
          </cell>
          <cell r="R843">
            <v>505</v>
          </cell>
          <cell r="S843">
            <v>11621</v>
          </cell>
          <cell r="T843">
            <v>1025</v>
          </cell>
        </row>
        <row r="844">
          <cell r="C844" t="str">
            <v>Twisp town, Washington</v>
          </cell>
          <cell r="D844">
            <v>952</v>
          </cell>
          <cell r="E844">
            <v>913</v>
          </cell>
          <cell r="F844">
            <v>501</v>
          </cell>
          <cell r="G844">
            <v>392</v>
          </cell>
          <cell r="H844">
            <v>22</v>
          </cell>
          <cell r="I844">
            <v>112</v>
          </cell>
          <cell r="J844">
            <v>38</v>
          </cell>
          <cell r="K844">
            <v>220</v>
          </cell>
          <cell r="L844">
            <v>20</v>
          </cell>
          <cell r="M844">
            <v>0</v>
          </cell>
          <cell r="N844">
            <v>0</v>
          </cell>
          <cell r="O844">
            <v>20</v>
          </cell>
          <cell r="P844">
            <v>39</v>
          </cell>
          <cell r="Q844">
            <v>11</v>
          </cell>
          <cell r="R844">
            <v>28</v>
          </cell>
          <cell r="S844">
            <v>893</v>
          </cell>
          <cell r="T844">
            <v>59</v>
          </cell>
        </row>
        <row r="845">
          <cell r="C845" t="str">
            <v>Union Gap city, Washington</v>
          </cell>
          <cell r="D845">
            <v>5582</v>
          </cell>
          <cell r="E845">
            <v>4756</v>
          </cell>
          <cell r="F845">
            <v>2951</v>
          </cell>
          <cell r="G845">
            <v>1778</v>
          </cell>
          <cell r="H845">
            <v>32</v>
          </cell>
          <cell r="I845">
            <v>554</v>
          </cell>
          <cell r="J845">
            <v>426</v>
          </cell>
          <cell r="K845">
            <v>766</v>
          </cell>
          <cell r="L845">
            <v>27</v>
          </cell>
          <cell r="M845">
            <v>0</v>
          </cell>
          <cell r="N845">
            <v>0</v>
          </cell>
          <cell r="O845">
            <v>27</v>
          </cell>
          <cell r="P845">
            <v>826</v>
          </cell>
          <cell r="Q845">
            <v>190</v>
          </cell>
          <cell r="R845">
            <v>636</v>
          </cell>
          <cell r="S845">
            <v>4729</v>
          </cell>
          <cell r="T845">
            <v>853</v>
          </cell>
        </row>
        <row r="846">
          <cell r="C846" t="str">
            <v>Union Hill-Novelty Hill CDP, Washington</v>
          </cell>
          <cell r="D846">
            <v>11179</v>
          </cell>
          <cell r="E846">
            <v>10021</v>
          </cell>
          <cell r="F846">
            <v>4938</v>
          </cell>
          <cell r="G846">
            <v>4958</v>
          </cell>
          <cell r="H846">
            <v>541</v>
          </cell>
          <cell r="I846">
            <v>1195</v>
          </cell>
          <cell r="J846">
            <v>623</v>
          </cell>
          <cell r="K846">
            <v>2599</v>
          </cell>
          <cell r="L846">
            <v>125</v>
          </cell>
          <cell r="M846">
            <v>0</v>
          </cell>
          <cell r="N846">
            <v>0</v>
          </cell>
          <cell r="O846">
            <v>125</v>
          </cell>
          <cell r="P846">
            <v>1158</v>
          </cell>
          <cell r="Q846">
            <v>529</v>
          </cell>
          <cell r="R846">
            <v>629</v>
          </cell>
          <cell r="S846">
            <v>9896</v>
          </cell>
          <cell r="T846">
            <v>1283</v>
          </cell>
        </row>
        <row r="847">
          <cell r="C847" t="str">
            <v>Uniontown town, Washington</v>
          </cell>
          <cell r="D847">
            <v>355</v>
          </cell>
          <cell r="E847">
            <v>353</v>
          </cell>
          <cell r="F847">
            <v>156</v>
          </cell>
          <cell r="G847">
            <v>193</v>
          </cell>
          <cell r="H847">
            <v>11</v>
          </cell>
          <cell r="I847">
            <v>22</v>
          </cell>
          <cell r="J847">
            <v>21</v>
          </cell>
          <cell r="K847">
            <v>139</v>
          </cell>
          <cell r="L847">
            <v>4</v>
          </cell>
          <cell r="M847">
            <v>0</v>
          </cell>
          <cell r="N847">
            <v>0</v>
          </cell>
          <cell r="O847">
            <v>4</v>
          </cell>
          <cell r="P847">
            <v>2</v>
          </cell>
          <cell r="Q847">
            <v>2</v>
          </cell>
          <cell r="R847">
            <v>0</v>
          </cell>
          <cell r="S847">
            <v>349</v>
          </cell>
          <cell r="T847">
            <v>6</v>
          </cell>
        </row>
        <row r="848">
          <cell r="C848" t="str">
            <v>University Place city, Washington</v>
          </cell>
          <cell r="D848">
            <v>30120</v>
          </cell>
          <cell r="E848">
            <v>27099</v>
          </cell>
          <cell r="F848">
            <v>14258</v>
          </cell>
          <cell r="G848">
            <v>12221</v>
          </cell>
          <cell r="H848">
            <v>1296</v>
          </cell>
          <cell r="I848">
            <v>3241</v>
          </cell>
          <cell r="J848">
            <v>2671</v>
          </cell>
          <cell r="K848">
            <v>5013</v>
          </cell>
          <cell r="L848">
            <v>620</v>
          </cell>
          <cell r="M848">
            <v>8</v>
          </cell>
          <cell r="N848">
            <v>56</v>
          </cell>
          <cell r="O848">
            <v>556</v>
          </cell>
          <cell r="P848">
            <v>3021</v>
          </cell>
          <cell r="Q848">
            <v>1781</v>
          </cell>
          <cell r="R848">
            <v>1240</v>
          </cell>
          <cell r="S848">
            <v>26479</v>
          </cell>
          <cell r="T848">
            <v>3641</v>
          </cell>
        </row>
        <row r="849">
          <cell r="C849" t="str">
            <v>Vader city, Washington</v>
          </cell>
          <cell r="D849">
            <v>617</v>
          </cell>
          <cell r="E849">
            <v>589</v>
          </cell>
          <cell r="F849">
            <v>301</v>
          </cell>
          <cell r="G849">
            <v>277</v>
          </cell>
          <cell r="H849">
            <v>5</v>
          </cell>
          <cell r="I849">
            <v>60</v>
          </cell>
          <cell r="J849">
            <v>26</v>
          </cell>
          <cell r="K849">
            <v>186</v>
          </cell>
          <cell r="L849">
            <v>11</v>
          </cell>
          <cell r="M849">
            <v>0</v>
          </cell>
          <cell r="N849">
            <v>0</v>
          </cell>
          <cell r="O849">
            <v>11</v>
          </cell>
          <cell r="P849">
            <v>28</v>
          </cell>
          <cell r="Q849">
            <v>7</v>
          </cell>
          <cell r="R849">
            <v>21</v>
          </cell>
          <cell r="S849">
            <v>578</v>
          </cell>
          <cell r="T849">
            <v>39</v>
          </cell>
        </row>
        <row r="850">
          <cell r="C850" t="str">
            <v>Vancouver city, Washington</v>
          </cell>
          <cell r="D850">
            <v>143226</v>
          </cell>
          <cell r="E850">
            <v>125720</v>
          </cell>
          <cell r="F850">
            <v>41341</v>
          </cell>
          <cell r="G850">
            <v>82806</v>
          </cell>
          <cell r="H850">
            <v>4445</v>
          </cell>
          <cell r="I850">
            <v>15217</v>
          </cell>
          <cell r="J850">
            <v>8703</v>
          </cell>
          <cell r="K850">
            <v>54441</v>
          </cell>
          <cell r="L850">
            <v>1573</v>
          </cell>
          <cell r="M850">
            <v>60</v>
          </cell>
          <cell r="N850">
            <v>264</v>
          </cell>
          <cell r="O850">
            <v>1249</v>
          </cell>
          <cell r="P850">
            <v>17506</v>
          </cell>
          <cell r="Q850">
            <v>5295</v>
          </cell>
          <cell r="R850">
            <v>12211</v>
          </cell>
          <cell r="S850">
            <v>124147</v>
          </cell>
          <cell r="T850">
            <v>19079</v>
          </cell>
        </row>
        <row r="851">
          <cell r="C851" t="str">
            <v>Vantage CDP, Washington</v>
          </cell>
          <cell r="D851">
            <v>21</v>
          </cell>
          <cell r="E851">
            <v>21</v>
          </cell>
          <cell r="F851">
            <v>6</v>
          </cell>
          <cell r="G851">
            <v>15</v>
          </cell>
          <cell r="H851">
            <v>0</v>
          </cell>
          <cell r="I851">
            <v>4</v>
          </cell>
          <cell r="J851">
            <v>0</v>
          </cell>
          <cell r="K851">
            <v>11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21</v>
          </cell>
          <cell r="T851">
            <v>0</v>
          </cell>
        </row>
        <row r="852">
          <cell r="C852" t="str">
            <v>Vashon CDP, Washington</v>
          </cell>
          <cell r="D852">
            <v>10123</v>
          </cell>
          <cell r="E852">
            <v>9654</v>
          </cell>
          <cell r="F852">
            <v>4843</v>
          </cell>
          <cell r="G852">
            <v>4649</v>
          </cell>
          <cell r="H852">
            <v>735</v>
          </cell>
          <cell r="I852">
            <v>1429</v>
          </cell>
          <cell r="J852">
            <v>624</v>
          </cell>
          <cell r="K852">
            <v>1861</v>
          </cell>
          <cell r="L852">
            <v>162</v>
          </cell>
          <cell r="M852">
            <v>0</v>
          </cell>
          <cell r="N852">
            <v>0</v>
          </cell>
          <cell r="O852">
            <v>162</v>
          </cell>
          <cell r="P852">
            <v>469</v>
          </cell>
          <cell r="Q852">
            <v>161</v>
          </cell>
          <cell r="R852">
            <v>308</v>
          </cell>
          <cell r="S852">
            <v>9492</v>
          </cell>
          <cell r="T852">
            <v>631</v>
          </cell>
        </row>
        <row r="853">
          <cell r="C853" t="str">
            <v>Venersborg CDP, Washington</v>
          </cell>
          <cell r="D853">
            <v>3319</v>
          </cell>
          <cell r="E853">
            <v>3212</v>
          </cell>
          <cell r="F853">
            <v>1239</v>
          </cell>
          <cell r="G853">
            <v>1949</v>
          </cell>
          <cell r="H853">
            <v>129</v>
          </cell>
          <cell r="I853">
            <v>390</v>
          </cell>
          <cell r="J853">
            <v>104</v>
          </cell>
          <cell r="K853">
            <v>1326</v>
          </cell>
          <cell r="L853">
            <v>24</v>
          </cell>
          <cell r="M853">
            <v>0</v>
          </cell>
          <cell r="N853">
            <v>13</v>
          </cell>
          <cell r="O853">
            <v>11</v>
          </cell>
          <cell r="P853">
            <v>107</v>
          </cell>
          <cell r="Q853">
            <v>34</v>
          </cell>
          <cell r="R853">
            <v>73</v>
          </cell>
          <cell r="S853">
            <v>3188</v>
          </cell>
          <cell r="T853">
            <v>131</v>
          </cell>
        </row>
        <row r="854">
          <cell r="C854" t="str">
            <v>Veradale CDP, Washington</v>
          </cell>
          <cell r="D854">
            <v>9387</v>
          </cell>
          <cell r="E854">
            <v>9087</v>
          </cell>
          <cell r="F854">
            <v>5114</v>
          </cell>
          <cell r="G854">
            <v>3878</v>
          </cell>
          <cell r="H854">
            <v>300</v>
          </cell>
          <cell r="I854">
            <v>943</v>
          </cell>
          <cell r="J854">
            <v>288</v>
          </cell>
          <cell r="K854">
            <v>2347</v>
          </cell>
          <cell r="L854">
            <v>95</v>
          </cell>
          <cell r="M854">
            <v>0</v>
          </cell>
          <cell r="N854">
            <v>0</v>
          </cell>
          <cell r="O854">
            <v>95</v>
          </cell>
          <cell r="P854">
            <v>300</v>
          </cell>
          <cell r="Q854">
            <v>177</v>
          </cell>
          <cell r="R854">
            <v>123</v>
          </cell>
          <cell r="S854">
            <v>8992</v>
          </cell>
          <cell r="T854">
            <v>395</v>
          </cell>
        </row>
        <row r="855">
          <cell r="C855" t="str">
            <v>Verlot CDP, Washington</v>
          </cell>
          <cell r="D855">
            <v>236</v>
          </cell>
          <cell r="E855">
            <v>230</v>
          </cell>
          <cell r="F855">
            <v>161</v>
          </cell>
          <cell r="G855">
            <v>69</v>
          </cell>
          <cell r="H855">
            <v>12</v>
          </cell>
          <cell r="I855">
            <v>44</v>
          </cell>
          <cell r="J855">
            <v>0</v>
          </cell>
          <cell r="K855">
            <v>13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6</v>
          </cell>
          <cell r="Q855">
            <v>6</v>
          </cell>
          <cell r="R855">
            <v>0</v>
          </cell>
          <cell r="S855">
            <v>230</v>
          </cell>
          <cell r="T855">
            <v>6</v>
          </cell>
        </row>
        <row r="856">
          <cell r="C856" t="str">
            <v>Waitsburg city, Washington</v>
          </cell>
          <cell r="D856">
            <v>1220</v>
          </cell>
          <cell r="E856">
            <v>1204</v>
          </cell>
          <cell r="F856">
            <v>647</v>
          </cell>
          <cell r="G856">
            <v>538</v>
          </cell>
          <cell r="H856">
            <v>24</v>
          </cell>
          <cell r="I856">
            <v>148</v>
          </cell>
          <cell r="J856">
            <v>59</v>
          </cell>
          <cell r="K856">
            <v>307</v>
          </cell>
          <cell r="L856">
            <v>19</v>
          </cell>
          <cell r="M856">
            <v>0</v>
          </cell>
          <cell r="N856">
            <v>0</v>
          </cell>
          <cell r="O856">
            <v>19</v>
          </cell>
          <cell r="P856">
            <v>16</v>
          </cell>
          <cell r="Q856">
            <v>13</v>
          </cell>
          <cell r="R856">
            <v>3</v>
          </cell>
          <cell r="S856">
            <v>1185</v>
          </cell>
          <cell r="T856">
            <v>35</v>
          </cell>
        </row>
        <row r="857">
          <cell r="C857" t="str">
            <v>Walla Walla city, Washington</v>
          </cell>
          <cell r="D857">
            <v>29792</v>
          </cell>
          <cell r="E857">
            <v>27015</v>
          </cell>
          <cell r="F857">
            <v>14259</v>
          </cell>
          <cell r="G857">
            <v>12411</v>
          </cell>
          <cell r="H857">
            <v>762</v>
          </cell>
          <cell r="I857">
            <v>2356</v>
          </cell>
          <cell r="J857">
            <v>1897</v>
          </cell>
          <cell r="K857">
            <v>7396</v>
          </cell>
          <cell r="L857">
            <v>345</v>
          </cell>
          <cell r="M857">
            <v>0</v>
          </cell>
          <cell r="N857">
            <v>13</v>
          </cell>
          <cell r="O857">
            <v>332</v>
          </cell>
          <cell r="P857">
            <v>2777</v>
          </cell>
          <cell r="Q857">
            <v>946</v>
          </cell>
          <cell r="R857">
            <v>1831</v>
          </cell>
          <cell r="S857">
            <v>26670</v>
          </cell>
          <cell r="T857">
            <v>3122</v>
          </cell>
        </row>
        <row r="858">
          <cell r="C858" t="str">
            <v>Walla Walla East CDP, Washington</v>
          </cell>
          <cell r="D858">
            <v>2379</v>
          </cell>
          <cell r="E858">
            <v>2222</v>
          </cell>
          <cell r="F858">
            <v>1036</v>
          </cell>
          <cell r="G858">
            <v>1186</v>
          </cell>
          <cell r="H858">
            <v>54</v>
          </cell>
          <cell r="I858">
            <v>297</v>
          </cell>
          <cell r="J858">
            <v>208</v>
          </cell>
          <cell r="K858">
            <v>627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157</v>
          </cell>
          <cell r="Q858">
            <v>60</v>
          </cell>
          <cell r="R858">
            <v>97</v>
          </cell>
          <cell r="S858">
            <v>2222</v>
          </cell>
          <cell r="T858">
            <v>157</v>
          </cell>
        </row>
        <row r="859">
          <cell r="C859" t="str">
            <v>Waller CDP, Washington</v>
          </cell>
          <cell r="D859">
            <v>9231</v>
          </cell>
          <cell r="E859">
            <v>8798</v>
          </cell>
          <cell r="F859">
            <v>5550</v>
          </cell>
          <cell r="G859">
            <v>3115</v>
          </cell>
          <cell r="H859">
            <v>219</v>
          </cell>
          <cell r="I859">
            <v>1097</v>
          </cell>
          <cell r="J859">
            <v>519</v>
          </cell>
          <cell r="K859">
            <v>1280</v>
          </cell>
          <cell r="L859">
            <v>133</v>
          </cell>
          <cell r="M859">
            <v>2</v>
          </cell>
          <cell r="N859">
            <v>4</v>
          </cell>
          <cell r="O859">
            <v>127</v>
          </cell>
          <cell r="P859">
            <v>433</v>
          </cell>
          <cell r="Q859">
            <v>203</v>
          </cell>
          <cell r="R859">
            <v>230</v>
          </cell>
          <cell r="S859">
            <v>8665</v>
          </cell>
          <cell r="T859">
            <v>566</v>
          </cell>
        </row>
        <row r="860">
          <cell r="C860" t="str">
            <v>Wallula CDP, Washington</v>
          </cell>
          <cell r="D860">
            <v>227</v>
          </cell>
          <cell r="E860">
            <v>221</v>
          </cell>
          <cell r="F860">
            <v>90</v>
          </cell>
          <cell r="G860">
            <v>131</v>
          </cell>
          <cell r="H860">
            <v>10</v>
          </cell>
          <cell r="I860">
            <v>7</v>
          </cell>
          <cell r="J860">
            <v>44</v>
          </cell>
          <cell r="K860">
            <v>70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6</v>
          </cell>
          <cell r="Q860">
            <v>0</v>
          </cell>
          <cell r="R860">
            <v>6</v>
          </cell>
          <cell r="S860">
            <v>221</v>
          </cell>
          <cell r="T860">
            <v>6</v>
          </cell>
        </row>
        <row r="861">
          <cell r="C861" t="str">
            <v>Walnut Grove CDP, Washington</v>
          </cell>
          <cell r="D861">
            <v>7261</v>
          </cell>
          <cell r="E861">
            <v>6736</v>
          </cell>
          <cell r="F861">
            <v>2258</v>
          </cell>
          <cell r="G861">
            <v>4441</v>
          </cell>
          <cell r="H861">
            <v>194</v>
          </cell>
          <cell r="I861">
            <v>948</v>
          </cell>
          <cell r="J861">
            <v>444</v>
          </cell>
          <cell r="K861">
            <v>2855</v>
          </cell>
          <cell r="L861">
            <v>37</v>
          </cell>
          <cell r="M861">
            <v>0</v>
          </cell>
          <cell r="N861">
            <v>0</v>
          </cell>
          <cell r="O861">
            <v>37</v>
          </cell>
          <cell r="P861">
            <v>525</v>
          </cell>
          <cell r="Q861">
            <v>205</v>
          </cell>
          <cell r="R861">
            <v>320</v>
          </cell>
          <cell r="S861">
            <v>6699</v>
          </cell>
          <cell r="T861">
            <v>562</v>
          </cell>
        </row>
        <row r="862">
          <cell r="C862" t="str">
            <v>Wapato city, Washington</v>
          </cell>
          <cell r="D862">
            <v>4686</v>
          </cell>
          <cell r="E862">
            <v>3146</v>
          </cell>
          <cell r="F862">
            <v>2396</v>
          </cell>
          <cell r="G862">
            <v>680</v>
          </cell>
          <cell r="H862">
            <v>26</v>
          </cell>
          <cell r="I862">
            <v>122</v>
          </cell>
          <cell r="J862">
            <v>179</v>
          </cell>
          <cell r="K862">
            <v>353</v>
          </cell>
          <cell r="L862">
            <v>70</v>
          </cell>
          <cell r="M862">
            <v>0</v>
          </cell>
          <cell r="N862">
            <v>0</v>
          </cell>
          <cell r="O862">
            <v>70</v>
          </cell>
          <cell r="P862">
            <v>1540</v>
          </cell>
          <cell r="Q862">
            <v>548</v>
          </cell>
          <cell r="R862">
            <v>992</v>
          </cell>
          <cell r="S862">
            <v>3076</v>
          </cell>
          <cell r="T862">
            <v>1610</v>
          </cell>
        </row>
        <row r="863">
          <cell r="C863" t="str">
            <v>Warden city, Washington</v>
          </cell>
          <cell r="D863">
            <v>2540</v>
          </cell>
          <cell r="E863">
            <v>1747</v>
          </cell>
          <cell r="F863">
            <v>1112</v>
          </cell>
          <cell r="G863">
            <v>615</v>
          </cell>
          <cell r="H863">
            <v>10</v>
          </cell>
          <cell r="I863">
            <v>86</v>
          </cell>
          <cell r="J863">
            <v>266</v>
          </cell>
          <cell r="K863">
            <v>253</v>
          </cell>
          <cell r="L863">
            <v>20</v>
          </cell>
          <cell r="M863">
            <v>0</v>
          </cell>
          <cell r="N863">
            <v>0</v>
          </cell>
          <cell r="O863">
            <v>20</v>
          </cell>
          <cell r="P863">
            <v>793</v>
          </cell>
          <cell r="Q863">
            <v>286</v>
          </cell>
          <cell r="R863">
            <v>507</v>
          </cell>
          <cell r="S863">
            <v>1727</v>
          </cell>
          <cell r="T863">
            <v>813</v>
          </cell>
        </row>
        <row r="864">
          <cell r="C864" t="str">
            <v>Warm Beach CDP, Washington</v>
          </cell>
          <cell r="D864">
            <v>2038</v>
          </cell>
          <cell r="E864">
            <v>1937</v>
          </cell>
          <cell r="F864">
            <v>1176</v>
          </cell>
          <cell r="G864">
            <v>751</v>
          </cell>
          <cell r="H864">
            <v>56</v>
          </cell>
          <cell r="I864">
            <v>303</v>
          </cell>
          <cell r="J864">
            <v>49</v>
          </cell>
          <cell r="K864">
            <v>343</v>
          </cell>
          <cell r="L864">
            <v>10</v>
          </cell>
          <cell r="M864">
            <v>0</v>
          </cell>
          <cell r="N864">
            <v>0</v>
          </cell>
          <cell r="O864">
            <v>10</v>
          </cell>
          <cell r="P864">
            <v>101</v>
          </cell>
          <cell r="Q864">
            <v>80</v>
          </cell>
          <cell r="R864">
            <v>21</v>
          </cell>
          <cell r="S864">
            <v>1927</v>
          </cell>
          <cell r="T864">
            <v>111</v>
          </cell>
        </row>
        <row r="865">
          <cell r="C865" t="str">
            <v>Washougal city, Washington</v>
          </cell>
          <cell r="D865">
            <v>8509</v>
          </cell>
          <cell r="E865">
            <v>8217</v>
          </cell>
          <cell r="F865">
            <v>3365</v>
          </cell>
          <cell r="G865">
            <v>4788</v>
          </cell>
          <cell r="H865">
            <v>236</v>
          </cell>
          <cell r="I865">
            <v>893</v>
          </cell>
          <cell r="J865">
            <v>411</v>
          </cell>
          <cell r="K865">
            <v>3248</v>
          </cell>
          <cell r="L865">
            <v>64</v>
          </cell>
          <cell r="M865">
            <v>0</v>
          </cell>
          <cell r="N865">
            <v>7</v>
          </cell>
          <cell r="O865">
            <v>57</v>
          </cell>
          <cell r="P865">
            <v>292</v>
          </cell>
          <cell r="Q865">
            <v>127</v>
          </cell>
          <cell r="R865">
            <v>165</v>
          </cell>
          <cell r="S865">
            <v>8153</v>
          </cell>
          <cell r="T865">
            <v>356</v>
          </cell>
        </row>
        <row r="866">
          <cell r="C866" t="str">
            <v>Washtucna town, Washington</v>
          </cell>
          <cell r="D866">
            <v>244</v>
          </cell>
          <cell r="E866">
            <v>244</v>
          </cell>
          <cell r="F866">
            <v>173</v>
          </cell>
          <cell r="G866">
            <v>71</v>
          </cell>
          <cell r="H866">
            <v>4</v>
          </cell>
          <cell r="I866">
            <v>13</v>
          </cell>
          <cell r="J866">
            <v>5</v>
          </cell>
          <cell r="K866">
            <v>49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244</v>
          </cell>
          <cell r="T866">
            <v>0</v>
          </cell>
        </row>
        <row r="867">
          <cell r="C867" t="str">
            <v>Waterville town, Washington</v>
          </cell>
          <cell r="D867">
            <v>1171</v>
          </cell>
          <cell r="E867">
            <v>1101</v>
          </cell>
          <cell r="F867">
            <v>752</v>
          </cell>
          <cell r="G867">
            <v>335</v>
          </cell>
          <cell r="H867">
            <v>11</v>
          </cell>
          <cell r="I867">
            <v>100</v>
          </cell>
          <cell r="J867">
            <v>79</v>
          </cell>
          <cell r="K867">
            <v>145</v>
          </cell>
          <cell r="L867">
            <v>14</v>
          </cell>
          <cell r="M867">
            <v>0</v>
          </cell>
          <cell r="N867">
            <v>0</v>
          </cell>
          <cell r="O867">
            <v>14</v>
          </cell>
          <cell r="P867">
            <v>70</v>
          </cell>
          <cell r="Q867">
            <v>20</v>
          </cell>
          <cell r="R867">
            <v>50</v>
          </cell>
          <cell r="S867">
            <v>1087</v>
          </cell>
          <cell r="T867">
            <v>84</v>
          </cell>
        </row>
        <row r="868">
          <cell r="C868" t="str">
            <v>Waverly town, Washington</v>
          </cell>
          <cell r="D868">
            <v>131</v>
          </cell>
          <cell r="E868">
            <v>131</v>
          </cell>
          <cell r="F868">
            <v>91</v>
          </cell>
          <cell r="G868">
            <v>40</v>
          </cell>
          <cell r="H868">
            <v>0</v>
          </cell>
          <cell r="I868">
            <v>3</v>
          </cell>
          <cell r="J868">
            <v>2</v>
          </cell>
          <cell r="K868">
            <v>35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131</v>
          </cell>
          <cell r="T868">
            <v>0</v>
          </cell>
        </row>
        <row r="869">
          <cell r="C869" t="str">
            <v>Weallup Lake CDP, Washington</v>
          </cell>
          <cell r="D869">
            <v>853</v>
          </cell>
          <cell r="E869">
            <v>800</v>
          </cell>
          <cell r="F869">
            <v>354</v>
          </cell>
          <cell r="G869">
            <v>445</v>
          </cell>
          <cell r="H869">
            <v>44</v>
          </cell>
          <cell r="I869">
            <v>154</v>
          </cell>
          <cell r="J869">
            <v>68</v>
          </cell>
          <cell r="K869">
            <v>179</v>
          </cell>
          <cell r="L869">
            <v>1</v>
          </cell>
          <cell r="M869">
            <v>1</v>
          </cell>
          <cell r="N869">
            <v>0</v>
          </cell>
          <cell r="O869">
            <v>0</v>
          </cell>
          <cell r="P869">
            <v>53</v>
          </cell>
          <cell r="Q869">
            <v>27</v>
          </cell>
          <cell r="R869">
            <v>26</v>
          </cell>
          <cell r="S869">
            <v>799</v>
          </cell>
          <cell r="T869">
            <v>54</v>
          </cell>
        </row>
        <row r="870">
          <cell r="C870" t="str">
            <v>Wenatchee city, Washington</v>
          </cell>
          <cell r="D870">
            <v>28098</v>
          </cell>
          <cell r="E870">
            <v>24334</v>
          </cell>
          <cell r="F870">
            <v>15061</v>
          </cell>
          <cell r="G870">
            <v>9090</v>
          </cell>
          <cell r="H870">
            <v>414</v>
          </cell>
          <cell r="I870">
            <v>2466</v>
          </cell>
          <cell r="J870">
            <v>1706</v>
          </cell>
          <cell r="K870">
            <v>4504</v>
          </cell>
          <cell r="L870">
            <v>183</v>
          </cell>
          <cell r="M870">
            <v>0</v>
          </cell>
          <cell r="N870">
            <v>0</v>
          </cell>
          <cell r="O870">
            <v>183</v>
          </cell>
          <cell r="P870">
            <v>3764</v>
          </cell>
          <cell r="Q870">
            <v>1139</v>
          </cell>
          <cell r="R870">
            <v>2625</v>
          </cell>
          <cell r="S870">
            <v>24151</v>
          </cell>
          <cell r="T870">
            <v>3947</v>
          </cell>
        </row>
        <row r="871">
          <cell r="C871" t="str">
            <v>West Clarkston-Highland CDP, Washington</v>
          </cell>
          <cell r="D871">
            <v>4677</v>
          </cell>
          <cell r="E871">
            <v>4604</v>
          </cell>
          <cell r="F871">
            <v>1141</v>
          </cell>
          <cell r="G871">
            <v>3436</v>
          </cell>
          <cell r="H871">
            <v>91</v>
          </cell>
          <cell r="I871">
            <v>477</v>
          </cell>
          <cell r="J871">
            <v>218</v>
          </cell>
          <cell r="K871">
            <v>2650</v>
          </cell>
          <cell r="L871">
            <v>27</v>
          </cell>
          <cell r="M871">
            <v>0</v>
          </cell>
          <cell r="N871">
            <v>0</v>
          </cell>
          <cell r="O871">
            <v>27</v>
          </cell>
          <cell r="P871">
            <v>73</v>
          </cell>
          <cell r="Q871">
            <v>48</v>
          </cell>
          <cell r="R871">
            <v>25</v>
          </cell>
          <cell r="S871">
            <v>4577</v>
          </cell>
          <cell r="T871">
            <v>100</v>
          </cell>
        </row>
        <row r="872">
          <cell r="C872" t="str">
            <v>West Lake Sammamish CDP, Washington</v>
          </cell>
          <cell r="D872">
            <v>5983</v>
          </cell>
          <cell r="E872">
            <v>5138</v>
          </cell>
          <cell r="F872">
            <v>2655</v>
          </cell>
          <cell r="G872">
            <v>2449</v>
          </cell>
          <cell r="H872">
            <v>242</v>
          </cell>
          <cell r="I872">
            <v>657</v>
          </cell>
          <cell r="J872">
            <v>326</v>
          </cell>
          <cell r="K872">
            <v>1224</v>
          </cell>
          <cell r="L872">
            <v>34</v>
          </cell>
          <cell r="M872">
            <v>4</v>
          </cell>
          <cell r="N872">
            <v>0</v>
          </cell>
          <cell r="O872">
            <v>30</v>
          </cell>
          <cell r="P872">
            <v>845</v>
          </cell>
          <cell r="Q872">
            <v>413</v>
          </cell>
          <cell r="R872">
            <v>432</v>
          </cell>
          <cell r="S872">
            <v>5104</v>
          </cell>
          <cell r="T872">
            <v>879</v>
          </cell>
        </row>
        <row r="873">
          <cell r="C873" t="str">
            <v>West Lake Stevens CDP, Washington</v>
          </cell>
          <cell r="D873">
            <v>17872</v>
          </cell>
          <cell r="E873">
            <v>17010</v>
          </cell>
          <cell r="F873">
            <v>10176</v>
          </cell>
          <cell r="G873">
            <v>6674</v>
          </cell>
          <cell r="H873">
            <v>483</v>
          </cell>
          <cell r="I873">
            <v>1627</v>
          </cell>
          <cell r="J873">
            <v>1101</v>
          </cell>
          <cell r="K873">
            <v>3463</v>
          </cell>
          <cell r="L873">
            <v>160</v>
          </cell>
          <cell r="M873">
            <v>7</v>
          </cell>
          <cell r="N873">
            <v>3</v>
          </cell>
          <cell r="O873">
            <v>150</v>
          </cell>
          <cell r="P873">
            <v>862</v>
          </cell>
          <cell r="Q873">
            <v>477</v>
          </cell>
          <cell r="R873">
            <v>385</v>
          </cell>
          <cell r="S873">
            <v>16850</v>
          </cell>
          <cell r="T873">
            <v>1022</v>
          </cell>
        </row>
        <row r="874">
          <cell r="C874" t="str">
            <v>West Longview CDP, Washington</v>
          </cell>
          <cell r="D874">
            <v>2869</v>
          </cell>
          <cell r="E874">
            <v>2786</v>
          </cell>
          <cell r="F874">
            <v>1488</v>
          </cell>
          <cell r="G874">
            <v>1290</v>
          </cell>
          <cell r="H874">
            <v>79</v>
          </cell>
          <cell r="I874">
            <v>243</v>
          </cell>
          <cell r="J874">
            <v>216</v>
          </cell>
          <cell r="K874">
            <v>752</v>
          </cell>
          <cell r="L874">
            <v>8</v>
          </cell>
          <cell r="M874">
            <v>0</v>
          </cell>
          <cell r="N874">
            <v>0</v>
          </cell>
          <cell r="O874">
            <v>8</v>
          </cell>
          <cell r="P874">
            <v>83</v>
          </cell>
          <cell r="Q874">
            <v>38</v>
          </cell>
          <cell r="R874">
            <v>45</v>
          </cell>
          <cell r="S874">
            <v>2778</v>
          </cell>
          <cell r="T874">
            <v>91</v>
          </cell>
        </row>
        <row r="875">
          <cell r="C875" t="str">
            <v>West Pasco CDP, Washington</v>
          </cell>
          <cell r="D875">
            <v>4759</v>
          </cell>
          <cell r="E875">
            <v>4527</v>
          </cell>
          <cell r="F875">
            <v>2244</v>
          </cell>
          <cell r="G875">
            <v>2244</v>
          </cell>
          <cell r="H875">
            <v>227</v>
          </cell>
          <cell r="I875">
            <v>503</v>
          </cell>
          <cell r="J875">
            <v>266</v>
          </cell>
          <cell r="K875">
            <v>1248</v>
          </cell>
          <cell r="L875">
            <v>39</v>
          </cell>
          <cell r="M875">
            <v>6</v>
          </cell>
          <cell r="N875">
            <v>0</v>
          </cell>
          <cell r="O875">
            <v>33</v>
          </cell>
          <cell r="P875">
            <v>232</v>
          </cell>
          <cell r="Q875">
            <v>129</v>
          </cell>
          <cell r="R875">
            <v>103</v>
          </cell>
          <cell r="S875">
            <v>4488</v>
          </cell>
          <cell r="T875">
            <v>271</v>
          </cell>
        </row>
        <row r="876">
          <cell r="C876" t="str">
            <v>Westport city, Washington</v>
          </cell>
          <cell r="D876">
            <v>2165</v>
          </cell>
          <cell r="E876">
            <v>2119</v>
          </cell>
          <cell r="F876">
            <v>1212</v>
          </cell>
          <cell r="G876">
            <v>892</v>
          </cell>
          <cell r="H876">
            <v>65</v>
          </cell>
          <cell r="I876">
            <v>178</v>
          </cell>
          <cell r="J876">
            <v>103</v>
          </cell>
          <cell r="K876">
            <v>546</v>
          </cell>
          <cell r="L876">
            <v>15</v>
          </cell>
          <cell r="M876">
            <v>5</v>
          </cell>
          <cell r="N876">
            <v>0</v>
          </cell>
          <cell r="O876">
            <v>10</v>
          </cell>
          <cell r="P876">
            <v>46</v>
          </cell>
          <cell r="Q876">
            <v>20</v>
          </cell>
          <cell r="R876">
            <v>26</v>
          </cell>
          <cell r="S876">
            <v>2104</v>
          </cell>
          <cell r="T876">
            <v>61</v>
          </cell>
        </row>
        <row r="877">
          <cell r="C877" t="str">
            <v>West Richland city, Washington</v>
          </cell>
          <cell r="D877">
            <v>8524</v>
          </cell>
          <cell r="E877">
            <v>8106</v>
          </cell>
          <cell r="F877">
            <v>4042</v>
          </cell>
          <cell r="G877">
            <v>4017</v>
          </cell>
          <cell r="H877">
            <v>219</v>
          </cell>
          <cell r="I877">
            <v>876</v>
          </cell>
          <cell r="J877">
            <v>625</v>
          </cell>
          <cell r="K877">
            <v>2297</v>
          </cell>
          <cell r="L877">
            <v>47</v>
          </cell>
          <cell r="M877">
            <v>0</v>
          </cell>
          <cell r="N877">
            <v>7</v>
          </cell>
          <cell r="O877">
            <v>40</v>
          </cell>
          <cell r="P877">
            <v>418</v>
          </cell>
          <cell r="Q877">
            <v>238</v>
          </cell>
          <cell r="R877">
            <v>180</v>
          </cell>
          <cell r="S877">
            <v>8059</v>
          </cell>
          <cell r="T877">
            <v>465</v>
          </cell>
        </row>
        <row r="878">
          <cell r="C878" t="str">
            <v>West Side Highway CDP, Washington</v>
          </cell>
          <cell r="D878">
            <v>4539</v>
          </cell>
          <cell r="E878">
            <v>4450</v>
          </cell>
          <cell r="F878">
            <v>2714</v>
          </cell>
          <cell r="G878">
            <v>1715</v>
          </cell>
          <cell r="H878">
            <v>96</v>
          </cell>
          <cell r="I878">
            <v>454</v>
          </cell>
          <cell r="J878">
            <v>217</v>
          </cell>
          <cell r="K878">
            <v>948</v>
          </cell>
          <cell r="L878">
            <v>21</v>
          </cell>
          <cell r="M878">
            <v>0</v>
          </cell>
          <cell r="N878">
            <v>8</v>
          </cell>
          <cell r="O878">
            <v>13</v>
          </cell>
          <cell r="P878">
            <v>89</v>
          </cell>
          <cell r="Q878">
            <v>42</v>
          </cell>
          <cell r="R878">
            <v>47</v>
          </cell>
          <cell r="S878">
            <v>4429</v>
          </cell>
          <cell r="T878">
            <v>110</v>
          </cell>
        </row>
        <row r="879">
          <cell r="C879" t="str">
            <v>West Valley CDP, Washington</v>
          </cell>
          <cell r="D879">
            <v>10060</v>
          </cell>
          <cell r="E879">
            <v>9641</v>
          </cell>
          <cell r="F879">
            <v>6120</v>
          </cell>
          <cell r="G879">
            <v>3339</v>
          </cell>
          <cell r="H879">
            <v>219</v>
          </cell>
          <cell r="I879">
            <v>983</v>
          </cell>
          <cell r="J879">
            <v>625</v>
          </cell>
          <cell r="K879">
            <v>1512</v>
          </cell>
          <cell r="L879">
            <v>182</v>
          </cell>
          <cell r="M879">
            <v>13</v>
          </cell>
          <cell r="N879">
            <v>35</v>
          </cell>
          <cell r="O879">
            <v>134</v>
          </cell>
          <cell r="P879">
            <v>419</v>
          </cell>
          <cell r="Q879">
            <v>232</v>
          </cell>
          <cell r="R879">
            <v>187</v>
          </cell>
          <cell r="S879">
            <v>9459</v>
          </cell>
          <cell r="T879">
            <v>601</v>
          </cell>
        </row>
        <row r="880">
          <cell r="C880" t="str">
            <v>West Wenatchee CDP, Washington</v>
          </cell>
          <cell r="D880">
            <v>1411</v>
          </cell>
          <cell r="E880">
            <v>1309</v>
          </cell>
          <cell r="F880">
            <v>804</v>
          </cell>
          <cell r="G880">
            <v>505</v>
          </cell>
          <cell r="H880">
            <v>54</v>
          </cell>
          <cell r="I880">
            <v>149</v>
          </cell>
          <cell r="J880">
            <v>90</v>
          </cell>
          <cell r="K880">
            <v>212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102</v>
          </cell>
          <cell r="Q880">
            <v>63</v>
          </cell>
          <cell r="R880">
            <v>39</v>
          </cell>
          <cell r="S880">
            <v>1309</v>
          </cell>
          <cell r="T880">
            <v>102</v>
          </cell>
        </row>
        <row r="881">
          <cell r="C881" t="str">
            <v>White Center CDP, Washington</v>
          </cell>
          <cell r="D881">
            <v>20848</v>
          </cell>
          <cell r="E881">
            <v>15196</v>
          </cell>
          <cell r="F881">
            <v>9614</v>
          </cell>
          <cell r="G881">
            <v>5316</v>
          </cell>
          <cell r="H881">
            <v>326</v>
          </cell>
          <cell r="I881">
            <v>1731</v>
          </cell>
          <cell r="J881">
            <v>790</v>
          </cell>
          <cell r="K881">
            <v>2469</v>
          </cell>
          <cell r="L881">
            <v>266</v>
          </cell>
          <cell r="M881">
            <v>60</v>
          </cell>
          <cell r="N881">
            <v>88</v>
          </cell>
          <cell r="O881">
            <v>118</v>
          </cell>
          <cell r="P881">
            <v>5652</v>
          </cell>
          <cell r="Q881">
            <v>1909</v>
          </cell>
          <cell r="R881">
            <v>3743</v>
          </cell>
          <cell r="S881">
            <v>14930</v>
          </cell>
          <cell r="T881">
            <v>5918</v>
          </cell>
        </row>
        <row r="882">
          <cell r="C882" t="str">
            <v>White Salmon city, Washington</v>
          </cell>
          <cell r="D882">
            <v>2153</v>
          </cell>
          <cell r="E882">
            <v>1879</v>
          </cell>
          <cell r="F882">
            <v>728</v>
          </cell>
          <cell r="G882">
            <v>1144</v>
          </cell>
          <cell r="H882">
            <v>41</v>
          </cell>
          <cell r="I882">
            <v>258</v>
          </cell>
          <cell r="J882">
            <v>88</v>
          </cell>
          <cell r="K882">
            <v>757</v>
          </cell>
          <cell r="L882">
            <v>7</v>
          </cell>
          <cell r="M882">
            <v>0</v>
          </cell>
          <cell r="N882">
            <v>0</v>
          </cell>
          <cell r="O882">
            <v>7</v>
          </cell>
          <cell r="P882">
            <v>274</v>
          </cell>
          <cell r="Q882">
            <v>76</v>
          </cell>
          <cell r="R882">
            <v>198</v>
          </cell>
          <cell r="S882">
            <v>1872</v>
          </cell>
          <cell r="T882">
            <v>281</v>
          </cell>
        </row>
        <row r="883">
          <cell r="C883" t="str">
            <v>White Swan CDP, Washington</v>
          </cell>
          <cell r="D883">
            <v>3068</v>
          </cell>
          <cell r="E883">
            <v>2934</v>
          </cell>
          <cell r="F883">
            <v>2280</v>
          </cell>
          <cell r="G883">
            <v>648</v>
          </cell>
          <cell r="H883">
            <v>3</v>
          </cell>
          <cell r="I883">
            <v>82</v>
          </cell>
          <cell r="J883">
            <v>38</v>
          </cell>
          <cell r="K883">
            <v>525</v>
          </cell>
          <cell r="L883">
            <v>6</v>
          </cell>
          <cell r="M883">
            <v>0</v>
          </cell>
          <cell r="N883">
            <v>6</v>
          </cell>
          <cell r="O883">
            <v>0</v>
          </cell>
          <cell r="P883">
            <v>134</v>
          </cell>
          <cell r="Q883">
            <v>21</v>
          </cell>
          <cell r="R883">
            <v>113</v>
          </cell>
          <cell r="S883">
            <v>2928</v>
          </cell>
          <cell r="T883">
            <v>140</v>
          </cell>
        </row>
        <row r="884">
          <cell r="C884" t="str">
            <v>Wilbur town, Washington</v>
          </cell>
          <cell r="D884">
            <v>911</v>
          </cell>
          <cell r="E884">
            <v>898</v>
          </cell>
          <cell r="F884">
            <v>588</v>
          </cell>
          <cell r="G884">
            <v>305</v>
          </cell>
          <cell r="H884">
            <v>9</v>
          </cell>
          <cell r="I884">
            <v>117</v>
          </cell>
          <cell r="J884">
            <v>39</v>
          </cell>
          <cell r="K884">
            <v>140</v>
          </cell>
          <cell r="L884">
            <v>5</v>
          </cell>
          <cell r="M884">
            <v>0</v>
          </cell>
          <cell r="N884">
            <v>0</v>
          </cell>
          <cell r="O884">
            <v>5</v>
          </cell>
          <cell r="P884">
            <v>13</v>
          </cell>
          <cell r="Q884">
            <v>0</v>
          </cell>
          <cell r="R884">
            <v>13</v>
          </cell>
          <cell r="S884">
            <v>893</v>
          </cell>
          <cell r="T884">
            <v>18</v>
          </cell>
        </row>
        <row r="885">
          <cell r="C885" t="str">
            <v>Wilkeson town, Washington</v>
          </cell>
          <cell r="D885">
            <v>404</v>
          </cell>
          <cell r="E885">
            <v>401</v>
          </cell>
          <cell r="F885">
            <v>256</v>
          </cell>
          <cell r="G885">
            <v>142</v>
          </cell>
          <cell r="H885">
            <v>10</v>
          </cell>
          <cell r="I885">
            <v>36</v>
          </cell>
          <cell r="J885">
            <v>33</v>
          </cell>
          <cell r="K885">
            <v>63</v>
          </cell>
          <cell r="L885">
            <v>3</v>
          </cell>
          <cell r="M885">
            <v>0</v>
          </cell>
          <cell r="N885">
            <v>0</v>
          </cell>
          <cell r="O885">
            <v>3</v>
          </cell>
          <cell r="P885">
            <v>3</v>
          </cell>
          <cell r="Q885">
            <v>0</v>
          </cell>
          <cell r="R885">
            <v>3</v>
          </cell>
          <cell r="S885">
            <v>398</v>
          </cell>
          <cell r="T885">
            <v>6</v>
          </cell>
        </row>
        <row r="886">
          <cell r="C886" t="str">
            <v>Wilson Creek town, Washington</v>
          </cell>
          <cell r="D886">
            <v>201</v>
          </cell>
          <cell r="E886">
            <v>198</v>
          </cell>
          <cell r="F886">
            <v>95</v>
          </cell>
          <cell r="G886">
            <v>103</v>
          </cell>
          <cell r="H886">
            <v>1</v>
          </cell>
          <cell r="I886">
            <v>28</v>
          </cell>
          <cell r="J886">
            <v>40</v>
          </cell>
          <cell r="K886">
            <v>34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3</v>
          </cell>
          <cell r="Q886">
            <v>0</v>
          </cell>
          <cell r="R886">
            <v>3</v>
          </cell>
          <cell r="S886">
            <v>198</v>
          </cell>
          <cell r="T886">
            <v>3</v>
          </cell>
        </row>
        <row r="887">
          <cell r="C887" t="str">
            <v>Winlock city, Washington</v>
          </cell>
          <cell r="D887">
            <v>1135</v>
          </cell>
          <cell r="E887">
            <v>1070</v>
          </cell>
          <cell r="F887">
            <v>622</v>
          </cell>
          <cell r="G887">
            <v>443</v>
          </cell>
          <cell r="H887">
            <v>14</v>
          </cell>
          <cell r="I887">
            <v>144</v>
          </cell>
          <cell r="J887">
            <v>71</v>
          </cell>
          <cell r="K887">
            <v>214</v>
          </cell>
          <cell r="L887">
            <v>5</v>
          </cell>
          <cell r="M887">
            <v>3</v>
          </cell>
          <cell r="N887">
            <v>0</v>
          </cell>
          <cell r="O887">
            <v>2</v>
          </cell>
          <cell r="P887">
            <v>65</v>
          </cell>
          <cell r="Q887">
            <v>20</v>
          </cell>
          <cell r="R887">
            <v>45</v>
          </cell>
          <cell r="S887">
            <v>1065</v>
          </cell>
          <cell r="T887">
            <v>70</v>
          </cell>
        </row>
        <row r="888">
          <cell r="C888" t="str">
            <v>Winthrop town, Washington</v>
          </cell>
          <cell r="D888">
            <v>324</v>
          </cell>
          <cell r="E888">
            <v>318</v>
          </cell>
          <cell r="F888">
            <v>181</v>
          </cell>
          <cell r="G888">
            <v>137</v>
          </cell>
          <cell r="H888">
            <v>23</v>
          </cell>
          <cell r="I888">
            <v>47</v>
          </cell>
          <cell r="J888">
            <v>12</v>
          </cell>
          <cell r="K888">
            <v>55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6</v>
          </cell>
          <cell r="Q888">
            <v>6</v>
          </cell>
          <cell r="R888">
            <v>0</v>
          </cell>
          <cell r="S888">
            <v>318</v>
          </cell>
          <cell r="T888">
            <v>6</v>
          </cell>
        </row>
        <row r="889">
          <cell r="C889" t="str">
            <v>Wishram CDP, Washington</v>
          </cell>
          <cell r="D889">
            <v>291</v>
          </cell>
          <cell r="E889">
            <v>289</v>
          </cell>
          <cell r="F889">
            <v>101</v>
          </cell>
          <cell r="G889">
            <v>185</v>
          </cell>
          <cell r="H889">
            <v>11</v>
          </cell>
          <cell r="I889">
            <v>17</v>
          </cell>
          <cell r="J889">
            <v>25</v>
          </cell>
          <cell r="K889">
            <v>132</v>
          </cell>
          <cell r="L889">
            <v>3</v>
          </cell>
          <cell r="M889">
            <v>0</v>
          </cell>
          <cell r="N889">
            <v>0</v>
          </cell>
          <cell r="O889">
            <v>3</v>
          </cell>
          <cell r="P889">
            <v>2</v>
          </cell>
          <cell r="Q889">
            <v>0</v>
          </cell>
          <cell r="R889">
            <v>2</v>
          </cell>
          <cell r="S889">
            <v>286</v>
          </cell>
          <cell r="T889">
            <v>5</v>
          </cell>
        </row>
        <row r="890">
          <cell r="C890" t="str">
            <v>Woodinville city, Washington</v>
          </cell>
          <cell r="D890">
            <v>9445</v>
          </cell>
          <cell r="E890">
            <v>8159</v>
          </cell>
          <cell r="F890">
            <v>4211</v>
          </cell>
          <cell r="G890">
            <v>3828</v>
          </cell>
          <cell r="H890">
            <v>394</v>
          </cell>
          <cell r="I890">
            <v>1180</v>
          </cell>
          <cell r="J890">
            <v>398</v>
          </cell>
          <cell r="K890">
            <v>1856</v>
          </cell>
          <cell r="L890">
            <v>120</v>
          </cell>
          <cell r="M890">
            <v>0</v>
          </cell>
          <cell r="N890">
            <v>0</v>
          </cell>
          <cell r="O890">
            <v>120</v>
          </cell>
          <cell r="P890">
            <v>1286</v>
          </cell>
          <cell r="Q890">
            <v>494</v>
          </cell>
          <cell r="R890">
            <v>792</v>
          </cell>
          <cell r="S890">
            <v>8039</v>
          </cell>
          <cell r="T890">
            <v>1406</v>
          </cell>
        </row>
        <row r="891">
          <cell r="C891" t="str">
            <v>Woodland city, Washington</v>
          </cell>
          <cell r="D891">
            <v>3790</v>
          </cell>
          <cell r="E891">
            <v>3684</v>
          </cell>
          <cell r="F891">
            <v>1654</v>
          </cell>
          <cell r="G891">
            <v>1998</v>
          </cell>
          <cell r="H891">
            <v>17</v>
          </cell>
          <cell r="I891">
            <v>445</v>
          </cell>
          <cell r="J891">
            <v>175</v>
          </cell>
          <cell r="K891">
            <v>1361</v>
          </cell>
          <cell r="L891">
            <v>32</v>
          </cell>
          <cell r="M891">
            <v>0</v>
          </cell>
          <cell r="N891">
            <v>0</v>
          </cell>
          <cell r="O891">
            <v>32</v>
          </cell>
          <cell r="P891">
            <v>106</v>
          </cell>
          <cell r="Q891">
            <v>51</v>
          </cell>
          <cell r="R891">
            <v>55</v>
          </cell>
          <cell r="S891">
            <v>3652</v>
          </cell>
          <cell r="T891">
            <v>138</v>
          </cell>
        </row>
        <row r="892">
          <cell r="C892" t="str">
            <v>Woods Creek CDP, Washington</v>
          </cell>
          <cell r="D892">
            <v>4515</v>
          </cell>
          <cell r="E892">
            <v>4334</v>
          </cell>
          <cell r="F892">
            <v>2781</v>
          </cell>
          <cell r="G892">
            <v>1506</v>
          </cell>
          <cell r="H892">
            <v>157</v>
          </cell>
          <cell r="I892">
            <v>401</v>
          </cell>
          <cell r="J892">
            <v>178</v>
          </cell>
          <cell r="K892">
            <v>770</v>
          </cell>
          <cell r="L892">
            <v>47</v>
          </cell>
          <cell r="M892">
            <v>0</v>
          </cell>
          <cell r="N892">
            <v>0</v>
          </cell>
          <cell r="O892">
            <v>47</v>
          </cell>
          <cell r="P892">
            <v>181</v>
          </cell>
          <cell r="Q892">
            <v>116</v>
          </cell>
          <cell r="R892">
            <v>65</v>
          </cell>
          <cell r="S892">
            <v>4287</v>
          </cell>
          <cell r="T892">
            <v>228</v>
          </cell>
        </row>
        <row r="893">
          <cell r="C893" t="str">
            <v>Woodway city, Washington</v>
          </cell>
          <cell r="D893">
            <v>937</v>
          </cell>
          <cell r="E893">
            <v>887</v>
          </cell>
          <cell r="F893">
            <v>524</v>
          </cell>
          <cell r="G893">
            <v>351</v>
          </cell>
          <cell r="H893">
            <v>55</v>
          </cell>
          <cell r="I893">
            <v>117</v>
          </cell>
          <cell r="J893">
            <v>24</v>
          </cell>
          <cell r="K893">
            <v>155</v>
          </cell>
          <cell r="L893">
            <v>12</v>
          </cell>
          <cell r="M893">
            <v>0</v>
          </cell>
          <cell r="N893">
            <v>0</v>
          </cell>
          <cell r="O893">
            <v>12</v>
          </cell>
          <cell r="P893">
            <v>50</v>
          </cell>
          <cell r="Q893">
            <v>33</v>
          </cell>
          <cell r="R893">
            <v>17</v>
          </cell>
          <cell r="S893">
            <v>875</v>
          </cell>
          <cell r="T893">
            <v>62</v>
          </cell>
        </row>
        <row r="894">
          <cell r="C894" t="str">
            <v>Yacolt town, Washington</v>
          </cell>
          <cell r="D894">
            <v>1098</v>
          </cell>
          <cell r="E894">
            <v>1055</v>
          </cell>
          <cell r="F894">
            <v>511</v>
          </cell>
          <cell r="G894">
            <v>539</v>
          </cell>
          <cell r="H894">
            <v>36</v>
          </cell>
          <cell r="I894">
            <v>91</v>
          </cell>
          <cell r="J894">
            <v>49</v>
          </cell>
          <cell r="K894">
            <v>363</v>
          </cell>
          <cell r="L894">
            <v>5</v>
          </cell>
          <cell r="M894">
            <v>0</v>
          </cell>
          <cell r="N894">
            <v>2</v>
          </cell>
          <cell r="O894">
            <v>3</v>
          </cell>
          <cell r="P894">
            <v>43</v>
          </cell>
          <cell r="Q894">
            <v>20</v>
          </cell>
          <cell r="R894">
            <v>23</v>
          </cell>
          <cell r="S894">
            <v>1050</v>
          </cell>
          <cell r="T894">
            <v>48</v>
          </cell>
        </row>
        <row r="895">
          <cell r="C895" t="str">
            <v>Yakima city, Washington</v>
          </cell>
          <cell r="D895">
            <v>72294</v>
          </cell>
          <cell r="E895">
            <v>59704</v>
          </cell>
          <cell r="F895">
            <v>37800</v>
          </cell>
          <cell r="G895">
            <v>21340</v>
          </cell>
          <cell r="H895">
            <v>1083</v>
          </cell>
          <cell r="I895">
            <v>5787</v>
          </cell>
          <cell r="J895">
            <v>3913</v>
          </cell>
          <cell r="K895">
            <v>10557</v>
          </cell>
          <cell r="L895">
            <v>564</v>
          </cell>
          <cell r="M895">
            <v>59</v>
          </cell>
          <cell r="N895">
            <v>8</v>
          </cell>
          <cell r="O895">
            <v>497</v>
          </cell>
          <cell r="P895">
            <v>12590</v>
          </cell>
          <cell r="Q895">
            <v>3080</v>
          </cell>
          <cell r="R895">
            <v>9510</v>
          </cell>
          <cell r="S895">
            <v>59140</v>
          </cell>
          <cell r="T895">
            <v>13154</v>
          </cell>
        </row>
        <row r="896">
          <cell r="C896" t="str">
            <v>Yarrow Point town, Washington</v>
          </cell>
          <cell r="D896">
            <v>1007</v>
          </cell>
          <cell r="E896">
            <v>942</v>
          </cell>
          <cell r="F896">
            <v>501</v>
          </cell>
          <cell r="G896">
            <v>431</v>
          </cell>
          <cell r="H896">
            <v>73</v>
          </cell>
          <cell r="I896">
            <v>112</v>
          </cell>
          <cell r="J896">
            <v>40</v>
          </cell>
          <cell r="K896">
            <v>206</v>
          </cell>
          <cell r="L896">
            <v>10</v>
          </cell>
          <cell r="M896">
            <v>0</v>
          </cell>
          <cell r="N896">
            <v>0</v>
          </cell>
          <cell r="O896">
            <v>10</v>
          </cell>
          <cell r="P896">
            <v>65</v>
          </cell>
          <cell r="Q896">
            <v>43</v>
          </cell>
          <cell r="R896">
            <v>22</v>
          </cell>
          <cell r="S896">
            <v>932</v>
          </cell>
          <cell r="T896">
            <v>75</v>
          </cell>
        </row>
        <row r="897">
          <cell r="C897" t="str">
            <v>Yelm city, Washington</v>
          </cell>
          <cell r="D897">
            <v>3348</v>
          </cell>
          <cell r="E897">
            <v>3218</v>
          </cell>
          <cell r="F897">
            <v>1502</v>
          </cell>
          <cell r="G897">
            <v>1597</v>
          </cell>
          <cell r="H897">
            <v>182</v>
          </cell>
          <cell r="I897">
            <v>392</v>
          </cell>
          <cell r="J897">
            <v>266</v>
          </cell>
          <cell r="K897">
            <v>757</v>
          </cell>
          <cell r="L897">
            <v>119</v>
          </cell>
          <cell r="M897">
            <v>0</v>
          </cell>
          <cell r="N897">
            <v>10</v>
          </cell>
          <cell r="O897">
            <v>109</v>
          </cell>
          <cell r="P897">
            <v>130</v>
          </cell>
          <cell r="Q897">
            <v>51</v>
          </cell>
          <cell r="R897">
            <v>79</v>
          </cell>
          <cell r="S897">
            <v>3099</v>
          </cell>
          <cell r="T897">
            <v>249</v>
          </cell>
        </row>
        <row r="898">
          <cell r="C898" t="str">
            <v>Zillah city, Washington</v>
          </cell>
          <cell r="D898">
            <v>2166</v>
          </cell>
          <cell r="E898">
            <v>1960</v>
          </cell>
          <cell r="F898">
            <v>1304</v>
          </cell>
          <cell r="G898">
            <v>639</v>
          </cell>
          <cell r="H898">
            <v>31</v>
          </cell>
          <cell r="I898">
            <v>160</v>
          </cell>
          <cell r="J898">
            <v>104</v>
          </cell>
          <cell r="K898">
            <v>344</v>
          </cell>
          <cell r="L898">
            <v>17</v>
          </cell>
          <cell r="M898">
            <v>0</v>
          </cell>
          <cell r="N898">
            <v>0</v>
          </cell>
          <cell r="O898">
            <v>17</v>
          </cell>
          <cell r="P898">
            <v>206</v>
          </cell>
          <cell r="Q898">
            <v>91</v>
          </cell>
          <cell r="R898">
            <v>115</v>
          </cell>
          <cell r="S898">
            <v>1943</v>
          </cell>
          <cell r="T898">
            <v>223</v>
          </cell>
        </row>
      </sheetData>
      <sheetData sheetId="3">
        <row r="1">
          <cell r="C1" t="str">
            <v>GEO.display-label</v>
          </cell>
          <cell r="D1" t="str">
            <v>VD01</v>
          </cell>
          <cell r="E1" t="str">
            <v>VD02</v>
          </cell>
          <cell r="F1" t="str">
            <v>VD03</v>
          </cell>
          <cell r="G1" t="str">
            <v>VD04</v>
          </cell>
          <cell r="H1" t="str">
            <v>VD05</v>
          </cell>
          <cell r="I1" t="str">
            <v>VD06</v>
          </cell>
          <cell r="J1" t="str">
            <v>VD07</v>
          </cell>
          <cell r="K1" t="str">
            <v>VD08</v>
          </cell>
          <cell r="L1" t="str">
            <v>VD09</v>
          </cell>
          <cell r="M1" t="str">
            <v>VD10</v>
          </cell>
          <cell r="N1" t="str">
            <v>VD11</v>
          </cell>
          <cell r="O1" t="str">
            <v>VD12</v>
          </cell>
          <cell r="P1" t="str">
            <v>VD13</v>
          </cell>
          <cell r="Q1" t="str">
            <v>VD14</v>
          </cell>
          <cell r="R1" t="str">
            <v>VD15</v>
          </cell>
        </row>
        <row r="2">
          <cell r="C2" t="str">
            <v>Geography</v>
          </cell>
          <cell r="D2" t="str">
            <v>Total:</v>
          </cell>
          <cell r="E2" t="str">
            <v>Native:</v>
          </cell>
          <cell r="F2" t="str">
            <v>Native: - Born in state of residence</v>
          </cell>
          <cell r="G2" t="str">
            <v>Native: - Born in other state in the United States:</v>
          </cell>
          <cell r="H2" t="str">
            <v>Native: - Born in other state in the United States: - Northeast</v>
          </cell>
          <cell r="I2" t="str">
            <v>Native: - Born in other state in the United States: - Midwest</v>
          </cell>
          <cell r="J2" t="str">
            <v>Native: - Born in other state in the United States: - South</v>
          </cell>
          <cell r="K2" t="str">
            <v>Native: - Born in other state in the United States: - West</v>
          </cell>
          <cell r="L2" t="str">
            <v>Native: - Born outside the United States:</v>
          </cell>
          <cell r="M2" t="str">
            <v>Native: - Born outside the United States: - Puerto Rico</v>
          </cell>
          <cell r="N2" t="str">
            <v>Native: - Born outside the United States: - U.S. Island Areas</v>
          </cell>
          <cell r="O2" t="str">
            <v>Native: - Born outside the United States: - Born abroad of American parent(s)</v>
          </cell>
          <cell r="P2" t="str">
            <v>Foreign born:</v>
          </cell>
          <cell r="Q2" t="str">
            <v>Foreign born: - Naturalized citizen</v>
          </cell>
          <cell r="R2" t="str">
            <v>Foreign born: - Not a citizen</v>
          </cell>
          <cell r="S2" t="str">
            <v>Born in US</v>
          </cell>
          <cell r="T2" t="str">
            <v>Born outside US</v>
          </cell>
        </row>
        <row r="3">
          <cell r="C3" t="str">
            <v>King County, Washington</v>
          </cell>
          <cell r="D3">
            <v>1273696</v>
          </cell>
          <cell r="E3">
            <v>1195375</v>
          </cell>
          <cell r="F3">
            <v>599063</v>
          </cell>
          <cell r="G3">
            <v>581396</v>
          </cell>
          <cell r="H3">
            <v>82079</v>
          </cell>
          <cell r="I3">
            <v>181234</v>
          </cell>
          <cell r="J3">
            <v>76519</v>
          </cell>
          <cell r="K3">
            <v>241564</v>
          </cell>
          <cell r="L3">
            <v>14916</v>
          </cell>
          <cell r="M3">
            <v>314</v>
          </cell>
          <cell r="N3">
            <v>467</v>
          </cell>
          <cell r="O3">
            <v>14135</v>
          </cell>
          <cell r="P3">
            <v>78321</v>
          </cell>
          <cell r="Q3">
            <v>34796</v>
          </cell>
          <cell r="R3">
            <v>43525</v>
          </cell>
          <cell r="S3">
            <v>1180459</v>
          </cell>
          <cell r="T3">
            <v>93237</v>
          </cell>
        </row>
        <row r="4">
          <cell r="C4" t="str">
            <v>Census Tract 1, King County, Washington</v>
          </cell>
          <cell r="D4">
            <v>3304</v>
          </cell>
          <cell r="E4">
            <v>3005</v>
          </cell>
          <cell r="F4">
            <v>1487</v>
          </cell>
          <cell r="G4">
            <v>1491</v>
          </cell>
          <cell r="H4">
            <v>217</v>
          </cell>
          <cell r="I4">
            <v>406</v>
          </cell>
          <cell r="J4">
            <v>231</v>
          </cell>
          <cell r="K4">
            <v>637</v>
          </cell>
          <cell r="L4">
            <v>27</v>
          </cell>
          <cell r="M4">
            <v>0</v>
          </cell>
          <cell r="N4">
            <v>15</v>
          </cell>
          <cell r="O4">
            <v>12</v>
          </cell>
          <cell r="P4">
            <v>299</v>
          </cell>
          <cell r="Q4">
            <v>142</v>
          </cell>
          <cell r="R4">
            <v>157</v>
          </cell>
          <cell r="S4">
            <v>2978</v>
          </cell>
          <cell r="T4">
            <v>326</v>
          </cell>
        </row>
        <row r="5">
          <cell r="C5" t="str">
            <v>Census Tract 2, King County, Washington</v>
          </cell>
          <cell r="D5">
            <v>5063</v>
          </cell>
          <cell r="E5">
            <v>4665</v>
          </cell>
          <cell r="F5">
            <v>2526</v>
          </cell>
          <cell r="G5">
            <v>2072</v>
          </cell>
          <cell r="H5">
            <v>279</v>
          </cell>
          <cell r="I5">
            <v>565</v>
          </cell>
          <cell r="J5">
            <v>306</v>
          </cell>
          <cell r="K5">
            <v>922</v>
          </cell>
          <cell r="L5">
            <v>67</v>
          </cell>
          <cell r="M5">
            <v>0</v>
          </cell>
          <cell r="N5">
            <v>0</v>
          </cell>
          <cell r="O5">
            <v>67</v>
          </cell>
          <cell r="P5">
            <v>398</v>
          </cell>
          <cell r="Q5">
            <v>174</v>
          </cell>
          <cell r="R5">
            <v>224</v>
          </cell>
          <cell r="S5">
            <v>4598</v>
          </cell>
          <cell r="T5">
            <v>465</v>
          </cell>
        </row>
        <row r="6">
          <cell r="C6" t="str">
            <v>Census Tract 3, King County, Washington</v>
          </cell>
          <cell r="D6">
            <v>1763</v>
          </cell>
          <cell r="E6">
            <v>1653</v>
          </cell>
          <cell r="F6">
            <v>849</v>
          </cell>
          <cell r="G6">
            <v>784</v>
          </cell>
          <cell r="H6">
            <v>96</v>
          </cell>
          <cell r="I6">
            <v>251</v>
          </cell>
          <cell r="J6">
            <v>81</v>
          </cell>
          <cell r="K6">
            <v>356</v>
          </cell>
          <cell r="L6">
            <v>20</v>
          </cell>
          <cell r="M6">
            <v>0</v>
          </cell>
          <cell r="N6">
            <v>0</v>
          </cell>
          <cell r="O6">
            <v>20</v>
          </cell>
          <cell r="P6">
            <v>110</v>
          </cell>
          <cell r="Q6">
            <v>46</v>
          </cell>
          <cell r="R6">
            <v>64</v>
          </cell>
          <cell r="S6">
            <v>1633</v>
          </cell>
          <cell r="T6">
            <v>130</v>
          </cell>
        </row>
        <row r="7">
          <cell r="C7" t="str">
            <v>Census Tract 4.01, King County, Washington</v>
          </cell>
          <cell r="D7">
            <v>3287</v>
          </cell>
          <cell r="E7">
            <v>3071</v>
          </cell>
          <cell r="F7">
            <v>1529</v>
          </cell>
          <cell r="G7">
            <v>1510</v>
          </cell>
          <cell r="H7">
            <v>193</v>
          </cell>
          <cell r="I7">
            <v>493</v>
          </cell>
          <cell r="J7">
            <v>203</v>
          </cell>
          <cell r="K7">
            <v>621</v>
          </cell>
          <cell r="L7">
            <v>32</v>
          </cell>
          <cell r="M7">
            <v>0</v>
          </cell>
          <cell r="N7">
            <v>0</v>
          </cell>
          <cell r="O7">
            <v>32</v>
          </cell>
          <cell r="P7">
            <v>216</v>
          </cell>
          <cell r="Q7">
            <v>121</v>
          </cell>
          <cell r="R7">
            <v>95</v>
          </cell>
          <cell r="S7">
            <v>3039</v>
          </cell>
          <cell r="T7">
            <v>248</v>
          </cell>
        </row>
        <row r="8">
          <cell r="C8" t="str">
            <v>Census Tract 4.02, King County, Washington</v>
          </cell>
          <cell r="D8">
            <v>3579</v>
          </cell>
          <cell r="E8">
            <v>3304</v>
          </cell>
          <cell r="F8">
            <v>1770</v>
          </cell>
          <cell r="G8">
            <v>1455</v>
          </cell>
          <cell r="H8">
            <v>210</v>
          </cell>
          <cell r="I8">
            <v>628</v>
          </cell>
          <cell r="J8">
            <v>144</v>
          </cell>
          <cell r="K8">
            <v>473</v>
          </cell>
          <cell r="L8">
            <v>79</v>
          </cell>
          <cell r="M8">
            <v>0</v>
          </cell>
          <cell r="N8">
            <v>0</v>
          </cell>
          <cell r="O8">
            <v>79</v>
          </cell>
          <cell r="P8">
            <v>275</v>
          </cell>
          <cell r="Q8">
            <v>182</v>
          </cell>
          <cell r="R8">
            <v>93</v>
          </cell>
          <cell r="S8">
            <v>3225</v>
          </cell>
          <cell r="T8">
            <v>354</v>
          </cell>
        </row>
        <row r="9">
          <cell r="C9" t="str">
            <v>Census Tract 5, King County, Washington</v>
          </cell>
          <cell r="D9">
            <v>2858</v>
          </cell>
          <cell r="E9">
            <v>2678</v>
          </cell>
          <cell r="F9">
            <v>1539</v>
          </cell>
          <cell r="G9">
            <v>1126</v>
          </cell>
          <cell r="H9">
            <v>226</v>
          </cell>
          <cell r="I9">
            <v>314</v>
          </cell>
          <cell r="J9">
            <v>159</v>
          </cell>
          <cell r="K9">
            <v>427</v>
          </cell>
          <cell r="L9">
            <v>13</v>
          </cell>
          <cell r="M9">
            <v>0</v>
          </cell>
          <cell r="N9">
            <v>0</v>
          </cell>
          <cell r="O9">
            <v>13</v>
          </cell>
          <cell r="P9">
            <v>180</v>
          </cell>
          <cell r="Q9">
            <v>164</v>
          </cell>
          <cell r="R9">
            <v>16</v>
          </cell>
          <cell r="S9">
            <v>2665</v>
          </cell>
          <cell r="T9">
            <v>193</v>
          </cell>
        </row>
        <row r="10">
          <cell r="C10" t="str">
            <v>Census Tract 6, King County, Washington</v>
          </cell>
          <cell r="D10">
            <v>4650</v>
          </cell>
          <cell r="E10">
            <v>4348</v>
          </cell>
          <cell r="F10">
            <v>2176</v>
          </cell>
          <cell r="G10">
            <v>2126</v>
          </cell>
          <cell r="H10">
            <v>339</v>
          </cell>
          <cell r="I10">
            <v>728</v>
          </cell>
          <cell r="J10">
            <v>301</v>
          </cell>
          <cell r="K10">
            <v>758</v>
          </cell>
          <cell r="L10">
            <v>46</v>
          </cell>
          <cell r="M10">
            <v>0</v>
          </cell>
          <cell r="N10">
            <v>0</v>
          </cell>
          <cell r="O10">
            <v>46</v>
          </cell>
          <cell r="P10">
            <v>302</v>
          </cell>
          <cell r="Q10">
            <v>196</v>
          </cell>
          <cell r="R10">
            <v>106</v>
          </cell>
          <cell r="S10">
            <v>4302</v>
          </cell>
          <cell r="T10">
            <v>348</v>
          </cell>
        </row>
        <row r="11">
          <cell r="C11" t="str">
            <v>Census Tract 7, King County, Washington</v>
          </cell>
          <cell r="D11">
            <v>2736</v>
          </cell>
          <cell r="E11">
            <v>2576</v>
          </cell>
          <cell r="F11">
            <v>1188</v>
          </cell>
          <cell r="G11">
            <v>1363</v>
          </cell>
          <cell r="H11">
            <v>199</v>
          </cell>
          <cell r="I11">
            <v>454</v>
          </cell>
          <cell r="J11">
            <v>150</v>
          </cell>
          <cell r="K11">
            <v>560</v>
          </cell>
          <cell r="L11">
            <v>25</v>
          </cell>
          <cell r="M11">
            <v>0</v>
          </cell>
          <cell r="N11">
            <v>0</v>
          </cell>
          <cell r="O11">
            <v>25</v>
          </cell>
          <cell r="P11">
            <v>160</v>
          </cell>
          <cell r="Q11">
            <v>72</v>
          </cell>
          <cell r="R11">
            <v>88</v>
          </cell>
          <cell r="S11">
            <v>2551</v>
          </cell>
          <cell r="T11">
            <v>185</v>
          </cell>
        </row>
        <row r="12">
          <cell r="C12" t="str">
            <v>Census Tract 8, King County, Washington</v>
          </cell>
          <cell r="D12">
            <v>1974</v>
          </cell>
          <cell r="E12">
            <v>1850</v>
          </cell>
          <cell r="F12">
            <v>940</v>
          </cell>
          <cell r="G12">
            <v>872</v>
          </cell>
          <cell r="H12">
            <v>136</v>
          </cell>
          <cell r="I12">
            <v>355</v>
          </cell>
          <cell r="J12">
            <v>111</v>
          </cell>
          <cell r="K12">
            <v>270</v>
          </cell>
          <cell r="L12">
            <v>38</v>
          </cell>
          <cell r="M12">
            <v>0</v>
          </cell>
          <cell r="N12">
            <v>0</v>
          </cell>
          <cell r="O12">
            <v>38</v>
          </cell>
          <cell r="P12">
            <v>124</v>
          </cell>
          <cell r="Q12">
            <v>94</v>
          </cell>
          <cell r="R12">
            <v>30</v>
          </cell>
          <cell r="S12">
            <v>1812</v>
          </cell>
          <cell r="T12">
            <v>162</v>
          </cell>
        </row>
        <row r="13">
          <cell r="C13" t="str">
            <v>Census Tract 9, King County, Washington</v>
          </cell>
          <cell r="D13">
            <v>1841</v>
          </cell>
          <cell r="E13">
            <v>1689</v>
          </cell>
          <cell r="F13">
            <v>898</v>
          </cell>
          <cell r="G13">
            <v>777</v>
          </cell>
          <cell r="H13">
            <v>132</v>
          </cell>
          <cell r="I13">
            <v>299</v>
          </cell>
          <cell r="J13">
            <v>86</v>
          </cell>
          <cell r="K13">
            <v>260</v>
          </cell>
          <cell r="L13">
            <v>14</v>
          </cell>
          <cell r="M13">
            <v>0</v>
          </cell>
          <cell r="N13">
            <v>0</v>
          </cell>
          <cell r="O13">
            <v>14</v>
          </cell>
          <cell r="P13">
            <v>152</v>
          </cell>
          <cell r="Q13">
            <v>68</v>
          </cell>
          <cell r="R13">
            <v>84</v>
          </cell>
          <cell r="S13">
            <v>1675</v>
          </cell>
          <cell r="T13">
            <v>166</v>
          </cell>
        </row>
        <row r="14">
          <cell r="C14" t="str">
            <v>Census Tract 10, King County, Washington</v>
          </cell>
          <cell r="D14">
            <v>1219</v>
          </cell>
          <cell r="E14">
            <v>1161</v>
          </cell>
          <cell r="F14">
            <v>579</v>
          </cell>
          <cell r="G14">
            <v>566</v>
          </cell>
          <cell r="H14">
            <v>53</v>
          </cell>
          <cell r="I14">
            <v>232</v>
          </cell>
          <cell r="J14">
            <v>90</v>
          </cell>
          <cell r="K14">
            <v>191</v>
          </cell>
          <cell r="L14">
            <v>16</v>
          </cell>
          <cell r="M14">
            <v>0</v>
          </cell>
          <cell r="N14">
            <v>7</v>
          </cell>
          <cell r="O14">
            <v>9</v>
          </cell>
          <cell r="P14">
            <v>58</v>
          </cell>
          <cell r="Q14">
            <v>18</v>
          </cell>
          <cell r="R14">
            <v>40</v>
          </cell>
          <cell r="S14">
            <v>1145</v>
          </cell>
          <cell r="T14">
            <v>74</v>
          </cell>
        </row>
        <row r="15">
          <cell r="C15" t="str">
            <v>Census Tract 11, King County, Washington</v>
          </cell>
          <cell r="D15">
            <v>1809</v>
          </cell>
          <cell r="E15">
            <v>1703</v>
          </cell>
          <cell r="F15">
            <v>810</v>
          </cell>
          <cell r="G15">
            <v>878</v>
          </cell>
          <cell r="H15">
            <v>132</v>
          </cell>
          <cell r="I15">
            <v>301</v>
          </cell>
          <cell r="J15">
            <v>78</v>
          </cell>
          <cell r="K15">
            <v>367</v>
          </cell>
          <cell r="L15">
            <v>15</v>
          </cell>
          <cell r="M15">
            <v>0</v>
          </cell>
          <cell r="N15">
            <v>0</v>
          </cell>
          <cell r="O15">
            <v>15</v>
          </cell>
          <cell r="P15">
            <v>106</v>
          </cell>
          <cell r="Q15">
            <v>64</v>
          </cell>
          <cell r="R15">
            <v>42</v>
          </cell>
          <cell r="S15">
            <v>1688</v>
          </cell>
          <cell r="T15">
            <v>121</v>
          </cell>
        </row>
        <row r="16">
          <cell r="C16" t="str">
            <v>Census Tract 12, King County, Washington</v>
          </cell>
          <cell r="D16">
            <v>3888</v>
          </cell>
          <cell r="E16">
            <v>3502</v>
          </cell>
          <cell r="F16">
            <v>1707</v>
          </cell>
          <cell r="G16">
            <v>1772</v>
          </cell>
          <cell r="H16">
            <v>205</v>
          </cell>
          <cell r="I16">
            <v>625</v>
          </cell>
          <cell r="J16">
            <v>185</v>
          </cell>
          <cell r="K16">
            <v>757</v>
          </cell>
          <cell r="L16">
            <v>23</v>
          </cell>
          <cell r="M16">
            <v>0</v>
          </cell>
          <cell r="N16">
            <v>0</v>
          </cell>
          <cell r="O16">
            <v>23</v>
          </cell>
          <cell r="P16">
            <v>386</v>
          </cell>
          <cell r="Q16">
            <v>171</v>
          </cell>
          <cell r="R16">
            <v>215</v>
          </cell>
          <cell r="S16">
            <v>3479</v>
          </cell>
          <cell r="T16">
            <v>409</v>
          </cell>
        </row>
        <row r="17">
          <cell r="C17" t="str">
            <v>Census Tract 13, King County, Washington</v>
          </cell>
          <cell r="D17">
            <v>2662</v>
          </cell>
          <cell r="E17">
            <v>2366</v>
          </cell>
          <cell r="F17">
            <v>1277</v>
          </cell>
          <cell r="G17">
            <v>988</v>
          </cell>
          <cell r="H17">
            <v>184</v>
          </cell>
          <cell r="I17">
            <v>316</v>
          </cell>
          <cell r="J17">
            <v>140</v>
          </cell>
          <cell r="K17">
            <v>348</v>
          </cell>
          <cell r="L17">
            <v>101</v>
          </cell>
          <cell r="M17">
            <v>0</v>
          </cell>
          <cell r="N17">
            <v>9</v>
          </cell>
          <cell r="O17">
            <v>92</v>
          </cell>
          <cell r="P17">
            <v>296</v>
          </cell>
          <cell r="Q17">
            <v>104</v>
          </cell>
          <cell r="R17">
            <v>192</v>
          </cell>
          <cell r="S17">
            <v>2265</v>
          </cell>
          <cell r="T17">
            <v>397</v>
          </cell>
        </row>
        <row r="18">
          <cell r="C18" t="str">
            <v>Census Tract 14, King County, Washington</v>
          </cell>
          <cell r="D18">
            <v>3709</v>
          </cell>
          <cell r="E18">
            <v>3505</v>
          </cell>
          <cell r="F18">
            <v>1992</v>
          </cell>
          <cell r="G18">
            <v>1502</v>
          </cell>
          <cell r="H18">
            <v>240</v>
          </cell>
          <cell r="I18">
            <v>457</v>
          </cell>
          <cell r="J18">
            <v>158</v>
          </cell>
          <cell r="K18">
            <v>647</v>
          </cell>
          <cell r="L18">
            <v>11</v>
          </cell>
          <cell r="M18">
            <v>0</v>
          </cell>
          <cell r="N18">
            <v>0</v>
          </cell>
          <cell r="O18">
            <v>11</v>
          </cell>
          <cell r="P18">
            <v>204</v>
          </cell>
          <cell r="Q18">
            <v>131</v>
          </cell>
          <cell r="R18">
            <v>73</v>
          </cell>
          <cell r="S18">
            <v>3494</v>
          </cell>
          <cell r="T18">
            <v>215</v>
          </cell>
        </row>
        <row r="19">
          <cell r="C19" t="str">
            <v>Census Tract 15, King County, Washington</v>
          </cell>
          <cell r="D19">
            <v>2137</v>
          </cell>
          <cell r="E19">
            <v>1873</v>
          </cell>
          <cell r="F19">
            <v>1082</v>
          </cell>
          <cell r="G19">
            <v>771</v>
          </cell>
          <cell r="H19">
            <v>180</v>
          </cell>
          <cell r="I19">
            <v>217</v>
          </cell>
          <cell r="J19">
            <v>124</v>
          </cell>
          <cell r="K19">
            <v>250</v>
          </cell>
          <cell r="L19">
            <v>20</v>
          </cell>
          <cell r="M19">
            <v>0</v>
          </cell>
          <cell r="N19">
            <v>0</v>
          </cell>
          <cell r="O19">
            <v>20</v>
          </cell>
          <cell r="P19">
            <v>264</v>
          </cell>
          <cell r="Q19">
            <v>191</v>
          </cell>
          <cell r="R19">
            <v>73</v>
          </cell>
          <cell r="S19">
            <v>1853</v>
          </cell>
          <cell r="T19">
            <v>284</v>
          </cell>
        </row>
        <row r="20">
          <cell r="C20" t="str">
            <v>Census Tract 16, King County, Washington</v>
          </cell>
          <cell r="D20">
            <v>3501</v>
          </cell>
          <cell r="E20">
            <v>3186</v>
          </cell>
          <cell r="F20">
            <v>1984</v>
          </cell>
          <cell r="G20">
            <v>1190</v>
          </cell>
          <cell r="H20">
            <v>214</v>
          </cell>
          <cell r="I20">
            <v>436</v>
          </cell>
          <cell r="J20">
            <v>140</v>
          </cell>
          <cell r="K20">
            <v>400</v>
          </cell>
          <cell r="L20">
            <v>12</v>
          </cell>
          <cell r="M20">
            <v>0</v>
          </cell>
          <cell r="N20">
            <v>0</v>
          </cell>
          <cell r="O20">
            <v>12</v>
          </cell>
          <cell r="P20">
            <v>315</v>
          </cell>
          <cell r="Q20">
            <v>219</v>
          </cell>
          <cell r="R20">
            <v>96</v>
          </cell>
          <cell r="S20">
            <v>3174</v>
          </cell>
          <cell r="T20">
            <v>327</v>
          </cell>
        </row>
        <row r="21">
          <cell r="C21" t="str">
            <v>Census Tract 17, King County, Washington</v>
          </cell>
          <cell r="D21">
            <v>5331</v>
          </cell>
          <cell r="E21">
            <v>5050</v>
          </cell>
          <cell r="F21">
            <v>2273</v>
          </cell>
          <cell r="G21">
            <v>2688</v>
          </cell>
          <cell r="H21">
            <v>397</v>
          </cell>
          <cell r="I21">
            <v>814</v>
          </cell>
          <cell r="J21">
            <v>364</v>
          </cell>
          <cell r="K21">
            <v>1113</v>
          </cell>
          <cell r="L21">
            <v>89</v>
          </cell>
          <cell r="M21">
            <v>0</v>
          </cell>
          <cell r="N21">
            <v>0</v>
          </cell>
          <cell r="O21">
            <v>89</v>
          </cell>
          <cell r="P21">
            <v>281</v>
          </cell>
          <cell r="Q21">
            <v>172</v>
          </cell>
          <cell r="R21">
            <v>109</v>
          </cell>
          <cell r="S21">
            <v>4961</v>
          </cell>
          <cell r="T21">
            <v>370</v>
          </cell>
        </row>
        <row r="22">
          <cell r="C22" t="str">
            <v>Census Tract 18, King County, Washington</v>
          </cell>
          <cell r="D22">
            <v>2810</v>
          </cell>
          <cell r="E22">
            <v>2676</v>
          </cell>
          <cell r="F22">
            <v>1269</v>
          </cell>
          <cell r="G22">
            <v>1338</v>
          </cell>
          <cell r="H22">
            <v>175</v>
          </cell>
          <cell r="I22">
            <v>429</v>
          </cell>
          <cell r="J22">
            <v>156</v>
          </cell>
          <cell r="K22">
            <v>578</v>
          </cell>
          <cell r="L22">
            <v>69</v>
          </cell>
          <cell r="M22">
            <v>9</v>
          </cell>
          <cell r="N22">
            <v>0</v>
          </cell>
          <cell r="O22">
            <v>60</v>
          </cell>
          <cell r="P22">
            <v>134</v>
          </cell>
          <cell r="Q22">
            <v>90</v>
          </cell>
          <cell r="R22">
            <v>44</v>
          </cell>
          <cell r="S22">
            <v>2607</v>
          </cell>
          <cell r="T22">
            <v>203</v>
          </cell>
        </row>
        <row r="23">
          <cell r="C23" t="str">
            <v>Census Tract 19, King County, Washington</v>
          </cell>
          <cell r="D23">
            <v>2683</v>
          </cell>
          <cell r="E23">
            <v>2477</v>
          </cell>
          <cell r="F23">
            <v>1337</v>
          </cell>
          <cell r="G23">
            <v>1099</v>
          </cell>
          <cell r="H23">
            <v>167</v>
          </cell>
          <cell r="I23">
            <v>408</v>
          </cell>
          <cell r="J23">
            <v>139</v>
          </cell>
          <cell r="K23">
            <v>385</v>
          </cell>
          <cell r="L23">
            <v>41</v>
          </cell>
          <cell r="M23">
            <v>0</v>
          </cell>
          <cell r="N23">
            <v>0</v>
          </cell>
          <cell r="O23">
            <v>41</v>
          </cell>
          <cell r="P23">
            <v>206</v>
          </cell>
          <cell r="Q23">
            <v>132</v>
          </cell>
          <cell r="R23">
            <v>74</v>
          </cell>
          <cell r="S23">
            <v>2436</v>
          </cell>
          <cell r="T23">
            <v>247</v>
          </cell>
        </row>
        <row r="24">
          <cell r="C24" t="str">
            <v>Census Tract 20, King County, Washington</v>
          </cell>
          <cell r="D24">
            <v>2542</v>
          </cell>
          <cell r="E24">
            <v>2407</v>
          </cell>
          <cell r="F24">
            <v>1022</v>
          </cell>
          <cell r="G24">
            <v>1370</v>
          </cell>
          <cell r="H24">
            <v>247</v>
          </cell>
          <cell r="I24">
            <v>366</v>
          </cell>
          <cell r="J24">
            <v>196</v>
          </cell>
          <cell r="K24">
            <v>561</v>
          </cell>
          <cell r="L24">
            <v>15</v>
          </cell>
          <cell r="M24">
            <v>0</v>
          </cell>
          <cell r="N24">
            <v>0</v>
          </cell>
          <cell r="O24">
            <v>15</v>
          </cell>
          <cell r="P24">
            <v>135</v>
          </cell>
          <cell r="Q24">
            <v>103</v>
          </cell>
          <cell r="R24">
            <v>32</v>
          </cell>
          <cell r="S24">
            <v>2392</v>
          </cell>
          <cell r="T24">
            <v>150</v>
          </cell>
        </row>
        <row r="25">
          <cell r="C25" t="str">
            <v>Census Tract 21, King County, Washington</v>
          </cell>
          <cell r="D25">
            <v>2952</v>
          </cell>
          <cell r="E25">
            <v>2826</v>
          </cell>
          <cell r="F25">
            <v>1453</v>
          </cell>
          <cell r="G25">
            <v>1315</v>
          </cell>
          <cell r="H25">
            <v>223</v>
          </cell>
          <cell r="I25">
            <v>422</v>
          </cell>
          <cell r="J25">
            <v>136</v>
          </cell>
          <cell r="K25">
            <v>534</v>
          </cell>
          <cell r="L25">
            <v>58</v>
          </cell>
          <cell r="M25">
            <v>0</v>
          </cell>
          <cell r="N25">
            <v>13</v>
          </cell>
          <cell r="O25">
            <v>45</v>
          </cell>
          <cell r="P25">
            <v>126</v>
          </cell>
          <cell r="Q25">
            <v>76</v>
          </cell>
          <cell r="R25">
            <v>50</v>
          </cell>
          <cell r="S25">
            <v>2768</v>
          </cell>
          <cell r="T25">
            <v>184</v>
          </cell>
        </row>
        <row r="26">
          <cell r="C26" t="str">
            <v>Census Tract 22, King County, Washington</v>
          </cell>
          <cell r="D26">
            <v>4368</v>
          </cell>
          <cell r="E26">
            <v>4113</v>
          </cell>
          <cell r="F26">
            <v>1951</v>
          </cell>
          <cell r="G26">
            <v>2072</v>
          </cell>
          <cell r="H26">
            <v>384</v>
          </cell>
          <cell r="I26">
            <v>798</v>
          </cell>
          <cell r="J26">
            <v>194</v>
          </cell>
          <cell r="K26">
            <v>696</v>
          </cell>
          <cell r="L26">
            <v>90</v>
          </cell>
          <cell r="M26">
            <v>0</v>
          </cell>
          <cell r="N26">
            <v>0</v>
          </cell>
          <cell r="O26">
            <v>90</v>
          </cell>
          <cell r="P26">
            <v>255</v>
          </cell>
          <cell r="Q26">
            <v>170</v>
          </cell>
          <cell r="R26">
            <v>85</v>
          </cell>
          <cell r="S26">
            <v>4023</v>
          </cell>
          <cell r="T26">
            <v>345</v>
          </cell>
        </row>
        <row r="27">
          <cell r="C27" t="str">
            <v>Census Tract 24, King County, Washington</v>
          </cell>
          <cell r="D27">
            <v>2317</v>
          </cell>
          <cell r="E27">
            <v>2186</v>
          </cell>
          <cell r="F27">
            <v>1081</v>
          </cell>
          <cell r="G27">
            <v>1062</v>
          </cell>
          <cell r="H27">
            <v>207</v>
          </cell>
          <cell r="I27">
            <v>319</v>
          </cell>
          <cell r="J27">
            <v>173</v>
          </cell>
          <cell r="K27">
            <v>363</v>
          </cell>
          <cell r="L27">
            <v>43</v>
          </cell>
          <cell r="M27">
            <v>0</v>
          </cell>
          <cell r="N27">
            <v>0</v>
          </cell>
          <cell r="O27">
            <v>43</v>
          </cell>
          <cell r="P27">
            <v>131</v>
          </cell>
          <cell r="Q27">
            <v>18</v>
          </cell>
          <cell r="R27">
            <v>113</v>
          </cell>
          <cell r="S27">
            <v>2143</v>
          </cell>
          <cell r="T27">
            <v>174</v>
          </cell>
        </row>
        <row r="28">
          <cell r="C28" t="str">
            <v>Census Tract 25, King County, Washington</v>
          </cell>
          <cell r="D28">
            <v>2106</v>
          </cell>
          <cell r="E28">
            <v>1957</v>
          </cell>
          <cell r="F28">
            <v>920</v>
          </cell>
          <cell r="G28">
            <v>999</v>
          </cell>
          <cell r="H28">
            <v>178</v>
          </cell>
          <cell r="I28">
            <v>271</v>
          </cell>
          <cell r="J28">
            <v>156</v>
          </cell>
          <cell r="K28">
            <v>394</v>
          </cell>
          <cell r="L28">
            <v>38</v>
          </cell>
          <cell r="M28">
            <v>8</v>
          </cell>
          <cell r="N28">
            <v>0</v>
          </cell>
          <cell r="O28">
            <v>30</v>
          </cell>
          <cell r="P28">
            <v>149</v>
          </cell>
          <cell r="Q28">
            <v>35</v>
          </cell>
          <cell r="R28">
            <v>114</v>
          </cell>
          <cell r="S28">
            <v>1919</v>
          </cell>
          <cell r="T28">
            <v>187</v>
          </cell>
        </row>
        <row r="29">
          <cell r="C29" t="str">
            <v>Census Tract 26, King County, Washington</v>
          </cell>
          <cell r="D29">
            <v>3874</v>
          </cell>
          <cell r="E29">
            <v>3699</v>
          </cell>
          <cell r="F29">
            <v>1784</v>
          </cell>
          <cell r="G29">
            <v>1870</v>
          </cell>
          <cell r="H29">
            <v>404</v>
          </cell>
          <cell r="I29">
            <v>482</v>
          </cell>
          <cell r="J29">
            <v>308</v>
          </cell>
          <cell r="K29">
            <v>676</v>
          </cell>
          <cell r="L29">
            <v>45</v>
          </cell>
          <cell r="M29">
            <v>0</v>
          </cell>
          <cell r="N29">
            <v>0</v>
          </cell>
          <cell r="O29">
            <v>45</v>
          </cell>
          <cell r="P29">
            <v>175</v>
          </cell>
          <cell r="Q29">
            <v>76</v>
          </cell>
          <cell r="R29">
            <v>99</v>
          </cell>
          <cell r="S29">
            <v>3654</v>
          </cell>
          <cell r="T29">
            <v>220</v>
          </cell>
        </row>
        <row r="30">
          <cell r="C30" t="str">
            <v>Census Tract 27, King County, Washington</v>
          </cell>
          <cell r="D30">
            <v>4241</v>
          </cell>
          <cell r="E30">
            <v>4043</v>
          </cell>
          <cell r="F30">
            <v>2108</v>
          </cell>
          <cell r="G30">
            <v>1896</v>
          </cell>
          <cell r="H30">
            <v>461</v>
          </cell>
          <cell r="I30">
            <v>532</v>
          </cell>
          <cell r="J30">
            <v>239</v>
          </cell>
          <cell r="K30">
            <v>664</v>
          </cell>
          <cell r="L30">
            <v>39</v>
          </cell>
          <cell r="M30">
            <v>0</v>
          </cell>
          <cell r="N30">
            <v>0</v>
          </cell>
          <cell r="O30">
            <v>39</v>
          </cell>
          <cell r="P30">
            <v>198</v>
          </cell>
          <cell r="Q30">
            <v>142</v>
          </cell>
          <cell r="R30">
            <v>56</v>
          </cell>
          <cell r="S30">
            <v>4004</v>
          </cell>
          <cell r="T30">
            <v>237</v>
          </cell>
        </row>
        <row r="31">
          <cell r="C31" t="str">
            <v>Census Tract 28, King County, Washington</v>
          </cell>
          <cell r="D31">
            <v>3657</v>
          </cell>
          <cell r="E31">
            <v>3534</v>
          </cell>
          <cell r="F31">
            <v>1542</v>
          </cell>
          <cell r="G31">
            <v>1932</v>
          </cell>
          <cell r="H31">
            <v>329</v>
          </cell>
          <cell r="I31">
            <v>564</v>
          </cell>
          <cell r="J31">
            <v>273</v>
          </cell>
          <cell r="K31">
            <v>766</v>
          </cell>
          <cell r="L31">
            <v>60</v>
          </cell>
          <cell r="M31">
            <v>0</v>
          </cell>
          <cell r="N31">
            <v>6</v>
          </cell>
          <cell r="O31">
            <v>54</v>
          </cell>
          <cell r="P31">
            <v>123</v>
          </cell>
          <cell r="Q31">
            <v>56</v>
          </cell>
          <cell r="R31">
            <v>67</v>
          </cell>
          <cell r="S31">
            <v>3474</v>
          </cell>
          <cell r="T31">
            <v>183</v>
          </cell>
        </row>
        <row r="32">
          <cell r="C32" t="str">
            <v>Census Tract 29, King County, Washington</v>
          </cell>
          <cell r="D32">
            <v>3495</v>
          </cell>
          <cell r="E32">
            <v>3399</v>
          </cell>
          <cell r="F32">
            <v>1706</v>
          </cell>
          <cell r="G32">
            <v>1624</v>
          </cell>
          <cell r="H32">
            <v>309</v>
          </cell>
          <cell r="I32">
            <v>410</v>
          </cell>
          <cell r="J32">
            <v>225</v>
          </cell>
          <cell r="K32">
            <v>680</v>
          </cell>
          <cell r="L32">
            <v>69</v>
          </cell>
          <cell r="M32">
            <v>0</v>
          </cell>
          <cell r="N32">
            <v>0</v>
          </cell>
          <cell r="O32">
            <v>69</v>
          </cell>
          <cell r="P32">
            <v>96</v>
          </cell>
          <cell r="Q32">
            <v>57</v>
          </cell>
          <cell r="R32">
            <v>39</v>
          </cell>
          <cell r="S32">
            <v>3330</v>
          </cell>
          <cell r="T32">
            <v>165</v>
          </cell>
        </row>
        <row r="33">
          <cell r="C33" t="str">
            <v>Census Tract 30, King County, Washington</v>
          </cell>
          <cell r="D33">
            <v>4528</v>
          </cell>
          <cell r="E33">
            <v>4244</v>
          </cell>
          <cell r="F33">
            <v>2025</v>
          </cell>
          <cell r="G33">
            <v>2139</v>
          </cell>
          <cell r="H33">
            <v>374</v>
          </cell>
          <cell r="I33">
            <v>694</v>
          </cell>
          <cell r="J33">
            <v>248</v>
          </cell>
          <cell r="K33">
            <v>823</v>
          </cell>
          <cell r="L33">
            <v>80</v>
          </cell>
          <cell r="M33">
            <v>0</v>
          </cell>
          <cell r="N33">
            <v>0</v>
          </cell>
          <cell r="O33">
            <v>80</v>
          </cell>
          <cell r="P33">
            <v>284</v>
          </cell>
          <cell r="Q33">
            <v>142</v>
          </cell>
          <cell r="R33">
            <v>142</v>
          </cell>
          <cell r="S33">
            <v>4164</v>
          </cell>
          <cell r="T33">
            <v>364</v>
          </cell>
        </row>
        <row r="34">
          <cell r="C34" t="str">
            <v>Census Tract 31, King County, Washington</v>
          </cell>
          <cell r="D34">
            <v>5435</v>
          </cell>
          <cell r="E34">
            <v>5224</v>
          </cell>
          <cell r="F34">
            <v>2818</v>
          </cell>
          <cell r="G34">
            <v>2313</v>
          </cell>
          <cell r="H34">
            <v>359</v>
          </cell>
          <cell r="I34">
            <v>825</v>
          </cell>
          <cell r="J34">
            <v>278</v>
          </cell>
          <cell r="K34">
            <v>851</v>
          </cell>
          <cell r="L34">
            <v>93</v>
          </cell>
          <cell r="M34">
            <v>0</v>
          </cell>
          <cell r="N34">
            <v>0</v>
          </cell>
          <cell r="O34">
            <v>93</v>
          </cell>
          <cell r="P34">
            <v>211</v>
          </cell>
          <cell r="Q34">
            <v>139</v>
          </cell>
          <cell r="R34">
            <v>72</v>
          </cell>
          <cell r="S34">
            <v>5131</v>
          </cell>
          <cell r="T34">
            <v>304</v>
          </cell>
        </row>
        <row r="35">
          <cell r="C35" t="str">
            <v>Census Tract 32, King County, Washington</v>
          </cell>
          <cell r="D35">
            <v>6372</v>
          </cell>
          <cell r="E35">
            <v>5963</v>
          </cell>
          <cell r="F35">
            <v>3062</v>
          </cell>
          <cell r="G35">
            <v>2856</v>
          </cell>
          <cell r="H35">
            <v>570</v>
          </cell>
          <cell r="I35">
            <v>956</v>
          </cell>
          <cell r="J35">
            <v>382</v>
          </cell>
          <cell r="K35">
            <v>948</v>
          </cell>
          <cell r="L35">
            <v>45</v>
          </cell>
          <cell r="M35">
            <v>0</v>
          </cell>
          <cell r="N35">
            <v>0</v>
          </cell>
          <cell r="O35">
            <v>45</v>
          </cell>
          <cell r="P35">
            <v>409</v>
          </cell>
          <cell r="Q35">
            <v>192</v>
          </cell>
          <cell r="R35">
            <v>217</v>
          </cell>
          <cell r="S35">
            <v>5918</v>
          </cell>
          <cell r="T35">
            <v>454</v>
          </cell>
        </row>
        <row r="36">
          <cell r="C36" t="str">
            <v>Census Tract 33, King County, Washington</v>
          </cell>
          <cell r="D36">
            <v>4873</v>
          </cell>
          <cell r="E36">
            <v>4574</v>
          </cell>
          <cell r="F36">
            <v>1873</v>
          </cell>
          <cell r="G36">
            <v>2604</v>
          </cell>
          <cell r="H36">
            <v>383</v>
          </cell>
          <cell r="I36">
            <v>839</v>
          </cell>
          <cell r="J36">
            <v>451</v>
          </cell>
          <cell r="K36">
            <v>931</v>
          </cell>
          <cell r="L36">
            <v>97</v>
          </cell>
          <cell r="M36">
            <v>0</v>
          </cell>
          <cell r="N36">
            <v>0</v>
          </cell>
          <cell r="O36">
            <v>97</v>
          </cell>
          <cell r="P36">
            <v>299</v>
          </cell>
          <cell r="Q36">
            <v>178</v>
          </cell>
          <cell r="R36">
            <v>121</v>
          </cell>
          <cell r="S36">
            <v>4477</v>
          </cell>
          <cell r="T36">
            <v>396</v>
          </cell>
        </row>
        <row r="37">
          <cell r="C37" t="str">
            <v>Census Tract 34, King County, Washington</v>
          </cell>
          <cell r="D37">
            <v>2790</v>
          </cell>
          <cell r="E37">
            <v>2666</v>
          </cell>
          <cell r="F37">
            <v>1271</v>
          </cell>
          <cell r="G37">
            <v>1352</v>
          </cell>
          <cell r="H37">
            <v>284</v>
          </cell>
          <cell r="I37">
            <v>438</v>
          </cell>
          <cell r="J37">
            <v>149</v>
          </cell>
          <cell r="K37">
            <v>481</v>
          </cell>
          <cell r="L37">
            <v>43</v>
          </cell>
          <cell r="M37">
            <v>0</v>
          </cell>
          <cell r="N37">
            <v>8</v>
          </cell>
          <cell r="O37">
            <v>35</v>
          </cell>
          <cell r="P37">
            <v>124</v>
          </cell>
          <cell r="Q37">
            <v>29</v>
          </cell>
          <cell r="R37">
            <v>95</v>
          </cell>
          <cell r="S37">
            <v>2623</v>
          </cell>
          <cell r="T37">
            <v>167</v>
          </cell>
        </row>
        <row r="38">
          <cell r="C38" t="str">
            <v>Census Tract 35, King County, Washington</v>
          </cell>
          <cell r="D38">
            <v>3259</v>
          </cell>
          <cell r="E38">
            <v>3082</v>
          </cell>
          <cell r="F38">
            <v>1303</v>
          </cell>
          <cell r="G38">
            <v>1733</v>
          </cell>
          <cell r="H38">
            <v>373</v>
          </cell>
          <cell r="I38">
            <v>594</v>
          </cell>
          <cell r="J38">
            <v>175</v>
          </cell>
          <cell r="K38">
            <v>591</v>
          </cell>
          <cell r="L38">
            <v>46</v>
          </cell>
          <cell r="M38">
            <v>0</v>
          </cell>
          <cell r="N38">
            <v>0</v>
          </cell>
          <cell r="O38">
            <v>46</v>
          </cell>
          <cell r="P38">
            <v>177</v>
          </cell>
          <cell r="Q38">
            <v>111</v>
          </cell>
          <cell r="R38">
            <v>66</v>
          </cell>
          <cell r="S38">
            <v>3036</v>
          </cell>
          <cell r="T38">
            <v>223</v>
          </cell>
        </row>
        <row r="39">
          <cell r="C39" t="str">
            <v>Census Tract 36, King County, Washington</v>
          </cell>
          <cell r="D39">
            <v>4076</v>
          </cell>
          <cell r="E39">
            <v>3835</v>
          </cell>
          <cell r="F39">
            <v>1558</v>
          </cell>
          <cell r="G39">
            <v>2202</v>
          </cell>
          <cell r="H39">
            <v>341</v>
          </cell>
          <cell r="I39">
            <v>753</v>
          </cell>
          <cell r="J39">
            <v>278</v>
          </cell>
          <cell r="K39">
            <v>830</v>
          </cell>
          <cell r="L39">
            <v>75</v>
          </cell>
          <cell r="M39">
            <v>0</v>
          </cell>
          <cell r="N39">
            <v>0</v>
          </cell>
          <cell r="O39">
            <v>75</v>
          </cell>
          <cell r="P39">
            <v>241</v>
          </cell>
          <cell r="Q39">
            <v>109</v>
          </cell>
          <cell r="R39">
            <v>132</v>
          </cell>
          <cell r="S39">
            <v>3760</v>
          </cell>
          <cell r="T39">
            <v>316</v>
          </cell>
        </row>
        <row r="40">
          <cell r="C40" t="str">
            <v>Census Tract 38, King County, Washington</v>
          </cell>
          <cell r="D40">
            <v>1727</v>
          </cell>
          <cell r="E40">
            <v>1597</v>
          </cell>
          <cell r="F40">
            <v>733</v>
          </cell>
          <cell r="G40">
            <v>840</v>
          </cell>
          <cell r="H40">
            <v>165</v>
          </cell>
          <cell r="I40">
            <v>342</v>
          </cell>
          <cell r="J40">
            <v>103</v>
          </cell>
          <cell r="K40">
            <v>230</v>
          </cell>
          <cell r="L40">
            <v>24</v>
          </cell>
          <cell r="M40">
            <v>5</v>
          </cell>
          <cell r="N40">
            <v>0</v>
          </cell>
          <cell r="O40">
            <v>19</v>
          </cell>
          <cell r="P40">
            <v>130</v>
          </cell>
          <cell r="Q40">
            <v>56</v>
          </cell>
          <cell r="R40">
            <v>74</v>
          </cell>
          <cell r="S40">
            <v>1573</v>
          </cell>
          <cell r="T40">
            <v>154</v>
          </cell>
        </row>
        <row r="41">
          <cell r="C41" t="str">
            <v>Census Tract 39, King County, Washington</v>
          </cell>
          <cell r="D41">
            <v>2103</v>
          </cell>
          <cell r="E41">
            <v>1949</v>
          </cell>
          <cell r="F41">
            <v>1033</v>
          </cell>
          <cell r="G41">
            <v>884</v>
          </cell>
          <cell r="H41">
            <v>232</v>
          </cell>
          <cell r="I41">
            <v>195</v>
          </cell>
          <cell r="J41">
            <v>133</v>
          </cell>
          <cell r="K41">
            <v>324</v>
          </cell>
          <cell r="L41">
            <v>32</v>
          </cell>
          <cell r="M41">
            <v>0</v>
          </cell>
          <cell r="N41">
            <v>0</v>
          </cell>
          <cell r="O41">
            <v>32</v>
          </cell>
          <cell r="P41">
            <v>154</v>
          </cell>
          <cell r="Q41">
            <v>98</v>
          </cell>
          <cell r="R41">
            <v>56</v>
          </cell>
          <cell r="S41">
            <v>1917</v>
          </cell>
          <cell r="T41">
            <v>186</v>
          </cell>
        </row>
        <row r="42">
          <cell r="C42" t="str">
            <v>Census Tract 40, King County, Washington</v>
          </cell>
          <cell r="D42">
            <v>2062</v>
          </cell>
          <cell r="E42">
            <v>1849</v>
          </cell>
          <cell r="F42">
            <v>852</v>
          </cell>
          <cell r="G42">
            <v>984</v>
          </cell>
          <cell r="H42">
            <v>184</v>
          </cell>
          <cell r="I42">
            <v>332</v>
          </cell>
          <cell r="J42">
            <v>88</v>
          </cell>
          <cell r="K42">
            <v>380</v>
          </cell>
          <cell r="L42">
            <v>13</v>
          </cell>
          <cell r="M42">
            <v>0</v>
          </cell>
          <cell r="N42">
            <v>0</v>
          </cell>
          <cell r="O42">
            <v>13</v>
          </cell>
          <cell r="P42">
            <v>213</v>
          </cell>
          <cell r="Q42">
            <v>86</v>
          </cell>
          <cell r="R42">
            <v>127</v>
          </cell>
          <cell r="S42">
            <v>1836</v>
          </cell>
          <cell r="T42">
            <v>226</v>
          </cell>
        </row>
        <row r="43">
          <cell r="C43" t="str">
            <v>Census Tract 41, King County, Washington</v>
          </cell>
          <cell r="D43">
            <v>6417</v>
          </cell>
          <cell r="E43">
            <v>6069</v>
          </cell>
          <cell r="F43">
            <v>3245</v>
          </cell>
          <cell r="G43">
            <v>2734</v>
          </cell>
          <cell r="H43">
            <v>553</v>
          </cell>
          <cell r="I43">
            <v>685</v>
          </cell>
          <cell r="J43">
            <v>502</v>
          </cell>
          <cell r="K43">
            <v>994</v>
          </cell>
          <cell r="L43">
            <v>90</v>
          </cell>
          <cell r="M43">
            <v>7</v>
          </cell>
          <cell r="N43">
            <v>0</v>
          </cell>
          <cell r="O43">
            <v>83</v>
          </cell>
          <cell r="P43">
            <v>348</v>
          </cell>
          <cell r="Q43">
            <v>143</v>
          </cell>
          <cell r="R43">
            <v>205</v>
          </cell>
          <cell r="S43">
            <v>5979</v>
          </cell>
          <cell r="T43">
            <v>438</v>
          </cell>
        </row>
        <row r="44">
          <cell r="C44" t="str">
            <v>Census Tract 42, King County, Washington</v>
          </cell>
          <cell r="D44">
            <v>6016</v>
          </cell>
          <cell r="E44">
            <v>5644</v>
          </cell>
          <cell r="F44">
            <v>2542</v>
          </cell>
          <cell r="G44">
            <v>2975</v>
          </cell>
          <cell r="H44">
            <v>624</v>
          </cell>
          <cell r="I44">
            <v>807</v>
          </cell>
          <cell r="J44">
            <v>480</v>
          </cell>
          <cell r="K44">
            <v>1064</v>
          </cell>
          <cell r="L44">
            <v>127</v>
          </cell>
          <cell r="M44">
            <v>0</v>
          </cell>
          <cell r="N44">
            <v>0</v>
          </cell>
          <cell r="O44">
            <v>127</v>
          </cell>
          <cell r="P44">
            <v>372</v>
          </cell>
          <cell r="Q44">
            <v>168</v>
          </cell>
          <cell r="R44">
            <v>204</v>
          </cell>
          <cell r="S44">
            <v>5517</v>
          </cell>
          <cell r="T44">
            <v>499</v>
          </cell>
        </row>
        <row r="45">
          <cell r="C45" t="str">
            <v>Census Tract 43, King County, Washington</v>
          </cell>
          <cell r="D45">
            <v>4744</v>
          </cell>
          <cell r="E45">
            <v>4338</v>
          </cell>
          <cell r="F45">
            <v>2166</v>
          </cell>
          <cell r="G45">
            <v>2077</v>
          </cell>
          <cell r="H45">
            <v>413</v>
          </cell>
          <cell r="I45">
            <v>482</v>
          </cell>
          <cell r="J45">
            <v>302</v>
          </cell>
          <cell r="K45">
            <v>880</v>
          </cell>
          <cell r="L45">
            <v>95</v>
          </cell>
          <cell r="M45">
            <v>0</v>
          </cell>
          <cell r="N45">
            <v>0</v>
          </cell>
          <cell r="O45">
            <v>95</v>
          </cell>
          <cell r="P45">
            <v>406</v>
          </cell>
          <cell r="Q45">
            <v>129</v>
          </cell>
          <cell r="R45">
            <v>277</v>
          </cell>
          <cell r="S45">
            <v>4243</v>
          </cell>
          <cell r="T45">
            <v>501</v>
          </cell>
        </row>
        <row r="46">
          <cell r="C46" t="str">
            <v>Census Tract 44, King County, Washington</v>
          </cell>
          <cell r="D46">
            <v>4433</v>
          </cell>
          <cell r="E46">
            <v>4133</v>
          </cell>
          <cell r="F46">
            <v>1555</v>
          </cell>
          <cell r="G46">
            <v>2491</v>
          </cell>
          <cell r="H46">
            <v>367</v>
          </cell>
          <cell r="I46">
            <v>631</v>
          </cell>
          <cell r="J46">
            <v>396</v>
          </cell>
          <cell r="K46">
            <v>1097</v>
          </cell>
          <cell r="L46">
            <v>87</v>
          </cell>
          <cell r="M46">
            <v>0</v>
          </cell>
          <cell r="N46">
            <v>0</v>
          </cell>
          <cell r="O46">
            <v>87</v>
          </cell>
          <cell r="P46">
            <v>300</v>
          </cell>
          <cell r="Q46">
            <v>89</v>
          </cell>
          <cell r="R46">
            <v>211</v>
          </cell>
          <cell r="S46">
            <v>4046</v>
          </cell>
          <cell r="T46">
            <v>387</v>
          </cell>
        </row>
        <row r="47">
          <cell r="C47" t="str">
            <v>Census Tract 45, King County, Washington</v>
          </cell>
          <cell r="D47">
            <v>1907</v>
          </cell>
          <cell r="E47">
            <v>1776</v>
          </cell>
          <cell r="F47">
            <v>652</v>
          </cell>
          <cell r="G47">
            <v>1079</v>
          </cell>
          <cell r="H47">
            <v>244</v>
          </cell>
          <cell r="I47">
            <v>331</v>
          </cell>
          <cell r="J47">
            <v>179</v>
          </cell>
          <cell r="K47">
            <v>325</v>
          </cell>
          <cell r="L47">
            <v>45</v>
          </cell>
          <cell r="M47">
            <v>0</v>
          </cell>
          <cell r="N47">
            <v>13</v>
          </cell>
          <cell r="O47">
            <v>32</v>
          </cell>
          <cell r="P47">
            <v>131</v>
          </cell>
          <cell r="Q47">
            <v>54</v>
          </cell>
          <cell r="R47">
            <v>77</v>
          </cell>
          <cell r="S47">
            <v>1731</v>
          </cell>
          <cell r="T47">
            <v>176</v>
          </cell>
        </row>
        <row r="48">
          <cell r="C48" t="str">
            <v>Census Tract 46, King County, Washington</v>
          </cell>
          <cell r="D48">
            <v>2759</v>
          </cell>
          <cell r="E48">
            <v>2564</v>
          </cell>
          <cell r="F48">
            <v>1185</v>
          </cell>
          <cell r="G48">
            <v>1349</v>
          </cell>
          <cell r="H48">
            <v>271</v>
          </cell>
          <cell r="I48">
            <v>435</v>
          </cell>
          <cell r="J48">
            <v>158</v>
          </cell>
          <cell r="K48">
            <v>485</v>
          </cell>
          <cell r="L48">
            <v>30</v>
          </cell>
          <cell r="M48">
            <v>0</v>
          </cell>
          <cell r="N48">
            <v>0</v>
          </cell>
          <cell r="O48">
            <v>30</v>
          </cell>
          <cell r="P48">
            <v>195</v>
          </cell>
          <cell r="Q48">
            <v>68</v>
          </cell>
          <cell r="R48">
            <v>127</v>
          </cell>
          <cell r="S48">
            <v>2534</v>
          </cell>
          <cell r="T48">
            <v>225</v>
          </cell>
        </row>
        <row r="49">
          <cell r="C49" t="str">
            <v>Census Tract 47, King County, Washington</v>
          </cell>
          <cell r="D49">
            <v>4010</v>
          </cell>
          <cell r="E49">
            <v>3798</v>
          </cell>
          <cell r="F49">
            <v>1731</v>
          </cell>
          <cell r="G49">
            <v>2028</v>
          </cell>
          <cell r="H49">
            <v>294</v>
          </cell>
          <cell r="I49">
            <v>645</v>
          </cell>
          <cell r="J49">
            <v>385</v>
          </cell>
          <cell r="K49">
            <v>704</v>
          </cell>
          <cell r="L49">
            <v>39</v>
          </cell>
          <cell r="M49">
            <v>0</v>
          </cell>
          <cell r="N49">
            <v>0</v>
          </cell>
          <cell r="O49">
            <v>39</v>
          </cell>
          <cell r="P49">
            <v>212</v>
          </cell>
          <cell r="Q49">
            <v>90</v>
          </cell>
          <cell r="R49">
            <v>122</v>
          </cell>
          <cell r="S49">
            <v>3759</v>
          </cell>
          <cell r="T49">
            <v>251</v>
          </cell>
        </row>
        <row r="50">
          <cell r="C50" t="str">
            <v>Census Tract 48, King County, Washington</v>
          </cell>
          <cell r="D50">
            <v>3716</v>
          </cell>
          <cell r="E50">
            <v>3593</v>
          </cell>
          <cell r="F50">
            <v>1477</v>
          </cell>
          <cell r="G50">
            <v>2066</v>
          </cell>
          <cell r="H50">
            <v>488</v>
          </cell>
          <cell r="I50">
            <v>630</v>
          </cell>
          <cell r="J50">
            <v>231</v>
          </cell>
          <cell r="K50">
            <v>717</v>
          </cell>
          <cell r="L50">
            <v>50</v>
          </cell>
          <cell r="M50">
            <v>16</v>
          </cell>
          <cell r="N50">
            <v>0</v>
          </cell>
          <cell r="O50">
            <v>34</v>
          </cell>
          <cell r="P50">
            <v>123</v>
          </cell>
          <cell r="Q50">
            <v>35</v>
          </cell>
          <cell r="R50">
            <v>88</v>
          </cell>
          <cell r="S50">
            <v>3543</v>
          </cell>
          <cell r="T50">
            <v>173</v>
          </cell>
        </row>
        <row r="51">
          <cell r="C51" t="str">
            <v>Census Tract 49, King County, Washington</v>
          </cell>
          <cell r="D51">
            <v>4738</v>
          </cell>
          <cell r="E51">
            <v>4493</v>
          </cell>
          <cell r="F51">
            <v>1551</v>
          </cell>
          <cell r="G51">
            <v>2898</v>
          </cell>
          <cell r="H51">
            <v>660</v>
          </cell>
          <cell r="I51">
            <v>901</v>
          </cell>
          <cell r="J51">
            <v>369</v>
          </cell>
          <cell r="K51">
            <v>968</v>
          </cell>
          <cell r="L51">
            <v>44</v>
          </cell>
          <cell r="M51">
            <v>0</v>
          </cell>
          <cell r="N51">
            <v>0</v>
          </cell>
          <cell r="O51">
            <v>44</v>
          </cell>
          <cell r="P51">
            <v>245</v>
          </cell>
          <cell r="Q51">
            <v>78</v>
          </cell>
          <cell r="R51">
            <v>167</v>
          </cell>
          <cell r="S51">
            <v>4449</v>
          </cell>
          <cell r="T51">
            <v>289</v>
          </cell>
        </row>
        <row r="52">
          <cell r="C52" t="str">
            <v>Census Tract 50, King County, Washington</v>
          </cell>
          <cell r="D52">
            <v>2758</v>
          </cell>
          <cell r="E52">
            <v>2559</v>
          </cell>
          <cell r="F52">
            <v>789</v>
          </cell>
          <cell r="G52">
            <v>1756</v>
          </cell>
          <cell r="H52">
            <v>348</v>
          </cell>
          <cell r="I52">
            <v>551</v>
          </cell>
          <cell r="J52">
            <v>196</v>
          </cell>
          <cell r="K52">
            <v>661</v>
          </cell>
          <cell r="L52">
            <v>14</v>
          </cell>
          <cell r="M52">
            <v>0</v>
          </cell>
          <cell r="N52">
            <v>0</v>
          </cell>
          <cell r="O52">
            <v>14</v>
          </cell>
          <cell r="P52">
            <v>199</v>
          </cell>
          <cell r="Q52">
            <v>65</v>
          </cell>
          <cell r="R52">
            <v>134</v>
          </cell>
          <cell r="S52">
            <v>2545</v>
          </cell>
          <cell r="T52">
            <v>213</v>
          </cell>
        </row>
        <row r="53">
          <cell r="C53" t="str">
            <v>Census Tract 51, King County, Washington</v>
          </cell>
          <cell r="D53">
            <v>2935</v>
          </cell>
          <cell r="E53">
            <v>2693</v>
          </cell>
          <cell r="F53">
            <v>1215</v>
          </cell>
          <cell r="G53">
            <v>1424</v>
          </cell>
          <cell r="H53">
            <v>403</v>
          </cell>
          <cell r="I53">
            <v>410</v>
          </cell>
          <cell r="J53">
            <v>208</v>
          </cell>
          <cell r="K53">
            <v>403</v>
          </cell>
          <cell r="L53">
            <v>54</v>
          </cell>
          <cell r="M53">
            <v>0</v>
          </cell>
          <cell r="N53">
            <v>0</v>
          </cell>
          <cell r="O53">
            <v>54</v>
          </cell>
          <cell r="P53">
            <v>242</v>
          </cell>
          <cell r="Q53">
            <v>118</v>
          </cell>
          <cell r="R53">
            <v>124</v>
          </cell>
          <cell r="S53">
            <v>2639</v>
          </cell>
          <cell r="T53">
            <v>296</v>
          </cell>
        </row>
        <row r="54">
          <cell r="C54" t="str">
            <v>Census Tract 52, King County, Washington</v>
          </cell>
          <cell r="D54">
            <v>3880</v>
          </cell>
          <cell r="E54">
            <v>3562</v>
          </cell>
          <cell r="F54">
            <v>1314</v>
          </cell>
          <cell r="G54">
            <v>2174</v>
          </cell>
          <cell r="H54">
            <v>347</v>
          </cell>
          <cell r="I54">
            <v>689</v>
          </cell>
          <cell r="J54">
            <v>227</v>
          </cell>
          <cell r="K54">
            <v>911</v>
          </cell>
          <cell r="L54">
            <v>74</v>
          </cell>
          <cell r="M54">
            <v>0</v>
          </cell>
          <cell r="N54">
            <v>0</v>
          </cell>
          <cell r="O54">
            <v>74</v>
          </cell>
          <cell r="P54">
            <v>318</v>
          </cell>
          <cell r="Q54">
            <v>100</v>
          </cell>
          <cell r="R54">
            <v>218</v>
          </cell>
          <cell r="S54">
            <v>3488</v>
          </cell>
          <cell r="T54">
            <v>392</v>
          </cell>
        </row>
        <row r="55">
          <cell r="C55" t="str">
            <v>Census Tract 53.01, King County, Washington</v>
          </cell>
          <cell r="D55">
            <v>5930</v>
          </cell>
          <cell r="E55">
            <v>5701</v>
          </cell>
          <cell r="F55">
            <v>3221</v>
          </cell>
          <cell r="G55">
            <v>2352</v>
          </cell>
          <cell r="H55">
            <v>190</v>
          </cell>
          <cell r="I55">
            <v>492</v>
          </cell>
          <cell r="J55">
            <v>304</v>
          </cell>
          <cell r="K55">
            <v>1366</v>
          </cell>
          <cell r="L55">
            <v>128</v>
          </cell>
          <cell r="M55">
            <v>0</v>
          </cell>
          <cell r="N55">
            <v>34</v>
          </cell>
          <cell r="O55">
            <v>94</v>
          </cell>
          <cell r="P55">
            <v>229</v>
          </cell>
          <cell r="Q55">
            <v>80</v>
          </cell>
          <cell r="R55">
            <v>149</v>
          </cell>
          <cell r="S55">
            <v>5573</v>
          </cell>
          <cell r="T55">
            <v>357</v>
          </cell>
        </row>
        <row r="56">
          <cell r="C56" t="str">
            <v>Census Tract 53.02, King County, Washington</v>
          </cell>
          <cell r="D56">
            <v>1430</v>
          </cell>
          <cell r="E56">
            <v>1317</v>
          </cell>
          <cell r="F56">
            <v>590</v>
          </cell>
          <cell r="G56">
            <v>703</v>
          </cell>
          <cell r="H56">
            <v>85</v>
          </cell>
          <cell r="I56">
            <v>202</v>
          </cell>
          <cell r="J56">
            <v>69</v>
          </cell>
          <cell r="K56">
            <v>347</v>
          </cell>
          <cell r="L56">
            <v>24</v>
          </cell>
          <cell r="M56">
            <v>0</v>
          </cell>
          <cell r="N56">
            <v>0</v>
          </cell>
          <cell r="O56">
            <v>24</v>
          </cell>
          <cell r="P56">
            <v>113</v>
          </cell>
          <cell r="Q56">
            <v>28</v>
          </cell>
          <cell r="R56">
            <v>85</v>
          </cell>
          <cell r="S56">
            <v>1293</v>
          </cell>
          <cell r="T56">
            <v>137</v>
          </cell>
        </row>
        <row r="57">
          <cell r="C57" t="str">
            <v>Census Tract 54, King County, Washington</v>
          </cell>
          <cell r="D57">
            <v>3679</v>
          </cell>
          <cell r="E57">
            <v>3550</v>
          </cell>
          <cell r="F57">
            <v>1215</v>
          </cell>
          <cell r="G57">
            <v>2188</v>
          </cell>
          <cell r="H57">
            <v>551</v>
          </cell>
          <cell r="I57">
            <v>573</v>
          </cell>
          <cell r="J57">
            <v>292</v>
          </cell>
          <cell r="K57">
            <v>772</v>
          </cell>
          <cell r="L57">
            <v>147</v>
          </cell>
          <cell r="M57">
            <v>0</v>
          </cell>
          <cell r="N57">
            <v>0</v>
          </cell>
          <cell r="O57">
            <v>147</v>
          </cell>
          <cell r="P57">
            <v>129</v>
          </cell>
          <cell r="Q57">
            <v>65</v>
          </cell>
          <cell r="R57">
            <v>64</v>
          </cell>
          <cell r="S57">
            <v>3403</v>
          </cell>
          <cell r="T57">
            <v>276</v>
          </cell>
        </row>
        <row r="58">
          <cell r="C58" t="str">
            <v>Census Tract 56, King County, Washington</v>
          </cell>
          <cell r="D58">
            <v>5592</v>
          </cell>
          <cell r="E58">
            <v>5230</v>
          </cell>
          <cell r="F58">
            <v>2653</v>
          </cell>
          <cell r="G58">
            <v>2525</v>
          </cell>
          <cell r="H58">
            <v>445</v>
          </cell>
          <cell r="I58">
            <v>847</v>
          </cell>
          <cell r="J58">
            <v>356</v>
          </cell>
          <cell r="K58">
            <v>877</v>
          </cell>
          <cell r="L58">
            <v>52</v>
          </cell>
          <cell r="M58">
            <v>0</v>
          </cell>
          <cell r="N58">
            <v>0</v>
          </cell>
          <cell r="O58">
            <v>52</v>
          </cell>
          <cell r="P58">
            <v>362</v>
          </cell>
          <cell r="Q58">
            <v>210</v>
          </cell>
          <cell r="R58">
            <v>152</v>
          </cell>
          <cell r="S58">
            <v>5178</v>
          </cell>
          <cell r="T58">
            <v>414</v>
          </cell>
        </row>
        <row r="59">
          <cell r="C59" t="str">
            <v>Census Tract 57, King County, Washington</v>
          </cell>
          <cell r="D59">
            <v>5026</v>
          </cell>
          <cell r="E59">
            <v>4729</v>
          </cell>
          <cell r="F59">
            <v>2219</v>
          </cell>
          <cell r="G59">
            <v>2482</v>
          </cell>
          <cell r="H59">
            <v>399</v>
          </cell>
          <cell r="I59">
            <v>789</v>
          </cell>
          <cell r="J59">
            <v>356</v>
          </cell>
          <cell r="K59">
            <v>938</v>
          </cell>
          <cell r="L59">
            <v>28</v>
          </cell>
          <cell r="M59">
            <v>0</v>
          </cell>
          <cell r="N59">
            <v>0</v>
          </cell>
          <cell r="O59">
            <v>28</v>
          </cell>
          <cell r="P59">
            <v>297</v>
          </cell>
          <cell r="Q59">
            <v>175</v>
          </cell>
          <cell r="R59">
            <v>122</v>
          </cell>
          <cell r="S59">
            <v>4701</v>
          </cell>
          <cell r="T59">
            <v>325</v>
          </cell>
        </row>
        <row r="60">
          <cell r="C60" t="str">
            <v>Census Tract 58.01, King County, Washington</v>
          </cell>
          <cell r="D60">
            <v>3733</v>
          </cell>
          <cell r="E60">
            <v>3395</v>
          </cell>
          <cell r="F60">
            <v>1619</v>
          </cell>
          <cell r="G60">
            <v>1639</v>
          </cell>
          <cell r="H60">
            <v>291</v>
          </cell>
          <cell r="I60">
            <v>601</v>
          </cell>
          <cell r="J60">
            <v>141</v>
          </cell>
          <cell r="K60">
            <v>606</v>
          </cell>
          <cell r="L60">
            <v>137</v>
          </cell>
          <cell r="M60">
            <v>0</v>
          </cell>
          <cell r="N60">
            <v>0</v>
          </cell>
          <cell r="O60">
            <v>137</v>
          </cell>
          <cell r="P60">
            <v>338</v>
          </cell>
          <cell r="Q60">
            <v>113</v>
          </cell>
          <cell r="R60">
            <v>225</v>
          </cell>
          <cell r="S60">
            <v>3258</v>
          </cell>
          <cell r="T60">
            <v>475</v>
          </cell>
        </row>
        <row r="61">
          <cell r="C61" t="str">
            <v>Census Tract 58.02, King County, Washington</v>
          </cell>
          <cell r="D61">
            <v>3947</v>
          </cell>
          <cell r="E61">
            <v>3762</v>
          </cell>
          <cell r="F61">
            <v>1456</v>
          </cell>
          <cell r="G61">
            <v>2223</v>
          </cell>
          <cell r="H61">
            <v>415</v>
          </cell>
          <cell r="I61">
            <v>570</v>
          </cell>
          <cell r="J61">
            <v>380</v>
          </cell>
          <cell r="K61">
            <v>858</v>
          </cell>
          <cell r="L61">
            <v>83</v>
          </cell>
          <cell r="M61">
            <v>0</v>
          </cell>
          <cell r="N61">
            <v>0</v>
          </cell>
          <cell r="O61">
            <v>83</v>
          </cell>
          <cell r="P61">
            <v>185</v>
          </cell>
          <cell r="Q61">
            <v>88</v>
          </cell>
          <cell r="R61">
            <v>97</v>
          </cell>
          <cell r="S61">
            <v>3679</v>
          </cell>
          <cell r="T61">
            <v>268</v>
          </cell>
        </row>
        <row r="62">
          <cell r="C62" t="str">
            <v>Census Tract 59, King County, Washington</v>
          </cell>
          <cell r="D62">
            <v>5928</v>
          </cell>
          <cell r="E62">
            <v>5647</v>
          </cell>
          <cell r="F62">
            <v>2075</v>
          </cell>
          <cell r="G62">
            <v>3515</v>
          </cell>
          <cell r="H62">
            <v>613</v>
          </cell>
          <cell r="I62">
            <v>935</v>
          </cell>
          <cell r="J62">
            <v>443</v>
          </cell>
          <cell r="K62">
            <v>1524</v>
          </cell>
          <cell r="L62">
            <v>57</v>
          </cell>
          <cell r="M62">
            <v>0</v>
          </cell>
          <cell r="N62">
            <v>0</v>
          </cell>
          <cell r="O62">
            <v>57</v>
          </cell>
          <cell r="P62">
            <v>281</v>
          </cell>
          <cell r="Q62">
            <v>83</v>
          </cell>
          <cell r="R62">
            <v>198</v>
          </cell>
          <cell r="S62">
            <v>5590</v>
          </cell>
          <cell r="T62">
            <v>338</v>
          </cell>
        </row>
        <row r="63">
          <cell r="C63" t="str">
            <v>Census Tract 60, King County, Washington</v>
          </cell>
          <cell r="D63">
            <v>4073</v>
          </cell>
          <cell r="E63">
            <v>3839</v>
          </cell>
          <cell r="F63">
            <v>1626</v>
          </cell>
          <cell r="G63">
            <v>2165</v>
          </cell>
          <cell r="H63">
            <v>428</v>
          </cell>
          <cell r="I63">
            <v>701</v>
          </cell>
          <cell r="J63">
            <v>225</v>
          </cell>
          <cell r="K63">
            <v>811</v>
          </cell>
          <cell r="L63">
            <v>48</v>
          </cell>
          <cell r="M63">
            <v>0</v>
          </cell>
          <cell r="N63">
            <v>0</v>
          </cell>
          <cell r="O63">
            <v>48</v>
          </cell>
          <cell r="P63">
            <v>234</v>
          </cell>
          <cell r="Q63">
            <v>101</v>
          </cell>
          <cell r="R63">
            <v>133</v>
          </cell>
          <cell r="S63">
            <v>3791</v>
          </cell>
          <cell r="T63">
            <v>282</v>
          </cell>
        </row>
        <row r="64">
          <cell r="C64" t="str">
            <v>Census Tract 61, King County, Washington</v>
          </cell>
          <cell r="D64">
            <v>3802</v>
          </cell>
          <cell r="E64">
            <v>3631</v>
          </cell>
          <cell r="F64">
            <v>1449</v>
          </cell>
          <cell r="G64">
            <v>2123</v>
          </cell>
          <cell r="H64">
            <v>456</v>
          </cell>
          <cell r="I64">
            <v>644</v>
          </cell>
          <cell r="J64">
            <v>241</v>
          </cell>
          <cell r="K64">
            <v>782</v>
          </cell>
          <cell r="L64">
            <v>59</v>
          </cell>
          <cell r="M64">
            <v>0</v>
          </cell>
          <cell r="N64">
            <v>0</v>
          </cell>
          <cell r="O64">
            <v>59</v>
          </cell>
          <cell r="P64">
            <v>171</v>
          </cell>
          <cell r="Q64">
            <v>87</v>
          </cell>
          <cell r="R64">
            <v>84</v>
          </cell>
          <cell r="S64">
            <v>3572</v>
          </cell>
          <cell r="T64">
            <v>230</v>
          </cell>
        </row>
        <row r="65">
          <cell r="C65" t="str">
            <v>Census Tract 62, King County, Washington</v>
          </cell>
          <cell r="D65">
            <v>3327</v>
          </cell>
          <cell r="E65">
            <v>3114</v>
          </cell>
          <cell r="F65">
            <v>1421</v>
          </cell>
          <cell r="G65">
            <v>1655</v>
          </cell>
          <cell r="H65">
            <v>443</v>
          </cell>
          <cell r="I65">
            <v>462</v>
          </cell>
          <cell r="J65">
            <v>238</v>
          </cell>
          <cell r="K65">
            <v>512</v>
          </cell>
          <cell r="L65">
            <v>38</v>
          </cell>
          <cell r="M65">
            <v>0</v>
          </cell>
          <cell r="N65">
            <v>5</v>
          </cell>
          <cell r="O65">
            <v>33</v>
          </cell>
          <cell r="P65">
            <v>213</v>
          </cell>
          <cell r="Q65">
            <v>141</v>
          </cell>
          <cell r="R65">
            <v>72</v>
          </cell>
          <cell r="S65">
            <v>3076</v>
          </cell>
          <cell r="T65">
            <v>251</v>
          </cell>
        </row>
        <row r="66">
          <cell r="C66" t="str">
            <v>Census Tract 63, King County, Washington</v>
          </cell>
          <cell r="D66">
            <v>4697</v>
          </cell>
          <cell r="E66">
            <v>4405</v>
          </cell>
          <cell r="F66">
            <v>2300</v>
          </cell>
          <cell r="G66">
            <v>2051</v>
          </cell>
          <cell r="H66">
            <v>391</v>
          </cell>
          <cell r="I66">
            <v>602</v>
          </cell>
          <cell r="J66">
            <v>294</v>
          </cell>
          <cell r="K66">
            <v>764</v>
          </cell>
          <cell r="L66">
            <v>54</v>
          </cell>
          <cell r="M66">
            <v>0</v>
          </cell>
          <cell r="N66">
            <v>0</v>
          </cell>
          <cell r="O66">
            <v>54</v>
          </cell>
          <cell r="P66">
            <v>292</v>
          </cell>
          <cell r="Q66">
            <v>185</v>
          </cell>
          <cell r="R66">
            <v>107</v>
          </cell>
          <cell r="S66">
            <v>4351</v>
          </cell>
          <cell r="T66">
            <v>346</v>
          </cell>
        </row>
        <row r="67">
          <cell r="C67" t="str">
            <v>Census Tract 64, King County, Washington</v>
          </cell>
          <cell r="D67">
            <v>2616</v>
          </cell>
          <cell r="E67">
            <v>2457</v>
          </cell>
          <cell r="F67">
            <v>1042</v>
          </cell>
          <cell r="G67">
            <v>1398</v>
          </cell>
          <cell r="H67">
            <v>415</v>
          </cell>
          <cell r="I67">
            <v>354</v>
          </cell>
          <cell r="J67">
            <v>154</v>
          </cell>
          <cell r="K67">
            <v>475</v>
          </cell>
          <cell r="L67">
            <v>17</v>
          </cell>
          <cell r="M67">
            <v>0</v>
          </cell>
          <cell r="N67">
            <v>0</v>
          </cell>
          <cell r="O67">
            <v>17</v>
          </cell>
          <cell r="P67">
            <v>159</v>
          </cell>
          <cell r="Q67">
            <v>93</v>
          </cell>
          <cell r="R67">
            <v>66</v>
          </cell>
          <cell r="S67">
            <v>2440</v>
          </cell>
          <cell r="T67">
            <v>176</v>
          </cell>
        </row>
        <row r="68">
          <cell r="C68" t="str">
            <v>Census Tract 65, King County, Washington</v>
          </cell>
          <cell r="D68">
            <v>3499</v>
          </cell>
          <cell r="E68">
            <v>3234</v>
          </cell>
          <cell r="F68">
            <v>1014</v>
          </cell>
          <cell r="G68">
            <v>2144</v>
          </cell>
          <cell r="H68">
            <v>590</v>
          </cell>
          <cell r="I68">
            <v>567</v>
          </cell>
          <cell r="J68">
            <v>244</v>
          </cell>
          <cell r="K68">
            <v>743</v>
          </cell>
          <cell r="L68">
            <v>76</v>
          </cell>
          <cell r="M68">
            <v>0</v>
          </cell>
          <cell r="N68">
            <v>0</v>
          </cell>
          <cell r="O68">
            <v>76</v>
          </cell>
          <cell r="P68">
            <v>265</v>
          </cell>
          <cell r="Q68">
            <v>144</v>
          </cell>
          <cell r="R68">
            <v>121</v>
          </cell>
          <cell r="S68">
            <v>3158</v>
          </cell>
          <cell r="T68">
            <v>341</v>
          </cell>
        </row>
        <row r="69">
          <cell r="C69" t="str">
            <v>Census Tract 66, King County, Washington</v>
          </cell>
          <cell r="D69">
            <v>2326</v>
          </cell>
          <cell r="E69">
            <v>2213</v>
          </cell>
          <cell r="F69">
            <v>801</v>
          </cell>
          <cell r="G69">
            <v>1384</v>
          </cell>
          <cell r="H69">
            <v>321</v>
          </cell>
          <cell r="I69">
            <v>451</v>
          </cell>
          <cell r="J69">
            <v>150</v>
          </cell>
          <cell r="K69">
            <v>462</v>
          </cell>
          <cell r="L69">
            <v>28</v>
          </cell>
          <cell r="M69">
            <v>0</v>
          </cell>
          <cell r="N69">
            <v>0</v>
          </cell>
          <cell r="O69">
            <v>28</v>
          </cell>
          <cell r="P69">
            <v>113</v>
          </cell>
          <cell r="Q69">
            <v>58</v>
          </cell>
          <cell r="R69">
            <v>55</v>
          </cell>
          <cell r="S69">
            <v>2185</v>
          </cell>
          <cell r="T69">
            <v>141</v>
          </cell>
        </row>
        <row r="70">
          <cell r="C70" t="str">
            <v>Census Tract 67, King County, Washington</v>
          </cell>
          <cell r="D70">
            <v>4535</v>
          </cell>
          <cell r="E70">
            <v>4136</v>
          </cell>
          <cell r="F70">
            <v>1520</v>
          </cell>
          <cell r="G70">
            <v>2555</v>
          </cell>
          <cell r="H70">
            <v>632</v>
          </cell>
          <cell r="I70">
            <v>686</v>
          </cell>
          <cell r="J70">
            <v>312</v>
          </cell>
          <cell r="K70">
            <v>925</v>
          </cell>
          <cell r="L70">
            <v>61</v>
          </cell>
          <cell r="M70">
            <v>0</v>
          </cell>
          <cell r="N70">
            <v>12</v>
          </cell>
          <cell r="O70">
            <v>49</v>
          </cell>
          <cell r="P70">
            <v>399</v>
          </cell>
          <cell r="Q70">
            <v>158</v>
          </cell>
          <cell r="R70">
            <v>241</v>
          </cell>
          <cell r="S70">
            <v>4075</v>
          </cell>
          <cell r="T70">
            <v>460</v>
          </cell>
        </row>
        <row r="71">
          <cell r="C71" t="str">
            <v>Census Tract 68, King County, Washington</v>
          </cell>
          <cell r="D71">
            <v>2458</v>
          </cell>
          <cell r="E71">
            <v>2375</v>
          </cell>
          <cell r="F71">
            <v>990</v>
          </cell>
          <cell r="G71">
            <v>1299</v>
          </cell>
          <cell r="H71">
            <v>287</v>
          </cell>
          <cell r="I71">
            <v>385</v>
          </cell>
          <cell r="J71">
            <v>132</v>
          </cell>
          <cell r="K71">
            <v>495</v>
          </cell>
          <cell r="L71">
            <v>86</v>
          </cell>
          <cell r="M71">
            <v>0</v>
          </cell>
          <cell r="N71">
            <v>0</v>
          </cell>
          <cell r="O71">
            <v>86</v>
          </cell>
          <cell r="P71">
            <v>83</v>
          </cell>
          <cell r="Q71">
            <v>48</v>
          </cell>
          <cell r="R71">
            <v>35</v>
          </cell>
          <cell r="S71">
            <v>2289</v>
          </cell>
          <cell r="T71">
            <v>169</v>
          </cell>
        </row>
        <row r="72">
          <cell r="C72" t="str">
            <v>Census Tract 69, King County, Washington</v>
          </cell>
          <cell r="D72">
            <v>3373</v>
          </cell>
          <cell r="E72">
            <v>3270</v>
          </cell>
          <cell r="F72">
            <v>1236</v>
          </cell>
          <cell r="G72">
            <v>1996</v>
          </cell>
          <cell r="H72">
            <v>484</v>
          </cell>
          <cell r="I72">
            <v>639</v>
          </cell>
          <cell r="J72">
            <v>265</v>
          </cell>
          <cell r="K72">
            <v>608</v>
          </cell>
          <cell r="L72">
            <v>38</v>
          </cell>
          <cell r="M72">
            <v>0</v>
          </cell>
          <cell r="N72">
            <v>0</v>
          </cell>
          <cell r="O72">
            <v>38</v>
          </cell>
          <cell r="P72">
            <v>103</v>
          </cell>
          <cell r="Q72">
            <v>55</v>
          </cell>
          <cell r="R72">
            <v>48</v>
          </cell>
          <cell r="S72">
            <v>3232</v>
          </cell>
          <cell r="T72">
            <v>141</v>
          </cell>
        </row>
        <row r="73">
          <cell r="C73" t="str">
            <v>Census Tract 70, King County, Washington</v>
          </cell>
          <cell r="D73">
            <v>5879</v>
          </cell>
          <cell r="E73">
            <v>5283</v>
          </cell>
          <cell r="F73">
            <v>1758</v>
          </cell>
          <cell r="G73">
            <v>3466</v>
          </cell>
          <cell r="H73">
            <v>834</v>
          </cell>
          <cell r="I73">
            <v>1129</v>
          </cell>
          <cell r="J73">
            <v>400</v>
          </cell>
          <cell r="K73">
            <v>1103</v>
          </cell>
          <cell r="L73">
            <v>59</v>
          </cell>
          <cell r="M73">
            <v>0</v>
          </cell>
          <cell r="N73">
            <v>0</v>
          </cell>
          <cell r="O73">
            <v>59</v>
          </cell>
          <cell r="P73">
            <v>596</v>
          </cell>
          <cell r="Q73">
            <v>156</v>
          </cell>
          <cell r="R73">
            <v>440</v>
          </cell>
          <cell r="S73">
            <v>5224</v>
          </cell>
          <cell r="T73">
            <v>655</v>
          </cell>
        </row>
        <row r="74">
          <cell r="C74" t="str">
            <v>Census Tract 71, King County, Washington</v>
          </cell>
          <cell r="D74">
            <v>1485</v>
          </cell>
          <cell r="E74">
            <v>1386</v>
          </cell>
          <cell r="F74">
            <v>462</v>
          </cell>
          <cell r="G74">
            <v>881</v>
          </cell>
          <cell r="H74">
            <v>147</v>
          </cell>
          <cell r="I74">
            <v>275</v>
          </cell>
          <cell r="J74">
            <v>200</v>
          </cell>
          <cell r="K74">
            <v>259</v>
          </cell>
          <cell r="L74">
            <v>43</v>
          </cell>
          <cell r="M74">
            <v>0</v>
          </cell>
          <cell r="N74">
            <v>0</v>
          </cell>
          <cell r="O74">
            <v>43</v>
          </cell>
          <cell r="P74">
            <v>99</v>
          </cell>
          <cell r="Q74">
            <v>5</v>
          </cell>
          <cell r="R74">
            <v>94</v>
          </cell>
          <cell r="S74">
            <v>1343</v>
          </cell>
          <cell r="T74">
            <v>142</v>
          </cell>
        </row>
        <row r="75">
          <cell r="C75" t="str">
            <v>Census Tract 72, King County, Washington</v>
          </cell>
          <cell r="D75">
            <v>2304</v>
          </cell>
          <cell r="E75">
            <v>2161</v>
          </cell>
          <cell r="F75">
            <v>778</v>
          </cell>
          <cell r="G75">
            <v>1355</v>
          </cell>
          <cell r="H75">
            <v>194</v>
          </cell>
          <cell r="I75">
            <v>380</v>
          </cell>
          <cell r="J75">
            <v>219</v>
          </cell>
          <cell r="K75">
            <v>562</v>
          </cell>
          <cell r="L75">
            <v>28</v>
          </cell>
          <cell r="M75">
            <v>0</v>
          </cell>
          <cell r="N75">
            <v>0</v>
          </cell>
          <cell r="O75">
            <v>28</v>
          </cell>
          <cell r="P75">
            <v>143</v>
          </cell>
          <cell r="Q75">
            <v>78</v>
          </cell>
          <cell r="R75">
            <v>65</v>
          </cell>
          <cell r="S75">
            <v>2133</v>
          </cell>
          <cell r="T75">
            <v>171</v>
          </cell>
        </row>
        <row r="76">
          <cell r="C76" t="str">
            <v>Census Tract 73, King County, Washington</v>
          </cell>
          <cell r="D76">
            <v>1272</v>
          </cell>
          <cell r="E76">
            <v>1219</v>
          </cell>
          <cell r="F76">
            <v>573</v>
          </cell>
          <cell r="G76">
            <v>638</v>
          </cell>
          <cell r="H76">
            <v>75</v>
          </cell>
          <cell r="I76">
            <v>275</v>
          </cell>
          <cell r="J76">
            <v>64</v>
          </cell>
          <cell r="K76">
            <v>224</v>
          </cell>
          <cell r="L76">
            <v>8</v>
          </cell>
          <cell r="M76">
            <v>0</v>
          </cell>
          <cell r="N76">
            <v>0</v>
          </cell>
          <cell r="O76">
            <v>8</v>
          </cell>
          <cell r="P76">
            <v>53</v>
          </cell>
          <cell r="Q76">
            <v>0</v>
          </cell>
          <cell r="R76">
            <v>53</v>
          </cell>
          <cell r="S76">
            <v>1211</v>
          </cell>
          <cell r="T76">
            <v>61</v>
          </cell>
        </row>
        <row r="77">
          <cell r="C77" t="str">
            <v>Census Tract 74, King County, Washington</v>
          </cell>
          <cell r="D77">
            <v>6842</v>
          </cell>
          <cell r="E77">
            <v>6443</v>
          </cell>
          <cell r="F77">
            <v>1725</v>
          </cell>
          <cell r="G77">
            <v>4612</v>
          </cell>
          <cell r="H77">
            <v>769</v>
          </cell>
          <cell r="I77">
            <v>1208</v>
          </cell>
          <cell r="J77">
            <v>865</v>
          </cell>
          <cell r="K77">
            <v>1770</v>
          </cell>
          <cell r="L77">
            <v>106</v>
          </cell>
          <cell r="M77">
            <v>7</v>
          </cell>
          <cell r="N77">
            <v>0</v>
          </cell>
          <cell r="O77">
            <v>99</v>
          </cell>
          <cell r="P77">
            <v>399</v>
          </cell>
          <cell r="Q77">
            <v>167</v>
          </cell>
          <cell r="R77">
            <v>232</v>
          </cell>
          <cell r="S77">
            <v>6337</v>
          </cell>
          <cell r="T77">
            <v>505</v>
          </cell>
        </row>
        <row r="78">
          <cell r="C78" t="str">
            <v>Census Tract 75, King County, Washington</v>
          </cell>
          <cell r="D78">
            <v>4303</v>
          </cell>
          <cell r="E78">
            <v>3990</v>
          </cell>
          <cell r="F78">
            <v>1002</v>
          </cell>
          <cell r="G78">
            <v>2898</v>
          </cell>
          <cell r="H78">
            <v>724</v>
          </cell>
          <cell r="I78">
            <v>757</v>
          </cell>
          <cell r="J78">
            <v>394</v>
          </cell>
          <cell r="K78">
            <v>1023</v>
          </cell>
          <cell r="L78">
            <v>90</v>
          </cell>
          <cell r="M78">
            <v>0</v>
          </cell>
          <cell r="N78">
            <v>0</v>
          </cell>
          <cell r="O78">
            <v>90</v>
          </cell>
          <cell r="P78">
            <v>313</v>
          </cell>
          <cell r="Q78">
            <v>141</v>
          </cell>
          <cell r="R78">
            <v>172</v>
          </cell>
          <cell r="S78">
            <v>3900</v>
          </cell>
          <cell r="T78">
            <v>403</v>
          </cell>
        </row>
        <row r="79">
          <cell r="C79" t="str">
            <v>Census Tract 76, King County, Washington</v>
          </cell>
          <cell r="D79">
            <v>2331</v>
          </cell>
          <cell r="E79">
            <v>2227</v>
          </cell>
          <cell r="F79">
            <v>660</v>
          </cell>
          <cell r="G79">
            <v>1530</v>
          </cell>
          <cell r="H79">
            <v>416</v>
          </cell>
          <cell r="I79">
            <v>340</v>
          </cell>
          <cell r="J79">
            <v>240</v>
          </cell>
          <cell r="K79">
            <v>534</v>
          </cell>
          <cell r="L79">
            <v>37</v>
          </cell>
          <cell r="M79">
            <v>0</v>
          </cell>
          <cell r="N79">
            <v>0</v>
          </cell>
          <cell r="O79">
            <v>37</v>
          </cell>
          <cell r="P79">
            <v>104</v>
          </cell>
          <cell r="Q79">
            <v>27</v>
          </cell>
          <cell r="R79">
            <v>77</v>
          </cell>
          <cell r="S79">
            <v>2190</v>
          </cell>
          <cell r="T79">
            <v>141</v>
          </cell>
        </row>
        <row r="80">
          <cell r="C80" t="str">
            <v>Census Tract 77, King County, Washington</v>
          </cell>
          <cell r="D80">
            <v>1977</v>
          </cell>
          <cell r="E80">
            <v>1833</v>
          </cell>
          <cell r="F80">
            <v>588</v>
          </cell>
          <cell r="G80">
            <v>1202</v>
          </cell>
          <cell r="H80">
            <v>214</v>
          </cell>
          <cell r="I80">
            <v>316</v>
          </cell>
          <cell r="J80">
            <v>245</v>
          </cell>
          <cell r="K80">
            <v>427</v>
          </cell>
          <cell r="L80">
            <v>43</v>
          </cell>
          <cell r="M80">
            <v>5</v>
          </cell>
          <cell r="N80">
            <v>0</v>
          </cell>
          <cell r="O80">
            <v>38</v>
          </cell>
          <cell r="P80">
            <v>144</v>
          </cell>
          <cell r="Q80">
            <v>54</v>
          </cell>
          <cell r="R80">
            <v>90</v>
          </cell>
          <cell r="S80">
            <v>1790</v>
          </cell>
          <cell r="T80">
            <v>187</v>
          </cell>
        </row>
        <row r="81">
          <cell r="C81" t="str">
            <v>Census Tract 78, King County, Washington</v>
          </cell>
          <cell r="D81">
            <v>3620</v>
          </cell>
          <cell r="E81">
            <v>3366</v>
          </cell>
          <cell r="F81">
            <v>1230</v>
          </cell>
          <cell r="G81">
            <v>2099</v>
          </cell>
          <cell r="H81">
            <v>518</v>
          </cell>
          <cell r="I81">
            <v>685</v>
          </cell>
          <cell r="J81">
            <v>290</v>
          </cell>
          <cell r="K81">
            <v>606</v>
          </cell>
          <cell r="L81">
            <v>37</v>
          </cell>
          <cell r="M81">
            <v>0</v>
          </cell>
          <cell r="N81">
            <v>0</v>
          </cell>
          <cell r="O81">
            <v>37</v>
          </cell>
          <cell r="P81">
            <v>254</v>
          </cell>
          <cell r="Q81">
            <v>76</v>
          </cell>
          <cell r="R81">
            <v>178</v>
          </cell>
          <cell r="S81">
            <v>3329</v>
          </cell>
          <cell r="T81">
            <v>291</v>
          </cell>
        </row>
        <row r="82">
          <cell r="C82" t="str">
            <v>Census Tract 79, King County, Washington</v>
          </cell>
          <cell r="D82">
            <v>2443</v>
          </cell>
          <cell r="E82">
            <v>2293</v>
          </cell>
          <cell r="F82">
            <v>565</v>
          </cell>
          <cell r="G82">
            <v>1652</v>
          </cell>
          <cell r="H82">
            <v>458</v>
          </cell>
          <cell r="I82">
            <v>371</v>
          </cell>
          <cell r="J82">
            <v>205</v>
          </cell>
          <cell r="K82">
            <v>618</v>
          </cell>
          <cell r="L82">
            <v>76</v>
          </cell>
          <cell r="M82">
            <v>0</v>
          </cell>
          <cell r="N82">
            <v>0</v>
          </cell>
          <cell r="O82">
            <v>76</v>
          </cell>
          <cell r="P82">
            <v>150</v>
          </cell>
          <cell r="Q82">
            <v>105</v>
          </cell>
          <cell r="R82">
            <v>45</v>
          </cell>
          <cell r="S82">
            <v>2217</v>
          </cell>
          <cell r="T82">
            <v>226</v>
          </cell>
        </row>
        <row r="83">
          <cell r="C83" t="str">
            <v>Census Tract 80.01, King County, Washington</v>
          </cell>
          <cell r="D83">
            <v>2464</v>
          </cell>
          <cell r="E83">
            <v>2249</v>
          </cell>
          <cell r="F83">
            <v>655</v>
          </cell>
          <cell r="G83">
            <v>1564</v>
          </cell>
          <cell r="H83">
            <v>367</v>
          </cell>
          <cell r="I83">
            <v>488</v>
          </cell>
          <cell r="J83">
            <v>249</v>
          </cell>
          <cell r="K83">
            <v>460</v>
          </cell>
          <cell r="L83">
            <v>30</v>
          </cell>
          <cell r="M83">
            <v>0</v>
          </cell>
          <cell r="N83">
            <v>0</v>
          </cell>
          <cell r="O83">
            <v>30</v>
          </cell>
          <cell r="P83">
            <v>215</v>
          </cell>
          <cell r="Q83">
            <v>68</v>
          </cell>
          <cell r="R83">
            <v>147</v>
          </cell>
          <cell r="S83">
            <v>2219</v>
          </cell>
          <cell r="T83">
            <v>245</v>
          </cell>
        </row>
        <row r="84">
          <cell r="C84" t="str">
            <v>Census Tract 80.02, King County, Washington</v>
          </cell>
          <cell r="D84">
            <v>1900</v>
          </cell>
          <cell r="E84">
            <v>1817</v>
          </cell>
          <cell r="F84">
            <v>531</v>
          </cell>
          <cell r="G84">
            <v>1222</v>
          </cell>
          <cell r="H84">
            <v>268</v>
          </cell>
          <cell r="I84">
            <v>304</v>
          </cell>
          <cell r="J84">
            <v>267</v>
          </cell>
          <cell r="K84">
            <v>383</v>
          </cell>
          <cell r="L84">
            <v>64</v>
          </cell>
          <cell r="M84">
            <v>0</v>
          </cell>
          <cell r="N84">
            <v>18</v>
          </cell>
          <cell r="O84">
            <v>46</v>
          </cell>
          <cell r="P84">
            <v>83</v>
          </cell>
          <cell r="Q84">
            <v>32</v>
          </cell>
          <cell r="R84">
            <v>51</v>
          </cell>
          <cell r="S84">
            <v>1753</v>
          </cell>
          <cell r="T84">
            <v>147</v>
          </cell>
        </row>
        <row r="85">
          <cell r="C85" t="str">
            <v>Census Tract 81, King County, Washington</v>
          </cell>
          <cell r="D85">
            <v>2399</v>
          </cell>
          <cell r="E85">
            <v>2209</v>
          </cell>
          <cell r="F85">
            <v>558</v>
          </cell>
          <cell r="G85">
            <v>1641</v>
          </cell>
          <cell r="H85">
            <v>289</v>
          </cell>
          <cell r="I85">
            <v>515</v>
          </cell>
          <cell r="J85">
            <v>343</v>
          </cell>
          <cell r="K85">
            <v>494</v>
          </cell>
          <cell r="L85">
            <v>10</v>
          </cell>
          <cell r="M85">
            <v>0</v>
          </cell>
          <cell r="N85">
            <v>0</v>
          </cell>
          <cell r="O85">
            <v>10</v>
          </cell>
          <cell r="P85">
            <v>190</v>
          </cell>
          <cell r="Q85">
            <v>102</v>
          </cell>
          <cell r="R85">
            <v>88</v>
          </cell>
          <cell r="S85">
            <v>2199</v>
          </cell>
          <cell r="T85">
            <v>200</v>
          </cell>
        </row>
        <row r="86">
          <cell r="C86" t="str">
            <v>Census Tract 82, King County, Washington</v>
          </cell>
          <cell r="D86">
            <v>2186</v>
          </cell>
          <cell r="E86">
            <v>2028</v>
          </cell>
          <cell r="F86">
            <v>675</v>
          </cell>
          <cell r="G86">
            <v>1353</v>
          </cell>
          <cell r="H86">
            <v>312</v>
          </cell>
          <cell r="I86">
            <v>424</v>
          </cell>
          <cell r="J86">
            <v>166</v>
          </cell>
          <cell r="K86">
            <v>451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158</v>
          </cell>
          <cell r="Q86">
            <v>82</v>
          </cell>
          <cell r="R86">
            <v>76</v>
          </cell>
          <cell r="S86">
            <v>2028</v>
          </cell>
          <cell r="T86">
            <v>158</v>
          </cell>
        </row>
        <row r="87">
          <cell r="C87" t="str">
            <v>Census Tract 83, King County, Washington</v>
          </cell>
          <cell r="D87">
            <v>1766</v>
          </cell>
          <cell r="E87">
            <v>1622</v>
          </cell>
          <cell r="F87">
            <v>471</v>
          </cell>
          <cell r="G87">
            <v>1078</v>
          </cell>
          <cell r="H87">
            <v>183</v>
          </cell>
          <cell r="I87">
            <v>373</v>
          </cell>
          <cell r="J87">
            <v>206</v>
          </cell>
          <cell r="K87">
            <v>316</v>
          </cell>
          <cell r="L87">
            <v>73</v>
          </cell>
          <cell r="M87">
            <v>0</v>
          </cell>
          <cell r="N87">
            <v>0</v>
          </cell>
          <cell r="O87">
            <v>73</v>
          </cell>
          <cell r="P87">
            <v>144</v>
          </cell>
          <cell r="Q87">
            <v>90</v>
          </cell>
          <cell r="R87">
            <v>54</v>
          </cell>
          <cell r="S87">
            <v>1549</v>
          </cell>
          <cell r="T87">
            <v>217</v>
          </cell>
        </row>
        <row r="88">
          <cell r="C88" t="str">
            <v>Census Tract 84, King County, Washington</v>
          </cell>
          <cell r="D88">
            <v>2547</v>
          </cell>
          <cell r="E88">
            <v>2351</v>
          </cell>
          <cell r="F88">
            <v>666</v>
          </cell>
          <cell r="G88">
            <v>1639</v>
          </cell>
          <cell r="H88">
            <v>274</v>
          </cell>
          <cell r="I88">
            <v>479</v>
          </cell>
          <cell r="J88">
            <v>204</v>
          </cell>
          <cell r="K88">
            <v>682</v>
          </cell>
          <cell r="L88">
            <v>46</v>
          </cell>
          <cell r="M88">
            <v>0</v>
          </cell>
          <cell r="N88">
            <v>0</v>
          </cell>
          <cell r="O88">
            <v>46</v>
          </cell>
          <cell r="P88">
            <v>196</v>
          </cell>
          <cell r="Q88">
            <v>107</v>
          </cell>
          <cell r="R88">
            <v>89</v>
          </cell>
          <cell r="S88">
            <v>2305</v>
          </cell>
          <cell r="T88">
            <v>242</v>
          </cell>
        </row>
        <row r="89">
          <cell r="C89" t="str">
            <v>Census Tract 85, King County, Washington</v>
          </cell>
          <cell r="D89">
            <v>2980</v>
          </cell>
          <cell r="E89">
            <v>2923</v>
          </cell>
          <cell r="F89">
            <v>1225</v>
          </cell>
          <cell r="G89">
            <v>1687</v>
          </cell>
          <cell r="H89">
            <v>160</v>
          </cell>
          <cell r="I89">
            <v>243</v>
          </cell>
          <cell r="J89">
            <v>532</v>
          </cell>
          <cell r="K89">
            <v>752</v>
          </cell>
          <cell r="L89">
            <v>11</v>
          </cell>
          <cell r="M89">
            <v>0</v>
          </cell>
          <cell r="N89">
            <v>0</v>
          </cell>
          <cell r="O89">
            <v>11</v>
          </cell>
          <cell r="P89">
            <v>57</v>
          </cell>
          <cell r="Q89">
            <v>27</v>
          </cell>
          <cell r="R89">
            <v>30</v>
          </cell>
          <cell r="S89">
            <v>2912</v>
          </cell>
          <cell r="T89">
            <v>68</v>
          </cell>
        </row>
        <row r="90">
          <cell r="C90" t="str">
            <v>Census Tract 86, King County, Washington</v>
          </cell>
          <cell r="D90">
            <v>2245</v>
          </cell>
          <cell r="E90">
            <v>2123</v>
          </cell>
          <cell r="F90">
            <v>757</v>
          </cell>
          <cell r="G90">
            <v>1327</v>
          </cell>
          <cell r="H90">
            <v>182</v>
          </cell>
          <cell r="I90">
            <v>254</v>
          </cell>
          <cell r="J90">
            <v>177</v>
          </cell>
          <cell r="K90">
            <v>714</v>
          </cell>
          <cell r="L90">
            <v>39</v>
          </cell>
          <cell r="M90">
            <v>0</v>
          </cell>
          <cell r="N90">
            <v>0</v>
          </cell>
          <cell r="O90">
            <v>39</v>
          </cell>
          <cell r="P90">
            <v>122</v>
          </cell>
          <cell r="Q90">
            <v>18</v>
          </cell>
          <cell r="R90">
            <v>104</v>
          </cell>
          <cell r="S90">
            <v>2084</v>
          </cell>
          <cell r="T90">
            <v>161</v>
          </cell>
        </row>
        <row r="91">
          <cell r="C91" t="str">
            <v>Census Tract 87, King County, Washington</v>
          </cell>
          <cell r="D91">
            <v>1369</v>
          </cell>
          <cell r="E91">
            <v>1337</v>
          </cell>
          <cell r="F91">
            <v>520</v>
          </cell>
          <cell r="G91">
            <v>791</v>
          </cell>
          <cell r="H91">
            <v>102</v>
          </cell>
          <cell r="I91">
            <v>220</v>
          </cell>
          <cell r="J91">
            <v>142</v>
          </cell>
          <cell r="K91">
            <v>327</v>
          </cell>
          <cell r="L91">
            <v>26</v>
          </cell>
          <cell r="M91">
            <v>0</v>
          </cell>
          <cell r="N91">
            <v>0</v>
          </cell>
          <cell r="O91">
            <v>26</v>
          </cell>
          <cell r="P91">
            <v>32</v>
          </cell>
          <cell r="Q91">
            <v>15</v>
          </cell>
          <cell r="R91">
            <v>17</v>
          </cell>
          <cell r="S91">
            <v>1311</v>
          </cell>
          <cell r="T91">
            <v>58</v>
          </cell>
        </row>
        <row r="92">
          <cell r="C92" t="str">
            <v>Census Tract 88, King County, Washington</v>
          </cell>
          <cell r="D92">
            <v>1198</v>
          </cell>
          <cell r="E92">
            <v>1125</v>
          </cell>
          <cell r="F92">
            <v>362</v>
          </cell>
          <cell r="G92">
            <v>757</v>
          </cell>
          <cell r="H92">
            <v>126</v>
          </cell>
          <cell r="I92">
            <v>199</v>
          </cell>
          <cell r="J92">
            <v>143</v>
          </cell>
          <cell r="K92">
            <v>289</v>
          </cell>
          <cell r="L92">
            <v>6</v>
          </cell>
          <cell r="M92">
            <v>0</v>
          </cell>
          <cell r="N92">
            <v>0</v>
          </cell>
          <cell r="O92">
            <v>6</v>
          </cell>
          <cell r="P92">
            <v>73</v>
          </cell>
          <cell r="Q92">
            <v>25</v>
          </cell>
          <cell r="R92">
            <v>48</v>
          </cell>
          <cell r="S92">
            <v>1119</v>
          </cell>
          <cell r="T92">
            <v>79</v>
          </cell>
        </row>
        <row r="93">
          <cell r="C93" t="str">
            <v>Census Tract 89, King County, Washington</v>
          </cell>
          <cell r="D93">
            <v>1910</v>
          </cell>
          <cell r="E93">
            <v>1787</v>
          </cell>
          <cell r="F93">
            <v>799</v>
          </cell>
          <cell r="G93">
            <v>972</v>
          </cell>
          <cell r="H93">
            <v>263</v>
          </cell>
          <cell r="I93">
            <v>280</v>
          </cell>
          <cell r="J93">
            <v>125</v>
          </cell>
          <cell r="K93">
            <v>304</v>
          </cell>
          <cell r="L93">
            <v>16</v>
          </cell>
          <cell r="M93">
            <v>5</v>
          </cell>
          <cell r="N93">
            <v>0</v>
          </cell>
          <cell r="O93">
            <v>11</v>
          </cell>
          <cell r="P93">
            <v>123</v>
          </cell>
          <cell r="Q93">
            <v>76</v>
          </cell>
          <cell r="R93">
            <v>47</v>
          </cell>
          <cell r="S93">
            <v>1771</v>
          </cell>
          <cell r="T93">
            <v>139</v>
          </cell>
        </row>
        <row r="94">
          <cell r="C94" t="str">
            <v>Census Tract 90, King County, Washington</v>
          </cell>
          <cell r="D94">
            <v>232</v>
          </cell>
          <cell r="E94">
            <v>217</v>
          </cell>
          <cell r="F94">
            <v>90</v>
          </cell>
          <cell r="G94">
            <v>127</v>
          </cell>
          <cell r="H94">
            <v>24</v>
          </cell>
          <cell r="I94">
            <v>40</v>
          </cell>
          <cell r="J94">
            <v>19</v>
          </cell>
          <cell r="K94">
            <v>44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15</v>
          </cell>
          <cell r="Q94">
            <v>11</v>
          </cell>
          <cell r="R94">
            <v>4</v>
          </cell>
          <cell r="S94">
            <v>217</v>
          </cell>
          <cell r="T94">
            <v>15</v>
          </cell>
        </row>
        <row r="95">
          <cell r="C95" t="str">
            <v>Census Tract 91, King County, Washington</v>
          </cell>
          <cell r="D95">
            <v>269</v>
          </cell>
          <cell r="E95">
            <v>259</v>
          </cell>
          <cell r="F95">
            <v>38</v>
          </cell>
          <cell r="G95">
            <v>221</v>
          </cell>
          <cell r="H95">
            <v>16</v>
          </cell>
          <cell r="I95">
            <v>62</v>
          </cell>
          <cell r="J95">
            <v>84</v>
          </cell>
          <cell r="K95">
            <v>59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10</v>
          </cell>
          <cell r="Q95">
            <v>0</v>
          </cell>
          <cell r="R95">
            <v>10</v>
          </cell>
          <cell r="S95">
            <v>259</v>
          </cell>
          <cell r="T95">
            <v>10</v>
          </cell>
        </row>
        <row r="96">
          <cell r="C96" t="str">
            <v>Census Tract 92, King County, Washington</v>
          </cell>
          <cell r="D96">
            <v>844</v>
          </cell>
          <cell r="E96">
            <v>794</v>
          </cell>
          <cell r="F96">
            <v>294</v>
          </cell>
          <cell r="G96">
            <v>477</v>
          </cell>
          <cell r="H96">
            <v>140</v>
          </cell>
          <cell r="I96">
            <v>119</v>
          </cell>
          <cell r="J96">
            <v>98</v>
          </cell>
          <cell r="K96">
            <v>120</v>
          </cell>
          <cell r="L96">
            <v>23</v>
          </cell>
          <cell r="M96">
            <v>0</v>
          </cell>
          <cell r="N96">
            <v>0</v>
          </cell>
          <cell r="O96">
            <v>23</v>
          </cell>
          <cell r="P96">
            <v>50</v>
          </cell>
          <cell r="Q96">
            <v>25</v>
          </cell>
          <cell r="R96">
            <v>25</v>
          </cell>
          <cell r="S96">
            <v>771</v>
          </cell>
          <cell r="T96">
            <v>73</v>
          </cell>
        </row>
        <row r="97">
          <cell r="C97" t="str">
            <v>Census Tract 93, King County, Washington</v>
          </cell>
          <cell r="D97">
            <v>1156</v>
          </cell>
          <cell r="E97">
            <v>1111</v>
          </cell>
          <cell r="F97">
            <v>444</v>
          </cell>
          <cell r="G97">
            <v>640</v>
          </cell>
          <cell r="H97">
            <v>104</v>
          </cell>
          <cell r="I97">
            <v>147</v>
          </cell>
          <cell r="J97">
            <v>107</v>
          </cell>
          <cell r="K97">
            <v>282</v>
          </cell>
          <cell r="L97">
            <v>27</v>
          </cell>
          <cell r="M97">
            <v>15</v>
          </cell>
          <cell r="N97">
            <v>0</v>
          </cell>
          <cell r="O97">
            <v>12</v>
          </cell>
          <cell r="P97">
            <v>45</v>
          </cell>
          <cell r="Q97">
            <v>23</v>
          </cell>
          <cell r="R97">
            <v>22</v>
          </cell>
          <cell r="S97">
            <v>1084</v>
          </cell>
          <cell r="T97">
            <v>72</v>
          </cell>
        </row>
        <row r="98">
          <cell r="C98" t="str">
            <v>Census Tract 94, King County, Washington</v>
          </cell>
          <cell r="D98">
            <v>971</v>
          </cell>
          <cell r="E98">
            <v>940</v>
          </cell>
          <cell r="F98">
            <v>355</v>
          </cell>
          <cell r="G98">
            <v>554</v>
          </cell>
          <cell r="H98">
            <v>66</v>
          </cell>
          <cell r="I98">
            <v>222</v>
          </cell>
          <cell r="J98">
            <v>127</v>
          </cell>
          <cell r="K98">
            <v>139</v>
          </cell>
          <cell r="L98">
            <v>31</v>
          </cell>
          <cell r="M98">
            <v>0</v>
          </cell>
          <cell r="N98">
            <v>13</v>
          </cell>
          <cell r="O98">
            <v>18</v>
          </cell>
          <cell r="P98">
            <v>31</v>
          </cell>
          <cell r="Q98">
            <v>26</v>
          </cell>
          <cell r="R98">
            <v>5</v>
          </cell>
          <cell r="S98">
            <v>909</v>
          </cell>
          <cell r="T98">
            <v>62</v>
          </cell>
        </row>
        <row r="99">
          <cell r="C99" t="str">
            <v>Census Tract 95, King County, Washington</v>
          </cell>
          <cell r="D99">
            <v>2943</v>
          </cell>
          <cell r="E99">
            <v>2850</v>
          </cell>
          <cell r="F99">
            <v>1271</v>
          </cell>
          <cell r="G99">
            <v>1531</v>
          </cell>
          <cell r="H99">
            <v>409</v>
          </cell>
          <cell r="I99">
            <v>417</v>
          </cell>
          <cell r="J99">
            <v>203</v>
          </cell>
          <cell r="K99">
            <v>502</v>
          </cell>
          <cell r="L99">
            <v>48</v>
          </cell>
          <cell r="M99">
            <v>9</v>
          </cell>
          <cell r="N99">
            <v>0</v>
          </cell>
          <cell r="O99">
            <v>39</v>
          </cell>
          <cell r="P99">
            <v>93</v>
          </cell>
          <cell r="Q99">
            <v>21</v>
          </cell>
          <cell r="R99">
            <v>72</v>
          </cell>
          <cell r="S99">
            <v>2802</v>
          </cell>
          <cell r="T99">
            <v>141</v>
          </cell>
        </row>
        <row r="100">
          <cell r="C100" t="str">
            <v>Census Tract 96, King County, Washington</v>
          </cell>
          <cell r="D100">
            <v>4408</v>
          </cell>
          <cell r="E100">
            <v>4167</v>
          </cell>
          <cell r="F100">
            <v>1837</v>
          </cell>
          <cell r="G100">
            <v>2232</v>
          </cell>
          <cell r="H100">
            <v>464</v>
          </cell>
          <cell r="I100">
            <v>753</v>
          </cell>
          <cell r="J100">
            <v>206</v>
          </cell>
          <cell r="K100">
            <v>809</v>
          </cell>
          <cell r="L100">
            <v>98</v>
          </cell>
          <cell r="M100">
            <v>15</v>
          </cell>
          <cell r="N100">
            <v>0</v>
          </cell>
          <cell r="O100">
            <v>83</v>
          </cell>
          <cell r="P100">
            <v>241</v>
          </cell>
          <cell r="Q100">
            <v>123</v>
          </cell>
          <cell r="R100">
            <v>118</v>
          </cell>
          <cell r="S100">
            <v>4069</v>
          </cell>
          <cell r="T100">
            <v>339</v>
          </cell>
        </row>
        <row r="101">
          <cell r="C101" t="str">
            <v>Census Tract 97.01, King County, Washington</v>
          </cell>
          <cell r="D101">
            <v>4683</v>
          </cell>
          <cell r="E101">
            <v>4475</v>
          </cell>
          <cell r="F101">
            <v>2166</v>
          </cell>
          <cell r="G101">
            <v>2253</v>
          </cell>
          <cell r="H101">
            <v>314</v>
          </cell>
          <cell r="I101">
            <v>786</v>
          </cell>
          <cell r="J101">
            <v>352</v>
          </cell>
          <cell r="K101">
            <v>801</v>
          </cell>
          <cell r="L101">
            <v>56</v>
          </cell>
          <cell r="M101">
            <v>0</v>
          </cell>
          <cell r="N101">
            <v>8</v>
          </cell>
          <cell r="O101">
            <v>48</v>
          </cell>
          <cell r="P101">
            <v>208</v>
          </cell>
          <cell r="Q101">
            <v>121</v>
          </cell>
          <cell r="R101">
            <v>87</v>
          </cell>
          <cell r="S101">
            <v>4419</v>
          </cell>
          <cell r="T101">
            <v>264</v>
          </cell>
        </row>
        <row r="102">
          <cell r="C102" t="str">
            <v>Census Tract 97.02, King County, Washington</v>
          </cell>
          <cell r="D102">
            <v>4231</v>
          </cell>
          <cell r="E102">
            <v>3986</v>
          </cell>
          <cell r="F102">
            <v>2112</v>
          </cell>
          <cell r="G102">
            <v>1807</v>
          </cell>
          <cell r="H102">
            <v>278</v>
          </cell>
          <cell r="I102">
            <v>696</v>
          </cell>
          <cell r="J102">
            <v>249</v>
          </cell>
          <cell r="K102">
            <v>584</v>
          </cell>
          <cell r="L102">
            <v>67</v>
          </cell>
          <cell r="M102">
            <v>0</v>
          </cell>
          <cell r="N102">
            <v>0</v>
          </cell>
          <cell r="O102">
            <v>67</v>
          </cell>
          <cell r="P102">
            <v>245</v>
          </cell>
          <cell r="Q102">
            <v>147</v>
          </cell>
          <cell r="R102">
            <v>98</v>
          </cell>
          <cell r="S102">
            <v>3919</v>
          </cell>
          <cell r="T102">
            <v>312</v>
          </cell>
        </row>
        <row r="103">
          <cell r="C103" t="str">
            <v>Census Tract 98, King County, Washington</v>
          </cell>
          <cell r="D103">
            <v>4985</v>
          </cell>
          <cell r="E103">
            <v>4756</v>
          </cell>
          <cell r="F103">
            <v>2544</v>
          </cell>
          <cell r="G103">
            <v>2133</v>
          </cell>
          <cell r="H103">
            <v>326</v>
          </cell>
          <cell r="I103">
            <v>831</v>
          </cell>
          <cell r="J103">
            <v>245</v>
          </cell>
          <cell r="K103">
            <v>731</v>
          </cell>
          <cell r="L103">
            <v>79</v>
          </cell>
          <cell r="M103">
            <v>0</v>
          </cell>
          <cell r="N103">
            <v>0</v>
          </cell>
          <cell r="O103">
            <v>79</v>
          </cell>
          <cell r="P103">
            <v>229</v>
          </cell>
          <cell r="Q103">
            <v>95</v>
          </cell>
          <cell r="R103">
            <v>134</v>
          </cell>
          <cell r="S103">
            <v>4677</v>
          </cell>
          <cell r="T103">
            <v>308</v>
          </cell>
        </row>
        <row r="104">
          <cell r="C104" t="str">
            <v>Census Tract 99, King County, Washington</v>
          </cell>
          <cell r="D104">
            <v>2997</v>
          </cell>
          <cell r="E104">
            <v>2843</v>
          </cell>
          <cell r="F104">
            <v>1388</v>
          </cell>
          <cell r="G104">
            <v>1437</v>
          </cell>
          <cell r="H104">
            <v>261</v>
          </cell>
          <cell r="I104">
            <v>485</v>
          </cell>
          <cell r="J104">
            <v>168</v>
          </cell>
          <cell r="K104">
            <v>523</v>
          </cell>
          <cell r="L104">
            <v>18</v>
          </cell>
          <cell r="M104">
            <v>10</v>
          </cell>
          <cell r="N104">
            <v>0</v>
          </cell>
          <cell r="O104">
            <v>8</v>
          </cell>
          <cell r="P104">
            <v>154</v>
          </cell>
          <cell r="Q104">
            <v>93</v>
          </cell>
          <cell r="R104">
            <v>61</v>
          </cell>
          <cell r="S104">
            <v>2825</v>
          </cell>
          <cell r="T104">
            <v>172</v>
          </cell>
        </row>
        <row r="105">
          <cell r="C105" t="str">
            <v>Census Tract 100, King County, Washington</v>
          </cell>
          <cell r="D105">
            <v>1852</v>
          </cell>
          <cell r="E105">
            <v>1772</v>
          </cell>
          <cell r="F105">
            <v>859</v>
          </cell>
          <cell r="G105">
            <v>882</v>
          </cell>
          <cell r="H105">
            <v>175</v>
          </cell>
          <cell r="I105">
            <v>224</v>
          </cell>
          <cell r="J105">
            <v>77</v>
          </cell>
          <cell r="K105">
            <v>406</v>
          </cell>
          <cell r="L105">
            <v>31</v>
          </cell>
          <cell r="M105">
            <v>0</v>
          </cell>
          <cell r="N105">
            <v>0</v>
          </cell>
          <cell r="O105">
            <v>31</v>
          </cell>
          <cell r="P105">
            <v>80</v>
          </cell>
          <cell r="Q105">
            <v>44</v>
          </cell>
          <cell r="R105">
            <v>36</v>
          </cell>
          <cell r="S105">
            <v>1741</v>
          </cell>
          <cell r="T105">
            <v>111</v>
          </cell>
        </row>
        <row r="106">
          <cell r="C106" t="str">
            <v>Census Tract 101, King County, Washington</v>
          </cell>
          <cell r="D106">
            <v>2085</v>
          </cell>
          <cell r="E106">
            <v>2003</v>
          </cell>
          <cell r="F106">
            <v>925</v>
          </cell>
          <cell r="G106">
            <v>1049</v>
          </cell>
          <cell r="H106">
            <v>214</v>
          </cell>
          <cell r="I106">
            <v>396</v>
          </cell>
          <cell r="J106">
            <v>139</v>
          </cell>
          <cell r="K106">
            <v>300</v>
          </cell>
          <cell r="L106">
            <v>29</v>
          </cell>
          <cell r="M106">
            <v>0</v>
          </cell>
          <cell r="N106">
            <v>0</v>
          </cell>
          <cell r="O106">
            <v>29</v>
          </cell>
          <cell r="P106">
            <v>82</v>
          </cell>
          <cell r="Q106">
            <v>47</v>
          </cell>
          <cell r="R106">
            <v>35</v>
          </cell>
          <cell r="S106">
            <v>1974</v>
          </cell>
          <cell r="T106">
            <v>111</v>
          </cell>
        </row>
        <row r="107">
          <cell r="C107" t="str">
            <v>Census Tract 102, King County, Washington</v>
          </cell>
          <cell r="D107">
            <v>2449</v>
          </cell>
          <cell r="E107">
            <v>2316</v>
          </cell>
          <cell r="F107">
            <v>1132</v>
          </cell>
          <cell r="G107">
            <v>1143</v>
          </cell>
          <cell r="H107">
            <v>185</v>
          </cell>
          <cell r="I107">
            <v>465</v>
          </cell>
          <cell r="J107">
            <v>125</v>
          </cell>
          <cell r="K107">
            <v>368</v>
          </cell>
          <cell r="L107">
            <v>41</v>
          </cell>
          <cell r="M107">
            <v>0</v>
          </cell>
          <cell r="N107">
            <v>0</v>
          </cell>
          <cell r="O107">
            <v>41</v>
          </cell>
          <cell r="P107">
            <v>133</v>
          </cell>
          <cell r="Q107">
            <v>70</v>
          </cell>
          <cell r="R107">
            <v>63</v>
          </cell>
          <cell r="S107">
            <v>2275</v>
          </cell>
          <cell r="T107">
            <v>174</v>
          </cell>
        </row>
        <row r="108">
          <cell r="C108" t="str">
            <v>Census Tract 103, King County, Washington</v>
          </cell>
          <cell r="D108">
            <v>1307</v>
          </cell>
          <cell r="E108">
            <v>1263</v>
          </cell>
          <cell r="F108">
            <v>441</v>
          </cell>
          <cell r="G108">
            <v>808</v>
          </cell>
          <cell r="H108">
            <v>158</v>
          </cell>
          <cell r="I108">
            <v>251</v>
          </cell>
          <cell r="J108">
            <v>112</v>
          </cell>
          <cell r="K108">
            <v>287</v>
          </cell>
          <cell r="L108">
            <v>14</v>
          </cell>
          <cell r="M108">
            <v>0</v>
          </cell>
          <cell r="N108">
            <v>0</v>
          </cell>
          <cell r="O108">
            <v>14</v>
          </cell>
          <cell r="P108">
            <v>44</v>
          </cell>
          <cell r="Q108">
            <v>18</v>
          </cell>
          <cell r="R108">
            <v>26</v>
          </cell>
          <cell r="S108">
            <v>1249</v>
          </cell>
          <cell r="T108">
            <v>58</v>
          </cell>
        </row>
        <row r="109">
          <cell r="C109" t="str">
            <v>Census Tract 104, King County, Washington</v>
          </cell>
          <cell r="D109">
            <v>1640</v>
          </cell>
          <cell r="E109">
            <v>1593</v>
          </cell>
          <cell r="F109">
            <v>852</v>
          </cell>
          <cell r="G109">
            <v>726</v>
          </cell>
          <cell r="H109">
            <v>109</v>
          </cell>
          <cell r="I109">
            <v>230</v>
          </cell>
          <cell r="J109">
            <v>89</v>
          </cell>
          <cell r="K109">
            <v>298</v>
          </cell>
          <cell r="L109">
            <v>15</v>
          </cell>
          <cell r="M109">
            <v>0</v>
          </cell>
          <cell r="N109">
            <v>0</v>
          </cell>
          <cell r="O109">
            <v>15</v>
          </cell>
          <cell r="P109">
            <v>47</v>
          </cell>
          <cell r="Q109">
            <v>27</v>
          </cell>
          <cell r="R109">
            <v>20</v>
          </cell>
          <cell r="S109">
            <v>1578</v>
          </cell>
          <cell r="T109">
            <v>62</v>
          </cell>
        </row>
        <row r="110">
          <cell r="C110" t="str">
            <v>Census Tract 105, King County, Washington</v>
          </cell>
          <cell r="D110">
            <v>4567</v>
          </cell>
          <cell r="E110">
            <v>4413</v>
          </cell>
          <cell r="F110">
            <v>1974</v>
          </cell>
          <cell r="G110">
            <v>2365</v>
          </cell>
          <cell r="H110">
            <v>319</v>
          </cell>
          <cell r="I110">
            <v>855</v>
          </cell>
          <cell r="J110">
            <v>334</v>
          </cell>
          <cell r="K110">
            <v>857</v>
          </cell>
          <cell r="L110">
            <v>74</v>
          </cell>
          <cell r="M110">
            <v>0</v>
          </cell>
          <cell r="N110">
            <v>0</v>
          </cell>
          <cell r="O110">
            <v>74</v>
          </cell>
          <cell r="P110">
            <v>154</v>
          </cell>
          <cell r="Q110">
            <v>51</v>
          </cell>
          <cell r="R110">
            <v>103</v>
          </cell>
          <cell r="S110">
            <v>4339</v>
          </cell>
          <cell r="T110">
            <v>228</v>
          </cell>
        </row>
        <row r="111">
          <cell r="C111" t="str">
            <v>Census Tract 106, King County, Washington</v>
          </cell>
          <cell r="D111">
            <v>6008</v>
          </cell>
          <cell r="E111">
            <v>5679</v>
          </cell>
          <cell r="F111">
            <v>2871</v>
          </cell>
          <cell r="G111">
            <v>2747</v>
          </cell>
          <cell r="H111">
            <v>541</v>
          </cell>
          <cell r="I111">
            <v>760</v>
          </cell>
          <cell r="J111">
            <v>379</v>
          </cell>
          <cell r="K111">
            <v>1067</v>
          </cell>
          <cell r="L111">
            <v>61</v>
          </cell>
          <cell r="M111">
            <v>0</v>
          </cell>
          <cell r="N111">
            <v>0</v>
          </cell>
          <cell r="O111">
            <v>61</v>
          </cell>
          <cell r="P111">
            <v>329</v>
          </cell>
          <cell r="Q111">
            <v>180</v>
          </cell>
          <cell r="R111">
            <v>149</v>
          </cell>
          <cell r="S111">
            <v>5618</v>
          </cell>
          <cell r="T111">
            <v>390</v>
          </cell>
        </row>
        <row r="112">
          <cell r="C112" t="str">
            <v>Census Tract 107, King County, Washington</v>
          </cell>
          <cell r="D112">
            <v>1759</v>
          </cell>
          <cell r="E112">
            <v>1668</v>
          </cell>
          <cell r="F112">
            <v>712</v>
          </cell>
          <cell r="G112">
            <v>917</v>
          </cell>
          <cell r="H112">
            <v>105</v>
          </cell>
          <cell r="I112">
            <v>213</v>
          </cell>
          <cell r="J112">
            <v>145</v>
          </cell>
          <cell r="K112">
            <v>454</v>
          </cell>
          <cell r="L112">
            <v>39</v>
          </cell>
          <cell r="M112">
            <v>0</v>
          </cell>
          <cell r="N112">
            <v>0</v>
          </cell>
          <cell r="O112">
            <v>39</v>
          </cell>
          <cell r="P112">
            <v>91</v>
          </cell>
          <cell r="Q112">
            <v>19</v>
          </cell>
          <cell r="R112">
            <v>72</v>
          </cell>
          <cell r="S112">
            <v>1629</v>
          </cell>
          <cell r="T112">
            <v>130</v>
          </cell>
        </row>
        <row r="113">
          <cell r="C113" t="str">
            <v>Census Tract 108, King County, Washington</v>
          </cell>
          <cell r="D113">
            <v>1968</v>
          </cell>
          <cell r="E113">
            <v>1892</v>
          </cell>
          <cell r="F113">
            <v>924</v>
          </cell>
          <cell r="G113">
            <v>952</v>
          </cell>
          <cell r="H113">
            <v>133</v>
          </cell>
          <cell r="I113">
            <v>349</v>
          </cell>
          <cell r="J113">
            <v>153</v>
          </cell>
          <cell r="K113">
            <v>317</v>
          </cell>
          <cell r="L113">
            <v>16</v>
          </cell>
          <cell r="M113">
            <v>0</v>
          </cell>
          <cell r="N113">
            <v>0</v>
          </cell>
          <cell r="O113">
            <v>16</v>
          </cell>
          <cell r="P113">
            <v>76</v>
          </cell>
          <cell r="Q113">
            <v>21</v>
          </cell>
          <cell r="R113">
            <v>55</v>
          </cell>
          <cell r="S113">
            <v>1876</v>
          </cell>
          <cell r="T113">
            <v>92</v>
          </cell>
        </row>
        <row r="114">
          <cell r="C114" t="str">
            <v>Census Tract 109, King County, Washington</v>
          </cell>
          <cell r="D114">
            <v>618</v>
          </cell>
          <cell r="E114">
            <v>588</v>
          </cell>
          <cell r="F114">
            <v>291</v>
          </cell>
          <cell r="G114">
            <v>297</v>
          </cell>
          <cell r="H114">
            <v>64</v>
          </cell>
          <cell r="I114">
            <v>97</v>
          </cell>
          <cell r="J114">
            <v>28</v>
          </cell>
          <cell r="K114">
            <v>108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30</v>
          </cell>
          <cell r="Q114">
            <v>21</v>
          </cell>
          <cell r="R114">
            <v>9</v>
          </cell>
          <cell r="S114">
            <v>588</v>
          </cell>
          <cell r="T114">
            <v>30</v>
          </cell>
        </row>
        <row r="115">
          <cell r="C115" t="str">
            <v>Census Tract 110, King County, Washington</v>
          </cell>
          <cell r="D115">
            <v>568</v>
          </cell>
          <cell r="E115">
            <v>510</v>
          </cell>
          <cell r="F115">
            <v>280</v>
          </cell>
          <cell r="G115">
            <v>230</v>
          </cell>
          <cell r="H115">
            <v>43</v>
          </cell>
          <cell r="I115">
            <v>79</v>
          </cell>
          <cell r="J115">
            <v>55</v>
          </cell>
          <cell r="K115">
            <v>53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58</v>
          </cell>
          <cell r="Q115">
            <v>22</v>
          </cell>
          <cell r="R115">
            <v>36</v>
          </cell>
          <cell r="S115">
            <v>510</v>
          </cell>
          <cell r="T115">
            <v>58</v>
          </cell>
        </row>
        <row r="116">
          <cell r="C116" t="str">
            <v>Census Tract 111.01, King County, Washington</v>
          </cell>
          <cell r="D116">
            <v>488</v>
          </cell>
          <cell r="E116">
            <v>441</v>
          </cell>
          <cell r="F116">
            <v>208</v>
          </cell>
          <cell r="G116">
            <v>233</v>
          </cell>
          <cell r="H116">
            <v>27</v>
          </cell>
          <cell r="I116">
            <v>92</v>
          </cell>
          <cell r="J116">
            <v>25</v>
          </cell>
          <cell r="K116">
            <v>89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47</v>
          </cell>
          <cell r="Q116">
            <v>21</v>
          </cell>
          <cell r="R116">
            <v>26</v>
          </cell>
          <cell r="S116">
            <v>441</v>
          </cell>
          <cell r="T116">
            <v>47</v>
          </cell>
        </row>
        <row r="117">
          <cell r="C117" t="str">
            <v>Census Tract 111.02, King County, Washington</v>
          </cell>
          <cell r="D117">
            <v>1558</v>
          </cell>
          <cell r="E117">
            <v>1449</v>
          </cell>
          <cell r="F117">
            <v>587</v>
          </cell>
          <cell r="G117">
            <v>853</v>
          </cell>
          <cell r="H117">
            <v>216</v>
          </cell>
          <cell r="I117">
            <v>179</v>
          </cell>
          <cell r="J117">
            <v>138</v>
          </cell>
          <cell r="K117">
            <v>320</v>
          </cell>
          <cell r="L117">
            <v>9</v>
          </cell>
          <cell r="M117">
            <v>0</v>
          </cell>
          <cell r="N117">
            <v>0</v>
          </cell>
          <cell r="O117">
            <v>9</v>
          </cell>
          <cell r="P117">
            <v>109</v>
          </cell>
          <cell r="Q117">
            <v>80</v>
          </cell>
          <cell r="R117">
            <v>29</v>
          </cell>
          <cell r="S117">
            <v>1440</v>
          </cell>
          <cell r="T117">
            <v>118</v>
          </cell>
        </row>
        <row r="118">
          <cell r="C118" t="str">
            <v>Census Tract 112, King County, Washington</v>
          </cell>
          <cell r="D118">
            <v>1254</v>
          </cell>
          <cell r="E118">
            <v>1242</v>
          </cell>
          <cell r="F118">
            <v>726</v>
          </cell>
          <cell r="G118">
            <v>511</v>
          </cell>
          <cell r="H118">
            <v>42</v>
          </cell>
          <cell r="I118">
            <v>218</v>
          </cell>
          <cell r="J118">
            <v>48</v>
          </cell>
          <cell r="K118">
            <v>203</v>
          </cell>
          <cell r="L118">
            <v>5</v>
          </cell>
          <cell r="M118">
            <v>0</v>
          </cell>
          <cell r="N118">
            <v>0</v>
          </cell>
          <cell r="O118">
            <v>5</v>
          </cell>
          <cell r="P118">
            <v>12</v>
          </cell>
          <cell r="Q118">
            <v>0</v>
          </cell>
          <cell r="R118">
            <v>12</v>
          </cell>
          <cell r="S118">
            <v>1237</v>
          </cell>
          <cell r="T118">
            <v>17</v>
          </cell>
        </row>
        <row r="119">
          <cell r="C119" t="str">
            <v>Census Tract 113, King County, Washington</v>
          </cell>
          <cell r="D119">
            <v>3113</v>
          </cell>
          <cell r="E119">
            <v>3010</v>
          </cell>
          <cell r="F119">
            <v>1492</v>
          </cell>
          <cell r="G119">
            <v>1484</v>
          </cell>
          <cell r="H119">
            <v>232</v>
          </cell>
          <cell r="I119">
            <v>469</v>
          </cell>
          <cell r="J119">
            <v>199</v>
          </cell>
          <cell r="K119">
            <v>584</v>
          </cell>
          <cell r="L119">
            <v>34</v>
          </cell>
          <cell r="M119">
            <v>0</v>
          </cell>
          <cell r="N119">
            <v>0</v>
          </cell>
          <cell r="O119">
            <v>34</v>
          </cell>
          <cell r="P119">
            <v>103</v>
          </cell>
          <cell r="Q119">
            <v>78</v>
          </cell>
          <cell r="R119">
            <v>25</v>
          </cell>
          <cell r="S119">
            <v>2976</v>
          </cell>
          <cell r="T119">
            <v>137</v>
          </cell>
        </row>
        <row r="120">
          <cell r="C120" t="str">
            <v>Census Tract 114, King County, Washington</v>
          </cell>
          <cell r="D120">
            <v>3798</v>
          </cell>
          <cell r="E120">
            <v>3542</v>
          </cell>
          <cell r="F120">
            <v>1866</v>
          </cell>
          <cell r="G120">
            <v>1630</v>
          </cell>
          <cell r="H120">
            <v>276</v>
          </cell>
          <cell r="I120">
            <v>450</v>
          </cell>
          <cell r="J120">
            <v>139</v>
          </cell>
          <cell r="K120">
            <v>765</v>
          </cell>
          <cell r="L120">
            <v>46</v>
          </cell>
          <cell r="M120">
            <v>0</v>
          </cell>
          <cell r="N120">
            <v>0</v>
          </cell>
          <cell r="O120">
            <v>46</v>
          </cell>
          <cell r="P120">
            <v>256</v>
          </cell>
          <cell r="Q120">
            <v>120</v>
          </cell>
          <cell r="R120">
            <v>136</v>
          </cell>
          <cell r="S120">
            <v>3496</v>
          </cell>
          <cell r="T120">
            <v>302</v>
          </cell>
        </row>
        <row r="121">
          <cell r="C121" t="str">
            <v>Census Tract 115, King County, Washington</v>
          </cell>
          <cell r="D121">
            <v>3294</v>
          </cell>
          <cell r="E121">
            <v>3163</v>
          </cell>
          <cell r="F121">
            <v>1759</v>
          </cell>
          <cell r="G121">
            <v>1390</v>
          </cell>
          <cell r="H121">
            <v>165</v>
          </cell>
          <cell r="I121">
            <v>400</v>
          </cell>
          <cell r="J121">
            <v>183</v>
          </cell>
          <cell r="K121">
            <v>642</v>
          </cell>
          <cell r="L121">
            <v>14</v>
          </cell>
          <cell r="M121">
            <v>0</v>
          </cell>
          <cell r="N121">
            <v>0</v>
          </cell>
          <cell r="O121">
            <v>14</v>
          </cell>
          <cell r="P121">
            <v>131</v>
          </cell>
          <cell r="Q121">
            <v>63</v>
          </cell>
          <cell r="R121">
            <v>68</v>
          </cell>
          <cell r="S121">
            <v>3149</v>
          </cell>
          <cell r="T121">
            <v>145</v>
          </cell>
        </row>
        <row r="122">
          <cell r="C122" t="str">
            <v>Census Tract 116, King County, Washington</v>
          </cell>
          <cell r="D122">
            <v>5411</v>
          </cell>
          <cell r="E122">
            <v>5174</v>
          </cell>
          <cell r="F122">
            <v>2751</v>
          </cell>
          <cell r="G122">
            <v>2324</v>
          </cell>
          <cell r="H122">
            <v>423</v>
          </cell>
          <cell r="I122">
            <v>773</v>
          </cell>
          <cell r="J122">
            <v>331</v>
          </cell>
          <cell r="K122">
            <v>797</v>
          </cell>
          <cell r="L122">
            <v>99</v>
          </cell>
          <cell r="M122">
            <v>0</v>
          </cell>
          <cell r="N122">
            <v>0</v>
          </cell>
          <cell r="O122">
            <v>99</v>
          </cell>
          <cell r="P122">
            <v>237</v>
          </cell>
          <cell r="Q122">
            <v>105</v>
          </cell>
          <cell r="R122">
            <v>132</v>
          </cell>
          <cell r="S122">
            <v>5075</v>
          </cell>
          <cell r="T122">
            <v>336</v>
          </cell>
        </row>
        <row r="123">
          <cell r="C123" t="str">
            <v>Census Tract 117, King County, Washington</v>
          </cell>
          <cell r="D123">
            <v>687</v>
          </cell>
          <cell r="E123">
            <v>651</v>
          </cell>
          <cell r="F123">
            <v>356</v>
          </cell>
          <cell r="G123">
            <v>287</v>
          </cell>
          <cell r="H123">
            <v>12</v>
          </cell>
          <cell r="I123">
            <v>152</v>
          </cell>
          <cell r="J123">
            <v>23</v>
          </cell>
          <cell r="K123">
            <v>100</v>
          </cell>
          <cell r="L123">
            <v>8</v>
          </cell>
          <cell r="M123">
            <v>8</v>
          </cell>
          <cell r="N123">
            <v>0</v>
          </cell>
          <cell r="O123">
            <v>0</v>
          </cell>
          <cell r="P123">
            <v>36</v>
          </cell>
          <cell r="Q123">
            <v>16</v>
          </cell>
          <cell r="R123">
            <v>20</v>
          </cell>
          <cell r="S123">
            <v>643</v>
          </cell>
          <cell r="T123">
            <v>44</v>
          </cell>
        </row>
        <row r="124">
          <cell r="C124" t="str">
            <v>Census Tract 118, King County, Washington</v>
          </cell>
          <cell r="D124">
            <v>1444</v>
          </cell>
          <cell r="E124">
            <v>1402</v>
          </cell>
          <cell r="F124">
            <v>523</v>
          </cell>
          <cell r="G124">
            <v>829</v>
          </cell>
          <cell r="H124">
            <v>116</v>
          </cell>
          <cell r="I124">
            <v>243</v>
          </cell>
          <cell r="J124">
            <v>115</v>
          </cell>
          <cell r="K124">
            <v>355</v>
          </cell>
          <cell r="L124">
            <v>50</v>
          </cell>
          <cell r="M124">
            <v>0</v>
          </cell>
          <cell r="N124">
            <v>5</v>
          </cell>
          <cell r="O124">
            <v>45</v>
          </cell>
          <cell r="P124">
            <v>42</v>
          </cell>
          <cell r="Q124">
            <v>24</v>
          </cell>
          <cell r="R124">
            <v>18</v>
          </cell>
          <cell r="S124">
            <v>1352</v>
          </cell>
          <cell r="T124">
            <v>92</v>
          </cell>
        </row>
        <row r="125">
          <cell r="C125" t="str">
            <v>Census Tract 119, King County, Washington</v>
          </cell>
          <cell r="D125">
            <v>2056</v>
          </cell>
          <cell r="E125">
            <v>1949</v>
          </cell>
          <cell r="F125">
            <v>1046</v>
          </cell>
          <cell r="G125">
            <v>871</v>
          </cell>
          <cell r="H125">
            <v>154</v>
          </cell>
          <cell r="I125">
            <v>298</v>
          </cell>
          <cell r="J125">
            <v>78</v>
          </cell>
          <cell r="K125">
            <v>341</v>
          </cell>
          <cell r="L125">
            <v>32</v>
          </cell>
          <cell r="M125">
            <v>0</v>
          </cell>
          <cell r="N125">
            <v>19</v>
          </cell>
          <cell r="O125">
            <v>13</v>
          </cell>
          <cell r="P125">
            <v>107</v>
          </cell>
          <cell r="Q125">
            <v>67</v>
          </cell>
          <cell r="R125">
            <v>40</v>
          </cell>
          <cell r="S125">
            <v>1917</v>
          </cell>
          <cell r="T125">
            <v>139</v>
          </cell>
        </row>
        <row r="126">
          <cell r="C126" t="str">
            <v>Census Tract 120, King County, Washington</v>
          </cell>
          <cell r="D126">
            <v>2771</v>
          </cell>
          <cell r="E126">
            <v>2646</v>
          </cell>
          <cell r="F126">
            <v>1490</v>
          </cell>
          <cell r="G126">
            <v>1088</v>
          </cell>
          <cell r="H126">
            <v>154</v>
          </cell>
          <cell r="I126">
            <v>389</v>
          </cell>
          <cell r="J126">
            <v>112</v>
          </cell>
          <cell r="K126">
            <v>433</v>
          </cell>
          <cell r="L126">
            <v>68</v>
          </cell>
          <cell r="M126">
            <v>0</v>
          </cell>
          <cell r="N126">
            <v>0</v>
          </cell>
          <cell r="O126">
            <v>68</v>
          </cell>
          <cell r="P126">
            <v>125</v>
          </cell>
          <cell r="Q126">
            <v>74</v>
          </cell>
          <cell r="R126">
            <v>51</v>
          </cell>
          <cell r="S126">
            <v>2578</v>
          </cell>
          <cell r="T126">
            <v>193</v>
          </cell>
        </row>
        <row r="127">
          <cell r="C127" t="str">
            <v>Census Tract 121, King County, Washington</v>
          </cell>
          <cell r="D127">
            <v>2471</v>
          </cell>
          <cell r="E127">
            <v>2370</v>
          </cell>
          <cell r="F127">
            <v>1402</v>
          </cell>
          <cell r="G127">
            <v>928</v>
          </cell>
          <cell r="H127">
            <v>129</v>
          </cell>
          <cell r="I127">
            <v>414</v>
          </cell>
          <cell r="J127">
            <v>89</v>
          </cell>
          <cell r="K127">
            <v>296</v>
          </cell>
          <cell r="L127">
            <v>40</v>
          </cell>
          <cell r="M127">
            <v>0</v>
          </cell>
          <cell r="N127">
            <v>0</v>
          </cell>
          <cell r="O127">
            <v>40</v>
          </cell>
          <cell r="P127">
            <v>101</v>
          </cell>
          <cell r="Q127">
            <v>52</v>
          </cell>
          <cell r="R127">
            <v>49</v>
          </cell>
          <cell r="S127">
            <v>2330</v>
          </cell>
          <cell r="T127">
            <v>141</v>
          </cell>
        </row>
        <row r="128">
          <cell r="C128" t="str">
            <v>Census Tract 201, King County, Washington</v>
          </cell>
          <cell r="D128">
            <v>2916</v>
          </cell>
          <cell r="E128">
            <v>2798</v>
          </cell>
          <cell r="F128">
            <v>1706</v>
          </cell>
          <cell r="G128">
            <v>1053</v>
          </cell>
          <cell r="H128">
            <v>76</v>
          </cell>
          <cell r="I128">
            <v>294</v>
          </cell>
          <cell r="J128">
            <v>162</v>
          </cell>
          <cell r="K128">
            <v>521</v>
          </cell>
          <cell r="L128">
            <v>39</v>
          </cell>
          <cell r="M128">
            <v>0</v>
          </cell>
          <cell r="N128">
            <v>0</v>
          </cell>
          <cell r="O128">
            <v>39</v>
          </cell>
          <cell r="P128">
            <v>118</v>
          </cell>
          <cell r="Q128">
            <v>96</v>
          </cell>
          <cell r="R128">
            <v>22</v>
          </cell>
          <cell r="S128">
            <v>2759</v>
          </cell>
          <cell r="T128">
            <v>157</v>
          </cell>
        </row>
        <row r="129">
          <cell r="C129" t="str">
            <v>Census Tract 202, King County, Washington</v>
          </cell>
          <cell r="D129">
            <v>4694</v>
          </cell>
          <cell r="E129">
            <v>4455</v>
          </cell>
          <cell r="F129">
            <v>2348</v>
          </cell>
          <cell r="G129">
            <v>2073</v>
          </cell>
          <cell r="H129">
            <v>144</v>
          </cell>
          <cell r="I129">
            <v>846</v>
          </cell>
          <cell r="J129">
            <v>215</v>
          </cell>
          <cell r="K129">
            <v>868</v>
          </cell>
          <cell r="L129">
            <v>34</v>
          </cell>
          <cell r="M129">
            <v>0</v>
          </cell>
          <cell r="N129">
            <v>0</v>
          </cell>
          <cell r="O129">
            <v>34</v>
          </cell>
          <cell r="P129">
            <v>239</v>
          </cell>
          <cell r="Q129">
            <v>171</v>
          </cell>
          <cell r="R129">
            <v>68</v>
          </cell>
          <cell r="S129">
            <v>4421</v>
          </cell>
          <cell r="T129">
            <v>273</v>
          </cell>
        </row>
        <row r="130">
          <cell r="C130" t="str">
            <v>Census Tract 203, King County, Washington</v>
          </cell>
          <cell r="D130">
            <v>4232</v>
          </cell>
          <cell r="E130">
            <v>3924</v>
          </cell>
          <cell r="F130">
            <v>2096</v>
          </cell>
          <cell r="G130">
            <v>1748</v>
          </cell>
          <cell r="H130">
            <v>216</v>
          </cell>
          <cell r="I130">
            <v>510</v>
          </cell>
          <cell r="J130">
            <v>190</v>
          </cell>
          <cell r="K130">
            <v>832</v>
          </cell>
          <cell r="L130">
            <v>80</v>
          </cell>
          <cell r="M130">
            <v>0</v>
          </cell>
          <cell r="N130">
            <v>13</v>
          </cell>
          <cell r="O130">
            <v>67</v>
          </cell>
          <cell r="P130">
            <v>308</v>
          </cell>
          <cell r="Q130">
            <v>34</v>
          </cell>
          <cell r="R130">
            <v>274</v>
          </cell>
          <cell r="S130">
            <v>3844</v>
          </cell>
          <cell r="T130">
            <v>388</v>
          </cell>
        </row>
        <row r="131">
          <cell r="C131" t="str">
            <v>Census Tract 204.01, King County, Washington</v>
          </cell>
          <cell r="D131">
            <v>2639</v>
          </cell>
          <cell r="E131">
            <v>2465</v>
          </cell>
          <cell r="F131">
            <v>1334</v>
          </cell>
          <cell r="G131">
            <v>1089</v>
          </cell>
          <cell r="H131">
            <v>122</v>
          </cell>
          <cell r="I131">
            <v>356</v>
          </cell>
          <cell r="J131">
            <v>196</v>
          </cell>
          <cell r="K131">
            <v>415</v>
          </cell>
          <cell r="L131">
            <v>42</v>
          </cell>
          <cell r="M131">
            <v>12</v>
          </cell>
          <cell r="N131">
            <v>0</v>
          </cell>
          <cell r="O131">
            <v>30</v>
          </cell>
          <cell r="P131">
            <v>174</v>
          </cell>
          <cell r="Q131">
            <v>84</v>
          </cell>
          <cell r="R131">
            <v>90</v>
          </cell>
          <cell r="S131">
            <v>2423</v>
          </cell>
          <cell r="T131">
            <v>216</v>
          </cell>
        </row>
        <row r="132">
          <cell r="C132" t="str">
            <v>Census Tract 204.02, King County, Washington</v>
          </cell>
          <cell r="D132">
            <v>4183</v>
          </cell>
          <cell r="E132">
            <v>3856</v>
          </cell>
          <cell r="F132">
            <v>2044</v>
          </cell>
          <cell r="G132">
            <v>1723</v>
          </cell>
          <cell r="H132">
            <v>300</v>
          </cell>
          <cell r="I132">
            <v>453</v>
          </cell>
          <cell r="J132">
            <v>243</v>
          </cell>
          <cell r="K132">
            <v>727</v>
          </cell>
          <cell r="L132">
            <v>89</v>
          </cell>
          <cell r="M132">
            <v>6</v>
          </cell>
          <cell r="N132">
            <v>21</v>
          </cell>
          <cell r="O132">
            <v>62</v>
          </cell>
          <cell r="P132">
            <v>327</v>
          </cell>
          <cell r="Q132">
            <v>167</v>
          </cell>
          <cell r="R132">
            <v>160</v>
          </cell>
          <cell r="S132">
            <v>3767</v>
          </cell>
          <cell r="T132">
            <v>416</v>
          </cell>
        </row>
        <row r="133">
          <cell r="C133" t="str">
            <v>Census Tract 205, King County, Washington</v>
          </cell>
          <cell r="D133">
            <v>4642</v>
          </cell>
          <cell r="E133">
            <v>4456</v>
          </cell>
          <cell r="F133">
            <v>2784</v>
          </cell>
          <cell r="G133">
            <v>1585</v>
          </cell>
          <cell r="H133">
            <v>301</v>
          </cell>
          <cell r="I133">
            <v>489</v>
          </cell>
          <cell r="J133">
            <v>330</v>
          </cell>
          <cell r="K133">
            <v>465</v>
          </cell>
          <cell r="L133">
            <v>87</v>
          </cell>
          <cell r="M133">
            <v>10</v>
          </cell>
          <cell r="N133">
            <v>0</v>
          </cell>
          <cell r="O133">
            <v>77</v>
          </cell>
          <cell r="P133">
            <v>186</v>
          </cell>
          <cell r="Q133">
            <v>115</v>
          </cell>
          <cell r="R133">
            <v>71</v>
          </cell>
          <cell r="S133">
            <v>4369</v>
          </cell>
          <cell r="T133">
            <v>273</v>
          </cell>
        </row>
        <row r="134">
          <cell r="C134" t="str">
            <v>Census Tract 206, King County, Washington</v>
          </cell>
          <cell r="D134">
            <v>2545</v>
          </cell>
          <cell r="E134">
            <v>2476</v>
          </cell>
          <cell r="F134">
            <v>1563</v>
          </cell>
          <cell r="G134">
            <v>888</v>
          </cell>
          <cell r="H134">
            <v>83</v>
          </cell>
          <cell r="I134">
            <v>360</v>
          </cell>
          <cell r="J134">
            <v>113</v>
          </cell>
          <cell r="K134">
            <v>332</v>
          </cell>
          <cell r="L134">
            <v>25</v>
          </cell>
          <cell r="M134">
            <v>0</v>
          </cell>
          <cell r="N134">
            <v>0</v>
          </cell>
          <cell r="O134">
            <v>25</v>
          </cell>
          <cell r="P134">
            <v>69</v>
          </cell>
          <cell r="Q134">
            <v>34</v>
          </cell>
          <cell r="R134">
            <v>35</v>
          </cell>
          <cell r="S134">
            <v>2451</v>
          </cell>
          <cell r="T134">
            <v>94</v>
          </cell>
        </row>
        <row r="135">
          <cell r="C135" t="str">
            <v>Census Tract 207, King County, Washington</v>
          </cell>
          <cell r="D135">
            <v>2369</v>
          </cell>
          <cell r="E135">
            <v>2193</v>
          </cell>
          <cell r="F135">
            <v>1231</v>
          </cell>
          <cell r="G135">
            <v>945</v>
          </cell>
          <cell r="H135">
            <v>132</v>
          </cell>
          <cell r="I135">
            <v>363</v>
          </cell>
          <cell r="J135">
            <v>146</v>
          </cell>
          <cell r="K135">
            <v>304</v>
          </cell>
          <cell r="L135">
            <v>17</v>
          </cell>
          <cell r="M135">
            <v>0</v>
          </cell>
          <cell r="N135">
            <v>0</v>
          </cell>
          <cell r="O135">
            <v>17</v>
          </cell>
          <cell r="P135">
            <v>176</v>
          </cell>
          <cell r="Q135">
            <v>76</v>
          </cell>
          <cell r="R135">
            <v>100</v>
          </cell>
          <cell r="S135">
            <v>2176</v>
          </cell>
          <cell r="T135">
            <v>193</v>
          </cell>
        </row>
        <row r="136">
          <cell r="C136" t="str">
            <v>Census Tract 208, King County, Washington</v>
          </cell>
          <cell r="D136">
            <v>3959</v>
          </cell>
          <cell r="E136">
            <v>3494</v>
          </cell>
          <cell r="F136">
            <v>2109</v>
          </cell>
          <cell r="G136">
            <v>1368</v>
          </cell>
          <cell r="H136">
            <v>158</v>
          </cell>
          <cell r="I136">
            <v>461</v>
          </cell>
          <cell r="J136">
            <v>150</v>
          </cell>
          <cell r="K136">
            <v>599</v>
          </cell>
          <cell r="L136">
            <v>17</v>
          </cell>
          <cell r="M136">
            <v>0</v>
          </cell>
          <cell r="N136">
            <v>0</v>
          </cell>
          <cell r="O136">
            <v>17</v>
          </cell>
          <cell r="P136">
            <v>465</v>
          </cell>
          <cell r="Q136">
            <v>290</v>
          </cell>
          <cell r="R136">
            <v>175</v>
          </cell>
          <cell r="S136">
            <v>3477</v>
          </cell>
          <cell r="T136">
            <v>482</v>
          </cell>
        </row>
        <row r="137">
          <cell r="C137" t="str">
            <v>Census Tract 209, King County, Washington</v>
          </cell>
          <cell r="D137">
            <v>2458</v>
          </cell>
          <cell r="E137">
            <v>2355</v>
          </cell>
          <cell r="F137">
            <v>1278</v>
          </cell>
          <cell r="G137">
            <v>1077</v>
          </cell>
          <cell r="H137">
            <v>151</v>
          </cell>
          <cell r="I137">
            <v>427</v>
          </cell>
          <cell r="J137">
            <v>99</v>
          </cell>
          <cell r="K137">
            <v>400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103</v>
          </cell>
          <cell r="Q137">
            <v>69</v>
          </cell>
          <cell r="R137">
            <v>34</v>
          </cell>
          <cell r="S137">
            <v>2355</v>
          </cell>
          <cell r="T137">
            <v>103</v>
          </cell>
        </row>
        <row r="138">
          <cell r="C138" t="str">
            <v>Census Tract 210, King County, Washington</v>
          </cell>
          <cell r="D138">
            <v>3846</v>
          </cell>
          <cell r="E138">
            <v>3664</v>
          </cell>
          <cell r="F138">
            <v>2516</v>
          </cell>
          <cell r="G138">
            <v>1127</v>
          </cell>
          <cell r="H138">
            <v>84</v>
          </cell>
          <cell r="I138">
            <v>304</v>
          </cell>
          <cell r="J138">
            <v>136</v>
          </cell>
          <cell r="K138">
            <v>603</v>
          </cell>
          <cell r="L138">
            <v>21</v>
          </cell>
          <cell r="M138">
            <v>0</v>
          </cell>
          <cell r="N138">
            <v>0</v>
          </cell>
          <cell r="O138">
            <v>21</v>
          </cell>
          <cell r="P138">
            <v>182</v>
          </cell>
          <cell r="Q138">
            <v>83</v>
          </cell>
          <cell r="R138">
            <v>99</v>
          </cell>
          <cell r="S138">
            <v>3643</v>
          </cell>
          <cell r="T138">
            <v>203</v>
          </cell>
        </row>
        <row r="139">
          <cell r="C139" t="str">
            <v>Census Tract 211, King County, Washington</v>
          </cell>
          <cell r="D139">
            <v>2887</v>
          </cell>
          <cell r="E139">
            <v>2687</v>
          </cell>
          <cell r="F139">
            <v>1607</v>
          </cell>
          <cell r="G139">
            <v>1047</v>
          </cell>
          <cell r="H139">
            <v>140</v>
          </cell>
          <cell r="I139">
            <v>403</v>
          </cell>
          <cell r="J139">
            <v>124</v>
          </cell>
          <cell r="K139">
            <v>380</v>
          </cell>
          <cell r="L139">
            <v>33</v>
          </cell>
          <cell r="M139">
            <v>0</v>
          </cell>
          <cell r="N139">
            <v>0</v>
          </cell>
          <cell r="O139">
            <v>33</v>
          </cell>
          <cell r="P139">
            <v>200</v>
          </cell>
          <cell r="Q139">
            <v>122</v>
          </cell>
          <cell r="R139">
            <v>78</v>
          </cell>
          <cell r="S139">
            <v>2654</v>
          </cell>
          <cell r="T139">
            <v>233</v>
          </cell>
        </row>
        <row r="140">
          <cell r="C140" t="str">
            <v>Census Tract 213, King County, Washington</v>
          </cell>
          <cell r="D140">
            <v>3202</v>
          </cell>
          <cell r="E140">
            <v>2903</v>
          </cell>
          <cell r="F140">
            <v>1687</v>
          </cell>
          <cell r="G140">
            <v>1108</v>
          </cell>
          <cell r="H140">
            <v>195</v>
          </cell>
          <cell r="I140">
            <v>420</v>
          </cell>
          <cell r="J140">
            <v>105</v>
          </cell>
          <cell r="K140">
            <v>388</v>
          </cell>
          <cell r="L140">
            <v>108</v>
          </cell>
          <cell r="M140">
            <v>6</v>
          </cell>
          <cell r="N140">
            <v>37</v>
          </cell>
          <cell r="O140">
            <v>65</v>
          </cell>
          <cell r="P140">
            <v>299</v>
          </cell>
          <cell r="Q140">
            <v>177</v>
          </cell>
          <cell r="R140">
            <v>122</v>
          </cell>
          <cell r="S140">
            <v>2795</v>
          </cell>
          <cell r="T140">
            <v>407</v>
          </cell>
        </row>
        <row r="141">
          <cell r="C141" t="str">
            <v>Census Tract 214, King County, Washington</v>
          </cell>
          <cell r="D141">
            <v>3256</v>
          </cell>
          <cell r="E141">
            <v>3092</v>
          </cell>
          <cell r="F141">
            <v>1847</v>
          </cell>
          <cell r="G141">
            <v>1229</v>
          </cell>
          <cell r="H141">
            <v>117</v>
          </cell>
          <cell r="I141">
            <v>396</v>
          </cell>
          <cell r="J141">
            <v>126</v>
          </cell>
          <cell r="K141">
            <v>590</v>
          </cell>
          <cell r="L141">
            <v>16</v>
          </cell>
          <cell r="M141">
            <v>0</v>
          </cell>
          <cell r="N141">
            <v>0</v>
          </cell>
          <cell r="O141">
            <v>16</v>
          </cell>
          <cell r="P141">
            <v>164</v>
          </cell>
          <cell r="Q141">
            <v>101</v>
          </cell>
          <cell r="R141">
            <v>63</v>
          </cell>
          <cell r="S141">
            <v>3076</v>
          </cell>
          <cell r="T141">
            <v>180</v>
          </cell>
        </row>
        <row r="142">
          <cell r="C142" t="str">
            <v>Census Tract 215, King County, Washington</v>
          </cell>
          <cell r="D142">
            <v>3834</v>
          </cell>
          <cell r="E142">
            <v>3652</v>
          </cell>
          <cell r="F142">
            <v>1992</v>
          </cell>
          <cell r="G142">
            <v>1623</v>
          </cell>
          <cell r="H142">
            <v>194</v>
          </cell>
          <cell r="I142">
            <v>504</v>
          </cell>
          <cell r="J142">
            <v>259</v>
          </cell>
          <cell r="K142">
            <v>666</v>
          </cell>
          <cell r="L142">
            <v>37</v>
          </cell>
          <cell r="M142">
            <v>0</v>
          </cell>
          <cell r="N142">
            <v>0</v>
          </cell>
          <cell r="O142">
            <v>37</v>
          </cell>
          <cell r="P142">
            <v>182</v>
          </cell>
          <cell r="Q142">
            <v>92</v>
          </cell>
          <cell r="R142">
            <v>90</v>
          </cell>
          <cell r="S142">
            <v>3615</v>
          </cell>
          <cell r="T142">
            <v>219</v>
          </cell>
        </row>
        <row r="143">
          <cell r="C143" t="str">
            <v>Census Tract 216, King County, Washington</v>
          </cell>
          <cell r="D143">
            <v>3822</v>
          </cell>
          <cell r="E143">
            <v>3582</v>
          </cell>
          <cell r="F143">
            <v>1977</v>
          </cell>
          <cell r="G143">
            <v>1528</v>
          </cell>
          <cell r="H143">
            <v>177</v>
          </cell>
          <cell r="I143">
            <v>558</v>
          </cell>
          <cell r="J143">
            <v>144</v>
          </cell>
          <cell r="K143">
            <v>649</v>
          </cell>
          <cell r="L143">
            <v>77</v>
          </cell>
          <cell r="M143">
            <v>0</v>
          </cell>
          <cell r="N143">
            <v>0</v>
          </cell>
          <cell r="O143">
            <v>77</v>
          </cell>
          <cell r="P143">
            <v>240</v>
          </cell>
          <cell r="Q143">
            <v>136</v>
          </cell>
          <cell r="R143">
            <v>104</v>
          </cell>
          <cell r="S143">
            <v>3505</v>
          </cell>
          <cell r="T143">
            <v>317</v>
          </cell>
        </row>
        <row r="144">
          <cell r="C144" t="str">
            <v>Census Tract 217, King County, Washington</v>
          </cell>
          <cell r="D144">
            <v>4361</v>
          </cell>
          <cell r="E144">
            <v>4013</v>
          </cell>
          <cell r="F144">
            <v>2488</v>
          </cell>
          <cell r="G144">
            <v>1456</v>
          </cell>
          <cell r="H144">
            <v>193</v>
          </cell>
          <cell r="I144">
            <v>494</v>
          </cell>
          <cell r="J144">
            <v>193</v>
          </cell>
          <cell r="K144">
            <v>576</v>
          </cell>
          <cell r="L144">
            <v>69</v>
          </cell>
          <cell r="M144">
            <v>9</v>
          </cell>
          <cell r="N144">
            <v>0</v>
          </cell>
          <cell r="O144">
            <v>60</v>
          </cell>
          <cell r="P144">
            <v>348</v>
          </cell>
          <cell r="Q144">
            <v>156</v>
          </cell>
          <cell r="R144">
            <v>192</v>
          </cell>
          <cell r="S144">
            <v>3944</v>
          </cell>
          <cell r="T144">
            <v>417</v>
          </cell>
        </row>
        <row r="145">
          <cell r="C145" t="str">
            <v>Census Tract 218.02, King County, Washington</v>
          </cell>
          <cell r="D145">
            <v>3458</v>
          </cell>
          <cell r="E145">
            <v>3284</v>
          </cell>
          <cell r="F145">
            <v>1811</v>
          </cell>
          <cell r="G145">
            <v>1433</v>
          </cell>
          <cell r="H145">
            <v>153</v>
          </cell>
          <cell r="I145">
            <v>443</v>
          </cell>
          <cell r="J145">
            <v>160</v>
          </cell>
          <cell r="K145">
            <v>677</v>
          </cell>
          <cell r="L145">
            <v>40</v>
          </cell>
          <cell r="M145">
            <v>9</v>
          </cell>
          <cell r="N145">
            <v>0</v>
          </cell>
          <cell r="O145">
            <v>31</v>
          </cell>
          <cell r="P145">
            <v>174</v>
          </cell>
          <cell r="Q145">
            <v>80</v>
          </cell>
          <cell r="R145">
            <v>94</v>
          </cell>
          <cell r="S145">
            <v>3244</v>
          </cell>
          <cell r="T145">
            <v>214</v>
          </cell>
        </row>
        <row r="146">
          <cell r="C146" t="str">
            <v>Census Tract 218.03, King County, Washington</v>
          </cell>
          <cell r="D146">
            <v>3496</v>
          </cell>
          <cell r="E146">
            <v>3286</v>
          </cell>
          <cell r="F146">
            <v>1753</v>
          </cell>
          <cell r="G146">
            <v>1525</v>
          </cell>
          <cell r="H146">
            <v>243</v>
          </cell>
          <cell r="I146">
            <v>426</v>
          </cell>
          <cell r="J146">
            <v>209</v>
          </cell>
          <cell r="K146">
            <v>647</v>
          </cell>
          <cell r="L146">
            <v>8</v>
          </cell>
          <cell r="M146">
            <v>0</v>
          </cell>
          <cell r="N146">
            <v>0</v>
          </cell>
          <cell r="O146">
            <v>8</v>
          </cell>
          <cell r="P146">
            <v>210</v>
          </cell>
          <cell r="Q146">
            <v>92</v>
          </cell>
          <cell r="R146">
            <v>118</v>
          </cell>
          <cell r="S146">
            <v>3278</v>
          </cell>
          <cell r="T146">
            <v>218</v>
          </cell>
        </row>
        <row r="147">
          <cell r="C147" t="str">
            <v>Census Tract 218.04, King County, Washington</v>
          </cell>
          <cell r="D147">
            <v>3614</v>
          </cell>
          <cell r="E147">
            <v>3485</v>
          </cell>
          <cell r="F147">
            <v>2042</v>
          </cell>
          <cell r="G147">
            <v>1408</v>
          </cell>
          <cell r="H147">
            <v>137</v>
          </cell>
          <cell r="I147">
            <v>490</v>
          </cell>
          <cell r="J147">
            <v>99</v>
          </cell>
          <cell r="K147">
            <v>682</v>
          </cell>
          <cell r="L147">
            <v>35</v>
          </cell>
          <cell r="M147">
            <v>0</v>
          </cell>
          <cell r="N147">
            <v>0</v>
          </cell>
          <cell r="O147">
            <v>35</v>
          </cell>
          <cell r="P147">
            <v>129</v>
          </cell>
          <cell r="Q147">
            <v>68</v>
          </cell>
          <cell r="R147">
            <v>61</v>
          </cell>
          <cell r="S147">
            <v>3450</v>
          </cell>
          <cell r="T147">
            <v>164</v>
          </cell>
        </row>
        <row r="148">
          <cell r="C148" t="str">
            <v>Census Tract 219.03, King County, Washington</v>
          </cell>
          <cell r="D148">
            <v>4862</v>
          </cell>
          <cell r="E148">
            <v>4587</v>
          </cell>
          <cell r="F148">
            <v>2255</v>
          </cell>
          <cell r="G148">
            <v>2283</v>
          </cell>
          <cell r="H148">
            <v>362</v>
          </cell>
          <cell r="I148">
            <v>702</v>
          </cell>
          <cell r="J148">
            <v>273</v>
          </cell>
          <cell r="K148">
            <v>946</v>
          </cell>
          <cell r="L148">
            <v>49</v>
          </cell>
          <cell r="M148">
            <v>0</v>
          </cell>
          <cell r="N148">
            <v>0</v>
          </cell>
          <cell r="O148">
            <v>49</v>
          </cell>
          <cell r="P148">
            <v>275</v>
          </cell>
          <cell r="Q148">
            <v>123</v>
          </cell>
          <cell r="R148">
            <v>152</v>
          </cell>
          <cell r="S148">
            <v>4538</v>
          </cell>
          <cell r="T148">
            <v>324</v>
          </cell>
        </row>
        <row r="149">
          <cell r="C149" t="str">
            <v>Census Tract 219.04, King County, Washington</v>
          </cell>
          <cell r="D149">
            <v>3372</v>
          </cell>
          <cell r="E149">
            <v>3077</v>
          </cell>
          <cell r="F149">
            <v>1635</v>
          </cell>
          <cell r="G149">
            <v>1408</v>
          </cell>
          <cell r="H149">
            <v>156</v>
          </cell>
          <cell r="I149">
            <v>339</v>
          </cell>
          <cell r="J149">
            <v>121</v>
          </cell>
          <cell r="K149">
            <v>792</v>
          </cell>
          <cell r="L149">
            <v>34</v>
          </cell>
          <cell r="M149">
            <v>5</v>
          </cell>
          <cell r="N149">
            <v>0</v>
          </cell>
          <cell r="O149">
            <v>29</v>
          </cell>
          <cell r="P149">
            <v>295</v>
          </cell>
          <cell r="Q149">
            <v>59</v>
          </cell>
          <cell r="R149">
            <v>236</v>
          </cell>
          <cell r="S149">
            <v>3043</v>
          </cell>
          <cell r="T149">
            <v>329</v>
          </cell>
        </row>
        <row r="150">
          <cell r="C150" t="str">
            <v>Census Tract 219.05, King County, Washington</v>
          </cell>
          <cell r="D150">
            <v>3927</v>
          </cell>
          <cell r="E150">
            <v>3657</v>
          </cell>
          <cell r="F150">
            <v>1646</v>
          </cell>
          <cell r="G150">
            <v>1927</v>
          </cell>
          <cell r="H150">
            <v>193</v>
          </cell>
          <cell r="I150">
            <v>562</v>
          </cell>
          <cell r="J150">
            <v>284</v>
          </cell>
          <cell r="K150">
            <v>888</v>
          </cell>
          <cell r="L150">
            <v>84</v>
          </cell>
          <cell r="M150">
            <v>0</v>
          </cell>
          <cell r="N150">
            <v>0</v>
          </cell>
          <cell r="O150">
            <v>84</v>
          </cell>
          <cell r="P150">
            <v>270</v>
          </cell>
          <cell r="Q150">
            <v>98</v>
          </cell>
          <cell r="R150">
            <v>172</v>
          </cell>
          <cell r="S150">
            <v>3573</v>
          </cell>
          <cell r="T150">
            <v>354</v>
          </cell>
        </row>
        <row r="151">
          <cell r="C151" t="str">
            <v>Census Tract 219.06, King County, Washington</v>
          </cell>
          <cell r="D151">
            <v>2796</v>
          </cell>
          <cell r="E151">
            <v>2593</v>
          </cell>
          <cell r="F151">
            <v>1279</v>
          </cell>
          <cell r="G151">
            <v>1270</v>
          </cell>
          <cell r="H151">
            <v>206</v>
          </cell>
          <cell r="I151">
            <v>288</v>
          </cell>
          <cell r="J151">
            <v>121</v>
          </cell>
          <cell r="K151">
            <v>655</v>
          </cell>
          <cell r="L151">
            <v>44</v>
          </cell>
          <cell r="M151">
            <v>0</v>
          </cell>
          <cell r="N151">
            <v>0</v>
          </cell>
          <cell r="O151">
            <v>44</v>
          </cell>
          <cell r="P151">
            <v>203</v>
          </cell>
          <cell r="Q151">
            <v>126</v>
          </cell>
          <cell r="R151">
            <v>77</v>
          </cell>
          <cell r="S151">
            <v>2549</v>
          </cell>
          <cell r="T151">
            <v>247</v>
          </cell>
        </row>
        <row r="152">
          <cell r="C152" t="str">
            <v>Census Tract 220.01, King County, Washington</v>
          </cell>
          <cell r="D152">
            <v>3136</v>
          </cell>
          <cell r="E152">
            <v>2882</v>
          </cell>
          <cell r="F152">
            <v>1498</v>
          </cell>
          <cell r="G152">
            <v>1337</v>
          </cell>
          <cell r="H152">
            <v>204</v>
          </cell>
          <cell r="I152">
            <v>485</v>
          </cell>
          <cell r="J152">
            <v>159</v>
          </cell>
          <cell r="K152">
            <v>489</v>
          </cell>
          <cell r="L152">
            <v>47</v>
          </cell>
          <cell r="M152">
            <v>7</v>
          </cell>
          <cell r="N152">
            <v>0</v>
          </cell>
          <cell r="O152">
            <v>40</v>
          </cell>
          <cell r="P152">
            <v>254</v>
          </cell>
          <cell r="Q152">
            <v>116</v>
          </cell>
          <cell r="R152">
            <v>138</v>
          </cell>
          <cell r="S152">
            <v>2835</v>
          </cell>
          <cell r="T152">
            <v>301</v>
          </cell>
        </row>
        <row r="153">
          <cell r="C153" t="str">
            <v>Census Tract 220.03, King County, Washington</v>
          </cell>
          <cell r="D153">
            <v>4258</v>
          </cell>
          <cell r="E153">
            <v>4019</v>
          </cell>
          <cell r="F153">
            <v>2255</v>
          </cell>
          <cell r="G153">
            <v>1704</v>
          </cell>
          <cell r="H153">
            <v>221</v>
          </cell>
          <cell r="I153">
            <v>465</v>
          </cell>
          <cell r="J153">
            <v>173</v>
          </cell>
          <cell r="K153">
            <v>845</v>
          </cell>
          <cell r="L153">
            <v>60</v>
          </cell>
          <cell r="M153">
            <v>0</v>
          </cell>
          <cell r="N153">
            <v>15</v>
          </cell>
          <cell r="O153">
            <v>45</v>
          </cell>
          <cell r="P153">
            <v>239</v>
          </cell>
          <cell r="Q153">
            <v>99</v>
          </cell>
          <cell r="R153">
            <v>140</v>
          </cell>
          <cell r="S153">
            <v>3959</v>
          </cell>
          <cell r="T153">
            <v>299</v>
          </cell>
        </row>
        <row r="154">
          <cell r="C154" t="str">
            <v>Census Tract 220.05, King County, Washington</v>
          </cell>
          <cell r="D154">
            <v>3426</v>
          </cell>
          <cell r="E154">
            <v>3116</v>
          </cell>
          <cell r="F154">
            <v>1389</v>
          </cell>
          <cell r="G154">
            <v>1705</v>
          </cell>
          <cell r="H154">
            <v>245</v>
          </cell>
          <cell r="I154">
            <v>430</v>
          </cell>
          <cell r="J154">
            <v>156</v>
          </cell>
          <cell r="K154">
            <v>874</v>
          </cell>
          <cell r="L154">
            <v>22</v>
          </cell>
          <cell r="M154">
            <v>0</v>
          </cell>
          <cell r="N154">
            <v>13</v>
          </cell>
          <cell r="O154">
            <v>9</v>
          </cell>
          <cell r="P154">
            <v>310</v>
          </cell>
          <cell r="Q154">
            <v>66</v>
          </cell>
          <cell r="R154">
            <v>244</v>
          </cell>
          <cell r="S154">
            <v>3094</v>
          </cell>
          <cell r="T154">
            <v>332</v>
          </cell>
        </row>
        <row r="155">
          <cell r="C155" t="str">
            <v>Census Tract 220.06, King County, Washington</v>
          </cell>
          <cell r="D155">
            <v>2949</v>
          </cell>
          <cell r="E155">
            <v>2786</v>
          </cell>
          <cell r="F155">
            <v>1145</v>
          </cell>
          <cell r="G155">
            <v>1605</v>
          </cell>
          <cell r="H155">
            <v>107</v>
          </cell>
          <cell r="I155">
            <v>613</v>
          </cell>
          <cell r="J155">
            <v>188</v>
          </cell>
          <cell r="K155">
            <v>697</v>
          </cell>
          <cell r="L155">
            <v>36</v>
          </cell>
          <cell r="M155">
            <v>0</v>
          </cell>
          <cell r="N155">
            <v>0</v>
          </cell>
          <cell r="O155">
            <v>36</v>
          </cell>
          <cell r="P155">
            <v>163</v>
          </cell>
          <cell r="Q155">
            <v>68</v>
          </cell>
          <cell r="R155">
            <v>95</v>
          </cell>
          <cell r="S155">
            <v>2750</v>
          </cell>
          <cell r="T155">
            <v>199</v>
          </cell>
        </row>
        <row r="156">
          <cell r="C156" t="str">
            <v>Census Tract 221.01, King County, Washington</v>
          </cell>
          <cell r="D156">
            <v>4112</v>
          </cell>
          <cell r="E156">
            <v>3923</v>
          </cell>
          <cell r="F156">
            <v>2264</v>
          </cell>
          <cell r="G156">
            <v>1583</v>
          </cell>
          <cell r="H156">
            <v>281</v>
          </cell>
          <cell r="I156">
            <v>414</v>
          </cell>
          <cell r="J156">
            <v>125</v>
          </cell>
          <cell r="K156">
            <v>763</v>
          </cell>
          <cell r="L156">
            <v>76</v>
          </cell>
          <cell r="M156">
            <v>0</v>
          </cell>
          <cell r="N156">
            <v>6</v>
          </cell>
          <cell r="O156">
            <v>70</v>
          </cell>
          <cell r="P156">
            <v>189</v>
          </cell>
          <cell r="Q156">
            <v>104</v>
          </cell>
          <cell r="R156">
            <v>85</v>
          </cell>
          <cell r="S156">
            <v>3847</v>
          </cell>
          <cell r="T156">
            <v>265</v>
          </cell>
        </row>
        <row r="157">
          <cell r="C157" t="str">
            <v>Census Tract 221.02, King County, Washington</v>
          </cell>
          <cell r="D157">
            <v>4546</v>
          </cell>
          <cell r="E157">
            <v>4200</v>
          </cell>
          <cell r="F157">
            <v>2214</v>
          </cell>
          <cell r="G157">
            <v>1935</v>
          </cell>
          <cell r="H157">
            <v>206</v>
          </cell>
          <cell r="I157">
            <v>640</v>
          </cell>
          <cell r="J157">
            <v>207</v>
          </cell>
          <cell r="K157">
            <v>882</v>
          </cell>
          <cell r="L157">
            <v>51</v>
          </cell>
          <cell r="M157">
            <v>0</v>
          </cell>
          <cell r="N157">
            <v>0</v>
          </cell>
          <cell r="O157">
            <v>51</v>
          </cell>
          <cell r="P157">
            <v>346</v>
          </cell>
          <cell r="Q157">
            <v>239</v>
          </cell>
          <cell r="R157">
            <v>107</v>
          </cell>
          <cell r="S157">
            <v>4149</v>
          </cell>
          <cell r="T157">
            <v>397</v>
          </cell>
        </row>
        <row r="158">
          <cell r="C158" t="str">
            <v>Census Tract 222.01, King County, Washington</v>
          </cell>
          <cell r="D158">
            <v>4036</v>
          </cell>
          <cell r="E158">
            <v>3864</v>
          </cell>
          <cell r="F158">
            <v>2181</v>
          </cell>
          <cell r="G158">
            <v>1673</v>
          </cell>
          <cell r="H158">
            <v>128</v>
          </cell>
          <cell r="I158">
            <v>525</v>
          </cell>
          <cell r="J158">
            <v>287</v>
          </cell>
          <cell r="K158">
            <v>733</v>
          </cell>
          <cell r="L158">
            <v>10</v>
          </cell>
          <cell r="M158">
            <v>0</v>
          </cell>
          <cell r="N158">
            <v>0</v>
          </cell>
          <cell r="O158">
            <v>10</v>
          </cell>
          <cell r="P158">
            <v>172</v>
          </cell>
          <cell r="Q158">
            <v>84</v>
          </cell>
          <cell r="R158">
            <v>88</v>
          </cell>
          <cell r="S158">
            <v>3854</v>
          </cell>
          <cell r="T158">
            <v>182</v>
          </cell>
        </row>
        <row r="159">
          <cell r="C159" t="str">
            <v>Census Tract 222.02, King County, Washington</v>
          </cell>
          <cell r="D159">
            <v>5576</v>
          </cell>
          <cell r="E159">
            <v>5117</v>
          </cell>
          <cell r="F159">
            <v>2347</v>
          </cell>
          <cell r="G159">
            <v>2721</v>
          </cell>
          <cell r="H159">
            <v>332</v>
          </cell>
          <cell r="I159">
            <v>695</v>
          </cell>
          <cell r="J159">
            <v>311</v>
          </cell>
          <cell r="K159">
            <v>1383</v>
          </cell>
          <cell r="L159">
            <v>49</v>
          </cell>
          <cell r="M159">
            <v>8</v>
          </cell>
          <cell r="N159">
            <v>0</v>
          </cell>
          <cell r="O159">
            <v>41</v>
          </cell>
          <cell r="P159">
            <v>459</v>
          </cell>
          <cell r="Q159">
            <v>200</v>
          </cell>
          <cell r="R159">
            <v>259</v>
          </cell>
          <cell r="S159">
            <v>5068</v>
          </cell>
          <cell r="T159">
            <v>508</v>
          </cell>
        </row>
        <row r="160">
          <cell r="C160" t="str">
            <v>Census Tract 222.03, King County, Washington</v>
          </cell>
          <cell r="D160">
            <v>3723</v>
          </cell>
          <cell r="E160">
            <v>3459</v>
          </cell>
          <cell r="F160">
            <v>1746</v>
          </cell>
          <cell r="G160">
            <v>1689</v>
          </cell>
          <cell r="H160">
            <v>243</v>
          </cell>
          <cell r="I160">
            <v>623</v>
          </cell>
          <cell r="J160">
            <v>137</v>
          </cell>
          <cell r="K160">
            <v>686</v>
          </cell>
          <cell r="L160">
            <v>24</v>
          </cell>
          <cell r="M160">
            <v>0</v>
          </cell>
          <cell r="N160">
            <v>0</v>
          </cell>
          <cell r="O160">
            <v>24</v>
          </cell>
          <cell r="P160">
            <v>264</v>
          </cell>
          <cell r="Q160">
            <v>165</v>
          </cell>
          <cell r="R160">
            <v>99</v>
          </cell>
          <cell r="S160">
            <v>3435</v>
          </cell>
          <cell r="T160">
            <v>288</v>
          </cell>
        </row>
        <row r="161">
          <cell r="C161" t="str">
            <v>Census Tract 223, King County, Washington</v>
          </cell>
          <cell r="D161">
            <v>2303</v>
          </cell>
          <cell r="E161">
            <v>2150</v>
          </cell>
          <cell r="F161">
            <v>1214</v>
          </cell>
          <cell r="G161">
            <v>889</v>
          </cell>
          <cell r="H161">
            <v>155</v>
          </cell>
          <cell r="I161">
            <v>288</v>
          </cell>
          <cell r="J161">
            <v>79</v>
          </cell>
          <cell r="K161">
            <v>367</v>
          </cell>
          <cell r="L161">
            <v>47</v>
          </cell>
          <cell r="M161">
            <v>0</v>
          </cell>
          <cell r="N161">
            <v>0</v>
          </cell>
          <cell r="O161">
            <v>47</v>
          </cell>
          <cell r="P161">
            <v>153</v>
          </cell>
          <cell r="Q161">
            <v>75</v>
          </cell>
          <cell r="R161">
            <v>78</v>
          </cell>
          <cell r="S161">
            <v>2103</v>
          </cell>
          <cell r="T161">
            <v>200</v>
          </cell>
        </row>
        <row r="162">
          <cell r="C162" t="str">
            <v>Census Tract 224, King County, Washington</v>
          </cell>
          <cell r="D162">
            <v>6262</v>
          </cell>
          <cell r="E162">
            <v>5747</v>
          </cell>
          <cell r="F162">
            <v>2602</v>
          </cell>
          <cell r="G162">
            <v>3088</v>
          </cell>
          <cell r="H162">
            <v>587</v>
          </cell>
          <cell r="I162">
            <v>956</v>
          </cell>
          <cell r="J162">
            <v>402</v>
          </cell>
          <cell r="K162">
            <v>1143</v>
          </cell>
          <cell r="L162">
            <v>57</v>
          </cell>
          <cell r="M162">
            <v>0</v>
          </cell>
          <cell r="N162">
            <v>0</v>
          </cell>
          <cell r="O162">
            <v>57</v>
          </cell>
          <cell r="P162">
            <v>515</v>
          </cell>
          <cell r="Q162">
            <v>217</v>
          </cell>
          <cell r="R162">
            <v>298</v>
          </cell>
          <cell r="S162">
            <v>5690</v>
          </cell>
          <cell r="T162">
            <v>572</v>
          </cell>
        </row>
        <row r="163">
          <cell r="C163" t="str">
            <v>Census Tract 225, King County, Washington</v>
          </cell>
          <cell r="D163">
            <v>5481</v>
          </cell>
          <cell r="E163">
            <v>5001</v>
          </cell>
          <cell r="F163">
            <v>2310</v>
          </cell>
          <cell r="G163">
            <v>2596</v>
          </cell>
          <cell r="H163">
            <v>397</v>
          </cell>
          <cell r="I163">
            <v>781</v>
          </cell>
          <cell r="J163">
            <v>333</v>
          </cell>
          <cell r="K163">
            <v>1085</v>
          </cell>
          <cell r="L163">
            <v>95</v>
          </cell>
          <cell r="M163">
            <v>0</v>
          </cell>
          <cell r="N163">
            <v>0</v>
          </cell>
          <cell r="O163">
            <v>95</v>
          </cell>
          <cell r="P163">
            <v>480</v>
          </cell>
          <cell r="Q163">
            <v>182</v>
          </cell>
          <cell r="R163">
            <v>298</v>
          </cell>
          <cell r="S163">
            <v>4906</v>
          </cell>
          <cell r="T163">
            <v>575</v>
          </cell>
        </row>
        <row r="164">
          <cell r="C164" t="str">
            <v>Census Tract 226.03, King County, Washington</v>
          </cell>
          <cell r="D164">
            <v>3546</v>
          </cell>
          <cell r="E164">
            <v>3290</v>
          </cell>
          <cell r="F164">
            <v>1653</v>
          </cell>
          <cell r="G164">
            <v>1609</v>
          </cell>
          <cell r="H164">
            <v>158</v>
          </cell>
          <cell r="I164">
            <v>368</v>
          </cell>
          <cell r="J164">
            <v>209</v>
          </cell>
          <cell r="K164">
            <v>874</v>
          </cell>
          <cell r="L164">
            <v>28</v>
          </cell>
          <cell r="M164">
            <v>0</v>
          </cell>
          <cell r="N164">
            <v>0</v>
          </cell>
          <cell r="O164">
            <v>28</v>
          </cell>
          <cell r="P164">
            <v>256</v>
          </cell>
          <cell r="Q164">
            <v>115</v>
          </cell>
          <cell r="R164">
            <v>141</v>
          </cell>
          <cell r="S164">
            <v>3262</v>
          </cell>
          <cell r="T164">
            <v>284</v>
          </cell>
        </row>
        <row r="165">
          <cell r="C165" t="str">
            <v>Census Tract 226.04, King County, Washington</v>
          </cell>
          <cell r="D165">
            <v>3101</v>
          </cell>
          <cell r="E165">
            <v>2882</v>
          </cell>
          <cell r="F165">
            <v>1467</v>
          </cell>
          <cell r="G165">
            <v>1376</v>
          </cell>
          <cell r="H165">
            <v>80</v>
          </cell>
          <cell r="I165">
            <v>321</v>
          </cell>
          <cell r="J165">
            <v>130</v>
          </cell>
          <cell r="K165">
            <v>845</v>
          </cell>
          <cell r="L165">
            <v>39</v>
          </cell>
          <cell r="M165">
            <v>0</v>
          </cell>
          <cell r="N165">
            <v>0</v>
          </cell>
          <cell r="O165">
            <v>39</v>
          </cell>
          <cell r="P165">
            <v>219</v>
          </cell>
          <cell r="Q165">
            <v>114</v>
          </cell>
          <cell r="R165">
            <v>105</v>
          </cell>
          <cell r="S165">
            <v>2843</v>
          </cell>
          <cell r="T165">
            <v>258</v>
          </cell>
        </row>
        <row r="166">
          <cell r="C166" t="str">
            <v>Census Tract 226.05, King County, Washington</v>
          </cell>
          <cell r="D166">
            <v>3529</v>
          </cell>
          <cell r="E166">
            <v>3207</v>
          </cell>
          <cell r="F166">
            <v>1154</v>
          </cell>
          <cell r="G166">
            <v>2007</v>
          </cell>
          <cell r="H166">
            <v>279</v>
          </cell>
          <cell r="I166">
            <v>492</v>
          </cell>
          <cell r="J166">
            <v>284</v>
          </cell>
          <cell r="K166">
            <v>952</v>
          </cell>
          <cell r="L166">
            <v>46</v>
          </cell>
          <cell r="M166">
            <v>0</v>
          </cell>
          <cell r="N166">
            <v>0</v>
          </cell>
          <cell r="O166">
            <v>46</v>
          </cell>
          <cell r="P166">
            <v>322</v>
          </cell>
          <cell r="Q166">
            <v>60</v>
          </cell>
          <cell r="R166">
            <v>262</v>
          </cell>
          <cell r="S166">
            <v>3161</v>
          </cell>
          <cell r="T166">
            <v>368</v>
          </cell>
        </row>
        <row r="167">
          <cell r="C167" t="str">
            <v>Census Tract 226.06, King County, Washington</v>
          </cell>
          <cell r="D167">
            <v>4414</v>
          </cell>
          <cell r="E167">
            <v>4096</v>
          </cell>
          <cell r="F167">
            <v>1686</v>
          </cell>
          <cell r="G167">
            <v>2325</v>
          </cell>
          <cell r="H167">
            <v>360</v>
          </cell>
          <cell r="I167">
            <v>527</v>
          </cell>
          <cell r="J167">
            <v>297</v>
          </cell>
          <cell r="K167">
            <v>1141</v>
          </cell>
          <cell r="L167">
            <v>85</v>
          </cell>
          <cell r="M167">
            <v>0</v>
          </cell>
          <cell r="N167">
            <v>12</v>
          </cell>
          <cell r="O167">
            <v>73</v>
          </cell>
          <cell r="P167">
            <v>318</v>
          </cell>
          <cell r="Q167">
            <v>109</v>
          </cell>
          <cell r="R167">
            <v>209</v>
          </cell>
          <cell r="S167">
            <v>4011</v>
          </cell>
          <cell r="T167">
            <v>403</v>
          </cell>
        </row>
        <row r="168">
          <cell r="C168" t="str">
            <v>Census Tract 227.01, King County, Washington</v>
          </cell>
          <cell r="D168">
            <v>2211</v>
          </cell>
          <cell r="E168">
            <v>1993</v>
          </cell>
          <cell r="F168">
            <v>879</v>
          </cell>
          <cell r="G168">
            <v>1052</v>
          </cell>
          <cell r="H168">
            <v>170</v>
          </cell>
          <cell r="I168">
            <v>362</v>
          </cell>
          <cell r="J168">
            <v>171</v>
          </cell>
          <cell r="K168">
            <v>349</v>
          </cell>
          <cell r="L168">
            <v>62</v>
          </cell>
          <cell r="M168">
            <v>0</v>
          </cell>
          <cell r="N168">
            <v>0</v>
          </cell>
          <cell r="O168">
            <v>62</v>
          </cell>
          <cell r="P168">
            <v>218</v>
          </cell>
          <cell r="Q168">
            <v>91</v>
          </cell>
          <cell r="R168">
            <v>127</v>
          </cell>
          <cell r="S168">
            <v>1931</v>
          </cell>
          <cell r="T168">
            <v>280</v>
          </cell>
        </row>
        <row r="169">
          <cell r="C169" t="str">
            <v>Census Tract 227.02, King County, Washington</v>
          </cell>
          <cell r="D169">
            <v>3052</v>
          </cell>
          <cell r="E169">
            <v>2774</v>
          </cell>
          <cell r="F169">
            <v>1250</v>
          </cell>
          <cell r="G169">
            <v>1472</v>
          </cell>
          <cell r="H169">
            <v>151</v>
          </cell>
          <cell r="I169">
            <v>526</v>
          </cell>
          <cell r="J169">
            <v>129</v>
          </cell>
          <cell r="K169">
            <v>666</v>
          </cell>
          <cell r="L169">
            <v>52</v>
          </cell>
          <cell r="M169">
            <v>0</v>
          </cell>
          <cell r="N169">
            <v>0</v>
          </cell>
          <cell r="O169">
            <v>52</v>
          </cell>
          <cell r="P169">
            <v>278</v>
          </cell>
          <cell r="Q169">
            <v>110</v>
          </cell>
          <cell r="R169">
            <v>168</v>
          </cell>
          <cell r="S169">
            <v>2722</v>
          </cell>
          <cell r="T169">
            <v>330</v>
          </cell>
        </row>
        <row r="170">
          <cell r="C170" t="str">
            <v>Census Tract 227.03, King County, Washington</v>
          </cell>
          <cell r="D170">
            <v>1857</v>
          </cell>
          <cell r="E170">
            <v>1676</v>
          </cell>
          <cell r="F170">
            <v>716</v>
          </cell>
          <cell r="G170">
            <v>950</v>
          </cell>
          <cell r="H170">
            <v>158</v>
          </cell>
          <cell r="I170">
            <v>250</v>
          </cell>
          <cell r="J170">
            <v>170</v>
          </cell>
          <cell r="K170">
            <v>372</v>
          </cell>
          <cell r="L170">
            <v>10</v>
          </cell>
          <cell r="M170">
            <v>0</v>
          </cell>
          <cell r="N170">
            <v>0</v>
          </cell>
          <cell r="O170">
            <v>10</v>
          </cell>
          <cell r="P170">
            <v>181</v>
          </cell>
          <cell r="Q170">
            <v>86</v>
          </cell>
          <cell r="R170">
            <v>95</v>
          </cell>
          <cell r="S170">
            <v>1666</v>
          </cell>
          <cell r="T170">
            <v>191</v>
          </cell>
        </row>
        <row r="171">
          <cell r="C171" t="str">
            <v>Census Tract 228.01, King County, Washington</v>
          </cell>
          <cell r="D171">
            <v>4663</v>
          </cell>
          <cell r="E171">
            <v>3906</v>
          </cell>
          <cell r="F171">
            <v>1509</v>
          </cell>
          <cell r="G171">
            <v>2334</v>
          </cell>
          <cell r="H171">
            <v>359</v>
          </cell>
          <cell r="I171">
            <v>748</v>
          </cell>
          <cell r="J171">
            <v>239</v>
          </cell>
          <cell r="K171">
            <v>988</v>
          </cell>
          <cell r="L171">
            <v>63</v>
          </cell>
          <cell r="M171">
            <v>0</v>
          </cell>
          <cell r="N171">
            <v>0</v>
          </cell>
          <cell r="O171">
            <v>63</v>
          </cell>
          <cell r="P171">
            <v>757</v>
          </cell>
          <cell r="Q171">
            <v>223</v>
          </cell>
          <cell r="R171">
            <v>534</v>
          </cell>
          <cell r="S171">
            <v>3843</v>
          </cell>
          <cell r="T171">
            <v>820</v>
          </cell>
        </row>
        <row r="172">
          <cell r="C172" t="str">
            <v>Census Tract 228.02, King County, Washington</v>
          </cell>
          <cell r="D172">
            <v>3274</v>
          </cell>
          <cell r="E172">
            <v>2896</v>
          </cell>
          <cell r="F172">
            <v>1269</v>
          </cell>
          <cell r="G172">
            <v>1571</v>
          </cell>
          <cell r="H172">
            <v>233</v>
          </cell>
          <cell r="I172">
            <v>459</v>
          </cell>
          <cell r="J172">
            <v>285</v>
          </cell>
          <cell r="K172">
            <v>594</v>
          </cell>
          <cell r="L172">
            <v>56</v>
          </cell>
          <cell r="M172">
            <v>0</v>
          </cell>
          <cell r="N172">
            <v>0</v>
          </cell>
          <cell r="O172">
            <v>56</v>
          </cell>
          <cell r="P172">
            <v>378</v>
          </cell>
          <cell r="Q172">
            <v>186</v>
          </cell>
          <cell r="R172">
            <v>192</v>
          </cell>
          <cell r="S172">
            <v>2840</v>
          </cell>
          <cell r="T172">
            <v>434</v>
          </cell>
        </row>
        <row r="173">
          <cell r="C173" t="str">
            <v>Census Tract 228.03, King County, Washington</v>
          </cell>
          <cell r="D173">
            <v>2806</v>
          </cell>
          <cell r="E173">
            <v>2441</v>
          </cell>
          <cell r="F173">
            <v>1061</v>
          </cell>
          <cell r="G173">
            <v>1336</v>
          </cell>
          <cell r="H173">
            <v>188</v>
          </cell>
          <cell r="I173">
            <v>459</v>
          </cell>
          <cell r="J173">
            <v>164</v>
          </cell>
          <cell r="K173">
            <v>525</v>
          </cell>
          <cell r="L173">
            <v>44</v>
          </cell>
          <cell r="M173">
            <v>0</v>
          </cell>
          <cell r="N173">
            <v>0</v>
          </cell>
          <cell r="O173">
            <v>44</v>
          </cell>
          <cell r="P173">
            <v>365</v>
          </cell>
          <cell r="Q173">
            <v>74</v>
          </cell>
          <cell r="R173">
            <v>291</v>
          </cell>
          <cell r="S173">
            <v>2397</v>
          </cell>
          <cell r="T173">
            <v>409</v>
          </cell>
        </row>
        <row r="174">
          <cell r="C174" t="str">
            <v>Census Tract 229.01, King County, Washington</v>
          </cell>
          <cell r="D174">
            <v>2287</v>
          </cell>
          <cell r="E174">
            <v>1792</v>
          </cell>
          <cell r="F174">
            <v>834</v>
          </cell>
          <cell r="G174">
            <v>926</v>
          </cell>
          <cell r="H174">
            <v>237</v>
          </cell>
          <cell r="I174">
            <v>207</v>
          </cell>
          <cell r="J174">
            <v>106</v>
          </cell>
          <cell r="K174">
            <v>376</v>
          </cell>
          <cell r="L174">
            <v>32</v>
          </cell>
          <cell r="M174">
            <v>0</v>
          </cell>
          <cell r="N174">
            <v>0</v>
          </cell>
          <cell r="O174">
            <v>32</v>
          </cell>
          <cell r="P174">
            <v>495</v>
          </cell>
          <cell r="Q174">
            <v>227</v>
          </cell>
          <cell r="R174">
            <v>268</v>
          </cell>
          <cell r="S174">
            <v>1760</v>
          </cell>
          <cell r="T174">
            <v>527</v>
          </cell>
        </row>
        <row r="175">
          <cell r="C175" t="str">
            <v>Census Tract 229.02, King County, Washington</v>
          </cell>
          <cell r="D175">
            <v>4938</v>
          </cell>
          <cell r="E175">
            <v>4416</v>
          </cell>
          <cell r="F175">
            <v>1787</v>
          </cell>
          <cell r="G175">
            <v>2543</v>
          </cell>
          <cell r="H175">
            <v>388</v>
          </cell>
          <cell r="I175">
            <v>778</v>
          </cell>
          <cell r="J175">
            <v>415</v>
          </cell>
          <cell r="K175">
            <v>962</v>
          </cell>
          <cell r="L175">
            <v>86</v>
          </cell>
          <cell r="M175">
            <v>0</v>
          </cell>
          <cell r="N175">
            <v>0</v>
          </cell>
          <cell r="O175">
            <v>86</v>
          </cell>
          <cell r="P175">
            <v>522</v>
          </cell>
          <cell r="Q175">
            <v>297</v>
          </cell>
          <cell r="R175">
            <v>225</v>
          </cell>
          <cell r="S175">
            <v>4330</v>
          </cell>
          <cell r="T175">
            <v>608</v>
          </cell>
        </row>
        <row r="176">
          <cell r="C176" t="str">
            <v>Census Tract 230, King County, Washington</v>
          </cell>
          <cell r="D176">
            <v>3984</v>
          </cell>
          <cell r="E176">
            <v>3598</v>
          </cell>
          <cell r="F176">
            <v>1737</v>
          </cell>
          <cell r="G176">
            <v>1823</v>
          </cell>
          <cell r="H176">
            <v>255</v>
          </cell>
          <cell r="I176">
            <v>605</v>
          </cell>
          <cell r="J176">
            <v>222</v>
          </cell>
          <cell r="K176">
            <v>741</v>
          </cell>
          <cell r="L176">
            <v>38</v>
          </cell>
          <cell r="M176">
            <v>0</v>
          </cell>
          <cell r="N176">
            <v>0</v>
          </cell>
          <cell r="O176">
            <v>38</v>
          </cell>
          <cell r="P176">
            <v>386</v>
          </cell>
          <cell r="Q176">
            <v>256</v>
          </cell>
          <cell r="R176">
            <v>130</v>
          </cell>
          <cell r="S176">
            <v>3560</v>
          </cell>
          <cell r="T176">
            <v>424</v>
          </cell>
        </row>
        <row r="177">
          <cell r="C177" t="str">
            <v>Census Tract 231, King County, Washington</v>
          </cell>
          <cell r="D177">
            <v>2886</v>
          </cell>
          <cell r="E177">
            <v>2711</v>
          </cell>
          <cell r="F177">
            <v>1190</v>
          </cell>
          <cell r="G177">
            <v>1477</v>
          </cell>
          <cell r="H177">
            <v>230</v>
          </cell>
          <cell r="I177">
            <v>474</v>
          </cell>
          <cell r="J177">
            <v>210</v>
          </cell>
          <cell r="K177">
            <v>563</v>
          </cell>
          <cell r="L177">
            <v>44</v>
          </cell>
          <cell r="M177">
            <v>0</v>
          </cell>
          <cell r="N177">
            <v>0</v>
          </cell>
          <cell r="O177">
            <v>44</v>
          </cell>
          <cell r="P177">
            <v>175</v>
          </cell>
          <cell r="Q177">
            <v>74</v>
          </cell>
          <cell r="R177">
            <v>101</v>
          </cell>
          <cell r="S177">
            <v>2667</v>
          </cell>
          <cell r="T177">
            <v>219</v>
          </cell>
        </row>
        <row r="178">
          <cell r="C178" t="str">
            <v>Census Tract 232.01, King County, Washington</v>
          </cell>
          <cell r="D178">
            <v>3188</v>
          </cell>
          <cell r="E178">
            <v>2336</v>
          </cell>
          <cell r="F178">
            <v>906</v>
          </cell>
          <cell r="G178">
            <v>1386</v>
          </cell>
          <cell r="H178">
            <v>129</v>
          </cell>
          <cell r="I178">
            <v>504</v>
          </cell>
          <cell r="J178">
            <v>213</v>
          </cell>
          <cell r="K178">
            <v>540</v>
          </cell>
          <cell r="L178">
            <v>44</v>
          </cell>
          <cell r="M178">
            <v>0</v>
          </cell>
          <cell r="N178">
            <v>0</v>
          </cell>
          <cell r="O178">
            <v>44</v>
          </cell>
          <cell r="P178">
            <v>852</v>
          </cell>
          <cell r="Q178">
            <v>249</v>
          </cell>
          <cell r="R178">
            <v>603</v>
          </cell>
          <cell r="S178">
            <v>2292</v>
          </cell>
          <cell r="T178">
            <v>896</v>
          </cell>
        </row>
        <row r="179">
          <cell r="C179" t="str">
            <v>Census Tract 232.02, King County, Washington</v>
          </cell>
          <cell r="D179">
            <v>2242</v>
          </cell>
          <cell r="E179">
            <v>1909</v>
          </cell>
          <cell r="F179">
            <v>890</v>
          </cell>
          <cell r="G179">
            <v>996</v>
          </cell>
          <cell r="H179">
            <v>141</v>
          </cell>
          <cell r="I179">
            <v>290</v>
          </cell>
          <cell r="J179">
            <v>59</v>
          </cell>
          <cell r="K179">
            <v>506</v>
          </cell>
          <cell r="L179">
            <v>23</v>
          </cell>
          <cell r="M179">
            <v>0</v>
          </cell>
          <cell r="N179">
            <v>0</v>
          </cell>
          <cell r="O179">
            <v>23</v>
          </cell>
          <cell r="P179">
            <v>333</v>
          </cell>
          <cell r="Q179">
            <v>112</v>
          </cell>
          <cell r="R179">
            <v>221</v>
          </cell>
          <cell r="S179">
            <v>1886</v>
          </cell>
          <cell r="T179">
            <v>356</v>
          </cell>
        </row>
        <row r="180">
          <cell r="C180" t="str">
            <v>Census Tract 233, King County, Washington</v>
          </cell>
          <cell r="D180">
            <v>4494</v>
          </cell>
          <cell r="E180">
            <v>3799</v>
          </cell>
          <cell r="F180">
            <v>1787</v>
          </cell>
          <cell r="G180">
            <v>1971</v>
          </cell>
          <cell r="H180">
            <v>251</v>
          </cell>
          <cell r="I180">
            <v>624</v>
          </cell>
          <cell r="J180">
            <v>323</v>
          </cell>
          <cell r="K180">
            <v>773</v>
          </cell>
          <cell r="L180">
            <v>41</v>
          </cell>
          <cell r="M180">
            <v>0</v>
          </cell>
          <cell r="N180">
            <v>0</v>
          </cell>
          <cell r="O180">
            <v>41</v>
          </cell>
          <cell r="P180">
            <v>695</v>
          </cell>
          <cell r="Q180">
            <v>237</v>
          </cell>
          <cell r="R180">
            <v>458</v>
          </cell>
          <cell r="S180">
            <v>3758</v>
          </cell>
          <cell r="T180">
            <v>736</v>
          </cell>
        </row>
        <row r="181">
          <cell r="C181" t="str">
            <v>Census Tract 234.01, King County, Washington</v>
          </cell>
          <cell r="D181">
            <v>2493</v>
          </cell>
          <cell r="E181">
            <v>2206</v>
          </cell>
          <cell r="F181">
            <v>1090</v>
          </cell>
          <cell r="G181">
            <v>1081</v>
          </cell>
          <cell r="H181">
            <v>82</v>
          </cell>
          <cell r="I181">
            <v>492</v>
          </cell>
          <cell r="J181">
            <v>108</v>
          </cell>
          <cell r="K181">
            <v>399</v>
          </cell>
          <cell r="L181">
            <v>35</v>
          </cell>
          <cell r="M181">
            <v>0</v>
          </cell>
          <cell r="N181">
            <v>0</v>
          </cell>
          <cell r="O181">
            <v>35</v>
          </cell>
          <cell r="P181">
            <v>287</v>
          </cell>
          <cell r="Q181">
            <v>146</v>
          </cell>
          <cell r="R181">
            <v>141</v>
          </cell>
          <cell r="S181">
            <v>2171</v>
          </cell>
          <cell r="T181">
            <v>322</v>
          </cell>
        </row>
        <row r="182">
          <cell r="C182" t="str">
            <v>Census Tract 234.02, King County, Washington</v>
          </cell>
          <cell r="D182">
            <v>6076</v>
          </cell>
          <cell r="E182">
            <v>5645</v>
          </cell>
          <cell r="F182">
            <v>2873</v>
          </cell>
          <cell r="G182">
            <v>2739</v>
          </cell>
          <cell r="H182">
            <v>368</v>
          </cell>
          <cell r="I182">
            <v>765</v>
          </cell>
          <cell r="J182">
            <v>392</v>
          </cell>
          <cell r="K182">
            <v>1214</v>
          </cell>
          <cell r="L182">
            <v>33</v>
          </cell>
          <cell r="M182">
            <v>0</v>
          </cell>
          <cell r="N182">
            <v>0</v>
          </cell>
          <cell r="O182">
            <v>33</v>
          </cell>
          <cell r="P182">
            <v>431</v>
          </cell>
          <cell r="Q182">
            <v>137</v>
          </cell>
          <cell r="R182">
            <v>294</v>
          </cell>
          <cell r="S182">
            <v>5612</v>
          </cell>
          <cell r="T182">
            <v>464</v>
          </cell>
        </row>
        <row r="183">
          <cell r="C183" t="str">
            <v>Census Tract 235, King County, Washington</v>
          </cell>
          <cell r="D183">
            <v>2769</v>
          </cell>
          <cell r="E183">
            <v>2586</v>
          </cell>
          <cell r="F183">
            <v>1215</v>
          </cell>
          <cell r="G183">
            <v>1340</v>
          </cell>
          <cell r="H183">
            <v>159</v>
          </cell>
          <cell r="I183">
            <v>381</v>
          </cell>
          <cell r="J183">
            <v>199</v>
          </cell>
          <cell r="K183">
            <v>601</v>
          </cell>
          <cell r="L183">
            <v>31</v>
          </cell>
          <cell r="M183">
            <v>7</v>
          </cell>
          <cell r="N183">
            <v>0</v>
          </cell>
          <cell r="O183">
            <v>24</v>
          </cell>
          <cell r="P183">
            <v>183</v>
          </cell>
          <cell r="Q183">
            <v>122</v>
          </cell>
          <cell r="R183">
            <v>61</v>
          </cell>
          <cell r="S183">
            <v>2555</v>
          </cell>
          <cell r="T183">
            <v>214</v>
          </cell>
        </row>
        <row r="184">
          <cell r="C184" t="str">
            <v>Census Tract 236.01, King County, Washington</v>
          </cell>
          <cell r="D184">
            <v>2761</v>
          </cell>
          <cell r="E184">
            <v>2400</v>
          </cell>
          <cell r="F184">
            <v>1116</v>
          </cell>
          <cell r="G184">
            <v>1231</v>
          </cell>
          <cell r="H184">
            <v>201</v>
          </cell>
          <cell r="I184">
            <v>367</v>
          </cell>
          <cell r="J184">
            <v>127</v>
          </cell>
          <cell r="K184">
            <v>536</v>
          </cell>
          <cell r="L184">
            <v>53</v>
          </cell>
          <cell r="M184">
            <v>0</v>
          </cell>
          <cell r="N184">
            <v>0</v>
          </cell>
          <cell r="O184">
            <v>53</v>
          </cell>
          <cell r="P184">
            <v>361</v>
          </cell>
          <cell r="Q184">
            <v>190</v>
          </cell>
          <cell r="R184">
            <v>171</v>
          </cell>
          <cell r="S184">
            <v>2347</v>
          </cell>
          <cell r="T184">
            <v>414</v>
          </cell>
        </row>
        <row r="185">
          <cell r="C185" t="str">
            <v>Census Tract 236.03, King County, Washington</v>
          </cell>
          <cell r="D185">
            <v>2870</v>
          </cell>
          <cell r="E185">
            <v>2600</v>
          </cell>
          <cell r="F185">
            <v>836</v>
          </cell>
          <cell r="G185">
            <v>1764</v>
          </cell>
          <cell r="H185">
            <v>316</v>
          </cell>
          <cell r="I185">
            <v>519</v>
          </cell>
          <cell r="J185">
            <v>235</v>
          </cell>
          <cell r="K185">
            <v>694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</v>
          </cell>
          <cell r="Q185">
            <v>64</v>
          </cell>
          <cell r="R185">
            <v>206</v>
          </cell>
          <cell r="S185">
            <v>2600</v>
          </cell>
          <cell r="T185">
            <v>270</v>
          </cell>
        </row>
        <row r="186">
          <cell r="C186" t="str">
            <v>Census Tract 236.04, King County, Washington</v>
          </cell>
          <cell r="D186">
            <v>3662</v>
          </cell>
          <cell r="E186">
            <v>3208</v>
          </cell>
          <cell r="F186">
            <v>1362</v>
          </cell>
          <cell r="G186">
            <v>1813</v>
          </cell>
          <cell r="H186">
            <v>199</v>
          </cell>
          <cell r="I186">
            <v>532</v>
          </cell>
          <cell r="J186">
            <v>297</v>
          </cell>
          <cell r="K186">
            <v>785</v>
          </cell>
          <cell r="L186">
            <v>33</v>
          </cell>
          <cell r="M186">
            <v>0</v>
          </cell>
          <cell r="N186">
            <v>0</v>
          </cell>
          <cell r="O186">
            <v>33</v>
          </cell>
          <cell r="P186">
            <v>454</v>
          </cell>
          <cell r="Q186">
            <v>124</v>
          </cell>
          <cell r="R186">
            <v>330</v>
          </cell>
          <cell r="S186">
            <v>3175</v>
          </cell>
          <cell r="T186">
            <v>487</v>
          </cell>
        </row>
        <row r="187">
          <cell r="C187" t="str">
            <v>Census Tract 237, King County, Washington</v>
          </cell>
          <cell r="D187">
            <v>3268</v>
          </cell>
          <cell r="E187">
            <v>2966</v>
          </cell>
          <cell r="F187">
            <v>1237</v>
          </cell>
          <cell r="G187">
            <v>1645</v>
          </cell>
          <cell r="H187">
            <v>322</v>
          </cell>
          <cell r="I187">
            <v>421</v>
          </cell>
          <cell r="J187">
            <v>291</v>
          </cell>
          <cell r="K187">
            <v>611</v>
          </cell>
          <cell r="L187">
            <v>84</v>
          </cell>
          <cell r="M187">
            <v>0</v>
          </cell>
          <cell r="N187">
            <v>0</v>
          </cell>
          <cell r="O187">
            <v>84</v>
          </cell>
          <cell r="P187">
            <v>302</v>
          </cell>
          <cell r="Q187">
            <v>145</v>
          </cell>
          <cell r="R187">
            <v>157</v>
          </cell>
          <cell r="S187">
            <v>2882</v>
          </cell>
          <cell r="T187">
            <v>386</v>
          </cell>
        </row>
        <row r="188">
          <cell r="C188" t="str">
            <v>Census Tract 238.01, King County, Washington</v>
          </cell>
          <cell r="D188">
            <v>1927</v>
          </cell>
          <cell r="E188">
            <v>1825</v>
          </cell>
          <cell r="F188">
            <v>852</v>
          </cell>
          <cell r="G188">
            <v>973</v>
          </cell>
          <cell r="H188">
            <v>180</v>
          </cell>
          <cell r="I188">
            <v>296</v>
          </cell>
          <cell r="J188">
            <v>165</v>
          </cell>
          <cell r="K188">
            <v>332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102</v>
          </cell>
          <cell r="Q188">
            <v>51</v>
          </cell>
          <cell r="R188">
            <v>51</v>
          </cell>
          <cell r="S188">
            <v>1825</v>
          </cell>
          <cell r="T188">
            <v>102</v>
          </cell>
        </row>
        <row r="189">
          <cell r="C189" t="str">
            <v>Census Tract 238.02, King County, Washington</v>
          </cell>
          <cell r="D189">
            <v>2108</v>
          </cell>
          <cell r="E189">
            <v>1785</v>
          </cell>
          <cell r="F189">
            <v>666</v>
          </cell>
          <cell r="G189">
            <v>1104</v>
          </cell>
          <cell r="H189">
            <v>193</v>
          </cell>
          <cell r="I189">
            <v>335</v>
          </cell>
          <cell r="J189">
            <v>215</v>
          </cell>
          <cell r="K189">
            <v>361</v>
          </cell>
          <cell r="L189">
            <v>15</v>
          </cell>
          <cell r="M189">
            <v>0</v>
          </cell>
          <cell r="N189">
            <v>0</v>
          </cell>
          <cell r="O189">
            <v>15</v>
          </cell>
          <cell r="P189">
            <v>323</v>
          </cell>
          <cell r="Q189">
            <v>178</v>
          </cell>
          <cell r="R189">
            <v>145</v>
          </cell>
          <cell r="S189">
            <v>1770</v>
          </cell>
          <cell r="T189">
            <v>338</v>
          </cell>
        </row>
        <row r="190">
          <cell r="C190" t="str">
            <v>Census Tract 239, King County, Washington</v>
          </cell>
          <cell r="D190">
            <v>5475</v>
          </cell>
          <cell r="E190">
            <v>5004</v>
          </cell>
          <cell r="F190">
            <v>2424</v>
          </cell>
          <cell r="G190">
            <v>2545</v>
          </cell>
          <cell r="H190">
            <v>350</v>
          </cell>
          <cell r="I190">
            <v>824</v>
          </cell>
          <cell r="J190">
            <v>476</v>
          </cell>
          <cell r="K190">
            <v>895</v>
          </cell>
          <cell r="L190">
            <v>35</v>
          </cell>
          <cell r="M190">
            <v>0</v>
          </cell>
          <cell r="N190">
            <v>0</v>
          </cell>
          <cell r="O190">
            <v>35</v>
          </cell>
          <cell r="P190">
            <v>471</v>
          </cell>
          <cell r="Q190">
            <v>299</v>
          </cell>
          <cell r="R190">
            <v>172</v>
          </cell>
          <cell r="S190">
            <v>4969</v>
          </cell>
          <cell r="T190">
            <v>506</v>
          </cell>
        </row>
        <row r="191">
          <cell r="C191" t="str">
            <v>Census Tract 240, King County, Washington</v>
          </cell>
          <cell r="D191">
            <v>5680</v>
          </cell>
          <cell r="E191">
            <v>5063</v>
          </cell>
          <cell r="F191">
            <v>2357</v>
          </cell>
          <cell r="G191">
            <v>2645</v>
          </cell>
          <cell r="H191">
            <v>413</v>
          </cell>
          <cell r="I191">
            <v>843</v>
          </cell>
          <cell r="J191">
            <v>337</v>
          </cell>
          <cell r="K191">
            <v>1052</v>
          </cell>
          <cell r="L191">
            <v>61</v>
          </cell>
          <cell r="M191">
            <v>0</v>
          </cell>
          <cell r="N191">
            <v>0</v>
          </cell>
          <cell r="O191">
            <v>61</v>
          </cell>
          <cell r="P191">
            <v>617</v>
          </cell>
          <cell r="Q191">
            <v>282</v>
          </cell>
          <cell r="R191">
            <v>335</v>
          </cell>
          <cell r="S191">
            <v>5002</v>
          </cell>
          <cell r="T191">
            <v>678</v>
          </cell>
        </row>
        <row r="192">
          <cell r="C192" t="str">
            <v>Census Tract 241, King County, Washington</v>
          </cell>
          <cell r="D192">
            <v>3921</v>
          </cell>
          <cell r="E192">
            <v>3657</v>
          </cell>
          <cell r="F192">
            <v>1872</v>
          </cell>
          <cell r="G192">
            <v>1752</v>
          </cell>
          <cell r="H192">
            <v>328</v>
          </cell>
          <cell r="I192">
            <v>458</v>
          </cell>
          <cell r="J192">
            <v>260</v>
          </cell>
          <cell r="K192">
            <v>706</v>
          </cell>
          <cell r="L192">
            <v>33</v>
          </cell>
          <cell r="M192">
            <v>0</v>
          </cell>
          <cell r="N192">
            <v>0</v>
          </cell>
          <cell r="O192">
            <v>33</v>
          </cell>
          <cell r="P192">
            <v>264</v>
          </cell>
          <cell r="Q192">
            <v>155</v>
          </cell>
          <cell r="R192">
            <v>109</v>
          </cell>
          <cell r="S192">
            <v>3624</v>
          </cell>
          <cell r="T192">
            <v>297</v>
          </cell>
        </row>
        <row r="193">
          <cell r="C193" t="str">
            <v>Census Tract 242, King County, Washington</v>
          </cell>
          <cell r="D193">
            <v>2762</v>
          </cell>
          <cell r="E193">
            <v>2588</v>
          </cell>
          <cell r="F193">
            <v>1326</v>
          </cell>
          <cell r="G193">
            <v>1223</v>
          </cell>
          <cell r="H193">
            <v>245</v>
          </cell>
          <cell r="I193">
            <v>310</v>
          </cell>
          <cell r="J193">
            <v>184</v>
          </cell>
          <cell r="K193">
            <v>484</v>
          </cell>
          <cell r="L193">
            <v>39</v>
          </cell>
          <cell r="M193">
            <v>0</v>
          </cell>
          <cell r="N193">
            <v>0</v>
          </cell>
          <cell r="O193">
            <v>39</v>
          </cell>
          <cell r="P193">
            <v>174</v>
          </cell>
          <cell r="Q193">
            <v>76</v>
          </cell>
          <cell r="R193">
            <v>98</v>
          </cell>
          <cell r="S193">
            <v>2549</v>
          </cell>
          <cell r="T193">
            <v>213</v>
          </cell>
        </row>
        <row r="194">
          <cell r="C194" t="str">
            <v>Census Tract 243, King County, Washington</v>
          </cell>
          <cell r="D194">
            <v>5208</v>
          </cell>
          <cell r="E194">
            <v>4718</v>
          </cell>
          <cell r="F194">
            <v>1938</v>
          </cell>
          <cell r="G194">
            <v>2738</v>
          </cell>
          <cell r="H194">
            <v>559</v>
          </cell>
          <cell r="I194">
            <v>921</v>
          </cell>
          <cell r="J194">
            <v>299</v>
          </cell>
          <cell r="K194">
            <v>959</v>
          </cell>
          <cell r="L194">
            <v>42</v>
          </cell>
          <cell r="M194">
            <v>0</v>
          </cell>
          <cell r="N194">
            <v>9</v>
          </cell>
          <cell r="O194">
            <v>33</v>
          </cell>
          <cell r="P194">
            <v>490</v>
          </cell>
          <cell r="Q194">
            <v>333</v>
          </cell>
          <cell r="R194">
            <v>157</v>
          </cell>
          <cell r="S194">
            <v>4676</v>
          </cell>
          <cell r="T194">
            <v>532</v>
          </cell>
        </row>
        <row r="195">
          <cell r="C195" t="str">
            <v>Census Tract 244, King County, Washington</v>
          </cell>
          <cell r="D195">
            <v>2023</v>
          </cell>
          <cell r="E195">
            <v>1850</v>
          </cell>
          <cell r="F195">
            <v>690</v>
          </cell>
          <cell r="G195">
            <v>1112</v>
          </cell>
          <cell r="H195">
            <v>204</v>
          </cell>
          <cell r="I195">
            <v>305</v>
          </cell>
          <cell r="J195">
            <v>212</v>
          </cell>
          <cell r="K195">
            <v>391</v>
          </cell>
          <cell r="L195">
            <v>48</v>
          </cell>
          <cell r="M195">
            <v>0</v>
          </cell>
          <cell r="N195">
            <v>0</v>
          </cell>
          <cell r="O195">
            <v>48</v>
          </cell>
          <cell r="P195">
            <v>173</v>
          </cell>
          <cell r="Q195">
            <v>102</v>
          </cell>
          <cell r="R195">
            <v>71</v>
          </cell>
          <cell r="S195">
            <v>1802</v>
          </cell>
          <cell r="T195">
            <v>221</v>
          </cell>
        </row>
        <row r="196">
          <cell r="C196" t="str">
            <v>Census Tract 245, King County, Washington</v>
          </cell>
          <cell r="D196">
            <v>4006</v>
          </cell>
          <cell r="E196">
            <v>3655</v>
          </cell>
          <cell r="F196">
            <v>1556</v>
          </cell>
          <cell r="G196">
            <v>2048</v>
          </cell>
          <cell r="H196">
            <v>392</v>
          </cell>
          <cell r="I196">
            <v>658</v>
          </cell>
          <cell r="J196">
            <v>244</v>
          </cell>
          <cell r="K196">
            <v>754</v>
          </cell>
          <cell r="L196">
            <v>51</v>
          </cell>
          <cell r="M196">
            <v>11</v>
          </cell>
          <cell r="N196">
            <v>0</v>
          </cell>
          <cell r="O196">
            <v>40</v>
          </cell>
          <cell r="P196">
            <v>351</v>
          </cell>
          <cell r="Q196">
            <v>194</v>
          </cell>
          <cell r="R196">
            <v>157</v>
          </cell>
          <cell r="S196">
            <v>3604</v>
          </cell>
          <cell r="T196">
            <v>402</v>
          </cell>
        </row>
        <row r="197">
          <cell r="C197" t="str">
            <v>Census Tract 246.01, King County, Washington</v>
          </cell>
          <cell r="D197">
            <v>3896</v>
          </cell>
          <cell r="E197">
            <v>3482</v>
          </cell>
          <cell r="F197">
            <v>1520</v>
          </cell>
          <cell r="G197">
            <v>1962</v>
          </cell>
          <cell r="H197">
            <v>439</v>
          </cell>
          <cell r="I197">
            <v>713</v>
          </cell>
          <cell r="J197">
            <v>181</v>
          </cell>
          <cell r="K197">
            <v>629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414</v>
          </cell>
          <cell r="Q197">
            <v>306</v>
          </cell>
          <cell r="R197">
            <v>108</v>
          </cell>
          <cell r="S197">
            <v>3482</v>
          </cell>
          <cell r="T197">
            <v>414</v>
          </cell>
        </row>
        <row r="198">
          <cell r="C198" t="str">
            <v>Census Tract 246.02, King County, Washington</v>
          </cell>
          <cell r="D198">
            <v>3162</v>
          </cell>
          <cell r="E198">
            <v>2989</v>
          </cell>
          <cell r="F198">
            <v>1274</v>
          </cell>
          <cell r="G198">
            <v>1703</v>
          </cell>
          <cell r="H198">
            <v>454</v>
          </cell>
          <cell r="I198">
            <v>433</v>
          </cell>
          <cell r="J198">
            <v>174</v>
          </cell>
          <cell r="K198">
            <v>642</v>
          </cell>
          <cell r="L198">
            <v>12</v>
          </cell>
          <cell r="M198">
            <v>0</v>
          </cell>
          <cell r="N198">
            <v>0</v>
          </cell>
          <cell r="O198">
            <v>12</v>
          </cell>
          <cell r="P198">
            <v>173</v>
          </cell>
          <cell r="Q198">
            <v>109</v>
          </cell>
          <cell r="R198">
            <v>64</v>
          </cell>
          <cell r="S198">
            <v>2977</v>
          </cell>
          <cell r="T198">
            <v>185</v>
          </cell>
        </row>
        <row r="199">
          <cell r="C199" t="str">
            <v>Census Tract 247.01, King County, Washington</v>
          </cell>
          <cell r="D199">
            <v>2760</v>
          </cell>
          <cell r="E199">
            <v>2565</v>
          </cell>
          <cell r="F199">
            <v>1061</v>
          </cell>
          <cell r="G199">
            <v>1469</v>
          </cell>
          <cell r="H199">
            <v>329</v>
          </cell>
          <cell r="I199">
            <v>317</v>
          </cell>
          <cell r="J199">
            <v>250</v>
          </cell>
          <cell r="K199">
            <v>573</v>
          </cell>
          <cell r="L199">
            <v>35</v>
          </cell>
          <cell r="M199">
            <v>5</v>
          </cell>
          <cell r="N199">
            <v>0</v>
          </cell>
          <cell r="O199">
            <v>30</v>
          </cell>
          <cell r="P199">
            <v>195</v>
          </cell>
          <cell r="Q199">
            <v>145</v>
          </cell>
          <cell r="R199">
            <v>50</v>
          </cell>
          <cell r="S199">
            <v>2530</v>
          </cell>
          <cell r="T199">
            <v>230</v>
          </cell>
        </row>
        <row r="200">
          <cell r="C200" t="str">
            <v>Census Tract 247.02, King County, Washington</v>
          </cell>
          <cell r="D200">
            <v>4525</v>
          </cell>
          <cell r="E200">
            <v>4150</v>
          </cell>
          <cell r="F200">
            <v>2048</v>
          </cell>
          <cell r="G200">
            <v>2065</v>
          </cell>
          <cell r="H200">
            <v>177</v>
          </cell>
          <cell r="I200">
            <v>779</v>
          </cell>
          <cell r="J200">
            <v>372</v>
          </cell>
          <cell r="K200">
            <v>737</v>
          </cell>
          <cell r="L200">
            <v>37</v>
          </cell>
          <cell r="M200">
            <v>0</v>
          </cell>
          <cell r="N200">
            <v>0</v>
          </cell>
          <cell r="O200">
            <v>37</v>
          </cell>
          <cell r="P200">
            <v>375</v>
          </cell>
          <cell r="Q200">
            <v>190</v>
          </cell>
          <cell r="R200">
            <v>185</v>
          </cell>
          <cell r="S200">
            <v>4113</v>
          </cell>
          <cell r="T200">
            <v>412</v>
          </cell>
        </row>
        <row r="201">
          <cell r="C201" t="str">
            <v>Census Tract 248, King County, Washington</v>
          </cell>
          <cell r="D201">
            <v>3789</v>
          </cell>
          <cell r="E201">
            <v>3355</v>
          </cell>
          <cell r="F201">
            <v>1706</v>
          </cell>
          <cell r="G201">
            <v>1604</v>
          </cell>
          <cell r="H201">
            <v>189</v>
          </cell>
          <cell r="I201">
            <v>420</v>
          </cell>
          <cell r="J201">
            <v>233</v>
          </cell>
          <cell r="K201">
            <v>762</v>
          </cell>
          <cell r="L201">
            <v>45</v>
          </cell>
          <cell r="M201">
            <v>0</v>
          </cell>
          <cell r="N201">
            <v>10</v>
          </cell>
          <cell r="O201">
            <v>35</v>
          </cell>
          <cell r="P201">
            <v>434</v>
          </cell>
          <cell r="Q201">
            <v>163</v>
          </cell>
          <cell r="R201">
            <v>271</v>
          </cell>
          <cell r="S201">
            <v>3310</v>
          </cell>
          <cell r="T201">
            <v>479</v>
          </cell>
        </row>
        <row r="202">
          <cell r="C202" t="str">
            <v>Census Tract 249.01, King County, Washington</v>
          </cell>
          <cell r="D202">
            <v>3561</v>
          </cell>
          <cell r="E202">
            <v>3189</v>
          </cell>
          <cell r="F202">
            <v>1357</v>
          </cell>
          <cell r="G202">
            <v>1828</v>
          </cell>
          <cell r="H202">
            <v>312</v>
          </cell>
          <cell r="I202">
            <v>641</v>
          </cell>
          <cell r="J202">
            <v>199</v>
          </cell>
          <cell r="K202">
            <v>676</v>
          </cell>
          <cell r="L202">
            <v>4</v>
          </cell>
          <cell r="M202">
            <v>0</v>
          </cell>
          <cell r="N202">
            <v>0</v>
          </cell>
          <cell r="O202">
            <v>4</v>
          </cell>
          <cell r="P202">
            <v>372</v>
          </cell>
          <cell r="Q202">
            <v>156</v>
          </cell>
          <cell r="R202">
            <v>216</v>
          </cell>
          <cell r="S202">
            <v>3185</v>
          </cell>
          <cell r="T202">
            <v>376</v>
          </cell>
        </row>
        <row r="203">
          <cell r="C203" t="str">
            <v>Census Tract 249.02, King County, Washington</v>
          </cell>
          <cell r="D203">
            <v>2809</v>
          </cell>
          <cell r="E203">
            <v>2575</v>
          </cell>
          <cell r="F203">
            <v>1170</v>
          </cell>
          <cell r="G203">
            <v>1352</v>
          </cell>
          <cell r="H203">
            <v>138</v>
          </cell>
          <cell r="I203">
            <v>471</v>
          </cell>
          <cell r="J203">
            <v>131</v>
          </cell>
          <cell r="K203">
            <v>612</v>
          </cell>
          <cell r="L203">
            <v>53</v>
          </cell>
          <cell r="M203">
            <v>0</v>
          </cell>
          <cell r="N203">
            <v>0</v>
          </cell>
          <cell r="O203">
            <v>53</v>
          </cell>
          <cell r="P203">
            <v>234</v>
          </cell>
          <cell r="Q203">
            <v>109</v>
          </cell>
          <cell r="R203">
            <v>125</v>
          </cell>
          <cell r="S203">
            <v>2522</v>
          </cell>
          <cell r="T203">
            <v>287</v>
          </cell>
        </row>
        <row r="204">
          <cell r="C204" t="str">
            <v>Census Tract 249.03, King County, Washington</v>
          </cell>
          <cell r="D204">
            <v>4476</v>
          </cell>
          <cell r="E204">
            <v>4046</v>
          </cell>
          <cell r="F204">
            <v>1598</v>
          </cell>
          <cell r="G204">
            <v>2396</v>
          </cell>
          <cell r="H204">
            <v>447</v>
          </cell>
          <cell r="I204">
            <v>723</v>
          </cell>
          <cell r="J204">
            <v>337</v>
          </cell>
          <cell r="K204">
            <v>889</v>
          </cell>
          <cell r="L204">
            <v>52</v>
          </cell>
          <cell r="M204">
            <v>0</v>
          </cell>
          <cell r="N204">
            <v>0</v>
          </cell>
          <cell r="O204">
            <v>52</v>
          </cell>
          <cell r="P204">
            <v>430</v>
          </cell>
          <cell r="Q204">
            <v>239</v>
          </cell>
          <cell r="R204">
            <v>191</v>
          </cell>
          <cell r="S204">
            <v>3994</v>
          </cell>
          <cell r="T204">
            <v>482</v>
          </cell>
        </row>
        <row r="205">
          <cell r="C205" t="str">
            <v>Census Tract 250.01, King County, Washington</v>
          </cell>
          <cell r="D205">
            <v>3667</v>
          </cell>
          <cell r="E205">
            <v>3314</v>
          </cell>
          <cell r="F205">
            <v>1447</v>
          </cell>
          <cell r="G205">
            <v>1830</v>
          </cell>
          <cell r="H205">
            <v>208</v>
          </cell>
          <cell r="I205">
            <v>641</v>
          </cell>
          <cell r="J205">
            <v>215</v>
          </cell>
          <cell r="K205">
            <v>766</v>
          </cell>
          <cell r="L205">
            <v>37</v>
          </cell>
          <cell r="M205">
            <v>0</v>
          </cell>
          <cell r="N205">
            <v>0</v>
          </cell>
          <cell r="O205">
            <v>37</v>
          </cell>
          <cell r="P205">
            <v>353</v>
          </cell>
          <cell r="Q205">
            <v>200</v>
          </cell>
          <cell r="R205">
            <v>153</v>
          </cell>
          <cell r="S205">
            <v>3277</v>
          </cell>
          <cell r="T205">
            <v>390</v>
          </cell>
        </row>
        <row r="206">
          <cell r="C206" t="str">
            <v>Census Tract 250.03, King County, Washington</v>
          </cell>
          <cell r="D206">
            <v>5121</v>
          </cell>
          <cell r="E206">
            <v>4783</v>
          </cell>
          <cell r="F206">
            <v>2125</v>
          </cell>
          <cell r="G206">
            <v>2625</v>
          </cell>
          <cell r="H206">
            <v>398</v>
          </cell>
          <cell r="I206">
            <v>773</v>
          </cell>
          <cell r="J206">
            <v>480</v>
          </cell>
          <cell r="K206">
            <v>974</v>
          </cell>
          <cell r="L206">
            <v>33</v>
          </cell>
          <cell r="M206">
            <v>0</v>
          </cell>
          <cell r="N206">
            <v>0</v>
          </cell>
          <cell r="O206">
            <v>33</v>
          </cell>
          <cell r="P206">
            <v>338</v>
          </cell>
          <cell r="Q206">
            <v>199</v>
          </cell>
          <cell r="R206">
            <v>139</v>
          </cell>
          <cell r="S206">
            <v>4750</v>
          </cell>
          <cell r="T206">
            <v>371</v>
          </cell>
        </row>
        <row r="207">
          <cell r="C207" t="str">
            <v>Census Tract 250.04, King County, Washington</v>
          </cell>
          <cell r="D207">
            <v>3172</v>
          </cell>
          <cell r="E207">
            <v>2989</v>
          </cell>
          <cell r="F207">
            <v>1433</v>
          </cell>
          <cell r="G207">
            <v>1513</v>
          </cell>
          <cell r="H207">
            <v>327</v>
          </cell>
          <cell r="I207">
            <v>448</v>
          </cell>
          <cell r="J207">
            <v>247</v>
          </cell>
          <cell r="K207">
            <v>491</v>
          </cell>
          <cell r="L207">
            <v>43</v>
          </cell>
          <cell r="M207">
            <v>0</v>
          </cell>
          <cell r="N207">
            <v>0</v>
          </cell>
          <cell r="O207">
            <v>43</v>
          </cell>
          <cell r="P207">
            <v>183</v>
          </cell>
          <cell r="Q207">
            <v>109</v>
          </cell>
          <cell r="R207">
            <v>74</v>
          </cell>
          <cell r="S207">
            <v>2946</v>
          </cell>
          <cell r="T207">
            <v>226</v>
          </cell>
        </row>
        <row r="208">
          <cell r="C208" t="str">
            <v>Census Tract 251.01, King County, Washington</v>
          </cell>
          <cell r="D208">
            <v>3309</v>
          </cell>
          <cell r="E208">
            <v>3049</v>
          </cell>
          <cell r="F208">
            <v>1657</v>
          </cell>
          <cell r="G208">
            <v>1360</v>
          </cell>
          <cell r="H208">
            <v>149</v>
          </cell>
          <cell r="I208">
            <v>406</v>
          </cell>
          <cell r="J208">
            <v>130</v>
          </cell>
          <cell r="K208">
            <v>675</v>
          </cell>
          <cell r="L208">
            <v>32</v>
          </cell>
          <cell r="M208">
            <v>0</v>
          </cell>
          <cell r="N208">
            <v>0</v>
          </cell>
          <cell r="O208">
            <v>32</v>
          </cell>
          <cell r="P208">
            <v>260</v>
          </cell>
          <cell r="Q208">
            <v>78</v>
          </cell>
          <cell r="R208">
            <v>182</v>
          </cell>
          <cell r="S208">
            <v>3017</v>
          </cell>
          <cell r="T208">
            <v>292</v>
          </cell>
        </row>
        <row r="209">
          <cell r="C209" t="str">
            <v>Census Tract 251.02, King County, Washington</v>
          </cell>
          <cell r="D209">
            <v>3366</v>
          </cell>
          <cell r="E209">
            <v>3179</v>
          </cell>
          <cell r="F209">
            <v>1874</v>
          </cell>
          <cell r="G209">
            <v>1232</v>
          </cell>
          <cell r="H209">
            <v>112</v>
          </cell>
          <cell r="I209">
            <v>496</v>
          </cell>
          <cell r="J209">
            <v>100</v>
          </cell>
          <cell r="K209">
            <v>524</v>
          </cell>
          <cell r="L209">
            <v>73</v>
          </cell>
          <cell r="M209">
            <v>0</v>
          </cell>
          <cell r="N209">
            <v>0</v>
          </cell>
          <cell r="O209">
            <v>73</v>
          </cell>
          <cell r="P209">
            <v>187</v>
          </cell>
          <cell r="Q209">
            <v>83</v>
          </cell>
          <cell r="R209">
            <v>104</v>
          </cell>
          <cell r="S209">
            <v>3106</v>
          </cell>
          <cell r="T209">
            <v>260</v>
          </cell>
        </row>
        <row r="210">
          <cell r="C210" t="str">
            <v>Census Tract 252, King County, Washington</v>
          </cell>
          <cell r="D210">
            <v>4642</v>
          </cell>
          <cell r="E210">
            <v>4429</v>
          </cell>
          <cell r="F210">
            <v>2621</v>
          </cell>
          <cell r="G210">
            <v>1760</v>
          </cell>
          <cell r="H210">
            <v>189</v>
          </cell>
          <cell r="I210">
            <v>796</v>
          </cell>
          <cell r="J210">
            <v>163</v>
          </cell>
          <cell r="K210">
            <v>612</v>
          </cell>
          <cell r="L210">
            <v>48</v>
          </cell>
          <cell r="M210">
            <v>0</v>
          </cell>
          <cell r="N210">
            <v>0</v>
          </cell>
          <cell r="O210">
            <v>48</v>
          </cell>
          <cell r="P210">
            <v>213</v>
          </cell>
          <cell r="Q210">
            <v>123</v>
          </cell>
          <cell r="R210">
            <v>90</v>
          </cell>
          <cell r="S210">
            <v>4381</v>
          </cell>
          <cell r="T210">
            <v>261</v>
          </cell>
        </row>
        <row r="211">
          <cell r="C211" t="str">
            <v>Census Tract 253, King County, Washington</v>
          </cell>
          <cell r="D211">
            <v>5196</v>
          </cell>
          <cell r="E211">
            <v>5008</v>
          </cell>
          <cell r="F211">
            <v>2832</v>
          </cell>
          <cell r="G211">
            <v>2169</v>
          </cell>
          <cell r="H211">
            <v>107</v>
          </cell>
          <cell r="I211">
            <v>764</v>
          </cell>
          <cell r="J211">
            <v>276</v>
          </cell>
          <cell r="K211">
            <v>1022</v>
          </cell>
          <cell r="L211">
            <v>7</v>
          </cell>
          <cell r="M211">
            <v>0</v>
          </cell>
          <cell r="N211">
            <v>0</v>
          </cell>
          <cell r="O211">
            <v>7</v>
          </cell>
          <cell r="P211">
            <v>188</v>
          </cell>
          <cell r="Q211">
            <v>99</v>
          </cell>
          <cell r="R211">
            <v>89</v>
          </cell>
          <cell r="S211">
            <v>5001</v>
          </cell>
          <cell r="T211">
            <v>195</v>
          </cell>
        </row>
        <row r="212">
          <cell r="C212" t="str">
            <v>Census Tract 254, King County, Washington</v>
          </cell>
          <cell r="D212">
            <v>4106</v>
          </cell>
          <cell r="E212">
            <v>3780</v>
          </cell>
          <cell r="F212">
            <v>1986</v>
          </cell>
          <cell r="G212">
            <v>1768</v>
          </cell>
          <cell r="H212">
            <v>220</v>
          </cell>
          <cell r="I212">
            <v>525</v>
          </cell>
          <cell r="J212">
            <v>218</v>
          </cell>
          <cell r="K212">
            <v>805</v>
          </cell>
          <cell r="L212">
            <v>26</v>
          </cell>
          <cell r="M212">
            <v>0</v>
          </cell>
          <cell r="N212">
            <v>0</v>
          </cell>
          <cell r="O212">
            <v>26</v>
          </cell>
          <cell r="P212">
            <v>326</v>
          </cell>
          <cell r="Q212">
            <v>177</v>
          </cell>
          <cell r="R212">
            <v>149</v>
          </cell>
          <cell r="S212">
            <v>3754</v>
          </cell>
          <cell r="T212">
            <v>352</v>
          </cell>
        </row>
        <row r="213">
          <cell r="C213" t="str">
            <v>Census Tract 255, King County, Washington</v>
          </cell>
          <cell r="D213">
            <v>2816</v>
          </cell>
          <cell r="E213">
            <v>2642</v>
          </cell>
          <cell r="F213">
            <v>1385</v>
          </cell>
          <cell r="G213">
            <v>1240</v>
          </cell>
          <cell r="H213">
            <v>142</v>
          </cell>
          <cell r="I213">
            <v>421</v>
          </cell>
          <cell r="J213">
            <v>107</v>
          </cell>
          <cell r="K213">
            <v>570</v>
          </cell>
          <cell r="L213">
            <v>17</v>
          </cell>
          <cell r="M213">
            <v>0</v>
          </cell>
          <cell r="N213">
            <v>0</v>
          </cell>
          <cell r="O213">
            <v>17</v>
          </cell>
          <cell r="P213">
            <v>174</v>
          </cell>
          <cell r="Q213">
            <v>104</v>
          </cell>
          <cell r="R213">
            <v>70</v>
          </cell>
          <cell r="S213">
            <v>2625</v>
          </cell>
          <cell r="T213">
            <v>191</v>
          </cell>
        </row>
        <row r="214">
          <cell r="C214" t="str">
            <v>Census Tract 256, King County, Washington</v>
          </cell>
          <cell r="D214">
            <v>4865</v>
          </cell>
          <cell r="E214">
            <v>4670</v>
          </cell>
          <cell r="F214">
            <v>2814</v>
          </cell>
          <cell r="G214">
            <v>1804</v>
          </cell>
          <cell r="H214">
            <v>157</v>
          </cell>
          <cell r="I214">
            <v>729</v>
          </cell>
          <cell r="J214">
            <v>260</v>
          </cell>
          <cell r="K214">
            <v>658</v>
          </cell>
          <cell r="L214">
            <v>52</v>
          </cell>
          <cell r="M214">
            <v>0</v>
          </cell>
          <cell r="N214">
            <v>16</v>
          </cell>
          <cell r="O214">
            <v>36</v>
          </cell>
          <cell r="P214">
            <v>195</v>
          </cell>
          <cell r="Q214">
            <v>98</v>
          </cell>
          <cell r="R214">
            <v>97</v>
          </cell>
          <cell r="S214">
            <v>4618</v>
          </cell>
          <cell r="T214">
            <v>247</v>
          </cell>
        </row>
        <row r="215">
          <cell r="C215" t="str">
            <v>Census Tract 257.01, King County, Washington</v>
          </cell>
          <cell r="D215">
            <v>3546</v>
          </cell>
          <cell r="E215">
            <v>2772</v>
          </cell>
          <cell r="F215">
            <v>1506</v>
          </cell>
          <cell r="G215">
            <v>1221</v>
          </cell>
          <cell r="H215">
            <v>137</v>
          </cell>
          <cell r="I215">
            <v>314</v>
          </cell>
          <cell r="J215">
            <v>146</v>
          </cell>
          <cell r="K215">
            <v>624</v>
          </cell>
          <cell r="L215">
            <v>45</v>
          </cell>
          <cell r="M215">
            <v>0</v>
          </cell>
          <cell r="N215">
            <v>0</v>
          </cell>
          <cell r="O215">
            <v>45</v>
          </cell>
          <cell r="P215">
            <v>774</v>
          </cell>
          <cell r="Q215">
            <v>154</v>
          </cell>
          <cell r="R215">
            <v>620</v>
          </cell>
          <cell r="S215">
            <v>2727</v>
          </cell>
          <cell r="T215">
            <v>819</v>
          </cell>
        </row>
        <row r="216">
          <cell r="C216" t="str">
            <v>Census Tract 257.02, King County, Washington</v>
          </cell>
          <cell r="D216">
            <v>2289</v>
          </cell>
          <cell r="E216">
            <v>2237</v>
          </cell>
          <cell r="F216">
            <v>1233</v>
          </cell>
          <cell r="G216">
            <v>985</v>
          </cell>
          <cell r="H216">
            <v>102</v>
          </cell>
          <cell r="I216">
            <v>390</v>
          </cell>
          <cell r="J216">
            <v>77</v>
          </cell>
          <cell r="K216">
            <v>416</v>
          </cell>
          <cell r="L216">
            <v>19</v>
          </cell>
          <cell r="M216">
            <v>0</v>
          </cell>
          <cell r="N216">
            <v>0</v>
          </cell>
          <cell r="O216">
            <v>19</v>
          </cell>
          <cell r="P216">
            <v>52</v>
          </cell>
          <cell r="Q216">
            <v>23</v>
          </cell>
          <cell r="R216">
            <v>29</v>
          </cell>
          <cell r="S216">
            <v>2218</v>
          </cell>
          <cell r="T216">
            <v>71</v>
          </cell>
        </row>
        <row r="217">
          <cell r="C217" t="str">
            <v>Census Tract 258.01, King County, Washington</v>
          </cell>
          <cell r="D217">
            <v>4741</v>
          </cell>
          <cell r="E217">
            <v>4414</v>
          </cell>
          <cell r="F217">
            <v>2390</v>
          </cell>
          <cell r="G217">
            <v>1959</v>
          </cell>
          <cell r="H217">
            <v>150</v>
          </cell>
          <cell r="I217">
            <v>536</v>
          </cell>
          <cell r="J217">
            <v>216</v>
          </cell>
          <cell r="K217">
            <v>1057</v>
          </cell>
          <cell r="L217">
            <v>65</v>
          </cell>
          <cell r="M217">
            <v>0</v>
          </cell>
          <cell r="N217">
            <v>0</v>
          </cell>
          <cell r="O217">
            <v>65</v>
          </cell>
          <cell r="P217">
            <v>327</v>
          </cell>
          <cell r="Q217">
            <v>129</v>
          </cell>
          <cell r="R217">
            <v>198</v>
          </cell>
          <cell r="S217">
            <v>4349</v>
          </cell>
          <cell r="T217">
            <v>392</v>
          </cell>
        </row>
        <row r="218">
          <cell r="C218" t="str">
            <v>Census Tract 258.03, King County, Washington</v>
          </cell>
          <cell r="D218">
            <v>2802</v>
          </cell>
          <cell r="E218">
            <v>2684</v>
          </cell>
          <cell r="F218">
            <v>1683</v>
          </cell>
          <cell r="G218">
            <v>959</v>
          </cell>
          <cell r="H218">
            <v>53</v>
          </cell>
          <cell r="I218">
            <v>295</v>
          </cell>
          <cell r="J218">
            <v>123</v>
          </cell>
          <cell r="K218">
            <v>488</v>
          </cell>
          <cell r="L218">
            <v>42</v>
          </cell>
          <cell r="M218">
            <v>0</v>
          </cell>
          <cell r="N218">
            <v>0</v>
          </cell>
          <cell r="O218">
            <v>42</v>
          </cell>
          <cell r="P218">
            <v>118</v>
          </cell>
          <cell r="Q218">
            <v>25</v>
          </cell>
          <cell r="R218">
            <v>93</v>
          </cell>
          <cell r="S218">
            <v>2642</v>
          </cell>
          <cell r="T218">
            <v>160</v>
          </cell>
        </row>
        <row r="219">
          <cell r="C219" t="str">
            <v>Census Tract 258.04, King County, Washington</v>
          </cell>
          <cell r="D219">
            <v>2882</v>
          </cell>
          <cell r="E219">
            <v>2793</v>
          </cell>
          <cell r="F219">
            <v>1657</v>
          </cell>
          <cell r="G219">
            <v>1080</v>
          </cell>
          <cell r="H219">
            <v>112</v>
          </cell>
          <cell r="I219">
            <v>335</v>
          </cell>
          <cell r="J219">
            <v>141</v>
          </cell>
          <cell r="K219">
            <v>492</v>
          </cell>
          <cell r="L219">
            <v>56</v>
          </cell>
          <cell r="M219">
            <v>0</v>
          </cell>
          <cell r="N219">
            <v>0</v>
          </cell>
          <cell r="O219">
            <v>56</v>
          </cell>
          <cell r="P219">
            <v>89</v>
          </cell>
          <cell r="Q219">
            <v>66</v>
          </cell>
          <cell r="R219">
            <v>23</v>
          </cell>
          <cell r="S219">
            <v>2737</v>
          </cell>
          <cell r="T219">
            <v>145</v>
          </cell>
        </row>
        <row r="220">
          <cell r="C220" t="str">
            <v>Census Tract 260.01, King County, Washington</v>
          </cell>
          <cell r="D220">
            <v>2409</v>
          </cell>
          <cell r="E220">
            <v>2304</v>
          </cell>
          <cell r="F220">
            <v>1322</v>
          </cell>
          <cell r="G220">
            <v>939</v>
          </cell>
          <cell r="H220">
            <v>103</v>
          </cell>
          <cell r="I220">
            <v>374</v>
          </cell>
          <cell r="J220">
            <v>112</v>
          </cell>
          <cell r="K220">
            <v>350</v>
          </cell>
          <cell r="L220">
            <v>43</v>
          </cell>
          <cell r="M220">
            <v>0</v>
          </cell>
          <cell r="N220">
            <v>0</v>
          </cell>
          <cell r="O220">
            <v>43</v>
          </cell>
          <cell r="P220">
            <v>105</v>
          </cell>
          <cell r="Q220">
            <v>70</v>
          </cell>
          <cell r="R220">
            <v>35</v>
          </cell>
          <cell r="S220">
            <v>2261</v>
          </cell>
          <cell r="T220">
            <v>148</v>
          </cell>
        </row>
        <row r="221">
          <cell r="C221" t="str">
            <v>Census Tract 260.02, King County, Washington</v>
          </cell>
          <cell r="D221">
            <v>2709</v>
          </cell>
          <cell r="E221">
            <v>2584</v>
          </cell>
          <cell r="F221">
            <v>1321</v>
          </cell>
          <cell r="G221">
            <v>1150</v>
          </cell>
          <cell r="H221">
            <v>168</v>
          </cell>
          <cell r="I221">
            <v>402</v>
          </cell>
          <cell r="J221">
            <v>222</v>
          </cell>
          <cell r="K221">
            <v>358</v>
          </cell>
          <cell r="L221">
            <v>113</v>
          </cell>
          <cell r="M221">
            <v>0</v>
          </cell>
          <cell r="N221">
            <v>0</v>
          </cell>
          <cell r="O221">
            <v>113</v>
          </cell>
          <cell r="P221">
            <v>125</v>
          </cell>
          <cell r="Q221">
            <v>39</v>
          </cell>
          <cell r="R221">
            <v>86</v>
          </cell>
          <cell r="S221">
            <v>2471</v>
          </cell>
          <cell r="T221">
            <v>238</v>
          </cell>
        </row>
        <row r="222">
          <cell r="C222" t="str">
            <v>Census Tract 261, King County, Washington</v>
          </cell>
          <cell r="D222">
            <v>2129</v>
          </cell>
          <cell r="E222">
            <v>2056</v>
          </cell>
          <cell r="F222">
            <v>1163</v>
          </cell>
          <cell r="G222">
            <v>852</v>
          </cell>
          <cell r="H222">
            <v>73</v>
          </cell>
          <cell r="I222">
            <v>405</v>
          </cell>
          <cell r="J222">
            <v>66</v>
          </cell>
          <cell r="K222">
            <v>308</v>
          </cell>
          <cell r="L222">
            <v>41</v>
          </cell>
          <cell r="M222">
            <v>0</v>
          </cell>
          <cell r="N222">
            <v>13</v>
          </cell>
          <cell r="O222">
            <v>28</v>
          </cell>
          <cell r="P222">
            <v>73</v>
          </cell>
          <cell r="Q222">
            <v>49</v>
          </cell>
          <cell r="R222">
            <v>24</v>
          </cell>
          <cell r="S222">
            <v>2015</v>
          </cell>
          <cell r="T222">
            <v>114</v>
          </cell>
        </row>
        <row r="223">
          <cell r="C223" t="str">
            <v>Census Tract 262, King County, Washington</v>
          </cell>
          <cell r="D223">
            <v>2756</v>
          </cell>
          <cell r="E223">
            <v>2636</v>
          </cell>
          <cell r="F223">
            <v>1284</v>
          </cell>
          <cell r="G223">
            <v>1329</v>
          </cell>
          <cell r="H223">
            <v>55</v>
          </cell>
          <cell r="I223">
            <v>422</v>
          </cell>
          <cell r="J223">
            <v>225</v>
          </cell>
          <cell r="K223">
            <v>627</v>
          </cell>
          <cell r="L223">
            <v>23</v>
          </cell>
          <cell r="M223">
            <v>0</v>
          </cell>
          <cell r="N223">
            <v>0</v>
          </cell>
          <cell r="O223">
            <v>23</v>
          </cell>
          <cell r="P223">
            <v>120</v>
          </cell>
          <cell r="Q223">
            <v>46</v>
          </cell>
          <cell r="R223">
            <v>74</v>
          </cell>
          <cell r="S223">
            <v>2613</v>
          </cell>
          <cell r="T223">
            <v>143</v>
          </cell>
        </row>
        <row r="224">
          <cell r="C224" t="str">
            <v>Census Tract 263, King County, Washington</v>
          </cell>
          <cell r="D224">
            <v>694</v>
          </cell>
          <cell r="E224">
            <v>612</v>
          </cell>
          <cell r="F224">
            <v>357</v>
          </cell>
          <cell r="G224">
            <v>232</v>
          </cell>
          <cell r="H224">
            <v>54</v>
          </cell>
          <cell r="I224">
            <v>86</v>
          </cell>
          <cell r="J224">
            <v>7</v>
          </cell>
          <cell r="K224">
            <v>85</v>
          </cell>
          <cell r="L224">
            <v>23</v>
          </cell>
          <cell r="M224">
            <v>0</v>
          </cell>
          <cell r="N224">
            <v>0</v>
          </cell>
          <cell r="O224">
            <v>23</v>
          </cell>
          <cell r="P224">
            <v>82</v>
          </cell>
          <cell r="Q224">
            <v>23</v>
          </cell>
          <cell r="R224">
            <v>59</v>
          </cell>
          <cell r="S224">
            <v>589</v>
          </cell>
          <cell r="T224">
            <v>105</v>
          </cell>
        </row>
        <row r="225">
          <cell r="C225" t="str">
            <v>Census Tract 264, King County, Washington</v>
          </cell>
          <cell r="D225">
            <v>3054</v>
          </cell>
          <cell r="E225">
            <v>2880</v>
          </cell>
          <cell r="F225">
            <v>1571</v>
          </cell>
          <cell r="G225">
            <v>1309</v>
          </cell>
          <cell r="H225">
            <v>73</v>
          </cell>
          <cell r="I225">
            <v>584</v>
          </cell>
          <cell r="J225">
            <v>168</v>
          </cell>
          <cell r="K225">
            <v>484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174</v>
          </cell>
          <cell r="Q225">
            <v>136</v>
          </cell>
          <cell r="R225">
            <v>38</v>
          </cell>
          <cell r="S225">
            <v>2880</v>
          </cell>
          <cell r="T225">
            <v>174</v>
          </cell>
        </row>
        <row r="226">
          <cell r="C226" t="str">
            <v>Census Tract 265, King County, Washington</v>
          </cell>
          <cell r="D226">
            <v>824</v>
          </cell>
          <cell r="E226">
            <v>628</v>
          </cell>
          <cell r="F226">
            <v>439</v>
          </cell>
          <cell r="G226">
            <v>181</v>
          </cell>
          <cell r="H226">
            <v>8</v>
          </cell>
          <cell r="I226">
            <v>74</v>
          </cell>
          <cell r="J226">
            <v>8</v>
          </cell>
          <cell r="K226">
            <v>91</v>
          </cell>
          <cell r="L226">
            <v>8</v>
          </cell>
          <cell r="M226">
            <v>0</v>
          </cell>
          <cell r="N226">
            <v>0</v>
          </cell>
          <cell r="O226">
            <v>8</v>
          </cell>
          <cell r="P226">
            <v>196</v>
          </cell>
          <cell r="Q226">
            <v>45</v>
          </cell>
          <cell r="R226">
            <v>151</v>
          </cell>
          <cell r="S226">
            <v>620</v>
          </cell>
          <cell r="T226">
            <v>204</v>
          </cell>
        </row>
        <row r="227">
          <cell r="C227" t="str">
            <v>Census Tract 266, King County, Washington</v>
          </cell>
          <cell r="D227">
            <v>1149</v>
          </cell>
          <cell r="E227">
            <v>1123</v>
          </cell>
          <cell r="F227">
            <v>642</v>
          </cell>
          <cell r="G227">
            <v>481</v>
          </cell>
          <cell r="H227">
            <v>47</v>
          </cell>
          <cell r="I227">
            <v>147</v>
          </cell>
          <cell r="J227">
            <v>93</v>
          </cell>
          <cell r="K227">
            <v>194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26</v>
          </cell>
          <cell r="Q227">
            <v>19</v>
          </cell>
          <cell r="R227">
            <v>7</v>
          </cell>
          <cell r="S227">
            <v>1123</v>
          </cell>
          <cell r="T227">
            <v>26</v>
          </cell>
        </row>
        <row r="228">
          <cell r="C228" t="str">
            <v>Census Tract 267, King County, Washington</v>
          </cell>
          <cell r="D228">
            <v>3818</v>
          </cell>
          <cell r="E228">
            <v>3609</v>
          </cell>
          <cell r="F228">
            <v>2316</v>
          </cell>
          <cell r="G228">
            <v>1281</v>
          </cell>
          <cell r="H228">
            <v>83</v>
          </cell>
          <cell r="I228">
            <v>483</v>
          </cell>
          <cell r="J228">
            <v>185</v>
          </cell>
          <cell r="K228">
            <v>530</v>
          </cell>
          <cell r="L228">
            <v>12</v>
          </cell>
          <cell r="M228">
            <v>0</v>
          </cell>
          <cell r="N228">
            <v>0</v>
          </cell>
          <cell r="O228">
            <v>12</v>
          </cell>
          <cell r="P228">
            <v>209</v>
          </cell>
          <cell r="Q228">
            <v>116</v>
          </cell>
          <cell r="R228">
            <v>93</v>
          </cell>
          <cell r="S228">
            <v>3597</v>
          </cell>
          <cell r="T228">
            <v>221</v>
          </cell>
        </row>
        <row r="229">
          <cell r="C229" t="str">
            <v>Census Tract 268.01, King County, Washington</v>
          </cell>
          <cell r="D229">
            <v>2359</v>
          </cell>
          <cell r="E229">
            <v>2187</v>
          </cell>
          <cell r="F229">
            <v>1260</v>
          </cell>
          <cell r="G229">
            <v>916</v>
          </cell>
          <cell r="H229">
            <v>44</v>
          </cell>
          <cell r="I229">
            <v>367</v>
          </cell>
          <cell r="J229">
            <v>48</v>
          </cell>
          <cell r="K229">
            <v>457</v>
          </cell>
          <cell r="L229">
            <v>11</v>
          </cell>
          <cell r="M229">
            <v>0</v>
          </cell>
          <cell r="N229">
            <v>0</v>
          </cell>
          <cell r="O229">
            <v>11</v>
          </cell>
          <cell r="P229">
            <v>172</v>
          </cell>
          <cell r="Q229">
            <v>49</v>
          </cell>
          <cell r="R229">
            <v>123</v>
          </cell>
          <cell r="S229">
            <v>2176</v>
          </cell>
          <cell r="T229">
            <v>183</v>
          </cell>
        </row>
        <row r="230">
          <cell r="C230" t="str">
            <v>Census Tract 268.02, King County, Washington</v>
          </cell>
          <cell r="D230">
            <v>2463</v>
          </cell>
          <cell r="E230">
            <v>2378</v>
          </cell>
          <cell r="F230">
            <v>1457</v>
          </cell>
          <cell r="G230">
            <v>915</v>
          </cell>
          <cell r="H230">
            <v>41</v>
          </cell>
          <cell r="I230">
            <v>336</v>
          </cell>
          <cell r="J230">
            <v>92</v>
          </cell>
          <cell r="K230">
            <v>446</v>
          </cell>
          <cell r="L230">
            <v>6</v>
          </cell>
          <cell r="M230">
            <v>0</v>
          </cell>
          <cell r="N230">
            <v>0</v>
          </cell>
          <cell r="O230">
            <v>6</v>
          </cell>
          <cell r="P230">
            <v>85</v>
          </cell>
          <cell r="Q230">
            <v>40</v>
          </cell>
          <cell r="R230">
            <v>45</v>
          </cell>
          <cell r="S230">
            <v>2372</v>
          </cell>
          <cell r="T230">
            <v>91</v>
          </cell>
        </row>
        <row r="231">
          <cell r="C231" t="str">
            <v>Census Tract 269, King County, Washington</v>
          </cell>
          <cell r="D231">
            <v>974</v>
          </cell>
          <cell r="E231">
            <v>936</v>
          </cell>
          <cell r="F231">
            <v>638</v>
          </cell>
          <cell r="G231">
            <v>280</v>
          </cell>
          <cell r="H231">
            <v>44</v>
          </cell>
          <cell r="I231">
            <v>138</v>
          </cell>
          <cell r="J231">
            <v>35</v>
          </cell>
          <cell r="K231">
            <v>63</v>
          </cell>
          <cell r="L231">
            <v>18</v>
          </cell>
          <cell r="M231">
            <v>0</v>
          </cell>
          <cell r="N231">
            <v>0</v>
          </cell>
          <cell r="O231">
            <v>18</v>
          </cell>
          <cell r="P231">
            <v>38</v>
          </cell>
          <cell r="Q231">
            <v>33</v>
          </cell>
          <cell r="R231">
            <v>5</v>
          </cell>
          <cell r="S231">
            <v>918</v>
          </cell>
          <cell r="T231">
            <v>56</v>
          </cell>
        </row>
        <row r="232">
          <cell r="C232" t="str">
            <v>Census Tract 270, King County, Washington</v>
          </cell>
          <cell r="D232">
            <v>2079</v>
          </cell>
          <cell r="E232">
            <v>2001</v>
          </cell>
          <cell r="F232">
            <v>1258</v>
          </cell>
          <cell r="G232">
            <v>722</v>
          </cell>
          <cell r="H232">
            <v>80</v>
          </cell>
          <cell r="I232">
            <v>302</v>
          </cell>
          <cell r="J232">
            <v>66</v>
          </cell>
          <cell r="K232">
            <v>274</v>
          </cell>
          <cell r="L232">
            <v>21</v>
          </cell>
          <cell r="M232">
            <v>0</v>
          </cell>
          <cell r="N232">
            <v>0</v>
          </cell>
          <cell r="O232">
            <v>21</v>
          </cell>
          <cell r="P232">
            <v>78</v>
          </cell>
          <cell r="Q232">
            <v>51</v>
          </cell>
          <cell r="R232">
            <v>27</v>
          </cell>
          <cell r="S232">
            <v>1980</v>
          </cell>
          <cell r="T232">
            <v>99</v>
          </cell>
        </row>
        <row r="233">
          <cell r="C233" t="str">
            <v>Census Tract 271, King County, Washington</v>
          </cell>
          <cell r="D233">
            <v>1810</v>
          </cell>
          <cell r="E233">
            <v>1721</v>
          </cell>
          <cell r="F233">
            <v>946</v>
          </cell>
          <cell r="G233">
            <v>764</v>
          </cell>
          <cell r="H233">
            <v>110</v>
          </cell>
          <cell r="I233">
            <v>250</v>
          </cell>
          <cell r="J233">
            <v>113</v>
          </cell>
          <cell r="K233">
            <v>291</v>
          </cell>
          <cell r="L233">
            <v>11</v>
          </cell>
          <cell r="M233">
            <v>6</v>
          </cell>
          <cell r="N233">
            <v>0</v>
          </cell>
          <cell r="O233">
            <v>5</v>
          </cell>
          <cell r="P233">
            <v>89</v>
          </cell>
          <cell r="Q233">
            <v>45</v>
          </cell>
          <cell r="R233">
            <v>44</v>
          </cell>
          <cell r="S233">
            <v>1710</v>
          </cell>
          <cell r="T233">
            <v>100</v>
          </cell>
        </row>
        <row r="234">
          <cell r="C234" t="str">
            <v>Census Tract 272, King County, Washington</v>
          </cell>
          <cell r="D234">
            <v>1238</v>
          </cell>
          <cell r="E234">
            <v>1038</v>
          </cell>
          <cell r="F234">
            <v>690</v>
          </cell>
          <cell r="G234">
            <v>348</v>
          </cell>
          <cell r="H234">
            <v>27</v>
          </cell>
          <cell r="I234">
            <v>121</v>
          </cell>
          <cell r="J234">
            <v>37</v>
          </cell>
          <cell r="K234">
            <v>163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200</v>
          </cell>
          <cell r="Q234">
            <v>64</v>
          </cell>
          <cell r="R234">
            <v>136</v>
          </cell>
          <cell r="S234">
            <v>1038</v>
          </cell>
          <cell r="T234">
            <v>200</v>
          </cell>
        </row>
        <row r="235">
          <cell r="C235" t="str">
            <v>Census Tract 273, King County, Washington</v>
          </cell>
          <cell r="D235">
            <v>3038</v>
          </cell>
          <cell r="E235">
            <v>2618</v>
          </cell>
          <cell r="F235">
            <v>1769</v>
          </cell>
          <cell r="G235">
            <v>844</v>
          </cell>
          <cell r="H235">
            <v>65</v>
          </cell>
          <cell r="I235">
            <v>266</v>
          </cell>
          <cell r="J235">
            <v>100</v>
          </cell>
          <cell r="K235">
            <v>413</v>
          </cell>
          <cell r="L235">
            <v>5</v>
          </cell>
          <cell r="M235">
            <v>0</v>
          </cell>
          <cell r="N235">
            <v>0</v>
          </cell>
          <cell r="O235">
            <v>5</v>
          </cell>
          <cell r="P235">
            <v>420</v>
          </cell>
          <cell r="Q235">
            <v>42</v>
          </cell>
          <cell r="R235">
            <v>378</v>
          </cell>
          <cell r="S235">
            <v>2613</v>
          </cell>
          <cell r="T235">
            <v>425</v>
          </cell>
        </row>
        <row r="236">
          <cell r="C236" t="str">
            <v>Census Tract 274, King County, Washington</v>
          </cell>
          <cell r="D236">
            <v>3282</v>
          </cell>
          <cell r="E236">
            <v>3118</v>
          </cell>
          <cell r="F236">
            <v>2005</v>
          </cell>
          <cell r="G236">
            <v>1094</v>
          </cell>
          <cell r="H236">
            <v>83</v>
          </cell>
          <cell r="I236">
            <v>372</v>
          </cell>
          <cell r="J236">
            <v>157</v>
          </cell>
          <cell r="K236">
            <v>482</v>
          </cell>
          <cell r="L236">
            <v>19</v>
          </cell>
          <cell r="M236">
            <v>0</v>
          </cell>
          <cell r="N236">
            <v>0</v>
          </cell>
          <cell r="O236">
            <v>19</v>
          </cell>
          <cell r="P236">
            <v>164</v>
          </cell>
          <cell r="Q236">
            <v>80</v>
          </cell>
          <cell r="R236">
            <v>84</v>
          </cell>
          <cell r="S236">
            <v>3099</v>
          </cell>
          <cell r="T236">
            <v>183</v>
          </cell>
        </row>
        <row r="237">
          <cell r="C237" t="str">
            <v>Census Tract 275, King County, Washington</v>
          </cell>
          <cell r="D237">
            <v>3251</v>
          </cell>
          <cell r="E237">
            <v>3065</v>
          </cell>
          <cell r="F237">
            <v>1720</v>
          </cell>
          <cell r="G237">
            <v>1329</v>
          </cell>
          <cell r="H237">
            <v>72</v>
          </cell>
          <cell r="I237">
            <v>618</v>
          </cell>
          <cell r="J237">
            <v>144</v>
          </cell>
          <cell r="K237">
            <v>495</v>
          </cell>
          <cell r="L237">
            <v>16</v>
          </cell>
          <cell r="M237">
            <v>0</v>
          </cell>
          <cell r="N237">
            <v>0</v>
          </cell>
          <cell r="O237">
            <v>16</v>
          </cell>
          <cell r="P237">
            <v>186</v>
          </cell>
          <cell r="Q237">
            <v>68</v>
          </cell>
          <cell r="R237">
            <v>118</v>
          </cell>
          <cell r="S237">
            <v>3049</v>
          </cell>
          <cell r="T237">
            <v>202</v>
          </cell>
        </row>
        <row r="238">
          <cell r="C238" t="str">
            <v>Census Tract 276, King County, Washington</v>
          </cell>
          <cell r="D238">
            <v>2567</v>
          </cell>
          <cell r="E238">
            <v>2392</v>
          </cell>
          <cell r="F238">
            <v>1167</v>
          </cell>
          <cell r="G238">
            <v>1218</v>
          </cell>
          <cell r="H238">
            <v>99</v>
          </cell>
          <cell r="I238">
            <v>485</v>
          </cell>
          <cell r="J238">
            <v>89</v>
          </cell>
          <cell r="K238">
            <v>545</v>
          </cell>
          <cell r="L238">
            <v>7</v>
          </cell>
          <cell r="M238">
            <v>0</v>
          </cell>
          <cell r="N238">
            <v>0</v>
          </cell>
          <cell r="O238">
            <v>7</v>
          </cell>
          <cell r="P238">
            <v>175</v>
          </cell>
          <cell r="Q238">
            <v>65</v>
          </cell>
          <cell r="R238">
            <v>110</v>
          </cell>
          <cell r="S238">
            <v>2385</v>
          </cell>
          <cell r="T238">
            <v>182</v>
          </cell>
        </row>
        <row r="239">
          <cell r="C239" t="str">
            <v>Census Tract 277.01, King County, Washington</v>
          </cell>
          <cell r="D239">
            <v>4725</v>
          </cell>
          <cell r="E239">
            <v>4572</v>
          </cell>
          <cell r="F239">
            <v>2267</v>
          </cell>
          <cell r="G239">
            <v>2223</v>
          </cell>
          <cell r="H239">
            <v>322</v>
          </cell>
          <cell r="I239">
            <v>749</v>
          </cell>
          <cell r="J239">
            <v>282</v>
          </cell>
          <cell r="K239">
            <v>870</v>
          </cell>
          <cell r="L239">
            <v>82</v>
          </cell>
          <cell r="M239">
            <v>0</v>
          </cell>
          <cell r="N239">
            <v>0</v>
          </cell>
          <cell r="O239">
            <v>82</v>
          </cell>
          <cell r="P239">
            <v>153</v>
          </cell>
          <cell r="Q239">
            <v>95</v>
          </cell>
          <cell r="R239">
            <v>58</v>
          </cell>
          <cell r="S239">
            <v>4490</v>
          </cell>
          <cell r="T239">
            <v>235</v>
          </cell>
        </row>
        <row r="240">
          <cell r="C240" t="str">
            <v>Census Tract 277.02, King County, Washington</v>
          </cell>
          <cell r="D240">
            <v>4629</v>
          </cell>
          <cell r="E240">
            <v>4540</v>
          </cell>
          <cell r="F240">
            <v>2304</v>
          </cell>
          <cell r="G240">
            <v>2170</v>
          </cell>
          <cell r="H240">
            <v>401</v>
          </cell>
          <cell r="I240">
            <v>626</v>
          </cell>
          <cell r="J240">
            <v>283</v>
          </cell>
          <cell r="K240">
            <v>860</v>
          </cell>
          <cell r="L240">
            <v>66</v>
          </cell>
          <cell r="M240">
            <v>0</v>
          </cell>
          <cell r="N240">
            <v>0</v>
          </cell>
          <cell r="O240">
            <v>66</v>
          </cell>
          <cell r="P240">
            <v>89</v>
          </cell>
          <cell r="Q240">
            <v>29</v>
          </cell>
          <cell r="R240">
            <v>60</v>
          </cell>
          <cell r="S240">
            <v>4474</v>
          </cell>
          <cell r="T240">
            <v>155</v>
          </cell>
        </row>
        <row r="241">
          <cell r="C241" t="str">
            <v>Census Tract 278, King County, Washington</v>
          </cell>
          <cell r="D241">
            <v>3162</v>
          </cell>
          <cell r="E241">
            <v>3081</v>
          </cell>
          <cell r="F241">
            <v>1765</v>
          </cell>
          <cell r="G241">
            <v>1285</v>
          </cell>
          <cell r="H241">
            <v>154</v>
          </cell>
          <cell r="I241">
            <v>538</v>
          </cell>
          <cell r="J241">
            <v>161</v>
          </cell>
          <cell r="K241">
            <v>432</v>
          </cell>
          <cell r="L241">
            <v>31</v>
          </cell>
          <cell r="M241">
            <v>0</v>
          </cell>
          <cell r="N241">
            <v>0</v>
          </cell>
          <cell r="O241">
            <v>31</v>
          </cell>
          <cell r="P241">
            <v>81</v>
          </cell>
          <cell r="Q241">
            <v>55</v>
          </cell>
          <cell r="R241">
            <v>26</v>
          </cell>
          <cell r="S241">
            <v>3050</v>
          </cell>
          <cell r="T241">
            <v>112</v>
          </cell>
        </row>
        <row r="242">
          <cell r="C242" t="str">
            <v>Census Tract 279, King County, Washington</v>
          </cell>
          <cell r="D242">
            <v>5105</v>
          </cell>
          <cell r="E242">
            <v>4874</v>
          </cell>
          <cell r="F242">
            <v>2729</v>
          </cell>
          <cell r="G242">
            <v>2067</v>
          </cell>
          <cell r="H242">
            <v>201</v>
          </cell>
          <cell r="I242">
            <v>896</v>
          </cell>
          <cell r="J242">
            <v>168</v>
          </cell>
          <cell r="K242">
            <v>802</v>
          </cell>
          <cell r="L242">
            <v>78</v>
          </cell>
          <cell r="M242">
            <v>0</v>
          </cell>
          <cell r="N242">
            <v>0</v>
          </cell>
          <cell r="O242">
            <v>78</v>
          </cell>
          <cell r="P242">
            <v>231</v>
          </cell>
          <cell r="Q242">
            <v>103</v>
          </cell>
          <cell r="R242">
            <v>128</v>
          </cell>
          <cell r="S242">
            <v>4796</v>
          </cell>
          <cell r="T242">
            <v>309</v>
          </cell>
        </row>
        <row r="243">
          <cell r="C243" t="str">
            <v>Census Tract 280, King County, Washington</v>
          </cell>
          <cell r="D243">
            <v>1930</v>
          </cell>
          <cell r="E243">
            <v>1786</v>
          </cell>
          <cell r="F243">
            <v>1054</v>
          </cell>
          <cell r="G243">
            <v>726</v>
          </cell>
          <cell r="H243">
            <v>63</v>
          </cell>
          <cell r="I243">
            <v>251</v>
          </cell>
          <cell r="J243">
            <v>70</v>
          </cell>
          <cell r="K243">
            <v>342</v>
          </cell>
          <cell r="L243">
            <v>6</v>
          </cell>
          <cell r="M243">
            <v>0</v>
          </cell>
          <cell r="N243">
            <v>0</v>
          </cell>
          <cell r="O243">
            <v>6</v>
          </cell>
          <cell r="P243">
            <v>144</v>
          </cell>
          <cell r="Q243">
            <v>36</v>
          </cell>
          <cell r="R243">
            <v>108</v>
          </cell>
          <cell r="S243">
            <v>1780</v>
          </cell>
          <cell r="T243">
            <v>150</v>
          </cell>
        </row>
        <row r="244">
          <cell r="C244" t="str">
            <v>Census Tract 281, King County, Washington</v>
          </cell>
          <cell r="D244">
            <v>892</v>
          </cell>
          <cell r="E244">
            <v>751</v>
          </cell>
          <cell r="F244">
            <v>450</v>
          </cell>
          <cell r="G244">
            <v>301</v>
          </cell>
          <cell r="H244">
            <v>48</v>
          </cell>
          <cell r="I244">
            <v>56</v>
          </cell>
          <cell r="J244">
            <v>52</v>
          </cell>
          <cell r="K244">
            <v>145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141</v>
          </cell>
          <cell r="Q244">
            <v>20</v>
          </cell>
          <cell r="R244">
            <v>121</v>
          </cell>
          <cell r="S244">
            <v>751</v>
          </cell>
          <cell r="T244">
            <v>141</v>
          </cell>
        </row>
        <row r="245">
          <cell r="C245" t="str">
            <v>Census Tract 282, King County, Washington</v>
          </cell>
          <cell r="D245">
            <v>2112</v>
          </cell>
          <cell r="E245">
            <v>1837</v>
          </cell>
          <cell r="F245">
            <v>946</v>
          </cell>
          <cell r="G245">
            <v>868</v>
          </cell>
          <cell r="H245">
            <v>29</v>
          </cell>
          <cell r="I245">
            <v>262</v>
          </cell>
          <cell r="J245">
            <v>154</v>
          </cell>
          <cell r="K245">
            <v>423</v>
          </cell>
          <cell r="L245">
            <v>23</v>
          </cell>
          <cell r="M245">
            <v>0</v>
          </cell>
          <cell r="N245">
            <v>0</v>
          </cell>
          <cell r="O245">
            <v>23</v>
          </cell>
          <cell r="P245">
            <v>275</v>
          </cell>
          <cell r="Q245">
            <v>135</v>
          </cell>
          <cell r="R245">
            <v>140</v>
          </cell>
          <cell r="S245">
            <v>1814</v>
          </cell>
          <cell r="T245">
            <v>298</v>
          </cell>
        </row>
        <row r="246">
          <cell r="C246" t="str">
            <v>Census Tract 283, King County, Washington</v>
          </cell>
          <cell r="D246">
            <v>2367</v>
          </cell>
          <cell r="E246">
            <v>2307</v>
          </cell>
          <cell r="F246">
            <v>1402</v>
          </cell>
          <cell r="G246">
            <v>905</v>
          </cell>
          <cell r="H246">
            <v>74</v>
          </cell>
          <cell r="I246">
            <v>445</v>
          </cell>
          <cell r="J246">
            <v>53</v>
          </cell>
          <cell r="K246">
            <v>333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60</v>
          </cell>
          <cell r="Q246">
            <v>60</v>
          </cell>
          <cell r="R246">
            <v>0</v>
          </cell>
          <cell r="S246">
            <v>2307</v>
          </cell>
          <cell r="T246">
            <v>60</v>
          </cell>
        </row>
        <row r="247">
          <cell r="C247" t="str">
            <v>Census Tract 284.02, King County, Washington</v>
          </cell>
          <cell r="D247">
            <v>2508</v>
          </cell>
          <cell r="E247">
            <v>2362</v>
          </cell>
          <cell r="F247">
            <v>1461</v>
          </cell>
          <cell r="G247">
            <v>894</v>
          </cell>
          <cell r="H247">
            <v>92</v>
          </cell>
          <cell r="I247">
            <v>359</v>
          </cell>
          <cell r="J247">
            <v>80</v>
          </cell>
          <cell r="K247">
            <v>363</v>
          </cell>
          <cell r="L247">
            <v>7</v>
          </cell>
          <cell r="M247">
            <v>0</v>
          </cell>
          <cell r="N247">
            <v>0</v>
          </cell>
          <cell r="O247">
            <v>7</v>
          </cell>
          <cell r="P247">
            <v>146</v>
          </cell>
          <cell r="Q247">
            <v>31</v>
          </cell>
          <cell r="R247">
            <v>115</v>
          </cell>
          <cell r="S247">
            <v>2355</v>
          </cell>
          <cell r="T247">
            <v>153</v>
          </cell>
        </row>
        <row r="248">
          <cell r="C248" t="str">
            <v>Census Tract 284.03, King County, Washington</v>
          </cell>
          <cell r="D248">
            <v>2854</v>
          </cell>
          <cell r="E248">
            <v>2610</v>
          </cell>
          <cell r="F248">
            <v>1355</v>
          </cell>
          <cell r="G248">
            <v>1249</v>
          </cell>
          <cell r="H248">
            <v>100</v>
          </cell>
          <cell r="I248">
            <v>524</v>
          </cell>
          <cell r="J248">
            <v>138</v>
          </cell>
          <cell r="K248">
            <v>487</v>
          </cell>
          <cell r="L248">
            <v>6</v>
          </cell>
          <cell r="M248">
            <v>0</v>
          </cell>
          <cell r="N248">
            <v>0</v>
          </cell>
          <cell r="O248">
            <v>6</v>
          </cell>
          <cell r="P248">
            <v>244</v>
          </cell>
          <cell r="Q248">
            <v>99</v>
          </cell>
          <cell r="R248">
            <v>145</v>
          </cell>
          <cell r="S248">
            <v>2604</v>
          </cell>
          <cell r="T248">
            <v>250</v>
          </cell>
        </row>
        <row r="249">
          <cell r="C249" t="str">
            <v>Census Tract 285, King County, Washington</v>
          </cell>
          <cell r="D249">
            <v>2585</v>
          </cell>
          <cell r="E249">
            <v>2491</v>
          </cell>
          <cell r="F249">
            <v>1345</v>
          </cell>
          <cell r="G249">
            <v>1101</v>
          </cell>
          <cell r="H249">
            <v>109</v>
          </cell>
          <cell r="I249">
            <v>523</v>
          </cell>
          <cell r="J249">
            <v>120</v>
          </cell>
          <cell r="K249">
            <v>349</v>
          </cell>
          <cell r="L249">
            <v>45</v>
          </cell>
          <cell r="M249">
            <v>0</v>
          </cell>
          <cell r="N249">
            <v>0</v>
          </cell>
          <cell r="O249">
            <v>45</v>
          </cell>
          <cell r="P249">
            <v>94</v>
          </cell>
          <cell r="Q249">
            <v>64</v>
          </cell>
          <cell r="R249">
            <v>30</v>
          </cell>
          <cell r="S249">
            <v>2446</v>
          </cell>
          <cell r="T249">
            <v>139</v>
          </cell>
        </row>
        <row r="250">
          <cell r="C250" t="str">
            <v>Census Tract 286, King County, Washington</v>
          </cell>
          <cell r="D250">
            <v>5506</v>
          </cell>
          <cell r="E250">
            <v>5098</v>
          </cell>
          <cell r="F250">
            <v>2656</v>
          </cell>
          <cell r="G250">
            <v>2397</v>
          </cell>
          <cell r="H250">
            <v>247</v>
          </cell>
          <cell r="I250">
            <v>891</v>
          </cell>
          <cell r="J250">
            <v>253</v>
          </cell>
          <cell r="K250">
            <v>1006</v>
          </cell>
          <cell r="L250">
            <v>45</v>
          </cell>
          <cell r="M250">
            <v>0</v>
          </cell>
          <cell r="N250">
            <v>5</v>
          </cell>
          <cell r="O250">
            <v>40</v>
          </cell>
          <cell r="P250">
            <v>408</v>
          </cell>
          <cell r="Q250">
            <v>248</v>
          </cell>
          <cell r="R250">
            <v>160</v>
          </cell>
          <cell r="S250">
            <v>5053</v>
          </cell>
          <cell r="T250">
            <v>453</v>
          </cell>
        </row>
        <row r="251">
          <cell r="C251" t="str">
            <v>Census Tract 287, King County, Washington</v>
          </cell>
          <cell r="D251">
            <v>4148</v>
          </cell>
          <cell r="E251">
            <v>4042</v>
          </cell>
          <cell r="F251">
            <v>2580</v>
          </cell>
          <cell r="G251">
            <v>1413</v>
          </cell>
          <cell r="H251">
            <v>131</v>
          </cell>
          <cell r="I251">
            <v>597</v>
          </cell>
          <cell r="J251">
            <v>150</v>
          </cell>
          <cell r="K251">
            <v>535</v>
          </cell>
          <cell r="L251">
            <v>49</v>
          </cell>
          <cell r="M251">
            <v>8</v>
          </cell>
          <cell r="N251">
            <v>0</v>
          </cell>
          <cell r="O251">
            <v>41</v>
          </cell>
          <cell r="P251">
            <v>106</v>
          </cell>
          <cell r="Q251">
            <v>62</v>
          </cell>
          <cell r="R251">
            <v>44</v>
          </cell>
          <cell r="S251">
            <v>3993</v>
          </cell>
          <cell r="T251">
            <v>155</v>
          </cell>
        </row>
        <row r="252">
          <cell r="C252" t="str">
            <v>Census Tract 288.01, King County, Washington</v>
          </cell>
          <cell r="D252">
            <v>2311</v>
          </cell>
          <cell r="E252">
            <v>2211</v>
          </cell>
          <cell r="F252">
            <v>1169</v>
          </cell>
          <cell r="G252">
            <v>1034</v>
          </cell>
          <cell r="H252">
            <v>69</v>
          </cell>
          <cell r="I252">
            <v>476</v>
          </cell>
          <cell r="J252">
            <v>100</v>
          </cell>
          <cell r="K252">
            <v>389</v>
          </cell>
          <cell r="L252">
            <v>8</v>
          </cell>
          <cell r="M252">
            <v>0</v>
          </cell>
          <cell r="N252">
            <v>0</v>
          </cell>
          <cell r="O252">
            <v>8</v>
          </cell>
          <cell r="P252">
            <v>100</v>
          </cell>
          <cell r="Q252">
            <v>35</v>
          </cell>
          <cell r="R252">
            <v>65</v>
          </cell>
          <cell r="S252">
            <v>2203</v>
          </cell>
          <cell r="T252">
            <v>108</v>
          </cell>
        </row>
        <row r="253">
          <cell r="C253" t="str">
            <v>Census Tract 288.02, King County, Washington</v>
          </cell>
          <cell r="D253">
            <v>3154</v>
          </cell>
          <cell r="E253">
            <v>3055</v>
          </cell>
          <cell r="F253">
            <v>1726</v>
          </cell>
          <cell r="G253">
            <v>1271</v>
          </cell>
          <cell r="H253">
            <v>100</v>
          </cell>
          <cell r="I253">
            <v>510</v>
          </cell>
          <cell r="J253">
            <v>155</v>
          </cell>
          <cell r="K253">
            <v>506</v>
          </cell>
          <cell r="L253">
            <v>58</v>
          </cell>
          <cell r="M253">
            <v>0</v>
          </cell>
          <cell r="N253">
            <v>0</v>
          </cell>
          <cell r="O253">
            <v>58</v>
          </cell>
          <cell r="P253">
            <v>99</v>
          </cell>
          <cell r="Q253">
            <v>7</v>
          </cell>
          <cell r="R253">
            <v>92</v>
          </cell>
          <cell r="S253">
            <v>2997</v>
          </cell>
          <cell r="T253">
            <v>157</v>
          </cell>
        </row>
        <row r="254">
          <cell r="C254" t="str">
            <v>Census Tract 289.01, King County, Washington</v>
          </cell>
          <cell r="D254">
            <v>3002</v>
          </cell>
          <cell r="E254">
            <v>2852</v>
          </cell>
          <cell r="F254">
            <v>1388</v>
          </cell>
          <cell r="G254">
            <v>1447</v>
          </cell>
          <cell r="H254">
            <v>171</v>
          </cell>
          <cell r="I254">
            <v>460</v>
          </cell>
          <cell r="J254">
            <v>155</v>
          </cell>
          <cell r="K254">
            <v>661</v>
          </cell>
          <cell r="L254">
            <v>17</v>
          </cell>
          <cell r="M254">
            <v>0</v>
          </cell>
          <cell r="N254">
            <v>0</v>
          </cell>
          <cell r="O254">
            <v>17</v>
          </cell>
          <cell r="P254">
            <v>150</v>
          </cell>
          <cell r="Q254">
            <v>65</v>
          </cell>
          <cell r="R254">
            <v>85</v>
          </cell>
          <cell r="S254">
            <v>2835</v>
          </cell>
          <cell r="T254">
            <v>167</v>
          </cell>
        </row>
        <row r="255">
          <cell r="C255" t="str">
            <v>Census Tract 289.02, King County, Washington</v>
          </cell>
          <cell r="D255">
            <v>3421</v>
          </cell>
          <cell r="E255">
            <v>3301</v>
          </cell>
          <cell r="F255">
            <v>1801</v>
          </cell>
          <cell r="G255">
            <v>1467</v>
          </cell>
          <cell r="H255">
            <v>166</v>
          </cell>
          <cell r="I255">
            <v>482</v>
          </cell>
          <cell r="J255">
            <v>190</v>
          </cell>
          <cell r="K255">
            <v>629</v>
          </cell>
          <cell r="L255">
            <v>33</v>
          </cell>
          <cell r="M255">
            <v>0</v>
          </cell>
          <cell r="N255">
            <v>6</v>
          </cell>
          <cell r="O255">
            <v>27</v>
          </cell>
          <cell r="P255">
            <v>120</v>
          </cell>
          <cell r="Q255">
            <v>81</v>
          </cell>
          <cell r="R255">
            <v>39</v>
          </cell>
          <cell r="S255">
            <v>3268</v>
          </cell>
          <cell r="T255">
            <v>153</v>
          </cell>
        </row>
        <row r="256">
          <cell r="C256" t="str">
            <v>Census Tract 290.01, King County, Washington</v>
          </cell>
          <cell r="D256">
            <v>3619</v>
          </cell>
          <cell r="E256">
            <v>3499</v>
          </cell>
          <cell r="F256">
            <v>1899</v>
          </cell>
          <cell r="G256">
            <v>1585</v>
          </cell>
          <cell r="H256">
            <v>135</v>
          </cell>
          <cell r="I256">
            <v>666</v>
          </cell>
          <cell r="J256">
            <v>156</v>
          </cell>
          <cell r="K256">
            <v>628</v>
          </cell>
          <cell r="L256">
            <v>15</v>
          </cell>
          <cell r="M256">
            <v>0</v>
          </cell>
          <cell r="N256">
            <v>0</v>
          </cell>
          <cell r="O256">
            <v>15</v>
          </cell>
          <cell r="P256">
            <v>120</v>
          </cell>
          <cell r="Q256">
            <v>83</v>
          </cell>
          <cell r="R256">
            <v>37</v>
          </cell>
          <cell r="S256">
            <v>3484</v>
          </cell>
          <cell r="T256">
            <v>135</v>
          </cell>
        </row>
        <row r="257">
          <cell r="C257" t="str">
            <v>Census Tract 290.03, King County, Washington</v>
          </cell>
          <cell r="D257">
            <v>3417</v>
          </cell>
          <cell r="E257">
            <v>3284</v>
          </cell>
          <cell r="F257">
            <v>2010</v>
          </cell>
          <cell r="G257">
            <v>1235</v>
          </cell>
          <cell r="H257">
            <v>124</v>
          </cell>
          <cell r="I257">
            <v>346</v>
          </cell>
          <cell r="J257">
            <v>115</v>
          </cell>
          <cell r="K257">
            <v>650</v>
          </cell>
          <cell r="L257">
            <v>39</v>
          </cell>
          <cell r="M257">
            <v>0</v>
          </cell>
          <cell r="N257">
            <v>0</v>
          </cell>
          <cell r="O257">
            <v>39</v>
          </cell>
          <cell r="P257">
            <v>133</v>
          </cell>
          <cell r="Q257">
            <v>48</v>
          </cell>
          <cell r="R257">
            <v>85</v>
          </cell>
          <cell r="S257">
            <v>3245</v>
          </cell>
          <cell r="T257">
            <v>172</v>
          </cell>
        </row>
        <row r="258">
          <cell r="C258" t="str">
            <v>Census Tract 290.04, King County, Washington</v>
          </cell>
          <cell r="D258">
            <v>1558</v>
          </cell>
          <cell r="E258">
            <v>1472</v>
          </cell>
          <cell r="F258">
            <v>922</v>
          </cell>
          <cell r="G258">
            <v>544</v>
          </cell>
          <cell r="H258">
            <v>46</v>
          </cell>
          <cell r="I258">
            <v>188</v>
          </cell>
          <cell r="J258">
            <v>46</v>
          </cell>
          <cell r="K258">
            <v>264</v>
          </cell>
          <cell r="L258">
            <v>6</v>
          </cell>
          <cell r="M258">
            <v>0</v>
          </cell>
          <cell r="N258">
            <v>0</v>
          </cell>
          <cell r="O258">
            <v>6</v>
          </cell>
          <cell r="P258">
            <v>86</v>
          </cell>
          <cell r="Q258">
            <v>45</v>
          </cell>
          <cell r="R258">
            <v>41</v>
          </cell>
          <cell r="S258">
            <v>1466</v>
          </cell>
          <cell r="T258">
            <v>92</v>
          </cell>
        </row>
        <row r="259">
          <cell r="C259" t="str">
            <v>Census Tract 291, King County, Washington</v>
          </cell>
          <cell r="D259">
            <v>3636</v>
          </cell>
          <cell r="E259">
            <v>3515</v>
          </cell>
          <cell r="F259">
            <v>2046</v>
          </cell>
          <cell r="G259">
            <v>1456</v>
          </cell>
          <cell r="H259">
            <v>96</v>
          </cell>
          <cell r="I259">
            <v>604</v>
          </cell>
          <cell r="J259">
            <v>200</v>
          </cell>
          <cell r="K259">
            <v>556</v>
          </cell>
          <cell r="L259">
            <v>13</v>
          </cell>
          <cell r="M259">
            <v>0</v>
          </cell>
          <cell r="N259">
            <v>4</v>
          </cell>
          <cell r="O259">
            <v>9</v>
          </cell>
          <cell r="P259">
            <v>121</v>
          </cell>
          <cell r="Q259">
            <v>67</v>
          </cell>
          <cell r="R259">
            <v>54</v>
          </cell>
          <cell r="S259">
            <v>3502</v>
          </cell>
          <cell r="T259">
            <v>134</v>
          </cell>
        </row>
        <row r="260">
          <cell r="C260" t="str">
            <v>Census Tract 292.01, King County, Washington</v>
          </cell>
          <cell r="D260">
            <v>5784</v>
          </cell>
          <cell r="E260">
            <v>5531</v>
          </cell>
          <cell r="F260">
            <v>2402</v>
          </cell>
          <cell r="G260">
            <v>3083</v>
          </cell>
          <cell r="H260">
            <v>292</v>
          </cell>
          <cell r="I260">
            <v>992</v>
          </cell>
          <cell r="J260">
            <v>394</v>
          </cell>
          <cell r="K260">
            <v>1405</v>
          </cell>
          <cell r="L260">
            <v>46</v>
          </cell>
          <cell r="M260">
            <v>9</v>
          </cell>
          <cell r="N260">
            <v>0</v>
          </cell>
          <cell r="O260">
            <v>37</v>
          </cell>
          <cell r="P260">
            <v>253</v>
          </cell>
          <cell r="Q260">
            <v>101</v>
          </cell>
          <cell r="R260">
            <v>152</v>
          </cell>
          <cell r="S260">
            <v>5485</v>
          </cell>
          <cell r="T260">
            <v>299</v>
          </cell>
        </row>
        <row r="261">
          <cell r="C261" t="str">
            <v>Census Tract 292.03, King County, Washington</v>
          </cell>
          <cell r="D261">
            <v>1557</v>
          </cell>
          <cell r="E261">
            <v>1468</v>
          </cell>
          <cell r="F261">
            <v>733</v>
          </cell>
          <cell r="G261">
            <v>712</v>
          </cell>
          <cell r="H261">
            <v>98</v>
          </cell>
          <cell r="I261">
            <v>210</v>
          </cell>
          <cell r="J261">
            <v>87</v>
          </cell>
          <cell r="K261">
            <v>317</v>
          </cell>
          <cell r="L261">
            <v>23</v>
          </cell>
          <cell r="M261">
            <v>0</v>
          </cell>
          <cell r="N261">
            <v>0</v>
          </cell>
          <cell r="O261">
            <v>23</v>
          </cell>
          <cell r="P261">
            <v>89</v>
          </cell>
          <cell r="Q261">
            <v>42</v>
          </cell>
          <cell r="R261">
            <v>47</v>
          </cell>
          <cell r="S261">
            <v>1445</v>
          </cell>
          <cell r="T261">
            <v>112</v>
          </cell>
        </row>
        <row r="262">
          <cell r="C262" t="str">
            <v>Census Tract 292.04, King County, Washington</v>
          </cell>
          <cell r="D262">
            <v>3630</v>
          </cell>
          <cell r="E262">
            <v>3501</v>
          </cell>
          <cell r="F262">
            <v>1757</v>
          </cell>
          <cell r="G262">
            <v>1729</v>
          </cell>
          <cell r="H262">
            <v>134</v>
          </cell>
          <cell r="I262">
            <v>448</v>
          </cell>
          <cell r="J262">
            <v>237</v>
          </cell>
          <cell r="K262">
            <v>910</v>
          </cell>
          <cell r="L262">
            <v>15</v>
          </cell>
          <cell r="M262">
            <v>0</v>
          </cell>
          <cell r="N262">
            <v>0</v>
          </cell>
          <cell r="O262">
            <v>15</v>
          </cell>
          <cell r="P262">
            <v>129</v>
          </cell>
          <cell r="Q262">
            <v>72</v>
          </cell>
          <cell r="R262">
            <v>57</v>
          </cell>
          <cell r="S262">
            <v>3486</v>
          </cell>
          <cell r="T262">
            <v>144</v>
          </cell>
        </row>
        <row r="263">
          <cell r="C263" t="str">
            <v>Census Tract 293.03, King County, Washington</v>
          </cell>
          <cell r="D263">
            <v>3295</v>
          </cell>
          <cell r="E263">
            <v>3030</v>
          </cell>
          <cell r="F263">
            <v>1544</v>
          </cell>
          <cell r="G263">
            <v>1441</v>
          </cell>
          <cell r="H263">
            <v>95</v>
          </cell>
          <cell r="I263">
            <v>561</v>
          </cell>
          <cell r="J263">
            <v>161</v>
          </cell>
          <cell r="K263">
            <v>624</v>
          </cell>
          <cell r="L263">
            <v>45</v>
          </cell>
          <cell r="M263">
            <v>0</v>
          </cell>
          <cell r="N263">
            <v>0</v>
          </cell>
          <cell r="O263">
            <v>45</v>
          </cell>
          <cell r="P263">
            <v>265</v>
          </cell>
          <cell r="Q263">
            <v>49</v>
          </cell>
          <cell r="R263">
            <v>216</v>
          </cell>
          <cell r="S263">
            <v>2985</v>
          </cell>
          <cell r="T263">
            <v>310</v>
          </cell>
        </row>
        <row r="264">
          <cell r="C264" t="str">
            <v>Census Tract 293.04, King County, Washington</v>
          </cell>
          <cell r="D264">
            <v>3503</v>
          </cell>
          <cell r="E264">
            <v>3375</v>
          </cell>
          <cell r="F264">
            <v>1916</v>
          </cell>
          <cell r="G264">
            <v>1429</v>
          </cell>
          <cell r="H264">
            <v>123</v>
          </cell>
          <cell r="I264">
            <v>463</v>
          </cell>
          <cell r="J264">
            <v>151</v>
          </cell>
          <cell r="K264">
            <v>692</v>
          </cell>
          <cell r="L264">
            <v>30</v>
          </cell>
          <cell r="M264">
            <v>0</v>
          </cell>
          <cell r="N264">
            <v>0</v>
          </cell>
          <cell r="O264">
            <v>30</v>
          </cell>
          <cell r="P264">
            <v>128</v>
          </cell>
          <cell r="Q264">
            <v>51</v>
          </cell>
          <cell r="R264">
            <v>77</v>
          </cell>
          <cell r="S264">
            <v>3345</v>
          </cell>
          <cell r="T264">
            <v>158</v>
          </cell>
        </row>
        <row r="265">
          <cell r="C265" t="str">
            <v>Census Tract 293.05, King County, Washington</v>
          </cell>
          <cell r="D265">
            <v>2529</v>
          </cell>
          <cell r="E265">
            <v>2269</v>
          </cell>
          <cell r="F265">
            <v>1428</v>
          </cell>
          <cell r="G265">
            <v>789</v>
          </cell>
          <cell r="H265">
            <v>86</v>
          </cell>
          <cell r="I265">
            <v>334</v>
          </cell>
          <cell r="J265">
            <v>57</v>
          </cell>
          <cell r="K265">
            <v>312</v>
          </cell>
          <cell r="L265">
            <v>52</v>
          </cell>
          <cell r="M265">
            <v>0</v>
          </cell>
          <cell r="N265">
            <v>0</v>
          </cell>
          <cell r="O265">
            <v>52</v>
          </cell>
          <cell r="P265">
            <v>260</v>
          </cell>
          <cell r="Q265">
            <v>121</v>
          </cell>
          <cell r="R265">
            <v>139</v>
          </cell>
          <cell r="S265">
            <v>2217</v>
          </cell>
          <cell r="T265">
            <v>312</v>
          </cell>
        </row>
        <row r="266">
          <cell r="C266" t="str">
            <v>Census Tract 293.06, King County, Washington</v>
          </cell>
          <cell r="D266">
            <v>1933</v>
          </cell>
          <cell r="E266">
            <v>1865</v>
          </cell>
          <cell r="F266">
            <v>949</v>
          </cell>
          <cell r="G266">
            <v>916</v>
          </cell>
          <cell r="H266">
            <v>81</v>
          </cell>
          <cell r="I266">
            <v>383</v>
          </cell>
          <cell r="J266">
            <v>79</v>
          </cell>
          <cell r="K266">
            <v>373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68</v>
          </cell>
          <cell r="Q266">
            <v>68</v>
          </cell>
          <cell r="R266">
            <v>0</v>
          </cell>
          <cell r="S266">
            <v>1865</v>
          </cell>
          <cell r="T266">
            <v>68</v>
          </cell>
        </row>
        <row r="267">
          <cell r="C267" t="str">
            <v>Census Tract 293.07, King County, Washington</v>
          </cell>
          <cell r="D267">
            <v>3051</v>
          </cell>
          <cell r="E267">
            <v>2983</v>
          </cell>
          <cell r="F267">
            <v>1911</v>
          </cell>
          <cell r="G267">
            <v>1054</v>
          </cell>
          <cell r="H267">
            <v>184</v>
          </cell>
          <cell r="I267">
            <v>270</v>
          </cell>
          <cell r="J267">
            <v>136</v>
          </cell>
          <cell r="K267">
            <v>464</v>
          </cell>
          <cell r="L267">
            <v>18</v>
          </cell>
          <cell r="M267">
            <v>0</v>
          </cell>
          <cell r="N267">
            <v>0</v>
          </cell>
          <cell r="O267">
            <v>18</v>
          </cell>
          <cell r="P267">
            <v>68</v>
          </cell>
          <cell r="Q267">
            <v>45</v>
          </cell>
          <cell r="R267">
            <v>23</v>
          </cell>
          <cell r="S267">
            <v>2965</v>
          </cell>
          <cell r="T267">
            <v>86</v>
          </cell>
        </row>
        <row r="268">
          <cell r="C268" t="str">
            <v>Census Tract 294.03, King County, Washington</v>
          </cell>
          <cell r="D268">
            <v>3228</v>
          </cell>
          <cell r="E268">
            <v>3032</v>
          </cell>
          <cell r="F268">
            <v>1703</v>
          </cell>
          <cell r="G268">
            <v>1286</v>
          </cell>
          <cell r="H268">
            <v>58</v>
          </cell>
          <cell r="I268">
            <v>458</v>
          </cell>
          <cell r="J268">
            <v>106</v>
          </cell>
          <cell r="K268">
            <v>664</v>
          </cell>
          <cell r="L268">
            <v>43</v>
          </cell>
          <cell r="M268">
            <v>0</v>
          </cell>
          <cell r="N268">
            <v>0</v>
          </cell>
          <cell r="O268">
            <v>43</v>
          </cell>
          <cell r="P268">
            <v>196</v>
          </cell>
          <cell r="Q268">
            <v>84</v>
          </cell>
          <cell r="R268">
            <v>112</v>
          </cell>
          <cell r="S268">
            <v>2989</v>
          </cell>
          <cell r="T268">
            <v>239</v>
          </cell>
        </row>
        <row r="269">
          <cell r="C269" t="str">
            <v>Census Tract 294.05, King County, Washington</v>
          </cell>
          <cell r="D269">
            <v>4082</v>
          </cell>
          <cell r="E269">
            <v>4021</v>
          </cell>
          <cell r="F269">
            <v>2307</v>
          </cell>
          <cell r="G269">
            <v>1666</v>
          </cell>
          <cell r="H269">
            <v>137</v>
          </cell>
          <cell r="I269">
            <v>417</v>
          </cell>
          <cell r="J269">
            <v>149</v>
          </cell>
          <cell r="K269">
            <v>963</v>
          </cell>
          <cell r="L269">
            <v>48</v>
          </cell>
          <cell r="M269">
            <v>0</v>
          </cell>
          <cell r="N269">
            <v>0</v>
          </cell>
          <cell r="O269">
            <v>48</v>
          </cell>
          <cell r="P269">
            <v>61</v>
          </cell>
          <cell r="Q269">
            <v>35</v>
          </cell>
          <cell r="R269">
            <v>26</v>
          </cell>
          <cell r="S269">
            <v>3973</v>
          </cell>
          <cell r="T269">
            <v>109</v>
          </cell>
        </row>
        <row r="270">
          <cell r="C270" t="str">
            <v>Census Tract 294.06, King County, Washington</v>
          </cell>
          <cell r="D270">
            <v>2955</v>
          </cell>
          <cell r="E270">
            <v>2876</v>
          </cell>
          <cell r="F270">
            <v>1675</v>
          </cell>
          <cell r="G270">
            <v>1180</v>
          </cell>
          <cell r="H270">
            <v>110</v>
          </cell>
          <cell r="I270">
            <v>382</v>
          </cell>
          <cell r="J270">
            <v>161</v>
          </cell>
          <cell r="K270">
            <v>527</v>
          </cell>
          <cell r="L270">
            <v>21</v>
          </cell>
          <cell r="M270">
            <v>0</v>
          </cell>
          <cell r="N270">
            <v>0</v>
          </cell>
          <cell r="O270">
            <v>21</v>
          </cell>
          <cell r="P270">
            <v>79</v>
          </cell>
          <cell r="Q270">
            <v>25</v>
          </cell>
          <cell r="R270">
            <v>54</v>
          </cell>
          <cell r="S270">
            <v>2855</v>
          </cell>
          <cell r="T270">
            <v>100</v>
          </cell>
        </row>
        <row r="271">
          <cell r="C271" t="str">
            <v>Census Tract 294.07, King County, Washington</v>
          </cell>
          <cell r="D271">
            <v>2931</v>
          </cell>
          <cell r="E271">
            <v>2462</v>
          </cell>
          <cell r="F271">
            <v>1373</v>
          </cell>
          <cell r="G271">
            <v>1064</v>
          </cell>
          <cell r="H271">
            <v>195</v>
          </cell>
          <cell r="I271">
            <v>255</v>
          </cell>
          <cell r="J271">
            <v>129</v>
          </cell>
          <cell r="K271">
            <v>485</v>
          </cell>
          <cell r="L271">
            <v>25</v>
          </cell>
          <cell r="M271">
            <v>0</v>
          </cell>
          <cell r="N271">
            <v>0</v>
          </cell>
          <cell r="O271">
            <v>25</v>
          </cell>
          <cell r="P271">
            <v>469</v>
          </cell>
          <cell r="Q271">
            <v>51</v>
          </cell>
          <cell r="R271">
            <v>418</v>
          </cell>
          <cell r="S271">
            <v>2437</v>
          </cell>
          <cell r="T271">
            <v>494</v>
          </cell>
        </row>
        <row r="272">
          <cell r="C272" t="str">
            <v>Census Tract 294.08, King County, Washington</v>
          </cell>
          <cell r="D272">
            <v>2536</v>
          </cell>
          <cell r="E272">
            <v>2252</v>
          </cell>
          <cell r="F272">
            <v>1278</v>
          </cell>
          <cell r="G272">
            <v>937</v>
          </cell>
          <cell r="H272">
            <v>63</v>
          </cell>
          <cell r="I272">
            <v>317</v>
          </cell>
          <cell r="J272">
            <v>88</v>
          </cell>
          <cell r="K272">
            <v>469</v>
          </cell>
          <cell r="L272">
            <v>37</v>
          </cell>
          <cell r="M272">
            <v>0</v>
          </cell>
          <cell r="N272">
            <v>0</v>
          </cell>
          <cell r="O272">
            <v>37</v>
          </cell>
          <cell r="P272">
            <v>284</v>
          </cell>
          <cell r="Q272">
            <v>27</v>
          </cell>
          <cell r="R272">
            <v>257</v>
          </cell>
          <cell r="S272">
            <v>2215</v>
          </cell>
          <cell r="T272">
            <v>321</v>
          </cell>
        </row>
        <row r="273">
          <cell r="C273" t="str">
            <v>Census Tract 295.02, King County, Washington</v>
          </cell>
          <cell r="D273">
            <v>4083</v>
          </cell>
          <cell r="E273">
            <v>3849</v>
          </cell>
          <cell r="F273">
            <v>2112</v>
          </cell>
          <cell r="G273">
            <v>1713</v>
          </cell>
          <cell r="H273">
            <v>172</v>
          </cell>
          <cell r="I273">
            <v>479</v>
          </cell>
          <cell r="J273">
            <v>184</v>
          </cell>
          <cell r="K273">
            <v>878</v>
          </cell>
          <cell r="L273">
            <v>24</v>
          </cell>
          <cell r="M273">
            <v>0</v>
          </cell>
          <cell r="N273">
            <v>0</v>
          </cell>
          <cell r="O273">
            <v>24</v>
          </cell>
          <cell r="P273">
            <v>234</v>
          </cell>
          <cell r="Q273">
            <v>160</v>
          </cell>
          <cell r="R273">
            <v>74</v>
          </cell>
          <cell r="S273">
            <v>3825</v>
          </cell>
          <cell r="T273">
            <v>258</v>
          </cell>
        </row>
        <row r="274">
          <cell r="C274" t="str">
            <v>Census Tract 295.03, King County, Washington</v>
          </cell>
          <cell r="D274">
            <v>4053</v>
          </cell>
          <cell r="E274">
            <v>3343</v>
          </cell>
          <cell r="F274">
            <v>1762</v>
          </cell>
          <cell r="G274">
            <v>1555</v>
          </cell>
          <cell r="H274">
            <v>172</v>
          </cell>
          <cell r="I274">
            <v>353</v>
          </cell>
          <cell r="J274">
            <v>167</v>
          </cell>
          <cell r="K274">
            <v>863</v>
          </cell>
          <cell r="L274">
            <v>26</v>
          </cell>
          <cell r="M274">
            <v>0</v>
          </cell>
          <cell r="N274">
            <v>0</v>
          </cell>
          <cell r="O274">
            <v>26</v>
          </cell>
          <cell r="P274">
            <v>710</v>
          </cell>
          <cell r="Q274">
            <v>117</v>
          </cell>
          <cell r="R274">
            <v>593</v>
          </cell>
          <cell r="S274">
            <v>3317</v>
          </cell>
          <cell r="T274">
            <v>736</v>
          </cell>
        </row>
        <row r="275">
          <cell r="C275" t="str">
            <v>Census Tract 295.04, King County, Washington</v>
          </cell>
          <cell r="D275">
            <v>2908</v>
          </cell>
          <cell r="E275">
            <v>2779</v>
          </cell>
          <cell r="F275">
            <v>1560</v>
          </cell>
          <cell r="G275">
            <v>1186</v>
          </cell>
          <cell r="H275">
            <v>55</v>
          </cell>
          <cell r="I275">
            <v>318</v>
          </cell>
          <cell r="J275">
            <v>155</v>
          </cell>
          <cell r="K275">
            <v>658</v>
          </cell>
          <cell r="L275">
            <v>33</v>
          </cell>
          <cell r="M275">
            <v>0</v>
          </cell>
          <cell r="N275">
            <v>0</v>
          </cell>
          <cell r="O275">
            <v>33</v>
          </cell>
          <cell r="P275">
            <v>129</v>
          </cell>
          <cell r="Q275">
            <v>30</v>
          </cell>
          <cell r="R275">
            <v>99</v>
          </cell>
          <cell r="S275">
            <v>2746</v>
          </cell>
          <cell r="T275">
            <v>162</v>
          </cell>
        </row>
        <row r="276">
          <cell r="C276" t="str">
            <v>Census Tract 296.01, King County, Washington</v>
          </cell>
          <cell r="D276">
            <v>4287</v>
          </cell>
          <cell r="E276">
            <v>3431</v>
          </cell>
          <cell r="F276">
            <v>2002</v>
          </cell>
          <cell r="G276">
            <v>1404</v>
          </cell>
          <cell r="H276">
            <v>104</v>
          </cell>
          <cell r="I276">
            <v>405</v>
          </cell>
          <cell r="J276">
            <v>245</v>
          </cell>
          <cell r="K276">
            <v>650</v>
          </cell>
          <cell r="L276">
            <v>25</v>
          </cell>
          <cell r="M276">
            <v>0</v>
          </cell>
          <cell r="N276">
            <v>0</v>
          </cell>
          <cell r="O276">
            <v>25</v>
          </cell>
          <cell r="P276">
            <v>856</v>
          </cell>
          <cell r="Q276">
            <v>171</v>
          </cell>
          <cell r="R276">
            <v>685</v>
          </cell>
          <cell r="S276">
            <v>3406</v>
          </cell>
          <cell r="T276">
            <v>881</v>
          </cell>
        </row>
        <row r="277">
          <cell r="C277" t="str">
            <v>Census Tract 296.02, King County, Washington</v>
          </cell>
          <cell r="D277">
            <v>2658</v>
          </cell>
          <cell r="E277">
            <v>2432</v>
          </cell>
          <cell r="F277">
            <v>1356</v>
          </cell>
          <cell r="G277">
            <v>1069</v>
          </cell>
          <cell r="H277">
            <v>162</v>
          </cell>
          <cell r="I277">
            <v>289</v>
          </cell>
          <cell r="J277">
            <v>191</v>
          </cell>
          <cell r="K277">
            <v>427</v>
          </cell>
          <cell r="L277">
            <v>7</v>
          </cell>
          <cell r="M277">
            <v>0</v>
          </cell>
          <cell r="N277">
            <v>0</v>
          </cell>
          <cell r="O277">
            <v>7</v>
          </cell>
          <cell r="P277">
            <v>226</v>
          </cell>
          <cell r="Q277">
            <v>85</v>
          </cell>
          <cell r="R277">
            <v>141</v>
          </cell>
          <cell r="S277">
            <v>2425</v>
          </cell>
          <cell r="T277">
            <v>233</v>
          </cell>
        </row>
        <row r="278">
          <cell r="C278" t="str">
            <v>Census Tract 297, King County, Washington</v>
          </cell>
          <cell r="D278">
            <v>4885</v>
          </cell>
          <cell r="E278">
            <v>4740</v>
          </cell>
          <cell r="F278">
            <v>2490</v>
          </cell>
          <cell r="G278">
            <v>2212</v>
          </cell>
          <cell r="H278">
            <v>112</v>
          </cell>
          <cell r="I278">
            <v>906</v>
          </cell>
          <cell r="J278">
            <v>329</v>
          </cell>
          <cell r="K278">
            <v>865</v>
          </cell>
          <cell r="L278">
            <v>38</v>
          </cell>
          <cell r="M278">
            <v>0</v>
          </cell>
          <cell r="N278">
            <v>0</v>
          </cell>
          <cell r="O278">
            <v>38</v>
          </cell>
          <cell r="P278">
            <v>145</v>
          </cell>
          <cell r="Q278">
            <v>70</v>
          </cell>
          <cell r="R278">
            <v>75</v>
          </cell>
          <cell r="S278">
            <v>4702</v>
          </cell>
          <cell r="T278">
            <v>183</v>
          </cell>
        </row>
        <row r="279">
          <cell r="C279" t="str">
            <v>Census Tract 298.01, King County, Washington</v>
          </cell>
          <cell r="D279">
            <v>5590</v>
          </cell>
          <cell r="E279">
            <v>5357</v>
          </cell>
          <cell r="F279">
            <v>2798</v>
          </cell>
          <cell r="G279">
            <v>2476</v>
          </cell>
          <cell r="H279">
            <v>206</v>
          </cell>
          <cell r="I279">
            <v>694</v>
          </cell>
          <cell r="J279">
            <v>402</v>
          </cell>
          <cell r="K279">
            <v>1174</v>
          </cell>
          <cell r="L279">
            <v>83</v>
          </cell>
          <cell r="M279">
            <v>0</v>
          </cell>
          <cell r="N279">
            <v>0</v>
          </cell>
          <cell r="O279">
            <v>83</v>
          </cell>
          <cell r="P279">
            <v>233</v>
          </cell>
          <cell r="Q279">
            <v>60</v>
          </cell>
          <cell r="R279">
            <v>173</v>
          </cell>
          <cell r="S279">
            <v>5274</v>
          </cell>
          <cell r="T279">
            <v>316</v>
          </cell>
        </row>
        <row r="280">
          <cell r="C280" t="str">
            <v>Census Tract 298.02, King County, Washington</v>
          </cell>
          <cell r="D280">
            <v>5600</v>
          </cell>
          <cell r="E280">
            <v>5362</v>
          </cell>
          <cell r="F280">
            <v>3327</v>
          </cell>
          <cell r="G280">
            <v>1966</v>
          </cell>
          <cell r="H280">
            <v>159</v>
          </cell>
          <cell r="I280">
            <v>724</v>
          </cell>
          <cell r="J280">
            <v>200</v>
          </cell>
          <cell r="K280">
            <v>883</v>
          </cell>
          <cell r="L280">
            <v>69</v>
          </cell>
          <cell r="M280">
            <v>0</v>
          </cell>
          <cell r="N280">
            <v>0</v>
          </cell>
          <cell r="O280">
            <v>69</v>
          </cell>
          <cell r="P280">
            <v>238</v>
          </cell>
          <cell r="Q280">
            <v>119</v>
          </cell>
          <cell r="R280">
            <v>119</v>
          </cell>
          <cell r="S280">
            <v>5293</v>
          </cell>
          <cell r="T280">
            <v>307</v>
          </cell>
        </row>
        <row r="281">
          <cell r="C281" t="str">
            <v>Census Tract 299.01, King County, Washington</v>
          </cell>
          <cell r="D281">
            <v>3681</v>
          </cell>
          <cell r="E281">
            <v>3176</v>
          </cell>
          <cell r="F281">
            <v>1875</v>
          </cell>
          <cell r="G281">
            <v>1262</v>
          </cell>
          <cell r="H281">
            <v>108</v>
          </cell>
          <cell r="I281">
            <v>331</v>
          </cell>
          <cell r="J281">
            <v>191</v>
          </cell>
          <cell r="K281">
            <v>632</v>
          </cell>
          <cell r="L281">
            <v>39</v>
          </cell>
          <cell r="M281">
            <v>0</v>
          </cell>
          <cell r="N281">
            <v>0</v>
          </cell>
          <cell r="O281">
            <v>39</v>
          </cell>
          <cell r="P281">
            <v>505</v>
          </cell>
          <cell r="Q281">
            <v>149</v>
          </cell>
          <cell r="R281">
            <v>356</v>
          </cell>
          <cell r="S281">
            <v>3137</v>
          </cell>
          <cell r="T281">
            <v>544</v>
          </cell>
        </row>
        <row r="282">
          <cell r="C282" t="str">
            <v>Census Tract 299.02, King County, Washington</v>
          </cell>
          <cell r="D282">
            <v>3169</v>
          </cell>
          <cell r="E282">
            <v>3013</v>
          </cell>
          <cell r="F282">
            <v>1553</v>
          </cell>
          <cell r="G282">
            <v>1428</v>
          </cell>
          <cell r="H282">
            <v>131</v>
          </cell>
          <cell r="I282">
            <v>473</v>
          </cell>
          <cell r="J282">
            <v>143</v>
          </cell>
          <cell r="K282">
            <v>681</v>
          </cell>
          <cell r="L282">
            <v>32</v>
          </cell>
          <cell r="M282">
            <v>0</v>
          </cell>
          <cell r="N282">
            <v>0</v>
          </cell>
          <cell r="O282">
            <v>32</v>
          </cell>
          <cell r="P282">
            <v>156</v>
          </cell>
          <cell r="Q282">
            <v>69</v>
          </cell>
          <cell r="R282">
            <v>87</v>
          </cell>
          <cell r="S282">
            <v>2981</v>
          </cell>
          <cell r="T282">
            <v>188</v>
          </cell>
        </row>
        <row r="283">
          <cell r="C283" t="str">
            <v>Census Tract 300.02, King County, Washington</v>
          </cell>
          <cell r="D283">
            <v>5557</v>
          </cell>
          <cell r="E283">
            <v>4925</v>
          </cell>
          <cell r="F283">
            <v>2606</v>
          </cell>
          <cell r="G283">
            <v>2290</v>
          </cell>
          <cell r="H283">
            <v>190</v>
          </cell>
          <cell r="I283">
            <v>691</v>
          </cell>
          <cell r="J283">
            <v>336</v>
          </cell>
          <cell r="K283">
            <v>1073</v>
          </cell>
          <cell r="L283">
            <v>29</v>
          </cell>
          <cell r="M283">
            <v>0</v>
          </cell>
          <cell r="N283">
            <v>0</v>
          </cell>
          <cell r="O283">
            <v>29</v>
          </cell>
          <cell r="P283">
            <v>632</v>
          </cell>
          <cell r="Q283">
            <v>122</v>
          </cell>
          <cell r="R283">
            <v>510</v>
          </cell>
          <cell r="S283">
            <v>4896</v>
          </cell>
          <cell r="T283">
            <v>661</v>
          </cell>
        </row>
        <row r="284">
          <cell r="C284" t="str">
            <v>Census Tract 300.03, King County, Washington</v>
          </cell>
          <cell r="D284">
            <v>3892</v>
          </cell>
          <cell r="E284">
            <v>3671</v>
          </cell>
          <cell r="F284">
            <v>2028</v>
          </cell>
          <cell r="G284">
            <v>1605</v>
          </cell>
          <cell r="H284">
            <v>163</v>
          </cell>
          <cell r="I284">
            <v>603</v>
          </cell>
          <cell r="J284">
            <v>288</v>
          </cell>
          <cell r="K284">
            <v>551</v>
          </cell>
          <cell r="L284">
            <v>38</v>
          </cell>
          <cell r="M284">
            <v>0</v>
          </cell>
          <cell r="N284">
            <v>0</v>
          </cell>
          <cell r="O284">
            <v>38</v>
          </cell>
          <cell r="P284">
            <v>221</v>
          </cell>
          <cell r="Q284">
            <v>113</v>
          </cell>
          <cell r="R284">
            <v>108</v>
          </cell>
          <cell r="S284">
            <v>3633</v>
          </cell>
          <cell r="T284">
            <v>259</v>
          </cell>
        </row>
        <row r="285">
          <cell r="C285" t="str">
            <v>Census Tract 300.04, King County, Washington</v>
          </cell>
          <cell r="D285">
            <v>3674</v>
          </cell>
          <cell r="E285">
            <v>3305</v>
          </cell>
          <cell r="F285">
            <v>1828</v>
          </cell>
          <cell r="G285">
            <v>1447</v>
          </cell>
          <cell r="H285">
            <v>165</v>
          </cell>
          <cell r="I285">
            <v>428</v>
          </cell>
          <cell r="J285">
            <v>242</v>
          </cell>
          <cell r="K285">
            <v>612</v>
          </cell>
          <cell r="L285">
            <v>30</v>
          </cell>
          <cell r="M285">
            <v>0</v>
          </cell>
          <cell r="N285">
            <v>0</v>
          </cell>
          <cell r="O285">
            <v>30</v>
          </cell>
          <cell r="P285">
            <v>369</v>
          </cell>
          <cell r="Q285">
            <v>75</v>
          </cell>
          <cell r="R285">
            <v>294</v>
          </cell>
          <cell r="S285">
            <v>3275</v>
          </cell>
          <cell r="T285">
            <v>399</v>
          </cell>
        </row>
        <row r="286">
          <cell r="C286" t="str">
            <v>Census Tract 301, King County, Washington</v>
          </cell>
          <cell r="D286">
            <v>5864</v>
          </cell>
          <cell r="E286">
            <v>5636</v>
          </cell>
          <cell r="F286">
            <v>3022</v>
          </cell>
          <cell r="G286">
            <v>2560</v>
          </cell>
          <cell r="H286">
            <v>276</v>
          </cell>
          <cell r="I286">
            <v>929</v>
          </cell>
          <cell r="J286">
            <v>357</v>
          </cell>
          <cell r="K286">
            <v>998</v>
          </cell>
          <cell r="L286">
            <v>54</v>
          </cell>
          <cell r="M286">
            <v>0</v>
          </cell>
          <cell r="N286">
            <v>0</v>
          </cell>
          <cell r="O286">
            <v>54</v>
          </cell>
          <cell r="P286">
            <v>228</v>
          </cell>
          <cell r="Q286">
            <v>143</v>
          </cell>
          <cell r="R286">
            <v>85</v>
          </cell>
          <cell r="S286">
            <v>5582</v>
          </cell>
          <cell r="T286">
            <v>282</v>
          </cell>
        </row>
        <row r="287">
          <cell r="C287" t="str">
            <v>Census Tract 302.01, King County, Washington</v>
          </cell>
          <cell r="D287">
            <v>3551</v>
          </cell>
          <cell r="E287">
            <v>3317</v>
          </cell>
          <cell r="F287">
            <v>1866</v>
          </cell>
          <cell r="G287">
            <v>1402</v>
          </cell>
          <cell r="H287">
            <v>119</v>
          </cell>
          <cell r="I287">
            <v>490</v>
          </cell>
          <cell r="J287">
            <v>202</v>
          </cell>
          <cell r="K287">
            <v>591</v>
          </cell>
          <cell r="L287">
            <v>49</v>
          </cell>
          <cell r="M287">
            <v>6</v>
          </cell>
          <cell r="N287">
            <v>0</v>
          </cell>
          <cell r="O287">
            <v>43</v>
          </cell>
          <cell r="P287">
            <v>234</v>
          </cell>
          <cell r="Q287">
            <v>78</v>
          </cell>
          <cell r="R287">
            <v>156</v>
          </cell>
          <cell r="S287">
            <v>3268</v>
          </cell>
          <cell r="T287">
            <v>283</v>
          </cell>
        </row>
        <row r="288">
          <cell r="C288" t="str">
            <v>Census Tract 302.02, King County, Washington</v>
          </cell>
          <cell r="D288">
            <v>4449</v>
          </cell>
          <cell r="E288">
            <v>4256</v>
          </cell>
          <cell r="F288">
            <v>2323</v>
          </cell>
          <cell r="G288">
            <v>1933</v>
          </cell>
          <cell r="H288">
            <v>249</v>
          </cell>
          <cell r="I288">
            <v>726</v>
          </cell>
          <cell r="J288">
            <v>220</v>
          </cell>
          <cell r="K288">
            <v>738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193</v>
          </cell>
          <cell r="Q288">
            <v>57</v>
          </cell>
          <cell r="R288">
            <v>136</v>
          </cell>
          <cell r="S288">
            <v>4256</v>
          </cell>
          <cell r="T288">
            <v>193</v>
          </cell>
        </row>
        <row r="289">
          <cell r="C289" t="str">
            <v>Census Tract 303.03, King County, Washington</v>
          </cell>
          <cell r="D289">
            <v>4475</v>
          </cell>
          <cell r="E289">
            <v>4201</v>
          </cell>
          <cell r="F289">
            <v>1825</v>
          </cell>
          <cell r="G289">
            <v>2305</v>
          </cell>
          <cell r="H289">
            <v>204</v>
          </cell>
          <cell r="I289">
            <v>756</v>
          </cell>
          <cell r="J289">
            <v>283</v>
          </cell>
          <cell r="K289">
            <v>1062</v>
          </cell>
          <cell r="L289">
            <v>71</v>
          </cell>
          <cell r="M289">
            <v>11</v>
          </cell>
          <cell r="N289">
            <v>0</v>
          </cell>
          <cell r="O289">
            <v>60</v>
          </cell>
          <cell r="P289">
            <v>274</v>
          </cell>
          <cell r="Q289">
            <v>112</v>
          </cell>
          <cell r="R289">
            <v>162</v>
          </cell>
          <cell r="S289">
            <v>4130</v>
          </cell>
          <cell r="T289">
            <v>345</v>
          </cell>
        </row>
        <row r="290">
          <cell r="C290" t="str">
            <v>Census Tract 303.04, King County, Washington</v>
          </cell>
          <cell r="D290">
            <v>1992</v>
          </cell>
          <cell r="E290">
            <v>1947</v>
          </cell>
          <cell r="F290">
            <v>1144</v>
          </cell>
          <cell r="G290">
            <v>793</v>
          </cell>
          <cell r="H290">
            <v>121</v>
          </cell>
          <cell r="I290">
            <v>221</v>
          </cell>
          <cell r="J290">
            <v>49</v>
          </cell>
          <cell r="K290">
            <v>402</v>
          </cell>
          <cell r="L290">
            <v>10</v>
          </cell>
          <cell r="M290">
            <v>0</v>
          </cell>
          <cell r="N290">
            <v>0</v>
          </cell>
          <cell r="O290">
            <v>10</v>
          </cell>
          <cell r="P290">
            <v>45</v>
          </cell>
          <cell r="Q290">
            <v>19</v>
          </cell>
          <cell r="R290">
            <v>26</v>
          </cell>
          <cell r="S290">
            <v>1937</v>
          </cell>
          <cell r="T290">
            <v>55</v>
          </cell>
        </row>
        <row r="291">
          <cell r="C291" t="str">
            <v>Census Tract 303.05, King County, Washington</v>
          </cell>
          <cell r="D291">
            <v>3676</v>
          </cell>
          <cell r="E291">
            <v>3518</v>
          </cell>
          <cell r="F291">
            <v>1755</v>
          </cell>
          <cell r="G291">
            <v>1720</v>
          </cell>
          <cell r="H291">
            <v>135</v>
          </cell>
          <cell r="I291">
            <v>553</v>
          </cell>
          <cell r="J291">
            <v>271</v>
          </cell>
          <cell r="K291">
            <v>761</v>
          </cell>
          <cell r="L291">
            <v>43</v>
          </cell>
          <cell r="M291">
            <v>0</v>
          </cell>
          <cell r="N291">
            <v>0</v>
          </cell>
          <cell r="O291">
            <v>43</v>
          </cell>
          <cell r="P291">
            <v>158</v>
          </cell>
          <cell r="Q291">
            <v>101</v>
          </cell>
          <cell r="R291">
            <v>57</v>
          </cell>
          <cell r="S291">
            <v>3475</v>
          </cell>
          <cell r="T291">
            <v>201</v>
          </cell>
        </row>
        <row r="292">
          <cell r="C292" t="str">
            <v>Census Tract 303.06, King County, Washington</v>
          </cell>
          <cell r="D292">
            <v>4238</v>
          </cell>
          <cell r="E292">
            <v>3926</v>
          </cell>
          <cell r="F292">
            <v>1953</v>
          </cell>
          <cell r="G292">
            <v>1910</v>
          </cell>
          <cell r="H292">
            <v>179</v>
          </cell>
          <cell r="I292">
            <v>504</v>
          </cell>
          <cell r="J292">
            <v>181</v>
          </cell>
          <cell r="K292">
            <v>1046</v>
          </cell>
          <cell r="L292">
            <v>63</v>
          </cell>
          <cell r="M292">
            <v>0</v>
          </cell>
          <cell r="N292">
            <v>0</v>
          </cell>
          <cell r="O292">
            <v>63</v>
          </cell>
          <cell r="P292">
            <v>312</v>
          </cell>
          <cell r="Q292">
            <v>97</v>
          </cell>
          <cell r="R292">
            <v>215</v>
          </cell>
          <cell r="S292">
            <v>3863</v>
          </cell>
          <cell r="T292">
            <v>375</v>
          </cell>
        </row>
        <row r="293">
          <cell r="C293" t="str">
            <v>Census Tract 303.08, King County, Washington</v>
          </cell>
          <cell r="D293">
            <v>3888</v>
          </cell>
          <cell r="E293">
            <v>3563</v>
          </cell>
          <cell r="F293">
            <v>1742</v>
          </cell>
          <cell r="G293">
            <v>1774</v>
          </cell>
          <cell r="H293">
            <v>150</v>
          </cell>
          <cell r="I293">
            <v>476</v>
          </cell>
          <cell r="J293">
            <v>295</v>
          </cell>
          <cell r="K293">
            <v>853</v>
          </cell>
          <cell r="L293">
            <v>47</v>
          </cell>
          <cell r="M293">
            <v>0</v>
          </cell>
          <cell r="N293">
            <v>0</v>
          </cell>
          <cell r="O293">
            <v>47</v>
          </cell>
          <cell r="P293">
            <v>325</v>
          </cell>
          <cell r="Q293">
            <v>95</v>
          </cell>
          <cell r="R293">
            <v>230</v>
          </cell>
          <cell r="S293">
            <v>3516</v>
          </cell>
          <cell r="T293">
            <v>372</v>
          </cell>
        </row>
        <row r="294">
          <cell r="C294" t="str">
            <v>Census Tract 303.09, King County, Washington</v>
          </cell>
          <cell r="D294">
            <v>3411</v>
          </cell>
          <cell r="E294">
            <v>3073</v>
          </cell>
          <cell r="F294">
            <v>1508</v>
          </cell>
          <cell r="G294">
            <v>1525</v>
          </cell>
          <cell r="H294">
            <v>143</v>
          </cell>
          <cell r="I294">
            <v>431</v>
          </cell>
          <cell r="J294">
            <v>214</v>
          </cell>
          <cell r="K294">
            <v>737</v>
          </cell>
          <cell r="L294">
            <v>40</v>
          </cell>
          <cell r="M294">
            <v>10</v>
          </cell>
          <cell r="N294">
            <v>12</v>
          </cell>
          <cell r="O294">
            <v>18</v>
          </cell>
          <cell r="P294">
            <v>338</v>
          </cell>
          <cell r="Q294">
            <v>116</v>
          </cell>
          <cell r="R294">
            <v>222</v>
          </cell>
          <cell r="S294">
            <v>3033</v>
          </cell>
          <cell r="T294">
            <v>378</v>
          </cell>
        </row>
        <row r="295">
          <cell r="C295" t="str">
            <v>Census Tract 303.10, King County, Washington</v>
          </cell>
          <cell r="D295">
            <v>3048</v>
          </cell>
          <cell r="E295">
            <v>2809</v>
          </cell>
          <cell r="F295">
            <v>1331</v>
          </cell>
          <cell r="G295">
            <v>1430</v>
          </cell>
          <cell r="H295">
            <v>120</v>
          </cell>
          <cell r="I295">
            <v>312</v>
          </cell>
          <cell r="J295">
            <v>253</v>
          </cell>
          <cell r="K295">
            <v>745</v>
          </cell>
          <cell r="L295">
            <v>48</v>
          </cell>
          <cell r="M295">
            <v>0</v>
          </cell>
          <cell r="N295">
            <v>0</v>
          </cell>
          <cell r="O295">
            <v>48</v>
          </cell>
          <cell r="P295">
            <v>239</v>
          </cell>
          <cell r="Q295">
            <v>81</v>
          </cell>
          <cell r="R295">
            <v>158</v>
          </cell>
          <cell r="S295">
            <v>2761</v>
          </cell>
          <cell r="T295">
            <v>287</v>
          </cell>
        </row>
        <row r="296">
          <cell r="C296" t="str">
            <v>Census Tract 303.11, King County, Washington</v>
          </cell>
          <cell r="D296">
            <v>3557</v>
          </cell>
          <cell r="E296">
            <v>3360</v>
          </cell>
          <cell r="F296">
            <v>2173</v>
          </cell>
          <cell r="G296">
            <v>1146</v>
          </cell>
          <cell r="H296">
            <v>66</v>
          </cell>
          <cell r="I296">
            <v>291</v>
          </cell>
          <cell r="J296">
            <v>146</v>
          </cell>
          <cell r="K296">
            <v>643</v>
          </cell>
          <cell r="L296">
            <v>41</v>
          </cell>
          <cell r="M296">
            <v>0</v>
          </cell>
          <cell r="N296">
            <v>0</v>
          </cell>
          <cell r="O296">
            <v>41</v>
          </cell>
          <cell r="P296">
            <v>197</v>
          </cell>
          <cell r="Q296">
            <v>70</v>
          </cell>
          <cell r="R296">
            <v>127</v>
          </cell>
          <cell r="S296">
            <v>3319</v>
          </cell>
          <cell r="T296">
            <v>238</v>
          </cell>
        </row>
        <row r="297">
          <cell r="C297" t="str">
            <v>Census Tract 303.12, King County, Washington</v>
          </cell>
          <cell r="D297">
            <v>3376</v>
          </cell>
          <cell r="E297">
            <v>3096</v>
          </cell>
          <cell r="F297">
            <v>1622</v>
          </cell>
          <cell r="G297">
            <v>1445</v>
          </cell>
          <cell r="H297">
            <v>238</v>
          </cell>
          <cell r="I297">
            <v>357</v>
          </cell>
          <cell r="J297">
            <v>218</v>
          </cell>
          <cell r="K297">
            <v>632</v>
          </cell>
          <cell r="L297">
            <v>29</v>
          </cell>
          <cell r="M297">
            <v>0</v>
          </cell>
          <cell r="N297">
            <v>0</v>
          </cell>
          <cell r="O297">
            <v>29</v>
          </cell>
          <cell r="P297">
            <v>280</v>
          </cell>
          <cell r="Q297">
            <v>93</v>
          </cell>
          <cell r="R297">
            <v>187</v>
          </cell>
          <cell r="S297">
            <v>3067</v>
          </cell>
          <cell r="T297">
            <v>309</v>
          </cell>
        </row>
        <row r="298">
          <cell r="C298" t="str">
            <v>Census Tract 304.01, King County, Washington</v>
          </cell>
          <cell r="D298">
            <v>4700</v>
          </cell>
          <cell r="E298">
            <v>4527</v>
          </cell>
          <cell r="F298">
            <v>2523</v>
          </cell>
          <cell r="G298">
            <v>1959</v>
          </cell>
          <cell r="H298">
            <v>146</v>
          </cell>
          <cell r="I298">
            <v>699</v>
          </cell>
          <cell r="J298">
            <v>260</v>
          </cell>
          <cell r="K298">
            <v>854</v>
          </cell>
          <cell r="L298">
            <v>45</v>
          </cell>
          <cell r="M298">
            <v>0</v>
          </cell>
          <cell r="N298">
            <v>12</v>
          </cell>
          <cell r="O298">
            <v>33</v>
          </cell>
          <cell r="P298">
            <v>173</v>
          </cell>
          <cell r="Q298">
            <v>141</v>
          </cell>
          <cell r="R298">
            <v>32</v>
          </cell>
          <cell r="S298">
            <v>4482</v>
          </cell>
          <cell r="T298">
            <v>218</v>
          </cell>
        </row>
        <row r="299">
          <cell r="C299" t="str">
            <v>Census Tract 304.03, King County, Washington</v>
          </cell>
          <cell r="D299">
            <v>3273</v>
          </cell>
          <cell r="E299">
            <v>3124</v>
          </cell>
          <cell r="F299">
            <v>1676</v>
          </cell>
          <cell r="G299">
            <v>1409</v>
          </cell>
          <cell r="H299">
            <v>85</v>
          </cell>
          <cell r="I299">
            <v>391</v>
          </cell>
          <cell r="J299">
            <v>155</v>
          </cell>
          <cell r="K299">
            <v>778</v>
          </cell>
          <cell r="L299">
            <v>39</v>
          </cell>
          <cell r="M299">
            <v>0</v>
          </cell>
          <cell r="N299">
            <v>0</v>
          </cell>
          <cell r="O299">
            <v>39</v>
          </cell>
          <cell r="P299">
            <v>149</v>
          </cell>
          <cell r="Q299">
            <v>65</v>
          </cell>
          <cell r="R299">
            <v>84</v>
          </cell>
          <cell r="S299">
            <v>3085</v>
          </cell>
          <cell r="T299">
            <v>188</v>
          </cell>
        </row>
        <row r="300">
          <cell r="C300" t="str">
            <v>Census Tract 304.04, King County, Washington</v>
          </cell>
          <cell r="D300">
            <v>2877</v>
          </cell>
          <cell r="E300">
            <v>2798</v>
          </cell>
          <cell r="F300">
            <v>1663</v>
          </cell>
          <cell r="G300">
            <v>1110</v>
          </cell>
          <cell r="H300">
            <v>82</v>
          </cell>
          <cell r="I300">
            <v>317</v>
          </cell>
          <cell r="J300">
            <v>167</v>
          </cell>
          <cell r="K300">
            <v>544</v>
          </cell>
          <cell r="L300">
            <v>25</v>
          </cell>
          <cell r="M300">
            <v>0</v>
          </cell>
          <cell r="N300">
            <v>0</v>
          </cell>
          <cell r="O300">
            <v>25</v>
          </cell>
          <cell r="P300">
            <v>79</v>
          </cell>
          <cell r="Q300">
            <v>53</v>
          </cell>
          <cell r="R300">
            <v>26</v>
          </cell>
          <cell r="S300">
            <v>2773</v>
          </cell>
          <cell r="T300">
            <v>104</v>
          </cell>
        </row>
        <row r="301">
          <cell r="C301" t="str">
            <v>Census Tract 305.01, King County, Washington</v>
          </cell>
          <cell r="D301">
            <v>1682</v>
          </cell>
          <cell r="E301">
            <v>1464</v>
          </cell>
          <cell r="F301">
            <v>810</v>
          </cell>
          <cell r="G301">
            <v>654</v>
          </cell>
          <cell r="H301">
            <v>100</v>
          </cell>
          <cell r="I301">
            <v>277</v>
          </cell>
          <cell r="J301">
            <v>78</v>
          </cell>
          <cell r="K301">
            <v>199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218</v>
          </cell>
          <cell r="Q301">
            <v>35</v>
          </cell>
          <cell r="R301">
            <v>183</v>
          </cell>
          <cell r="S301">
            <v>1464</v>
          </cell>
          <cell r="T301">
            <v>218</v>
          </cell>
        </row>
        <row r="302">
          <cell r="C302" t="str">
            <v>Census Tract 305.03, King County, Washington</v>
          </cell>
          <cell r="D302">
            <v>3111</v>
          </cell>
          <cell r="E302">
            <v>2928</v>
          </cell>
          <cell r="F302">
            <v>1514</v>
          </cell>
          <cell r="G302">
            <v>1414</v>
          </cell>
          <cell r="H302">
            <v>80</v>
          </cell>
          <cell r="I302">
            <v>533</v>
          </cell>
          <cell r="J302">
            <v>205</v>
          </cell>
          <cell r="K302">
            <v>596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183</v>
          </cell>
          <cell r="Q302">
            <v>57</v>
          </cell>
          <cell r="R302">
            <v>126</v>
          </cell>
          <cell r="S302">
            <v>2928</v>
          </cell>
          <cell r="T302">
            <v>183</v>
          </cell>
        </row>
        <row r="303">
          <cell r="C303" t="str">
            <v>Census Tract 305.04, King County, Washington</v>
          </cell>
          <cell r="D303">
            <v>3611</v>
          </cell>
          <cell r="E303">
            <v>3318</v>
          </cell>
          <cell r="F303">
            <v>1819</v>
          </cell>
          <cell r="G303">
            <v>1465</v>
          </cell>
          <cell r="H303">
            <v>235</v>
          </cell>
          <cell r="I303">
            <v>481</v>
          </cell>
          <cell r="J303">
            <v>114</v>
          </cell>
          <cell r="K303">
            <v>635</v>
          </cell>
          <cell r="L303">
            <v>34</v>
          </cell>
          <cell r="M303">
            <v>0</v>
          </cell>
          <cell r="N303">
            <v>0</v>
          </cell>
          <cell r="O303">
            <v>34</v>
          </cell>
          <cell r="P303">
            <v>293</v>
          </cell>
          <cell r="Q303">
            <v>109</v>
          </cell>
          <cell r="R303">
            <v>184</v>
          </cell>
          <cell r="S303">
            <v>3284</v>
          </cell>
          <cell r="T303">
            <v>327</v>
          </cell>
        </row>
        <row r="304">
          <cell r="C304" t="str">
            <v>Census Tract 306, King County, Washington</v>
          </cell>
          <cell r="D304">
            <v>4160</v>
          </cell>
          <cell r="E304">
            <v>4030</v>
          </cell>
          <cell r="F304">
            <v>2345</v>
          </cell>
          <cell r="G304">
            <v>1637</v>
          </cell>
          <cell r="H304">
            <v>246</v>
          </cell>
          <cell r="I304">
            <v>586</v>
          </cell>
          <cell r="J304">
            <v>226</v>
          </cell>
          <cell r="K304">
            <v>579</v>
          </cell>
          <cell r="L304">
            <v>48</v>
          </cell>
          <cell r="M304">
            <v>0</v>
          </cell>
          <cell r="N304">
            <v>0</v>
          </cell>
          <cell r="O304">
            <v>48</v>
          </cell>
          <cell r="P304">
            <v>130</v>
          </cell>
          <cell r="Q304">
            <v>57</v>
          </cell>
          <cell r="R304">
            <v>73</v>
          </cell>
          <cell r="S304">
            <v>3982</v>
          </cell>
          <cell r="T304">
            <v>178</v>
          </cell>
        </row>
        <row r="305">
          <cell r="C305" t="str">
            <v>Census Tract 307, King County, Washington</v>
          </cell>
          <cell r="D305">
            <v>3010</v>
          </cell>
          <cell r="E305">
            <v>2680</v>
          </cell>
          <cell r="F305">
            <v>1585</v>
          </cell>
          <cell r="G305">
            <v>1044</v>
          </cell>
          <cell r="H305">
            <v>29</v>
          </cell>
          <cell r="I305">
            <v>414</v>
          </cell>
          <cell r="J305">
            <v>118</v>
          </cell>
          <cell r="K305">
            <v>483</v>
          </cell>
          <cell r="L305">
            <v>51</v>
          </cell>
          <cell r="M305">
            <v>0</v>
          </cell>
          <cell r="N305">
            <v>0</v>
          </cell>
          <cell r="O305">
            <v>51</v>
          </cell>
          <cell r="P305">
            <v>330</v>
          </cell>
          <cell r="Q305">
            <v>77</v>
          </cell>
          <cell r="R305">
            <v>253</v>
          </cell>
          <cell r="S305">
            <v>2629</v>
          </cell>
          <cell r="T305">
            <v>381</v>
          </cell>
        </row>
        <row r="306">
          <cell r="C306" t="str">
            <v>Census Tract 308.01, King County, Washington</v>
          </cell>
          <cell r="D306">
            <v>4554</v>
          </cell>
          <cell r="E306">
            <v>4289</v>
          </cell>
          <cell r="F306">
            <v>2399</v>
          </cell>
          <cell r="G306">
            <v>1801</v>
          </cell>
          <cell r="H306">
            <v>136</v>
          </cell>
          <cell r="I306">
            <v>539</v>
          </cell>
          <cell r="J306">
            <v>227</v>
          </cell>
          <cell r="K306">
            <v>899</v>
          </cell>
          <cell r="L306">
            <v>89</v>
          </cell>
          <cell r="M306">
            <v>0</v>
          </cell>
          <cell r="N306">
            <v>0</v>
          </cell>
          <cell r="O306">
            <v>89</v>
          </cell>
          <cell r="P306">
            <v>265</v>
          </cell>
          <cell r="Q306">
            <v>81</v>
          </cell>
          <cell r="R306">
            <v>184</v>
          </cell>
          <cell r="S306">
            <v>4200</v>
          </cell>
          <cell r="T306">
            <v>354</v>
          </cell>
        </row>
        <row r="307">
          <cell r="C307" t="str">
            <v>Census Tract 308.02, King County, Washington</v>
          </cell>
          <cell r="D307">
            <v>2972</v>
          </cell>
          <cell r="E307">
            <v>2860</v>
          </cell>
          <cell r="F307">
            <v>1750</v>
          </cell>
          <cell r="G307">
            <v>1110</v>
          </cell>
          <cell r="H307">
            <v>85</v>
          </cell>
          <cell r="I307">
            <v>411</v>
          </cell>
          <cell r="J307">
            <v>148</v>
          </cell>
          <cell r="K307">
            <v>466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112</v>
          </cell>
          <cell r="Q307">
            <v>0</v>
          </cell>
          <cell r="R307">
            <v>112</v>
          </cell>
          <cell r="S307">
            <v>2860</v>
          </cell>
          <cell r="T307">
            <v>112</v>
          </cell>
        </row>
        <row r="308">
          <cell r="C308" t="str">
            <v>Census Tract 309.01, King County, Washington</v>
          </cell>
          <cell r="D308">
            <v>2379</v>
          </cell>
          <cell r="E308">
            <v>2298</v>
          </cell>
          <cell r="F308">
            <v>1531</v>
          </cell>
          <cell r="G308">
            <v>753</v>
          </cell>
          <cell r="H308">
            <v>86</v>
          </cell>
          <cell r="I308">
            <v>217</v>
          </cell>
          <cell r="J308">
            <v>113</v>
          </cell>
          <cell r="K308">
            <v>337</v>
          </cell>
          <cell r="L308">
            <v>14</v>
          </cell>
          <cell r="M308">
            <v>0</v>
          </cell>
          <cell r="N308">
            <v>0</v>
          </cell>
          <cell r="O308">
            <v>14</v>
          </cell>
          <cell r="P308">
            <v>81</v>
          </cell>
          <cell r="Q308">
            <v>34</v>
          </cell>
          <cell r="R308">
            <v>47</v>
          </cell>
          <cell r="S308">
            <v>2284</v>
          </cell>
          <cell r="T308">
            <v>95</v>
          </cell>
        </row>
        <row r="309">
          <cell r="C309" t="str">
            <v>Census Tract 309.02, King County, Washington</v>
          </cell>
          <cell r="D309">
            <v>3821</v>
          </cell>
          <cell r="E309">
            <v>3693</v>
          </cell>
          <cell r="F309">
            <v>2203</v>
          </cell>
          <cell r="G309">
            <v>1470</v>
          </cell>
          <cell r="H309">
            <v>81</v>
          </cell>
          <cell r="I309">
            <v>401</v>
          </cell>
          <cell r="J309">
            <v>143</v>
          </cell>
          <cell r="K309">
            <v>845</v>
          </cell>
          <cell r="L309">
            <v>20</v>
          </cell>
          <cell r="M309">
            <v>0</v>
          </cell>
          <cell r="N309">
            <v>0</v>
          </cell>
          <cell r="O309">
            <v>20</v>
          </cell>
          <cell r="P309">
            <v>128</v>
          </cell>
          <cell r="Q309">
            <v>32</v>
          </cell>
          <cell r="R309">
            <v>96</v>
          </cell>
          <cell r="S309">
            <v>3673</v>
          </cell>
          <cell r="T309">
            <v>148</v>
          </cell>
        </row>
        <row r="310">
          <cell r="C310" t="str">
            <v>Census Tract 310, King County, Washington</v>
          </cell>
          <cell r="D310">
            <v>2485</v>
          </cell>
          <cell r="E310">
            <v>2392</v>
          </cell>
          <cell r="F310">
            <v>1408</v>
          </cell>
          <cell r="G310">
            <v>934</v>
          </cell>
          <cell r="H310">
            <v>84</v>
          </cell>
          <cell r="I310">
            <v>277</v>
          </cell>
          <cell r="J310">
            <v>156</v>
          </cell>
          <cell r="K310">
            <v>417</v>
          </cell>
          <cell r="L310">
            <v>50</v>
          </cell>
          <cell r="M310">
            <v>0</v>
          </cell>
          <cell r="N310">
            <v>0</v>
          </cell>
          <cell r="O310">
            <v>50</v>
          </cell>
          <cell r="P310">
            <v>93</v>
          </cell>
          <cell r="Q310">
            <v>14</v>
          </cell>
          <cell r="R310">
            <v>79</v>
          </cell>
          <cell r="S310">
            <v>2342</v>
          </cell>
          <cell r="T310">
            <v>143</v>
          </cell>
        </row>
        <row r="311">
          <cell r="C311" t="str">
            <v>Census Tract 311, King County, Washington</v>
          </cell>
          <cell r="D311">
            <v>5277</v>
          </cell>
          <cell r="E311">
            <v>5121</v>
          </cell>
          <cell r="F311">
            <v>2875</v>
          </cell>
          <cell r="G311">
            <v>2196</v>
          </cell>
          <cell r="H311">
            <v>250</v>
          </cell>
          <cell r="I311">
            <v>738</v>
          </cell>
          <cell r="J311">
            <v>272</v>
          </cell>
          <cell r="K311">
            <v>936</v>
          </cell>
          <cell r="L311">
            <v>50</v>
          </cell>
          <cell r="M311">
            <v>0</v>
          </cell>
          <cell r="N311">
            <v>0</v>
          </cell>
          <cell r="O311">
            <v>50</v>
          </cell>
          <cell r="P311">
            <v>156</v>
          </cell>
          <cell r="Q311">
            <v>64</v>
          </cell>
          <cell r="R311">
            <v>92</v>
          </cell>
          <cell r="S311">
            <v>5071</v>
          </cell>
          <cell r="T311">
            <v>206</v>
          </cell>
        </row>
        <row r="312">
          <cell r="C312" t="str">
            <v>Census Tract 312.02, King County, Washington</v>
          </cell>
          <cell r="D312">
            <v>4667</v>
          </cell>
          <cell r="E312">
            <v>4527</v>
          </cell>
          <cell r="F312">
            <v>2712</v>
          </cell>
          <cell r="G312">
            <v>1807</v>
          </cell>
          <cell r="H312">
            <v>184</v>
          </cell>
          <cell r="I312">
            <v>607</v>
          </cell>
          <cell r="J312">
            <v>185</v>
          </cell>
          <cell r="K312">
            <v>831</v>
          </cell>
          <cell r="L312">
            <v>8</v>
          </cell>
          <cell r="M312">
            <v>0</v>
          </cell>
          <cell r="N312">
            <v>0</v>
          </cell>
          <cell r="O312">
            <v>8</v>
          </cell>
          <cell r="P312">
            <v>140</v>
          </cell>
          <cell r="Q312">
            <v>70</v>
          </cell>
          <cell r="R312">
            <v>70</v>
          </cell>
          <cell r="S312">
            <v>4519</v>
          </cell>
          <cell r="T312">
            <v>148</v>
          </cell>
        </row>
        <row r="313">
          <cell r="C313" t="str">
            <v>Census Tract 312.04, King County, Washington</v>
          </cell>
          <cell r="D313">
            <v>5291</v>
          </cell>
          <cell r="E313">
            <v>5163</v>
          </cell>
          <cell r="F313">
            <v>3304</v>
          </cell>
          <cell r="G313">
            <v>1849</v>
          </cell>
          <cell r="H313">
            <v>203</v>
          </cell>
          <cell r="I313">
            <v>458</v>
          </cell>
          <cell r="J313">
            <v>302</v>
          </cell>
          <cell r="K313">
            <v>886</v>
          </cell>
          <cell r="L313">
            <v>10</v>
          </cell>
          <cell r="M313">
            <v>0</v>
          </cell>
          <cell r="N313">
            <v>0</v>
          </cell>
          <cell r="O313">
            <v>10</v>
          </cell>
          <cell r="P313">
            <v>128</v>
          </cell>
          <cell r="Q313">
            <v>83</v>
          </cell>
          <cell r="R313">
            <v>45</v>
          </cell>
          <cell r="S313">
            <v>5153</v>
          </cell>
          <cell r="T313">
            <v>138</v>
          </cell>
        </row>
        <row r="314">
          <cell r="C314" t="str">
            <v>Census Tract 312.05, King County, Washington</v>
          </cell>
          <cell r="D314">
            <v>3237</v>
          </cell>
          <cell r="E314">
            <v>3091</v>
          </cell>
          <cell r="F314">
            <v>1892</v>
          </cell>
          <cell r="G314">
            <v>1199</v>
          </cell>
          <cell r="H314">
            <v>39</v>
          </cell>
          <cell r="I314">
            <v>379</v>
          </cell>
          <cell r="J314">
            <v>145</v>
          </cell>
          <cell r="K314">
            <v>636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146</v>
          </cell>
          <cell r="Q314">
            <v>87</v>
          </cell>
          <cell r="R314">
            <v>59</v>
          </cell>
          <cell r="S314">
            <v>3091</v>
          </cell>
          <cell r="T314">
            <v>146</v>
          </cell>
        </row>
        <row r="315">
          <cell r="C315" t="str">
            <v>Census Tract 312.06, King County, Washington</v>
          </cell>
          <cell r="D315">
            <v>3499</v>
          </cell>
          <cell r="E315">
            <v>3421</v>
          </cell>
          <cell r="F315">
            <v>1907</v>
          </cell>
          <cell r="G315">
            <v>1514</v>
          </cell>
          <cell r="H315">
            <v>92</v>
          </cell>
          <cell r="I315">
            <v>394</v>
          </cell>
          <cell r="J315">
            <v>349</v>
          </cell>
          <cell r="K315">
            <v>679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78</v>
          </cell>
          <cell r="Q315">
            <v>38</v>
          </cell>
          <cell r="R315">
            <v>40</v>
          </cell>
          <cell r="S315">
            <v>3421</v>
          </cell>
          <cell r="T315">
            <v>78</v>
          </cell>
        </row>
        <row r="316">
          <cell r="C316" t="str">
            <v>Census Tract 313.01, King County, Washington</v>
          </cell>
          <cell r="D316">
            <v>2349</v>
          </cell>
          <cell r="E316">
            <v>2283</v>
          </cell>
          <cell r="F316">
            <v>1353</v>
          </cell>
          <cell r="G316">
            <v>900</v>
          </cell>
          <cell r="H316">
            <v>114</v>
          </cell>
          <cell r="I316">
            <v>252</v>
          </cell>
          <cell r="J316">
            <v>37</v>
          </cell>
          <cell r="K316">
            <v>497</v>
          </cell>
          <cell r="L316">
            <v>30</v>
          </cell>
          <cell r="M316">
            <v>0</v>
          </cell>
          <cell r="N316">
            <v>0</v>
          </cell>
          <cell r="O316">
            <v>30</v>
          </cell>
          <cell r="P316">
            <v>66</v>
          </cell>
          <cell r="Q316">
            <v>59</v>
          </cell>
          <cell r="R316">
            <v>7</v>
          </cell>
          <cell r="S316">
            <v>2253</v>
          </cell>
          <cell r="T316">
            <v>96</v>
          </cell>
        </row>
        <row r="317">
          <cell r="C317" t="str">
            <v>Census Tract 313.02, King County, Washington</v>
          </cell>
          <cell r="D317">
            <v>4148</v>
          </cell>
          <cell r="E317">
            <v>4091</v>
          </cell>
          <cell r="F317">
            <v>2070</v>
          </cell>
          <cell r="G317">
            <v>1980</v>
          </cell>
          <cell r="H317">
            <v>262</v>
          </cell>
          <cell r="I317">
            <v>741</v>
          </cell>
          <cell r="J317">
            <v>160</v>
          </cell>
          <cell r="K317">
            <v>817</v>
          </cell>
          <cell r="L317">
            <v>41</v>
          </cell>
          <cell r="M317">
            <v>0</v>
          </cell>
          <cell r="N317">
            <v>0</v>
          </cell>
          <cell r="O317">
            <v>41</v>
          </cell>
          <cell r="P317">
            <v>57</v>
          </cell>
          <cell r="Q317">
            <v>48</v>
          </cell>
          <cell r="R317">
            <v>9</v>
          </cell>
          <cell r="S317">
            <v>4050</v>
          </cell>
          <cell r="T317">
            <v>98</v>
          </cell>
        </row>
        <row r="318">
          <cell r="C318" t="str">
            <v>Census Tract 314, King County, Washington</v>
          </cell>
          <cell r="D318">
            <v>5666</v>
          </cell>
          <cell r="E318">
            <v>5526</v>
          </cell>
          <cell r="F318">
            <v>3534</v>
          </cell>
          <cell r="G318">
            <v>1960</v>
          </cell>
          <cell r="H318">
            <v>196</v>
          </cell>
          <cell r="I318">
            <v>681</v>
          </cell>
          <cell r="J318">
            <v>294</v>
          </cell>
          <cell r="K318">
            <v>789</v>
          </cell>
          <cell r="L318">
            <v>32</v>
          </cell>
          <cell r="M318">
            <v>0</v>
          </cell>
          <cell r="N318">
            <v>0</v>
          </cell>
          <cell r="O318">
            <v>32</v>
          </cell>
          <cell r="P318">
            <v>140</v>
          </cell>
          <cell r="Q318">
            <v>117</v>
          </cell>
          <cell r="R318">
            <v>23</v>
          </cell>
          <cell r="S318">
            <v>5494</v>
          </cell>
          <cell r="T318">
            <v>172</v>
          </cell>
        </row>
        <row r="319">
          <cell r="C319" t="str">
            <v>Census Tract 315.01, King County, Washington</v>
          </cell>
          <cell r="D319">
            <v>3103</v>
          </cell>
          <cell r="E319">
            <v>3065</v>
          </cell>
          <cell r="F319">
            <v>2093</v>
          </cell>
          <cell r="G319">
            <v>954</v>
          </cell>
          <cell r="H319">
            <v>55</v>
          </cell>
          <cell r="I319">
            <v>362</v>
          </cell>
          <cell r="J319">
            <v>62</v>
          </cell>
          <cell r="K319">
            <v>475</v>
          </cell>
          <cell r="L319">
            <v>18</v>
          </cell>
          <cell r="M319">
            <v>0</v>
          </cell>
          <cell r="N319">
            <v>9</v>
          </cell>
          <cell r="O319">
            <v>9</v>
          </cell>
          <cell r="P319">
            <v>38</v>
          </cell>
          <cell r="Q319">
            <v>10</v>
          </cell>
          <cell r="R319">
            <v>28</v>
          </cell>
          <cell r="S319">
            <v>3047</v>
          </cell>
          <cell r="T319">
            <v>56</v>
          </cell>
        </row>
        <row r="320">
          <cell r="C320" t="str">
            <v>Census Tract 315.02, King County, Washington</v>
          </cell>
          <cell r="D320">
            <v>3694</v>
          </cell>
          <cell r="E320">
            <v>3614</v>
          </cell>
          <cell r="F320">
            <v>2223</v>
          </cell>
          <cell r="G320">
            <v>1361</v>
          </cell>
          <cell r="H320">
            <v>112</v>
          </cell>
          <cell r="I320">
            <v>537</v>
          </cell>
          <cell r="J320">
            <v>181</v>
          </cell>
          <cell r="K320">
            <v>531</v>
          </cell>
          <cell r="L320">
            <v>30</v>
          </cell>
          <cell r="M320">
            <v>0</v>
          </cell>
          <cell r="N320">
            <v>0</v>
          </cell>
          <cell r="O320">
            <v>30</v>
          </cell>
          <cell r="P320">
            <v>80</v>
          </cell>
          <cell r="Q320">
            <v>33</v>
          </cell>
          <cell r="R320">
            <v>47</v>
          </cell>
          <cell r="S320">
            <v>3584</v>
          </cell>
          <cell r="T320">
            <v>110</v>
          </cell>
        </row>
        <row r="321">
          <cell r="C321" t="str">
            <v>Census Tract 316.01, King County, Washington</v>
          </cell>
          <cell r="D321">
            <v>3990</v>
          </cell>
          <cell r="E321">
            <v>3963</v>
          </cell>
          <cell r="F321">
            <v>2277</v>
          </cell>
          <cell r="G321">
            <v>1674</v>
          </cell>
          <cell r="H321">
            <v>162</v>
          </cell>
          <cell r="I321">
            <v>485</v>
          </cell>
          <cell r="J321">
            <v>196</v>
          </cell>
          <cell r="K321">
            <v>831</v>
          </cell>
          <cell r="L321">
            <v>12</v>
          </cell>
          <cell r="M321">
            <v>0</v>
          </cell>
          <cell r="N321">
            <v>0</v>
          </cell>
          <cell r="O321">
            <v>12</v>
          </cell>
          <cell r="P321">
            <v>27</v>
          </cell>
          <cell r="Q321">
            <v>9</v>
          </cell>
          <cell r="R321">
            <v>18</v>
          </cell>
          <cell r="S321">
            <v>3951</v>
          </cell>
          <cell r="T321">
            <v>39</v>
          </cell>
        </row>
        <row r="322">
          <cell r="C322" t="str">
            <v>Census Tract 316.02, King County, Washington</v>
          </cell>
          <cell r="D322">
            <v>5032</v>
          </cell>
          <cell r="E322">
            <v>4889</v>
          </cell>
          <cell r="F322">
            <v>3139</v>
          </cell>
          <cell r="G322">
            <v>1698</v>
          </cell>
          <cell r="H322">
            <v>158</v>
          </cell>
          <cell r="I322">
            <v>583</v>
          </cell>
          <cell r="J322">
            <v>183</v>
          </cell>
          <cell r="K322">
            <v>774</v>
          </cell>
          <cell r="L322">
            <v>52</v>
          </cell>
          <cell r="M322">
            <v>0</v>
          </cell>
          <cell r="N322">
            <v>0</v>
          </cell>
          <cell r="O322">
            <v>52</v>
          </cell>
          <cell r="P322">
            <v>143</v>
          </cell>
          <cell r="Q322">
            <v>31</v>
          </cell>
          <cell r="R322">
            <v>112</v>
          </cell>
          <cell r="S322">
            <v>4837</v>
          </cell>
          <cell r="T322">
            <v>195</v>
          </cell>
        </row>
        <row r="323">
          <cell r="C323" t="str">
            <v>Census Tract 316.03, King County, Washington</v>
          </cell>
          <cell r="D323">
            <v>2898</v>
          </cell>
          <cell r="E323">
            <v>2837</v>
          </cell>
          <cell r="F323">
            <v>1635</v>
          </cell>
          <cell r="G323">
            <v>1185</v>
          </cell>
          <cell r="H323">
            <v>107</v>
          </cell>
          <cell r="I323">
            <v>257</v>
          </cell>
          <cell r="J323">
            <v>164</v>
          </cell>
          <cell r="K323">
            <v>657</v>
          </cell>
          <cell r="L323">
            <v>17</v>
          </cell>
          <cell r="M323">
            <v>0</v>
          </cell>
          <cell r="N323">
            <v>0</v>
          </cell>
          <cell r="O323">
            <v>17</v>
          </cell>
          <cell r="P323">
            <v>61</v>
          </cell>
          <cell r="Q323">
            <v>48</v>
          </cell>
          <cell r="R323">
            <v>13</v>
          </cell>
          <cell r="S323">
            <v>2820</v>
          </cell>
          <cell r="T323">
            <v>78</v>
          </cell>
        </row>
        <row r="324">
          <cell r="C324" t="str">
            <v>Census Tract 317.02, King County, Washington</v>
          </cell>
          <cell r="D324">
            <v>5560</v>
          </cell>
          <cell r="E324">
            <v>5337</v>
          </cell>
          <cell r="F324">
            <v>3049</v>
          </cell>
          <cell r="G324">
            <v>2175</v>
          </cell>
          <cell r="H324">
            <v>171</v>
          </cell>
          <cell r="I324">
            <v>546</v>
          </cell>
          <cell r="J324">
            <v>364</v>
          </cell>
          <cell r="K324">
            <v>1094</v>
          </cell>
          <cell r="L324">
            <v>113</v>
          </cell>
          <cell r="M324">
            <v>0</v>
          </cell>
          <cell r="N324">
            <v>0</v>
          </cell>
          <cell r="O324">
            <v>113</v>
          </cell>
          <cell r="P324">
            <v>223</v>
          </cell>
          <cell r="Q324">
            <v>128</v>
          </cell>
          <cell r="R324">
            <v>95</v>
          </cell>
          <cell r="S324">
            <v>5224</v>
          </cell>
          <cell r="T324">
            <v>336</v>
          </cell>
        </row>
        <row r="325">
          <cell r="C325" t="str">
            <v>Census Tract 317.03, King County, Washington</v>
          </cell>
          <cell r="D325">
            <v>5593</v>
          </cell>
          <cell r="E325">
            <v>5381</v>
          </cell>
          <cell r="F325">
            <v>2978</v>
          </cell>
          <cell r="G325">
            <v>2374</v>
          </cell>
          <cell r="H325">
            <v>171</v>
          </cell>
          <cell r="I325">
            <v>734</v>
          </cell>
          <cell r="J325">
            <v>294</v>
          </cell>
          <cell r="K325">
            <v>1175</v>
          </cell>
          <cell r="L325">
            <v>29</v>
          </cell>
          <cell r="M325">
            <v>0</v>
          </cell>
          <cell r="N325">
            <v>0</v>
          </cell>
          <cell r="O325">
            <v>29</v>
          </cell>
          <cell r="P325">
            <v>212</v>
          </cell>
          <cell r="Q325">
            <v>108</v>
          </cell>
          <cell r="R325">
            <v>104</v>
          </cell>
          <cell r="S325">
            <v>5352</v>
          </cell>
          <cell r="T325">
            <v>241</v>
          </cell>
        </row>
        <row r="326">
          <cell r="C326" t="str">
            <v>Census Tract 317.04, King County, Washington</v>
          </cell>
          <cell r="D326">
            <v>3168</v>
          </cell>
          <cell r="E326">
            <v>2976</v>
          </cell>
          <cell r="F326">
            <v>1605</v>
          </cell>
          <cell r="G326">
            <v>1351</v>
          </cell>
          <cell r="H326">
            <v>93</v>
          </cell>
          <cell r="I326">
            <v>396</v>
          </cell>
          <cell r="J326">
            <v>128</v>
          </cell>
          <cell r="K326">
            <v>734</v>
          </cell>
          <cell r="L326">
            <v>20</v>
          </cell>
          <cell r="M326">
            <v>0</v>
          </cell>
          <cell r="N326">
            <v>0</v>
          </cell>
          <cell r="O326">
            <v>20</v>
          </cell>
          <cell r="P326">
            <v>192</v>
          </cell>
          <cell r="Q326">
            <v>75</v>
          </cell>
          <cell r="R326">
            <v>117</v>
          </cell>
          <cell r="S326">
            <v>2956</v>
          </cell>
          <cell r="T326">
            <v>212</v>
          </cell>
        </row>
        <row r="327">
          <cell r="C327" t="str">
            <v>Census Tract 318, King County, Washington</v>
          </cell>
          <cell r="D327">
            <v>3533</v>
          </cell>
          <cell r="E327">
            <v>3352</v>
          </cell>
          <cell r="F327">
            <v>1831</v>
          </cell>
          <cell r="G327">
            <v>1475</v>
          </cell>
          <cell r="H327">
            <v>101</v>
          </cell>
          <cell r="I327">
            <v>556</v>
          </cell>
          <cell r="J327">
            <v>147</v>
          </cell>
          <cell r="K327">
            <v>671</v>
          </cell>
          <cell r="L327">
            <v>46</v>
          </cell>
          <cell r="M327">
            <v>0</v>
          </cell>
          <cell r="N327">
            <v>17</v>
          </cell>
          <cell r="O327">
            <v>29</v>
          </cell>
          <cell r="P327">
            <v>181</v>
          </cell>
          <cell r="Q327">
            <v>109</v>
          </cell>
          <cell r="R327">
            <v>72</v>
          </cell>
          <cell r="S327">
            <v>3306</v>
          </cell>
          <cell r="T327">
            <v>227</v>
          </cell>
        </row>
        <row r="328">
          <cell r="C328" t="str">
            <v>Census Tract 319.03, King County, Washington</v>
          </cell>
          <cell r="D328">
            <v>5299</v>
          </cell>
          <cell r="E328">
            <v>5111</v>
          </cell>
          <cell r="F328">
            <v>3405</v>
          </cell>
          <cell r="G328">
            <v>1678</v>
          </cell>
          <cell r="H328">
            <v>157</v>
          </cell>
          <cell r="I328">
            <v>439</v>
          </cell>
          <cell r="J328">
            <v>186</v>
          </cell>
          <cell r="K328">
            <v>896</v>
          </cell>
          <cell r="L328">
            <v>28</v>
          </cell>
          <cell r="M328">
            <v>0</v>
          </cell>
          <cell r="N328">
            <v>0</v>
          </cell>
          <cell r="O328">
            <v>28</v>
          </cell>
          <cell r="P328">
            <v>188</v>
          </cell>
          <cell r="Q328">
            <v>78</v>
          </cell>
          <cell r="R328">
            <v>110</v>
          </cell>
          <cell r="S328">
            <v>5083</v>
          </cell>
          <cell r="T328">
            <v>216</v>
          </cell>
        </row>
        <row r="329">
          <cell r="C329" t="str">
            <v>Census Tract 319.04, King County, Washington</v>
          </cell>
          <cell r="D329">
            <v>3227</v>
          </cell>
          <cell r="E329">
            <v>3144</v>
          </cell>
          <cell r="F329">
            <v>1972</v>
          </cell>
          <cell r="G329">
            <v>1160</v>
          </cell>
          <cell r="H329">
            <v>97</v>
          </cell>
          <cell r="I329">
            <v>427</v>
          </cell>
          <cell r="J329">
            <v>108</v>
          </cell>
          <cell r="K329">
            <v>528</v>
          </cell>
          <cell r="L329">
            <v>12</v>
          </cell>
          <cell r="M329">
            <v>0</v>
          </cell>
          <cell r="N329">
            <v>0</v>
          </cell>
          <cell r="O329">
            <v>12</v>
          </cell>
          <cell r="P329">
            <v>83</v>
          </cell>
          <cell r="Q329">
            <v>71</v>
          </cell>
          <cell r="R329">
            <v>12</v>
          </cell>
          <cell r="S329">
            <v>3132</v>
          </cell>
          <cell r="T329">
            <v>95</v>
          </cell>
        </row>
        <row r="330">
          <cell r="C330" t="str">
            <v>Census Tract 319.06, King County, Washington</v>
          </cell>
          <cell r="D330">
            <v>2295</v>
          </cell>
          <cell r="E330">
            <v>2260</v>
          </cell>
          <cell r="F330">
            <v>1249</v>
          </cell>
          <cell r="G330">
            <v>1005</v>
          </cell>
          <cell r="H330">
            <v>72</v>
          </cell>
          <cell r="I330">
            <v>301</v>
          </cell>
          <cell r="J330">
            <v>175</v>
          </cell>
          <cell r="K330">
            <v>457</v>
          </cell>
          <cell r="L330">
            <v>6</v>
          </cell>
          <cell r="M330">
            <v>0</v>
          </cell>
          <cell r="N330">
            <v>0</v>
          </cell>
          <cell r="O330">
            <v>6</v>
          </cell>
          <cell r="P330">
            <v>35</v>
          </cell>
          <cell r="Q330">
            <v>35</v>
          </cell>
          <cell r="R330">
            <v>0</v>
          </cell>
          <cell r="S330">
            <v>2254</v>
          </cell>
          <cell r="T330">
            <v>41</v>
          </cell>
        </row>
        <row r="331">
          <cell r="C331" t="str">
            <v>Census Tract 319.07, King County, Washington</v>
          </cell>
          <cell r="D331">
            <v>4069</v>
          </cell>
          <cell r="E331">
            <v>3863</v>
          </cell>
          <cell r="F331">
            <v>1981</v>
          </cell>
          <cell r="G331">
            <v>1848</v>
          </cell>
          <cell r="H331">
            <v>209</v>
          </cell>
          <cell r="I331">
            <v>537</v>
          </cell>
          <cell r="J331">
            <v>287</v>
          </cell>
          <cell r="K331">
            <v>815</v>
          </cell>
          <cell r="L331">
            <v>34</v>
          </cell>
          <cell r="M331">
            <v>0</v>
          </cell>
          <cell r="N331">
            <v>0</v>
          </cell>
          <cell r="O331">
            <v>34</v>
          </cell>
          <cell r="P331">
            <v>206</v>
          </cell>
          <cell r="Q331">
            <v>102</v>
          </cell>
          <cell r="R331">
            <v>104</v>
          </cell>
          <cell r="S331">
            <v>3829</v>
          </cell>
          <cell r="T331">
            <v>240</v>
          </cell>
        </row>
        <row r="332">
          <cell r="C332" t="str">
            <v>Census Tract 319.08, King County, Washington</v>
          </cell>
          <cell r="D332">
            <v>3247</v>
          </cell>
          <cell r="E332">
            <v>3074</v>
          </cell>
          <cell r="F332">
            <v>1612</v>
          </cell>
          <cell r="G332">
            <v>1423</v>
          </cell>
          <cell r="H332">
            <v>104</v>
          </cell>
          <cell r="I332">
            <v>411</v>
          </cell>
          <cell r="J332">
            <v>272</v>
          </cell>
          <cell r="K332">
            <v>636</v>
          </cell>
          <cell r="L332">
            <v>39</v>
          </cell>
          <cell r="M332">
            <v>0</v>
          </cell>
          <cell r="N332">
            <v>0</v>
          </cell>
          <cell r="O332">
            <v>39</v>
          </cell>
          <cell r="P332">
            <v>173</v>
          </cell>
          <cell r="Q332">
            <v>46</v>
          </cell>
          <cell r="R332">
            <v>127</v>
          </cell>
          <cell r="S332">
            <v>3035</v>
          </cell>
          <cell r="T332">
            <v>212</v>
          </cell>
        </row>
        <row r="333">
          <cell r="C333" t="str">
            <v>Census Tract 319.09, King County, Washington</v>
          </cell>
          <cell r="D333">
            <v>2156</v>
          </cell>
          <cell r="E333">
            <v>2085</v>
          </cell>
          <cell r="F333">
            <v>1182</v>
          </cell>
          <cell r="G333">
            <v>861</v>
          </cell>
          <cell r="H333">
            <v>122</v>
          </cell>
          <cell r="I333">
            <v>288</v>
          </cell>
          <cell r="J333">
            <v>118</v>
          </cell>
          <cell r="K333">
            <v>333</v>
          </cell>
          <cell r="L333">
            <v>42</v>
          </cell>
          <cell r="M333">
            <v>0</v>
          </cell>
          <cell r="N333">
            <v>0</v>
          </cell>
          <cell r="O333">
            <v>42</v>
          </cell>
          <cell r="P333">
            <v>71</v>
          </cell>
          <cell r="Q333">
            <v>50</v>
          </cell>
          <cell r="R333">
            <v>21</v>
          </cell>
          <cell r="S333">
            <v>2043</v>
          </cell>
          <cell r="T333">
            <v>113</v>
          </cell>
        </row>
        <row r="334">
          <cell r="C334" t="str">
            <v>Census Tract 320.02, King County, Washington</v>
          </cell>
          <cell r="D334">
            <v>2744</v>
          </cell>
          <cell r="E334">
            <v>2684</v>
          </cell>
          <cell r="F334">
            <v>1573</v>
          </cell>
          <cell r="G334">
            <v>1101</v>
          </cell>
          <cell r="H334">
            <v>131</v>
          </cell>
          <cell r="I334">
            <v>384</v>
          </cell>
          <cell r="J334">
            <v>167</v>
          </cell>
          <cell r="K334">
            <v>419</v>
          </cell>
          <cell r="L334">
            <v>10</v>
          </cell>
          <cell r="M334">
            <v>0</v>
          </cell>
          <cell r="N334">
            <v>0</v>
          </cell>
          <cell r="O334">
            <v>10</v>
          </cell>
          <cell r="P334">
            <v>60</v>
          </cell>
          <cell r="Q334">
            <v>48</v>
          </cell>
          <cell r="R334">
            <v>12</v>
          </cell>
          <cell r="S334">
            <v>2674</v>
          </cell>
          <cell r="T334">
            <v>70</v>
          </cell>
        </row>
        <row r="335">
          <cell r="C335" t="str">
            <v>Census Tract 320.03, King County, Washington</v>
          </cell>
          <cell r="D335">
            <v>4343</v>
          </cell>
          <cell r="E335">
            <v>4228</v>
          </cell>
          <cell r="F335">
            <v>2440</v>
          </cell>
          <cell r="G335">
            <v>1751</v>
          </cell>
          <cell r="H335">
            <v>201</v>
          </cell>
          <cell r="I335">
            <v>587</v>
          </cell>
          <cell r="J335">
            <v>183</v>
          </cell>
          <cell r="K335">
            <v>780</v>
          </cell>
          <cell r="L335">
            <v>37</v>
          </cell>
          <cell r="M335">
            <v>0</v>
          </cell>
          <cell r="N335">
            <v>0</v>
          </cell>
          <cell r="O335">
            <v>37</v>
          </cell>
          <cell r="P335">
            <v>115</v>
          </cell>
          <cell r="Q335">
            <v>97</v>
          </cell>
          <cell r="R335">
            <v>18</v>
          </cell>
          <cell r="S335">
            <v>4191</v>
          </cell>
          <cell r="T335">
            <v>152</v>
          </cell>
        </row>
        <row r="336">
          <cell r="C336" t="str">
            <v>Census Tract 320.05, King County, Washington</v>
          </cell>
          <cell r="D336">
            <v>5974</v>
          </cell>
          <cell r="E336">
            <v>5788</v>
          </cell>
          <cell r="F336">
            <v>3255</v>
          </cell>
          <cell r="G336">
            <v>2462</v>
          </cell>
          <cell r="H336">
            <v>223</v>
          </cell>
          <cell r="I336">
            <v>652</v>
          </cell>
          <cell r="J336">
            <v>386</v>
          </cell>
          <cell r="K336">
            <v>1201</v>
          </cell>
          <cell r="L336">
            <v>71</v>
          </cell>
          <cell r="M336">
            <v>0</v>
          </cell>
          <cell r="N336">
            <v>0</v>
          </cell>
          <cell r="O336">
            <v>71</v>
          </cell>
          <cell r="P336">
            <v>186</v>
          </cell>
          <cell r="Q336">
            <v>98</v>
          </cell>
          <cell r="R336">
            <v>88</v>
          </cell>
          <cell r="S336">
            <v>5717</v>
          </cell>
          <cell r="T336">
            <v>257</v>
          </cell>
        </row>
        <row r="337">
          <cell r="C337" t="str">
            <v>Census Tract 320.06, King County, Washington</v>
          </cell>
          <cell r="D337">
            <v>3655</v>
          </cell>
          <cell r="E337">
            <v>3544</v>
          </cell>
          <cell r="F337">
            <v>1764</v>
          </cell>
          <cell r="G337">
            <v>1775</v>
          </cell>
          <cell r="H337">
            <v>175</v>
          </cell>
          <cell r="I337">
            <v>480</v>
          </cell>
          <cell r="J337">
            <v>348</v>
          </cell>
          <cell r="K337">
            <v>772</v>
          </cell>
          <cell r="L337">
            <v>5</v>
          </cell>
          <cell r="M337">
            <v>0</v>
          </cell>
          <cell r="N337">
            <v>0</v>
          </cell>
          <cell r="O337">
            <v>5</v>
          </cell>
          <cell r="P337">
            <v>111</v>
          </cell>
          <cell r="Q337">
            <v>75</v>
          </cell>
          <cell r="R337">
            <v>36</v>
          </cell>
          <cell r="S337">
            <v>3539</v>
          </cell>
          <cell r="T337">
            <v>116</v>
          </cell>
        </row>
        <row r="338">
          <cell r="C338" t="str">
            <v>Census Tract 320.07, King County, Washington</v>
          </cell>
          <cell r="D338">
            <v>2782</v>
          </cell>
          <cell r="E338">
            <v>2669</v>
          </cell>
          <cell r="F338">
            <v>1565</v>
          </cell>
          <cell r="G338">
            <v>1075</v>
          </cell>
          <cell r="H338">
            <v>85</v>
          </cell>
          <cell r="I338">
            <v>276</v>
          </cell>
          <cell r="J338">
            <v>191</v>
          </cell>
          <cell r="K338">
            <v>523</v>
          </cell>
          <cell r="L338">
            <v>29</v>
          </cell>
          <cell r="M338">
            <v>0</v>
          </cell>
          <cell r="N338">
            <v>0</v>
          </cell>
          <cell r="O338">
            <v>29</v>
          </cell>
          <cell r="P338">
            <v>113</v>
          </cell>
          <cell r="Q338">
            <v>85</v>
          </cell>
          <cell r="R338">
            <v>28</v>
          </cell>
          <cell r="S338">
            <v>2640</v>
          </cell>
          <cell r="T338">
            <v>142</v>
          </cell>
        </row>
        <row r="339">
          <cell r="C339" t="str">
            <v>Census Tract 320.08, King County, Washington</v>
          </cell>
          <cell r="D339">
            <v>3788</v>
          </cell>
          <cell r="E339">
            <v>3715</v>
          </cell>
          <cell r="F339">
            <v>1877</v>
          </cell>
          <cell r="G339">
            <v>1811</v>
          </cell>
          <cell r="H339">
            <v>176</v>
          </cell>
          <cell r="I339">
            <v>513</v>
          </cell>
          <cell r="J339">
            <v>292</v>
          </cell>
          <cell r="K339">
            <v>830</v>
          </cell>
          <cell r="L339">
            <v>27</v>
          </cell>
          <cell r="M339">
            <v>0</v>
          </cell>
          <cell r="N339">
            <v>0</v>
          </cell>
          <cell r="O339">
            <v>27</v>
          </cell>
          <cell r="P339">
            <v>73</v>
          </cell>
          <cell r="Q339">
            <v>37</v>
          </cell>
          <cell r="R339">
            <v>36</v>
          </cell>
          <cell r="S339">
            <v>3688</v>
          </cell>
          <cell r="T339">
            <v>100</v>
          </cell>
        </row>
        <row r="340">
          <cell r="C340" t="str">
            <v>Census Tract 320.09, King County, Washington</v>
          </cell>
          <cell r="D340">
            <v>5083</v>
          </cell>
          <cell r="E340">
            <v>5011</v>
          </cell>
          <cell r="F340">
            <v>2744</v>
          </cell>
          <cell r="G340">
            <v>2191</v>
          </cell>
          <cell r="H340">
            <v>349</v>
          </cell>
          <cell r="I340">
            <v>599</v>
          </cell>
          <cell r="J340">
            <v>202</v>
          </cell>
          <cell r="K340">
            <v>1041</v>
          </cell>
          <cell r="L340">
            <v>76</v>
          </cell>
          <cell r="M340">
            <v>0</v>
          </cell>
          <cell r="N340">
            <v>0</v>
          </cell>
          <cell r="O340">
            <v>76</v>
          </cell>
          <cell r="P340">
            <v>72</v>
          </cell>
          <cell r="Q340">
            <v>61</v>
          </cell>
          <cell r="R340">
            <v>11</v>
          </cell>
          <cell r="S340">
            <v>4935</v>
          </cell>
          <cell r="T340">
            <v>148</v>
          </cell>
        </row>
        <row r="341">
          <cell r="C341" t="str">
            <v>Census Tract 321.02, King County, Washington</v>
          </cell>
          <cell r="D341">
            <v>4232</v>
          </cell>
          <cell r="E341">
            <v>4056</v>
          </cell>
          <cell r="F341">
            <v>1941</v>
          </cell>
          <cell r="G341">
            <v>2057</v>
          </cell>
          <cell r="H341">
            <v>300</v>
          </cell>
          <cell r="I341">
            <v>634</v>
          </cell>
          <cell r="J341">
            <v>248</v>
          </cell>
          <cell r="K341">
            <v>875</v>
          </cell>
          <cell r="L341">
            <v>58</v>
          </cell>
          <cell r="M341">
            <v>0</v>
          </cell>
          <cell r="N341">
            <v>0</v>
          </cell>
          <cell r="O341">
            <v>58</v>
          </cell>
          <cell r="P341">
            <v>176</v>
          </cell>
          <cell r="Q341">
            <v>86</v>
          </cell>
          <cell r="R341">
            <v>90</v>
          </cell>
          <cell r="S341">
            <v>3998</v>
          </cell>
          <cell r="T341">
            <v>234</v>
          </cell>
        </row>
        <row r="342">
          <cell r="C342" t="str">
            <v>Census Tract 321.03, King County, Washington</v>
          </cell>
          <cell r="D342">
            <v>3783</v>
          </cell>
          <cell r="E342">
            <v>3610</v>
          </cell>
          <cell r="F342">
            <v>1436</v>
          </cell>
          <cell r="G342">
            <v>2135</v>
          </cell>
          <cell r="H342">
            <v>290</v>
          </cell>
          <cell r="I342">
            <v>653</v>
          </cell>
          <cell r="J342">
            <v>253</v>
          </cell>
          <cell r="K342">
            <v>939</v>
          </cell>
          <cell r="L342">
            <v>39</v>
          </cell>
          <cell r="M342">
            <v>0</v>
          </cell>
          <cell r="N342">
            <v>0</v>
          </cell>
          <cell r="O342">
            <v>39</v>
          </cell>
          <cell r="P342">
            <v>173</v>
          </cell>
          <cell r="Q342">
            <v>116</v>
          </cell>
          <cell r="R342">
            <v>57</v>
          </cell>
          <cell r="S342">
            <v>3571</v>
          </cell>
          <cell r="T342">
            <v>212</v>
          </cell>
        </row>
        <row r="343">
          <cell r="C343" t="str">
            <v>Census Tract 321.04, King County, Washington</v>
          </cell>
          <cell r="D343">
            <v>5370</v>
          </cell>
          <cell r="E343">
            <v>5173</v>
          </cell>
          <cell r="F343">
            <v>2122</v>
          </cell>
          <cell r="G343">
            <v>2987</v>
          </cell>
          <cell r="H343">
            <v>341</v>
          </cell>
          <cell r="I343">
            <v>852</v>
          </cell>
          <cell r="J343">
            <v>410</v>
          </cell>
          <cell r="K343">
            <v>1384</v>
          </cell>
          <cell r="L343">
            <v>64</v>
          </cell>
          <cell r="M343">
            <v>0</v>
          </cell>
          <cell r="N343">
            <v>9</v>
          </cell>
          <cell r="O343">
            <v>55</v>
          </cell>
          <cell r="P343">
            <v>197</v>
          </cell>
          <cell r="Q343">
            <v>144</v>
          </cell>
          <cell r="R343">
            <v>53</v>
          </cell>
          <cell r="S343">
            <v>5109</v>
          </cell>
          <cell r="T343">
            <v>261</v>
          </cell>
        </row>
        <row r="344">
          <cell r="C344" t="str">
            <v>Census Tract 322.03, King County, Washington</v>
          </cell>
          <cell r="D344">
            <v>4592</v>
          </cell>
          <cell r="E344">
            <v>4416</v>
          </cell>
          <cell r="F344">
            <v>2200</v>
          </cell>
          <cell r="G344">
            <v>2158</v>
          </cell>
          <cell r="H344">
            <v>309</v>
          </cell>
          <cell r="I344">
            <v>614</v>
          </cell>
          <cell r="J344">
            <v>173</v>
          </cell>
          <cell r="K344">
            <v>1062</v>
          </cell>
          <cell r="L344">
            <v>58</v>
          </cell>
          <cell r="M344">
            <v>9</v>
          </cell>
          <cell r="N344">
            <v>0</v>
          </cell>
          <cell r="O344">
            <v>49</v>
          </cell>
          <cell r="P344">
            <v>176</v>
          </cell>
          <cell r="Q344">
            <v>100</v>
          </cell>
          <cell r="R344">
            <v>76</v>
          </cell>
          <cell r="S344">
            <v>4358</v>
          </cell>
          <cell r="T344">
            <v>234</v>
          </cell>
        </row>
        <row r="345">
          <cell r="C345" t="str">
            <v>Census Tract 322.07, King County, Washington</v>
          </cell>
          <cell r="D345">
            <v>2607</v>
          </cell>
          <cell r="E345">
            <v>2538</v>
          </cell>
          <cell r="F345">
            <v>1180</v>
          </cell>
          <cell r="G345">
            <v>1340</v>
          </cell>
          <cell r="H345">
            <v>131</v>
          </cell>
          <cell r="I345">
            <v>399</v>
          </cell>
          <cell r="J345">
            <v>186</v>
          </cell>
          <cell r="K345">
            <v>624</v>
          </cell>
          <cell r="L345">
            <v>18</v>
          </cell>
          <cell r="M345">
            <v>0</v>
          </cell>
          <cell r="N345">
            <v>0</v>
          </cell>
          <cell r="O345">
            <v>18</v>
          </cell>
          <cell r="P345">
            <v>69</v>
          </cell>
          <cell r="Q345">
            <v>45</v>
          </cell>
          <cell r="R345">
            <v>24</v>
          </cell>
          <cell r="S345">
            <v>2520</v>
          </cell>
          <cell r="T345">
            <v>87</v>
          </cell>
        </row>
        <row r="346">
          <cell r="C346" t="str">
            <v>Census Tract 322.08, King County, Washington</v>
          </cell>
          <cell r="D346">
            <v>3857</v>
          </cell>
          <cell r="E346">
            <v>3607</v>
          </cell>
          <cell r="F346">
            <v>1248</v>
          </cell>
          <cell r="G346">
            <v>2325</v>
          </cell>
          <cell r="H346">
            <v>248</v>
          </cell>
          <cell r="I346">
            <v>869</v>
          </cell>
          <cell r="J346">
            <v>303</v>
          </cell>
          <cell r="K346">
            <v>905</v>
          </cell>
          <cell r="L346">
            <v>34</v>
          </cell>
          <cell r="M346">
            <v>0</v>
          </cell>
          <cell r="N346">
            <v>0</v>
          </cell>
          <cell r="O346">
            <v>34</v>
          </cell>
          <cell r="P346">
            <v>250</v>
          </cell>
          <cell r="Q346">
            <v>184</v>
          </cell>
          <cell r="R346">
            <v>66</v>
          </cell>
          <cell r="S346">
            <v>3573</v>
          </cell>
          <cell r="T346">
            <v>284</v>
          </cell>
        </row>
        <row r="347">
          <cell r="C347" t="str">
            <v>Census Tract 322.09, King County, Washington</v>
          </cell>
          <cell r="D347">
            <v>6571</v>
          </cell>
          <cell r="E347">
            <v>6236</v>
          </cell>
          <cell r="F347">
            <v>2733</v>
          </cell>
          <cell r="G347">
            <v>3420</v>
          </cell>
          <cell r="H347">
            <v>667</v>
          </cell>
          <cell r="I347">
            <v>916</v>
          </cell>
          <cell r="J347">
            <v>490</v>
          </cell>
          <cell r="K347">
            <v>1347</v>
          </cell>
          <cell r="L347">
            <v>83</v>
          </cell>
          <cell r="M347">
            <v>7</v>
          </cell>
          <cell r="N347">
            <v>9</v>
          </cell>
          <cell r="O347">
            <v>67</v>
          </cell>
          <cell r="P347">
            <v>335</v>
          </cell>
          <cell r="Q347">
            <v>87</v>
          </cell>
          <cell r="R347">
            <v>248</v>
          </cell>
          <cell r="S347">
            <v>6153</v>
          </cell>
          <cell r="T347">
            <v>418</v>
          </cell>
        </row>
        <row r="348">
          <cell r="C348" t="str">
            <v>Census Tract 322.10, King County, Washington</v>
          </cell>
          <cell r="D348">
            <v>1925</v>
          </cell>
          <cell r="E348">
            <v>1848</v>
          </cell>
          <cell r="F348">
            <v>884</v>
          </cell>
          <cell r="G348">
            <v>949</v>
          </cell>
          <cell r="H348">
            <v>148</v>
          </cell>
          <cell r="I348">
            <v>280</v>
          </cell>
          <cell r="J348">
            <v>84</v>
          </cell>
          <cell r="K348">
            <v>437</v>
          </cell>
          <cell r="L348">
            <v>15</v>
          </cell>
          <cell r="M348">
            <v>0</v>
          </cell>
          <cell r="N348">
            <v>0</v>
          </cell>
          <cell r="O348">
            <v>15</v>
          </cell>
          <cell r="P348">
            <v>77</v>
          </cell>
          <cell r="Q348">
            <v>40</v>
          </cell>
          <cell r="R348">
            <v>37</v>
          </cell>
          <cell r="S348">
            <v>1833</v>
          </cell>
          <cell r="T348">
            <v>92</v>
          </cell>
        </row>
        <row r="349">
          <cell r="C349" t="str">
            <v>Census Tract 322.11, King County, Washington</v>
          </cell>
          <cell r="D349">
            <v>3876</v>
          </cell>
          <cell r="E349">
            <v>3654</v>
          </cell>
          <cell r="F349">
            <v>1296</v>
          </cell>
          <cell r="G349">
            <v>2321</v>
          </cell>
          <cell r="H349">
            <v>464</v>
          </cell>
          <cell r="I349">
            <v>556</v>
          </cell>
          <cell r="J349">
            <v>237</v>
          </cell>
          <cell r="K349">
            <v>1064</v>
          </cell>
          <cell r="L349">
            <v>37</v>
          </cell>
          <cell r="M349">
            <v>0</v>
          </cell>
          <cell r="N349">
            <v>0</v>
          </cell>
          <cell r="O349">
            <v>37</v>
          </cell>
          <cell r="P349">
            <v>222</v>
          </cell>
          <cell r="Q349">
            <v>86</v>
          </cell>
          <cell r="R349">
            <v>136</v>
          </cell>
          <cell r="S349">
            <v>3617</v>
          </cell>
          <cell r="T349">
            <v>259</v>
          </cell>
        </row>
        <row r="350">
          <cell r="C350" t="str">
            <v>Census Tract 322.12, King County, Washington</v>
          </cell>
          <cell r="D350">
            <v>6087</v>
          </cell>
          <cell r="E350">
            <v>5699</v>
          </cell>
          <cell r="F350">
            <v>2453</v>
          </cell>
          <cell r="G350">
            <v>3205</v>
          </cell>
          <cell r="H350">
            <v>394</v>
          </cell>
          <cell r="I350">
            <v>897</v>
          </cell>
          <cell r="J350">
            <v>468</v>
          </cell>
          <cell r="K350">
            <v>1446</v>
          </cell>
          <cell r="L350">
            <v>41</v>
          </cell>
          <cell r="M350">
            <v>9</v>
          </cell>
          <cell r="N350">
            <v>0</v>
          </cell>
          <cell r="O350">
            <v>32</v>
          </cell>
          <cell r="P350">
            <v>388</v>
          </cell>
          <cell r="Q350">
            <v>70</v>
          </cell>
          <cell r="R350">
            <v>318</v>
          </cell>
          <cell r="S350">
            <v>5658</v>
          </cell>
          <cell r="T350">
            <v>429</v>
          </cell>
        </row>
        <row r="351">
          <cell r="C351" t="str">
            <v>Census Tract 323.07, King County, Washington</v>
          </cell>
          <cell r="D351">
            <v>6038</v>
          </cell>
          <cell r="E351">
            <v>5825</v>
          </cell>
          <cell r="F351">
            <v>2628</v>
          </cell>
          <cell r="G351">
            <v>3134</v>
          </cell>
          <cell r="H351">
            <v>436</v>
          </cell>
          <cell r="I351">
            <v>855</v>
          </cell>
          <cell r="J351">
            <v>420</v>
          </cell>
          <cell r="K351">
            <v>1423</v>
          </cell>
          <cell r="L351">
            <v>63</v>
          </cell>
          <cell r="M351">
            <v>25</v>
          </cell>
          <cell r="N351">
            <v>0</v>
          </cell>
          <cell r="O351">
            <v>38</v>
          </cell>
          <cell r="P351">
            <v>213</v>
          </cell>
          <cell r="Q351">
            <v>93</v>
          </cell>
          <cell r="R351">
            <v>120</v>
          </cell>
          <cell r="S351">
            <v>5762</v>
          </cell>
          <cell r="T351">
            <v>276</v>
          </cell>
        </row>
        <row r="352">
          <cell r="C352" t="str">
            <v>Census Tract 323.09, King County, Washington</v>
          </cell>
          <cell r="D352">
            <v>2903</v>
          </cell>
          <cell r="E352">
            <v>2565</v>
          </cell>
          <cell r="F352">
            <v>850</v>
          </cell>
          <cell r="G352">
            <v>1681</v>
          </cell>
          <cell r="H352">
            <v>190</v>
          </cell>
          <cell r="I352">
            <v>566</v>
          </cell>
          <cell r="J352">
            <v>265</v>
          </cell>
          <cell r="K352">
            <v>660</v>
          </cell>
          <cell r="L352">
            <v>34</v>
          </cell>
          <cell r="M352">
            <v>0</v>
          </cell>
          <cell r="N352">
            <v>6</v>
          </cell>
          <cell r="O352">
            <v>28</v>
          </cell>
          <cell r="P352">
            <v>338</v>
          </cell>
          <cell r="Q352">
            <v>90</v>
          </cell>
          <cell r="R352">
            <v>248</v>
          </cell>
          <cell r="S352">
            <v>2531</v>
          </cell>
          <cell r="T352">
            <v>372</v>
          </cell>
        </row>
        <row r="353">
          <cell r="C353" t="str">
            <v>Census Tract 323.11, King County, Washington</v>
          </cell>
          <cell r="D353">
            <v>5478</v>
          </cell>
          <cell r="E353">
            <v>5327</v>
          </cell>
          <cell r="F353">
            <v>2724</v>
          </cell>
          <cell r="G353">
            <v>2551</v>
          </cell>
          <cell r="H353">
            <v>337</v>
          </cell>
          <cell r="I353">
            <v>782</v>
          </cell>
          <cell r="J353">
            <v>388</v>
          </cell>
          <cell r="K353">
            <v>1044</v>
          </cell>
          <cell r="L353">
            <v>52</v>
          </cell>
          <cell r="M353">
            <v>0</v>
          </cell>
          <cell r="N353">
            <v>0</v>
          </cell>
          <cell r="O353">
            <v>52</v>
          </cell>
          <cell r="P353">
            <v>151</v>
          </cell>
          <cell r="Q353">
            <v>68</v>
          </cell>
          <cell r="R353">
            <v>83</v>
          </cell>
          <cell r="S353">
            <v>5275</v>
          </cell>
          <cell r="T353">
            <v>203</v>
          </cell>
        </row>
        <row r="354">
          <cell r="C354" t="str">
            <v>Census Tract 323.12, King County, Washington</v>
          </cell>
          <cell r="D354">
            <v>4429</v>
          </cell>
          <cell r="E354">
            <v>4173</v>
          </cell>
          <cell r="F354">
            <v>1869</v>
          </cell>
          <cell r="G354">
            <v>2261</v>
          </cell>
          <cell r="H354">
            <v>422</v>
          </cell>
          <cell r="I354">
            <v>617</v>
          </cell>
          <cell r="J354">
            <v>222</v>
          </cell>
          <cell r="K354">
            <v>1000</v>
          </cell>
          <cell r="L354">
            <v>43</v>
          </cell>
          <cell r="M354">
            <v>0</v>
          </cell>
          <cell r="N354">
            <v>0</v>
          </cell>
          <cell r="O354">
            <v>43</v>
          </cell>
          <cell r="P354">
            <v>256</v>
          </cell>
          <cell r="Q354">
            <v>64</v>
          </cell>
          <cell r="R354">
            <v>192</v>
          </cell>
          <cell r="S354">
            <v>4130</v>
          </cell>
          <cell r="T354">
            <v>299</v>
          </cell>
        </row>
        <row r="355">
          <cell r="C355" t="str">
            <v>Census Tract 323.13, King County, Washington</v>
          </cell>
          <cell r="D355">
            <v>2679</v>
          </cell>
          <cell r="E355">
            <v>2505</v>
          </cell>
          <cell r="F355">
            <v>1181</v>
          </cell>
          <cell r="G355">
            <v>1304</v>
          </cell>
          <cell r="H355">
            <v>169</v>
          </cell>
          <cell r="I355">
            <v>405</v>
          </cell>
          <cell r="J355">
            <v>194</v>
          </cell>
          <cell r="K355">
            <v>536</v>
          </cell>
          <cell r="L355">
            <v>20</v>
          </cell>
          <cell r="M355">
            <v>0</v>
          </cell>
          <cell r="N355">
            <v>0</v>
          </cell>
          <cell r="O355">
            <v>20</v>
          </cell>
          <cell r="P355">
            <v>174</v>
          </cell>
          <cell r="Q355">
            <v>53</v>
          </cell>
          <cell r="R355">
            <v>121</v>
          </cell>
          <cell r="S355">
            <v>2485</v>
          </cell>
          <cell r="T355">
            <v>194</v>
          </cell>
        </row>
        <row r="356">
          <cell r="C356" t="str">
            <v>Census Tract 323.14, King County, Washington</v>
          </cell>
          <cell r="D356">
            <v>4207</v>
          </cell>
          <cell r="E356">
            <v>3959</v>
          </cell>
          <cell r="F356">
            <v>1897</v>
          </cell>
          <cell r="G356">
            <v>2023</v>
          </cell>
          <cell r="H356">
            <v>220</v>
          </cell>
          <cell r="I356">
            <v>491</v>
          </cell>
          <cell r="J356">
            <v>311</v>
          </cell>
          <cell r="K356">
            <v>1001</v>
          </cell>
          <cell r="L356">
            <v>39</v>
          </cell>
          <cell r="M356">
            <v>0</v>
          </cell>
          <cell r="N356">
            <v>0</v>
          </cell>
          <cell r="O356">
            <v>39</v>
          </cell>
          <cell r="P356">
            <v>248</v>
          </cell>
          <cell r="Q356">
            <v>91</v>
          </cell>
          <cell r="R356">
            <v>157</v>
          </cell>
          <cell r="S356">
            <v>3920</v>
          </cell>
          <cell r="T356">
            <v>287</v>
          </cell>
        </row>
        <row r="357">
          <cell r="C357" t="str">
            <v>Census Tract 323.15, King County, Washington</v>
          </cell>
          <cell r="D357">
            <v>4588</v>
          </cell>
          <cell r="E357">
            <v>4221</v>
          </cell>
          <cell r="F357">
            <v>2073</v>
          </cell>
          <cell r="G357">
            <v>2117</v>
          </cell>
          <cell r="H357">
            <v>244</v>
          </cell>
          <cell r="I357">
            <v>543</v>
          </cell>
          <cell r="J357">
            <v>244</v>
          </cell>
          <cell r="K357">
            <v>1086</v>
          </cell>
          <cell r="L357">
            <v>31</v>
          </cell>
          <cell r="M357">
            <v>0</v>
          </cell>
          <cell r="N357">
            <v>0</v>
          </cell>
          <cell r="O357">
            <v>31</v>
          </cell>
          <cell r="P357">
            <v>367</v>
          </cell>
          <cell r="Q357">
            <v>177</v>
          </cell>
          <cell r="R357">
            <v>190</v>
          </cell>
          <cell r="S357">
            <v>4190</v>
          </cell>
          <cell r="T357">
            <v>398</v>
          </cell>
        </row>
        <row r="358">
          <cell r="C358" t="str">
            <v>Census Tract 323.16, King County, Washington</v>
          </cell>
          <cell r="D358">
            <v>3613</v>
          </cell>
          <cell r="E358">
            <v>3436</v>
          </cell>
          <cell r="F358">
            <v>1420</v>
          </cell>
          <cell r="G358">
            <v>1938</v>
          </cell>
          <cell r="H358">
            <v>238</v>
          </cell>
          <cell r="I358">
            <v>588</v>
          </cell>
          <cell r="J358">
            <v>307</v>
          </cell>
          <cell r="K358">
            <v>805</v>
          </cell>
          <cell r="L358">
            <v>78</v>
          </cell>
          <cell r="M358">
            <v>0</v>
          </cell>
          <cell r="N358">
            <v>0</v>
          </cell>
          <cell r="O358">
            <v>78</v>
          </cell>
          <cell r="P358">
            <v>177</v>
          </cell>
          <cell r="Q358">
            <v>66</v>
          </cell>
          <cell r="R358">
            <v>111</v>
          </cell>
          <cell r="S358">
            <v>3358</v>
          </cell>
          <cell r="T358">
            <v>255</v>
          </cell>
        </row>
        <row r="359">
          <cell r="C359" t="str">
            <v>Census Tract 323.17, King County, Washington</v>
          </cell>
          <cell r="D359">
            <v>5608</v>
          </cell>
          <cell r="E359">
            <v>5299</v>
          </cell>
          <cell r="F359">
            <v>2053</v>
          </cell>
          <cell r="G359">
            <v>3141</v>
          </cell>
          <cell r="H359">
            <v>433</v>
          </cell>
          <cell r="I359">
            <v>813</v>
          </cell>
          <cell r="J359">
            <v>508</v>
          </cell>
          <cell r="K359">
            <v>1387</v>
          </cell>
          <cell r="L359">
            <v>105</v>
          </cell>
          <cell r="M359">
            <v>0</v>
          </cell>
          <cell r="N359">
            <v>0</v>
          </cell>
          <cell r="O359">
            <v>105</v>
          </cell>
          <cell r="P359">
            <v>309</v>
          </cell>
          <cell r="Q359">
            <v>175</v>
          </cell>
          <cell r="R359">
            <v>134</v>
          </cell>
          <cell r="S359">
            <v>5194</v>
          </cell>
          <cell r="T359">
            <v>414</v>
          </cell>
        </row>
        <row r="360">
          <cell r="C360" t="str">
            <v>Census Tract 323.18, King County, Washington</v>
          </cell>
          <cell r="D360">
            <v>4044</v>
          </cell>
          <cell r="E360">
            <v>3814</v>
          </cell>
          <cell r="F360">
            <v>1482</v>
          </cell>
          <cell r="G360">
            <v>2293</v>
          </cell>
          <cell r="H360">
            <v>423</v>
          </cell>
          <cell r="I360">
            <v>616</v>
          </cell>
          <cell r="J360">
            <v>350</v>
          </cell>
          <cell r="K360">
            <v>904</v>
          </cell>
          <cell r="L360">
            <v>39</v>
          </cell>
          <cell r="M360">
            <v>0</v>
          </cell>
          <cell r="N360">
            <v>0</v>
          </cell>
          <cell r="O360">
            <v>39</v>
          </cell>
          <cell r="P360">
            <v>230</v>
          </cell>
          <cell r="Q360">
            <v>119</v>
          </cell>
          <cell r="R360">
            <v>111</v>
          </cell>
          <cell r="S360">
            <v>3775</v>
          </cell>
          <cell r="T360">
            <v>269</v>
          </cell>
        </row>
        <row r="361">
          <cell r="C361" t="str">
            <v>Census Tract 323.19, King County, Washington</v>
          </cell>
          <cell r="D361">
            <v>3554</v>
          </cell>
          <cell r="E361">
            <v>3429</v>
          </cell>
          <cell r="F361">
            <v>1664</v>
          </cell>
          <cell r="G361">
            <v>1717</v>
          </cell>
          <cell r="H361">
            <v>177</v>
          </cell>
          <cell r="I361">
            <v>625</v>
          </cell>
          <cell r="J361">
            <v>209</v>
          </cell>
          <cell r="K361">
            <v>706</v>
          </cell>
          <cell r="L361">
            <v>48</v>
          </cell>
          <cell r="M361">
            <v>0</v>
          </cell>
          <cell r="N361">
            <v>0</v>
          </cell>
          <cell r="O361">
            <v>48</v>
          </cell>
          <cell r="P361">
            <v>125</v>
          </cell>
          <cell r="Q361">
            <v>39</v>
          </cell>
          <cell r="R361">
            <v>86</v>
          </cell>
          <cell r="S361">
            <v>3381</v>
          </cell>
          <cell r="T361">
            <v>173</v>
          </cell>
        </row>
        <row r="362">
          <cell r="C362" t="str">
            <v>Census Tract 323.20, King County, Washington</v>
          </cell>
          <cell r="D362">
            <v>3622</v>
          </cell>
          <cell r="E362">
            <v>3446</v>
          </cell>
          <cell r="F362">
            <v>1600</v>
          </cell>
          <cell r="G362">
            <v>1803</v>
          </cell>
          <cell r="H362">
            <v>194</v>
          </cell>
          <cell r="I362">
            <v>543</v>
          </cell>
          <cell r="J362">
            <v>163</v>
          </cell>
          <cell r="K362">
            <v>903</v>
          </cell>
          <cell r="L362">
            <v>43</v>
          </cell>
          <cell r="M362">
            <v>0</v>
          </cell>
          <cell r="N362">
            <v>0</v>
          </cell>
          <cell r="O362">
            <v>43</v>
          </cell>
          <cell r="P362">
            <v>176</v>
          </cell>
          <cell r="Q362">
            <v>67</v>
          </cell>
          <cell r="R362">
            <v>109</v>
          </cell>
          <cell r="S362">
            <v>3403</v>
          </cell>
          <cell r="T362">
            <v>219</v>
          </cell>
        </row>
        <row r="363">
          <cell r="C363" t="str">
            <v>Census Tract 323.21, King County, Washington</v>
          </cell>
          <cell r="D363">
            <v>2916</v>
          </cell>
          <cell r="E363">
            <v>2771</v>
          </cell>
          <cell r="F363">
            <v>1226</v>
          </cell>
          <cell r="G363">
            <v>1519</v>
          </cell>
          <cell r="H363">
            <v>218</v>
          </cell>
          <cell r="I363">
            <v>431</v>
          </cell>
          <cell r="J363">
            <v>193</v>
          </cell>
          <cell r="K363">
            <v>677</v>
          </cell>
          <cell r="L363">
            <v>26</v>
          </cell>
          <cell r="M363">
            <v>0</v>
          </cell>
          <cell r="N363">
            <v>0</v>
          </cell>
          <cell r="O363">
            <v>26</v>
          </cell>
          <cell r="P363">
            <v>145</v>
          </cell>
          <cell r="Q363">
            <v>104</v>
          </cell>
          <cell r="R363">
            <v>41</v>
          </cell>
          <cell r="S363">
            <v>2745</v>
          </cell>
          <cell r="T363">
            <v>171</v>
          </cell>
        </row>
        <row r="364">
          <cell r="C364" t="str">
            <v>Census Tract 323.22, King County, Washington</v>
          </cell>
          <cell r="D364">
            <v>3205</v>
          </cell>
          <cell r="E364">
            <v>2994</v>
          </cell>
          <cell r="F364">
            <v>1323</v>
          </cell>
          <cell r="G364">
            <v>1631</v>
          </cell>
          <cell r="H364">
            <v>325</v>
          </cell>
          <cell r="I364">
            <v>290</v>
          </cell>
          <cell r="J364">
            <v>228</v>
          </cell>
          <cell r="K364">
            <v>788</v>
          </cell>
          <cell r="L364">
            <v>40</v>
          </cell>
          <cell r="M364">
            <v>0</v>
          </cell>
          <cell r="N364">
            <v>0</v>
          </cell>
          <cell r="O364">
            <v>40</v>
          </cell>
          <cell r="P364">
            <v>211</v>
          </cell>
          <cell r="Q364">
            <v>127</v>
          </cell>
          <cell r="R364">
            <v>84</v>
          </cell>
          <cell r="S364">
            <v>2954</v>
          </cell>
          <cell r="T364">
            <v>251</v>
          </cell>
        </row>
        <row r="365">
          <cell r="C365" t="str">
            <v>Census Tract 323.23, King County, Washington</v>
          </cell>
          <cell r="D365">
            <v>4078</v>
          </cell>
          <cell r="E365">
            <v>3757</v>
          </cell>
          <cell r="F365">
            <v>1506</v>
          </cell>
          <cell r="G365">
            <v>2199</v>
          </cell>
          <cell r="H365">
            <v>194</v>
          </cell>
          <cell r="I365">
            <v>782</v>
          </cell>
          <cell r="J365">
            <v>340</v>
          </cell>
          <cell r="K365">
            <v>883</v>
          </cell>
          <cell r="L365">
            <v>52</v>
          </cell>
          <cell r="M365">
            <v>0</v>
          </cell>
          <cell r="N365">
            <v>0</v>
          </cell>
          <cell r="O365">
            <v>52</v>
          </cell>
          <cell r="P365">
            <v>321</v>
          </cell>
          <cell r="Q365">
            <v>98</v>
          </cell>
          <cell r="R365">
            <v>223</v>
          </cell>
          <cell r="S365">
            <v>3705</v>
          </cell>
          <cell r="T365">
            <v>373</v>
          </cell>
        </row>
        <row r="366">
          <cell r="C366" t="str">
            <v>Census Tract 323.24, King County, Washington</v>
          </cell>
          <cell r="D366">
            <v>3972</v>
          </cell>
          <cell r="E366">
            <v>3780</v>
          </cell>
          <cell r="F366">
            <v>1661</v>
          </cell>
          <cell r="G366">
            <v>2045</v>
          </cell>
          <cell r="H366">
            <v>272</v>
          </cell>
          <cell r="I366">
            <v>509</v>
          </cell>
          <cell r="J366">
            <v>314</v>
          </cell>
          <cell r="K366">
            <v>950</v>
          </cell>
          <cell r="L366">
            <v>74</v>
          </cell>
          <cell r="M366">
            <v>0</v>
          </cell>
          <cell r="N366">
            <v>0</v>
          </cell>
          <cell r="O366">
            <v>74</v>
          </cell>
          <cell r="P366">
            <v>192</v>
          </cell>
          <cell r="Q366">
            <v>47</v>
          </cell>
          <cell r="R366">
            <v>145</v>
          </cell>
          <cell r="S366">
            <v>3706</v>
          </cell>
          <cell r="T366">
            <v>266</v>
          </cell>
        </row>
        <row r="367">
          <cell r="C367" t="str">
            <v>Census Tract 323.25, King County, Washington</v>
          </cell>
          <cell r="D367">
            <v>4028</v>
          </cell>
          <cell r="E367">
            <v>3583</v>
          </cell>
          <cell r="F367">
            <v>1331</v>
          </cell>
          <cell r="G367">
            <v>2191</v>
          </cell>
          <cell r="H367">
            <v>331</v>
          </cell>
          <cell r="I367">
            <v>701</v>
          </cell>
          <cell r="J367">
            <v>407</v>
          </cell>
          <cell r="K367">
            <v>752</v>
          </cell>
          <cell r="L367">
            <v>61</v>
          </cell>
          <cell r="M367">
            <v>0</v>
          </cell>
          <cell r="N367">
            <v>10</v>
          </cell>
          <cell r="O367">
            <v>51</v>
          </cell>
          <cell r="P367">
            <v>445</v>
          </cell>
          <cell r="Q367">
            <v>66</v>
          </cell>
          <cell r="R367">
            <v>379</v>
          </cell>
          <cell r="S367">
            <v>3522</v>
          </cell>
          <cell r="T367">
            <v>506</v>
          </cell>
        </row>
        <row r="368">
          <cell r="C368" t="str">
            <v>Census Tract 324.01, King County, Washington</v>
          </cell>
          <cell r="D368">
            <v>4299</v>
          </cell>
          <cell r="E368">
            <v>4185</v>
          </cell>
          <cell r="F368">
            <v>2242</v>
          </cell>
          <cell r="G368">
            <v>1894</v>
          </cell>
          <cell r="H368">
            <v>254</v>
          </cell>
          <cell r="I368">
            <v>519</v>
          </cell>
          <cell r="J368">
            <v>223</v>
          </cell>
          <cell r="K368">
            <v>898</v>
          </cell>
          <cell r="L368">
            <v>49</v>
          </cell>
          <cell r="M368">
            <v>0</v>
          </cell>
          <cell r="N368">
            <v>9</v>
          </cell>
          <cell r="O368">
            <v>40</v>
          </cell>
          <cell r="P368">
            <v>114</v>
          </cell>
          <cell r="Q368">
            <v>33</v>
          </cell>
          <cell r="R368">
            <v>81</v>
          </cell>
          <cell r="S368">
            <v>4136</v>
          </cell>
          <cell r="T368">
            <v>163</v>
          </cell>
        </row>
        <row r="369">
          <cell r="C369" t="str">
            <v>Census Tract 324.02, King County, Washington</v>
          </cell>
          <cell r="D369">
            <v>4571</v>
          </cell>
          <cell r="E369">
            <v>4474</v>
          </cell>
          <cell r="F369">
            <v>2373</v>
          </cell>
          <cell r="G369">
            <v>2047</v>
          </cell>
          <cell r="H369">
            <v>313</v>
          </cell>
          <cell r="I369">
            <v>489</v>
          </cell>
          <cell r="J369">
            <v>226</v>
          </cell>
          <cell r="K369">
            <v>1019</v>
          </cell>
          <cell r="L369">
            <v>54</v>
          </cell>
          <cell r="M369">
            <v>0</v>
          </cell>
          <cell r="N369">
            <v>0</v>
          </cell>
          <cell r="O369">
            <v>54</v>
          </cell>
          <cell r="P369">
            <v>97</v>
          </cell>
          <cell r="Q369">
            <v>50</v>
          </cell>
          <cell r="R369">
            <v>47</v>
          </cell>
          <cell r="S369">
            <v>4420</v>
          </cell>
          <cell r="T369">
            <v>151</v>
          </cell>
        </row>
        <row r="370">
          <cell r="C370" t="str">
            <v>Census Tract 325, King County, Washington</v>
          </cell>
          <cell r="D370">
            <v>4424</v>
          </cell>
          <cell r="E370">
            <v>4287</v>
          </cell>
          <cell r="F370">
            <v>2659</v>
          </cell>
          <cell r="G370">
            <v>1617</v>
          </cell>
          <cell r="H370">
            <v>220</v>
          </cell>
          <cell r="I370">
            <v>388</v>
          </cell>
          <cell r="J370">
            <v>261</v>
          </cell>
          <cell r="K370">
            <v>748</v>
          </cell>
          <cell r="L370">
            <v>11</v>
          </cell>
          <cell r="M370">
            <v>0</v>
          </cell>
          <cell r="N370">
            <v>0</v>
          </cell>
          <cell r="O370">
            <v>11</v>
          </cell>
          <cell r="P370">
            <v>137</v>
          </cell>
          <cell r="Q370">
            <v>75</v>
          </cell>
          <cell r="R370">
            <v>62</v>
          </cell>
          <cell r="S370">
            <v>4276</v>
          </cell>
          <cell r="T370">
            <v>148</v>
          </cell>
        </row>
        <row r="371">
          <cell r="C371" t="str">
            <v>Census Tract 326.01, King County, Washington</v>
          </cell>
          <cell r="D371">
            <v>2453</v>
          </cell>
          <cell r="E371">
            <v>2416</v>
          </cell>
          <cell r="F371">
            <v>1657</v>
          </cell>
          <cell r="G371">
            <v>724</v>
          </cell>
          <cell r="H371">
            <v>76</v>
          </cell>
          <cell r="I371">
            <v>211</v>
          </cell>
          <cell r="J371">
            <v>116</v>
          </cell>
          <cell r="K371">
            <v>321</v>
          </cell>
          <cell r="L371">
            <v>35</v>
          </cell>
          <cell r="M371">
            <v>0</v>
          </cell>
          <cell r="N371">
            <v>0</v>
          </cell>
          <cell r="O371">
            <v>35</v>
          </cell>
          <cell r="P371">
            <v>37</v>
          </cell>
          <cell r="Q371">
            <v>30</v>
          </cell>
          <cell r="R371">
            <v>7</v>
          </cell>
          <cell r="S371">
            <v>2381</v>
          </cell>
          <cell r="T371">
            <v>72</v>
          </cell>
        </row>
        <row r="372">
          <cell r="C372" t="str">
            <v>Census Tract 326.02, King County, Washington</v>
          </cell>
          <cell r="D372">
            <v>2273</v>
          </cell>
          <cell r="E372">
            <v>2201</v>
          </cell>
          <cell r="F372">
            <v>1247</v>
          </cell>
          <cell r="G372">
            <v>942</v>
          </cell>
          <cell r="H372">
            <v>87</v>
          </cell>
          <cell r="I372">
            <v>275</v>
          </cell>
          <cell r="J372">
            <v>112</v>
          </cell>
          <cell r="K372">
            <v>468</v>
          </cell>
          <cell r="L372">
            <v>12</v>
          </cell>
          <cell r="M372">
            <v>0</v>
          </cell>
          <cell r="N372">
            <v>7</v>
          </cell>
          <cell r="O372">
            <v>5</v>
          </cell>
          <cell r="P372">
            <v>72</v>
          </cell>
          <cell r="Q372">
            <v>42</v>
          </cell>
          <cell r="R372">
            <v>30</v>
          </cell>
          <cell r="S372">
            <v>2189</v>
          </cell>
          <cell r="T372">
            <v>84</v>
          </cell>
        </row>
        <row r="373">
          <cell r="C373" t="str">
            <v>Census Tract 327.02, King County, Washington</v>
          </cell>
          <cell r="D373">
            <v>5867</v>
          </cell>
          <cell r="E373">
            <v>5667</v>
          </cell>
          <cell r="F373">
            <v>2924</v>
          </cell>
          <cell r="G373">
            <v>2673</v>
          </cell>
          <cell r="H373">
            <v>334</v>
          </cell>
          <cell r="I373">
            <v>694</v>
          </cell>
          <cell r="J373">
            <v>396</v>
          </cell>
          <cell r="K373">
            <v>1249</v>
          </cell>
          <cell r="L373">
            <v>70</v>
          </cell>
          <cell r="M373">
            <v>0</v>
          </cell>
          <cell r="N373">
            <v>0</v>
          </cell>
          <cell r="O373">
            <v>70</v>
          </cell>
          <cell r="P373">
            <v>200</v>
          </cell>
          <cell r="Q373">
            <v>74</v>
          </cell>
          <cell r="R373">
            <v>126</v>
          </cell>
          <cell r="S373">
            <v>5597</v>
          </cell>
          <cell r="T373">
            <v>270</v>
          </cell>
        </row>
        <row r="374">
          <cell r="C374" t="str">
            <v>Census Tract 327.03, King County, Washington</v>
          </cell>
          <cell r="D374">
            <v>1713</v>
          </cell>
          <cell r="E374">
            <v>1673</v>
          </cell>
          <cell r="F374">
            <v>989</v>
          </cell>
          <cell r="G374">
            <v>666</v>
          </cell>
          <cell r="H374">
            <v>78</v>
          </cell>
          <cell r="I374">
            <v>212</v>
          </cell>
          <cell r="J374">
            <v>67</v>
          </cell>
          <cell r="K374">
            <v>309</v>
          </cell>
          <cell r="L374">
            <v>18</v>
          </cell>
          <cell r="M374">
            <v>0</v>
          </cell>
          <cell r="N374">
            <v>0</v>
          </cell>
          <cell r="O374">
            <v>18</v>
          </cell>
          <cell r="P374">
            <v>40</v>
          </cell>
          <cell r="Q374">
            <v>14</v>
          </cell>
          <cell r="R374">
            <v>26</v>
          </cell>
          <cell r="S374">
            <v>1655</v>
          </cell>
          <cell r="T374">
            <v>58</v>
          </cell>
        </row>
        <row r="375">
          <cell r="C375" t="str">
            <v>Census Tract 327.04, King County, Washington</v>
          </cell>
          <cell r="D375">
            <v>5585</v>
          </cell>
          <cell r="E375">
            <v>5440</v>
          </cell>
          <cell r="F375">
            <v>2546</v>
          </cell>
          <cell r="G375">
            <v>2828</v>
          </cell>
          <cell r="H375">
            <v>360</v>
          </cell>
          <cell r="I375">
            <v>970</v>
          </cell>
          <cell r="J375">
            <v>264</v>
          </cell>
          <cell r="K375">
            <v>1234</v>
          </cell>
          <cell r="L375">
            <v>66</v>
          </cell>
          <cell r="M375">
            <v>0</v>
          </cell>
          <cell r="N375">
            <v>0</v>
          </cell>
          <cell r="O375">
            <v>66</v>
          </cell>
          <cell r="P375">
            <v>145</v>
          </cell>
          <cell r="Q375">
            <v>57</v>
          </cell>
          <cell r="R375">
            <v>88</v>
          </cell>
          <cell r="S375">
            <v>5374</v>
          </cell>
          <cell r="T375">
            <v>211</v>
          </cell>
        </row>
        <row r="376">
          <cell r="C376" t="str">
            <v>Census Tract 328, King County, Washington</v>
          </cell>
          <cell r="D376">
            <v>2500</v>
          </cell>
          <cell r="E376">
            <v>2433</v>
          </cell>
          <cell r="F376">
            <v>1489</v>
          </cell>
          <cell r="G376">
            <v>923</v>
          </cell>
          <cell r="H376">
            <v>71</v>
          </cell>
          <cell r="I376">
            <v>379</v>
          </cell>
          <cell r="J376">
            <v>98</v>
          </cell>
          <cell r="K376">
            <v>375</v>
          </cell>
          <cell r="L376">
            <v>21</v>
          </cell>
          <cell r="M376">
            <v>0</v>
          </cell>
          <cell r="N376">
            <v>2</v>
          </cell>
          <cell r="O376">
            <v>19</v>
          </cell>
          <cell r="P376">
            <v>67</v>
          </cell>
          <cell r="Q376">
            <v>48</v>
          </cell>
          <cell r="R376">
            <v>19</v>
          </cell>
          <cell r="S376">
            <v>2412</v>
          </cell>
          <cell r="T376">
            <v>88</v>
          </cell>
        </row>
        <row r="377">
          <cell r="C377" t="str">
            <v>Aberdeen city, Washington</v>
          </cell>
          <cell r="D377">
            <v>13643</v>
          </cell>
          <cell r="E377">
            <v>13431</v>
          </cell>
          <cell r="F377">
            <v>8859</v>
          </cell>
          <cell r="G377">
            <v>4488</v>
          </cell>
          <cell r="H377">
            <v>253</v>
          </cell>
          <cell r="I377">
            <v>1372</v>
          </cell>
          <cell r="J377">
            <v>579</v>
          </cell>
          <cell r="K377">
            <v>2284</v>
          </cell>
          <cell r="L377">
            <v>84</v>
          </cell>
          <cell r="M377">
            <v>0</v>
          </cell>
          <cell r="N377">
            <v>0</v>
          </cell>
          <cell r="O377">
            <v>84</v>
          </cell>
          <cell r="P377">
            <v>212</v>
          </cell>
          <cell r="Q377">
            <v>135</v>
          </cell>
          <cell r="R377">
            <v>77</v>
          </cell>
          <cell r="S377">
            <v>13347</v>
          </cell>
          <cell r="T377">
            <v>296</v>
          </cell>
        </row>
        <row r="378">
          <cell r="C378" t="str">
            <v>Aberdeen Gardens CDP, Washington</v>
          </cell>
          <cell r="D378">
            <v>199</v>
          </cell>
          <cell r="E378">
            <v>199</v>
          </cell>
          <cell r="F378">
            <v>148</v>
          </cell>
          <cell r="G378">
            <v>51</v>
          </cell>
          <cell r="H378">
            <v>8</v>
          </cell>
          <cell r="I378">
            <v>23</v>
          </cell>
          <cell r="J378">
            <v>0</v>
          </cell>
          <cell r="K378">
            <v>20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199</v>
          </cell>
          <cell r="T378">
            <v>0</v>
          </cell>
        </row>
        <row r="379">
          <cell r="C379" t="str">
            <v>Acme CDP, Washington</v>
          </cell>
          <cell r="D379">
            <v>155</v>
          </cell>
          <cell r="E379">
            <v>155</v>
          </cell>
          <cell r="F379">
            <v>109</v>
          </cell>
          <cell r="G379">
            <v>46</v>
          </cell>
          <cell r="H379">
            <v>0</v>
          </cell>
          <cell r="I379">
            <v>33</v>
          </cell>
          <cell r="J379">
            <v>6</v>
          </cell>
          <cell r="K379">
            <v>7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155</v>
          </cell>
          <cell r="T379">
            <v>0</v>
          </cell>
        </row>
        <row r="380">
          <cell r="C380" t="str">
            <v>Ahtanum CDP, Washington</v>
          </cell>
          <cell r="D380">
            <v>3734</v>
          </cell>
          <cell r="E380">
            <v>3661</v>
          </cell>
          <cell r="F380">
            <v>2366</v>
          </cell>
          <cell r="G380">
            <v>1271</v>
          </cell>
          <cell r="H380">
            <v>56</v>
          </cell>
          <cell r="I380">
            <v>368</v>
          </cell>
          <cell r="J380">
            <v>256</v>
          </cell>
          <cell r="K380">
            <v>591</v>
          </cell>
          <cell r="L380">
            <v>24</v>
          </cell>
          <cell r="M380">
            <v>11</v>
          </cell>
          <cell r="N380">
            <v>0</v>
          </cell>
          <cell r="O380">
            <v>13</v>
          </cell>
          <cell r="P380">
            <v>73</v>
          </cell>
          <cell r="Q380">
            <v>34</v>
          </cell>
          <cell r="R380">
            <v>39</v>
          </cell>
          <cell r="S380">
            <v>3637</v>
          </cell>
          <cell r="T380">
            <v>97</v>
          </cell>
        </row>
        <row r="381">
          <cell r="C381" t="str">
            <v>Airway Heights city, Washington</v>
          </cell>
          <cell r="D381">
            <v>3234</v>
          </cell>
          <cell r="E381">
            <v>3207</v>
          </cell>
          <cell r="F381">
            <v>1695</v>
          </cell>
          <cell r="G381">
            <v>1496</v>
          </cell>
          <cell r="H381">
            <v>77</v>
          </cell>
          <cell r="I381">
            <v>393</v>
          </cell>
          <cell r="J381">
            <v>273</v>
          </cell>
          <cell r="K381">
            <v>753</v>
          </cell>
          <cell r="L381">
            <v>16</v>
          </cell>
          <cell r="M381">
            <v>0</v>
          </cell>
          <cell r="N381">
            <v>0</v>
          </cell>
          <cell r="O381">
            <v>16</v>
          </cell>
          <cell r="P381">
            <v>27</v>
          </cell>
          <cell r="Q381">
            <v>24</v>
          </cell>
          <cell r="R381">
            <v>3</v>
          </cell>
          <cell r="S381">
            <v>3191</v>
          </cell>
          <cell r="T381">
            <v>43</v>
          </cell>
        </row>
        <row r="382">
          <cell r="C382" t="str">
            <v>Albion town, Washington</v>
          </cell>
          <cell r="D382">
            <v>529</v>
          </cell>
          <cell r="E382">
            <v>524</v>
          </cell>
          <cell r="F382">
            <v>204</v>
          </cell>
          <cell r="G382">
            <v>314</v>
          </cell>
          <cell r="H382">
            <v>11</v>
          </cell>
          <cell r="I382">
            <v>54</v>
          </cell>
          <cell r="J382">
            <v>28</v>
          </cell>
          <cell r="K382">
            <v>221</v>
          </cell>
          <cell r="L382">
            <v>6</v>
          </cell>
          <cell r="M382">
            <v>0</v>
          </cell>
          <cell r="N382">
            <v>0</v>
          </cell>
          <cell r="O382">
            <v>6</v>
          </cell>
          <cell r="P382">
            <v>5</v>
          </cell>
          <cell r="Q382">
            <v>0</v>
          </cell>
          <cell r="R382">
            <v>5</v>
          </cell>
          <cell r="S382">
            <v>518</v>
          </cell>
          <cell r="T382">
            <v>11</v>
          </cell>
        </row>
        <row r="383">
          <cell r="C383" t="str">
            <v>Alderwood Manor CDP, Washington</v>
          </cell>
          <cell r="D383">
            <v>12520</v>
          </cell>
          <cell r="E383">
            <v>12022</v>
          </cell>
          <cell r="F383">
            <v>7120</v>
          </cell>
          <cell r="G383">
            <v>4752</v>
          </cell>
          <cell r="H383">
            <v>477</v>
          </cell>
          <cell r="I383">
            <v>1362</v>
          </cell>
          <cell r="J383">
            <v>651</v>
          </cell>
          <cell r="K383">
            <v>2262</v>
          </cell>
          <cell r="L383">
            <v>150</v>
          </cell>
          <cell r="M383">
            <v>10</v>
          </cell>
          <cell r="N383">
            <v>0</v>
          </cell>
          <cell r="O383">
            <v>140</v>
          </cell>
          <cell r="P383">
            <v>498</v>
          </cell>
          <cell r="Q383">
            <v>213</v>
          </cell>
          <cell r="R383">
            <v>285</v>
          </cell>
          <cell r="S383">
            <v>11872</v>
          </cell>
          <cell r="T383">
            <v>648</v>
          </cell>
        </row>
        <row r="384">
          <cell r="C384" t="str">
            <v>Alger CDP, Washington</v>
          </cell>
          <cell r="D384">
            <v>81</v>
          </cell>
          <cell r="E384">
            <v>81</v>
          </cell>
          <cell r="F384">
            <v>24</v>
          </cell>
          <cell r="G384">
            <v>57</v>
          </cell>
          <cell r="H384">
            <v>18</v>
          </cell>
          <cell r="I384">
            <v>24</v>
          </cell>
          <cell r="J384">
            <v>9</v>
          </cell>
          <cell r="K384">
            <v>6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81</v>
          </cell>
          <cell r="T384">
            <v>0</v>
          </cell>
        </row>
        <row r="385">
          <cell r="C385" t="str">
            <v>Algona city, Washington</v>
          </cell>
          <cell r="D385">
            <v>1931</v>
          </cell>
          <cell r="E385">
            <v>1851</v>
          </cell>
          <cell r="F385">
            <v>1166</v>
          </cell>
          <cell r="G385">
            <v>671</v>
          </cell>
          <cell r="H385">
            <v>70</v>
          </cell>
          <cell r="I385">
            <v>226</v>
          </cell>
          <cell r="J385">
            <v>102</v>
          </cell>
          <cell r="K385">
            <v>273</v>
          </cell>
          <cell r="L385">
            <v>14</v>
          </cell>
          <cell r="M385">
            <v>0</v>
          </cell>
          <cell r="N385">
            <v>0</v>
          </cell>
          <cell r="O385">
            <v>14</v>
          </cell>
          <cell r="P385">
            <v>80</v>
          </cell>
          <cell r="Q385">
            <v>33</v>
          </cell>
          <cell r="R385">
            <v>47</v>
          </cell>
          <cell r="S385">
            <v>1837</v>
          </cell>
          <cell r="T385">
            <v>94</v>
          </cell>
        </row>
        <row r="386">
          <cell r="C386" t="str">
            <v>Allyn-Grapeview CDP, Washington</v>
          </cell>
          <cell r="D386">
            <v>2005</v>
          </cell>
          <cell r="E386">
            <v>1951</v>
          </cell>
          <cell r="F386">
            <v>938</v>
          </cell>
          <cell r="G386">
            <v>995</v>
          </cell>
          <cell r="H386">
            <v>56</v>
          </cell>
          <cell r="I386">
            <v>282</v>
          </cell>
          <cell r="J386">
            <v>110</v>
          </cell>
          <cell r="K386">
            <v>547</v>
          </cell>
          <cell r="L386">
            <v>18</v>
          </cell>
          <cell r="M386">
            <v>0</v>
          </cell>
          <cell r="N386">
            <v>0</v>
          </cell>
          <cell r="O386">
            <v>18</v>
          </cell>
          <cell r="P386">
            <v>54</v>
          </cell>
          <cell r="Q386">
            <v>42</v>
          </cell>
          <cell r="R386">
            <v>12</v>
          </cell>
          <cell r="S386">
            <v>1933</v>
          </cell>
          <cell r="T386">
            <v>72</v>
          </cell>
        </row>
        <row r="387">
          <cell r="C387" t="str">
            <v>Almira town, Washington</v>
          </cell>
          <cell r="D387">
            <v>297</v>
          </cell>
          <cell r="E387">
            <v>297</v>
          </cell>
          <cell r="F387">
            <v>176</v>
          </cell>
          <cell r="G387">
            <v>119</v>
          </cell>
          <cell r="H387">
            <v>2</v>
          </cell>
          <cell r="I387">
            <v>37</v>
          </cell>
          <cell r="J387">
            <v>11</v>
          </cell>
          <cell r="K387">
            <v>69</v>
          </cell>
          <cell r="L387">
            <v>2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0</v>
          </cell>
          <cell r="R387">
            <v>0</v>
          </cell>
          <cell r="S387">
            <v>295</v>
          </cell>
          <cell r="T387">
            <v>2</v>
          </cell>
        </row>
        <row r="388">
          <cell r="C388" t="str">
            <v>Amboy CDP, Washington</v>
          </cell>
          <cell r="D388">
            <v>2161</v>
          </cell>
          <cell r="E388">
            <v>2150</v>
          </cell>
          <cell r="F388">
            <v>1061</v>
          </cell>
          <cell r="G388">
            <v>1086</v>
          </cell>
          <cell r="H388">
            <v>73</v>
          </cell>
          <cell r="I388">
            <v>193</v>
          </cell>
          <cell r="J388">
            <v>76</v>
          </cell>
          <cell r="K388">
            <v>744</v>
          </cell>
          <cell r="L388">
            <v>3</v>
          </cell>
          <cell r="M388">
            <v>2</v>
          </cell>
          <cell r="N388">
            <v>0</v>
          </cell>
          <cell r="O388">
            <v>1</v>
          </cell>
          <cell r="P388">
            <v>11</v>
          </cell>
          <cell r="Q388">
            <v>8</v>
          </cell>
          <cell r="R388">
            <v>3</v>
          </cell>
          <cell r="S388">
            <v>2147</v>
          </cell>
          <cell r="T388">
            <v>14</v>
          </cell>
        </row>
        <row r="389">
          <cell r="C389" t="str">
            <v>Ames Lake CDP, Washington</v>
          </cell>
          <cell r="D389">
            <v>1328</v>
          </cell>
          <cell r="E389">
            <v>1240</v>
          </cell>
          <cell r="F389">
            <v>595</v>
          </cell>
          <cell r="G389">
            <v>636</v>
          </cell>
          <cell r="H389">
            <v>121</v>
          </cell>
          <cell r="I389">
            <v>162</v>
          </cell>
          <cell r="J389">
            <v>46</v>
          </cell>
          <cell r="K389">
            <v>307</v>
          </cell>
          <cell r="L389">
            <v>9</v>
          </cell>
          <cell r="M389">
            <v>0</v>
          </cell>
          <cell r="N389">
            <v>0</v>
          </cell>
          <cell r="O389">
            <v>9</v>
          </cell>
          <cell r="P389">
            <v>88</v>
          </cell>
          <cell r="Q389">
            <v>46</v>
          </cell>
          <cell r="R389">
            <v>42</v>
          </cell>
          <cell r="S389">
            <v>1231</v>
          </cell>
          <cell r="T389">
            <v>97</v>
          </cell>
        </row>
        <row r="390">
          <cell r="C390" t="str">
            <v>Anacortes city, Washington</v>
          </cell>
          <cell r="D390">
            <v>13443</v>
          </cell>
          <cell r="E390">
            <v>13040</v>
          </cell>
          <cell r="F390">
            <v>6442</v>
          </cell>
          <cell r="G390">
            <v>6455</v>
          </cell>
          <cell r="H390">
            <v>875</v>
          </cell>
          <cell r="I390">
            <v>1910</v>
          </cell>
          <cell r="J390">
            <v>952</v>
          </cell>
          <cell r="K390">
            <v>2718</v>
          </cell>
          <cell r="L390">
            <v>143</v>
          </cell>
          <cell r="M390">
            <v>0</v>
          </cell>
          <cell r="N390">
            <v>10</v>
          </cell>
          <cell r="O390">
            <v>133</v>
          </cell>
          <cell r="P390">
            <v>403</v>
          </cell>
          <cell r="Q390">
            <v>232</v>
          </cell>
          <cell r="R390">
            <v>171</v>
          </cell>
          <cell r="S390">
            <v>12897</v>
          </cell>
          <cell r="T390">
            <v>546</v>
          </cell>
        </row>
        <row r="391">
          <cell r="C391" t="str">
            <v>Arlington city, Washington</v>
          </cell>
          <cell r="D391">
            <v>10327</v>
          </cell>
          <cell r="E391">
            <v>10056</v>
          </cell>
          <cell r="F391">
            <v>5610</v>
          </cell>
          <cell r="G391">
            <v>4311</v>
          </cell>
          <cell r="H391">
            <v>360</v>
          </cell>
          <cell r="I391">
            <v>1203</v>
          </cell>
          <cell r="J391">
            <v>536</v>
          </cell>
          <cell r="K391">
            <v>2212</v>
          </cell>
          <cell r="L391">
            <v>135</v>
          </cell>
          <cell r="M391">
            <v>8</v>
          </cell>
          <cell r="N391">
            <v>9</v>
          </cell>
          <cell r="O391">
            <v>118</v>
          </cell>
          <cell r="P391">
            <v>271</v>
          </cell>
          <cell r="Q391">
            <v>135</v>
          </cell>
          <cell r="R391">
            <v>136</v>
          </cell>
          <cell r="S391">
            <v>9921</v>
          </cell>
          <cell r="T391">
            <v>406</v>
          </cell>
        </row>
        <row r="392">
          <cell r="C392" t="str">
            <v>Arlington Heights CDP, Washington</v>
          </cell>
          <cell r="D392">
            <v>2466</v>
          </cell>
          <cell r="E392">
            <v>2457</v>
          </cell>
          <cell r="F392">
            <v>1604</v>
          </cell>
          <cell r="G392">
            <v>853</v>
          </cell>
          <cell r="H392">
            <v>58</v>
          </cell>
          <cell r="I392">
            <v>210</v>
          </cell>
          <cell r="J392">
            <v>180</v>
          </cell>
          <cell r="K392">
            <v>405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9</v>
          </cell>
          <cell r="Q392">
            <v>9</v>
          </cell>
          <cell r="R392">
            <v>0</v>
          </cell>
          <cell r="S392">
            <v>2457</v>
          </cell>
          <cell r="T392">
            <v>9</v>
          </cell>
        </row>
        <row r="393">
          <cell r="C393" t="str">
            <v>Artondale CDP, Washington</v>
          </cell>
          <cell r="D393">
            <v>7761</v>
          </cell>
          <cell r="E393">
            <v>7554</v>
          </cell>
          <cell r="F393">
            <v>4172</v>
          </cell>
          <cell r="G393">
            <v>3287</v>
          </cell>
          <cell r="H393">
            <v>292</v>
          </cell>
          <cell r="I393">
            <v>1010</v>
          </cell>
          <cell r="J393">
            <v>407</v>
          </cell>
          <cell r="K393">
            <v>1578</v>
          </cell>
          <cell r="L393">
            <v>95</v>
          </cell>
          <cell r="M393">
            <v>0</v>
          </cell>
          <cell r="N393">
            <v>0</v>
          </cell>
          <cell r="O393">
            <v>95</v>
          </cell>
          <cell r="P393">
            <v>207</v>
          </cell>
          <cell r="Q393">
            <v>184</v>
          </cell>
          <cell r="R393">
            <v>23</v>
          </cell>
          <cell r="S393">
            <v>7459</v>
          </cell>
          <cell r="T393">
            <v>302</v>
          </cell>
        </row>
        <row r="394">
          <cell r="C394" t="str">
            <v>Ashford CDP, Washington</v>
          </cell>
          <cell r="D394">
            <v>249</v>
          </cell>
          <cell r="E394">
            <v>249</v>
          </cell>
          <cell r="F394">
            <v>137</v>
          </cell>
          <cell r="G394">
            <v>102</v>
          </cell>
          <cell r="H394">
            <v>26</v>
          </cell>
          <cell r="I394">
            <v>27</v>
          </cell>
          <cell r="J394">
            <v>12</v>
          </cell>
          <cell r="K394">
            <v>37</v>
          </cell>
          <cell r="L394">
            <v>10</v>
          </cell>
          <cell r="M394">
            <v>0</v>
          </cell>
          <cell r="N394">
            <v>0</v>
          </cell>
          <cell r="O394">
            <v>10</v>
          </cell>
          <cell r="P394">
            <v>0</v>
          </cell>
          <cell r="Q394">
            <v>0</v>
          </cell>
          <cell r="R394">
            <v>0</v>
          </cell>
          <cell r="S394">
            <v>239</v>
          </cell>
          <cell r="T394">
            <v>10</v>
          </cell>
        </row>
        <row r="395">
          <cell r="C395" t="str">
            <v>Asotin city, Washington</v>
          </cell>
          <cell r="D395">
            <v>1039</v>
          </cell>
          <cell r="E395">
            <v>1024</v>
          </cell>
          <cell r="F395">
            <v>251</v>
          </cell>
          <cell r="G395">
            <v>769</v>
          </cell>
          <cell r="H395">
            <v>16</v>
          </cell>
          <cell r="I395">
            <v>68</v>
          </cell>
          <cell r="J395">
            <v>43</v>
          </cell>
          <cell r="K395">
            <v>642</v>
          </cell>
          <cell r="L395">
            <v>4</v>
          </cell>
          <cell r="M395">
            <v>0</v>
          </cell>
          <cell r="N395">
            <v>0</v>
          </cell>
          <cell r="O395">
            <v>4</v>
          </cell>
          <cell r="P395">
            <v>15</v>
          </cell>
          <cell r="Q395">
            <v>8</v>
          </cell>
          <cell r="R395">
            <v>7</v>
          </cell>
          <cell r="S395">
            <v>1020</v>
          </cell>
          <cell r="T395">
            <v>19</v>
          </cell>
        </row>
        <row r="396">
          <cell r="C396" t="str">
            <v>Auburn city, Washington</v>
          </cell>
          <cell r="D396">
            <v>32030</v>
          </cell>
          <cell r="E396">
            <v>30163</v>
          </cell>
          <cell r="F396">
            <v>17098</v>
          </cell>
          <cell r="G396">
            <v>12751</v>
          </cell>
          <cell r="H396">
            <v>1254</v>
          </cell>
          <cell r="I396">
            <v>4383</v>
          </cell>
          <cell r="J396">
            <v>1610</v>
          </cell>
          <cell r="K396">
            <v>5504</v>
          </cell>
          <cell r="L396">
            <v>314</v>
          </cell>
          <cell r="M396">
            <v>0</v>
          </cell>
          <cell r="N396">
            <v>0</v>
          </cell>
          <cell r="O396">
            <v>314</v>
          </cell>
          <cell r="P396">
            <v>1867</v>
          </cell>
          <cell r="Q396">
            <v>537</v>
          </cell>
          <cell r="R396">
            <v>1330</v>
          </cell>
          <cell r="S396">
            <v>29849</v>
          </cell>
          <cell r="T396">
            <v>2181</v>
          </cell>
        </row>
        <row r="397">
          <cell r="C397" t="str">
            <v>Ault Field CDP, Washington</v>
          </cell>
          <cell r="D397">
            <v>1283</v>
          </cell>
          <cell r="E397">
            <v>1265</v>
          </cell>
          <cell r="F397">
            <v>163</v>
          </cell>
          <cell r="G397">
            <v>1083</v>
          </cell>
          <cell r="H397">
            <v>127</v>
          </cell>
          <cell r="I397">
            <v>285</v>
          </cell>
          <cell r="J397">
            <v>317</v>
          </cell>
          <cell r="K397">
            <v>354</v>
          </cell>
          <cell r="L397">
            <v>19</v>
          </cell>
          <cell r="M397">
            <v>0</v>
          </cell>
          <cell r="N397">
            <v>0</v>
          </cell>
          <cell r="O397">
            <v>19</v>
          </cell>
          <cell r="P397">
            <v>18</v>
          </cell>
          <cell r="Q397">
            <v>7</v>
          </cell>
          <cell r="R397">
            <v>11</v>
          </cell>
          <cell r="S397">
            <v>1246</v>
          </cell>
          <cell r="T397">
            <v>37</v>
          </cell>
        </row>
        <row r="398">
          <cell r="C398" t="str">
            <v>Bainbridge Island city, Washington</v>
          </cell>
          <cell r="D398">
            <v>18612</v>
          </cell>
          <cell r="E398">
            <v>17831</v>
          </cell>
          <cell r="F398">
            <v>7410</v>
          </cell>
          <cell r="G398">
            <v>10142</v>
          </cell>
          <cell r="H398">
            <v>2170</v>
          </cell>
          <cell r="I398">
            <v>2564</v>
          </cell>
          <cell r="J398">
            <v>1353</v>
          </cell>
          <cell r="K398">
            <v>4055</v>
          </cell>
          <cell r="L398">
            <v>279</v>
          </cell>
          <cell r="M398">
            <v>14</v>
          </cell>
          <cell r="N398">
            <v>12</v>
          </cell>
          <cell r="O398">
            <v>253</v>
          </cell>
          <cell r="P398">
            <v>781</v>
          </cell>
          <cell r="Q398">
            <v>380</v>
          </cell>
          <cell r="R398">
            <v>401</v>
          </cell>
          <cell r="S398">
            <v>17552</v>
          </cell>
          <cell r="T398">
            <v>1060</v>
          </cell>
        </row>
        <row r="399">
          <cell r="C399" t="str">
            <v>Bangor Trident Base CDP, Washington</v>
          </cell>
          <cell r="D399">
            <v>5187</v>
          </cell>
          <cell r="E399">
            <v>5136</v>
          </cell>
          <cell r="F399">
            <v>867</v>
          </cell>
          <cell r="G399">
            <v>4193</v>
          </cell>
          <cell r="H399">
            <v>683</v>
          </cell>
          <cell r="I399">
            <v>1011</v>
          </cell>
          <cell r="J399">
            <v>1044</v>
          </cell>
          <cell r="K399">
            <v>1455</v>
          </cell>
          <cell r="L399">
            <v>76</v>
          </cell>
          <cell r="M399">
            <v>0</v>
          </cell>
          <cell r="N399">
            <v>22</v>
          </cell>
          <cell r="O399">
            <v>54</v>
          </cell>
          <cell r="P399">
            <v>51</v>
          </cell>
          <cell r="Q399">
            <v>13</v>
          </cell>
          <cell r="R399">
            <v>38</v>
          </cell>
          <cell r="S399">
            <v>5060</v>
          </cell>
          <cell r="T399">
            <v>127</v>
          </cell>
        </row>
        <row r="400">
          <cell r="C400" t="str">
            <v>Banks Lake South CDP, Washington</v>
          </cell>
          <cell r="D400">
            <v>138</v>
          </cell>
          <cell r="E400">
            <v>138</v>
          </cell>
          <cell r="F400">
            <v>105</v>
          </cell>
          <cell r="G400">
            <v>33</v>
          </cell>
          <cell r="H400">
            <v>5</v>
          </cell>
          <cell r="I400">
            <v>7</v>
          </cell>
          <cell r="J400">
            <v>10</v>
          </cell>
          <cell r="K400">
            <v>11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138</v>
          </cell>
          <cell r="T400">
            <v>0</v>
          </cell>
        </row>
        <row r="401">
          <cell r="C401" t="str">
            <v>Barberton CDP, Washington</v>
          </cell>
          <cell r="D401">
            <v>4322</v>
          </cell>
          <cell r="E401">
            <v>4229</v>
          </cell>
          <cell r="F401">
            <v>1525</v>
          </cell>
          <cell r="G401">
            <v>2681</v>
          </cell>
          <cell r="H401">
            <v>150</v>
          </cell>
          <cell r="I401">
            <v>394</v>
          </cell>
          <cell r="J401">
            <v>285</v>
          </cell>
          <cell r="K401">
            <v>1852</v>
          </cell>
          <cell r="L401">
            <v>23</v>
          </cell>
          <cell r="M401">
            <v>0</v>
          </cell>
          <cell r="N401">
            <v>15</v>
          </cell>
          <cell r="O401">
            <v>8</v>
          </cell>
          <cell r="P401">
            <v>93</v>
          </cell>
          <cell r="Q401">
            <v>58</v>
          </cell>
          <cell r="R401">
            <v>35</v>
          </cell>
          <cell r="S401">
            <v>4206</v>
          </cell>
          <cell r="T401">
            <v>116</v>
          </cell>
        </row>
        <row r="402">
          <cell r="C402" t="str">
            <v>Baring CDP, Washington</v>
          </cell>
          <cell r="D402">
            <v>194</v>
          </cell>
          <cell r="E402">
            <v>189</v>
          </cell>
          <cell r="F402">
            <v>91</v>
          </cell>
          <cell r="G402">
            <v>95</v>
          </cell>
          <cell r="H402">
            <v>2</v>
          </cell>
          <cell r="I402">
            <v>27</v>
          </cell>
          <cell r="J402">
            <v>20</v>
          </cell>
          <cell r="K402">
            <v>46</v>
          </cell>
          <cell r="L402">
            <v>3</v>
          </cell>
          <cell r="M402">
            <v>0</v>
          </cell>
          <cell r="N402">
            <v>0</v>
          </cell>
          <cell r="O402">
            <v>3</v>
          </cell>
          <cell r="P402">
            <v>5</v>
          </cell>
          <cell r="Q402">
            <v>2</v>
          </cell>
          <cell r="R402">
            <v>3</v>
          </cell>
          <cell r="S402">
            <v>186</v>
          </cell>
          <cell r="T402">
            <v>8</v>
          </cell>
        </row>
        <row r="403">
          <cell r="C403" t="str">
            <v>Basin City CDP, Washington</v>
          </cell>
          <cell r="D403">
            <v>209</v>
          </cell>
          <cell r="E403">
            <v>209</v>
          </cell>
          <cell r="F403">
            <v>117</v>
          </cell>
          <cell r="G403">
            <v>83</v>
          </cell>
          <cell r="H403">
            <v>0</v>
          </cell>
          <cell r="I403">
            <v>28</v>
          </cell>
          <cell r="J403">
            <v>0</v>
          </cell>
          <cell r="K403">
            <v>55</v>
          </cell>
          <cell r="L403">
            <v>9</v>
          </cell>
          <cell r="M403">
            <v>0</v>
          </cell>
          <cell r="N403">
            <v>0</v>
          </cell>
          <cell r="O403">
            <v>9</v>
          </cell>
          <cell r="P403">
            <v>0</v>
          </cell>
          <cell r="Q403">
            <v>0</v>
          </cell>
          <cell r="R403">
            <v>0</v>
          </cell>
          <cell r="S403">
            <v>200</v>
          </cell>
          <cell r="T403">
            <v>9</v>
          </cell>
        </row>
        <row r="404">
          <cell r="C404" t="str">
            <v>Battle Ground city, Washington</v>
          </cell>
          <cell r="D404">
            <v>8544</v>
          </cell>
          <cell r="E404">
            <v>8181</v>
          </cell>
          <cell r="F404">
            <v>3439</v>
          </cell>
          <cell r="G404">
            <v>4681</v>
          </cell>
          <cell r="H404">
            <v>341</v>
          </cell>
          <cell r="I404">
            <v>1095</v>
          </cell>
          <cell r="J404">
            <v>361</v>
          </cell>
          <cell r="K404">
            <v>2884</v>
          </cell>
          <cell r="L404">
            <v>61</v>
          </cell>
          <cell r="M404">
            <v>0</v>
          </cell>
          <cell r="N404">
            <v>0</v>
          </cell>
          <cell r="O404">
            <v>61</v>
          </cell>
          <cell r="P404">
            <v>363</v>
          </cell>
          <cell r="Q404">
            <v>112</v>
          </cell>
          <cell r="R404">
            <v>251</v>
          </cell>
          <cell r="S404">
            <v>8120</v>
          </cell>
          <cell r="T404">
            <v>424</v>
          </cell>
        </row>
        <row r="405">
          <cell r="C405" t="str">
            <v>Bay Center CDP, Washington</v>
          </cell>
          <cell r="D405">
            <v>113</v>
          </cell>
          <cell r="E405">
            <v>113</v>
          </cell>
          <cell r="F405">
            <v>55</v>
          </cell>
          <cell r="G405">
            <v>42</v>
          </cell>
          <cell r="H405">
            <v>0</v>
          </cell>
          <cell r="I405">
            <v>9</v>
          </cell>
          <cell r="J405">
            <v>13</v>
          </cell>
          <cell r="K405">
            <v>20</v>
          </cell>
          <cell r="L405">
            <v>16</v>
          </cell>
          <cell r="M405">
            <v>0</v>
          </cell>
          <cell r="N405">
            <v>0</v>
          </cell>
          <cell r="O405">
            <v>16</v>
          </cell>
          <cell r="P405">
            <v>0</v>
          </cell>
          <cell r="Q405">
            <v>0</v>
          </cell>
          <cell r="R405">
            <v>0</v>
          </cell>
          <cell r="S405">
            <v>97</v>
          </cell>
          <cell r="T405">
            <v>16</v>
          </cell>
        </row>
        <row r="406">
          <cell r="C406" t="str">
            <v>Bay View CDP, Washington</v>
          </cell>
          <cell r="D406">
            <v>414</v>
          </cell>
          <cell r="E406">
            <v>399</v>
          </cell>
          <cell r="F406">
            <v>185</v>
          </cell>
          <cell r="G406">
            <v>214</v>
          </cell>
          <cell r="H406">
            <v>0</v>
          </cell>
          <cell r="I406">
            <v>62</v>
          </cell>
          <cell r="J406">
            <v>23</v>
          </cell>
          <cell r="K406">
            <v>129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15</v>
          </cell>
          <cell r="Q406">
            <v>15</v>
          </cell>
          <cell r="R406">
            <v>0</v>
          </cell>
          <cell r="S406">
            <v>399</v>
          </cell>
          <cell r="T406">
            <v>15</v>
          </cell>
        </row>
        <row r="407">
          <cell r="C407" t="str">
            <v>Beaux Arts Village town, Washington</v>
          </cell>
          <cell r="D407">
            <v>300</v>
          </cell>
          <cell r="E407">
            <v>278</v>
          </cell>
          <cell r="F407">
            <v>134</v>
          </cell>
          <cell r="G407">
            <v>134</v>
          </cell>
          <cell r="H407">
            <v>20</v>
          </cell>
          <cell r="I407">
            <v>46</v>
          </cell>
          <cell r="J407">
            <v>21</v>
          </cell>
          <cell r="K407">
            <v>47</v>
          </cell>
          <cell r="L407">
            <v>10</v>
          </cell>
          <cell r="M407">
            <v>0</v>
          </cell>
          <cell r="N407">
            <v>0</v>
          </cell>
          <cell r="O407">
            <v>10</v>
          </cell>
          <cell r="P407">
            <v>22</v>
          </cell>
          <cell r="Q407">
            <v>22</v>
          </cell>
          <cell r="R407">
            <v>0</v>
          </cell>
          <cell r="S407">
            <v>268</v>
          </cell>
          <cell r="T407">
            <v>32</v>
          </cell>
        </row>
        <row r="408">
          <cell r="C408" t="str">
            <v>Bellevue city, Washington</v>
          </cell>
          <cell r="D408">
            <v>78419</v>
          </cell>
          <cell r="E408">
            <v>69551</v>
          </cell>
          <cell r="F408">
            <v>30531</v>
          </cell>
          <cell r="G408">
            <v>38219</v>
          </cell>
          <cell r="H408">
            <v>6000</v>
          </cell>
          <cell r="I408">
            <v>11724</v>
          </cell>
          <cell r="J408">
            <v>5469</v>
          </cell>
          <cell r="K408">
            <v>15026</v>
          </cell>
          <cell r="L408">
            <v>801</v>
          </cell>
          <cell r="M408">
            <v>12</v>
          </cell>
          <cell r="N408">
            <v>0</v>
          </cell>
          <cell r="O408">
            <v>789</v>
          </cell>
          <cell r="P408">
            <v>8868</v>
          </cell>
          <cell r="Q408">
            <v>3998</v>
          </cell>
          <cell r="R408">
            <v>4870</v>
          </cell>
          <cell r="S408">
            <v>68750</v>
          </cell>
          <cell r="T408">
            <v>9669</v>
          </cell>
        </row>
        <row r="409">
          <cell r="C409" t="str">
            <v>Bell Hill CDP, Washington</v>
          </cell>
          <cell r="D409">
            <v>766</v>
          </cell>
          <cell r="E409">
            <v>725</v>
          </cell>
          <cell r="F409">
            <v>210</v>
          </cell>
          <cell r="G409">
            <v>479</v>
          </cell>
          <cell r="H409">
            <v>80</v>
          </cell>
          <cell r="I409">
            <v>148</v>
          </cell>
          <cell r="J409">
            <v>64</v>
          </cell>
          <cell r="K409">
            <v>187</v>
          </cell>
          <cell r="L409">
            <v>36</v>
          </cell>
          <cell r="M409">
            <v>0</v>
          </cell>
          <cell r="N409">
            <v>0</v>
          </cell>
          <cell r="O409">
            <v>36</v>
          </cell>
          <cell r="P409">
            <v>41</v>
          </cell>
          <cell r="Q409">
            <v>34</v>
          </cell>
          <cell r="R409">
            <v>7</v>
          </cell>
          <cell r="S409">
            <v>689</v>
          </cell>
          <cell r="T409">
            <v>77</v>
          </cell>
        </row>
        <row r="410">
          <cell r="C410" t="str">
            <v>Bellingham city, Washington</v>
          </cell>
          <cell r="D410">
            <v>57346</v>
          </cell>
          <cell r="E410">
            <v>54181</v>
          </cell>
          <cell r="F410">
            <v>29565</v>
          </cell>
          <cell r="G410">
            <v>23696</v>
          </cell>
          <cell r="H410">
            <v>2765</v>
          </cell>
          <cell r="I410">
            <v>6981</v>
          </cell>
          <cell r="J410">
            <v>3122</v>
          </cell>
          <cell r="K410">
            <v>10828</v>
          </cell>
          <cell r="L410">
            <v>920</v>
          </cell>
          <cell r="M410">
            <v>21</v>
          </cell>
          <cell r="N410">
            <v>25</v>
          </cell>
          <cell r="O410">
            <v>874</v>
          </cell>
          <cell r="P410">
            <v>3165</v>
          </cell>
          <cell r="Q410">
            <v>1482</v>
          </cell>
          <cell r="R410">
            <v>1683</v>
          </cell>
          <cell r="S410">
            <v>53261</v>
          </cell>
          <cell r="T410">
            <v>4085</v>
          </cell>
        </row>
        <row r="411">
          <cell r="C411" t="str">
            <v>Benton City city, Washington</v>
          </cell>
          <cell r="D411">
            <v>2054</v>
          </cell>
          <cell r="E411">
            <v>2042</v>
          </cell>
          <cell r="F411">
            <v>1058</v>
          </cell>
          <cell r="G411">
            <v>979</v>
          </cell>
          <cell r="H411">
            <v>60</v>
          </cell>
          <cell r="I411">
            <v>207</v>
          </cell>
          <cell r="J411">
            <v>134</v>
          </cell>
          <cell r="K411">
            <v>578</v>
          </cell>
          <cell r="L411">
            <v>5</v>
          </cell>
          <cell r="M411">
            <v>0</v>
          </cell>
          <cell r="N411">
            <v>0</v>
          </cell>
          <cell r="O411">
            <v>5</v>
          </cell>
          <cell r="P411">
            <v>12</v>
          </cell>
          <cell r="Q411">
            <v>5</v>
          </cell>
          <cell r="R411">
            <v>7</v>
          </cell>
          <cell r="S411">
            <v>2037</v>
          </cell>
          <cell r="T411">
            <v>17</v>
          </cell>
        </row>
        <row r="412">
          <cell r="C412" t="str">
            <v>Bickleton CDP, Washington</v>
          </cell>
          <cell r="D412">
            <v>91</v>
          </cell>
          <cell r="E412">
            <v>91</v>
          </cell>
          <cell r="F412">
            <v>53</v>
          </cell>
          <cell r="G412">
            <v>35</v>
          </cell>
          <cell r="H412">
            <v>2</v>
          </cell>
          <cell r="I412">
            <v>8</v>
          </cell>
          <cell r="J412">
            <v>0</v>
          </cell>
          <cell r="K412">
            <v>25</v>
          </cell>
          <cell r="L412">
            <v>3</v>
          </cell>
          <cell r="M412">
            <v>0</v>
          </cell>
          <cell r="N412">
            <v>0</v>
          </cell>
          <cell r="O412">
            <v>3</v>
          </cell>
          <cell r="P412">
            <v>0</v>
          </cell>
          <cell r="Q412">
            <v>0</v>
          </cell>
          <cell r="R412">
            <v>0</v>
          </cell>
          <cell r="S412">
            <v>88</v>
          </cell>
          <cell r="T412">
            <v>3</v>
          </cell>
        </row>
        <row r="413">
          <cell r="C413" t="str">
            <v>Big Lake CDP, Washington</v>
          </cell>
          <cell r="D413">
            <v>1249</v>
          </cell>
          <cell r="E413">
            <v>1233</v>
          </cell>
          <cell r="F413">
            <v>745</v>
          </cell>
          <cell r="G413">
            <v>484</v>
          </cell>
          <cell r="H413">
            <v>64</v>
          </cell>
          <cell r="I413">
            <v>83</v>
          </cell>
          <cell r="J413">
            <v>63</v>
          </cell>
          <cell r="K413">
            <v>274</v>
          </cell>
          <cell r="L413">
            <v>4</v>
          </cell>
          <cell r="M413">
            <v>0</v>
          </cell>
          <cell r="N413">
            <v>0</v>
          </cell>
          <cell r="O413">
            <v>4</v>
          </cell>
          <cell r="P413">
            <v>16</v>
          </cell>
          <cell r="Q413">
            <v>16</v>
          </cell>
          <cell r="R413">
            <v>0</v>
          </cell>
          <cell r="S413">
            <v>1229</v>
          </cell>
          <cell r="T413">
            <v>20</v>
          </cell>
        </row>
        <row r="414">
          <cell r="C414" t="str">
            <v>Bingen city, Washington</v>
          </cell>
          <cell r="D414">
            <v>466</v>
          </cell>
          <cell r="E414">
            <v>462</v>
          </cell>
          <cell r="F414">
            <v>169</v>
          </cell>
          <cell r="G414">
            <v>291</v>
          </cell>
          <cell r="H414">
            <v>18</v>
          </cell>
          <cell r="I414">
            <v>53</v>
          </cell>
          <cell r="J414">
            <v>47</v>
          </cell>
          <cell r="K414">
            <v>173</v>
          </cell>
          <cell r="L414">
            <v>2</v>
          </cell>
          <cell r="M414">
            <v>0</v>
          </cell>
          <cell r="N414">
            <v>0</v>
          </cell>
          <cell r="O414">
            <v>2</v>
          </cell>
          <cell r="P414">
            <v>4</v>
          </cell>
          <cell r="Q414">
            <v>0</v>
          </cell>
          <cell r="R414">
            <v>4</v>
          </cell>
          <cell r="S414">
            <v>460</v>
          </cell>
          <cell r="T414">
            <v>6</v>
          </cell>
        </row>
        <row r="415">
          <cell r="C415" t="str">
            <v>Birch Bay CDP, Washington</v>
          </cell>
          <cell r="D415">
            <v>4407</v>
          </cell>
          <cell r="E415">
            <v>3694</v>
          </cell>
          <cell r="F415">
            <v>1816</v>
          </cell>
          <cell r="G415">
            <v>1856</v>
          </cell>
          <cell r="H415">
            <v>178</v>
          </cell>
          <cell r="I415">
            <v>628</v>
          </cell>
          <cell r="J415">
            <v>184</v>
          </cell>
          <cell r="K415">
            <v>866</v>
          </cell>
          <cell r="L415">
            <v>22</v>
          </cell>
          <cell r="M415">
            <v>0</v>
          </cell>
          <cell r="N415">
            <v>0</v>
          </cell>
          <cell r="O415">
            <v>22</v>
          </cell>
          <cell r="P415">
            <v>713</v>
          </cell>
          <cell r="Q415">
            <v>272</v>
          </cell>
          <cell r="R415">
            <v>441</v>
          </cell>
          <cell r="S415">
            <v>3672</v>
          </cell>
          <cell r="T415">
            <v>735</v>
          </cell>
        </row>
        <row r="416">
          <cell r="C416" t="str">
            <v>Black Diamond city, Washington</v>
          </cell>
          <cell r="D416">
            <v>3380</v>
          </cell>
          <cell r="E416">
            <v>3315</v>
          </cell>
          <cell r="F416">
            <v>2050</v>
          </cell>
          <cell r="G416">
            <v>1224</v>
          </cell>
          <cell r="H416">
            <v>103</v>
          </cell>
          <cell r="I416">
            <v>345</v>
          </cell>
          <cell r="J416">
            <v>144</v>
          </cell>
          <cell r="K416">
            <v>632</v>
          </cell>
          <cell r="L416">
            <v>41</v>
          </cell>
          <cell r="M416">
            <v>0</v>
          </cell>
          <cell r="N416">
            <v>0</v>
          </cell>
          <cell r="O416">
            <v>41</v>
          </cell>
          <cell r="P416">
            <v>65</v>
          </cell>
          <cell r="Q416">
            <v>46</v>
          </cell>
          <cell r="R416">
            <v>19</v>
          </cell>
          <cell r="S416">
            <v>3274</v>
          </cell>
          <cell r="T416">
            <v>106</v>
          </cell>
        </row>
        <row r="417">
          <cell r="C417" t="str">
            <v>Blaine city, Washington</v>
          </cell>
          <cell r="D417">
            <v>3183</v>
          </cell>
          <cell r="E417">
            <v>2667</v>
          </cell>
          <cell r="F417">
            <v>1226</v>
          </cell>
          <cell r="G417">
            <v>1377</v>
          </cell>
          <cell r="H417">
            <v>122</v>
          </cell>
          <cell r="I417">
            <v>448</v>
          </cell>
          <cell r="J417">
            <v>142</v>
          </cell>
          <cell r="K417">
            <v>665</v>
          </cell>
          <cell r="L417">
            <v>64</v>
          </cell>
          <cell r="M417">
            <v>0</v>
          </cell>
          <cell r="N417">
            <v>0</v>
          </cell>
          <cell r="O417">
            <v>64</v>
          </cell>
          <cell r="P417">
            <v>516</v>
          </cell>
          <cell r="Q417">
            <v>143</v>
          </cell>
          <cell r="R417">
            <v>373</v>
          </cell>
          <cell r="S417">
            <v>2603</v>
          </cell>
          <cell r="T417">
            <v>580</v>
          </cell>
        </row>
        <row r="418">
          <cell r="C418" t="str">
            <v>Blyn CDP, Washington</v>
          </cell>
          <cell r="D418">
            <v>119</v>
          </cell>
          <cell r="E418">
            <v>119</v>
          </cell>
          <cell r="F418">
            <v>34</v>
          </cell>
          <cell r="G418">
            <v>85</v>
          </cell>
          <cell r="H418">
            <v>12</v>
          </cell>
          <cell r="I418">
            <v>18</v>
          </cell>
          <cell r="J418">
            <v>32</v>
          </cell>
          <cell r="K418">
            <v>23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119</v>
          </cell>
          <cell r="T418">
            <v>0</v>
          </cell>
        </row>
        <row r="419">
          <cell r="C419" t="str">
            <v>Bonney Lake city, Washington</v>
          </cell>
          <cell r="D419">
            <v>8688</v>
          </cell>
          <cell r="E419">
            <v>8495</v>
          </cell>
          <cell r="F419">
            <v>5356</v>
          </cell>
          <cell r="G419">
            <v>3061</v>
          </cell>
          <cell r="H419">
            <v>240</v>
          </cell>
          <cell r="I419">
            <v>908</v>
          </cell>
          <cell r="J419">
            <v>411</v>
          </cell>
          <cell r="K419">
            <v>1502</v>
          </cell>
          <cell r="L419">
            <v>78</v>
          </cell>
          <cell r="M419">
            <v>0</v>
          </cell>
          <cell r="N419">
            <v>0</v>
          </cell>
          <cell r="O419">
            <v>78</v>
          </cell>
          <cell r="P419">
            <v>193</v>
          </cell>
          <cell r="Q419">
            <v>97</v>
          </cell>
          <cell r="R419">
            <v>96</v>
          </cell>
          <cell r="S419">
            <v>8417</v>
          </cell>
          <cell r="T419">
            <v>271</v>
          </cell>
        </row>
        <row r="420">
          <cell r="C420" t="str">
            <v>Bothell city, Washington</v>
          </cell>
          <cell r="D420">
            <v>24939</v>
          </cell>
          <cell r="E420">
            <v>23615</v>
          </cell>
          <cell r="F420">
            <v>12793</v>
          </cell>
          <cell r="G420">
            <v>10657</v>
          </cell>
          <cell r="H420">
            <v>1288</v>
          </cell>
          <cell r="I420">
            <v>3430</v>
          </cell>
          <cell r="J420">
            <v>1441</v>
          </cell>
          <cell r="K420">
            <v>4498</v>
          </cell>
          <cell r="L420">
            <v>165</v>
          </cell>
          <cell r="M420">
            <v>14</v>
          </cell>
          <cell r="N420">
            <v>0</v>
          </cell>
          <cell r="O420">
            <v>151</v>
          </cell>
          <cell r="P420">
            <v>1324</v>
          </cell>
          <cell r="Q420">
            <v>560</v>
          </cell>
          <cell r="R420">
            <v>764</v>
          </cell>
          <cell r="S420">
            <v>23450</v>
          </cell>
          <cell r="T420">
            <v>1489</v>
          </cell>
        </row>
        <row r="421">
          <cell r="C421" t="str">
            <v>Brady CDP, Washington</v>
          </cell>
          <cell r="D421">
            <v>807</v>
          </cell>
          <cell r="E421">
            <v>807</v>
          </cell>
          <cell r="F421">
            <v>441</v>
          </cell>
          <cell r="G421">
            <v>344</v>
          </cell>
          <cell r="H421">
            <v>29</v>
          </cell>
          <cell r="I421">
            <v>99</v>
          </cell>
          <cell r="J421">
            <v>47</v>
          </cell>
          <cell r="K421">
            <v>169</v>
          </cell>
          <cell r="L421">
            <v>22</v>
          </cell>
          <cell r="M421">
            <v>0</v>
          </cell>
          <cell r="N421">
            <v>0</v>
          </cell>
          <cell r="O421">
            <v>22</v>
          </cell>
          <cell r="P421">
            <v>0</v>
          </cell>
          <cell r="Q421">
            <v>0</v>
          </cell>
          <cell r="R421">
            <v>0</v>
          </cell>
          <cell r="S421">
            <v>785</v>
          </cell>
          <cell r="T421">
            <v>22</v>
          </cell>
        </row>
        <row r="422">
          <cell r="C422" t="str">
            <v>Bremerton city, Washington</v>
          </cell>
          <cell r="D422">
            <v>26517</v>
          </cell>
          <cell r="E422">
            <v>25956</v>
          </cell>
          <cell r="F422">
            <v>10903</v>
          </cell>
          <cell r="G422">
            <v>14711</v>
          </cell>
          <cell r="H422">
            <v>1742</v>
          </cell>
          <cell r="I422">
            <v>4139</v>
          </cell>
          <cell r="J422">
            <v>2342</v>
          </cell>
          <cell r="K422">
            <v>6488</v>
          </cell>
          <cell r="L422">
            <v>342</v>
          </cell>
          <cell r="M422">
            <v>5</v>
          </cell>
          <cell r="N422">
            <v>25</v>
          </cell>
          <cell r="O422">
            <v>312</v>
          </cell>
          <cell r="P422">
            <v>561</v>
          </cell>
          <cell r="Q422">
            <v>300</v>
          </cell>
          <cell r="R422">
            <v>261</v>
          </cell>
          <cell r="S422">
            <v>25614</v>
          </cell>
          <cell r="T422">
            <v>903</v>
          </cell>
        </row>
        <row r="423">
          <cell r="C423" t="str">
            <v>Brewster city, Washington</v>
          </cell>
          <cell r="D423">
            <v>811</v>
          </cell>
          <cell r="E423">
            <v>792</v>
          </cell>
          <cell r="F423">
            <v>467</v>
          </cell>
          <cell r="G423">
            <v>320</v>
          </cell>
          <cell r="H423">
            <v>3</v>
          </cell>
          <cell r="I423">
            <v>140</v>
          </cell>
          <cell r="J423">
            <v>51</v>
          </cell>
          <cell r="K423">
            <v>126</v>
          </cell>
          <cell r="L423">
            <v>5</v>
          </cell>
          <cell r="M423">
            <v>0</v>
          </cell>
          <cell r="N423">
            <v>0</v>
          </cell>
          <cell r="O423">
            <v>5</v>
          </cell>
          <cell r="P423">
            <v>19</v>
          </cell>
          <cell r="Q423">
            <v>13</v>
          </cell>
          <cell r="R423">
            <v>6</v>
          </cell>
          <cell r="S423">
            <v>787</v>
          </cell>
          <cell r="T423">
            <v>24</v>
          </cell>
        </row>
        <row r="424">
          <cell r="C424" t="str">
            <v>Bridgeport city, Washington</v>
          </cell>
          <cell r="D424">
            <v>677</v>
          </cell>
          <cell r="E424">
            <v>666</v>
          </cell>
          <cell r="F424">
            <v>360</v>
          </cell>
          <cell r="G424">
            <v>298</v>
          </cell>
          <cell r="H424">
            <v>8</v>
          </cell>
          <cell r="I424">
            <v>97</v>
          </cell>
          <cell r="J424">
            <v>53</v>
          </cell>
          <cell r="K424">
            <v>140</v>
          </cell>
          <cell r="L424">
            <v>8</v>
          </cell>
          <cell r="M424">
            <v>0</v>
          </cell>
          <cell r="N424">
            <v>0</v>
          </cell>
          <cell r="O424">
            <v>8</v>
          </cell>
          <cell r="P424">
            <v>11</v>
          </cell>
          <cell r="Q424">
            <v>9</v>
          </cell>
          <cell r="R424">
            <v>2</v>
          </cell>
          <cell r="S424">
            <v>658</v>
          </cell>
          <cell r="T424">
            <v>19</v>
          </cell>
        </row>
        <row r="425">
          <cell r="C425" t="str">
            <v>Brier city, Washington</v>
          </cell>
          <cell r="D425">
            <v>5529</v>
          </cell>
          <cell r="E425">
            <v>5293</v>
          </cell>
          <cell r="F425">
            <v>3293</v>
          </cell>
          <cell r="G425">
            <v>1970</v>
          </cell>
          <cell r="H425">
            <v>244</v>
          </cell>
          <cell r="I425">
            <v>564</v>
          </cell>
          <cell r="J425">
            <v>241</v>
          </cell>
          <cell r="K425">
            <v>921</v>
          </cell>
          <cell r="L425">
            <v>30</v>
          </cell>
          <cell r="M425">
            <v>0</v>
          </cell>
          <cell r="N425">
            <v>0</v>
          </cell>
          <cell r="O425">
            <v>30</v>
          </cell>
          <cell r="P425">
            <v>236</v>
          </cell>
          <cell r="Q425">
            <v>120</v>
          </cell>
          <cell r="R425">
            <v>116</v>
          </cell>
          <cell r="S425">
            <v>5263</v>
          </cell>
          <cell r="T425">
            <v>266</v>
          </cell>
        </row>
        <row r="426">
          <cell r="C426" t="str">
            <v>Brinnon CDP, Washington</v>
          </cell>
          <cell r="D426">
            <v>764</v>
          </cell>
          <cell r="E426">
            <v>736</v>
          </cell>
          <cell r="F426">
            <v>383</v>
          </cell>
          <cell r="G426">
            <v>348</v>
          </cell>
          <cell r="H426">
            <v>30</v>
          </cell>
          <cell r="I426">
            <v>148</v>
          </cell>
          <cell r="J426">
            <v>34</v>
          </cell>
          <cell r="K426">
            <v>136</v>
          </cell>
          <cell r="L426">
            <v>5</v>
          </cell>
          <cell r="M426">
            <v>0</v>
          </cell>
          <cell r="N426">
            <v>0</v>
          </cell>
          <cell r="O426">
            <v>5</v>
          </cell>
          <cell r="P426">
            <v>28</v>
          </cell>
          <cell r="Q426">
            <v>24</v>
          </cell>
          <cell r="R426">
            <v>4</v>
          </cell>
          <cell r="S426">
            <v>731</v>
          </cell>
          <cell r="T426">
            <v>33</v>
          </cell>
        </row>
        <row r="427">
          <cell r="C427" t="str">
            <v>Brush Prairie CDP, Washington</v>
          </cell>
          <cell r="D427">
            <v>2292</v>
          </cell>
          <cell r="E427">
            <v>2207</v>
          </cell>
          <cell r="F427">
            <v>797</v>
          </cell>
          <cell r="G427">
            <v>1383</v>
          </cell>
          <cell r="H427">
            <v>114</v>
          </cell>
          <cell r="I427">
            <v>276</v>
          </cell>
          <cell r="J427">
            <v>130</v>
          </cell>
          <cell r="K427">
            <v>863</v>
          </cell>
          <cell r="L427">
            <v>27</v>
          </cell>
          <cell r="M427">
            <v>0</v>
          </cell>
          <cell r="N427">
            <v>0</v>
          </cell>
          <cell r="O427">
            <v>27</v>
          </cell>
          <cell r="P427">
            <v>85</v>
          </cell>
          <cell r="Q427">
            <v>51</v>
          </cell>
          <cell r="R427">
            <v>34</v>
          </cell>
          <cell r="S427">
            <v>2180</v>
          </cell>
          <cell r="T427">
            <v>112</v>
          </cell>
        </row>
        <row r="428">
          <cell r="C428" t="str">
            <v>Bryn Mawr-Skyway CDP, Washington</v>
          </cell>
          <cell r="D428">
            <v>5980</v>
          </cell>
          <cell r="E428">
            <v>5761</v>
          </cell>
          <cell r="F428">
            <v>3306</v>
          </cell>
          <cell r="G428">
            <v>2348</v>
          </cell>
          <cell r="H428">
            <v>214</v>
          </cell>
          <cell r="I428">
            <v>1074</v>
          </cell>
          <cell r="J428">
            <v>210</v>
          </cell>
          <cell r="K428">
            <v>850</v>
          </cell>
          <cell r="L428">
            <v>107</v>
          </cell>
          <cell r="M428">
            <v>0</v>
          </cell>
          <cell r="N428">
            <v>13</v>
          </cell>
          <cell r="O428">
            <v>94</v>
          </cell>
          <cell r="P428">
            <v>219</v>
          </cell>
          <cell r="Q428">
            <v>144</v>
          </cell>
          <cell r="R428">
            <v>75</v>
          </cell>
          <cell r="S428">
            <v>5654</v>
          </cell>
          <cell r="T428">
            <v>326</v>
          </cell>
        </row>
        <row r="429">
          <cell r="C429" t="str">
            <v>Buckley city, Washington</v>
          </cell>
          <cell r="D429">
            <v>3825</v>
          </cell>
          <cell r="E429">
            <v>3780</v>
          </cell>
          <cell r="F429">
            <v>2635</v>
          </cell>
          <cell r="G429">
            <v>1081</v>
          </cell>
          <cell r="H429">
            <v>78</v>
          </cell>
          <cell r="I429">
            <v>355</v>
          </cell>
          <cell r="J429">
            <v>59</v>
          </cell>
          <cell r="K429">
            <v>589</v>
          </cell>
          <cell r="L429">
            <v>64</v>
          </cell>
          <cell r="M429">
            <v>0</v>
          </cell>
          <cell r="N429">
            <v>10</v>
          </cell>
          <cell r="O429">
            <v>54</v>
          </cell>
          <cell r="P429">
            <v>45</v>
          </cell>
          <cell r="Q429">
            <v>45</v>
          </cell>
          <cell r="R429">
            <v>0</v>
          </cell>
          <cell r="S429">
            <v>3716</v>
          </cell>
          <cell r="T429">
            <v>109</v>
          </cell>
        </row>
        <row r="430">
          <cell r="C430" t="str">
            <v>Bucoda town, Washington</v>
          </cell>
          <cell r="D430">
            <v>586</v>
          </cell>
          <cell r="E430">
            <v>584</v>
          </cell>
          <cell r="F430">
            <v>393</v>
          </cell>
          <cell r="G430">
            <v>188</v>
          </cell>
          <cell r="H430">
            <v>31</v>
          </cell>
          <cell r="I430">
            <v>30</v>
          </cell>
          <cell r="J430">
            <v>29</v>
          </cell>
          <cell r="K430">
            <v>98</v>
          </cell>
          <cell r="L430">
            <v>3</v>
          </cell>
          <cell r="M430">
            <v>0</v>
          </cell>
          <cell r="N430">
            <v>0</v>
          </cell>
          <cell r="O430">
            <v>3</v>
          </cell>
          <cell r="P430">
            <v>2</v>
          </cell>
          <cell r="Q430">
            <v>2</v>
          </cell>
          <cell r="R430">
            <v>0</v>
          </cell>
          <cell r="S430">
            <v>581</v>
          </cell>
          <cell r="T430">
            <v>5</v>
          </cell>
        </row>
        <row r="431">
          <cell r="C431" t="str">
            <v>Burbank CDP, Washington</v>
          </cell>
          <cell r="D431">
            <v>2895</v>
          </cell>
          <cell r="E431">
            <v>2821</v>
          </cell>
          <cell r="F431">
            <v>1734</v>
          </cell>
          <cell r="G431">
            <v>1056</v>
          </cell>
          <cell r="H431">
            <v>64</v>
          </cell>
          <cell r="I431">
            <v>337</v>
          </cell>
          <cell r="J431">
            <v>109</v>
          </cell>
          <cell r="K431">
            <v>546</v>
          </cell>
          <cell r="L431">
            <v>31</v>
          </cell>
          <cell r="M431">
            <v>0</v>
          </cell>
          <cell r="N431">
            <v>0</v>
          </cell>
          <cell r="O431">
            <v>31</v>
          </cell>
          <cell r="P431">
            <v>74</v>
          </cell>
          <cell r="Q431">
            <v>38</v>
          </cell>
          <cell r="R431">
            <v>36</v>
          </cell>
          <cell r="S431">
            <v>2790</v>
          </cell>
          <cell r="T431">
            <v>105</v>
          </cell>
        </row>
        <row r="432">
          <cell r="C432" t="str">
            <v>Burien city, Washington</v>
          </cell>
          <cell r="D432">
            <v>22691</v>
          </cell>
          <cell r="E432">
            <v>21513</v>
          </cell>
          <cell r="F432">
            <v>12255</v>
          </cell>
          <cell r="G432">
            <v>9057</v>
          </cell>
          <cell r="H432">
            <v>780</v>
          </cell>
          <cell r="I432">
            <v>3736</v>
          </cell>
          <cell r="J432">
            <v>994</v>
          </cell>
          <cell r="K432">
            <v>3547</v>
          </cell>
          <cell r="L432">
            <v>201</v>
          </cell>
          <cell r="M432">
            <v>0</v>
          </cell>
          <cell r="N432">
            <v>0</v>
          </cell>
          <cell r="O432">
            <v>201</v>
          </cell>
          <cell r="P432">
            <v>1178</v>
          </cell>
          <cell r="Q432">
            <v>535</v>
          </cell>
          <cell r="R432">
            <v>643</v>
          </cell>
          <cell r="S432">
            <v>21312</v>
          </cell>
          <cell r="T432">
            <v>1379</v>
          </cell>
        </row>
        <row r="433">
          <cell r="C433" t="str">
            <v>Burlington city, Washington</v>
          </cell>
          <cell r="D433">
            <v>4489</v>
          </cell>
          <cell r="E433">
            <v>4433</v>
          </cell>
          <cell r="F433">
            <v>2820</v>
          </cell>
          <cell r="G433">
            <v>1576</v>
          </cell>
          <cell r="H433">
            <v>81</v>
          </cell>
          <cell r="I433">
            <v>534</v>
          </cell>
          <cell r="J433">
            <v>278</v>
          </cell>
          <cell r="K433">
            <v>683</v>
          </cell>
          <cell r="L433">
            <v>37</v>
          </cell>
          <cell r="M433">
            <v>0</v>
          </cell>
          <cell r="N433">
            <v>0</v>
          </cell>
          <cell r="O433">
            <v>37</v>
          </cell>
          <cell r="P433">
            <v>56</v>
          </cell>
          <cell r="Q433">
            <v>43</v>
          </cell>
          <cell r="R433">
            <v>13</v>
          </cell>
          <cell r="S433">
            <v>4396</v>
          </cell>
          <cell r="T433">
            <v>93</v>
          </cell>
        </row>
        <row r="434">
          <cell r="C434" t="str">
            <v>Camano CDP, Washington</v>
          </cell>
          <cell r="D434">
            <v>12741</v>
          </cell>
          <cell r="E434">
            <v>12298</v>
          </cell>
          <cell r="F434">
            <v>6700</v>
          </cell>
          <cell r="G434">
            <v>5474</v>
          </cell>
          <cell r="H434">
            <v>562</v>
          </cell>
          <cell r="I434">
            <v>1724</v>
          </cell>
          <cell r="J434">
            <v>673</v>
          </cell>
          <cell r="K434">
            <v>2515</v>
          </cell>
          <cell r="L434">
            <v>124</v>
          </cell>
          <cell r="M434">
            <v>0</v>
          </cell>
          <cell r="N434">
            <v>26</v>
          </cell>
          <cell r="O434">
            <v>98</v>
          </cell>
          <cell r="P434">
            <v>443</v>
          </cell>
          <cell r="Q434">
            <v>332</v>
          </cell>
          <cell r="R434">
            <v>111</v>
          </cell>
          <cell r="S434">
            <v>12174</v>
          </cell>
          <cell r="T434">
            <v>567</v>
          </cell>
        </row>
        <row r="435">
          <cell r="C435" t="str">
            <v>Camas city, Washington</v>
          </cell>
          <cell r="D435">
            <v>11429</v>
          </cell>
          <cell r="E435">
            <v>11255</v>
          </cell>
          <cell r="F435">
            <v>3677</v>
          </cell>
          <cell r="G435">
            <v>7393</v>
          </cell>
          <cell r="H435">
            <v>461</v>
          </cell>
          <cell r="I435">
            <v>1260</v>
          </cell>
          <cell r="J435">
            <v>681</v>
          </cell>
          <cell r="K435">
            <v>4991</v>
          </cell>
          <cell r="L435">
            <v>185</v>
          </cell>
          <cell r="M435">
            <v>0</v>
          </cell>
          <cell r="N435">
            <v>0</v>
          </cell>
          <cell r="O435">
            <v>185</v>
          </cell>
          <cell r="P435">
            <v>174</v>
          </cell>
          <cell r="Q435">
            <v>116</v>
          </cell>
          <cell r="R435">
            <v>58</v>
          </cell>
          <cell r="S435">
            <v>11070</v>
          </cell>
          <cell r="T435">
            <v>359</v>
          </cell>
        </row>
        <row r="436">
          <cell r="C436" t="str">
            <v>Carbonado town, Washington</v>
          </cell>
          <cell r="D436">
            <v>755</v>
          </cell>
          <cell r="E436">
            <v>755</v>
          </cell>
          <cell r="F436">
            <v>572</v>
          </cell>
          <cell r="G436">
            <v>179</v>
          </cell>
          <cell r="H436">
            <v>19</v>
          </cell>
          <cell r="I436">
            <v>64</v>
          </cell>
          <cell r="J436">
            <v>16</v>
          </cell>
          <cell r="K436">
            <v>80</v>
          </cell>
          <cell r="L436">
            <v>4</v>
          </cell>
          <cell r="M436">
            <v>0</v>
          </cell>
          <cell r="N436">
            <v>0</v>
          </cell>
          <cell r="O436">
            <v>4</v>
          </cell>
          <cell r="P436">
            <v>0</v>
          </cell>
          <cell r="Q436">
            <v>0</v>
          </cell>
          <cell r="R436">
            <v>0</v>
          </cell>
          <cell r="S436">
            <v>751</v>
          </cell>
          <cell r="T436">
            <v>4</v>
          </cell>
        </row>
        <row r="437">
          <cell r="C437" t="str">
            <v>Carlsborg CDP, Washington</v>
          </cell>
          <cell r="D437">
            <v>730</v>
          </cell>
          <cell r="E437">
            <v>695</v>
          </cell>
          <cell r="F437">
            <v>283</v>
          </cell>
          <cell r="G437">
            <v>386</v>
          </cell>
          <cell r="H437">
            <v>51</v>
          </cell>
          <cell r="I437">
            <v>109</v>
          </cell>
          <cell r="J437">
            <v>84</v>
          </cell>
          <cell r="K437">
            <v>142</v>
          </cell>
          <cell r="L437">
            <v>26</v>
          </cell>
          <cell r="M437">
            <v>0</v>
          </cell>
          <cell r="N437">
            <v>0</v>
          </cell>
          <cell r="O437">
            <v>26</v>
          </cell>
          <cell r="P437">
            <v>35</v>
          </cell>
          <cell r="Q437">
            <v>15</v>
          </cell>
          <cell r="R437">
            <v>20</v>
          </cell>
          <cell r="S437">
            <v>669</v>
          </cell>
          <cell r="T437">
            <v>61</v>
          </cell>
        </row>
        <row r="438">
          <cell r="C438" t="str">
            <v>Carnation city, Washington</v>
          </cell>
          <cell r="D438">
            <v>1721</v>
          </cell>
          <cell r="E438">
            <v>1677</v>
          </cell>
          <cell r="F438">
            <v>1052</v>
          </cell>
          <cell r="G438">
            <v>621</v>
          </cell>
          <cell r="H438">
            <v>73</v>
          </cell>
          <cell r="I438">
            <v>112</v>
          </cell>
          <cell r="J438">
            <v>92</v>
          </cell>
          <cell r="K438">
            <v>344</v>
          </cell>
          <cell r="L438">
            <v>4</v>
          </cell>
          <cell r="M438">
            <v>0</v>
          </cell>
          <cell r="N438">
            <v>0</v>
          </cell>
          <cell r="O438">
            <v>4</v>
          </cell>
          <cell r="P438">
            <v>44</v>
          </cell>
          <cell r="Q438">
            <v>23</v>
          </cell>
          <cell r="R438">
            <v>21</v>
          </cell>
          <cell r="S438">
            <v>1673</v>
          </cell>
          <cell r="T438">
            <v>48</v>
          </cell>
        </row>
        <row r="439">
          <cell r="C439" t="str">
            <v>Carson River Valley CDP, Washington</v>
          </cell>
          <cell r="D439">
            <v>1812</v>
          </cell>
          <cell r="E439">
            <v>1754</v>
          </cell>
          <cell r="F439">
            <v>784</v>
          </cell>
          <cell r="G439">
            <v>970</v>
          </cell>
          <cell r="H439">
            <v>29</v>
          </cell>
          <cell r="I439">
            <v>176</v>
          </cell>
          <cell r="J439">
            <v>66</v>
          </cell>
          <cell r="K439">
            <v>699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58</v>
          </cell>
          <cell r="Q439">
            <v>51</v>
          </cell>
          <cell r="R439">
            <v>7</v>
          </cell>
          <cell r="S439">
            <v>1754</v>
          </cell>
          <cell r="T439">
            <v>58</v>
          </cell>
        </row>
        <row r="440">
          <cell r="C440" t="str">
            <v>Cascade-Fairwood CDP, Washington</v>
          </cell>
          <cell r="D440">
            <v>24490</v>
          </cell>
          <cell r="E440">
            <v>23340</v>
          </cell>
          <cell r="F440">
            <v>12850</v>
          </cell>
          <cell r="G440">
            <v>10178</v>
          </cell>
          <cell r="H440">
            <v>887</v>
          </cell>
          <cell r="I440">
            <v>3287</v>
          </cell>
          <cell r="J440">
            <v>1360</v>
          </cell>
          <cell r="K440">
            <v>4644</v>
          </cell>
          <cell r="L440">
            <v>312</v>
          </cell>
          <cell r="M440">
            <v>0</v>
          </cell>
          <cell r="N440">
            <v>0</v>
          </cell>
          <cell r="O440">
            <v>312</v>
          </cell>
          <cell r="P440">
            <v>1150</v>
          </cell>
          <cell r="Q440">
            <v>441</v>
          </cell>
          <cell r="R440">
            <v>709</v>
          </cell>
          <cell r="S440">
            <v>23028</v>
          </cell>
          <cell r="T440">
            <v>1462</v>
          </cell>
        </row>
        <row r="441">
          <cell r="C441" t="str">
            <v>Cascade Valley CDP, Washington</v>
          </cell>
          <cell r="D441">
            <v>1264</v>
          </cell>
          <cell r="E441">
            <v>1264</v>
          </cell>
          <cell r="F441">
            <v>737</v>
          </cell>
          <cell r="G441">
            <v>527</v>
          </cell>
          <cell r="H441">
            <v>39</v>
          </cell>
          <cell r="I441">
            <v>150</v>
          </cell>
          <cell r="J441">
            <v>69</v>
          </cell>
          <cell r="K441">
            <v>269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1264</v>
          </cell>
          <cell r="T441">
            <v>0</v>
          </cell>
        </row>
        <row r="442">
          <cell r="C442" t="str">
            <v>Cashmere city, Washington</v>
          </cell>
          <cell r="D442">
            <v>2409</v>
          </cell>
          <cell r="E442">
            <v>2381</v>
          </cell>
          <cell r="F442">
            <v>1418</v>
          </cell>
          <cell r="G442">
            <v>953</v>
          </cell>
          <cell r="H442">
            <v>87</v>
          </cell>
          <cell r="I442">
            <v>247</v>
          </cell>
          <cell r="J442">
            <v>146</v>
          </cell>
          <cell r="K442">
            <v>473</v>
          </cell>
          <cell r="L442">
            <v>10</v>
          </cell>
          <cell r="M442">
            <v>0</v>
          </cell>
          <cell r="N442">
            <v>0</v>
          </cell>
          <cell r="O442">
            <v>10</v>
          </cell>
          <cell r="P442">
            <v>28</v>
          </cell>
          <cell r="Q442">
            <v>19</v>
          </cell>
          <cell r="R442">
            <v>9</v>
          </cell>
          <cell r="S442">
            <v>2371</v>
          </cell>
          <cell r="T442">
            <v>38</v>
          </cell>
        </row>
        <row r="443">
          <cell r="C443" t="str">
            <v>Castle Rock city, Washington</v>
          </cell>
          <cell r="D443">
            <v>1931</v>
          </cell>
          <cell r="E443">
            <v>1913</v>
          </cell>
          <cell r="F443">
            <v>1233</v>
          </cell>
          <cell r="G443">
            <v>680</v>
          </cell>
          <cell r="H443">
            <v>12</v>
          </cell>
          <cell r="I443">
            <v>176</v>
          </cell>
          <cell r="J443">
            <v>74</v>
          </cell>
          <cell r="K443">
            <v>418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18</v>
          </cell>
          <cell r="Q443">
            <v>18</v>
          </cell>
          <cell r="R443">
            <v>0</v>
          </cell>
          <cell r="S443">
            <v>1913</v>
          </cell>
          <cell r="T443">
            <v>18</v>
          </cell>
        </row>
        <row r="444">
          <cell r="C444" t="str">
            <v>Cathan CDP, Washington</v>
          </cell>
          <cell r="D444">
            <v>445</v>
          </cell>
          <cell r="E444">
            <v>439</v>
          </cell>
          <cell r="F444">
            <v>281</v>
          </cell>
          <cell r="G444">
            <v>157</v>
          </cell>
          <cell r="H444">
            <v>5</v>
          </cell>
          <cell r="I444">
            <v>44</v>
          </cell>
          <cell r="J444">
            <v>25</v>
          </cell>
          <cell r="K444">
            <v>83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6</v>
          </cell>
          <cell r="Q444">
            <v>3</v>
          </cell>
          <cell r="R444">
            <v>3</v>
          </cell>
          <cell r="S444">
            <v>438</v>
          </cell>
          <cell r="T444">
            <v>7</v>
          </cell>
        </row>
        <row r="445">
          <cell r="C445" t="str">
            <v>Cathcart CDP, Washington</v>
          </cell>
          <cell r="D445">
            <v>2599</v>
          </cell>
          <cell r="E445">
            <v>2523</v>
          </cell>
          <cell r="F445">
            <v>1638</v>
          </cell>
          <cell r="G445">
            <v>876</v>
          </cell>
          <cell r="H445">
            <v>138</v>
          </cell>
          <cell r="I445">
            <v>238</v>
          </cell>
          <cell r="J445">
            <v>115</v>
          </cell>
          <cell r="K445">
            <v>385</v>
          </cell>
          <cell r="L445">
            <v>9</v>
          </cell>
          <cell r="M445">
            <v>0</v>
          </cell>
          <cell r="N445">
            <v>0</v>
          </cell>
          <cell r="O445">
            <v>9</v>
          </cell>
          <cell r="P445">
            <v>76</v>
          </cell>
          <cell r="Q445">
            <v>59</v>
          </cell>
          <cell r="R445">
            <v>17</v>
          </cell>
          <cell r="S445">
            <v>2514</v>
          </cell>
          <cell r="T445">
            <v>85</v>
          </cell>
        </row>
        <row r="446">
          <cell r="C446" t="str">
            <v>Cathlamet town, Washington</v>
          </cell>
          <cell r="D446">
            <v>515</v>
          </cell>
          <cell r="E446">
            <v>504</v>
          </cell>
          <cell r="F446">
            <v>211</v>
          </cell>
          <cell r="G446">
            <v>287</v>
          </cell>
          <cell r="H446">
            <v>8</v>
          </cell>
          <cell r="I446">
            <v>77</v>
          </cell>
          <cell r="J446">
            <v>14</v>
          </cell>
          <cell r="K446">
            <v>188</v>
          </cell>
          <cell r="L446">
            <v>6</v>
          </cell>
          <cell r="M446">
            <v>0</v>
          </cell>
          <cell r="N446">
            <v>0</v>
          </cell>
          <cell r="O446">
            <v>6</v>
          </cell>
          <cell r="P446">
            <v>11</v>
          </cell>
          <cell r="Q446">
            <v>9</v>
          </cell>
          <cell r="R446">
            <v>2</v>
          </cell>
          <cell r="S446">
            <v>498</v>
          </cell>
          <cell r="T446">
            <v>17</v>
          </cell>
        </row>
        <row r="447">
          <cell r="C447" t="str">
            <v>Centerville CDP, Washington</v>
          </cell>
          <cell r="D447">
            <v>99</v>
          </cell>
          <cell r="E447">
            <v>99</v>
          </cell>
          <cell r="F447">
            <v>49</v>
          </cell>
          <cell r="G447">
            <v>48</v>
          </cell>
          <cell r="H447">
            <v>4</v>
          </cell>
          <cell r="I447">
            <v>12</v>
          </cell>
          <cell r="J447">
            <v>0</v>
          </cell>
          <cell r="K447">
            <v>32</v>
          </cell>
          <cell r="L447">
            <v>2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0</v>
          </cell>
          <cell r="R447">
            <v>0</v>
          </cell>
          <cell r="S447">
            <v>97</v>
          </cell>
          <cell r="T447">
            <v>2</v>
          </cell>
        </row>
        <row r="448">
          <cell r="C448" t="str">
            <v>Centralia city, Washington</v>
          </cell>
          <cell r="D448">
            <v>12441</v>
          </cell>
          <cell r="E448">
            <v>12320</v>
          </cell>
          <cell r="F448">
            <v>7365</v>
          </cell>
          <cell r="G448">
            <v>4874</v>
          </cell>
          <cell r="H448">
            <v>292</v>
          </cell>
          <cell r="I448">
            <v>1384</v>
          </cell>
          <cell r="J448">
            <v>680</v>
          </cell>
          <cell r="K448">
            <v>2518</v>
          </cell>
          <cell r="L448">
            <v>81</v>
          </cell>
          <cell r="M448">
            <v>0</v>
          </cell>
          <cell r="N448">
            <v>0</v>
          </cell>
          <cell r="O448">
            <v>81</v>
          </cell>
          <cell r="P448">
            <v>121</v>
          </cell>
          <cell r="Q448">
            <v>69</v>
          </cell>
          <cell r="R448">
            <v>52</v>
          </cell>
          <cell r="S448">
            <v>12239</v>
          </cell>
          <cell r="T448">
            <v>202</v>
          </cell>
        </row>
        <row r="449">
          <cell r="C449" t="str">
            <v>Central Park CDP, Washington</v>
          </cell>
          <cell r="D449">
            <v>2339</v>
          </cell>
          <cell r="E449">
            <v>2304</v>
          </cell>
          <cell r="F449">
            <v>1596</v>
          </cell>
          <cell r="G449">
            <v>696</v>
          </cell>
          <cell r="H449">
            <v>44</v>
          </cell>
          <cell r="I449">
            <v>179</v>
          </cell>
          <cell r="J449">
            <v>95</v>
          </cell>
          <cell r="K449">
            <v>378</v>
          </cell>
          <cell r="L449">
            <v>12</v>
          </cell>
          <cell r="M449">
            <v>0</v>
          </cell>
          <cell r="N449">
            <v>0</v>
          </cell>
          <cell r="O449">
            <v>12</v>
          </cell>
          <cell r="P449">
            <v>35</v>
          </cell>
          <cell r="Q449">
            <v>19</v>
          </cell>
          <cell r="R449">
            <v>16</v>
          </cell>
          <cell r="S449">
            <v>2292</v>
          </cell>
          <cell r="T449">
            <v>47</v>
          </cell>
        </row>
        <row r="450">
          <cell r="C450" t="str">
            <v>Chehalis city, Washington</v>
          </cell>
          <cell r="D450">
            <v>6027</v>
          </cell>
          <cell r="E450">
            <v>5927</v>
          </cell>
          <cell r="F450">
            <v>3491</v>
          </cell>
          <cell r="G450">
            <v>2366</v>
          </cell>
          <cell r="H450">
            <v>178</v>
          </cell>
          <cell r="I450">
            <v>663</v>
          </cell>
          <cell r="J450">
            <v>260</v>
          </cell>
          <cell r="K450">
            <v>1265</v>
          </cell>
          <cell r="L450">
            <v>70</v>
          </cell>
          <cell r="M450">
            <v>0</v>
          </cell>
          <cell r="N450">
            <v>0</v>
          </cell>
          <cell r="O450">
            <v>70</v>
          </cell>
          <cell r="P450">
            <v>100</v>
          </cell>
          <cell r="Q450">
            <v>51</v>
          </cell>
          <cell r="R450">
            <v>49</v>
          </cell>
          <cell r="S450">
            <v>5857</v>
          </cell>
          <cell r="T450">
            <v>170</v>
          </cell>
        </row>
        <row r="451">
          <cell r="C451" t="str">
            <v>Chehalis Village CDP, Washington</v>
          </cell>
          <cell r="D451">
            <v>27</v>
          </cell>
          <cell r="E451">
            <v>27</v>
          </cell>
          <cell r="F451">
            <v>16</v>
          </cell>
          <cell r="G451">
            <v>11</v>
          </cell>
          <cell r="H451">
            <v>0</v>
          </cell>
          <cell r="I451">
            <v>2</v>
          </cell>
          <cell r="J451">
            <v>2</v>
          </cell>
          <cell r="K451">
            <v>7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27</v>
          </cell>
          <cell r="T451">
            <v>0</v>
          </cell>
        </row>
        <row r="452">
          <cell r="C452" t="str">
            <v>Chelan city, Washington</v>
          </cell>
          <cell r="D452">
            <v>2842</v>
          </cell>
          <cell r="E452">
            <v>2761</v>
          </cell>
          <cell r="F452">
            <v>1593</v>
          </cell>
          <cell r="G452">
            <v>1148</v>
          </cell>
          <cell r="H452">
            <v>71</v>
          </cell>
          <cell r="I452">
            <v>412</v>
          </cell>
          <cell r="J452">
            <v>192</v>
          </cell>
          <cell r="K452">
            <v>473</v>
          </cell>
          <cell r="L452">
            <v>20</v>
          </cell>
          <cell r="M452">
            <v>0</v>
          </cell>
          <cell r="N452">
            <v>0</v>
          </cell>
          <cell r="O452">
            <v>20</v>
          </cell>
          <cell r="P452">
            <v>81</v>
          </cell>
          <cell r="Q452">
            <v>38</v>
          </cell>
          <cell r="R452">
            <v>43</v>
          </cell>
          <cell r="S452">
            <v>2741</v>
          </cell>
          <cell r="T452">
            <v>101</v>
          </cell>
        </row>
        <row r="453">
          <cell r="C453" t="str">
            <v>Cheney city, Washington</v>
          </cell>
          <cell r="D453">
            <v>7468</v>
          </cell>
          <cell r="E453">
            <v>7338</v>
          </cell>
          <cell r="F453">
            <v>3759</v>
          </cell>
          <cell r="G453">
            <v>3369</v>
          </cell>
          <cell r="H453">
            <v>244</v>
          </cell>
          <cell r="I453">
            <v>617</v>
          </cell>
          <cell r="J453">
            <v>326</v>
          </cell>
          <cell r="K453">
            <v>2182</v>
          </cell>
          <cell r="L453">
            <v>210</v>
          </cell>
          <cell r="M453">
            <v>0</v>
          </cell>
          <cell r="N453">
            <v>0</v>
          </cell>
          <cell r="O453">
            <v>210</v>
          </cell>
          <cell r="P453">
            <v>130</v>
          </cell>
          <cell r="Q453">
            <v>33</v>
          </cell>
          <cell r="R453">
            <v>97</v>
          </cell>
          <cell r="S453">
            <v>7128</v>
          </cell>
          <cell r="T453">
            <v>340</v>
          </cell>
        </row>
        <row r="454">
          <cell r="C454" t="str">
            <v>Cherry Grove CDP, Washington</v>
          </cell>
          <cell r="D454">
            <v>598</v>
          </cell>
          <cell r="E454">
            <v>598</v>
          </cell>
          <cell r="F454">
            <v>243</v>
          </cell>
          <cell r="G454">
            <v>355</v>
          </cell>
          <cell r="H454">
            <v>24</v>
          </cell>
          <cell r="I454">
            <v>79</v>
          </cell>
          <cell r="J454">
            <v>7</v>
          </cell>
          <cell r="K454">
            <v>245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598</v>
          </cell>
          <cell r="T454">
            <v>0</v>
          </cell>
        </row>
        <row r="455">
          <cell r="C455" t="str">
            <v>Chewelah city, Washington</v>
          </cell>
          <cell r="D455">
            <v>1990</v>
          </cell>
          <cell r="E455">
            <v>1941</v>
          </cell>
          <cell r="F455">
            <v>1145</v>
          </cell>
          <cell r="G455">
            <v>773</v>
          </cell>
          <cell r="H455">
            <v>42</v>
          </cell>
          <cell r="I455">
            <v>215</v>
          </cell>
          <cell r="J455">
            <v>75</v>
          </cell>
          <cell r="K455">
            <v>441</v>
          </cell>
          <cell r="L455">
            <v>23</v>
          </cell>
          <cell r="M455">
            <v>0</v>
          </cell>
          <cell r="N455">
            <v>2</v>
          </cell>
          <cell r="O455">
            <v>21</v>
          </cell>
          <cell r="P455">
            <v>49</v>
          </cell>
          <cell r="Q455">
            <v>25</v>
          </cell>
          <cell r="R455">
            <v>24</v>
          </cell>
          <cell r="S455">
            <v>1918</v>
          </cell>
          <cell r="T455">
            <v>72</v>
          </cell>
        </row>
        <row r="456">
          <cell r="C456" t="str">
            <v>Chinook CDP, Washington</v>
          </cell>
          <cell r="D456">
            <v>399</v>
          </cell>
          <cell r="E456">
            <v>377</v>
          </cell>
          <cell r="F456">
            <v>159</v>
          </cell>
          <cell r="G456">
            <v>218</v>
          </cell>
          <cell r="H456">
            <v>12</v>
          </cell>
          <cell r="I456">
            <v>6</v>
          </cell>
          <cell r="J456">
            <v>26</v>
          </cell>
          <cell r="K456">
            <v>174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22</v>
          </cell>
          <cell r="Q456">
            <v>17</v>
          </cell>
          <cell r="R456">
            <v>5</v>
          </cell>
          <cell r="S456">
            <v>377</v>
          </cell>
          <cell r="T456">
            <v>22</v>
          </cell>
        </row>
        <row r="457">
          <cell r="C457" t="str">
            <v>Clarkston city, Washington</v>
          </cell>
          <cell r="D457">
            <v>6946</v>
          </cell>
          <cell r="E457">
            <v>6871</v>
          </cell>
          <cell r="F457">
            <v>1675</v>
          </cell>
          <cell r="G457">
            <v>5161</v>
          </cell>
          <cell r="H457">
            <v>176</v>
          </cell>
          <cell r="I457">
            <v>763</v>
          </cell>
          <cell r="J457">
            <v>377</v>
          </cell>
          <cell r="K457">
            <v>3845</v>
          </cell>
          <cell r="L457">
            <v>35</v>
          </cell>
          <cell r="M457">
            <v>0</v>
          </cell>
          <cell r="N457">
            <v>0</v>
          </cell>
          <cell r="O457">
            <v>35</v>
          </cell>
          <cell r="P457">
            <v>75</v>
          </cell>
          <cell r="Q457">
            <v>33</v>
          </cell>
          <cell r="R457">
            <v>42</v>
          </cell>
          <cell r="S457">
            <v>6836</v>
          </cell>
          <cell r="T457">
            <v>110</v>
          </cell>
        </row>
        <row r="458">
          <cell r="C458" t="str">
            <v>Clarkston Heights-Vineland CDP, Washington</v>
          </cell>
          <cell r="D458">
            <v>5877</v>
          </cell>
          <cell r="E458">
            <v>5787</v>
          </cell>
          <cell r="F458">
            <v>1528</v>
          </cell>
          <cell r="G458">
            <v>4241</v>
          </cell>
          <cell r="H458">
            <v>169</v>
          </cell>
          <cell r="I458">
            <v>563</v>
          </cell>
          <cell r="J458">
            <v>229</v>
          </cell>
          <cell r="K458">
            <v>3280</v>
          </cell>
          <cell r="L458">
            <v>18</v>
          </cell>
          <cell r="M458">
            <v>0</v>
          </cell>
          <cell r="N458">
            <v>0</v>
          </cell>
          <cell r="O458">
            <v>18</v>
          </cell>
          <cell r="P458">
            <v>90</v>
          </cell>
          <cell r="Q458">
            <v>62</v>
          </cell>
          <cell r="R458">
            <v>28</v>
          </cell>
          <cell r="S458">
            <v>5769</v>
          </cell>
          <cell r="T458">
            <v>108</v>
          </cell>
        </row>
        <row r="459">
          <cell r="C459" t="str">
            <v>Clear Lake CDP, Washington</v>
          </cell>
          <cell r="D459">
            <v>967</v>
          </cell>
          <cell r="E459">
            <v>953</v>
          </cell>
          <cell r="F459">
            <v>654</v>
          </cell>
          <cell r="G459">
            <v>285</v>
          </cell>
          <cell r="H459">
            <v>13</v>
          </cell>
          <cell r="I459">
            <v>67</v>
          </cell>
          <cell r="J459">
            <v>40</v>
          </cell>
          <cell r="K459">
            <v>165</v>
          </cell>
          <cell r="L459">
            <v>14</v>
          </cell>
          <cell r="M459">
            <v>0</v>
          </cell>
          <cell r="N459">
            <v>0</v>
          </cell>
          <cell r="O459">
            <v>14</v>
          </cell>
          <cell r="P459">
            <v>14</v>
          </cell>
          <cell r="Q459">
            <v>7</v>
          </cell>
          <cell r="R459">
            <v>7</v>
          </cell>
          <cell r="S459">
            <v>939</v>
          </cell>
          <cell r="T459">
            <v>28</v>
          </cell>
        </row>
        <row r="460">
          <cell r="C460" t="str">
            <v>Cle Elum city, Washington</v>
          </cell>
          <cell r="D460">
            <v>1659</v>
          </cell>
          <cell r="E460">
            <v>1636</v>
          </cell>
          <cell r="F460">
            <v>1063</v>
          </cell>
          <cell r="G460">
            <v>556</v>
          </cell>
          <cell r="H460">
            <v>73</v>
          </cell>
          <cell r="I460">
            <v>198</v>
          </cell>
          <cell r="J460">
            <v>62</v>
          </cell>
          <cell r="K460">
            <v>223</v>
          </cell>
          <cell r="L460">
            <v>17</v>
          </cell>
          <cell r="M460">
            <v>0</v>
          </cell>
          <cell r="N460">
            <v>0</v>
          </cell>
          <cell r="O460">
            <v>17</v>
          </cell>
          <cell r="P460">
            <v>23</v>
          </cell>
          <cell r="Q460">
            <v>19</v>
          </cell>
          <cell r="R460">
            <v>4</v>
          </cell>
          <cell r="S460">
            <v>1619</v>
          </cell>
          <cell r="T460">
            <v>40</v>
          </cell>
        </row>
        <row r="461">
          <cell r="C461" t="str">
            <v>Clinton CDP, Washington</v>
          </cell>
          <cell r="D461">
            <v>735</v>
          </cell>
          <cell r="E461">
            <v>726</v>
          </cell>
          <cell r="F461">
            <v>440</v>
          </cell>
          <cell r="G461">
            <v>286</v>
          </cell>
          <cell r="H461">
            <v>22</v>
          </cell>
          <cell r="I461">
            <v>67</v>
          </cell>
          <cell r="J461">
            <v>22</v>
          </cell>
          <cell r="K461">
            <v>175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9</v>
          </cell>
          <cell r="Q461">
            <v>0</v>
          </cell>
          <cell r="R461">
            <v>9</v>
          </cell>
          <cell r="S461">
            <v>726</v>
          </cell>
          <cell r="T461">
            <v>9</v>
          </cell>
        </row>
        <row r="462">
          <cell r="C462" t="str">
            <v>Clyde Hill city, Washington</v>
          </cell>
          <cell r="D462">
            <v>2596</v>
          </cell>
          <cell r="E462">
            <v>2399</v>
          </cell>
          <cell r="F462">
            <v>1227</v>
          </cell>
          <cell r="G462">
            <v>1148</v>
          </cell>
          <cell r="H462">
            <v>218</v>
          </cell>
          <cell r="I462">
            <v>310</v>
          </cell>
          <cell r="J462">
            <v>198</v>
          </cell>
          <cell r="K462">
            <v>422</v>
          </cell>
          <cell r="L462">
            <v>24</v>
          </cell>
          <cell r="M462">
            <v>0</v>
          </cell>
          <cell r="N462">
            <v>0</v>
          </cell>
          <cell r="O462">
            <v>24</v>
          </cell>
          <cell r="P462">
            <v>197</v>
          </cell>
          <cell r="Q462">
            <v>122</v>
          </cell>
          <cell r="R462">
            <v>75</v>
          </cell>
          <cell r="S462">
            <v>2375</v>
          </cell>
          <cell r="T462">
            <v>221</v>
          </cell>
        </row>
        <row r="463">
          <cell r="C463" t="str">
            <v>Cohassett Beach CDP, Washington</v>
          </cell>
          <cell r="D463">
            <v>593</v>
          </cell>
          <cell r="E463">
            <v>579</v>
          </cell>
          <cell r="F463">
            <v>397</v>
          </cell>
          <cell r="G463">
            <v>182</v>
          </cell>
          <cell r="H463">
            <v>5</v>
          </cell>
          <cell r="I463">
            <v>60</v>
          </cell>
          <cell r="J463">
            <v>29</v>
          </cell>
          <cell r="K463">
            <v>88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14</v>
          </cell>
          <cell r="Q463">
            <v>6</v>
          </cell>
          <cell r="R463">
            <v>8</v>
          </cell>
          <cell r="S463">
            <v>579</v>
          </cell>
          <cell r="T463">
            <v>14</v>
          </cell>
        </row>
        <row r="464">
          <cell r="C464" t="str">
            <v>Colfax city, Washington</v>
          </cell>
          <cell r="D464">
            <v>2615</v>
          </cell>
          <cell r="E464">
            <v>2583</v>
          </cell>
          <cell r="F464">
            <v>1558</v>
          </cell>
          <cell r="G464">
            <v>996</v>
          </cell>
          <cell r="H464">
            <v>51</v>
          </cell>
          <cell r="I464">
            <v>292</v>
          </cell>
          <cell r="J464">
            <v>70</v>
          </cell>
          <cell r="K464">
            <v>583</v>
          </cell>
          <cell r="L464">
            <v>29</v>
          </cell>
          <cell r="M464">
            <v>0</v>
          </cell>
          <cell r="N464">
            <v>0</v>
          </cell>
          <cell r="O464">
            <v>29</v>
          </cell>
          <cell r="P464">
            <v>32</v>
          </cell>
          <cell r="Q464">
            <v>17</v>
          </cell>
          <cell r="R464">
            <v>15</v>
          </cell>
          <cell r="S464">
            <v>2554</v>
          </cell>
          <cell r="T464">
            <v>61</v>
          </cell>
        </row>
        <row r="465">
          <cell r="C465" t="str">
            <v>College Place city, Washington</v>
          </cell>
          <cell r="D465">
            <v>6379</v>
          </cell>
          <cell r="E465">
            <v>6105</v>
          </cell>
          <cell r="F465">
            <v>2493</v>
          </cell>
          <cell r="G465">
            <v>3560</v>
          </cell>
          <cell r="H465">
            <v>164</v>
          </cell>
          <cell r="I465">
            <v>785</v>
          </cell>
          <cell r="J465">
            <v>430</v>
          </cell>
          <cell r="K465">
            <v>2181</v>
          </cell>
          <cell r="L465">
            <v>52</v>
          </cell>
          <cell r="M465">
            <v>9</v>
          </cell>
          <cell r="N465">
            <v>0</v>
          </cell>
          <cell r="O465">
            <v>43</v>
          </cell>
          <cell r="P465">
            <v>274</v>
          </cell>
          <cell r="Q465">
            <v>126</v>
          </cell>
          <cell r="R465">
            <v>148</v>
          </cell>
          <cell r="S465">
            <v>6053</v>
          </cell>
          <cell r="T465">
            <v>326</v>
          </cell>
        </row>
        <row r="466">
          <cell r="C466" t="str">
            <v>Colton town, Washington</v>
          </cell>
          <cell r="D466">
            <v>385</v>
          </cell>
          <cell r="E466">
            <v>385</v>
          </cell>
          <cell r="F466">
            <v>208</v>
          </cell>
          <cell r="G466">
            <v>177</v>
          </cell>
          <cell r="H466">
            <v>6</v>
          </cell>
          <cell r="I466">
            <v>30</v>
          </cell>
          <cell r="J466">
            <v>6</v>
          </cell>
          <cell r="K466">
            <v>135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385</v>
          </cell>
          <cell r="T466">
            <v>0</v>
          </cell>
        </row>
        <row r="467">
          <cell r="C467" t="str">
            <v>Colville city, Washington</v>
          </cell>
          <cell r="D467">
            <v>4609</v>
          </cell>
          <cell r="E467">
            <v>4509</v>
          </cell>
          <cell r="F467">
            <v>2646</v>
          </cell>
          <cell r="G467">
            <v>1841</v>
          </cell>
          <cell r="H467">
            <v>84</v>
          </cell>
          <cell r="I467">
            <v>473</v>
          </cell>
          <cell r="J467">
            <v>191</v>
          </cell>
          <cell r="K467">
            <v>1093</v>
          </cell>
          <cell r="L467">
            <v>22</v>
          </cell>
          <cell r="M467">
            <v>0</v>
          </cell>
          <cell r="N467">
            <v>9</v>
          </cell>
          <cell r="O467">
            <v>13</v>
          </cell>
          <cell r="P467">
            <v>100</v>
          </cell>
          <cell r="Q467">
            <v>63</v>
          </cell>
          <cell r="R467">
            <v>37</v>
          </cell>
          <cell r="S467">
            <v>4487</v>
          </cell>
          <cell r="T467">
            <v>122</v>
          </cell>
        </row>
        <row r="468">
          <cell r="C468" t="str">
            <v>Conconully town, Washington</v>
          </cell>
          <cell r="D468">
            <v>197</v>
          </cell>
          <cell r="E468">
            <v>193</v>
          </cell>
          <cell r="F468">
            <v>104</v>
          </cell>
          <cell r="G468">
            <v>89</v>
          </cell>
          <cell r="H468">
            <v>7</v>
          </cell>
          <cell r="I468">
            <v>41</v>
          </cell>
          <cell r="J468">
            <v>7</v>
          </cell>
          <cell r="K468">
            <v>34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4</v>
          </cell>
          <cell r="Q468">
            <v>4</v>
          </cell>
          <cell r="R468">
            <v>0</v>
          </cell>
          <cell r="S468">
            <v>193</v>
          </cell>
          <cell r="T468">
            <v>4</v>
          </cell>
        </row>
        <row r="469">
          <cell r="C469" t="str">
            <v>Concrete town, Washington</v>
          </cell>
          <cell r="D469">
            <v>782</v>
          </cell>
          <cell r="E469">
            <v>779</v>
          </cell>
          <cell r="F469">
            <v>466</v>
          </cell>
          <cell r="G469">
            <v>299</v>
          </cell>
          <cell r="H469">
            <v>14</v>
          </cell>
          <cell r="I469">
            <v>46</v>
          </cell>
          <cell r="J469">
            <v>52</v>
          </cell>
          <cell r="K469">
            <v>187</v>
          </cell>
          <cell r="L469">
            <v>14</v>
          </cell>
          <cell r="M469">
            <v>0</v>
          </cell>
          <cell r="N469">
            <v>0</v>
          </cell>
          <cell r="O469">
            <v>14</v>
          </cell>
          <cell r="P469">
            <v>3</v>
          </cell>
          <cell r="Q469">
            <v>2</v>
          </cell>
          <cell r="R469">
            <v>1</v>
          </cell>
          <cell r="S469">
            <v>765</v>
          </cell>
          <cell r="T469">
            <v>17</v>
          </cell>
        </row>
        <row r="470">
          <cell r="C470" t="str">
            <v>Connell city, Washington</v>
          </cell>
          <cell r="D470">
            <v>1415</v>
          </cell>
          <cell r="E470">
            <v>1406</v>
          </cell>
          <cell r="F470">
            <v>808</v>
          </cell>
          <cell r="G470">
            <v>576</v>
          </cell>
          <cell r="H470">
            <v>10</v>
          </cell>
          <cell r="I470">
            <v>151</v>
          </cell>
          <cell r="J470">
            <v>76</v>
          </cell>
          <cell r="K470">
            <v>339</v>
          </cell>
          <cell r="L470">
            <v>22</v>
          </cell>
          <cell r="M470">
            <v>9</v>
          </cell>
          <cell r="N470">
            <v>0</v>
          </cell>
          <cell r="O470">
            <v>13</v>
          </cell>
          <cell r="P470">
            <v>9</v>
          </cell>
          <cell r="Q470">
            <v>5</v>
          </cell>
          <cell r="R470">
            <v>4</v>
          </cell>
          <cell r="S470">
            <v>1384</v>
          </cell>
          <cell r="T470">
            <v>31</v>
          </cell>
        </row>
        <row r="471">
          <cell r="C471" t="str">
            <v>Conway CDP, Washington</v>
          </cell>
          <cell r="D471">
            <v>49</v>
          </cell>
          <cell r="E471">
            <v>49</v>
          </cell>
          <cell r="F471">
            <v>24</v>
          </cell>
          <cell r="G471">
            <v>25</v>
          </cell>
          <cell r="H471">
            <v>0</v>
          </cell>
          <cell r="I471">
            <v>9</v>
          </cell>
          <cell r="J471">
            <v>0</v>
          </cell>
          <cell r="K471">
            <v>16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49</v>
          </cell>
          <cell r="T471">
            <v>0</v>
          </cell>
        </row>
        <row r="472">
          <cell r="C472" t="str">
            <v>Copalis Beach CDP, Washington</v>
          </cell>
          <cell r="D472">
            <v>438</v>
          </cell>
          <cell r="E472">
            <v>432</v>
          </cell>
          <cell r="F472">
            <v>287</v>
          </cell>
          <cell r="G472">
            <v>138</v>
          </cell>
          <cell r="H472">
            <v>7</v>
          </cell>
          <cell r="I472">
            <v>27</v>
          </cell>
          <cell r="J472">
            <v>34</v>
          </cell>
          <cell r="K472">
            <v>70</v>
          </cell>
          <cell r="L472">
            <v>7</v>
          </cell>
          <cell r="M472">
            <v>0</v>
          </cell>
          <cell r="N472">
            <v>0</v>
          </cell>
          <cell r="O472">
            <v>7</v>
          </cell>
          <cell r="P472">
            <v>6</v>
          </cell>
          <cell r="Q472">
            <v>6</v>
          </cell>
          <cell r="R472">
            <v>0</v>
          </cell>
          <cell r="S472">
            <v>425</v>
          </cell>
          <cell r="T472">
            <v>13</v>
          </cell>
        </row>
        <row r="473">
          <cell r="C473" t="str">
            <v>Cosmopolis city, Washington</v>
          </cell>
          <cell r="D473">
            <v>1442</v>
          </cell>
          <cell r="E473">
            <v>1412</v>
          </cell>
          <cell r="F473">
            <v>1022</v>
          </cell>
          <cell r="G473">
            <v>376</v>
          </cell>
          <cell r="H473">
            <v>17</v>
          </cell>
          <cell r="I473">
            <v>65</v>
          </cell>
          <cell r="J473">
            <v>74</v>
          </cell>
          <cell r="K473">
            <v>220</v>
          </cell>
          <cell r="L473">
            <v>14</v>
          </cell>
          <cell r="M473">
            <v>0</v>
          </cell>
          <cell r="N473">
            <v>0</v>
          </cell>
          <cell r="O473">
            <v>14</v>
          </cell>
          <cell r="P473">
            <v>30</v>
          </cell>
          <cell r="Q473">
            <v>23</v>
          </cell>
          <cell r="R473">
            <v>7</v>
          </cell>
          <cell r="S473">
            <v>1398</v>
          </cell>
          <cell r="T473">
            <v>44</v>
          </cell>
        </row>
        <row r="474">
          <cell r="C474" t="str">
            <v>Cottage Lake CDP, Washington</v>
          </cell>
          <cell r="D474">
            <v>21748</v>
          </cell>
          <cell r="E474">
            <v>20814</v>
          </cell>
          <cell r="F474">
            <v>9573</v>
          </cell>
          <cell r="G474">
            <v>11017</v>
          </cell>
          <cell r="H474">
            <v>1749</v>
          </cell>
          <cell r="I474">
            <v>2942</v>
          </cell>
          <cell r="J474">
            <v>1449</v>
          </cell>
          <cell r="K474">
            <v>4877</v>
          </cell>
          <cell r="L474">
            <v>224</v>
          </cell>
          <cell r="M474">
            <v>25</v>
          </cell>
          <cell r="N474">
            <v>0</v>
          </cell>
          <cell r="O474">
            <v>199</v>
          </cell>
          <cell r="P474">
            <v>934</v>
          </cell>
          <cell r="Q474">
            <v>448</v>
          </cell>
          <cell r="R474">
            <v>486</v>
          </cell>
          <cell r="S474">
            <v>20590</v>
          </cell>
          <cell r="T474">
            <v>1158</v>
          </cell>
        </row>
        <row r="475">
          <cell r="C475" t="str">
            <v>Coulee City town, Washington</v>
          </cell>
          <cell r="D475">
            <v>582</v>
          </cell>
          <cell r="E475">
            <v>576</v>
          </cell>
          <cell r="F475">
            <v>363</v>
          </cell>
          <cell r="G475">
            <v>213</v>
          </cell>
          <cell r="H475">
            <v>15</v>
          </cell>
          <cell r="I475">
            <v>75</v>
          </cell>
          <cell r="J475">
            <v>27</v>
          </cell>
          <cell r="K475">
            <v>96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6</v>
          </cell>
          <cell r="Q475">
            <v>6</v>
          </cell>
          <cell r="R475">
            <v>0</v>
          </cell>
          <cell r="S475">
            <v>576</v>
          </cell>
          <cell r="T475">
            <v>6</v>
          </cell>
        </row>
        <row r="476">
          <cell r="C476" t="str">
            <v>Coulee Dam town, Washington</v>
          </cell>
          <cell r="D476">
            <v>670</v>
          </cell>
          <cell r="E476">
            <v>662</v>
          </cell>
          <cell r="F476">
            <v>308</v>
          </cell>
          <cell r="G476">
            <v>354</v>
          </cell>
          <cell r="H476">
            <v>31</v>
          </cell>
          <cell r="I476">
            <v>135</v>
          </cell>
          <cell r="J476">
            <v>27</v>
          </cell>
          <cell r="K476">
            <v>161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8</v>
          </cell>
          <cell r="Q476">
            <v>4</v>
          </cell>
          <cell r="R476">
            <v>4</v>
          </cell>
          <cell r="S476">
            <v>662</v>
          </cell>
          <cell r="T476">
            <v>8</v>
          </cell>
        </row>
        <row r="477">
          <cell r="C477" t="str">
            <v>Country Homes CDP, Washington</v>
          </cell>
          <cell r="D477">
            <v>4699</v>
          </cell>
          <cell r="E477">
            <v>4618</v>
          </cell>
          <cell r="F477">
            <v>2439</v>
          </cell>
          <cell r="G477">
            <v>2143</v>
          </cell>
          <cell r="H477">
            <v>112</v>
          </cell>
          <cell r="I477">
            <v>758</v>
          </cell>
          <cell r="J477">
            <v>202</v>
          </cell>
          <cell r="K477">
            <v>1071</v>
          </cell>
          <cell r="L477">
            <v>36</v>
          </cell>
          <cell r="M477">
            <v>0</v>
          </cell>
          <cell r="N477">
            <v>6</v>
          </cell>
          <cell r="O477">
            <v>30</v>
          </cell>
          <cell r="P477">
            <v>81</v>
          </cell>
          <cell r="Q477">
            <v>48</v>
          </cell>
          <cell r="R477">
            <v>33</v>
          </cell>
          <cell r="S477">
            <v>4582</v>
          </cell>
          <cell r="T477">
            <v>117</v>
          </cell>
        </row>
        <row r="478">
          <cell r="C478" t="str">
            <v>Coupeville town, Washington</v>
          </cell>
          <cell r="D478">
            <v>1520</v>
          </cell>
          <cell r="E478">
            <v>1476</v>
          </cell>
          <cell r="F478">
            <v>581</v>
          </cell>
          <cell r="G478">
            <v>863</v>
          </cell>
          <cell r="H478">
            <v>128</v>
          </cell>
          <cell r="I478">
            <v>258</v>
          </cell>
          <cell r="J478">
            <v>134</v>
          </cell>
          <cell r="K478">
            <v>343</v>
          </cell>
          <cell r="L478">
            <v>32</v>
          </cell>
          <cell r="M478">
            <v>0</v>
          </cell>
          <cell r="N478">
            <v>3</v>
          </cell>
          <cell r="O478">
            <v>29</v>
          </cell>
          <cell r="P478">
            <v>44</v>
          </cell>
          <cell r="Q478">
            <v>32</v>
          </cell>
          <cell r="R478">
            <v>12</v>
          </cell>
          <cell r="S478">
            <v>1444</v>
          </cell>
          <cell r="T478">
            <v>76</v>
          </cell>
        </row>
        <row r="479">
          <cell r="C479" t="str">
            <v>Covington city, Washington</v>
          </cell>
          <cell r="D479">
            <v>11887</v>
          </cell>
          <cell r="E479">
            <v>11470</v>
          </cell>
          <cell r="F479">
            <v>6314</v>
          </cell>
          <cell r="G479">
            <v>4972</v>
          </cell>
          <cell r="H479">
            <v>446</v>
          </cell>
          <cell r="I479">
            <v>1323</v>
          </cell>
          <cell r="J479">
            <v>863</v>
          </cell>
          <cell r="K479">
            <v>2340</v>
          </cell>
          <cell r="L479">
            <v>184</v>
          </cell>
          <cell r="M479">
            <v>0</v>
          </cell>
          <cell r="N479">
            <v>0</v>
          </cell>
          <cell r="O479">
            <v>184</v>
          </cell>
          <cell r="P479">
            <v>417</v>
          </cell>
          <cell r="Q479">
            <v>225</v>
          </cell>
          <cell r="R479">
            <v>192</v>
          </cell>
          <cell r="S479">
            <v>11286</v>
          </cell>
          <cell r="T479">
            <v>601</v>
          </cell>
        </row>
        <row r="480">
          <cell r="C480" t="str">
            <v>Creston town, Washington</v>
          </cell>
          <cell r="D480">
            <v>208</v>
          </cell>
          <cell r="E480">
            <v>208</v>
          </cell>
          <cell r="F480">
            <v>130</v>
          </cell>
          <cell r="G480">
            <v>78</v>
          </cell>
          <cell r="H480">
            <v>5</v>
          </cell>
          <cell r="I480">
            <v>17</v>
          </cell>
          <cell r="J480">
            <v>15</v>
          </cell>
          <cell r="K480">
            <v>41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208</v>
          </cell>
          <cell r="T480">
            <v>0</v>
          </cell>
        </row>
        <row r="481">
          <cell r="C481" t="str">
            <v>Cusick town, Washington</v>
          </cell>
          <cell r="D481">
            <v>195</v>
          </cell>
          <cell r="E481">
            <v>195</v>
          </cell>
          <cell r="F481">
            <v>114</v>
          </cell>
          <cell r="G481">
            <v>81</v>
          </cell>
          <cell r="H481">
            <v>2</v>
          </cell>
          <cell r="I481">
            <v>15</v>
          </cell>
          <cell r="J481">
            <v>17</v>
          </cell>
          <cell r="K481">
            <v>47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195</v>
          </cell>
          <cell r="T481">
            <v>0</v>
          </cell>
        </row>
        <row r="482">
          <cell r="C482" t="str">
            <v>Custer CDP, Washington</v>
          </cell>
          <cell r="D482">
            <v>168</v>
          </cell>
          <cell r="E482">
            <v>162</v>
          </cell>
          <cell r="F482">
            <v>61</v>
          </cell>
          <cell r="G482">
            <v>101</v>
          </cell>
          <cell r="H482">
            <v>17</v>
          </cell>
          <cell r="I482">
            <v>10</v>
          </cell>
          <cell r="J482">
            <v>33</v>
          </cell>
          <cell r="K482">
            <v>41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6</v>
          </cell>
          <cell r="Q482">
            <v>6</v>
          </cell>
          <cell r="R482">
            <v>0</v>
          </cell>
          <cell r="S482">
            <v>162</v>
          </cell>
          <cell r="T482">
            <v>6</v>
          </cell>
        </row>
        <row r="483">
          <cell r="C483" t="str">
            <v>Dallesport CDP, Washington</v>
          </cell>
          <cell r="D483">
            <v>1089</v>
          </cell>
          <cell r="E483">
            <v>1069</v>
          </cell>
          <cell r="F483">
            <v>262</v>
          </cell>
          <cell r="G483">
            <v>795</v>
          </cell>
          <cell r="H483">
            <v>3</v>
          </cell>
          <cell r="I483">
            <v>165</v>
          </cell>
          <cell r="J483">
            <v>60</v>
          </cell>
          <cell r="K483">
            <v>567</v>
          </cell>
          <cell r="L483">
            <v>12</v>
          </cell>
          <cell r="M483">
            <v>0</v>
          </cell>
          <cell r="N483">
            <v>4</v>
          </cell>
          <cell r="O483">
            <v>8</v>
          </cell>
          <cell r="P483">
            <v>20</v>
          </cell>
          <cell r="Q483">
            <v>10</v>
          </cell>
          <cell r="R483">
            <v>10</v>
          </cell>
          <cell r="S483">
            <v>1057</v>
          </cell>
          <cell r="T483">
            <v>32</v>
          </cell>
        </row>
        <row r="484">
          <cell r="C484" t="str">
            <v>Darrington town, Washington</v>
          </cell>
          <cell r="D484">
            <v>1110</v>
          </cell>
          <cell r="E484">
            <v>1083</v>
          </cell>
          <cell r="F484">
            <v>646</v>
          </cell>
          <cell r="G484">
            <v>437</v>
          </cell>
          <cell r="H484">
            <v>20</v>
          </cell>
          <cell r="I484">
            <v>98</v>
          </cell>
          <cell r="J484">
            <v>114</v>
          </cell>
          <cell r="K484">
            <v>205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27</v>
          </cell>
          <cell r="Q484">
            <v>12</v>
          </cell>
          <cell r="R484">
            <v>15</v>
          </cell>
          <cell r="S484">
            <v>1083</v>
          </cell>
          <cell r="T484">
            <v>27</v>
          </cell>
        </row>
        <row r="485">
          <cell r="C485" t="str">
            <v>Davenport city, Washington</v>
          </cell>
          <cell r="D485">
            <v>1665</v>
          </cell>
          <cell r="E485">
            <v>1646</v>
          </cell>
          <cell r="F485">
            <v>1081</v>
          </cell>
          <cell r="G485">
            <v>552</v>
          </cell>
          <cell r="H485">
            <v>38</v>
          </cell>
          <cell r="I485">
            <v>140</v>
          </cell>
          <cell r="J485">
            <v>73</v>
          </cell>
          <cell r="K485">
            <v>301</v>
          </cell>
          <cell r="L485">
            <v>13</v>
          </cell>
          <cell r="M485">
            <v>0</v>
          </cell>
          <cell r="N485">
            <v>0</v>
          </cell>
          <cell r="O485">
            <v>13</v>
          </cell>
          <cell r="P485">
            <v>19</v>
          </cell>
          <cell r="Q485">
            <v>17</v>
          </cell>
          <cell r="R485">
            <v>2</v>
          </cell>
          <cell r="S485">
            <v>1633</v>
          </cell>
          <cell r="T485">
            <v>32</v>
          </cell>
        </row>
        <row r="486">
          <cell r="C486" t="str">
            <v>Dayton city, Washington</v>
          </cell>
          <cell r="D486">
            <v>2311</v>
          </cell>
          <cell r="E486">
            <v>2294</v>
          </cell>
          <cell r="F486">
            <v>1403</v>
          </cell>
          <cell r="G486">
            <v>872</v>
          </cell>
          <cell r="H486">
            <v>56</v>
          </cell>
          <cell r="I486">
            <v>257</v>
          </cell>
          <cell r="J486">
            <v>75</v>
          </cell>
          <cell r="K486">
            <v>484</v>
          </cell>
          <cell r="L486">
            <v>19</v>
          </cell>
          <cell r="M486">
            <v>0</v>
          </cell>
          <cell r="N486">
            <v>0</v>
          </cell>
          <cell r="O486">
            <v>19</v>
          </cell>
          <cell r="P486">
            <v>17</v>
          </cell>
          <cell r="Q486">
            <v>14</v>
          </cell>
          <cell r="R486">
            <v>3</v>
          </cell>
          <cell r="S486">
            <v>2275</v>
          </cell>
          <cell r="T486">
            <v>36</v>
          </cell>
        </row>
        <row r="487">
          <cell r="C487" t="str">
            <v>Deer Park city, Washington</v>
          </cell>
          <cell r="D487">
            <v>2839</v>
          </cell>
          <cell r="E487">
            <v>2834</v>
          </cell>
          <cell r="F487">
            <v>1612</v>
          </cell>
          <cell r="G487">
            <v>1168</v>
          </cell>
          <cell r="H487">
            <v>129</v>
          </cell>
          <cell r="I487">
            <v>335</v>
          </cell>
          <cell r="J487">
            <v>80</v>
          </cell>
          <cell r="K487">
            <v>624</v>
          </cell>
          <cell r="L487">
            <v>54</v>
          </cell>
          <cell r="M487">
            <v>0</v>
          </cell>
          <cell r="N487">
            <v>0</v>
          </cell>
          <cell r="O487">
            <v>54</v>
          </cell>
          <cell r="P487">
            <v>5</v>
          </cell>
          <cell r="Q487">
            <v>5</v>
          </cell>
          <cell r="R487">
            <v>0</v>
          </cell>
          <cell r="S487">
            <v>2780</v>
          </cell>
          <cell r="T487">
            <v>59</v>
          </cell>
        </row>
        <row r="488">
          <cell r="C488" t="str">
            <v>Deming CDP, Washington</v>
          </cell>
          <cell r="D488">
            <v>179</v>
          </cell>
          <cell r="E488">
            <v>179</v>
          </cell>
          <cell r="F488">
            <v>126</v>
          </cell>
          <cell r="G488">
            <v>53</v>
          </cell>
          <cell r="H488">
            <v>5</v>
          </cell>
          <cell r="I488">
            <v>9</v>
          </cell>
          <cell r="J488">
            <v>15</v>
          </cell>
          <cell r="K488">
            <v>24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179</v>
          </cell>
          <cell r="T488">
            <v>0</v>
          </cell>
        </row>
        <row r="489">
          <cell r="C489" t="str">
            <v>Desert Aire CDP, Washington</v>
          </cell>
          <cell r="D489">
            <v>586</v>
          </cell>
          <cell r="E489">
            <v>586</v>
          </cell>
          <cell r="F489">
            <v>293</v>
          </cell>
          <cell r="G489">
            <v>293</v>
          </cell>
          <cell r="H489">
            <v>11</v>
          </cell>
          <cell r="I489">
            <v>108</v>
          </cell>
          <cell r="J489">
            <v>40</v>
          </cell>
          <cell r="K489">
            <v>134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586</v>
          </cell>
          <cell r="T489">
            <v>0</v>
          </cell>
        </row>
        <row r="490">
          <cell r="C490" t="str">
            <v>Des Moines city, Washington</v>
          </cell>
          <cell r="D490">
            <v>21262</v>
          </cell>
          <cell r="E490">
            <v>20495</v>
          </cell>
          <cell r="F490">
            <v>11604</v>
          </cell>
          <cell r="G490">
            <v>8700</v>
          </cell>
          <cell r="H490">
            <v>838</v>
          </cell>
          <cell r="I490">
            <v>3306</v>
          </cell>
          <cell r="J490">
            <v>950</v>
          </cell>
          <cell r="K490">
            <v>3606</v>
          </cell>
          <cell r="L490">
            <v>191</v>
          </cell>
          <cell r="M490">
            <v>8</v>
          </cell>
          <cell r="N490">
            <v>6</v>
          </cell>
          <cell r="O490">
            <v>177</v>
          </cell>
          <cell r="P490">
            <v>767</v>
          </cell>
          <cell r="Q490">
            <v>425</v>
          </cell>
          <cell r="R490">
            <v>342</v>
          </cell>
          <cell r="S490">
            <v>20304</v>
          </cell>
          <cell r="T490">
            <v>958</v>
          </cell>
        </row>
        <row r="491">
          <cell r="C491" t="str">
            <v>Dishman CDP, Washington</v>
          </cell>
          <cell r="D491">
            <v>9046</v>
          </cell>
          <cell r="E491">
            <v>8923</v>
          </cell>
          <cell r="F491">
            <v>4779</v>
          </cell>
          <cell r="G491">
            <v>4077</v>
          </cell>
          <cell r="H491">
            <v>127</v>
          </cell>
          <cell r="I491">
            <v>1014</v>
          </cell>
          <cell r="J491">
            <v>394</v>
          </cell>
          <cell r="K491">
            <v>2542</v>
          </cell>
          <cell r="L491">
            <v>67</v>
          </cell>
          <cell r="M491">
            <v>7</v>
          </cell>
          <cell r="N491">
            <v>0</v>
          </cell>
          <cell r="O491">
            <v>60</v>
          </cell>
          <cell r="P491">
            <v>123</v>
          </cell>
          <cell r="Q491">
            <v>63</v>
          </cell>
          <cell r="R491">
            <v>60</v>
          </cell>
          <cell r="S491">
            <v>8856</v>
          </cell>
          <cell r="T491">
            <v>190</v>
          </cell>
        </row>
        <row r="492">
          <cell r="C492" t="str">
            <v>Dixie CDP, Washington</v>
          </cell>
          <cell r="D492">
            <v>209</v>
          </cell>
          <cell r="E492">
            <v>209</v>
          </cell>
          <cell r="F492">
            <v>119</v>
          </cell>
          <cell r="G492">
            <v>90</v>
          </cell>
          <cell r="H492">
            <v>5</v>
          </cell>
          <cell r="I492">
            <v>28</v>
          </cell>
          <cell r="J492">
            <v>17</v>
          </cell>
          <cell r="K492">
            <v>40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209</v>
          </cell>
          <cell r="T492">
            <v>0</v>
          </cell>
        </row>
        <row r="493">
          <cell r="C493" t="str">
            <v>Dollar Corner CDP, Washington</v>
          </cell>
          <cell r="D493">
            <v>1061</v>
          </cell>
          <cell r="E493">
            <v>1046</v>
          </cell>
          <cell r="F493">
            <v>608</v>
          </cell>
          <cell r="G493">
            <v>438</v>
          </cell>
          <cell r="H493">
            <v>0</v>
          </cell>
          <cell r="I493">
            <v>97</v>
          </cell>
          <cell r="J493">
            <v>17</v>
          </cell>
          <cell r="K493">
            <v>324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15</v>
          </cell>
          <cell r="Q493">
            <v>0</v>
          </cell>
          <cell r="R493">
            <v>15</v>
          </cell>
          <cell r="S493">
            <v>1046</v>
          </cell>
          <cell r="T493">
            <v>15</v>
          </cell>
        </row>
        <row r="494">
          <cell r="C494" t="str">
            <v>DuPont city, Washington</v>
          </cell>
          <cell r="D494">
            <v>1745</v>
          </cell>
          <cell r="E494">
            <v>1676</v>
          </cell>
          <cell r="F494">
            <v>515</v>
          </cell>
          <cell r="G494">
            <v>1079</v>
          </cell>
          <cell r="H494">
            <v>133</v>
          </cell>
          <cell r="I494">
            <v>255</v>
          </cell>
          <cell r="J494">
            <v>337</v>
          </cell>
          <cell r="K494">
            <v>354</v>
          </cell>
          <cell r="L494">
            <v>82</v>
          </cell>
          <cell r="M494">
            <v>0</v>
          </cell>
          <cell r="N494">
            <v>9</v>
          </cell>
          <cell r="O494">
            <v>73</v>
          </cell>
          <cell r="P494">
            <v>69</v>
          </cell>
          <cell r="Q494">
            <v>47</v>
          </cell>
          <cell r="R494">
            <v>22</v>
          </cell>
          <cell r="S494">
            <v>1594</v>
          </cell>
          <cell r="T494">
            <v>151</v>
          </cell>
        </row>
        <row r="495">
          <cell r="C495" t="str">
            <v>Duvall city, Washington</v>
          </cell>
          <cell r="D495">
            <v>4140</v>
          </cell>
          <cell r="E495">
            <v>4086</v>
          </cell>
          <cell r="F495">
            <v>2038</v>
          </cell>
          <cell r="G495">
            <v>2015</v>
          </cell>
          <cell r="H495">
            <v>301</v>
          </cell>
          <cell r="I495">
            <v>452</v>
          </cell>
          <cell r="J495">
            <v>324</v>
          </cell>
          <cell r="K495">
            <v>938</v>
          </cell>
          <cell r="L495">
            <v>33</v>
          </cell>
          <cell r="M495">
            <v>0</v>
          </cell>
          <cell r="N495">
            <v>9</v>
          </cell>
          <cell r="O495">
            <v>24</v>
          </cell>
          <cell r="P495">
            <v>54</v>
          </cell>
          <cell r="Q495">
            <v>22</v>
          </cell>
          <cell r="R495">
            <v>32</v>
          </cell>
          <cell r="S495">
            <v>4053</v>
          </cell>
          <cell r="T495">
            <v>87</v>
          </cell>
        </row>
        <row r="496">
          <cell r="C496" t="str">
            <v>East Cathlamet CDP, Washington</v>
          </cell>
          <cell r="D496">
            <v>522</v>
          </cell>
          <cell r="E496">
            <v>515</v>
          </cell>
          <cell r="F496">
            <v>289</v>
          </cell>
          <cell r="G496">
            <v>226</v>
          </cell>
          <cell r="H496">
            <v>15</v>
          </cell>
          <cell r="I496">
            <v>48</v>
          </cell>
          <cell r="J496">
            <v>30</v>
          </cell>
          <cell r="K496">
            <v>133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7</v>
          </cell>
          <cell r="Q496">
            <v>0</v>
          </cell>
          <cell r="R496">
            <v>7</v>
          </cell>
          <cell r="S496">
            <v>515</v>
          </cell>
          <cell r="T496">
            <v>7</v>
          </cell>
        </row>
        <row r="497">
          <cell r="C497" t="str">
            <v>Eastgate CDP, Washington</v>
          </cell>
          <cell r="D497">
            <v>3962</v>
          </cell>
          <cell r="E497">
            <v>3548</v>
          </cell>
          <cell r="F497">
            <v>1838</v>
          </cell>
          <cell r="G497">
            <v>1647</v>
          </cell>
          <cell r="H497">
            <v>135</v>
          </cell>
          <cell r="I497">
            <v>505</v>
          </cell>
          <cell r="J497">
            <v>193</v>
          </cell>
          <cell r="K497">
            <v>814</v>
          </cell>
          <cell r="L497">
            <v>63</v>
          </cell>
          <cell r="M497">
            <v>0</v>
          </cell>
          <cell r="N497">
            <v>10</v>
          </cell>
          <cell r="O497">
            <v>53</v>
          </cell>
          <cell r="P497">
            <v>414</v>
          </cell>
          <cell r="Q497">
            <v>157</v>
          </cell>
          <cell r="R497">
            <v>257</v>
          </cell>
          <cell r="S497">
            <v>3485</v>
          </cell>
          <cell r="T497">
            <v>477</v>
          </cell>
        </row>
        <row r="498">
          <cell r="C498" t="str">
            <v>East Hill-Meridian CDP, Washington</v>
          </cell>
          <cell r="D498">
            <v>21275</v>
          </cell>
          <cell r="E498">
            <v>20056</v>
          </cell>
          <cell r="F498">
            <v>11505</v>
          </cell>
          <cell r="G498">
            <v>8363</v>
          </cell>
          <cell r="H498">
            <v>840</v>
          </cell>
          <cell r="I498">
            <v>2685</v>
          </cell>
          <cell r="J498">
            <v>862</v>
          </cell>
          <cell r="K498">
            <v>3976</v>
          </cell>
          <cell r="L498">
            <v>188</v>
          </cell>
          <cell r="M498">
            <v>0</v>
          </cell>
          <cell r="N498">
            <v>17</v>
          </cell>
          <cell r="O498">
            <v>171</v>
          </cell>
          <cell r="P498">
            <v>1219</v>
          </cell>
          <cell r="Q498">
            <v>451</v>
          </cell>
          <cell r="R498">
            <v>768</v>
          </cell>
          <cell r="S498">
            <v>19868</v>
          </cell>
          <cell r="T498">
            <v>1407</v>
          </cell>
        </row>
        <row r="499">
          <cell r="C499" t="str">
            <v>Easton CDP, Washington</v>
          </cell>
          <cell r="D499">
            <v>366</v>
          </cell>
          <cell r="E499">
            <v>366</v>
          </cell>
          <cell r="F499">
            <v>245</v>
          </cell>
          <cell r="G499">
            <v>116</v>
          </cell>
          <cell r="H499">
            <v>9</v>
          </cell>
          <cell r="I499">
            <v>34</v>
          </cell>
          <cell r="J499">
            <v>13</v>
          </cell>
          <cell r="K499">
            <v>60</v>
          </cell>
          <cell r="L499">
            <v>5</v>
          </cell>
          <cell r="M499">
            <v>0</v>
          </cell>
          <cell r="N499">
            <v>0</v>
          </cell>
          <cell r="O499">
            <v>5</v>
          </cell>
          <cell r="P499">
            <v>0</v>
          </cell>
          <cell r="Q499">
            <v>0</v>
          </cell>
          <cell r="R499">
            <v>0</v>
          </cell>
          <cell r="S499">
            <v>361</v>
          </cell>
          <cell r="T499">
            <v>5</v>
          </cell>
        </row>
        <row r="500">
          <cell r="C500" t="str">
            <v>East Port Orchard CDP, Washington</v>
          </cell>
          <cell r="D500">
            <v>4216</v>
          </cell>
          <cell r="E500">
            <v>4189</v>
          </cell>
          <cell r="F500">
            <v>1971</v>
          </cell>
          <cell r="G500">
            <v>2173</v>
          </cell>
          <cell r="H500">
            <v>187</v>
          </cell>
          <cell r="I500">
            <v>753</v>
          </cell>
          <cell r="J500">
            <v>281</v>
          </cell>
          <cell r="K500">
            <v>952</v>
          </cell>
          <cell r="L500">
            <v>45</v>
          </cell>
          <cell r="M500">
            <v>0</v>
          </cell>
          <cell r="N500">
            <v>0</v>
          </cell>
          <cell r="O500">
            <v>45</v>
          </cell>
          <cell r="P500">
            <v>27</v>
          </cell>
          <cell r="Q500">
            <v>27</v>
          </cell>
          <cell r="R500">
            <v>0</v>
          </cell>
          <cell r="S500">
            <v>4144</v>
          </cell>
          <cell r="T500">
            <v>72</v>
          </cell>
        </row>
        <row r="501">
          <cell r="C501" t="str">
            <v>East Renton Highlands CDP, Washington</v>
          </cell>
          <cell r="D501">
            <v>11724</v>
          </cell>
          <cell r="E501">
            <v>11343</v>
          </cell>
          <cell r="F501">
            <v>7288</v>
          </cell>
          <cell r="G501">
            <v>3958</v>
          </cell>
          <cell r="H501">
            <v>311</v>
          </cell>
          <cell r="I501">
            <v>1447</v>
          </cell>
          <cell r="J501">
            <v>399</v>
          </cell>
          <cell r="K501">
            <v>1801</v>
          </cell>
          <cell r="L501">
            <v>97</v>
          </cell>
          <cell r="M501">
            <v>0</v>
          </cell>
          <cell r="N501">
            <v>16</v>
          </cell>
          <cell r="O501">
            <v>81</v>
          </cell>
          <cell r="P501">
            <v>381</v>
          </cell>
          <cell r="Q501">
            <v>226</v>
          </cell>
          <cell r="R501">
            <v>155</v>
          </cell>
          <cell r="S501">
            <v>11246</v>
          </cell>
          <cell r="T501">
            <v>478</v>
          </cell>
        </row>
        <row r="502">
          <cell r="C502" t="str">
            <v>East Wenatchee city, Washington</v>
          </cell>
          <cell r="D502">
            <v>4912</v>
          </cell>
          <cell r="E502">
            <v>4808</v>
          </cell>
          <cell r="F502">
            <v>3093</v>
          </cell>
          <cell r="G502">
            <v>1695</v>
          </cell>
          <cell r="H502">
            <v>92</v>
          </cell>
          <cell r="I502">
            <v>467</v>
          </cell>
          <cell r="J502">
            <v>275</v>
          </cell>
          <cell r="K502">
            <v>861</v>
          </cell>
          <cell r="L502">
            <v>20</v>
          </cell>
          <cell r="M502">
            <v>0</v>
          </cell>
          <cell r="N502">
            <v>5</v>
          </cell>
          <cell r="O502">
            <v>15</v>
          </cell>
          <cell r="P502">
            <v>104</v>
          </cell>
          <cell r="Q502">
            <v>47</v>
          </cell>
          <cell r="R502">
            <v>57</v>
          </cell>
          <cell r="S502">
            <v>4788</v>
          </cell>
          <cell r="T502">
            <v>124</v>
          </cell>
        </row>
        <row r="503">
          <cell r="C503" t="str">
            <v>East Wenatchee Bench CDP, Washington</v>
          </cell>
          <cell r="D503">
            <v>11485</v>
          </cell>
          <cell r="E503">
            <v>11148</v>
          </cell>
          <cell r="F503">
            <v>7172</v>
          </cell>
          <cell r="G503">
            <v>3963</v>
          </cell>
          <cell r="H503">
            <v>195</v>
          </cell>
          <cell r="I503">
            <v>1230</v>
          </cell>
          <cell r="J503">
            <v>711</v>
          </cell>
          <cell r="K503">
            <v>1827</v>
          </cell>
          <cell r="L503">
            <v>13</v>
          </cell>
          <cell r="M503">
            <v>0</v>
          </cell>
          <cell r="N503">
            <v>0</v>
          </cell>
          <cell r="O503">
            <v>13</v>
          </cell>
          <cell r="P503">
            <v>337</v>
          </cell>
          <cell r="Q503">
            <v>127</v>
          </cell>
          <cell r="R503">
            <v>210</v>
          </cell>
          <cell r="S503">
            <v>11135</v>
          </cell>
          <cell r="T503">
            <v>350</v>
          </cell>
        </row>
        <row r="504">
          <cell r="C504" t="str">
            <v>Eatonville town, Washington</v>
          </cell>
          <cell r="D504">
            <v>1757</v>
          </cell>
          <cell r="E504">
            <v>1724</v>
          </cell>
          <cell r="F504">
            <v>1127</v>
          </cell>
          <cell r="G504">
            <v>570</v>
          </cell>
          <cell r="H504">
            <v>26</v>
          </cell>
          <cell r="I504">
            <v>188</v>
          </cell>
          <cell r="J504">
            <v>90</v>
          </cell>
          <cell r="K504">
            <v>266</v>
          </cell>
          <cell r="L504">
            <v>27</v>
          </cell>
          <cell r="M504">
            <v>0</v>
          </cell>
          <cell r="N504">
            <v>2</v>
          </cell>
          <cell r="O504">
            <v>25</v>
          </cell>
          <cell r="P504">
            <v>33</v>
          </cell>
          <cell r="Q504">
            <v>26</v>
          </cell>
          <cell r="R504">
            <v>7</v>
          </cell>
          <cell r="S504">
            <v>1697</v>
          </cell>
          <cell r="T504">
            <v>60</v>
          </cell>
        </row>
        <row r="505">
          <cell r="C505" t="str">
            <v>Echo Lake CDP, Washington</v>
          </cell>
          <cell r="D505">
            <v>824</v>
          </cell>
          <cell r="E505">
            <v>814</v>
          </cell>
          <cell r="F505">
            <v>538</v>
          </cell>
          <cell r="G505">
            <v>276</v>
          </cell>
          <cell r="H505">
            <v>27</v>
          </cell>
          <cell r="I505">
            <v>75</v>
          </cell>
          <cell r="J505">
            <v>43</v>
          </cell>
          <cell r="K505">
            <v>131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10</v>
          </cell>
          <cell r="Q505">
            <v>10</v>
          </cell>
          <cell r="R505">
            <v>0</v>
          </cell>
          <cell r="S505">
            <v>814</v>
          </cell>
          <cell r="T505">
            <v>10</v>
          </cell>
        </row>
        <row r="506">
          <cell r="C506" t="str">
            <v>Edgewood city, Washington</v>
          </cell>
          <cell r="D506">
            <v>8298</v>
          </cell>
          <cell r="E506">
            <v>8106</v>
          </cell>
          <cell r="F506">
            <v>5152</v>
          </cell>
          <cell r="G506">
            <v>2857</v>
          </cell>
          <cell r="H506">
            <v>186</v>
          </cell>
          <cell r="I506">
            <v>1101</v>
          </cell>
          <cell r="J506">
            <v>294</v>
          </cell>
          <cell r="K506">
            <v>1276</v>
          </cell>
          <cell r="L506">
            <v>97</v>
          </cell>
          <cell r="M506">
            <v>0</v>
          </cell>
          <cell r="N506">
            <v>0</v>
          </cell>
          <cell r="O506">
            <v>97</v>
          </cell>
          <cell r="P506">
            <v>192</v>
          </cell>
          <cell r="Q506">
            <v>99</v>
          </cell>
          <cell r="R506">
            <v>93</v>
          </cell>
          <cell r="S506">
            <v>8009</v>
          </cell>
          <cell r="T506">
            <v>289</v>
          </cell>
        </row>
        <row r="507">
          <cell r="C507" t="str">
            <v>Edison CDP, Washington</v>
          </cell>
          <cell r="D507">
            <v>95</v>
          </cell>
          <cell r="E507">
            <v>95</v>
          </cell>
          <cell r="F507">
            <v>62</v>
          </cell>
          <cell r="G507">
            <v>33</v>
          </cell>
          <cell r="H507">
            <v>0</v>
          </cell>
          <cell r="I507">
            <v>16</v>
          </cell>
          <cell r="J507">
            <v>0</v>
          </cell>
          <cell r="K507">
            <v>17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95</v>
          </cell>
          <cell r="T507">
            <v>0</v>
          </cell>
        </row>
        <row r="508">
          <cell r="C508" t="str">
            <v>Edmonds city, Washington</v>
          </cell>
          <cell r="D508">
            <v>34299</v>
          </cell>
          <cell r="E508">
            <v>32178</v>
          </cell>
          <cell r="F508">
            <v>18104</v>
          </cell>
          <cell r="G508">
            <v>13744</v>
          </cell>
          <cell r="H508">
            <v>1680</v>
          </cell>
          <cell r="I508">
            <v>4587</v>
          </cell>
          <cell r="J508">
            <v>1759</v>
          </cell>
          <cell r="K508">
            <v>5718</v>
          </cell>
          <cell r="L508">
            <v>330</v>
          </cell>
          <cell r="M508">
            <v>0</v>
          </cell>
          <cell r="N508">
            <v>1</v>
          </cell>
          <cell r="O508">
            <v>329</v>
          </cell>
          <cell r="P508">
            <v>2121</v>
          </cell>
          <cell r="Q508">
            <v>1062</v>
          </cell>
          <cell r="R508">
            <v>1059</v>
          </cell>
          <cell r="S508">
            <v>31848</v>
          </cell>
          <cell r="T508">
            <v>2451</v>
          </cell>
        </row>
        <row r="509">
          <cell r="C509" t="str">
            <v>Elbe CDP, Washington</v>
          </cell>
          <cell r="D509">
            <v>8</v>
          </cell>
          <cell r="E509">
            <v>8</v>
          </cell>
          <cell r="F509">
            <v>8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8</v>
          </cell>
          <cell r="T509">
            <v>0</v>
          </cell>
        </row>
        <row r="510">
          <cell r="C510" t="str">
            <v>Electric City town, Washington</v>
          </cell>
          <cell r="D510">
            <v>816</v>
          </cell>
          <cell r="E510">
            <v>800</v>
          </cell>
          <cell r="F510">
            <v>434</v>
          </cell>
          <cell r="G510">
            <v>366</v>
          </cell>
          <cell r="H510">
            <v>14</v>
          </cell>
          <cell r="I510">
            <v>97</v>
          </cell>
          <cell r="J510">
            <v>53</v>
          </cell>
          <cell r="K510">
            <v>202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16</v>
          </cell>
          <cell r="Q510">
            <v>16</v>
          </cell>
          <cell r="R510">
            <v>0</v>
          </cell>
          <cell r="S510">
            <v>800</v>
          </cell>
          <cell r="T510">
            <v>16</v>
          </cell>
        </row>
        <row r="511">
          <cell r="C511" t="str">
            <v>Elk Plain CDP, Washington</v>
          </cell>
          <cell r="D511">
            <v>12351</v>
          </cell>
          <cell r="E511">
            <v>11952</v>
          </cell>
          <cell r="F511">
            <v>6997</v>
          </cell>
          <cell r="G511">
            <v>4614</v>
          </cell>
          <cell r="H511">
            <v>357</v>
          </cell>
          <cell r="I511">
            <v>1308</v>
          </cell>
          <cell r="J511">
            <v>868</v>
          </cell>
          <cell r="K511">
            <v>2081</v>
          </cell>
          <cell r="L511">
            <v>341</v>
          </cell>
          <cell r="M511">
            <v>0</v>
          </cell>
          <cell r="N511">
            <v>9</v>
          </cell>
          <cell r="O511">
            <v>332</v>
          </cell>
          <cell r="P511">
            <v>399</v>
          </cell>
          <cell r="Q511">
            <v>153</v>
          </cell>
          <cell r="R511">
            <v>246</v>
          </cell>
          <cell r="S511">
            <v>11611</v>
          </cell>
          <cell r="T511">
            <v>740</v>
          </cell>
        </row>
        <row r="512">
          <cell r="C512" t="str">
            <v>Ellensburg city, Washington</v>
          </cell>
          <cell r="D512">
            <v>13156</v>
          </cell>
          <cell r="E512">
            <v>12910</v>
          </cell>
          <cell r="F512">
            <v>8237</v>
          </cell>
          <cell r="G512">
            <v>4568</v>
          </cell>
          <cell r="H512">
            <v>375</v>
          </cell>
          <cell r="I512">
            <v>1248</v>
          </cell>
          <cell r="J512">
            <v>594</v>
          </cell>
          <cell r="K512">
            <v>2351</v>
          </cell>
          <cell r="L512">
            <v>105</v>
          </cell>
          <cell r="M512">
            <v>0</v>
          </cell>
          <cell r="N512">
            <v>0</v>
          </cell>
          <cell r="O512">
            <v>105</v>
          </cell>
          <cell r="P512">
            <v>246</v>
          </cell>
          <cell r="Q512">
            <v>154</v>
          </cell>
          <cell r="R512">
            <v>92</v>
          </cell>
          <cell r="S512">
            <v>12805</v>
          </cell>
          <cell r="T512">
            <v>351</v>
          </cell>
        </row>
        <row r="513">
          <cell r="C513" t="str">
            <v>Elma city, Washington</v>
          </cell>
          <cell r="D513">
            <v>2661</v>
          </cell>
          <cell r="E513">
            <v>2646</v>
          </cell>
          <cell r="F513">
            <v>1893</v>
          </cell>
          <cell r="G513">
            <v>738</v>
          </cell>
          <cell r="H513">
            <v>10</v>
          </cell>
          <cell r="I513">
            <v>200</v>
          </cell>
          <cell r="J513">
            <v>123</v>
          </cell>
          <cell r="K513">
            <v>405</v>
          </cell>
          <cell r="L513">
            <v>15</v>
          </cell>
          <cell r="M513">
            <v>0</v>
          </cell>
          <cell r="N513">
            <v>5</v>
          </cell>
          <cell r="O513">
            <v>10</v>
          </cell>
          <cell r="P513">
            <v>15</v>
          </cell>
          <cell r="Q513">
            <v>15</v>
          </cell>
          <cell r="R513">
            <v>0</v>
          </cell>
          <cell r="S513">
            <v>2631</v>
          </cell>
          <cell r="T513">
            <v>30</v>
          </cell>
        </row>
        <row r="514">
          <cell r="C514" t="str">
            <v>Elmer City town, Washington</v>
          </cell>
          <cell r="D514">
            <v>162</v>
          </cell>
          <cell r="E514">
            <v>160</v>
          </cell>
          <cell r="F514">
            <v>88</v>
          </cell>
          <cell r="G514">
            <v>68</v>
          </cell>
          <cell r="H514">
            <v>4</v>
          </cell>
          <cell r="I514">
            <v>15</v>
          </cell>
          <cell r="J514">
            <v>5</v>
          </cell>
          <cell r="K514">
            <v>44</v>
          </cell>
          <cell r="L514">
            <v>4</v>
          </cell>
          <cell r="M514">
            <v>0</v>
          </cell>
          <cell r="N514">
            <v>0</v>
          </cell>
          <cell r="O514">
            <v>4</v>
          </cell>
          <cell r="P514">
            <v>2</v>
          </cell>
          <cell r="Q514">
            <v>0</v>
          </cell>
          <cell r="R514">
            <v>2</v>
          </cell>
          <cell r="S514">
            <v>156</v>
          </cell>
          <cell r="T514">
            <v>6</v>
          </cell>
        </row>
        <row r="515">
          <cell r="C515" t="str">
            <v>Endicott town, Washington</v>
          </cell>
          <cell r="D515">
            <v>546</v>
          </cell>
          <cell r="E515">
            <v>544</v>
          </cell>
          <cell r="F515">
            <v>359</v>
          </cell>
          <cell r="G515">
            <v>176</v>
          </cell>
          <cell r="H515">
            <v>8</v>
          </cell>
          <cell r="I515">
            <v>34</v>
          </cell>
          <cell r="J515">
            <v>15</v>
          </cell>
          <cell r="K515">
            <v>119</v>
          </cell>
          <cell r="L515">
            <v>9</v>
          </cell>
          <cell r="M515">
            <v>0</v>
          </cell>
          <cell r="N515">
            <v>0</v>
          </cell>
          <cell r="O515">
            <v>9</v>
          </cell>
          <cell r="P515">
            <v>2</v>
          </cell>
          <cell r="Q515">
            <v>0</v>
          </cell>
          <cell r="R515">
            <v>2</v>
          </cell>
          <cell r="S515">
            <v>535</v>
          </cell>
          <cell r="T515">
            <v>11</v>
          </cell>
        </row>
        <row r="516">
          <cell r="C516" t="str">
            <v>Entiat city, Washington</v>
          </cell>
          <cell r="D516">
            <v>699</v>
          </cell>
          <cell r="E516">
            <v>687</v>
          </cell>
          <cell r="F516">
            <v>441</v>
          </cell>
          <cell r="G516">
            <v>239</v>
          </cell>
          <cell r="H516">
            <v>6</v>
          </cell>
          <cell r="I516">
            <v>69</v>
          </cell>
          <cell r="J516">
            <v>31</v>
          </cell>
          <cell r="K516">
            <v>133</v>
          </cell>
          <cell r="L516">
            <v>7</v>
          </cell>
          <cell r="M516">
            <v>0</v>
          </cell>
          <cell r="N516">
            <v>0</v>
          </cell>
          <cell r="O516">
            <v>7</v>
          </cell>
          <cell r="P516">
            <v>12</v>
          </cell>
          <cell r="Q516">
            <v>0</v>
          </cell>
          <cell r="R516">
            <v>12</v>
          </cell>
          <cell r="S516">
            <v>680</v>
          </cell>
          <cell r="T516">
            <v>19</v>
          </cell>
        </row>
        <row r="517">
          <cell r="C517" t="str">
            <v>Enumclaw city, Washington</v>
          </cell>
          <cell r="D517">
            <v>10174</v>
          </cell>
          <cell r="E517">
            <v>9947</v>
          </cell>
          <cell r="F517">
            <v>5652</v>
          </cell>
          <cell r="G517">
            <v>4208</v>
          </cell>
          <cell r="H517">
            <v>470</v>
          </cell>
          <cell r="I517">
            <v>1531</v>
          </cell>
          <cell r="J517">
            <v>512</v>
          </cell>
          <cell r="K517">
            <v>1695</v>
          </cell>
          <cell r="L517">
            <v>87</v>
          </cell>
          <cell r="M517">
            <v>0</v>
          </cell>
          <cell r="N517">
            <v>0</v>
          </cell>
          <cell r="O517">
            <v>87</v>
          </cell>
          <cell r="P517">
            <v>227</v>
          </cell>
          <cell r="Q517">
            <v>173</v>
          </cell>
          <cell r="R517">
            <v>54</v>
          </cell>
          <cell r="S517">
            <v>9860</v>
          </cell>
          <cell r="T517">
            <v>314</v>
          </cell>
        </row>
        <row r="518">
          <cell r="C518" t="str">
            <v>Ephrata city, Washington</v>
          </cell>
          <cell r="D518">
            <v>5801</v>
          </cell>
          <cell r="E518">
            <v>5676</v>
          </cell>
          <cell r="F518">
            <v>3628</v>
          </cell>
          <cell r="G518">
            <v>2005</v>
          </cell>
          <cell r="H518">
            <v>57</v>
          </cell>
          <cell r="I518">
            <v>576</v>
          </cell>
          <cell r="J518">
            <v>219</v>
          </cell>
          <cell r="K518">
            <v>1153</v>
          </cell>
          <cell r="L518">
            <v>43</v>
          </cell>
          <cell r="M518">
            <v>0</v>
          </cell>
          <cell r="N518">
            <v>0</v>
          </cell>
          <cell r="O518">
            <v>43</v>
          </cell>
          <cell r="P518">
            <v>125</v>
          </cell>
          <cell r="Q518">
            <v>64</v>
          </cell>
          <cell r="R518">
            <v>61</v>
          </cell>
          <cell r="S518">
            <v>5633</v>
          </cell>
          <cell r="T518">
            <v>168</v>
          </cell>
        </row>
        <row r="519">
          <cell r="C519" t="str">
            <v>Erlands Point-Kitsap Lake CDP, Washington</v>
          </cell>
          <cell r="D519">
            <v>2351</v>
          </cell>
          <cell r="E519">
            <v>2311</v>
          </cell>
          <cell r="F519">
            <v>1259</v>
          </cell>
          <cell r="G519">
            <v>1040</v>
          </cell>
          <cell r="H519">
            <v>138</v>
          </cell>
          <cell r="I519">
            <v>354</v>
          </cell>
          <cell r="J519">
            <v>100</v>
          </cell>
          <cell r="K519">
            <v>448</v>
          </cell>
          <cell r="L519">
            <v>12</v>
          </cell>
          <cell r="M519">
            <v>0</v>
          </cell>
          <cell r="N519">
            <v>6</v>
          </cell>
          <cell r="O519">
            <v>6</v>
          </cell>
          <cell r="P519">
            <v>40</v>
          </cell>
          <cell r="Q519">
            <v>34</v>
          </cell>
          <cell r="R519">
            <v>6</v>
          </cell>
          <cell r="S519">
            <v>2299</v>
          </cell>
          <cell r="T519">
            <v>52</v>
          </cell>
        </row>
        <row r="520">
          <cell r="C520" t="str">
            <v>Eschbach CDP, Washington</v>
          </cell>
          <cell r="D520">
            <v>348</v>
          </cell>
          <cell r="E520">
            <v>348</v>
          </cell>
          <cell r="F520">
            <v>242</v>
          </cell>
          <cell r="G520">
            <v>106</v>
          </cell>
          <cell r="H520">
            <v>10</v>
          </cell>
          <cell r="I520">
            <v>42</v>
          </cell>
          <cell r="J520">
            <v>7</v>
          </cell>
          <cell r="K520">
            <v>47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348</v>
          </cell>
          <cell r="T520">
            <v>0</v>
          </cell>
        </row>
        <row r="521">
          <cell r="C521" t="str">
            <v>Esperance CDP, Washington</v>
          </cell>
          <cell r="D521">
            <v>2990</v>
          </cell>
          <cell r="E521">
            <v>2873</v>
          </cell>
          <cell r="F521">
            <v>1884</v>
          </cell>
          <cell r="G521">
            <v>961</v>
          </cell>
          <cell r="H521">
            <v>63</v>
          </cell>
          <cell r="I521">
            <v>325</v>
          </cell>
          <cell r="J521">
            <v>73</v>
          </cell>
          <cell r="K521">
            <v>500</v>
          </cell>
          <cell r="L521">
            <v>28</v>
          </cell>
          <cell r="M521">
            <v>0</v>
          </cell>
          <cell r="N521">
            <v>0</v>
          </cell>
          <cell r="O521">
            <v>28</v>
          </cell>
          <cell r="P521">
            <v>117</v>
          </cell>
          <cell r="Q521">
            <v>58</v>
          </cell>
          <cell r="R521">
            <v>59</v>
          </cell>
          <cell r="S521">
            <v>2845</v>
          </cell>
          <cell r="T521">
            <v>145</v>
          </cell>
        </row>
        <row r="522">
          <cell r="C522" t="str">
            <v>Everett city, Washington</v>
          </cell>
          <cell r="D522">
            <v>71179</v>
          </cell>
          <cell r="E522">
            <v>67444</v>
          </cell>
          <cell r="F522">
            <v>38297</v>
          </cell>
          <cell r="G522">
            <v>28342</v>
          </cell>
          <cell r="H522">
            <v>2902</v>
          </cell>
          <cell r="I522">
            <v>8812</v>
          </cell>
          <cell r="J522">
            <v>4081</v>
          </cell>
          <cell r="K522">
            <v>12547</v>
          </cell>
          <cell r="L522">
            <v>805</v>
          </cell>
          <cell r="M522">
            <v>27</v>
          </cell>
          <cell r="N522">
            <v>47</v>
          </cell>
          <cell r="O522">
            <v>731</v>
          </cell>
          <cell r="P522">
            <v>3735</v>
          </cell>
          <cell r="Q522">
            <v>1180</v>
          </cell>
          <cell r="R522">
            <v>2555</v>
          </cell>
          <cell r="S522">
            <v>66639</v>
          </cell>
          <cell r="T522">
            <v>4540</v>
          </cell>
        </row>
        <row r="523">
          <cell r="C523" t="str">
            <v>Everson city, Washington</v>
          </cell>
          <cell r="D523">
            <v>1491</v>
          </cell>
          <cell r="E523">
            <v>1450</v>
          </cell>
          <cell r="F523">
            <v>977</v>
          </cell>
          <cell r="G523">
            <v>452</v>
          </cell>
          <cell r="H523">
            <v>29</v>
          </cell>
          <cell r="I523">
            <v>131</v>
          </cell>
          <cell r="J523">
            <v>73</v>
          </cell>
          <cell r="K523">
            <v>219</v>
          </cell>
          <cell r="L523">
            <v>21</v>
          </cell>
          <cell r="M523">
            <v>0</v>
          </cell>
          <cell r="N523">
            <v>0</v>
          </cell>
          <cell r="O523">
            <v>21</v>
          </cell>
          <cell r="P523">
            <v>41</v>
          </cell>
          <cell r="Q523">
            <v>20</v>
          </cell>
          <cell r="R523">
            <v>21</v>
          </cell>
          <cell r="S523">
            <v>1429</v>
          </cell>
          <cell r="T523">
            <v>62</v>
          </cell>
        </row>
        <row r="524">
          <cell r="C524" t="str">
            <v>Fairchild AFB CDP, Washington</v>
          </cell>
          <cell r="D524">
            <v>3302</v>
          </cell>
          <cell r="E524">
            <v>3262</v>
          </cell>
          <cell r="F524">
            <v>610</v>
          </cell>
          <cell r="G524">
            <v>2514</v>
          </cell>
          <cell r="H524">
            <v>274</v>
          </cell>
          <cell r="I524">
            <v>699</v>
          </cell>
          <cell r="J524">
            <v>712</v>
          </cell>
          <cell r="K524">
            <v>829</v>
          </cell>
          <cell r="L524">
            <v>138</v>
          </cell>
          <cell r="M524">
            <v>0</v>
          </cell>
          <cell r="N524">
            <v>6</v>
          </cell>
          <cell r="O524">
            <v>132</v>
          </cell>
          <cell r="P524">
            <v>40</v>
          </cell>
          <cell r="Q524">
            <v>26</v>
          </cell>
          <cell r="R524">
            <v>14</v>
          </cell>
          <cell r="S524">
            <v>3124</v>
          </cell>
          <cell r="T524">
            <v>178</v>
          </cell>
        </row>
        <row r="525">
          <cell r="C525" t="str">
            <v>Fairfield town, Washington</v>
          </cell>
          <cell r="D525">
            <v>434</v>
          </cell>
          <cell r="E525">
            <v>430</v>
          </cell>
          <cell r="F525">
            <v>270</v>
          </cell>
          <cell r="G525">
            <v>160</v>
          </cell>
          <cell r="H525">
            <v>20</v>
          </cell>
          <cell r="I525">
            <v>38</v>
          </cell>
          <cell r="J525">
            <v>23</v>
          </cell>
          <cell r="K525">
            <v>79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4</v>
          </cell>
          <cell r="Q525">
            <v>4</v>
          </cell>
          <cell r="R525">
            <v>0</v>
          </cell>
          <cell r="S525">
            <v>430</v>
          </cell>
          <cell r="T525">
            <v>4</v>
          </cell>
        </row>
        <row r="526">
          <cell r="C526" t="str">
            <v>Fairwood CDP, Washington</v>
          </cell>
          <cell r="D526">
            <v>6287</v>
          </cell>
          <cell r="E526">
            <v>5988</v>
          </cell>
          <cell r="F526">
            <v>3124</v>
          </cell>
          <cell r="G526">
            <v>2777</v>
          </cell>
          <cell r="H526">
            <v>304</v>
          </cell>
          <cell r="I526">
            <v>786</v>
          </cell>
          <cell r="J526">
            <v>212</v>
          </cell>
          <cell r="K526">
            <v>1475</v>
          </cell>
          <cell r="L526">
            <v>87</v>
          </cell>
          <cell r="M526">
            <v>0</v>
          </cell>
          <cell r="N526">
            <v>0</v>
          </cell>
          <cell r="O526">
            <v>87</v>
          </cell>
          <cell r="P526">
            <v>299</v>
          </cell>
          <cell r="Q526">
            <v>107</v>
          </cell>
          <cell r="R526">
            <v>192</v>
          </cell>
          <cell r="S526">
            <v>5901</v>
          </cell>
          <cell r="T526">
            <v>386</v>
          </cell>
        </row>
        <row r="527">
          <cell r="C527" t="str">
            <v>Fall City CDP, Washington</v>
          </cell>
          <cell r="D527">
            <v>1553</v>
          </cell>
          <cell r="E527">
            <v>1534</v>
          </cell>
          <cell r="F527">
            <v>1053</v>
          </cell>
          <cell r="G527">
            <v>471</v>
          </cell>
          <cell r="H527">
            <v>57</v>
          </cell>
          <cell r="I527">
            <v>127</v>
          </cell>
          <cell r="J527">
            <v>74</v>
          </cell>
          <cell r="K527">
            <v>213</v>
          </cell>
          <cell r="L527">
            <v>10</v>
          </cell>
          <cell r="M527">
            <v>0</v>
          </cell>
          <cell r="N527">
            <v>0</v>
          </cell>
          <cell r="O527">
            <v>10</v>
          </cell>
          <cell r="P527">
            <v>19</v>
          </cell>
          <cell r="Q527">
            <v>19</v>
          </cell>
          <cell r="R527">
            <v>0</v>
          </cell>
          <cell r="S527">
            <v>1524</v>
          </cell>
          <cell r="T527">
            <v>29</v>
          </cell>
        </row>
        <row r="528">
          <cell r="C528" t="str">
            <v>Farmington town, Washington</v>
          </cell>
          <cell r="D528">
            <v>116</v>
          </cell>
          <cell r="E528">
            <v>116</v>
          </cell>
          <cell r="F528">
            <v>67</v>
          </cell>
          <cell r="G528">
            <v>49</v>
          </cell>
          <cell r="H528">
            <v>4</v>
          </cell>
          <cell r="I528">
            <v>8</v>
          </cell>
          <cell r="J528">
            <v>6</v>
          </cell>
          <cell r="K528">
            <v>31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116</v>
          </cell>
          <cell r="T528">
            <v>0</v>
          </cell>
        </row>
        <row r="529">
          <cell r="C529" t="str">
            <v>Federal Way city, Washington</v>
          </cell>
          <cell r="D529">
            <v>54726</v>
          </cell>
          <cell r="E529">
            <v>50863</v>
          </cell>
          <cell r="F529">
            <v>26783</v>
          </cell>
          <cell r="G529">
            <v>23529</v>
          </cell>
          <cell r="H529">
            <v>2364</v>
          </cell>
          <cell r="I529">
            <v>7101</v>
          </cell>
          <cell r="J529">
            <v>3250</v>
          </cell>
          <cell r="K529">
            <v>10814</v>
          </cell>
          <cell r="L529">
            <v>551</v>
          </cell>
          <cell r="M529">
            <v>27</v>
          </cell>
          <cell r="N529">
            <v>12</v>
          </cell>
          <cell r="O529">
            <v>512</v>
          </cell>
          <cell r="P529">
            <v>3863</v>
          </cell>
          <cell r="Q529">
            <v>1278</v>
          </cell>
          <cell r="R529">
            <v>2585</v>
          </cell>
          <cell r="S529">
            <v>50312</v>
          </cell>
          <cell r="T529">
            <v>4414</v>
          </cell>
        </row>
        <row r="530">
          <cell r="C530" t="str">
            <v>Felida CDP, Washington</v>
          </cell>
          <cell r="D530">
            <v>5284</v>
          </cell>
          <cell r="E530">
            <v>5098</v>
          </cell>
          <cell r="F530">
            <v>1803</v>
          </cell>
          <cell r="G530">
            <v>3260</v>
          </cell>
          <cell r="H530">
            <v>359</v>
          </cell>
          <cell r="I530">
            <v>597</v>
          </cell>
          <cell r="J530">
            <v>248</v>
          </cell>
          <cell r="K530">
            <v>2056</v>
          </cell>
          <cell r="L530">
            <v>35</v>
          </cell>
          <cell r="M530">
            <v>0</v>
          </cell>
          <cell r="N530">
            <v>0</v>
          </cell>
          <cell r="O530">
            <v>35</v>
          </cell>
          <cell r="P530">
            <v>186</v>
          </cell>
          <cell r="Q530">
            <v>104</v>
          </cell>
          <cell r="R530">
            <v>82</v>
          </cell>
          <cell r="S530">
            <v>5063</v>
          </cell>
          <cell r="T530">
            <v>221</v>
          </cell>
        </row>
        <row r="531">
          <cell r="C531" t="str">
            <v>Ferndale city, Washington</v>
          </cell>
          <cell r="D531">
            <v>7182</v>
          </cell>
          <cell r="E531">
            <v>6556</v>
          </cell>
          <cell r="F531">
            <v>3694</v>
          </cell>
          <cell r="G531">
            <v>2780</v>
          </cell>
          <cell r="H531">
            <v>188</v>
          </cell>
          <cell r="I531">
            <v>770</v>
          </cell>
          <cell r="J531">
            <v>399</v>
          </cell>
          <cell r="K531">
            <v>1423</v>
          </cell>
          <cell r="L531">
            <v>82</v>
          </cell>
          <cell r="M531">
            <v>0</v>
          </cell>
          <cell r="N531">
            <v>0</v>
          </cell>
          <cell r="O531">
            <v>82</v>
          </cell>
          <cell r="P531">
            <v>626</v>
          </cell>
          <cell r="Q531">
            <v>200</v>
          </cell>
          <cell r="R531">
            <v>426</v>
          </cell>
          <cell r="S531">
            <v>6474</v>
          </cell>
          <cell r="T531">
            <v>708</v>
          </cell>
        </row>
        <row r="532">
          <cell r="C532" t="str">
            <v>Fife city, Washington</v>
          </cell>
          <cell r="D532">
            <v>3040</v>
          </cell>
          <cell r="E532">
            <v>2970</v>
          </cell>
          <cell r="F532">
            <v>1777</v>
          </cell>
          <cell r="G532">
            <v>1172</v>
          </cell>
          <cell r="H532">
            <v>124</v>
          </cell>
          <cell r="I532">
            <v>332</v>
          </cell>
          <cell r="J532">
            <v>174</v>
          </cell>
          <cell r="K532">
            <v>542</v>
          </cell>
          <cell r="L532">
            <v>21</v>
          </cell>
          <cell r="M532">
            <v>0</v>
          </cell>
          <cell r="N532">
            <v>0</v>
          </cell>
          <cell r="O532">
            <v>21</v>
          </cell>
          <cell r="P532">
            <v>70</v>
          </cell>
          <cell r="Q532">
            <v>50</v>
          </cell>
          <cell r="R532">
            <v>20</v>
          </cell>
          <cell r="S532">
            <v>2949</v>
          </cell>
          <cell r="T532">
            <v>91</v>
          </cell>
        </row>
        <row r="533">
          <cell r="C533" t="str">
            <v>Finley CDP, Washington</v>
          </cell>
          <cell r="D533">
            <v>4915</v>
          </cell>
          <cell r="E533">
            <v>4886</v>
          </cell>
          <cell r="F533">
            <v>2861</v>
          </cell>
          <cell r="G533">
            <v>1975</v>
          </cell>
          <cell r="H533">
            <v>54</v>
          </cell>
          <cell r="I533">
            <v>377</v>
          </cell>
          <cell r="J533">
            <v>452</v>
          </cell>
          <cell r="K533">
            <v>1092</v>
          </cell>
          <cell r="L533">
            <v>50</v>
          </cell>
          <cell r="M533">
            <v>0</v>
          </cell>
          <cell r="N533">
            <v>0</v>
          </cell>
          <cell r="O533">
            <v>50</v>
          </cell>
          <cell r="P533">
            <v>29</v>
          </cell>
          <cell r="Q533">
            <v>23</v>
          </cell>
          <cell r="R533">
            <v>6</v>
          </cell>
          <cell r="S533">
            <v>4836</v>
          </cell>
          <cell r="T533">
            <v>79</v>
          </cell>
        </row>
        <row r="534">
          <cell r="C534" t="str">
            <v>Fircrest city, Washington</v>
          </cell>
          <cell r="D534">
            <v>5039</v>
          </cell>
          <cell r="E534">
            <v>4868</v>
          </cell>
          <cell r="F534">
            <v>3008</v>
          </cell>
          <cell r="G534">
            <v>1821</v>
          </cell>
          <cell r="H534">
            <v>291</v>
          </cell>
          <cell r="I534">
            <v>534</v>
          </cell>
          <cell r="J534">
            <v>267</v>
          </cell>
          <cell r="K534">
            <v>729</v>
          </cell>
          <cell r="L534">
            <v>39</v>
          </cell>
          <cell r="M534">
            <v>0</v>
          </cell>
          <cell r="N534">
            <v>0</v>
          </cell>
          <cell r="O534">
            <v>39</v>
          </cell>
          <cell r="P534">
            <v>171</v>
          </cell>
          <cell r="Q534">
            <v>114</v>
          </cell>
          <cell r="R534">
            <v>57</v>
          </cell>
          <cell r="S534">
            <v>4829</v>
          </cell>
          <cell r="T534">
            <v>210</v>
          </cell>
        </row>
        <row r="535">
          <cell r="C535" t="str">
            <v>Five Corners CDP, Washington</v>
          </cell>
          <cell r="D535">
            <v>10419</v>
          </cell>
          <cell r="E535">
            <v>10108</v>
          </cell>
          <cell r="F535">
            <v>3567</v>
          </cell>
          <cell r="G535">
            <v>6446</v>
          </cell>
          <cell r="H535">
            <v>418</v>
          </cell>
          <cell r="I535">
            <v>1287</v>
          </cell>
          <cell r="J535">
            <v>503</v>
          </cell>
          <cell r="K535">
            <v>4238</v>
          </cell>
          <cell r="L535">
            <v>95</v>
          </cell>
          <cell r="M535">
            <v>0</v>
          </cell>
          <cell r="N535">
            <v>3</v>
          </cell>
          <cell r="O535">
            <v>92</v>
          </cell>
          <cell r="P535">
            <v>311</v>
          </cell>
          <cell r="Q535">
            <v>92</v>
          </cell>
          <cell r="R535">
            <v>219</v>
          </cell>
          <cell r="S535">
            <v>10013</v>
          </cell>
          <cell r="T535">
            <v>406</v>
          </cell>
        </row>
        <row r="536">
          <cell r="C536" t="str">
            <v>Fords Prairie CDP, Washington</v>
          </cell>
          <cell r="D536">
            <v>1785</v>
          </cell>
          <cell r="E536">
            <v>1760</v>
          </cell>
          <cell r="F536">
            <v>1046</v>
          </cell>
          <cell r="G536">
            <v>685</v>
          </cell>
          <cell r="H536">
            <v>27</v>
          </cell>
          <cell r="I536">
            <v>270</v>
          </cell>
          <cell r="J536">
            <v>86</v>
          </cell>
          <cell r="K536">
            <v>302</v>
          </cell>
          <cell r="L536">
            <v>29</v>
          </cell>
          <cell r="M536">
            <v>7</v>
          </cell>
          <cell r="N536">
            <v>0</v>
          </cell>
          <cell r="O536">
            <v>22</v>
          </cell>
          <cell r="P536">
            <v>25</v>
          </cell>
          <cell r="Q536">
            <v>25</v>
          </cell>
          <cell r="R536">
            <v>0</v>
          </cell>
          <cell r="S536">
            <v>1731</v>
          </cell>
          <cell r="T536">
            <v>54</v>
          </cell>
        </row>
        <row r="537">
          <cell r="C537" t="str">
            <v>Forks city, Washington</v>
          </cell>
          <cell r="D537">
            <v>2355</v>
          </cell>
          <cell r="E537">
            <v>2332</v>
          </cell>
          <cell r="F537">
            <v>1586</v>
          </cell>
          <cell r="G537">
            <v>736</v>
          </cell>
          <cell r="H537">
            <v>56</v>
          </cell>
          <cell r="I537">
            <v>128</v>
          </cell>
          <cell r="J537">
            <v>139</v>
          </cell>
          <cell r="K537">
            <v>413</v>
          </cell>
          <cell r="L537">
            <v>10</v>
          </cell>
          <cell r="M537">
            <v>0</v>
          </cell>
          <cell r="N537">
            <v>0</v>
          </cell>
          <cell r="O537">
            <v>10</v>
          </cell>
          <cell r="P537">
            <v>23</v>
          </cell>
          <cell r="Q537">
            <v>16</v>
          </cell>
          <cell r="R537">
            <v>7</v>
          </cell>
          <cell r="S537">
            <v>2322</v>
          </cell>
          <cell r="T537">
            <v>33</v>
          </cell>
        </row>
        <row r="538">
          <cell r="C538" t="str">
            <v>Fort Lewis CDP, Washington</v>
          </cell>
          <cell r="D538">
            <v>10540</v>
          </cell>
          <cell r="E538">
            <v>10377</v>
          </cell>
          <cell r="F538">
            <v>1418</v>
          </cell>
          <cell r="G538">
            <v>8490</v>
          </cell>
          <cell r="H538">
            <v>1251</v>
          </cell>
          <cell r="I538">
            <v>2276</v>
          </cell>
          <cell r="J538">
            <v>2660</v>
          </cell>
          <cell r="K538">
            <v>2303</v>
          </cell>
          <cell r="L538">
            <v>469</v>
          </cell>
          <cell r="M538">
            <v>15</v>
          </cell>
          <cell r="N538">
            <v>8</v>
          </cell>
          <cell r="O538">
            <v>446</v>
          </cell>
          <cell r="P538">
            <v>163</v>
          </cell>
          <cell r="Q538">
            <v>33</v>
          </cell>
          <cell r="R538">
            <v>130</v>
          </cell>
          <cell r="S538">
            <v>9908</v>
          </cell>
          <cell r="T538">
            <v>632</v>
          </cell>
        </row>
        <row r="539">
          <cell r="C539" t="str">
            <v>Fox Island CDP, Washington</v>
          </cell>
          <cell r="D539">
            <v>2626</v>
          </cell>
          <cell r="E539">
            <v>2600</v>
          </cell>
          <cell r="F539">
            <v>1420</v>
          </cell>
          <cell r="G539">
            <v>1135</v>
          </cell>
          <cell r="H539">
            <v>193</v>
          </cell>
          <cell r="I539">
            <v>352</v>
          </cell>
          <cell r="J539">
            <v>147</v>
          </cell>
          <cell r="K539">
            <v>443</v>
          </cell>
          <cell r="L539">
            <v>45</v>
          </cell>
          <cell r="M539">
            <v>0</v>
          </cell>
          <cell r="N539">
            <v>11</v>
          </cell>
          <cell r="O539">
            <v>34</v>
          </cell>
          <cell r="P539">
            <v>26</v>
          </cell>
          <cell r="Q539">
            <v>26</v>
          </cell>
          <cell r="R539">
            <v>0</v>
          </cell>
          <cell r="S539">
            <v>2555</v>
          </cell>
          <cell r="T539">
            <v>71</v>
          </cell>
        </row>
        <row r="540">
          <cell r="C540" t="str">
            <v>Frederickson CDP, Washington</v>
          </cell>
          <cell r="D540">
            <v>4885</v>
          </cell>
          <cell r="E540">
            <v>4785</v>
          </cell>
          <cell r="F540">
            <v>2613</v>
          </cell>
          <cell r="G540">
            <v>2075</v>
          </cell>
          <cell r="H540">
            <v>337</v>
          </cell>
          <cell r="I540">
            <v>525</v>
          </cell>
          <cell r="J540">
            <v>432</v>
          </cell>
          <cell r="K540">
            <v>781</v>
          </cell>
          <cell r="L540">
            <v>97</v>
          </cell>
          <cell r="M540">
            <v>0</v>
          </cell>
          <cell r="N540">
            <v>0</v>
          </cell>
          <cell r="O540">
            <v>97</v>
          </cell>
          <cell r="P540">
            <v>100</v>
          </cell>
          <cell r="Q540">
            <v>75</v>
          </cell>
          <cell r="R540">
            <v>25</v>
          </cell>
          <cell r="S540">
            <v>4688</v>
          </cell>
          <cell r="T540">
            <v>197</v>
          </cell>
        </row>
        <row r="541">
          <cell r="C541" t="str">
            <v>Freeland CDP, Washington</v>
          </cell>
          <cell r="D541">
            <v>1284</v>
          </cell>
          <cell r="E541">
            <v>1224</v>
          </cell>
          <cell r="F541">
            <v>627</v>
          </cell>
          <cell r="G541">
            <v>590</v>
          </cell>
          <cell r="H541">
            <v>66</v>
          </cell>
          <cell r="I541">
            <v>135</v>
          </cell>
          <cell r="J541">
            <v>121</v>
          </cell>
          <cell r="K541">
            <v>268</v>
          </cell>
          <cell r="L541">
            <v>7</v>
          </cell>
          <cell r="M541">
            <v>0</v>
          </cell>
          <cell r="N541">
            <v>0</v>
          </cell>
          <cell r="O541">
            <v>7</v>
          </cell>
          <cell r="P541">
            <v>60</v>
          </cell>
          <cell r="Q541">
            <v>47</v>
          </cell>
          <cell r="R541">
            <v>13</v>
          </cell>
          <cell r="S541">
            <v>1217</v>
          </cell>
          <cell r="T541">
            <v>67</v>
          </cell>
        </row>
        <row r="542">
          <cell r="C542" t="str">
            <v>Friday Harbor town, Washington</v>
          </cell>
          <cell r="D542">
            <v>1805</v>
          </cell>
          <cell r="E542">
            <v>1723</v>
          </cell>
          <cell r="F542">
            <v>680</v>
          </cell>
          <cell r="G542">
            <v>1017</v>
          </cell>
          <cell r="H542">
            <v>139</v>
          </cell>
          <cell r="I542">
            <v>211</v>
          </cell>
          <cell r="J542">
            <v>91</v>
          </cell>
          <cell r="K542">
            <v>576</v>
          </cell>
          <cell r="L542">
            <v>26</v>
          </cell>
          <cell r="M542">
            <v>0</v>
          </cell>
          <cell r="N542">
            <v>0</v>
          </cell>
          <cell r="O542">
            <v>26</v>
          </cell>
          <cell r="P542">
            <v>82</v>
          </cell>
          <cell r="Q542">
            <v>50</v>
          </cell>
          <cell r="R542">
            <v>32</v>
          </cell>
          <cell r="S542">
            <v>1697</v>
          </cell>
          <cell r="T542">
            <v>108</v>
          </cell>
        </row>
        <row r="543">
          <cell r="C543" t="str">
            <v>Garfield town, Washington</v>
          </cell>
          <cell r="D543">
            <v>600</v>
          </cell>
          <cell r="E543">
            <v>595</v>
          </cell>
          <cell r="F543">
            <v>301</v>
          </cell>
          <cell r="G543">
            <v>284</v>
          </cell>
          <cell r="H543">
            <v>16</v>
          </cell>
          <cell r="I543">
            <v>55</v>
          </cell>
          <cell r="J543">
            <v>14</v>
          </cell>
          <cell r="K543">
            <v>199</v>
          </cell>
          <cell r="L543">
            <v>10</v>
          </cell>
          <cell r="M543">
            <v>0</v>
          </cell>
          <cell r="N543">
            <v>0</v>
          </cell>
          <cell r="O543">
            <v>10</v>
          </cell>
          <cell r="P543">
            <v>5</v>
          </cell>
          <cell r="Q543">
            <v>5</v>
          </cell>
          <cell r="R543">
            <v>0</v>
          </cell>
          <cell r="S543">
            <v>585</v>
          </cell>
          <cell r="T543">
            <v>15</v>
          </cell>
        </row>
        <row r="544">
          <cell r="C544" t="str">
            <v>Garrett CDP, Washington</v>
          </cell>
          <cell r="D544">
            <v>947</v>
          </cell>
          <cell r="E544">
            <v>938</v>
          </cell>
          <cell r="F544">
            <v>553</v>
          </cell>
          <cell r="G544">
            <v>375</v>
          </cell>
          <cell r="H544">
            <v>44</v>
          </cell>
          <cell r="I544">
            <v>93</v>
          </cell>
          <cell r="J544">
            <v>37</v>
          </cell>
          <cell r="K544">
            <v>201</v>
          </cell>
          <cell r="L544">
            <v>10</v>
          </cell>
          <cell r="M544">
            <v>0</v>
          </cell>
          <cell r="N544">
            <v>0</v>
          </cell>
          <cell r="O544">
            <v>10</v>
          </cell>
          <cell r="P544">
            <v>9</v>
          </cell>
          <cell r="Q544">
            <v>9</v>
          </cell>
          <cell r="R544">
            <v>0</v>
          </cell>
          <cell r="S544">
            <v>928</v>
          </cell>
          <cell r="T544">
            <v>19</v>
          </cell>
        </row>
        <row r="545">
          <cell r="C545" t="str">
            <v>Geneva CDP, Washington</v>
          </cell>
          <cell r="D545">
            <v>1962</v>
          </cell>
          <cell r="E545">
            <v>1924</v>
          </cell>
          <cell r="F545">
            <v>1108</v>
          </cell>
          <cell r="G545">
            <v>765</v>
          </cell>
          <cell r="H545">
            <v>125</v>
          </cell>
          <cell r="I545">
            <v>211</v>
          </cell>
          <cell r="J545">
            <v>150</v>
          </cell>
          <cell r="K545">
            <v>279</v>
          </cell>
          <cell r="L545">
            <v>51</v>
          </cell>
          <cell r="M545">
            <v>0</v>
          </cell>
          <cell r="N545">
            <v>0</v>
          </cell>
          <cell r="O545">
            <v>51</v>
          </cell>
          <cell r="P545">
            <v>38</v>
          </cell>
          <cell r="Q545">
            <v>20</v>
          </cell>
          <cell r="R545">
            <v>18</v>
          </cell>
          <cell r="S545">
            <v>1873</v>
          </cell>
          <cell r="T545">
            <v>89</v>
          </cell>
        </row>
        <row r="546">
          <cell r="C546" t="str">
            <v>George city, Washington</v>
          </cell>
          <cell r="D546">
            <v>163</v>
          </cell>
          <cell r="E546">
            <v>154</v>
          </cell>
          <cell r="F546">
            <v>88</v>
          </cell>
          <cell r="G546">
            <v>66</v>
          </cell>
          <cell r="H546">
            <v>0</v>
          </cell>
          <cell r="I546">
            <v>27</v>
          </cell>
          <cell r="J546">
            <v>13</v>
          </cell>
          <cell r="K546">
            <v>26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9</v>
          </cell>
          <cell r="Q546">
            <v>0</v>
          </cell>
          <cell r="R546">
            <v>9</v>
          </cell>
          <cell r="S546">
            <v>154</v>
          </cell>
          <cell r="T546">
            <v>9</v>
          </cell>
        </row>
        <row r="547">
          <cell r="C547" t="str">
            <v>Gig Harbor city, Washington</v>
          </cell>
          <cell r="D547">
            <v>5988</v>
          </cell>
          <cell r="E547">
            <v>5821</v>
          </cell>
          <cell r="F547">
            <v>2849</v>
          </cell>
          <cell r="G547">
            <v>2929</v>
          </cell>
          <cell r="H547">
            <v>286</v>
          </cell>
          <cell r="I547">
            <v>864</v>
          </cell>
          <cell r="J547">
            <v>380</v>
          </cell>
          <cell r="K547">
            <v>1399</v>
          </cell>
          <cell r="L547">
            <v>43</v>
          </cell>
          <cell r="M547">
            <v>0</v>
          </cell>
          <cell r="N547">
            <v>0</v>
          </cell>
          <cell r="O547">
            <v>43</v>
          </cell>
          <cell r="P547">
            <v>167</v>
          </cell>
          <cell r="Q547">
            <v>110</v>
          </cell>
          <cell r="R547">
            <v>57</v>
          </cell>
          <cell r="S547">
            <v>5778</v>
          </cell>
          <cell r="T547">
            <v>210</v>
          </cell>
        </row>
        <row r="548">
          <cell r="C548" t="str">
            <v>Glacier CDP, Washington</v>
          </cell>
          <cell r="D548">
            <v>35</v>
          </cell>
          <cell r="E548">
            <v>35</v>
          </cell>
          <cell r="F548">
            <v>12</v>
          </cell>
          <cell r="G548">
            <v>23</v>
          </cell>
          <cell r="H548">
            <v>0</v>
          </cell>
          <cell r="I548">
            <v>10</v>
          </cell>
          <cell r="J548">
            <v>13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35</v>
          </cell>
          <cell r="T548">
            <v>0</v>
          </cell>
        </row>
        <row r="549">
          <cell r="C549" t="str">
            <v>Gleed CDP, Washington</v>
          </cell>
          <cell r="D549">
            <v>2253</v>
          </cell>
          <cell r="E549">
            <v>2239</v>
          </cell>
          <cell r="F549">
            <v>1372</v>
          </cell>
          <cell r="G549">
            <v>859</v>
          </cell>
          <cell r="H549">
            <v>34</v>
          </cell>
          <cell r="I549">
            <v>253</v>
          </cell>
          <cell r="J549">
            <v>130</v>
          </cell>
          <cell r="K549">
            <v>442</v>
          </cell>
          <cell r="L549">
            <v>8</v>
          </cell>
          <cell r="M549">
            <v>0</v>
          </cell>
          <cell r="N549">
            <v>0</v>
          </cell>
          <cell r="O549">
            <v>8</v>
          </cell>
          <cell r="P549">
            <v>14</v>
          </cell>
          <cell r="Q549">
            <v>0</v>
          </cell>
          <cell r="R549">
            <v>14</v>
          </cell>
          <cell r="S549">
            <v>2231</v>
          </cell>
          <cell r="T549">
            <v>22</v>
          </cell>
        </row>
        <row r="550">
          <cell r="C550" t="str">
            <v>Gold Bar city, Washington</v>
          </cell>
          <cell r="D550">
            <v>1736</v>
          </cell>
          <cell r="E550">
            <v>1705</v>
          </cell>
          <cell r="F550">
            <v>967</v>
          </cell>
          <cell r="G550">
            <v>721</v>
          </cell>
          <cell r="H550">
            <v>61</v>
          </cell>
          <cell r="I550">
            <v>214</v>
          </cell>
          <cell r="J550">
            <v>103</v>
          </cell>
          <cell r="K550">
            <v>343</v>
          </cell>
          <cell r="L550">
            <v>17</v>
          </cell>
          <cell r="M550">
            <v>0</v>
          </cell>
          <cell r="N550">
            <v>0</v>
          </cell>
          <cell r="O550">
            <v>17</v>
          </cell>
          <cell r="P550">
            <v>31</v>
          </cell>
          <cell r="Q550">
            <v>15</v>
          </cell>
          <cell r="R550">
            <v>16</v>
          </cell>
          <cell r="S550">
            <v>1688</v>
          </cell>
          <cell r="T550">
            <v>48</v>
          </cell>
        </row>
        <row r="551">
          <cell r="C551" t="str">
            <v>Goldendale city, Washington</v>
          </cell>
          <cell r="D551">
            <v>3249</v>
          </cell>
          <cell r="E551">
            <v>3230</v>
          </cell>
          <cell r="F551">
            <v>1530</v>
          </cell>
          <cell r="G551">
            <v>1662</v>
          </cell>
          <cell r="H551">
            <v>98</v>
          </cell>
          <cell r="I551">
            <v>407</v>
          </cell>
          <cell r="J551">
            <v>118</v>
          </cell>
          <cell r="K551">
            <v>1039</v>
          </cell>
          <cell r="L551">
            <v>38</v>
          </cell>
          <cell r="M551">
            <v>0</v>
          </cell>
          <cell r="N551">
            <v>0</v>
          </cell>
          <cell r="O551">
            <v>38</v>
          </cell>
          <cell r="P551">
            <v>19</v>
          </cell>
          <cell r="Q551">
            <v>0</v>
          </cell>
          <cell r="R551">
            <v>19</v>
          </cell>
          <cell r="S551">
            <v>3192</v>
          </cell>
          <cell r="T551">
            <v>57</v>
          </cell>
        </row>
        <row r="552">
          <cell r="C552" t="str">
            <v>Graham CDP, Washington</v>
          </cell>
          <cell r="D552">
            <v>7896</v>
          </cell>
          <cell r="E552">
            <v>7791</v>
          </cell>
          <cell r="F552">
            <v>4451</v>
          </cell>
          <cell r="G552">
            <v>3217</v>
          </cell>
          <cell r="H552">
            <v>384</v>
          </cell>
          <cell r="I552">
            <v>890</v>
          </cell>
          <cell r="J552">
            <v>416</v>
          </cell>
          <cell r="K552">
            <v>1527</v>
          </cell>
          <cell r="L552">
            <v>123</v>
          </cell>
          <cell r="M552">
            <v>0</v>
          </cell>
          <cell r="N552">
            <v>0</v>
          </cell>
          <cell r="O552">
            <v>123</v>
          </cell>
          <cell r="P552">
            <v>105</v>
          </cell>
          <cell r="Q552">
            <v>69</v>
          </cell>
          <cell r="R552">
            <v>36</v>
          </cell>
          <cell r="S552">
            <v>7668</v>
          </cell>
          <cell r="T552">
            <v>228</v>
          </cell>
        </row>
        <row r="553">
          <cell r="C553" t="str">
            <v>Grand Coulee city, Washington</v>
          </cell>
          <cell r="D553">
            <v>704</v>
          </cell>
          <cell r="E553">
            <v>695</v>
          </cell>
          <cell r="F553">
            <v>352</v>
          </cell>
          <cell r="G553">
            <v>340</v>
          </cell>
          <cell r="H553">
            <v>16</v>
          </cell>
          <cell r="I553">
            <v>100</v>
          </cell>
          <cell r="J553">
            <v>33</v>
          </cell>
          <cell r="K553">
            <v>191</v>
          </cell>
          <cell r="L553">
            <v>3</v>
          </cell>
          <cell r="M553">
            <v>0</v>
          </cell>
          <cell r="N553">
            <v>0</v>
          </cell>
          <cell r="O553">
            <v>3</v>
          </cell>
          <cell r="P553">
            <v>9</v>
          </cell>
          <cell r="Q553">
            <v>7</v>
          </cell>
          <cell r="R553">
            <v>2</v>
          </cell>
          <cell r="S553">
            <v>692</v>
          </cell>
          <cell r="T553">
            <v>12</v>
          </cell>
        </row>
        <row r="554">
          <cell r="C554" t="str">
            <v>Grand Mound CDP, Washington</v>
          </cell>
          <cell r="D554">
            <v>1782</v>
          </cell>
          <cell r="E554">
            <v>1771</v>
          </cell>
          <cell r="F554">
            <v>1251</v>
          </cell>
          <cell r="G554">
            <v>520</v>
          </cell>
          <cell r="H554">
            <v>15</v>
          </cell>
          <cell r="I554">
            <v>197</v>
          </cell>
          <cell r="J554">
            <v>56</v>
          </cell>
          <cell r="K554">
            <v>252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11</v>
          </cell>
          <cell r="Q554">
            <v>5</v>
          </cell>
          <cell r="R554">
            <v>6</v>
          </cell>
          <cell r="S554">
            <v>1771</v>
          </cell>
          <cell r="T554">
            <v>11</v>
          </cell>
        </row>
        <row r="555">
          <cell r="C555" t="str">
            <v>Grandview city, Washington</v>
          </cell>
          <cell r="D555">
            <v>2436</v>
          </cell>
          <cell r="E555">
            <v>2375</v>
          </cell>
          <cell r="F555">
            <v>1514</v>
          </cell>
          <cell r="G555">
            <v>851</v>
          </cell>
          <cell r="H555">
            <v>39</v>
          </cell>
          <cell r="I555">
            <v>289</v>
          </cell>
          <cell r="J555">
            <v>116</v>
          </cell>
          <cell r="K555">
            <v>407</v>
          </cell>
          <cell r="L555">
            <v>10</v>
          </cell>
          <cell r="M555">
            <v>0</v>
          </cell>
          <cell r="N555">
            <v>0</v>
          </cell>
          <cell r="O555">
            <v>10</v>
          </cell>
          <cell r="P555">
            <v>61</v>
          </cell>
          <cell r="Q555">
            <v>13</v>
          </cell>
          <cell r="R555">
            <v>48</v>
          </cell>
          <cell r="S555">
            <v>2365</v>
          </cell>
          <cell r="T555">
            <v>71</v>
          </cell>
        </row>
        <row r="556">
          <cell r="C556" t="str">
            <v>Granger town, Washington</v>
          </cell>
          <cell r="D556">
            <v>281</v>
          </cell>
          <cell r="E556">
            <v>274</v>
          </cell>
          <cell r="F556">
            <v>159</v>
          </cell>
          <cell r="G556">
            <v>111</v>
          </cell>
          <cell r="H556">
            <v>4</v>
          </cell>
          <cell r="I556">
            <v>38</v>
          </cell>
          <cell r="J556">
            <v>27</v>
          </cell>
          <cell r="K556">
            <v>42</v>
          </cell>
          <cell r="L556">
            <v>4</v>
          </cell>
          <cell r="M556">
            <v>0</v>
          </cell>
          <cell r="N556">
            <v>0</v>
          </cell>
          <cell r="O556">
            <v>4</v>
          </cell>
          <cell r="P556">
            <v>7</v>
          </cell>
          <cell r="Q556">
            <v>2</v>
          </cell>
          <cell r="R556">
            <v>5</v>
          </cell>
          <cell r="S556">
            <v>270</v>
          </cell>
          <cell r="T556">
            <v>11</v>
          </cell>
        </row>
        <row r="557">
          <cell r="C557" t="str">
            <v>Granite Falls city, Washington</v>
          </cell>
          <cell r="D557">
            <v>2094</v>
          </cell>
          <cell r="E557">
            <v>2072</v>
          </cell>
          <cell r="F557">
            <v>1248</v>
          </cell>
          <cell r="G557">
            <v>809</v>
          </cell>
          <cell r="H557">
            <v>62</v>
          </cell>
          <cell r="I557">
            <v>209</v>
          </cell>
          <cell r="J557">
            <v>96</v>
          </cell>
          <cell r="K557">
            <v>442</v>
          </cell>
          <cell r="L557">
            <v>15</v>
          </cell>
          <cell r="M557">
            <v>0</v>
          </cell>
          <cell r="N557">
            <v>0</v>
          </cell>
          <cell r="O557">
            <v>15</v>
          </cell>
          <cell r="P557">
            <v>22</v>
          </cell>
          <cell r="Q557">
            <v>7</v>
          </cell>
          <cell r="R557">
            <v>15</v>
          </cell>
          <cell r="S557">
            <v>2057</v>
          </cell>
          <cell r="T557">
            <v>37</v>
          </cell>
        </row>
        <row r="558">
          <cell r="C558" t="str">
            <v>Grayland CDP, Washington</v>
          </cell>
          <cell r="D558">
            <v>902</v>
          </cell>
          <cell r="E558">
            <v>893</v>
          </cell>
          <cell r="F558">
            <v>483</v>
          </cell>
          <cell r="G558">
            <v>395</v>
          </cell>
          <cell r="H558">
            <v>31</v>
          </cell>
          <cell r="I558">
            <v>160</v>
          </cell>
          <cell r="J558">
            <v>38</v>
          </cell>
          <cell r="K558">
            <v>166</v>
          </cell>
          <cell r="L558">
            <v>15</v>
          </cell>
          <cell r="M558">
            <v>0</v>
          </cell>
          <cell r="N558">
            <v>0</v>
          </cell>
          <cell r="O558">
            <v>15</v>
          </cell>
          <cell r="P558">
            <v>9</v>
          </cell>
          <cell r="Q558">
            <v>9</v>
          </cell>
          <cell r="R558">
            <v>0</v>
          </cell>
          <cell r="S558">
            <v>878</v>
          </cell>
          <cell r="T558">
            <v>24</v>
          </cell>
        </row>
        <row r="559">
          <cell r="C559" t="str">
            <v>Green Acres CDP, Washington</v>
          </cell>
          <cell r="D559">
            <v>4849</v>
          </cell>
          <cell r="E559">
            <v>4719</v>
          </cell>
          <cell r="F559">
            <v>2615</v>
          </cell>
          <cell r="G559">
            <v>2094</v>
          </cell>
          <cell r="H559">
            <v>146</v>
          </cell>
          <cell r="I559">
            <v>453</v>
          </cell>
          <cell r="J559">
            <v>195</v>
          </cell>
          <cell r="K559">
            <v>1300</v>
          </cell>
          <cell r="L559">
            <v>10</v>
          </cell>
          <cell r="M559">
            <v>0</v>
          </cell>
          <cell r="N559">
            <v>0</v>
          </cell>
          <cell r="O559">
            <v>10</v>
          </cell>
          <cell r="P559">
            <v>130</v>
          </cell>
          <cell r="Q559">
            <v>78</v>
          </cell>
          <cell r="R559">
            <v>52</v>
          </cell>
          <cell r="S559">
            <v>4709</v>
          </cell>
          <cell r="T559">
            <v>140</v>
          </cell>
        </row>
        <row r="560">
          <cell r="C560" t="str">
            <v>Greenwater CDP, Washington</v>
          </cell>
          <cell r="D560">
            <v>67</v>
          </cell>
          <cell r="E560">
            <v>63</v>
          </cell>
          <cell r="F560">
            <v>33</v>
          </cell>
          <cell r="G560">
            <v>30</v>
          </cell>
          <cell r="H560">
            <v>0</v>
          </cell>
          <cell r="I560">
            <v>18</v>
          </cell>
          <cell r="J560">
            <v>4</v>
          </cell>
          <cell r="K560">
            <v>8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4</v>
          </cell>
          <cell r="Q560">
            <v>4</v>
          </cell>
          <cell r="R560">
            <v>0</v>
          </cell>
          <cell r="S560">
            <v>63</v>
          </cell>
          <cell r="T560">
            <v>4</v>
          </cell>
        </row>
        <row r="561">
          <cell r="C561" t="str">
            <v>Hamilton town, Washington</v>
          </cell>
          <cell r="D561">
            <v>302</v>
          </cell>
          <cell r="E561">
            <v>298</v>
          </cell>
          <cell r="F561">
            <v>176</v>
          </cell>
          <cell r="G561">
            <v>119</v>
          </cell>
          <cell r="H561">
            <v>8</v>
          </cell>
          <cell r="I561">
            <v>36</v>
          </cell>
          <cell r="J561">
            <v>24</v>
          </cell>
          <cell r="K561">
            <v>51</v>
          </cell>
          <cell r="L561">
            <v>3</v>
          </cell>
          <cell r="M561">
            <v>0</v>
          </cell>
          <cell r="N561">
            <v>0</v>
          </cell>
          <cell r="O561">
            <v>3</v>
          </cell>
          <cell r="P561">
            <v>4</v>
          </cell>
          <cell r="Q561">
            <v>0</v>
          </cell>
          <cell r="R561">
            <v>4</v>
          </cell>
          <cell r="S561">
            <v>295</v>
          </cell>
          <cell r="T561">
            <v>7</v>
          </cell>
        </row>
        <row r="562">
          <cell r="C562" t="str">
            <v>Harrah town, Washington</v>
          </cell>
          <cell r="D562">
            <v>172</v>
          </cell>
          <cell r="E562">
            <v>169</v>
          </cell>
          <cell r="F562">
            <v>87</v>
          </cell>
          <cell r="G562">
            <v>82</v>
          </cell>
          <cell r="H562">
            <v>5</v>
          </cell>
          <cell r="I562">
            <v>28</v>
          </cell>
          <cell r="J562">
            <v>12</v>
          </cell>
          <cell r="K562">
            <v>37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3</v>
          </cell>
          <cell r="Q562">
            <v>3</v>
          </cell>
          <cell r="R562">
            <v>0</v>
          </cell>
          <cell r="S562">
            <v>169</v>
          </cell>
          <cell r="T562">
            <v>3</v>
          </cell>
        </row>
        <row r="563">
          <cell r="C563" t="str">
            <v>Harrington city, Washington</v>
          </cell>
          <cell r="D563">
            <v>333</v>
          </cell>
          <cell r="E563">
            <v>331</v>
          </cell>
          <cell r="F563">
            <v>232</v>
          </cell>
          <cell r="G563">
            <v>95</v>
          </cell>
          <cell r="H563">
            <v>3</v>
          </cell>
          <cell r="I563">
            <v>34</v>
          </cell>
          <cell r="J563">
            <v>8</v>
          </cell>
          <cell r="K563">
            <v>50</v>
          </cell>
          <cell r="L563">
            <v>4</v>
          </cell>
          <cell r="M563">
            <v>0</v>
          </cell>
          <cell r="N563">
            <v>0</v>
          </cell>
          <cell r="O563">
            <v>4</v>
          </cell>
          <cell r="P563">
            <v>2</v>
          </cell>
          <cell r="Q563">
            <v>2</v>
          </cell>
          <cell r="R563">
            <v>0</v>
          </cell>
          <cell r="S563">
            <v>327</v>
          </cell>
          <cell r="T563">
            <v>6</v>
          </cell>
        </row>
        <row r="564">
          <cell r="C564" t="str">
            <v>Hartline town, Washington</v>
          </cell>
          <cell r="D564">
            <v>134</v>
          </cell>
          <cell r="E564">
            <v>131</v>
          </cell>
          <cell r="F564">
            <v>72</v>
          </cell>
          <cell r="G564">
            <v>59</v>
          </cell>
          <cell r="H564">
            <v>0</v>
          </cell>
          <cell r="I564">
            <v>14</v>
          </cell>
          <cell r="J564">
            <v>9</v>
          </cell>
          <cell r="K564">
            <v>36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3</v>
          </cell>
          <cell r="Q564">
            <v>3</v>
          </cell>
          <cell r="R564">
            <v>0</v>
          </cell>
          <cell r="S564">
            <v>131</v>
          </cell>
          <cell r="T564">
            <v>3</v>
          </cell>
        </row>
        <row r="565">
          <cell r="C565" t="str">
            <v>Hatton town, Washington</v>
          </cell>
          <cell r="D565">
            <v>71</v>
          </cell>
          <cell r="E565">
            <v>71</v>
          </cell>
          <cell r="F565">
            <v>30</v>
          </cell>
          <cell r="G565">
            <v>41</v>
          </cell>
          <cell r="H565">
            <v>0</v>
          </cell>
          <cell r="I565">
            <v>10</v>
          </cell>
          <cell r="J565">
            <v>6</v>
          </cell>
          <cell r="K565">
            <v>25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71</v>
          </cell>
          <cell r="T565">
            <v>0</v>
          </cell>
        </row>
        <row r="566">
          <cell r="C566" t="str">
            <v>Hazel Dell North CDP, Washington</v>
          </cell>
          <cell r="D566">
            <v>7624</v>
          </cell>
          <cell r="E566">
            <v>7275</v>
          </cell>
          <cell r="F566">
            <v>2593</v>
          </cell>
          <cell r="G566">
            <v>4624</v>
          </cell>
          <cell r="H566">
            <v>156</v>
          </cell>
          <cell r="I566">
            <v>998</v>
          </cell>
          <cell r="J566">
            <v>418</v>
          </cell>
          <cell r="K566">
            <v>3052</v>
          </cell>
          <cell r="L566">
            <v>58</v>
          </cell>
          <cell r="M566">
            <v>0</v>
          </cell>
          <cell r="N566">
            <v>18</v>
          </cell>
          <cell r="O566">
            <v>40</v>
          </cell>
          <cell r="P566">
            <v>349</v>
          </cell>
          <cell r="Q566">
            <v>62</v>
          </cell>
          <cell r="R566">
            <v>287</v>
          </cell>
          <cell r="S566">
            <v>7217</v>
          </cell>
          <cell r="T566">
            <v>407</v>
          </cell>
        </row>
        <row r="567">
          <cell r="C567" t="str">
            <v>Hazel Dell South CDP, Washington</v>
          </cell>
          <cell r="D567">
            <v>5911</v>
          </cell>
          <cell r="E567">
            <v>5839</v>
          </cell>
          <cell r="F567">
            <v>2000</v>
          </cell>
          <cell r="G567">
            <v>3787</v>
          </cell>
          <cell r="H567">
            <v>214</v>
          </cell>
          <cell r="I567">
            <v>720</v>
          </cell>
          <cell r="J567">
            <v>348</v>
          </cell>
          <cell r="K567">
            <v>2505</v>
          </cell>
          <cell r="L567">
            <v>52</v>
          </cell>
          <cell r="M567">
            <v>0</v>
          </cell>
          <cell r="N567">
            <v>0</v>
          </cell>
          <cell r="O567">
            <v>52</v>
          </cell>
          <cell r="P567">
            <v>72</v>
          </cell>
          <cell r="Q567">
            <v>47</v>
          </cell>
          <cell r="R567">
            <v>25</v>
          </cell>
          <cell r="S567">
            <v>5787</v>
          </cell>
          <cell r="T567">
            <v>124</v>
          </cell>
        </row>
        <row r="568">
          <cell r="C568" t="str">
            <v>Highland CDP, Washington</v>
          </cell>
          <cell r="D568">
            <v>2910</v>
          </cell>
          <cell r="E568">
            <v>2898</v>
          </cell>
          <cell r="F568">
            <v>1537</v>
          </cell>
          <cell r="G568">
            <v>1332</v>
          </cell>
          <cell r="H568">
            <v>103</v>
          </cell>
          <cell r="I568">
            <v>363</v>
          </cell>
          <cell r="J568">
            <v>141</v>
          </cell>
          <cell r="K568">
            <v>725</v>
          </cell>
          <cell r="L568">
            <v>29</v>
          </cell>
          <cell r="M568">
            <v>0</v>
          </cell>
          <cell r="N568">
            <v>0</v>
          </cell>
          <cell r="O568">
            <v>29</v>
          </cell>
          <cell r="P568">
            <v>12</v>
          </cell>
          <cell r="Q568">
            <v>12</v>
          </cell>
          <cell r="R568">
            <v>0</v>
          </cell>
          <cell r="S568">
            <v>2869</v>
          </cell>
          <cell r="T568">
            <v>41</v>
          </cell>
        </row>
        <row r="569">
          <cell r="C569" t="str">
            <v>Hobart CDP, Washington</v>
          </cell>
          <cell r="D569">
            <v>5743</v>
          </cell>
          <cell r="E569">
            <v>5601</v>
          </cell>
          <cell r="F569">
            <v>3312</v>
          </cell>
          <cell r="G569">
            <v>2242</v>
          </cell>
          <cell r="H569">
            <v>252</v>
          </cell>
          <cell r="I569">
            <v>818</v>
          </cell>
          <cell r="J569">
            <v>269</v>
          </cell>
          <cell r="K569">
            <v>903</v>
          </cell>
          <cell r="L569">
            <v>47</v>
          </cell>
          <cell r="M569">
            <v>0</v>
          </cell>
          <cell r="N569">
            <v>0</v>
          </cell>
          <cell r="O569">
            <v>47</v>
          </cell>
          <cell r="P569">
            <v>142</v>
          </cell>
          <cell r="Q569">
            <v>124</v>
          </cell>
          <cell r="R569">
            <v>18</v>
          </cell>
          <cell r="S569">
            <v>5554</v>
          </cell>
          <cell r="T569">
            <v>189</v>
          </cell>
        </row>
        <row r="570">
          <cell r="C570" t="str">
            <v>Hockinson CDP, Washington</v>
          </cell>
          <cell r="D570">
            <v>4704</v>
          </cell>
          <cell r="E570">
            <v>4602</v>
          </cell>
          <cell r="F570">
            <v>1572</v>
          </cell>
          <cell r="G570">
            <v>2971</v>
          </cell>
          <cell r="H570">
            <v>121</v>
          </cell>
          <cell r="I570">
            <v>562</v>
          </cell>
          <cell r="J570">
            <v>157</v>
          </cell>
          <cell r="K570">
            <v>2131</v>
          </cell>
          <cell r="L570">
            <v>59</v>
          </cell>
          <cell r="M570">
            <v>0</v>
          </cell>
          <cell r="N570">
            <v>0</v>
          </cell>
          <cell r="O570">
            <v>59</v>
          </cell>
          <cell r="P570">
            <v>102</v>
          </cell>
          <cell r="Q570">
            <v>64</v>
          </cell>
          <cell r="R570">
            <v>38</v>
          </cell>
          <cell r="S570">
            <v>4543</v>
          </cell>
          <cell r="T570">
            <v>161</v>
          </cell>
        </row>
        <row r="571">
          <cell r="C571" t="str">
            <v>Hoquiam city, Washington</v>
          </cell>
          <cell r="D571">
            <v>7818</v>
          </cell>
          <cell r="E571">
            <v>7657</v>
          </cell>
          <cell r="F571">
            <v>5231</v>
          </cell>
          <cell r="G571">
            <v>2348</v>
          </cell>
          <cell r="H571">
            <v>166</v>
          </cell>
          <cell r="I571">
            <v>825</v>
          </cell>
          <cell r="J571">
            <v>354</v>
          </cell>
          <cell r="K571">
            <v>1003</v>
          </cell>
          <cell r="L571">
            <v>78</v>
          </cell>
          <cell r="M571">
            <v>7</v>
          </cell>
          <cell r="N571">
            <v>0</v>
          </cell>
          <cell r="O571">
            <v>71</v>
          </cell>
          <cell r="P571">
            <v>161</v>
          </cell>
          <cell r="Q571">
            <v>125</v>
          </cell>
          <cell r="R571">
            <v>36</v>
          </cell>
          <cell r="S571">
            <v>7579</v>
          </cell>
          <cell r="T571">
            <v>239</v>
          </cell>
        </row>
        <row r="572">
          <cell r="C572" t="str">
            <v>Humptulips CDP, Washington</v>
          </cell>
          <cell r="D572">
            <v>169</v>
          </cell>
          <cell r="E572">
            <v>165</v>
          </cell>
          <cell r="F572">
            <v>98</v>
          </cell>
          <cell r="G572">
            <v>67</v>
          </cell>
          <cell r="H572">
            <v>0</v>
          </cell>
          <cell r="I572">
            <v>6</v>
          </cell>
          <cell r="J572">
            <v>13</v>
          </cell>
          <cell r="K572">
            <v>48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</v>
          </cell>
          <cell r="Q572">
            <v>0</v>
          </cell>
          <cell r="R572">
            <v>4</v>
          </cell>
          <cell r="S572">
            <v>165</v>
          </cell>
          <cell r="T572">
            <v>4</v>
          </cell>
        </row>
        <row r="573">
          <cell r="C573" t="str">
            <v>Hunts Point town, Washington</v>
          </cell>
          <cell r="D573">
            <v>385</v>
          </cell>
          <cell r="E573">
            <v>368</v>
          </cell>
          <cell r="F573">
            <v>174</v>
          </cell>
          <cell r="G573">
            <v>192</v>
          </cell>
          <cell r="H573">
            <v>37</v>
          </cell>
          <cell r="I573">
            <v>45</v>
          </cell>
          <cell r="J573">
            <v>29</v>
          </cell>
          <cell r="K573">
            <v>81</v>
          </cell>
          <cell r="L573">
            <v>2</v>
          </cell>
          <cell r="M573">
            <v>0</v>
          </cell>
          <cell r="N573">
            <v>0</v>
          </cell>
          <cell r="O573">
            <v>2</v>
          </cell>
          <cell r="P573">
            <v>17</v>
          </cell>
          <cell r="Q573">
            <v>2</v>
          </cell>
          <cell r="R573">
            <v>15</v>
          </cell>
          <cell r="S573">
            <v>366</v>
          </cell>
          <cell r="T573">
            <v>19</v>
          </cell>
        </row>
        <row r="574">
          <cell r="C574" t="str">
            <v>Ilwaco city, Washington</v>
          </cell>
          <cell r="D574">
            <v>833</v>
          </cell>
          <cell r="E574">
            <v>809</v>
          </cell>
          <cell r="F574">
            <v>241</v>
          </cell>
          <cell r="G574">
            <v>558</v>
          </cell>
          <cell r="H574">
            <v>24</v>
          </cell>
          <cell r="I574">
            <v>109</v>
          </cell>
          <cell r="J574">
            <v>27</v>
          </cell>
          <cell r="K574">
            <v>398</v>
          </cell>
          <cell r="L574">
            <v>10</v>
          </cell>
          <cell r="M574">
            <v>0</v>
          </cell>
          <cell r="N574">
            <v>0</v>
          </cell>
          <cell r="O574">
            <v>10</v>
          </cell>
          <cell r="P574">
            <v>24</v>
          </cell>
          <cell r="Q574">
            <v>14</v>
          </cell>
          <cell r="R574">
            <v>10</v>
          </cell>
          <cell r="S574">
            <v>799</v>
          </cell>
          <cell r="T574">
            <v>34</v>
          </cell>
        </row>
        <row r="575">
          <cell r="C575" t="str">
            <v>Inchelium CDP, Washington</v>
          </cell>
          <cell r="D575">
            <v>107</v>
          </cell>
          <cell r="E575">
            <v>107</v>
          </cell>
          <cell r="F575">
            <v>69</v>
          </cell>
          <cell r="G575">
            <v>38</v>
          </cell>
          <cell r="H575">
            <v>2</v>
          </cell>
          <cell r="I575">
            <v>4</v>
          </cell>
          <cell r="J575">
            <v>5</v>
          </cell>
          <cell r="K575">
            <v>27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107</v>
          </cell>
          <cell r="T575">
            <v>0</v>
          </cell>
        </row>
        <row r="576">
          <cell r="C576" t="str">
            <v>Index town, Washington</v>
          </cell>
          <cell r="D576">
            <v>140</v>
          </cell>
          <cell r="E576">
            <v>138</v>
          </cell>
          <cell r="F576">
            <v>89</v>
          </cell>
          <cell r="G576">
            <v>49</v>
          </cell>
          <cell r="H576">
            <v>10</v>
          </cell>
          <cell r="I576">
            <v>22</v>
          </cell>
          <cell r="J576">
            <v>6</v>
          </cell>
          <cell r="K576">
            <v>11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2</v>
          </cell>
          <cell r="Q576">
            <v>2</v>
          </cell>
          <cell r="R576">
            <v>0</v>
          </cell>
          <cell r="S576">
            <v>138</v>
          </cell>
          <cell r="T576">
            <v>2</v>
          </cell>
        </row>
        <row r="577">
          <cell r="C577" t="str">
            <v>Indianola CDP, Washington</v>
          </cell>
          <cell r="D577">
            <v>2613</v>
          </cell>
          <cell r="E577">
            <v>2550</v>
          </cell>
          <cell r="F577">
            <v>1297</v>
          </cell>
          <cell r="G577">
            <v>1225</v>
          </cell>
          <cell r="H577">
            <v>202</v>
          </cell>
          <cell r="I577">
            <v>289</v>
          </cell>
          <cell r="J577">
            <v>139</v>
          </cell>
          <cell r="K577">
            <v>595</v>
          </cell>
          <cell r="L577">
            <v>28</v>
          </cell>
          <cell r="M577">
            <v>0</v>
          </cell>
          <cell r="N577">
            <v>3</v>
          </cell>
          <cell r="O577">
            <v>25</v>
          </cell>
          <cell r="P577">
            <v>63</v>
          </cell>
          <cell r="Q577">
            <v>28</v>
          </cell>
          <cell r="R577">
            <v>35</v>
          </cell>
          <cell r="S577">
            <v>2522</v>
          </cell>
          <cell r="T577">
            <v>91</v>
          </cell>
        </row>
        <row r="578">
          <cell r="C578" t="str">
            <v>Inglewood-Finn Hill CDP, Washington</v>
          </cell>
          <cell r="D578">
            <v>18920</v>
          </cell>
          <cell r="E578">
            <v>17705</v>
          </cell>
          <cell r="F578">
            <v>9286</v>
          </cell>
          <cell r="G578">
            <v>8216</v>
          </cell>
          <cell r="H578">
            <v>1103</v>
          </cell>
          <cell r="I578">
            <v>2496</v>
          </cell>
          <cell r="J578">
            <v>990</v>
          </cell>
          <cell r="K578">
            <v>3627</v>
          </cell>
          <cell r="L578">
            <v>203</v>
          </cell>
          <cell r="M578">
            <v>7</v>
          </cell>
          <cell r="N578">
            <v>15</v>
          </cell>
          <cell r="O578">
            <v>181</v>
          </cell>
          <cell r="P578">
            <v>1215</v>
          </cell>
          <cell r="Q578">
            <v>614</v>
          </cell>
          <cell r="R578">
            <v>601</v>
          </cell>
          <cell r="S578">
            <v>17502</v>
          </cell>
          <cell r="T578">
            <v>1418</v>
          </cell>
        </row>
        <row r="579">
          <cell r="C579" t="str">
            <v>Ione town, Washington</v>
          </cell>
          <cell r="D579">
            <v>444</v>
          </cell>
          <cell r="E579">
            <v>431</v>
          </cell>
          <cell r="F579">
            <v>248</v>
          </cell>
          <cell r="G579">
            <v>178</v>
          </cell>
          <cell r="H579">
            <v>17</v>
          </cell>
          <cell r="I579">
            <v>52</v>
          </cell>
          <cell r="J579">
            <v>31</v>
          </cell>
          <cell r="K579">
            <v>78</v>
          </cell>
          <cell r="L579">
            <v>5</v>
          </cell>
          <cell r="M579">
            <v>0</v>
          </cell>
          <cell r="N579">
            <v>0</v>
          </cell>
          <cell r="O579">
            <v>5</v>
          </cell>
          <cell r="P579">
            <v>13</v>
          </cell>
          <cell r="Q579">
            <v>8</v>
          </cell>
          <cell r="R579">
            <v>5</v>
          </cell>
          <cell r="S579">
            <v>426</v>
          </cell>
          <cell r="T579">
            <v>18</v>
          </cell>
        </row>
        <row r="580">
          <cell r="C580" t="str">
            <v>Issaquah city, Washington</v>
          </cell>
          <cell r="D580">
            <v>9484</v>
          </cell>
          <cell r="E580">
            <v>9004</v>
          </cell>
          <cell r="F580">
            <v>3489</v>
          </cell>
          <cell r="G580">
            <v>5432</v>
          </cell>
          <cell r="H580">
            <v>693</v>
          </cell>
          <cell r="I580">
            <v>1624</v>
          </cell>
          <cell r="J580">
            <v>672</v>
          </cell>
          <cell r="K580">
            <v>2443</v>
          </cell>
          <cell r="L580">
            <v>83</v>
          </cell>
          <cell r="M580">
            <v>0</v>
          </cell>
          <cell r="N580">
            <v>9</v>
          </cell>
          <cell r="O580">
            <v>74</v>
          </cell>
          <cell r="P580">
            <v>480</v>
          </cell>
          <cell r="Q580">
            <v>298</v>
          </cell>
          <cell r="R580">
            <v>182</v>
          </cell>
          <cell r="S580">
            <v>8921</v>
          </cell>
          <cell r="T580">
            <v>563</v>
          </cell>
        </row>
        <row r="581">
          <cell r="C581" t="str">
            <v>John Sam Lake CDP, Washington</v>
          </cell>
          <cell r="D581">
            <v>650</v>
          </cell>
          <cell r="E581">
            <v>625</v>
          </cell>
          <cell r="F581">
            <v>363</v>
          </cell>
          <cell r="G581">
            <v>254</v>
          </cell>
          <cell r="H581">
            <v>23</v>
          </cell>
          <cell r="I581">
            <v>33</v>
          </cell>
          <cell r="J581">
            <v>54</v>
          </cell>
          <cell r="K581">
            <v>144</v>
          </cell>
          <cell r="L581">
            <v>8</v>
          </cell>
          <cell r="M581">
            <v>2</v>
          </cell>
          <cell r="N581">
            <v>0</v>
          </cell>
          <cell r="O581">
            <v>6</v>
          </cell>
          <cell r="P581">
            <v>25</v>
          </cell>
          <cell r="Q581">
            <v>19</v>
          </cell>
          <cell r="R581">
            <v>6</v>
          </cell>
          <cell r="S581">
            <v>617</v>
          </cell>
          <cell r="T581">
            <v>33</v>
          </cell>
        </row>
        <row r="582">
          <cell r="C582" t="str">
            <v>Jordan Road-Canyon Creek CDP, Washington</v>
          </cell>
          <cell r="D582">
            <v>2212</v>
          </cell>
          <cell r="E582">
            <v>2212</v>
          </cell>
          <cell r="F582">
            <v>1497</v>
          </cell>
          <cell r="G582">
            <v>680</v>
          </cell>
          <cell r="H582">
            <v>28</v>
          </cell>
          <cell r="I582">
            <v>189</v>
          </cell>
          <cell r="J582">
            <v>91</v>
          </cell>
          <cell r="K582">
            <v>372</v>
          </cell>
          <cell r="L582">
            <v>35</v>
          </cell>
          <cell r="M582">
            <v>0</v>
          </cell>
          <cell r="N582">
            <v>0</v>
          </cell>
          <cell r="O582">
            <v>35</v>
          </cell>
          <cell r="P582">
            <v>0</v>
          </cell>
          <cell r="Q582">
            <v>0</v>
          </cell>
          <cell r="R582">
            <v>0</v>
          </cell>
          <cell r="S582">
            <v>2177</v>
          </cell>
          <cell r="T582">
            <v>35</v>
          </cell>
        </row>
        <row r="583">
          <cell r="C583" t="str">
            <v>Junction City CDP, Washington</v>
          </cell>
          <cell r="D583">
            <v>95</v>
          </cell>
          <cell r="E583">
            <v>95</v>
          </cell>
          <cell r="F583">
            <v>74</v>
          </cell>
          <cell r="G583">
            <v>21</v>
          </cell>
          <cell r="H583">
            <v>0</v>
          </cell>
          <cell r="I583">
            <v>6</v>
          </cell>
          <cell r="J583">
            <v>0</v>
          </cell>
          <cell r="K583">
            <v>15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95</v>
          </cell>
          <cell r="T583">
            <v>0</v>
          </cell>
        </row>
        <row r="584">
          <cell r="C584" t="str">
            <v>Kahlotus city, Washington</v>
          </cell>
          <cell r="D584">
            <v>228</v>
          </cell>
          <cell r="E584">
            <v>228</v>
          </cell>
          <cell r="F584">
            <v>113</v>
          </cell>
          <cell r="G584">
            <v>115</v>
          </cell>
          <cell r="H584">
            <v>11</v>
          </cell>
          <cell r="I584">
            <v>26</v>
          </cell>
          <cell r="J584">
            <v>28</v>
          </cell>
          <cell r="K584">
            <v>50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228</v>
          </cell>
          <cell r="T584">
            <v>0</v>
          </cell>
        </row>
        <row r="585">
          <cell r="C585" t="str">
            <v>Kalama city, Washington</v>
          </cell>
          <cell r="D585">
            <v>1669</v>
          </cell>
          <cell r="E585">
            <v>1639</v>
          </cell>
          <cell r="F585">
            <v>798</v>
          </cell>
          <cell r="G585">
            <v>827</v>
          </cell>
          <cell r="H585">
            <v>53</v>
          </cell>
          <cell r="I585">
            <v>239</v>
          </cell>
          <cell r="J585">
            <v>87</v>
          </cell>
          <cell r="K585">
            <v>448</v>
          </cell>
          <cell r="L585">
            <v>14</v>
          </cell>
          <cell r="M585">
            <v>0</v>
          </cell>
          <cell r="N585">
            <v>0</v>
          </cell>
          <cell r="O585">
            <v>14</v>
          </cell>
          <cell r="P585">
            <v>30</v>
          </cell>
          <cell r="Q585">
            <v>16</v>
          </cell>
          <cell r="R585">
            <v>14</v>
          </cell>
          <cell r="S585">
            <v>1625</v>
          </cell>
          <cell r="T585">
            <v>44</v>
          </cell>
        </row>
        <row r="586">
          <cell r="C586" t="str">
            <v>Kelso city, Washington</v>
          </cell>
          <cell r="D586">
            <v>10554</v>
          </cell>
          <cell r="E586">
            <v>10392</v>
          </cell>
          <cell r="F586">
            <v>5762</v>
          </cell>
          <cell r="G586">
            <v>4590</v>
          </cell>
          <cell r="H586">
            <v>130</v>
          </cell>
          <cell r="I586">
            <v>1122</v>
          </cell>
          <cell r="J586">
            <v>516</v>
          </cell>
          <cell r="K586">
            <v>2822</v>
          </cell>
          <cell r="L586">
            <v>40</v>
          </cell>
          <cell r="M586">
            <v>0</v>
          </cell>
          <cell r="N586">
            <v>0</v>
          </cell>
          <cell r="O586">
            <v>40</v>
          </cell>
          <cell r="P586">
            <v>162</v>
          </cell>
          <cell r="Q586">
            <v>51</v>
          </cell>
          <cell r="R586">
            <v>111</v>
          </cell>
          <cell r="S586">
            <v>10352</v>
          </cell>
          <cell r="T586">
            <v>202</v>
          </cell>
        </row>
        <row r="587">
          <cell r="C587" t="str">
            <v>Kendall CDP, Washington</v>
          </cell>
          <cell r="D587">
            <v>66</v>
          </cell>
          <cell r="E587">
            <v>66</v>
          </cell>
          <cell r="F587">
            <v>54</v>
          </cell>
          <cell r="G587">
            <v>12</v>
          </cell>
          <cell r="H587">
            <v>6</v>
          </cell>
          <cell r="I587">
            <v>6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66</v>
          </cell>
          <cell r="T587">
            <v>0</v>
          </cell>
        </row>
        <row r="588">
          <cell r="C588" t="str">
            <v>Kenmore city, Washington</v>
          </cell>
          <cell r="D588">
            <v>15714</v>
          </cell>
          <cell r="E588">
            <v>14665</v>
          </cell>
          <cell r="F588">
            <v>8388</v>
          </cell>
          <cell r="G588">
            <v>6026</v>
          </cell>
          <cell r="H588">
            <v>760</v>
          </cell>
          <cell r="I588">
            <v>1967</v>
          </cell>
          <cell r="J588">
            <v>637</v>
          </cell>
          <cell r="K588">
            <v>2662</v>
          </cell>
          <cell r="L588">
            <v>251</v>
          </cell>
          <cell r="M588">
            <v>9</v>
          </cell>
          <cell r="N588">
            <v>6</v>
          </cell>
          <cell r="O588">
            <v>236</v>
          </cell>
          <cell r="P588">
            <v>1049</v>
          </cell>
          <cell r="Q588">
            <v>568</v>
          </cell>
          <cell r="R588">
            <v>481</v>
          </cell>
          <cell r="S588">
            <v>14414</v>
          </cell>
          <cell r="T588">
            <v>1300</v>
          </cell>
        </row>
        <row r="589">
          <cell r="C589" t="str">
            <v>Kennewick city, Washington</v>
          </cell>
          <cell r="D589">
            <v>42985</v>
          </cell>
          <cell r="E589">
            <v>41949</v>
          </cell>
          <cell r="F589">
            <v>20956</v>
          </cell>
          <cell r="G589">
            <v>20631</v>
          </cell>
          <cell r="H589">
            <v>1856</v>
          </cell>
          <cell r="I589">
            <v>5045</v>
          </cell>
          <cell r="J589">
            <v>2842</v>
          </cell>
          <cell r="K589">
            <v>10888</v>
          </cell>
          <cell r="L589">
            <v>362</v>
          </cell>
          <cell r="M589">
            <v>6</v>
          </cell>
          <cell r="N589">
            <v>5</v>
          </cell>
          <cell r="O589">
            <v>351</v>
          </cell>
          <cell r="P589">
            <v>1036</v>
          </cell>
          <cell r="Q589">
            <v>320</v>
          </cell>
          <cell r="R589">
            <v>716</v>
          </cell>
          <cell r="S589">
            <v>41587</v>
          </cell>
          <cell r="T589">
            <v>1398</v>
          </cell>
        </row>
        <row r="590">
          <cell r="C590" t="str">
            <v>Kent city, Washington</v>
          </cell>
          <cell r="D590">
            <v>53933</v>
          </cell>
          <cell r="E590">
            <v>50068</v>
          </cell>
          <cell r="F590">
            <v>26629</v>
          </cell>
          <cell r="G590">
            <v>22967</v>
          </cell>
          <cell r="H590">
            <v>1942</v>
          </cell>
          <cell r="I590">
            <v>7006</v>
          </cell>
          <cell r="J590">
            <v>3019</v>
          </cell>
          <cell r="K590">
            <v>11000</v>
          </cell>
          <cell r="L590">
            <v>472</v>
          </cell>
          <cell r="M590">
            <v>9</v>
          </cell>
          <cell r="N590">
            <v>4</v>
          </cell>
          <cell r="O590">
            <v>459</v>
          </cell>
          <cell r="P590">
            <v>3865</v>
          </cell>
          <cell r="Q590">
            <v>1222</v>
          </cell>
          <cell r="R590">
            <v>2643</v>
          </cell>
          <cell r="S590">
            <v>49596</v>
          </cell>
          <cell r="T590">
            <v>4337</v>
          </cell>
        </row>
        <row r="591">
          <cell r="C591" t="str">
            <v>Kettle Falls city, Washington</v>
          </cell>
          <cell r="D591">
            <v>1400</v>
          </cell>
          <cell r="E591">
            <v>1371</v>
          </cell>
          <cell r="F591">
            <v>801</v>
          </cell>
          <cell r="G591">
            <v>561</v>
          </cell>
          <cell r="H591">
            <v>23</v>
          </cell>
          <cell r="I591">
            <v>124</v>
          </cell>
          <cell r="J591">
            <v>81</v>
          </cell>
          <cell r="K591">
            <v>333</v>
          </cell>
          <cell r="L591">
            <v>9</v>
          </cell>
          <cell r="M591">
            <v>0</v>
          </cell>
          <cell r="N591">
            <v>0</v>
          </cell>
          <cell r="O591">
            <v>9</v>
          </cell>
          <cell r="P591">
            <v>29</v>
          </cell>
          <cell r="Q591">
            <v>23</v>
          </cell>
          <cell r="R591">
            <v>6</v>
          </cell>
          <cell r="S591">
            <v>1362</v>
          </cell>
          <cell r="T591">
            <v>38</v>
          </cell>
        </row>
        <row r="592">
          <cell r="C592" t="str">
            <v>Kingsgate CDP, Washington</v>
          </cell>
          <cell r="D592">
            <v>9364</v>
          </cell>
          <cell r="E592">
            <v>8758</v>
          </cell>
          <cell r="F592">
            <v>4496</v>
          </cell>
          <cell r="G592">
            <v>4154</v>
          </cell>
          <cell r="H592">
            <v>503</v>
          </cell>
          <cell r="I592">
            <v>1069</v>
          </cell>
          <cell r="J592">
            <v>447</v>
          </cell>
          <cell r="K592">
            <v>2135</v>
          </cell>
          <cell r="L592">
            <v>108</v>
          </cell>
          <cell r="M592">
            <v>5</v>
          </cell>
          <cell r="N592">
            <v>0</v>
          </cell>
          <cell r="O592">
            <v>103</v>
          </cell>
          <cell r="P592">
            <v>606</v>
          </cell>
          <cell r="Q592">
            <v>187</v>
          </cell>
          <cell r="R592">
            <v>419</v>
          </cell>
          <cell r="S592">
            <v>8650</v>
          </cell>
          <cell r="T592">
            <v>714</v>
          </cell>
        </row>
        <row r="593">
          <cell r="C593" t="str">
            <v>Kingston CDP, Washington</v>
          </cell>
          <cell r="D593">
            <v>1371</v>
          </cell>
          <cell r="E593">
            <v>1350</v>
          </cell>
          <cell r="F593">
            <v>648</v>
          </cell>
          <cell r="G593">
            <v>676</v>
          </cell>
          <cell r="H593">
            <v>72</v>
          </cell>
          <cell r="I593">
            <v>203</v>
          </cell>
          <cell r="J593">
            <v>117</v>
          </cell>
          <cell r="K593">
            <v>284</v>
          </cell>
          <cell r="L593">
            <v>26</v>
          </cell>
          <cell r="M593">
            <v>8</v>
          </cell>
          <cell r="N593">
            <v>0</v>
          </cell>
          <cell r="O593">
            <v>18</v>
          </cell>
          <cell r="P593">
            <v>21</v>
          </cell>
          <cell r="Q593">
            <v>6</v>
          </cell>
          <cell r="R593">
            <v>15</v>
          </cell>
          <cell r="S593">
            <v>1324</v>
          </cell>
          <cell r="T593">
            <v>47</v>
          </cell>
        </row>
        <row r="594">
          <cell r="C594" t="str">
            <v>Kirkland city, Washington</v>
          </cell>
          <cell r="D594">
            <v>37452</v>
          </cell>
          <cell r="E594">
            <v>34385</v>
          </cell>
          <cell r="F594">
            <v>15641</v>
          </cell>
          <cell r="G594">
            <v>18261</v>
          </cell>
          <cell r="H594">
            <v>2387</v>
          </cell>
          <cell r="I594">
            <v>5484</v>
          </cell>
          <cell r="J594">
            <v>2233</v>
          </cell>
          <cell r="K594">
            <v>8157</v>
          </cell>
          <cell r="L594">
            <v>483</v>
          </cell>
          <cell r="M594">
            <v>8</v>
          </cell>
          <cell r="N594">
            <v>13</v>
          </cell>
          <cell r="O594">
            <v>462</v>
          </cell>
          <cell r="P594">
            <v>3067</v>
          </cell>
          <cell r="Q594">
            <v>1191</v>
          </cell>
          <cell r="R594">
            <v>1876</v>
          </cell>
          <cell r="S594">
            <v>33902</v>
          </cell>
          <cell r="T594">
            <v>3550</v>
          </cell>
        </row>
        <row r="595">
          <cell r="C595" t="str">
            <v>Kittitas city, Washington</v>
          </cell>
          <cell r="D595">
            <v>878</v>
          </cell>
          <cell r="E595">
            <v>876</v>
          </cell>
          <cell r="F595">
            <v>570</v>
          </cell>
          <cell r="G595">
            <v>297</v>
          </cell>
          <cell r="H595">
            <v>24</v>
          </cell>
          <cell r="I595">
            <v>51</v>
          </cell>
          <cell r="J595">
            <v>36</v>
          </cell>
          <cell r="K595">
            <v>186</v>
          </cell>
          <cell r="L595">
            <v>9</v>
          </cell>
          <cell r="M595">
            <v>0</v>
          </cell>
          <cell r="N595">
            <v>0</v>
          </cell>
          <cell r="O595">
            <v>9</v>
          </cell>
          <cell r="P595">
            <v>2</v>
          </cell>
          <cell r="Q595">
            <v>2</v>
          </cell>
          <cell r="R595">
            <v>0</v>
          </cell>
          <cell r="S595">
            <v>867</v>
          </cell>
          <cell r="T595">
            <v>11</v>
          </cell>
        </row>
        <row r="596">
          <cell r="C596" t="str">
            <v>Klickitat CDP, Washington</v>
          </cell>
          <cell r="D596">
            <v>325</v>
          </cell>
          <cell r="E596">
            <v>324</v>
          </cell>
          <cell r="F596">
            <v>127</v>
          </cell>
          <cell r="G596">
            <v>197</v>
          </cell>
          <cell r="H596">
            <v>12</v>
          </cell>
          <cell r="I596">
            <v>34</v>
          </cell>
          <cell r="J596">
            <v>17</v>
          </cell>
          <cell r="K596">
            <v>134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1</v>
          </cell>
          <cell r="Q596">
            <v>1</v>
          </cell>
          <cell r="R596">
            <v>0</v>
          </cell>
          <cell r="S596">
            <v>324</v>
          </cell>
          <cell r="T596">
            <v>1</v>
          </cell>
        </row>
        <row r="597">
          <cell r="C597" t="str">
            <v>Krupp town, Washington</v>
          </cell>
          <cell r="D597">
            <v>78</v>
          </cell>
          <cell r="E597">
            <v>77</v>
          </cell>
          <cell r="F597">
            <v>54</v>
          </cell>
          <cell r="G597">
            <v>23</v>
          </cell>
          <cell r="H597">
            <v>2</v>
          </cell>
          <cell r="I597">
            <v>8</v>
          </cell>
          <cell r="J597">
            <v>11</v>
          </cell>
          <cell r="K597">
            <v>2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1</v>
          </cell>
          <cell r="Q597">
            <v>1</v>
          </cell>
          <cell r="R597">
            <v>0</v>
          </cell>
          <cell r="S597">
            <v>77</v>
          </cell>
          <cell r="T597">
            <v>1</v>
          </cell>
        </row>
        <row r="598">
          <cell r="C598" t="str">
            <v>La Center city, Washington</v>
          </cell>
          <cell r="D598">
            <v>1470</v>
          </cell>
          <cell r="E598">
            <v>1432</v>
          </cell>
          <cell r="F598">
            <v>589</v>
          </cell>
          <cell r="G598">
            <v>823</v>
          </cell>
          <cell r="H598">
            <v>53</v>
          </cell>
          <cell r="I598">
            <v>124</v>
          </cell>
          <cell r="J598">
            <v>81</v>
          </cell>
          <cell r="K598">
            <v>565</v>
          </cell>
          <cell r="L598">
            <v>20</v>
          </cell>
          <cell r="M598">
            <v>0</v>
          </cell>
          <cell r="N598">
            <v>2</v>
          </cell>
          <cell r="O598">
            <v>18</v>
          </cell>
          <cell r="P598">
            <v>38</v>
          </cell>
          <cell r="Q598">
            <v>11</v>
          </cell>
          <cell r="R598">
            <v>27</v>
          </cell>
          <cell r="S598">
            <v>1412</v>
          </cell>
          <cell r="T598">
            <v>58</v>
          </cell>
        </row>
        <row r="599">
          <cell r="C599" t="str">
            <v>Lacey city, Washington</v>
          </cell>
          <cell r="D599">
            <v>23642</v>
          </cell>
          <cell r="E599">
            <v>22986</v>
          </cell>
          <cell r="F599">
            <v>10379</v>
          </cell>
          <cell r="G599">
            <v>12064</v>
          </cell>
          <cell r="H599">
            <v>1251</v>
          </cell>
          <cell r="I599">
            <v>3312</v>
          </cell>
          <cell r="J599">
            <v>1981</v>
          </cell>
          <cell r="K599">
            <v>5520</v>
          </cell>
          <cell r="L599">
            <v>543</v>
          </cell>
          <cell r="M599">
            <v>8</v>
          </cell>
          <cell r="N599">
            <v>7</v>
          </cell>
          <cell r="O599">
            <v>528</v>
          </cell>
          <cell r="P599">
            <v>656</v>
          </cell>
          <cell r="Q599">
            <v>415</v>
          </cell>
          <cell r="R599">
            <v>241</v>
          </cell>
          <cell r="S599">
            <v>22443</v>
          </cell>
          <cell r="T599">
            <v>1199</v>
          </cell>
        </row>
        <row r="600">
          <cell r="C600" t="str">
            <v>La Conner town, Washington</v>
          </cell>
          <cell r="D600">
            <v>688</v>
          </cell>
          <cell r="E600">
            <v>651</v>
          </cell>
          <cell r="F600">
            <v>360</v>
          </cell>
          <cell r="G600">
            <v>281</v>
          </cell>
          <cell r="H600">
            <v>49</v>
          </cell>
          <cell r="I600">
            <v>88</v>
          </cell>
          <cell r="J600">
            <v>37</v>
          </cell>
          <cell r="K600">
            <v>107</v>
          </cell>
          <cell r="L600">
            <v>10</v>
          </cell>
          <cell r="M600">
            <v>0</v>
          </cell>
          <cell r="N600">
            <v>0</v>
          </cell>
          <cell r="O600">
            <v>10</v>
          </cell>
          <cell r="P600">
            <v>37</v>
          </cell>
          <cell r="Q600">
            <v>17</v>
          </cell>
          <cell r="R600">
            <v>20</v>
          </cell>
          <cell r="S600">
            <v>641</v>
          </cell>
          <cell r="T600">
            <v>47</v>
          </cell>
        </row>
        <row r="601">
          <cell r="C601" t="str">
            <v>La Crosse town, Washington</v>
          </cell>
          <cell r="D601">
            <v>350</v>
          </cell>
          <cell r="E601">
            <v>350</v>
          </cell>
          <cell r="F601">
            <v>237</v>
          </cell>
          <cell r="G601">
            <v>108</v>
          </cell>
          <cell r="H601">
            <v>2</v>
          </cell>
          <cell r="I601">
            <v>24</v>
          </cell>
          <cell r="J601">
            <v>6</v>
          </cell>
          <cell r="K601">
            <v>76</v>
          </cell>
          <cell r="L601">
            <v>5</v>
          </cell>
          <cell r="M601">
            <v>0</v>
          </cell>
          <cell r="N601">
            <v>0</v>
          </cell>
          <cell r="O601">
            <v>5</v>
          </cell>
          <cell r="P601">
            <v>0</v>
          </cell>
          <cell r="Q601">
            <v>0</v>
          </cell>
          <cell r="R601">
            <v>0</v>
          </cell>
          <cell r="S601">
            <v>345</v>
          </cell>
          <cell r="T601">
            <v>5</v>
          </cell>
        </row>
        <row r="602">
          <cell r="C602" t="str">
            <v>Lake Bosworth CDP, Washington</v>
          </cell>
          <cell r="D602">
            <v>157</v>
          </cell>
          <cell r="E602">
            <v>157</v>
          </cell>
          <cell r="F602">
            <v>100</v>
          </cell>
          <cell r="G602">
            <v>57</v>
          </cell>
          <cell r="H602">
            <v>17</v>
          </cell>
          <cell r="I602">
            <v>19</v>
          </cell>
          <cell r="J602">
            <v>6</v>
          </cell>
          <cell r="K602">
            <v>15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157</v>
          </cell>
          <cell r="T602">
            <v>0</v>
          </cell>
        </row>
        <row r="603">
          <cell r="C603" t="str">
            <v>Lake Cavanaugh CDP, Washington</v>
          </cell>
          <cell r="D603">
            <v>97</v>
          </cell>
          <cell r="E603">
            <v>97</v>
          </cell>
          <cell r="F603">
            <v>41</v>
          </cell>
          <cell r="G603">
            <v>56</v>
          </cell>
          <cell r="H603">
            <v>0</v>
          </cell>
          <cell r="I603">
            <v>42</v>
          </cell>
          <cell r="J603">
            <v>0</v>
          </cell>
          <cell r="K603">
            <v>14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97</v>
          </cell>
          <cell r="T603">
            <v>0</v>
          </cell>
        </row>
        <row r="604">
          <cell r="C604" t="str">
            <v>Lake Forest Park city, Washington</v>
          </cell>
          <cell r="D604">
            <v>11220</v>
          </cell>
          <cell r="E604">
            <v>10618</v>
          </cell>
          <cell r="F604">
            <v>6017</v>
          </cell>
          <cell r="G604">
            <v>4430</v>
          </cell>
          <cell r="H604">
            <v>620</v>
          </cell>
          <cell r="I604">
            <v>1469</v>
          </cell>
          <cell r="J604">
            <v>533</v>
          </cell>
          <cell r="K604">
            <v>1808</v>
          </cell>
          <cell r="L604">
            <v>171</v>
          </cell>
          <cell r="M604">
            <v>0</v>
          </cell>
          <cell r="N604">
            <v>21</v>
          </cell>
          <cell r="O604">
            <v>150</v>
          </cell>
          <cell r="P604">
            <v>602</v>
          </cell>
          <cell r="Q604">
            <v>318</v>
          </cell>
          <cell r="R604">
            <v>284</v>
          </cell>
          <cell r="S604">
            <v>10447</v>
          </cell>
          <cell r="T604">
            <v>773</v>
          </cell>
        </row>
        <row r="605">
          <cell r="C605" t="str">
            <v>Lake Goodwin CDP, Washington</v>
          </cell>
          <cell r="D605">
            <v>2999</v>
          </cell>
          <cell r="E605">
            <v>2937</v>
          </cell>
          <cell r="F605">
            <v>1900</v>
          </cell>
          <cell r="G605">
            <v>985</v>
          </cell>
          <cell r="H605">
            <v>65</v>
          </cell>
          <cell r="I605">
            <v>296</v>
          </cell>
          <cell r="J605">
            <v>131</v>
          </cell>
          <cell r="K605">
            <v>493</v>
          </cell>
          <cell r="L605">
            <v>52</v>
          </cell>
          <cell r="M605">
            <v>0</v>
          </cell>
          <cell r="N605">
            <v>0</v>
          </cell>
          <cell r="O605">
            <v>52</v>
          </cell>
          <cell r="P605">
            <v>62</v>
          </cell>
          <cell r="Q605">
            <v>43</v>
          </cell>
          <cell r="R605">
            <v>19</v>
          </cell>
          <cell r="S605">
            <v>2885</v>
          </cell>
          <cell r="T605">
            <v>114</v>
          </cell>
        </row>
        <row r="606">
          <cell r="C606" t="str">
            <v>Lake Ketchum CDP, Washington</v>
          </cell>
          <cell r="D606">
            <v>1183</v>
          </cell>
          <cell r="E606">
            <v>1148</v>
          </cell>
          <cell r="F606">
            <v>781</v>
          </cell>
          <cell r="G606">
            <v>357</v>
          </cell>
          <cell r="H606">
            <v>14</v>
          </cell>
          <cell r="I606">
            <v>124</v>
          </cell>
          <cell r="J606">
            <v>59</v>
          </cell>
          <cell r="K606">
            <v>160</v>
          </cell>
          <cell r="L606">
            <v>10</v>
          </cell>
          <cell r="M606">
            <v>0</v>
          </cell>
          <cell r="N606">
            <v>0</v>
          </cell>
          <cell r="O606">
            <v>10</v>
          </cell>
          <cell r="P606">
            <v>35</v>
          </cell>
          <cell r="Q606">
            <v>35</v>
          </cell>
          <cell r="R606">
            <v>0</v>
          </cell>
          <cell r="S606">
            <v>1138</v>
          </cell>
          <cell r="T606">
            <v>45</v>
          </cell>
        </row>
        <row r="607">
          <cell r="C607" t="str">
            <v>Lakeland North CDP, Washington</v>
          </cell>
          <cell r="D607">
            <v>12194</v>
          </cell>
          <cell r="E607">
            <v>11305</v>
          </cell>
          <cell r="F607">
            <v>6608</v>
          </cell>
          <cell r="G607">
            <v>4563</v>
          </cell>
          <cell r="H607">
            <v>414</v>
          </cell>
          <cell r="I607">
            <v>1453</v>
          </cell>
          <cell r="J607">
            <v>494</v>
          </cell>
          <cell r="K607">
            <v>2202</v>
          </cell>
          <cell r="L607">
            <v>134</v>
          </cell>
          <cell r="M607">
            <v>0</v>
          </cell>
          <cell r="N607">
            <v>0</v>
          </cell>
          <cell r="O607">
            <v>134</v>
          </cell>
          <cell r="P607">
            <v>889</v>
          </cell>
          <cell r="Q607">
            <v>343</v>
          </cell>
          <cell r="R607">
            <v>546</v>
          </cell>
          <cell r="S607">
            <v>11171</v>
          </cell>
          <cell r="T607">
            <v>1023</v>
          </cell>
        </row>
        <row r="608">
          <cell r="C608" t="str">
            <v>Lakeland South CDP, Washington</v>
          </cell>
          <cell r="D608">
            <v>9506</v>
          </cell>
          <cell r="E608">
            <v>9154</v>
          </cell>
          <cell r="F608">
            <v>5168</v>
          </cell>
          <cell r="G608">
            <v>3887</v>
          </cell>
          <cell r="H608">
            <v>275</v>
          </cell>
          <cell r="I608">
            <v>1164</v>
          </cell>
          <cell r="J608">
            <v>543</v>
          </cell>
          <cell r="K608">
            <v>1905</v>
          </cell>
          <cell r="L608">
            <v>99</v>
          </cell>
          <cell r="M608">
            <v>0</v>
          </cell>
          <cell r="N608">
            <v>12</v>
          </cell>
          <cell r="O608">
            <v>87</v>
          </cell>
          <cell r="P608">
            <v>352</v>
          </cell>
          <cell r="Q608">
            <v>228</v>
          </cell>
          <cell r="R608">
            <v>124</v>
          </cell>
          <cell r="S608">
            <v>9055</v>
          </cell>
          <cell r="T608">
            <v>451</v>
          </cell>
        </row>
        <row r="609">
          <cell r="C609" t="str">
            <v>Lake McMurray CDP, Washington</v>
          </cell>
          <cell r="D609">
            <v>157</v>
          </cell>
          <cell r="E609">
            <v>157</v>
          </cell>
          <cell r="F609">
            <v>105</v>
          </cell>
          <cell r="G609">
            <v>52</v>
          </cell>
          <cell r="H609">
            <v>5</v>
          </cell>
          <cell r="I609">
            <v>26</v>
          </cell>
          <cell r="J609">
            <v>3</v>
          </cell>
          <cell r="K609">
            <v>18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157</v>
          </cell>
          <cell r="T609">
            <v>0</v>
          </cell>
        </row>
        <row r="610">
          <cell r="C610" t="str">
            <v>Lake Marcel-Stillwater CDP, Washington</v>
          </cell>
          <cell r="D610">
            <v>1342</v>
          </cell>
          <cell r="E610">
            <v>1316</v>
          </cell>
          <cell r="F610">
            <v>716</v>
          </cell>
          <cell r="G610">
            <v>581</v>
          </cell>
          <cell r="H610">
            <v>73</v>
          </cell>
          <cell r="I610">
            <v>165</v>
          </cell>
          <cell r="J610">
            <v>41</v>
          </cell>
          <cell r="K610">
            <v>302</v>
          </cell>
          <cell r="L610">
            <v>19</v>
          </cell>
          <cell r="M610">
            <v>0</v>
          </cell>
          <cell r="N610">
            <v>0</v>
          </cell>
          <cell r="O610">
            <v>19</v>
          </cell>
          <cell r="P610">
            <v>26</v>
          </cell>
          <cell r="Q610">
            <v>11</v>
          </cell>
          <cell r="R610">
            <v>15</v>
          </cell>
          <cell r="S610">
            <v>1297</v>
          </cell>
          <cell r="T610">
            <v>45</v>
          </cell>
        </row>
        <row r="611">
          <cell r="C611" t="str">
            <v>Lake Morton-Berrydale CDP, Washington</v>
          </cell>
          <cell r="D611">
            <v>8837</v>
          </cell>
          <cell r="E611">
            <v>8631</v>
          </cell>
          <cell r="F611">
            <v>4871</v>
          </cell>
          <cell r="G611">
            <v>3743</v>
          </cell>
          <cell r="H611">
            <v>353</v>
          </cell>
          <cell r="I611">
            <v>1069</v>
          </cell>
          <cell r="J611">
            <v>562</v>
          </cell>
          <cell r="K611">
            <v>1759</v>
          </cell>
          <cell r="L611">
            <v>17</v>
          </cell>
          <cell r="M611">
            <v>0</v>
          </cell>
          <cell r="N611">
            <v>0</v>
          </cell>
          <cell r="O611">
            <v>17</v>
          </cell>
          <cell r="P611">
            <v>206</v>
          </cell>
          <cell r="Q611">
            <v>126</v>
          </cell>
          <cell r="R611">
            <v>80</v>
          </cell>
          <cell r="S611">
            <v>8614</v>
          </cell>
          <cell r="T611">
            <v>223</v>
          </cell>
        </row>
        <row r="612">
          <cell r="C612" t="str">
            <v>Lake Roesiger CDP, Washington</v>
          </cell>
          <cell r="D612">
            <v>665</v>
          </cell>
          <cell r="E612">
            <v>637</v>
          </cell>
          <cell r="F612">
            <v>395</v>
          </cell>
          <cell r="G612">
            <v>230</v>
          </cell>
          <cell r="H612">
            <v>26</v>
          </cell>
          <cell r="I612">
            <v>93</v>
          </cell>
          <cell r="J612">
            <v>15</v>
          </cell>
          <cell r="K612">
            <v>96</v>
          </cell>
          <cell r="L612">
            <v>12</v>
          </cell>
          <cell r="M612">
            <v>0</v>
          </cell>
          <cell r="N612">
            <v>0</v>
          </cell>
          <cell r="O612">
            <v>12</v>
          </cell>
          <cell r="P612">
            <v>28</v>
          </cell>
          <cell r="Q612">
            <v>28</v>
          </cell>
          <cell r="R612">
            <v>0</v>
          </cell>
          <cell r="S612">
            <v>625</v>
          </cell>
          <cell r="T612">
            <v>40</v>
          </cell>
        </row>
        <row r="613">
          <cell r="C613" t="str">
            <v>Lake Shore CDP, Washington</v>
          </cell>
          <cell r="D613">
            <v>5848</v>
          </cell>
          <cell r="E613">
            <v>5712</v>
          </cell>
          <cell r="F613">
            <v>2122</v>
          </cell>
          <cell r="G613">
            <v>3548</v>
          </cell>
          <cell r="H613">
            <v>130</v>
          </cell>
          <cell r="I613">
            <v>718</v>
          </cell>
          <cell r="J613">
            <v>295</v>
          </cell>
          <cell r="K613">
            <v>2405</v>
          </cell>
          <cell r="L613">
            <v>42</v>
          </cell>
          <cell r="M613">
            <v>0</v>
          </cell>
          <cell r="N613">
            <v>0</v>
          </cell>
          <cell r="O613">
            <v>42</v>
          </cell>
          <cell r="P613">
            <v>136</v>
          </cell>
          <cell r="Q613">
            <v>76</v>
          </cell>
          <cell r="R613">
            <v>60</v>
          </cell>
          <cell r="S613">
            <v>5670</v>
          </cell>
          <cell r="T613">
            <v>178</v>
          </cell>
        </row>
        <row r="614">
          <cell r="C614" t="str">
            <v>Lake Stevens city, Washington</v>
          </cell>
          <cell r="D614">
            <v>5869</v>
          </cell>
          <cell r="E614">
            <v>5655</v>
          </cell>
          <cell r="F614">
            <v>3349</v>
          </cell>
          <cell r="G614">
            <v>2283</v>
          </cell>
          <cell r="H614">
            <v>207</v>
          </cell>
          <cell r="I614">
            <v>662</v>
          </cell>
          <cell r="J614">
            <v>300</v>
          </cell>
          <cell r="K614">
            <v>1114</v>
          </cell>
          <cell r="L614">
            <v>23</v>
          </cell>
          <cell r="M614">
            <v>0</v>
          </cell>
          <cell r="N614">
            <v>0</v>
          </cell>
          <cell r="O614">
            <v>23</v>
          </cell>
          <cell r="P614">
            <v>214</v>
          </cell>
          <cell r="Q614">
            <v>165</v>
          </cell>
          <cell r="R614">
            <v>49</v>
          </cell>
          <cell r="S614">
            <v>5632</v>
          </cell>
          <cell r="T614">
            <v>237</v>
          </cell>
        </row>
        <row r="615">
          <cell r="C615" t="str">
            <v>Lakeview CDP, Washington</v>
          </cell>
          <cell r="D615">
            <v>716</v>
          </cell>
          <cell r="E615">
            <v>680</v>
          </cell>
          <cell r="F615">
            <v>423</v>
          </cell>
          <cell r="G615">
            <v>248</v>
          </cell>
          <cell r="H615">
            <v>20</v>
          </cell>
          <cell r="I615">
            <v>71</v>
          </cell>
          <cell r="J615">
            <v>57</v>
          </cell>
          <cell r="K615">
            <v>100</v>
          </cell>
          <cell r="L615">
            <v>9</v>
          </cell>
          <cell r="M615">
            <v>0</v>
          </cell>
          <cell r="N615">
            <v>0</v>
          </cell>
          <cell r="O615">
            <v>9</v>
          </cell>
          <cell r="P615">
            <v>36</v>
          </cell>
          <cell r="Q615">
            <v>12</v>
          </cell>
          <cell r="R615">
            <v>24</v>
          </cell>
          <cell r="S615">
            <v>671</v>
          </cell>
          <cell r="T615">
            <v>45</v>
          </cell>
        </row>
        <row r="616">
          <cell r="C616" t="str">
            <v>Lakewood city, Washington</v>
          </cell>
          <cell r="D616">
            <v>35545</v>
          </cell>
          <cell r="E616">
            <v>33787</v>
          </cell>
          <cell r="F616">
            <v>14976</v>
          </cell>
          <cell r="G616">
            <v>17736</v>
          </cell>
          <cell r="H616">
            <v>2231</v>
          </cell>
          <cell r="I616">
            <v>5199</v>
          </cell>
          <cell r="J616">
            <v>3671</v>
          </cell>
          <cell r="K616">
            <v>6635</v>
          </cell>
          <cell r="L616">
            <v>1075</v>
          </cell>
          <cell r="M616">
            <v>0</v>
          </cell>
          <cell r="N616">
            <v>5</v>
          </cell>
          <cell r="O616">
            <v>1070</v>
          </cell>
          <cell r="P616">
            <v>1758</v>
          </cell>
          <cell r="Q616">
            <v>1144</v>
          </cell>
          <cell r="R616">
            <v>614</v>
          </cell>
          <cell r="S616">
            <v>32712</v>
          </cell>
          <cell r="T616">
            <v>2833</v>
          </cell>
        </row>
        <row r="617">
          <cell r="C617" t="str">
            <v>Lamont town, Washington</v>
          </cell>
          <cell r="D617">
            <v>82</v>
          </cell>
          <cell r="E617">
            <v>82</v>
          </cell>
          <cell r="F617">
            <v>46</v>
          </cell>
          <cell r="G617">
            <v>36</v>
          </cell>
          <cell r="H617">
            <v>0</v>
          </cell>
          <cell r="I617">
            <v>5</v>
          </cell>
          <cell r="J617">
            <v>8</v>
          </cell>
          <cell r="K617">
            <v>23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82</v>
          </cell>
          <cell r="T617">
            <v>0</v>
          </cell>
        </row>
        <row r="618">
          <cell r="C618" t="str">
            <v>Langley city, Washington</v>
          </cell>
          <cell r="D618">
            <v>893</v>
          </cell>
          <cell r="E618">
            <v>852</v>
          </cell>
          <cell r="F618">
            <v>339</v>
          </cell>
          <cell r="G618">
            <v>495</v>
          </cell>
          <cell r="H618">
            <v>63</v>
          </cell>
          <cell r="I618">
            <v>149</v>
          </cell>
          <cell r="J618">
            <v>76</v>
          </cell>
          <cell r="K618">
            <v>207</v>
          </cell>
          <cell r="L618">
            <v>18</v>
          </cell>
          <cell r="M618">
            <v>0</v>
          </cell>
          <cell r="N618">
            <v>0</v>
          </cell>
          <cell r="O618">
            <v>18</v>
          </cell>
          <cell r="P618">
            <v>41</v>
          </cell>
          <cell r="Q618">
            <v>31</v>
          </cell>
          <cell r="R618">
            <v>10</v>
          </cell>
          <cell r="S618">
            <v>834</v>
          </cell>
          <cell r="T618">
            <v>59</v>
          </cell>
        </row>
        <row r="619">
          <cell r="C619" t="str">
            <v>Latah town, Washington</v>
          </cell>
          <cell r="D619">
            <v>176</v>
          </cell>
          <cell r="E619">
            <v>176</v>
          </cell>
          <cell r="F619">
            <v>90</v>
          </cell>
          <cell r="G619">
            <v>86</v>
          </cell>
          <cell r="H619">
            <v>0</v>
          </cell>
          <cell r="I619">
            <v>24</v>
          </cell>
          <cell r="J619">
            <v>10</v>
          </cell>
          <cell r="K619">
            <v>52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176</v>
          </cell>
          <cell r="T619">
            <v>0</v>
          </cell>
        </row>
        <row r="620">
          <cell r="C620" t="str">
            <v>Lea Hill CDP, Washington</v>
          </cell>
          <cell r="D620">
            <v>8950</v>
          </cell>
          <cell r="E620">
            <v>8574</v>
          </cell>
          <cell r="F620">
            <v>5034</v>
          </cell>
          <cell r="G620">
            <v>3533</v>
          </cell>
          <cell r="H620">
            <v>247</v>
          </cell>
          <cell r="I620">
            <v>1008</v>
          </cell>
          <cell r="J620">
            <v>604</v>
          </cell>
          <cell r="K620">
            <v>1674</v>
          </cell>
          <cell r="L620">
            <v>7</v>
          </cell>
          <cell r="M620">
            <v>0</v>
          </cell>
          <cell r="N620">
            <v>0</v>
          </cell>
          <cell r="O620">
            <v>7</v>
          </cell>
          <cell r="P620">
            <v>376</v>
          </cell>
          <cell r="Q620">
            <v>210</v>
          </cell>
          <cell r="R620">
            <v>166</v>
          </cell>
          <cell r="S620">
            <v>8567</v>
          </cell>
          <cell r="T620">
            <v>383</v>
          </cell>
        </row>
        <row r="621">
          <cell r="C621" t="str">
            <v>Leavenworth city, Washington</v>
          </cell>
          <cell r="D621">
            <v>1832</v>
          </cell>
          <cell r="E621">
            <v>1734</v>
          </cell>
          <cell r="F621">
            <v>1063</v>
          </cell>
          <cell r="G621">
            <v>655</v>
          </cell>
          <cell r="H621">
            <v>19</v>
          </cell>
          <cell r="I621">
            <v>227</v>
          </cell>
          <cell r="J621">
            <v>104</v>
          </cell>
          <cell r="K621">
            <v>305</v>
          </cell>
          <cell r="L621">
            <v>16</v>
          </cell>
          <cell r="M621">
            <v>0</v>
          </cell>
          <cell r="N621">
            <v>0</v>
          </cell>
          <cell r="O621">
            <v>16</v>
          </cell>
          <cell r="P621">
            <v>98</v>
          </cell>
          <cell r="Q621">
            <v>55</v>
          </cell>
          <cell r="R621">
            <v>43</v>
          </cell>
          <cell r="S621">
            <v>1718</v>
          </cell>
          <cell r="T621">
            <v>114</v>
          </cell>
        </row>
        <row r="622">
          <cell r="C622" t="str">
            <v>Lebam CDP, Washington</v>
          </cell>
          <cell r="D622">
            <v>153</v>
          </cell>
          <cell r="E622">
            <v>153</v>
          </cell>
          <cell r="F622">
            <v>104</v>
          </cell>
          <cell r="G622">
            <v>49</v>
          </cell>
          <cell r="H622">
            <v>4</v>
          </cell>
          <cell r="I622">
            <v>38</v>
          </cell>
          <cell r="J622">
            <v>7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153</v>
          </cell>
          <cell r="T622">
            <v>0</v>
          </cell>
        </row>
        <row r="623">
          <cell r="C623" t="str">
            <v>Lewisville CDP, Washington</v>
          </cell>
          <cell r="D623">
            <v>1631</v>
          </cell>
          <cell r="E623">
            <v>1605</v>
          </cell>
          <cell r="F623">
            <v>493</v>
          </cell>
          <cell r="G623">
            <v>1104</v>
          </cell>
          <cell r="H623">
            <v>41</v>
          </cell>
          <cell r="I623">
            <v>386</v>
          </cell>
          <cell r="J623">
            <v>36</v>
          </cell>
          <cell r="K623">
            <v>641</v>
          </cell>
          <cell r="L623">
            <v>8</v>
          </cell>
          <cell r="M623">
            <v>0</v>
          </cell>
          <cell r="N623">
            <v>0</v>
          </cell>
          <cell r="O623">
            <v>8</v>
          </cell>
          <cell r="P623">
            <v>26</v>
          </cell>
          <cell r="Q623">
            <v>10</v>
          </cell>
          <cell r="R623">
            <v>16</v>
          </cell>
          <cell r="S623">
            <v>1597</v>
          </cell>
          <cell r="T623">
            <v>34</v>
          </cell>
        </row>
        <row r="624">
          <cell r="C624" t="str">
            <v>Liberty Lake CDP, Washington</v>
          </cell>
          <cell r="D624">
            <v>4392</v>
          </cell>
          <cell r="E624">
            <v>4333</v>
          </cell>
          <cell r="F624">
            <v>2251</v>
          </cell>
          <cell r="G624">
            <v>2009</v>
          </cell>
          <cell r="H624">
            <v>89</v>
          </cell>
          <cell r="I624">
            <v>477</v>
          </cell>
          <cell r="J624">
            <v>205</v>
          </cell>
          <cell r="K624">
            <v>1238</v>
          </cell>
          <cell r="L624">
            <v>73</v>
          </cell>
          <cell r="M624">
            <v>0</v>
          </cell>
          <cell r="N624">
            <v>0</v>
          </cell>
          <cell r="O624">
            <v>73</v>
          </cell>
          <cell r="P624">
            <v>59</v>
          </cell>
          <cell r="Q624">
            <v>14</v>
          </cell>
          <cell r="R624">
            <v>45</v>
          </cell>
          <cell r="S624">
            <v>4260</v>
          </cell>
          <cell r="T624">
            <v>132</v>
          </cell>
        </row>
        <row r="625">
          <cell r="C625" t="str">
            <v>Lind town, Washington</v>
          </cell>
          <cell r="D625">
            <v>514</v>
          </cell>
          <cell r="E625">
            <v>508</v>
          </cell>
          <cell r="F625">
            <v>338</v>
          </cell>
          <cell r="G625">
            <v>168</v>
          </cell>
          <cell r="H625">
            <v>7</v>
          </cell>
          <cell r="I625">
            <v>46</v>
          </cell>
          <cell r="J625">
            <v>31</v>
          </cell>
          <cell r="K625">
            <v>84</v>
          </cell>
          <cell r="L625">
            <v>2</v>
          </cell>
          <cell r="M625">
            <v>0</v>
          </cell>
          <cell r="N625">
            <v>0</v>
          </cell>
          <cell r="O625">
            <v>2</v>
          </cell>
          <cell r="P625">
            <v>6</v>
          </cell>
          <cell r="Q625">
            <v>0</v>
          </cell>
          <cell r="R625">
            <v>6</v>
          </cell>
          <cell r="S625">
            <v>506</v>
          </cell>
          <cell r="T625">
            <v>8</v>
          </cell>
        </row>
        <row r="626">
          <cell r="C626" t="str">
            <v>Lochsloy CDP, Washington</v>
          </cell>
          <cell r="D626">
            <v>1883</v>
          </cell>
          <cell r="E626">
            <v>1799</v>
          </cell>
          <cell r="F626">
            <v>1036</v>
          </cell>
          <cell r="G626">
            <v>763</v>
          </cell>
          <cell r="H626">
            <v>59</v>
          </cell>
          <cell r="I626">
            <v>274</v>
          </cell>
          <cell r="J626">
            <v>87</v>
          </cell>
          <cell r="K626">
            <v>343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84</v>
          </cell>
          <cell r="Q626">
            <v>71</v>
          </cell>
          <cell r="R626">
            <v>13</v>
          </cell>
          <cell r="S626">
            <v>1799</v>
          </cell>
          <cell r="T626">
            <v>84</v>
          </cell>
        </row>
        <row r="627">
          <cell r="C627" t="str">
            <v>Long Beach city, Washington</v>
          </cell>
          <cell r="D627">
            <v>1122</v>
          </cell>
          <cell r="E627">
            <v>1090</v>
          </cell>
          <cell r="F627">
            <v>390</v>
          </cell>
          <cell r="G627">
            <v>693</v>
          </cell>
          <cell r="H627">
            <v>42</v>
          </cell>
          <cell r="I627">
            <v>166</v>
          </cell>
          <cell r="J627">
            <v>52</v>
          </cell>
          <cell r="K627">
            <v>433</v>
          </cell>
          <cell r="L627">
            <v>7</v>
          </cell>
          <cell r="M627">
            <v>0</v>
          </cell>
          <cell r="N627">
            <v>0</v>
          </cell>
          <cell r="O627">
            <v>7</v>
          </cell>
          <cell r="P627">
            <v>32</v>
          </cell>
          <cell r="Q627">
            <v>28</v>
          </cell>
          <cell r="R627">
            <v>4</v>
          </cell>
          <cell r="S627">
            <v>1083</v>
          </cell>
          <cell r="T627">
            <v>39</v>
          </cell>
        </row>
        <row r="628">
          <cell r="C628" t="str">
            <v>Longview city, Washington</v>
          </cell>
          <cell r="D628">
            <v>30274</v>
          </cell>
          <cell r="E628">
            <v>29756</v>
          </cell>
          <cell r="F628">
            <v>16217</v>
          </cell>
          <cell r="G628">
            <v>13318</v>
          </cell>
          <cell r="H628">
            <v>594</v>
          </cell>
          <cell r="I628">
            <v>3634</v>
          </cell>
          <cell r="J628">
            <v>1656</v>
          </cell>
          <cell r="K628">
            <v>7434</v>
          </cell>
          <cell r="L628">
            <v>221</v>
          </cell>
          <cell r="M628">
            <v>0</v>
          </cell>
          <cell r="N628">
            <v>0</v>
          </cell>
          <cell r="O628">
            <v>221</v>
          </cell>
          <cell r="P628">
            <v>518</v>
          </cell>
          <cell r="Q628">
            <v>362</v>
          </cell>
          <cell r="R628">
            <v>156</v>
          </cell>
          <cell r="S628">
            <v>29535</v>
          </cell>
          <cell r="T628">
            <v>739</v>
          </cell>
        </row>
        <row r="629">
          <cell r="C629" t="str">
            <v>Longview Heights CDP, Washington</v>
          </cell>
          <cell r="D629">
            <v>3110</v>
          </cell>
          <cell r="E629">
            <v>3032</v>
          </cell>
          <cell r="F629">
            <v>1649</v>
          </cell>
          <cell r="G629">
            <v>1358</v>
          </cell>
          <cell r="H629">
            <v>48</v>
          </cell>
          <cell r="I629">
            <v>369</v>
          </cell>
          <cell r="J629">
            <v>240</v>
          </cell>
          <cell r="K629">
            <v>701</v>
          </cell>
          <cell r="L629">
            <v>25</v>
          </cell>
          <cell r="M629">
            <v>0</v>
          </cell>
          <cell r="N629">
            <v>0</v>
          </cell>
          <cell r="O629">
            <v>25</v>
          </cell>
          <cell r="P629">
            <v>78</v>
          </cell>
          <cell r="Q629">
            <v>27</v>
          </cell>
          <cell r="R629">
            <v>51</v>
          </cell>
          <cell r="S629">
            <v>3007</v>
          </cell>
          <cell r="T629">
            <v>103</v>
          </cell>
        </row>
        <row r="630">
          <cell r="C630" t="str">
            <v>Lyle CDP, Washington</v>
          </cell>
          <cell r="D630">
            <v>445</v>
          </cell>
          <cell r="E630">
            <v>440</v>
          </cell>
          <cell r="F630">
            <v>151</v>
          </cell>
          <cell r="G630">
            <v>289</v>
          </cell>
          <cell r="H630">
            <v>0</v>
          </cell>
          <cell r="I630">
            <v>64</v>
          </cell>
          <cell r="J630">
            <v>21</v>
          </cell>
          <cell r="K630">
            <v>204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</v>
          </cell>
          <cell r="Q630">
            <v>5</v>
          </cell>
          <cell r="R630">
            <v>0</v>
          </cell>
          <cell r="S630">
            <v>440</v>
          </cell>
          <cell r="T630">
            <v>5</v>
          </cell>
        </row>
        <row r="631">
          <cell r="C631" t="str">
            <v>Lyman town, Washington</v>
          </cell>
          <cell r="D631">
            <v>373</v>
          </cell>
          <cell r="E631">
            <v>370</v>
          </cell>
          <cell r="F631">
            <v>247</v>
          </cell>
          <cell r="G631">
            <v>120</v>
          </cell>
          <cell r="H631">
            <v>9</v>
          </cell>
          <cell r="I631">
            <v>14</v>
          </cell>
          <cell r="J631">
            <v>67</v>
          </cell>
          <cell r="K631">
            <v>30</v>
          </cell>
          <cell r="L631">
            <v>3</v>
          </cell>
          <cell r="M631">
            <v>0</v>
          </cell>
          <cell r="N631">
            <v>0</v>
          </cell>
          <cell r="O631">
            <v>3</v>
          </cell>
          <cell r="P631">
            <v>3</v>
          </cell>
          <cell r="Q631">
            <v>0</v>
          </cell>
          <cell r="R631">
            <v>3</v>
          </cell>
          <cell r="S631">
            <v>367</v>
          </cell>
          <cell r="T631">
            <v>6</v>
          </cell>
        </row>
        <row r="632">
          <cell r="C632" t="str">
            <v>Lynden city, Washington</v>
          </cell>
          <cell r="D632">
            <v>8361</v>
          </cell>
          <cell r="E632">
            <v>7621</v>
          </cell>
          <cell r="F632">
            <v>4064</v>
          </cell>
          <cell r="G632">
            <v>3371</v>
          </cell>
          <cell r="H632">
            <v>339</v>
          </cell>
          <cell r="I632">
            <v>1293</v>
          </cell>
          <cell r="J632">
            <v>324</v>
          </cell>
          <cell r="K632">
            <v>1415</v>
          </cell>
          <cell r="L632">
            <v>186</v>
          </cell>
          <cell r="M632">
            <v>0</v>
          </cell>
          <cell r="N632">
            <v>13</v>
          </cell>
          <cell r="O632">
            <v>173</v>
          </cell>
          <cell r="P632">
            <v>740</v>
          </cell>
          <cell r="Q632">
            <v>384</v>
          </cell>
          <cell r="R632">
            <v>356</v>
          </cell>
          <cell r="S632">
            <v>7435</v>
          </cell>
          <cell r="T632">
            <v>926</v>
          </cell>
        </row>
        <row r="633">
          <cell r="C633" t="str">
            <v>Lynnwood city, Washington</v>
          </cell>
          <cell r="D633">
            <v>24012</v>
          </cell>
          <cell r="E633">
            <v>21838</v>
          </cell>
          <cell r="F633">
            <v>12396</v>
          </cell>
          <cell r="G633">
            <v>9204</v>
          </cell>
          <cell r="H633">
            <v>1011</v>
          </cell>
          <cell r="I633">
            <v>3183</v>
          </cell>
          <cell r="J633">
            <v>1218</v>
          </cell>
          <cell r="K633">
            <v>3792</v>
          </cell>
          <cell r="L633">
            <v>238</v>
          </cell>
          <cell r="M633">
            <v>0</v>
          </cell>
          <cell r="N633">
            <v>0</v>
          </cell>
          <cell r="O633">
            <v>238</v>
          </cell>
          <cell r="P633">
            <v>2174</v>
          </cell>
          <cell r="Q633">
            <v>788</v>
          </cell>
          <cell r="R633">
            <v>1386</v>
          </cell>
          <cell r="S633">
            <v>21600</v>
          </cell>
          <cell r="T633">
            <v>2412</v>
          </cell>
        </row>
        <row r="634">
          <cell r="C634" t="str">
            <v>Mabton city, Washington</v>
          </cell>
          <cell r="D634">
            <v>214</v>
          </cell>
          <cell r="E634">
            <v>206</v>
          </cell>
          <cell r="F634">
            <v>147</v>
          </cell>
          <cell r="G634">
            <v>56</v>
          </cell>
          <cell r="H634">
            <v>3</v>
          </cell>
          <cell r="I634">
            <v>14</v>
          </cell>
          <cell r="J634">
            <v>17</v>
          </cell>
          <cell r="K634">
            <v>22</v>
          </cell>
          <cell r="L634">
            <v>3</v>
          </cell>
          <cell r="M634">
            <v>0</v>
          </cell>
          <cell r="N634">
            <v>0</v>
          </cell>
          <cell r="O634">
            <v>3</v>
          </cell>
          <cell r="P634">
            <v>8</v>
          </cell>
          <cell r="Q634">
            <v>5</v>
          </cell>
          <cell r="R634">
            <v>3</v>
          </cell>
          <cell r="S634">
            <v>203</v>
          </cell>
          <cell r="T634">
            <v>11</v>
          </cell>
        </row>
        <row r="635">
          <cell r="C635" t="str">
            <v>McChord AFB CDP, Washington</v>
          </cell>
          <cell r="D635">
            <v>3056</v>
          </cell>
          <cell r="E635">
            <v>2986</v>
          </cell>
          <cell r="F635">
            <v>555</v>
          </cell>
          <cell r="G635">
            <v>2276</v>
          </cell>
          <cell r="H635">
            <v>268</v>
          </cell>
          <cell r="I635">
            <v>593</v>
          </cell>
          <cell r="J635">
            <v>597</v>
          </cell>
          <cell r="K635">
            <v>818</v>
          </cell>
          <cell r="L635">
            <v>155</v>
          </cell>
          <cell r="M635">
            <v>0</v>
          </cell>
          <cell r="N635">
            <v>0</v>
          </cell>
          <cell r="O635">
            <v>155</v>
          </cell>
          <cell r="P635">
            <v>70</v>
          </cell>
          <cell r="Q635">
            <v>17</v>
          </cell>
          <cell r="R635">
            <v>53</v>
          </cell>
          <cell r="S635">
            <v>2831</v>
          </cell>
          <cell r="T635">
            <v>225</v>
          </cell>
        </row>
        <row r="636">
          <cell r="C636" t="str">
            <v>McCleary city, Washington</v>
          </cell>
          <cell r="D636">
            <v>1326</v>
          </cell>
          <cell r="E636">
            <v>1304</v>
          </cell>
          <cell r="F636">
            <v>824</v>
          </cell>
          <cell r="G636">
            <v>471</v>
          </cell>
          <cell r="H636">
            <v>36</v>
          </cell>
          <cell r="I636">
            <v>134</v>
          </cell>
          <cell r="J636">
            <v>93</v>
          </cell>
          <cell r="K636">
            <v>208</v>
          </cell>
          <cell r="L636">
            <v>9</v>
          </cell>
          <cell r="M636">
            <v>0</v>
          </cell>
          <cell r="N636">
            <v>2</v>
          </cell>
          <cell r="O636">
            <v>7</v>
          </cell>
          <cell r="P636">
            <v>22</v>
          </cell>
          <cell r="Q636">
            <v>21</v>
          </cell>
          <cell r="R636">
            <v>1</v>
          </cell>
          <cell r="S636">
            <v>1295</v>
          </cell>
          <cell r="T636">
            <v>31</v>
          </cell>
        </row>
        <row r="637">
          <cell r="C637" t="str">
            <v>Machias CDP, Washington</v>
          </cell>
          <cell r="D637">
            <v>1066</v>
          </cell>
          <cell r="E637">
            <v>1060</v>
          </cell>
          <cell r="F637">
            <v>571</v>
          </cell>
          <cell r="G637">
            <v>482</v>
          </cell>
          <cell r="H637">
            <v>65</v>
          </cell>
          <cell r="I637">
            <v>187</v>
          </cell>
          <cell r="J637">
            <v>58</v>
          </cell>
          <cell r="K637">
            <v>172</v>
          </cell>
          <cell r="L637">
            <v>7</v>
          </cell>
          <cell r="M637">
            <v>0</v>
          </cell>
          <cell r="N637">
            <v>0</v>
          </cell>
          <cell r="O637">
            <v>7</v>
          </cell>
          <cell r="P637">
            <v>6</v>
          </cell>
          <cell r="Q637">
            <v>0</v>
          </cell>
          <cell r="R637">
            <v>6</v>
          </cell>
          <cell r="S637">
            <v>1053</v>
          </cell>
          <cell r="T637">
            <v>13</v>
          </cell>
        </row>
        <row r="638">
          <cell r="C638" t="str">
            <v>Malden town, Washington</v>
          </cell>
          <cell r="D638">
            <v>213</v>
          </cell>
          <cell r="E638">
            <v>209</v>
          </cell>
          <cell r="F638">
            <v>112</v>
          </cell>
          <cell r="G638">
            <v>97</v>
          </cell>
          <cell r="H638">
            <v>14</v>
          </cell>
          <cell r="I638">
            <v>31</v>
          </cell>
          <cell r="J638">
            <v>7</v>
          </cell>
          <cell r="K638">
            <v>45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4</v>
          </cell>
          <cell r="Q638">
            <v>0</v>
          </cell>
          <cell r="R638">
            <v>4</v>
          </cell>
          <cell r="S638">
            <v>209</v>
          </cell>
          <cell r="T638">
            <v>4</v>
          </cell>
        </row>
        <row r="639">
          <cell r="C639" t="str">
            <v>Malone-Porter CDP, Washington</v>
          </cell>
          <cell r="D639">
            <v>473</v>
          </cell>
          <cell r="E639">
            <v>473</v>
          </cell>
          <cell r="F639">
            <v>314</v>
          </cell>
          <cell r="G639">
            <v>154</v>
          </cell>
          <cell r="H639">
            <v>4</v>
          </cell>
          <cell r="I639">
            <v>31</v>
          </cell>
          <cell r="J639">
            <v>42</v>
          </cell>
          <cell r="K639">
            <v>77</v>
          </cell>
          <cell r="L639">
            <v>5</v>
          </cell>
          <cell r="M639">
            <v>0</v>
          </cell>
          <cell r="N639">
            <v>0</v>
          </cell>
          <cell r="O639">
            <v>5</v>
          </cell>
          <cell r="P639">
            <v>0</v>
          </cell>
          <cell r="Q639">
            <v>0</v>
          </cell>
          <cell r="R639">
            <v>0</v>
          </cell>
          <cell r="S639">
            <v>468</v>
          </cell>
          <cell r="T639">
            <v>5</v>
          </cell>
        </row>
        <row r="640">
          <cell r="C640" t="str">
            <v>Maltby CDP, Washington</v>
          </cell>
          <cell r="D640">
            <v>7902</v>
          </cell>
          <cell r="E640">
            <v>7747</v>
          </cell>
          <cell r="F640">
            <v>4384</v>
          </cell>
          <cell r="G640">
            <v>3283</v>
          </cell>
          <cell r="H640">
            <v>378</v>
          </cell>
          <cell r="I640">
            <v>873</v>
          </cell>
          <cell r="J640">
            <v>355</v>
          </cell>
          <cell r="K640">
            <v>1677</v>
          </cell>
          <cell r="L640">
            <v>80</v>
          </cell>
          <cell r="M640">
            <v>0</v>
          </cell>
          <cell r="N640">
            <v>0</v>
          </cell>
          <cell r="O640">
            <v>80</v>
          </cell>
          <cell r="P640">
            <v>155</v>
          </cell>
          <cell r="Q640">
            <v>93</v>
          </cell>
          <cell r="R640">
            <v>62</v>
          </cell>
          <cell r="S640">
            <v>7667</v>
          </cell>
          <cell r="T640">
            <v>235</v>
          </cell>
        </row>
        <row r="641">
          <cell r="C641" t="str">
            <v>Manchester CDP, Washington</v>
          </cell>
          <cell r="D641">
            <v>4249</v>
          </cell>
          <cell r="E641">
            <v>4188</v>
          </cell>
          <cell r="F641">
            <v>2136</v>
          </cell>
          <cell r="G641">
            <v>1979</v>
          </cell>
          <cell r="H641">
            <v>189</v>
          </cell>
          <cell r="I641">
            <v>437</v>
          </cell>
          <cell r="J641">
            <v>325</v>
          </cell>
          <cell r="K641">
            <v>1028</v>
          </cell>
          <cell r="L641">
            <v>73</v>
          </cell>
          <cell r="M641">
            <v>0</v>
          </cell>
          <cell r="N641">
            <v>10</v>
          </cell>
          <cell r="O641">
            <v>63</v>
          </cell>
          <cell r="P641">
            <v>61</v>
          </cell>
          <cell r="Q641">
            <v>61</v>
          </cell>
          <cell r="R641">
            <v>0</v>
          </cell>
          <cell r="S641">
            <v>4115</v>
          </cell>
          <cell r="T641">
            <v>134</v>
          </cell>
        </row>
        <row r="642">
          <cell r="C642" t="str">
            <v>Mansfield town, Washington</v>
          </cell>
          <cell r="D642">
            <v>257</v>
          </cell>
          <cell r="E642">
            <v>250</v>
          </cell>
          <cell r="F642">
            <v>160</v>
          </cell>
          <cell r="G642">
            <v>87</v>
          </cell>
          <cell r="H642">
            <v>0</v>
          </cell>
          <cell r="I642">
            <v>12</v>
          </cell>
          <cell r="J642">
            <v>29</v>
          </cell>
          <cell r="K642">
            <v>46</v>
          </cell>
          <cell r="L642">
            <v>3</v>
          </cell>
          <cell r="M642">
            <v>0</v>
          </cell>
          <cell r="N642">
            <v>0</v>
          </cell>
          <cell r="O642">
            <v>3</v>
          </cell>
          <cell r="P642">
            <v>7</v>
          </cell>
          <cell r="Q642">
            <v>2</v>
          </cell>
          <cell r="R642">
            <v>5</v>
          </cell>
          <cell r="S642">
            <v>247</v>
          </cell>
          <cell r="T642">
            <v>10</v>
          </cell>
        </row>
        <row r="643">
          <cell r="C643" t="str">
            <v>Maple Falls CDP, Washington</v>
          </cell>
          <cell r="D643">
            <v>238</v>
          </cell>
          <cell r="E643">
            <v>238</v>
          </cell>
          <cell r="F643">
            <v>127</v>
          </cell>
          <cell r="G643">
            <v>111</v>
          </cell>
          <cell r="H643">
            <v>20</v>
          </cell>
          <cell r="I643">
            <v>32</v>
          </cell>
          <cell r="J643">
            <v>15</v>
          </cell>
          <cell r="K643">
            <v>44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238</v>
          </cell>
          <cell r="T643">
            <v>0</v>
          </cell>
        </row>
        <row r="644">
          <cell r="C644" t="str">
            <v>Maple Heights-Lake Desire CDP, Washington</v>
          </cell>
          <cell r="D644">
            <v>2207</v>
          </cell>
          <cell r="E644">
            <v>2172</v>
          </cell>
          <cell r="F644">
            <v>1203</v>
          </cell>
          <cell r="G644">
            <v>963</v>
          </cell>
          <cell r="H644">
            <v>65</v>
          </cell>
          <cell r="I644">
            <v>291</v>
          </cell>
          <cell r="J644">
            <v>157</v>
          </cell>
          <cell r="K644">
            <v>450</v>
          </cell>
          <cell r="L644">
            <v>6</v>
          </cell>
          <cell r="M644">
            <v>0</v>
          </cell>
          <cell r="N644">
            <v>0</v>
          </cell>
          <cell r="O644">
            <v>6</v>
          </cell>
          <cell r="P644">
            <v>35</v>
          </cell>
          <cell r="Q644">
            <v>35</v>
          </cell>
          <cell r="R644">
            <v>0</v>
          </cell>
          <cell r="S644">
            <v>2166</v>
          </cell>
          <cell r="T644">
            <v>41</v>
          </cell>
        </row>
        <row r="645">
          <cell r="C645" t="str">
            <v>Maple Valley city, Washington</v>
          </cell>
          <cell r="D645">
            <v>12977</v>
          </cell>
          <cell r="E645">
            <v>12616</v>
          </cell>
          <cell r="F645">
            <v>6947</v>
          </cell>
          <cell r="G645">
            <v>5536</v>
          </cell>
          <cell r="H645">
            <v>642</v>
          </cell>
          <cell r="I645">
            <v>1576</v>
          </cell>
          <cell r="J645">
            <v>675</v>
          </cell>
          <cell r="K645">
            <v>2643</v>
          </cell>
          <cell r="L645">
            <v>133</v>
          </cell>
          <cell r="M645">
            <v>0</v>
          </cell>
          <cell r="N645">
            <v>0</v>
          </cell>
          <cell r="O645">
            <v>133</v>
          </cell>
          <cell r="P645">
            <v>361</v>
          </cell>
          <cell r="Q645">
            <v>208</v>
          </cell>
          <cell r="R645">
            <v>153</v>
          </cell>
          <cell r="S645">
            <v>12483</v>
          </cell>
          <cell r="T645">
            <v>494</v>
          </cell>
        </row>
        <row r="646">
          <cell r="C646" t="str">
            <v>Marblemount CDP, Washington</v>
          </cell>
          <cell r="D646">
            <v>309</v>
          </cell>
          <cell r="E646">
            <v>285</v>
          </cell>
          <cell r="F646">
            <v>137</v>
          </cell>
          <cell r="G646">
            <v>148</v>
          </cell>
          <cell r="H646">
            <v>13</v>
          </cell>
          <cell r="I646">
            <v>8</v>
          </cell>
          <cell r="J646">
            <v>72</v>
          </cell>
          <cell r="K646">
            <v>55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24</v>
          </cell>
          <cell r="Q646">
            <v>24</v>
          </cell>
          <cell r="R646">
            <v>0</v>
          </cell>
          <cell r="S646">
            <v>285</v>
          </cell>
          <cell r="T646">
            <v>24</v>
          </cell>
        </row>
        <row r="647">
          <cell r="C647" t="str">
            <v>Marcus town, Washington</v>
          </cell>
          <cell r="D647">
            <v>123</v>
          </cell>
          <cell r="E647">
            <v>123</v>
          </cell>
          <cell r="F647">
            <v>81</v>
          </cell>
          <cell r="G647">
            <v>38</v>
          </cell>
          <cell r="H647">
            <v>6</v>
          </cell>
          <cell r="I647">
            <v>5</v>
          </cell>
          <cell r="J647">
            <v>2</v>
          </cell>
          <cell r="K647">
            <v>25</v>
          </cell>
          <cell r="L647">
            <v>4</v>
          </cell>
          <cell r="M647">
            <v>0</v>
          </cell>
          <cell r="N647">
            <v>0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119</v>
          </cell>
          <cell r="T647">
            <v>4</v>
          </cell>
        </row>
        <row r="648">
          <cell r="C648" t="str">
            <v>Marietta-Alderwood CDP, Washington</v>
          </cell>
          <cell r="D648">
            <v>3359</v>
          </cell>
          <cell r="E648">
            <v>3052</v>
          </cell>
          <cell r="F648">
            <v>1817</v>
          </cell>
          <cell r="G648">
            <v>1216</v>
          </cell>
          <cell r="H648">
            <v>96</v>
          </cell>
          <cell r="I648">
            <v>319</v>
          </cell>
          <cell r="J648">
            <v>138</v>
          </cell>
          <cell r="K648">
            <v>663</v>
          </cell>
          <cell r="L648">
            <v>19</v>
          </cell>
          <cell r="M648">
            <v>0</v>
          </cell>
          <cell r="N648">
            <v>0</v>
          </cell>
          <cell r="O648">
            <v>19</v>
          </cell>
          <cell r="P648">
            <v>307</v>
          </cell>
          <cell r="Q648">
            <v>78</v>
          </cell>
          <cell r="R648">
            <v>229</v>
          </cell>
          <cell r="S648">
            <v>3033</v>
          </cell>
          <cell r="T648">
            <v>326</v>
          </cell>
        </row>
        <row r="649">
          <cell r="C649" t="str">
            <v>Markham CDP, Washington</v>
          </cell>
          <cell r="D649">
            <v>73</v>
          </cell>
          <cell r="E649">
            <v>73</v>
          </cell>
          <cell r="F649">
            <v>59</v>
          </cell>
          <cell r="G649">
            <v>14</v>
          </cell>
          <cell r="H649">
            <v>0</v>
          </cell>
          <cell r="I649">
            <v>14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73</v>
          </cell>
          <cell r="T649">
            <v>0</v>
          </cell>
        </row>
        <row r="650">
          <cell r="C650" t="str">
            <v>Marrowstone CDP, Washington</v>
          </cell>
          <cell r="D650">
            <v>843</v>
          </cell>
          <cell r="E650">
            <v>836</v>
          </cell>
          <cell r="F650">
            <v>319</v>
          </cell>
          <cell r="G650">
            <v>503</v>
          </cell>
          <cell r="H650">
            <v>79</v>
          </cell>
          <cell r="I650">
            <v>150</v>
          </cell>
          <cell r="J650">
            <v>57</v>
          </cell>
          <cell r="K650">
            <v>217</v>
          </cell>
          <cell r="L650">
            <v>14</v>
          </cell>
          <cell r="M650">
            <v>0</v>
          </cell>
          <cell r="N650">
            <v>0</v>
          </cell>
          <cell r="O650">
            <v>14</v>
          </cell>
          <cell r="P650">
            <v>7</v>
          </cell>
          <cell r="Q650">
            <v>7</v>
          </cell>
          <cell r="R650">
            <v>0</v>
          </cell>
          <cell r="S650">
            <v>822</v>
          </cell>
          <cell r="T650">
            <v>21</v>
          </cell>
        </row>
        <row r="651">
          <cell r="C651" t="str">
            <v>Martha Lake CDP, Washington</v>
          </cell>
          <cell r="D651">
            <v>10423</v>
          </cell>
          <cell r="E651">
            <v>10001</v>
          </cell>
          <cell r="F651">
            <v>6088</v>
          </cell>
          <cell r="G651">
            <v>3858</v>
          </cell>
          <cell r="H651">
            <v>372</v>
          </cell>
          <cell r="I651">
            <v>1073</v>
          </cell>
          <cell r="J651">
            <v>416</v>
          </cell>
          <cell r="K651">
            <v>1997</v>
          </cell>
          <cell r="L651">
            <v>55</v>
          </cell>
          <cell r="M651">
            <v>0</v>
          </cell>
          <cell r="N651">
            <v>0</v>
          </cell>
          <cell r="O651">
            <v>55</v>
          </cell>
          <cell r="P651">
            <v>422</v>
          </cell>
          <cell r="Q651">
            <v>306</v>
          </cell>
          <cell r="R651">
            <v>116</v>
          </cell>
          <cell r="S651">
            <v>9946</v>
          </cell>
          <cell r="T651">
            <v>477</v>
          </cell>
        </row>
        <row r="652">
          <cell r="C652" t="str">
            <v>Maryhill CDP, Washington</v>
          </cell>
          <cell r="D652">
            <v>72</v>
          </cell>
          <cell r="E652">
            <v>72</v>
          </cell>
          <cell r="F652">
            <v>50</v>
          </cell>
          <cell r="G652">
            <v>22</v>
          </cell>
          <cell r="H652">
            <v>0</v>
          </cell>
          <cell r="I652">
            <v>14</v>
          </cell>
          <cell r="J652">
            <v>0</v>
          </cell>
          <cell r="K652">
            <v>8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72</v>
          </cell>
          <cell r="T652">
            <v>0</v>
          </cell>
        </row>
        <row r="653">
          <cell r="C653" t="str">
            <v>Marysville city, Washington</v>
          </cell>
          <cell r="D653">
            <v>21753</v>
          </cell>
          <cell r="E653">
            <v>21070</v>
          </cell>
          <cell r="F653">
            <v>12296</v>
          </cell>
          <cell r="G653">
            <v>8537</v>
          </cell>
          <cell r="H653">
            <v>745</v>
          </cell>
          <cell r="I653">
            <v>2670</v>
          </cell>
          <cell r="J653">
            <v>1097</v>
          </cell>
          <cell r="K653">
            <v>4025</v>
          </cell>
          <cell r="L653">
            <v>237</v>
          </cell>
          <cell r="M653">
            <v>0</v>
          </cell>
          <cell r="N653">
            <v>0</v>
          </cell>
          <cell r="O653">
            <v>237</v>
          </cell>
          <cell r="P653">
            <v>683</v>
          </cell>
          <cell r="Q653">
            <v>391</v>
          </cell>
          <cell r="R653">
            <v>292</v>
          </cell>
          <cell r="S653">
            <v>20833</v>
          </cell>
          <cell r="T653">
            <v>920</v>
          </cell>
        </row>
        <row r="654">
          <cell r="C654" t="str">
            <v>Mattawa town, Washington</v>
          </cell>
          <cell r="D654">
            <v>218</v>
          </cell>
          <cell r="E654">
            <v>218</v>
          </cell>
          <cell r="F654">
            <v>129</v>
          </cell>
          <cell r="G654">
            <v>84</v>
          </cell>
          <cell r="H654">
            <v>0</v>
          </cell>
          <cell r="I654">
            <v>26</v>
          </cell>
          <cell r="J654">
            <v>10</v>
          </cell>
          <cell r="K654">
            <v>48</v>
          </cell>
          <cell r="L654">
            <v>5</v>
          </cell>
          <cell r="M654">
            <v>0</v>
          </cell>
          <cell r="N654">
            <v>0</v>
          </cell>
          <cell r="O654">
            <v>5</v>
          </cell>
          <cell r="P654">
            <v>0</v>
          </cell>
          <cell r="Q654">
            <v>0</v>
          </cell>
          <cell r="R654">
            <v>0</v>
          </cell>
          <cell r="S654">
            <v>213</v>
          </cell>
          <cell r="T654">
            <v>5</v>
          </cell>
        </row>
        <row r="655">
          <cell r="C655" t="str">
            <v>May Creek CDP, Washington</v>
          </cell>
          <cell r="D655">
            <v>945</v>
          </cell>
          <cell r="E655">
            <v>945</v>
          </cell>
          <cell r="F655">
            <v>571</v>
          </cell>
          <cell r="G655">
            <v>370</v>
          </cell>
          <cell r="H655">
            <v>35</v>
          </cell>
          <cell r="I655">
            <v>133</v>
          </cell>
          <cell r="J655">
            <v>30</v>
          </cell>
          <cell r="K655">
            <v>172</v>
          </cell>
          <cell r="L655">
            <v>4</v>
          </cell>
          <cell r="M655">
            <v>0</v>
          </cell>
          <cell r="N655">
            <v>0</v>
          </cell>
          <cell r="O655">
            <v>4</v>
          </cell>
          <cell r="P655">
            <v>0</v>
          </cell>
          <cell r="Q655">
            <v>0</v>
          </cell>
          <cell r="R655">
            <v>0</v>
          </cell>
          <cell r="S655">
            <v>941</v>
          </cell>
          <cell r="T655">
            <v>4</v>
          </cell>
        </row>
        <row r="656">
          <cell r="C656" t="str">
            <v>Meadow Glade CDP, Washington</v>
          </cell>
          <cell r="D656">
            <v>2188</v>
          </cell>
          <cell r="E656">
            <v>2180</v>
          </cell>
          <cell r="F656">
            <v>832</v>
          </cell>
          <cell r="G656">
            <v>1341</v>
          </cell>
          <cell r="H656">
            <v>91</v>
          </cell>
          <cell r="I656">
            <v>304</v>
          </cell>
          <cell r="J656">
            <v>137</v>
          </cell>
          <cell r="K656">
            <v>809</v>
          </cell>
          <cell r="L656">
            <v>7</v>
          </cell>
          <cell r="M656">
            <v>0</v>
          </cell>
          <cell r="N656">
            <v>0</v>
          </cell>
          <cell r="O656">
            <v>7</v>
          </cell>
          <cell r="P656">
            <v>8</v>
          </cell>
          <cell r="Q656">
            <v>0</v>
          </cell>
          <cell r="R656">
            <v>8</v>
          </cell>
          <cell r="S656">
            <v>2173</v>
          </cell>
          <cell r="T656">
            <v>15</v>
          </cell>
        </row>
        <row r="657">
          <cell r="C657" t="str">
            <v>Medical Lake city, Washington</v>
          </cell>
          <cell r="D657">
            <v>3251</v>
          </cell>
          <cell r="E657">
            <v>3227</v>
          </cell>
          <cell r="F657">
            <v>1504</v>
          </cell>
          <cell r="G657">
            <v>1680</v>
          </cell>
          <cell r="H657">
            <v>174</v>
          </cell>
          <cell r="I657">
            <v>357</v>
          </cell>
          <cell r="J657">
            <v>295</v>
          </cell>
          <cell r="K657">
            <v>854</v>
          </cell>
          <cell r="L657">
            <v>43</v>
          </cell>
          <cell r="M657">
            <v>0</v>
          </cell>
          <cell r="N657">
            <v>0</v>
          </cell>
          <cell r="O657">
            <v>43</v>
          </cell>
          <cell r="P657">
            <v>24</v>
          </cell>
          <cell r="Q657">
            <v>19</v>
          </cell>
          <cell r="R657">
            <v>5</v>
          </cell>
          <cell r="S657">
            <v>3184</v>
          </cell>
          <cell r="T657">
            <v>67</v>
          </cell>
        </row>
        <row r="658">
          <cell r="C658" t="str">
            <v>Medina city, Washington</v>
          </cell>
          <cell r="D658">
            <v>2762</v>
          </cell>
          <cell r="E658">
            <v>2588</v>
          </cell>
          <cell r="F658">
            <v>1326</v>
          </cell>
          <cell r="G658">
            <v>1223</v>
          </cell>
          <cell r="H658">
            <v>245</v>
          </cell>
          <cell r="I658">
            <v>310</v>
          </cell>
          <cell r="J658">
            <v>184</v>
          </cell>
          <cell r="K658">
            <v>484</v>
          </cell>
          <cell r="L658">
            <v>39</v>
          </cell>
          <cell r="M658">
            <v>0</v>
          </cell>
          <cell r="N658">
            <v>0</v>
          </cell>
          <cell r="O658">
            <v>39</v>
          </cell>
          <cell r="P658">
            <v>174</v>
          </cell>
          <cell r="Q658">
            <v>76</v>
          </cell>
          <cell r="R658">
            <v>98</v>
          </cell>
          <cell r="S658">
            <v>2549</v>
          </cell>
          <cell r="T658">
            <v>213</v>
          </cell>
        </row>
        <row r="659">
          <cell r="C659" t="str">
            <v>Mercer Island city, Washington</v>
          </cell>
          <cell r="D659">
            <v>18295</v>
          </cell>
          <cell r="E659">
            <v>16694</v>
          </cell>
          <cell r="F659">
            <v>6978</v>
          </cell>
          <cell r="G659">
            <v>9563</v>
          </cell>
          <cell r="H659">
            <v>2048</v>
          </cell>
          <cell r="I659">
            <v>3030</v>
          </cell>
          <cell r="J659">
            <v>1110</v>
          </cell>
          <cell r="K659">
            <v>3375</v>
          </cell>
          <cell r="L659">
            <v>153</v>
          </cell>
          <cell r="M659">
            <v>11</v>
          </cell>
          <cell r="N659">
            <v>9</v>
          </cell>
          <cell r="O659">
            <v>133</v>
          </cell>
          <cell r="P659">
            <v>1601</v>
          </cell>
          <cell r="Q659">
            <v>1044</v>
          </cell>
          <cell r="R659">
            <v>557</v>
          </cell>
          <cell r="S659">
            <v>16541</v>
          </cell>
          <cell r="T659">
            <v>1754</v>
          </cell>
        </row>
        <row r="660">
          <cell r="C660" t="str">
            <v>Mesa city, Washington</v>
          </cell>
          <cell r="D660">
            <v>140</v>
          </cell>
          <cell r="E660">
            <v>140</v>
          </cell>
          <cell r="F660">
            <v>97</v>
          </cell>
          <cell r="G660">
            <v>43</v>
          </cell>
          <cell r="H660">
            <v>0</v>
          </cell>
          <cell r="I660">
            <v>5</v>
          </cell>
          <cell r="J660">
            <v>14</v>
          </cell>
          <cell r="K660">
            <v>24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140</v>
          </cell>
          <cell r="T660">
            <v>0</v>
          </cell>
        </row>
        <row r="661">
          <cell r="C661" t="str">
            <v>Metaline town, Washington</v>
          </cell>
          <cell r="D661">
            <v>172</v>
          </cell>
          <cell r="E661">
            <v>170</v>
          </cell>
          <cell r="F661">
            <v>111</v>
          </cell>
          <cell r="G661">
            <v>53</v>
          </cell>
          <cell r="H661">
            <v>7</v>
          </cell>
          <cell r="I661">
            <v>11</v>
          </cell>
          <cell r="J661">
            <v>8</v>
          </cell>
          <cell r="K661">
            <v>27</v>
          </cell>
          <cell r="L661">
            <v>6</v>
          </cell>
          <cell r="M661">
            <v>0</v>
          </cell>
          <cell r="N661">
            <v>0</v>
          </cell>
          <cell r="O661">
            <v>6</v>
          </cell>
          <cell r="P661">
            <v>2</v>
          </cell>
          <cell r="Q661">
            <v>2</v>
          </cell>
          <cell r="R661">
            <v>0</v>
          </cell>
          <cell r="S661">
            <v>164</v>
          </cell>
          <cell r="T661">
            <v>8</v>
          </cell>
        </row>
        <row r="662">
          <cell r="C662" t="str">
            <v>Metaline Falls town, Washington</v>
          </cell>
          <cell r="D662">
            <v>189</v>
          </cell>
          <cell r="E662">
            <v>177</v>
          </cell>
          <cell r="F662">
            <v>102</v>
          </cell>
          <cell r="G662">
            <v>75</v>
          </cell>
          <cell r="H662">
            <v>1</v>
          </cell>
          <cell r="I662">
            <v>26</v>
          </cell>
          <cell r="J662">
            <v>4</v>
          </cell>
          <cell r="K662">
            <v>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12</v>
          </cell>
          <cell r="Q662">
            <v>8</v>
          </cell>
          <cell r="R662">
            <v>4</v>
          </cell>
          <cell r="S662">
            <v>177</v>
          </cell>
          <cell r="T662">
            <v>12</v>
          </cell>
        </row>
        <row r="663">
          <cell r="C663" t="str">
            <v>Midland CDP, Washington</v>
          </cell>
          <cell r="D663">
            <v>5168</v>
          </cell>
          <cell r="E663">
            <v>5096</v>
          </cell>
          <cell r="F663">
            <v>3267</v>
          </cell>
          <cell r="G663">
            <v>1767</v>
          </cell>
          <cell r="H663">
            <v>181</v>
          </cell>
          <cell r="I663">
            <v>527</v>
          </cell>
          <cell r="J663">
            <v>301</v>
          </cell>
          <cell r="K663">
            <v>758</v>
          </cell>
          <cell r="L663">
            <v>62</v>
          </cell>
          <cell r="M663">
            <v>0</v>
          </cell>
          <cell r="N663">
            <v>2</v>
          </cell>
          <cell r="O663">
            <v>60</v>
          </cell>
          <cell r="P663">
            <v>72</v>
          </cell>
          <cell r="Q663">
            <v>62</v>
          </cell>
          <cell r="R663">
            <v>10</v>
          </cell>
          <cell r="S663">
            <v>5034</v>
          </cell>
          <cell r="T663">
            <v>134</v>
          </cell>
        </row>
        <row r="664">
          <cell r="C664" t="str">
            <v>Mill Creek city, Washington</v>
          </cell>
          <cell r="D664">
            <v>9265</v>
          </cell>
          <cell r="E664">
            <v>8468</v>
          </cell>
          <cell r="F664">
            <v>4270</v>
          </cell>
          <cell r="G664">
            <v>4093</v>
          </cell>
          <cell r="H664">
            <v>672</v>
          </cell>
          <cell r="I664">
            <v>1344</v>
          </cell>
          <cell r="J664">
            <v>466</v>
          </cell>
          <cell r="K664">
            <v>1611</v>
          </cell>
          <cell r="L664">
            <v>105</v>
          </cell>
          <cell r="M664">
            <v>0</v>
          </cell>
          <cell r="N664">
            <v>0</v>
          </cell>
          <cell r="O664">
            <v>105</v>
          </cell>
          <cell r="P664">
            <v>797</v>
          </cell>
          <cell r="Q664">
            <v>343</v>
          </cell>
          <cell r="R664">
            <v>454</v>
          </cell>
          <cell r="S664">
            <v>8363</v>
          </cell>
          <cell r="T664">
            <v>902</v>
          </cell>
        </row>
        <row r="665">
          <cell r="C665" t="str">
            <v>Mill Plain CDP, Washington</v>
          </cell>
          <cell r="D665">
            <v>6571</v>
          </cell>
          <cell r="E665">
            <v>5902</v>
          </cell>
          <cell r="F665">
            <v>1946</v>
          </cell>
          <cell r="G665">
            <v>3895</v>
          </cell>
          <cell r="H665">
            <v>258</v>
          </cell>
          <cell r="I665">
            <v>669</v>
          </cell>
          <cell r="J665">
            <v>314</v>
          </cell>
          <cell r="K665">
            <v>2654</v>
          </cell>
          <cell r="L665">
            <v>61</v>
          </cell>
          <cell r="M665">
            <v>0</v>
          </cell>
          <cell r="N665">
            <v>0</v>
          </cell>
          <cell r="O665">
            <v>61</v>
          </cell>
          <cell r="P665">
            <v>669</v>
          </cell>
          <cell r="Q665">
            <v>148</v>
          </cell>
          <cell r="R665">
            <v>521</v>
          </cell>
          <cell r="S665">
            <v>5841</v>
          </cell>
          <cell r="T665">
            <v>730</v>
          </cell>
        </row>
        <row r="666">
          <cell r="C666" t="str">
            <v>Millwood town, Washington</v>
          </cell>
          <cell r="D666">
            <v>1587</v>
          </cell>
          <cell r="E666">
            <v>1554</v>
          </cell>
          <cell r="F666">
            <v>884</v>
          </cell>
          <cell r="G666">
            <v>654</v>
          </cell>
          <cell r="H666">
            <v>52</v>
          </cell>
          <cell r="I666">
            <v>140</v>
          </cell>
          <cell r="J666">
            <v>50</v>
          </cell>
          <cell r="K666">
            <v>412</v>
          </cell>
          <cell r="L666">
            <v>16</v>
          </cell>
          <cell r="M666">
            <v>0</v>
          </cell>
          <cell r="N666">
            <v>0</v>
          </cell>
          <cell r="O666">
            <v>16</v>
          </cell>
          <cell r="P666">
            <v>33</v>
          </cell>
          <cell r="Q666">
            <v>30</v>
          </cell>
          <cell r="R666">
            <v>3</v>
          </cell>
          <cell r="S666">
            <v>1538</v>
          </cell>
          <cell r="T666">
            <v>49</v>
          </cell>
        </row>
        <row r="667">
          <cell r="C667" t="str">
            <v>Milton city, Washington</v>
          </cell>
          <cell r="D667">
            <v>5128</v>
          </cell>
          <cell r="E667">
            <v>5007</v>
          </cell>
          <cell r="F667">
            <v>2905</v>
          </cell>
          <cell r="G667">
            <v>2079</v>
          </cell>
          <cell r="H667">
            <v>147</v>
          </cell>
          <cell r="I667">
            <v>771</v>
          </cell>
          <cell r="J667">
            <v>242</v>
          </cell>
          <cell r="K667">
            <v>919</v>
          </cell>
          <cell r="L667">
            <v>23</v>
          </cell>
          <cell r="M667">
            <v>0</v>
          </cell>
          <cell r="N667">
            <v>0</v>
          </cell>
          <cell r="O667">
            <v>23</v>
          </cell>
          <cell r="P667">
            <v>121</v>
          </cell>
          <cell r="Q667">
            <v>49</v>
          </cell>
          <cell r="R667">
            <v>72</v>
          </cell>
          <cell r="S667">
            <v>4984</v>
          </cell>
          <cell r="T667">
            <v>144</v>
          </cell>
        </row>
        <row r="668">
          <cell r="C668" t="str">
            <v>Minnehaha CDP, Washington</v>
          </cell>
          <cell r="D668">
            <v>6628</v>
          </cell>
          <cell r="E668">
            <v>6142</v>
          </cell>
          <cell r="F668">
            <v>2379</v>
          </cell>
          <cell r="G668">
            <v>3745</v>
          </cell>
          <cell r="H668">
            <v>137</v>
          </cell>
          <cell r="I668">
            <v>720</v>
          </cell>
          <cell r="J668">
            <v>299</v>
          </cell>
          <cell r="K668">
            <v>2589</v>
          </cell>
          <cell r="L668">
            <v>18</v>
          </cell>
          <cell r="M668">
            <v>0</v>
          </cell>
          <cell r="N668">
            <v>0</v>
          </cell>
          <cell r="O668">
            <v>18</v>
          </cell>
          <cell r="P668">
            <v>486</v>
          </cell>
          <cell r="Q668">
            <v>126</v>
          </cell>
          <cell r="R668">
            <v>360</v>
          </cell>
          <cell r="S668">
            <v>6124</v>
          </cell>
          <cell r="T668">
            <v>504</v>
          </cell>
        </row>
        <row r="669">
          <cell r="C669" t="str">
            <v>Mirrormont CDP, Washington</v>
          </cell>
          <cell r="D669">
            <v>3398</v>
          </cell>
          <cell r="E669">
            <v>3234</v>
          </cell>
          <cell r="F669">
            <v>1467</v>
          </cell>
          <cell r="G669">
            <v>1738</v>
          </cell>
          <cell r="H669">
            <v>295</v>
          </cell>
          <cell r="I669">
            <v>488</v>
          </cell>
          <cell r="J669">
            <v>185</v>
          </cell>
          <cell r="K669">
            <v>770</v>
          </cell>
          <cell r="L669">
            <v>29</v>
          </cell>
          <cell r="M669">
            <v>0</v>
          </cell>
          <cell r="N669">
            <v>0</v>
          </cell>
          <cell r="O669">
            <v>29</v>
          </cell>
          <cell r="P669">
            <v>164</v>
          </cell>
          <cell r="Q669">
            <v>85</v>
          </cell>
          <cell r="R669">
            <v>79</v>
          </cell>
          <cell r="S669">
            <v>3205</v>
          </cell>
          <cell r="T669">
            <v>193</v>
          </cell>
        </row>
        <row r="670">
          <cell r="C670" t="str">
            <v>Moclips CDP, Washington</v>
          </cell>
          <cell r="D670">
            <v>290</v>
          </cell>
          <cell r="E670">
            <v>290</v>
          </cell>
          <cell r="F670">
            <v>166</v>
          </cell>
          <cell r="G670">
            <v>124</v>
          </cell>
          <cell r="H670">
            <v>11</v>
          </cell>
          <cell r="I670">
            <v>38</v>
          </cell>
          <cell r="J670">
            <v>6</v>
          </cell>
          <cell r="K670">
            <v>69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290</v>
          </cell>
          <cell r="T670">
            <v>0</v>
          </cell>
        </row>
        <row r="671">
          <cell r="C671" t="str">
            <v>Monroe city, Washington</v>
          </cell>
          <cell r="D671">
            <v>10957</v>
          </cell>
          <cell r="E671">
            <v>10727</v>
          </cell>
          <cell r="F671">
            <v>6728</v>
          </cell>
          <cell r="G671">
            <v>3932</v>
          </cell>
          <cell r="H671">
            <v>357</v>
          </cell>
          <cell r="I671">
            <v>1440</v>
          </cell>
          <cell r="J671">
            <v>411</v>
          </cell>
          <cell r="K671">
            <v>1724</v>
          </cell>
          <cell r="L671">
            <v>67</v>
          </cell>
          <cell r="M671">
            <v>11</v>
          </cell>
          <cell r="N671">
            <v>0</v>
          </cell>
          <cell r="O671">
            <v>56</v>
          </cell>
          <cell r="P671">
            <v>230</v>
          </cell>
          <cell r="Q671">
            <v>149</v>
          </cell>
          <cell r="R671">
            <v>81</v>
          </cell>
          <cell r="S671">
            <v>10660</v>
          </cell>
          <cell r="T671">
            <v>297</v>
          </cell>
        </row>
        <row r="672">
          <cell r="C672" t="str">
            <v>Montesano city, Washington</v>
          </cell>
          <cell r="D672">
            <v>3159</v>
          </cell>
          <cell r="E672">
            <v>3072</v>
          </cell>
          <cell r="F672">
            <v>2026</v>
          </cell>
          <cell r="G672">
            <v>1003</v>
          </cell>
          <cell r="H672">
            <v>70</v>
          </cell>
          <cell r="I672">
            <v>289</v>
          </cell>
          <cell r="J672">
            <v>114</v>
          </cell>
          <cell r="K672">
            <v>530</v>
          </cell>
          <cell r="L672">
            <v>43</v>
          </cell>
          <cell r="M672">
            <v>0</v>
          </cell>
          <cell r="N672">
            <v>0</v>
          </cell>
          <cell r="O672">
            <v>43</v>
          </cell>
          <cell r="P672">
            <v>87</v>
          </cell>
          <cell r="Q672">
            <v>68</v>
          </cell>
          <cell r="R672">
            <v>19</v>
          </cell>
          <cell r="S672">
            <v>3029</v>
          </cell>
          <cell r="T672">
            <v>130</v>
          </cell>
        </row>
        <row r="673">
          <cell r="C673" t="str">
            <v>Morton city, Washington</v>
          </cell>
          <cell r="D673">
            <v>997</v>
          </cell>
          <cell r="E673">
            <v>987</v>
          </cell>
          <cell r="F673">
            <v>579</v>
          </cell>
          <cell r="G673">
            <v>404</v>
          </cell>
          <cell r="H673">
            <v>23</v>
          </cell>
          <cell r="I673">
            <v>121</v>
          </cell>
          <cell r="J673">
            <v>64</v>
          </cell>
          <cell r="K673">
            <v>196</v>
          </cell>
          <cell r="L673">
            <v>4</v>
          </cell>
          <cell r="M673">
            <v>0</v>
          </cell>
          <cell r="N673">
            <v>0</v>
          </cell>
          <cell r="O673">
            <v>4</v>
          </cell>
          <cell r="P673">
            <v>10</v>
          </cell>
          <cell r="Q673">
            <v>7</v>
          </cell>
          <cell r="R673">
            <v>3</v>
          </cell>
          <cell r="S673">
            <v>983</v>
          </cell>
          <cell r="T673">
            <v>14</v>
          </cell>
        </row>
        <row r="674">
          <cell r="C674" t="str">
            <v>Moses Lake city, Washington</v>
          </cell>
          <cell r="D674">
            <v>10229</v>
          </cell>
          <cell r="E674">
            <v>9858</v>
          </cell>
          <cell r="F674">
            <v>5220</v>
          </cell>
          <cell r="G674">
            <v>4591</v>
          </cell>
          <cell r="H674">
            <v>153</v>
          </cell>
          <cell r="I674">
            <v>1199</v>
          </cell>
          <cell r="J674">
            <v>705</v>
          </cell>
          <cell r="K674">
            <v>2534</v>
          </cell>
          <cell r="L674">
            <v>47</v>
          </cell>
          <cell r="M674">
            <v>0</v>
          </cell>
          <cell r="N674">
            <v>0</v>
          </cell>
          <cell r="O674">
            <v>47</v>
          </cell>
          <cell r="P674">
            <v>371</v>
          </cell>
          <cell r="Q674">
            <v>192</v>
          </cell>
          <cell r="R674">
            <v>179</v>
          </cell>
          <cell r="S674">
            <v>9811</v>
          </cell>
          <cell r="T674">
            <v>418</v>
          </cell>
        </row>
        <row r="675">
          <cell r="C675" t="str">
            <v>Moses Lake North CDP, Washington</v>
          </cell>
          <cell r="D675">
            <v>2702</v>
          </cell>
          <cell r="E675">
            <v>2437</v>
          </cell>
          <cell r="F675">
            <v>1447</v>
          </cell>
          <cell r="G675">
            <v>969</v>
          </cell>
          <cell r="H675">
            <v>84</v>
          </cell>
          <cell r="I675">
            <v>249</v>
          </cell>
          <cell r="J675">
            <v>137</v>
          </cell>
          <cell r="K675">
            <v>499</v>
          </cell>
          <cell r="L675">
            <v>21</v>
          </cell>
          <cell r="M675">
            <v>0</v>
          </cell>
          <cell r="N675">
            <v>0</v>
          </cell>
          <cell r="O675">
            <v>21</v>
          </cell>
          <cell r="P675">
            <v>265</v>
          </cell>
          <cell r="Q675">
            <v>39</v>
          </cell>
          <cell r="R675">
            <v>226</v>
          </cell>
          <cell r="S675">
            <v>2416</v>
          </cell>
          <cell r="T675">
            <v>286</v>
          </cell>
        </row>
        <row r="676">
          <cell r="C676" t="str">
            <v>Mossyrock city, Washington</v>
          </cell>
          <cell r="D676">
            <v>423</v>
          </cell>
          <cell r="E676">
            <v>421</v>
          </cell>
          <cell r="F676">
            <v>267</v>
          </cell>
          <cell r="G676">
            <v>153</v>
          </cell>
          <cell r="H676">
            <v>16</v>
          </cell>
          <cell r="I676">
            <v>32</v>
          </cell>
          <cell r="J676">
            <v>18</v>
          </cell>
          <cell r="K676">
            <v>87</v>
          </cell>
          <cell r="L676">
            <v>1</v>
          </cell>
          <cell r="M676">
            <v>0</v>
          </cell>
          <cell r="N676">
            <v>0</v>
          </cell>
          <cell r="O676">
            <v>1</v>
          </cell>
          <cell r="P676">
            <v>2</v>
          </cell>
          <cell r="Q676">
            <v>2</v>
          </cell>
          <cell r="R676">
            <v>0</v>
          </cell>
          <cell r="S676">
            <v>420</v>
          </cell>
          <cell r="T676">
            <v>3</v>
          </cell>
        </row>
        <row r="677">
          <cell r="C677" t="str">
            <v>Mountlake Terrace city, Washington</v>
          </cell>
          <cell r="D677">
            <v>15384</v>
          </cell>
          <cell r="E677">
            <v>14408</v>
          </cell>
          <cell r="F677">
            <v>8578</v>
          </cell>
          <cell r="G677">
            <v>5622</v>
          </cell>
          <cell r="H677">
            <v>569</v>
          </cell>
          <cell r="I677">
            <v>1676</v>
          </cell>
          <cell r="J677">
            <v>738</v>
          </cell>
          <cell r="K677">
            <v>2639</v>
          </cell>
          <cell r="L677">
            <v>208</v>
          </cell>
          <cell r="M677">
            <v>0</v>
          </cell>
          <cell r="N677">
            <v>13</v>
          </cell>
          <cell r="O677">
            <v>195</v>
          </cell>
          <cell r="P677">
            <v>976</v>
          </cell>
          <cell r="Q677">
            <v>576</v>
          </cell>
          <cell r="R677">
            <v>400</v>
          </cell>
          <cell r="S677">
            <v>14200</v>
          </cell>
          <cell r="T677">
            <v>1184</v>
          </cell>
        </row>
        <row r="678">
          <cell r="C678" t="str">
            <v>Mount Vernon city, Washington</v>
          </cell>
          <cell r="D678">
            <v>17982</v>
          </cell>
          <cell r="E678">
            <v>17101</v>
          </cell>
          <cell r="F678">
            <v>10010</v>
          </cell>
          <cell r="G678">
            <v>6872</v>
          </cell>
          <cell r="H678">
            <v>510</v>
          </cell>
          <cell r="I678">
            <v>2187</v>
          </cell>
          <cell r="J678">
            <v>1320</v>
          </cell>
          <cell r="K678">
            <v>2855</v>
          </cell>
          <cell r="L678">
            <v>219</v>
          </cell>
          <cell r="M678">
            <v>0</v>
          </cell>
          <cell r="N678">
            <v>10</v>
          </cell>
          <cell r="O678">
            <v>209</v>
          </cell>
          <cell r="P678">
            <v>881</v>
          </cell>
          <cell r="Q678">
            <v>333</v>
          </cell>
          <cell r="R678">
            <v>548</v>
          </cell>
          <cell r="S678">
            <v>16882</v>
          </cell>
          <cell r="T678">
            <v>1100</v>
          </cell>
        </row>
        <row r="679">
          <cell r="C679" t="str">
            <v>Mount Vista CDP, Washington</v>
          </cell>
          <cell r="D679">
            <v>5240</v>
          </cell>
          <cell r="E679">
            <v>5085</v>
          </cell>
          <cell r="F679">
            <v>1505</v>
          </cell>
          <cell r="G679">
            <v>3531</v>
          </cell>
          <cell r="H679">
            <v>237</v>
          </cell>
          <cell r="I679">
            <v>785</v>
          </cell>
          <cell r="J679">
            <v>437</v>
          </cell>
          <cell r="K679">
            <v>2072</v>
          </cell>
          <cell r="L679">
            <v>49</v>
          </cell>
          <cell r="M679">
            <v>0</v>
          </cell>
          <cell r="N679">
            <v>8</v>
          </cell>
          <cell r="O679">
            <v>41</v>
          </cell>
          <cell r="P679">
            <v>155</v>
          </cell>
          <cell r="Q679">
            <v>101</v>
          </cell>
          <cell r="R679">
            <v>54</v>
          </cell>
          <cell r="S679">
            <v>5036</v>
          </cell>
          <cell r="T679">
            <v>204</v>
          </cell>
        </row>
        <row r="680">
          <cell r="C680" t="str">
            <v>Moxee city, Washington</v>
          </cell>
          <cell r="D680">
            <v>495</v>
          </cell>
          <cell r="E680">
            <v>495</v>
          </cell>
          <cell r="F680">
            <v>325</v>
          </cell>
          <cell r="G680">
            <v>168</v>
          </cell>
          <cell r="H680">
            <v>5</v>
          </cell>
          <cell r="I680">
            <v>44</v>
          </cell>
          <cell r="J680">
            <v>23</v>
          </cell>
          <cell r="K680">
            <v>96</v>
          </cell>
          <cell r="L680">
            <v>2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0</v>
          </cell>
          <cell r="R680">
            <v>0</v>
          </cell>
          <cell r="S680">
            <v>493</v>
          </cell>
          <cell r="T680">
            <v>2</v>
          </cell>
        </row>
        <row r="681">
          <cell r="C681" t="str">
            <v>Mukilteo city, Washington</v>
          </cell>
          <cell r="D681">
            <v>14350</v>
          </cell>
          <cell r="E681">
            <v>13501</v>
          </cell>
          <cell r="F681">
            <v>7211</v>
          </cell>
          <cell r="G681">
            <v>6175</v>
          </cell>
          <cell r="H681">
            <v>799</v>
          </cell>
          <cell r="I681">
            <v>1785</v>
          </cell>
          <cell r="J681">
            <v>920</v>
          </cell>
          <cell r="K681">
            <v>2671</v>
          </cell>
          <cell r="L681">
            <v>115</v>
          </cell>
          <cell r="M681">
            <v>0</v>
          </cell>
          <cell r="N681">
            <v>0</v>
          </cell>
          <cell r="O681">
            <v>115</v>
          </cell>
          <cell r="P681">
            <v>849</v>
          </cell>
          <cell r="Q681">
            <v>444</v>
          </cell>
          <cell r="R681">
            <v>405</v>
          </cell>
          <cell r="S681">
            <v>13386</v>
          </cell>
          <cell r="T681">
            <v>964</v>
          </cell>
        </row>
        <row r="682">
          <cell r="C682" t="str">
            <v>Naches town, Washington</v>
          </cell>
          <cell r="D682">
            <v>561</v>
          </cell>
          <cell r="E682">
            <v>551</v>
          </cell>
          <cell r="F682">
            <v>399</v>
          </cell>
          <cell r="G682">
            <v>152</v>
          </cell>
          <cell r="H682">
            <v>7</v>
          </cell>
          <cell r="I682">
            <v>26</v>
          </cell>
          <cell r="J682">
            <v>38</v>
          </cell>
          <cell r="K682">
            <v>81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10</v>
          </cell>
          <cell r="Q682">
            <v>3</v>
          </cell>
          <cell r="R682">
            <v>7</v>
          </cell>
          <cell r="S682">
            <v>551</v>
          </cell>
          <cell r="T682">
            <v>10</v>
          </cell>
        </row>
        <row r="683">
          <cell r="C683" t="str">
            <v>Napavine city, Washington</v>
          </cell>
          <cell r="D683">
            <v>1165</v>
          </cell>
          <cell r="E683">
            <v>1122</v>
          </cell>
          <cell r="F683">
            <v>772</v>
          </cell>
          <cell r="G683">
            <v>347</v>
          </cell>
          <cell r="H683">
            <v>26</v>
          </cell>
          <cell r="I683">
            <v>129</v>
          </cell>
          <cell r="J683">
            <v>38</v>
          </cell>
          <cell r="K683">
            <v>154</v>
          </cell>
          <cell r="L683">
            <v>3</v>
          </cell>
          <cell r="M683">
            <v>0</v>
          </cell>
          <cell r="N683">
            <v>0</v>
          </cell>
          <cell r="O683">
            <v>3</v>
          </cell>
          <cell r="P683">
            <v>43</v>
          </cell>
          <cell r="Q683">
            <v>10</v>
          </cell>
          <cell r="R683">
            <v>33</v>
          </cell>
          <cell r="S683">
            <v>1119</v>
          </cell>
          <cell r="T683">
            <v>46</v>
          </cell>
        </row>
        <row r="684">
          <cell r="C684" t="str">
            <v>Naselle CDP, Washington</v>
          </cell>
          <cell r="D684">
            <v>319</v>
          </cell>
          <cell r="E684">
            <v>311</v>
          </cell>
          <cell r="F684">
            <v>167</v>
          </cell>
          <cell r="G684">
            <v>144</v>
          </cell>
          <cell r="H684">
            <v>2</v>
          </cell>
          <cell r="I684">
            <v>30</v>
          </cell>
          <cell r="J684">
            <v>21</v>
          </cell>
          <cell r="K684">
            <v>91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8</v>
          </cell>
          <cell r="Q684">
            <v>5</v>
          </cell>
          <cell r="R684">
            <v>3</v>
          </cell>
          <cell r="S684">
            <v>311</v>
          </cell>
          <cell r="T684">
            <v>8</v>
          </cell>
        </row>
        <row r="685">
          <cell r="C685" t="str">
            <v>Navy Yard City CDP, Washington</v>
          </cell>
          <cell r="D685">
            <v>1875</v>
          </cell>
          <cell r="E685">
            <v>1836</v>
          </cell>
          <cell r="F685">
            <v>792</v>
          </cell>
          <cell r="G685">
            <v>1021</v>
          </cell>
          <cell r="H685">
            <v>126</v>
          </cell>
          <cell r="I685">
            <v>316</v>
          </cell>
          <cell r="J685">
            <v>246</v>
          </cell>
          <cell r="K685">
            <v>333</v>
          </cell>
          <cell r="L685">
            <v>23</v>
          </cell>
          <cell r="M685">
            <v>0</v>
          </cell>
          <cell r="N685">
            <v>0</v>
          </cell>
          <cell r="O685">
            <v>23</v>
          </cell>
          <cell r="P685">
            <v>39</v>
          </cell>
          <cell r="Q685">
            <v>5</v>
          </cell>
          <cell r="R685">
            <v>34</v>
          </cell>
          <cell r="S685">
            <v>1813</v>
          </cell>
          <cell r="T685">
            <v>62</v>
          </cell>
        </row>
        <row r="686">
          <cell r="C686" t="str">
            <v>Neah Bay CDP, Washington</v>
          </cell>
          <cell r="D686">
            <v>83</v>
          </cell>
          <cell r="E686">
            <v>81</v>
          </cell>
          <cell r="F686">
            <v>39</v>
          </cell>
          <cell r="G686">
            <v>40</v>
          </cell>
          <cell r="H686">
            <v>2</v>
          </cell>
          <cell r="I686">
            <v>11</v>
          </cell>
          <cell r="J686">
            <v>13</v>
          </cell>
          <cell r="K686">
            <v>14</v>
          </cell>
          <cell r="L686">
            <v>2</v>
          </cell>
          <cell r="M686">
            <v>0</v>
          </cell>
          <cell r="N686">
            <v>0</v>
          </cell>
          <cell r="O686">
            <v>2</v>
          </cell>
          <cell r="P686">
            <v>2</v>
          </cell>
          <cell r="Q686">
            <v>0</v>
          </cell>
          <cell r="R686">
            <v>2</v>
          </cell>
          <cell r="S686">
            <v>79</v>
          </cell>
          <cell r="T686">
            <v>4</v>
          </cell>
        </row>
        <row r="687">
          <cell r="C687" t="str">
            <v>Neilton CDP, Washington</v>
          </cell>
          <cell r="D687">
            <v>307</v>
          </cell>
          <cell r="E687">
            <v>301</v>
          </cell>
          <cell r="F687">
            <v>219</v>
          </cell>
          <cell r="G687">
            <v>82</v>
          </cell>
          <cell r="H687">
            <v>4</v>
          </cell>
          <cell r="I687">
            <v>20</v>
          </cell>
          <cell r="J687">
            <v>9</v>
          </cell>
          <cell r="K687">
            <v>49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6</v>
          </cell>
          <cell r="Q687">
            <v>4</v>
          </cell>
          <cell r="R687">
            <v>2</v>
          </cell>
          <cell r="S687">
            <v>301</v>
          </cell>
          <cell r="T687">
            <v>6</v>
          </cell>
        </row>
        <row r="688">
          <cell r="C688" t="str">
            <v>Nespelem town, Washington</v>
          </cell>
          <cell r="D688">
            <v>21</v>
          </cell>
          <cell r="E688">
            <v>21</v>
          </cell>
          <cell r="F688">
            <v>9</v>
          </cell>
          <cell r="G688">
            <v>12</v>
          </cell>
          <cell r="H688">
            <v>2</v>
          </cell>
          <cell r="I688">
            <v>4</v>
          </cell>
          <cell r="J688">
            <v>0</v>
          </cell>
          <cell r="K688">
            <v>6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21</v>
          </cell>
          <cell r="T688">
            <v>0</v>
          </cell>
        </row>
        <row r="689">
          <cell r="C689" t="str">
            <v>Nespelem Community CDP, Washington</v>
          </cell>
          <cell r="D689">
            <v>20</v>
          </cell>
          <cell r="E689">
            <v>18</v>
          </cell>
          <cell r="F689">
            <v>10</v>
          </cell>
          <cell r="G689">
            <v>8</v>
          </cell>
          <cell r="H689">
            <v>3</v>
          </cell>
          <cell r="I689">
            <v>2</v>
          </cell>
          <cell r="J689">
            <v>1</v>
          </cell>
          <cell r="K689">
            <v>2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2</v>
          </cell>
          <cell r="Q689">
            <v>0</v>
          </cell>
          <cell r="R689">
            <v>2</v>
          </cell>
          <cell r="S689">
            <v>18</v>
          </cell>
          <cell r="T689">
            <v>2</v>
          </cell>
        </row>
        <row r="690">
          <cell r="C690" t="str">
            <v>Newcastle city, Washington</v>
          </cell>
          <cell r="D690">
            <v>5794</v>
          </cell>
          <cell r="E690">
            <v>5287</v>
          </cell>
          <cell r="F690">
            <v>2484</v>
          </cell>
          <cell r="G690">
            <v>2704</v>
          </cell>
          <cell r="H690">
            <v>346</v>
          </cell>
          <cell r="I690">
            <v>1019</v>
          </cell>
          <cell r="J690">
            <v>391</v>
          </cell>
          <cell r="K690">
            <v>948</v>
          </cell>
          <cell r="L690">
            <v>99</v>
          </cell>
          <cell r="M690">
            <v>0</v>
          </cell>
          <cell r="N690">
            <v>0</v>
          </cell>
          <cell r="O690">
            <v>99</v>
          </cell>
          <cell r="P690">
            <v>507</v>
          </cell>
          <cell r="Q690">
            <v>251</v>
          </cell>
          <cell r="R690">
            <v>256</v>
          </cell>
          <cell r="S690">
            <v>5188</v>
          </cell>
          <cell r="T690">
            <v>606</v>
          </cell>
        </row>
        <row r="691">
          <cell r="C691" t="str">
            <v>Newport city, Washington</v>
          </cell>
          <cell r="D691">
            <v>1754</v>
          </cell>
          <cell r="E691">
            <v>1723</v>
          </cell>
          <cell r="F691">
            <v>816</v>
          </cell>
          <cell r="G691">
            <v>906</v>
          </cell>
          <cell r="H691">
            <v>45</v>
          </cell>
          <cell r="I691">
            <v>209</v>
          </cell>
          <cell r="J691">
            <v>127</v>
          </cell>
          <cell r="K691">
            <v>525</v>
          </cell>
          <cell r="L691">
            <v>1</v>
          </cell>
          <cell r="M691">
            <v>0</v>
          </cell>
          <cell r="N691">
            <v>0</v>
          </cell>
          <cell r="O691">
            <v>1</v>
          </cell>
          <cell r="P691">
            <v>31</v>
          </cell>
          <cell r="Q691">
            <v>14</v>
          </cell>
          <cell r="R691">
            <v>17</v>
          </cell>
          <cell r="S691">
            <v>1722</v>
          </cell>
          <cell r="T691">
            <v>32</v>
          </cell>
        </row>
        <row r="692">
          <cell r="C692" t="str">
            <v>Nisqually Indian Community CDP, Washington</v>
          </cell>
          <cell r="D692">
            <v>147</v>
          </cell>
          <cell r="E692">
            <v>144</v>
          </cell>
          <cell r="F692">
            <v>81</v>
          </cell>
          <cell r="G692">
            <v>59</v>
          </cell>
          <cell r="H692">
            <v>11</v>
          </cell>
          <cell r="I692">
            <v>14</v>
          </cell>
          <cell r="J692">
            <v>9</v>
          </cell>
          <cell r="K692">
            <v>25</v>
          </cell>
          <cell r="L692">
            <v>4</v>
          </cell>
          <cell r="M692">
            <v>0</v>
          </cell>
          <cell r="N692">
            <v>0</v>
          </cell>
          <cell r="O692">
            <v>4</v>
          </cell>
          <cell r="P692">
            <v>3</v>
          </cell>
          <cell r="Q692">
            <v>0</v>
          </cell>
          <cell r="R692">
            <v>3</v>
          </cell>
          <cell r="S692">
            <v>140</v>
          </cell>
          <cell r="T692">
            <v>7</v>
          </cell>
        </row>
        <row r="693">
          <cell r="C693" t="str">
            <v>Nooksack city, Washington</v>
          </cell>
          <cell r="D693">
            <v>698</v>
          </cell>
          <cell r="E693">
            <v>656</v>
          </cell>
          <cell r="F693">
            <v>442</v>
          </cell>
          <cell r="G693">
            <v>189</v>
          </cell>
          <cell r="H693">
            <v>8</v>
          </cell>
          <cell r="I693">
            <v>41</v>
          </cell>
          <cell r="J693">
            <v>42</v>
          </cell>
          <cell r="K693">
            <v>98</v>
          </cell>
          <cell r="L693">
            <v>25</v>
          </cell>
          <cell r="M693">
            <v>0</v>
          </cell>
          <cell r="N693">
            <v>0</v>
          </cell>
          <cell r="O693">
            <v>25</v>
          </cell>
          <cell r="P693">
            <v>42</v>
          </cell>
          <cell r="Q693">
            <v>16</v>
          </cell>
          <cell r="R693">
            <v>26</v>
          </cell>
          <cell r="S693">
            <v>631</v>
          </cell>
          <cell r="T693">
            <v>67</v>
          </cell>
        </row>
        <row r="694">
          <cell r="C694" t="str">
            <v>Normandy Park city, Washington</v>
          </cell>
          <cell r="D694">
            <v>5575</v>
          </cell>
          <cell r="E694">
            <v>5166</v>
          </cell>
          <cell r="F694">
            <v>2625</v>
          </cell>
          <cell r="G694">
            <v>2495</v>
          </cell>
          <cell r="H694">
            <v>236</v>
          </cell>
          <cell r="I694">
            <v>967</v>
          </cell>
          <cell r="J694">
            <v>245</v>
          </cell>
          <cell r="K694">
            <v>1047</v>
          </cell>
          <cell r="L694">
            <v>46</v>
          </cell>
          <cell r="M694">
            <v>0</v>
          </cell>
          <cell r="N694">
            <v>5</v>
          </cell>
          <cell r="O694">
            <v>41</v>
          </cell>
          <cell r="P694">
            <v>409</v>
          </cell>
          <cell r="Q694">
            <v>239</v>
          </cell>
          <cell r="R694">
            <v>170</v>
          </cell>
          <cell r="S694">
            <v>5120</v>
          </cell>
          <cell r="T694">
            <v>455</v>
          </cell>
        </row>
        <row r="695">
          <cell r="C695" t="str">
            <v>North Bend city, Washington</v>
          </cell>
          <cell r="D695">
            <v>4368</v>
          </cell>
          <cell r="E695">
            <v>4241</v>
          </cell>
          <cell r="F695">
            <v>1832</v>
          </cell>
          <cell r="G695">
            <v>2355</v>
          </cell>
          <cell r="H695">
            <v>237</v>
          </cell>
          <cell r="I695">
            <v>768</v>
          </cell>
          <cell r="J695">
            <v>333</v>
          </cell>
          <cell r="K695">
            <v>1017</v>
          </cell>
          <cell r="L695">
            <v>54</v>
          </cell>
          <cell r="M695">
            <v>0</v>
          </cell>
          <cell r="N695">
            <v>0</v>
          </cell>
          <cell r="O695">
            <v>54</v>
          </cell>
          <cell r="P695">
            <v>127</v>
          </cell>
          <cell r="Q695">
            <v>39</v>
          </cell>
          <cell r="R695">
            <v>88</v>
          </cell>
          <cell r="S695">
            <v>4187</v>
          </cell>
          <cell r="T695">
            <v>181</v>
          </cell>
        </row>
        <row r="696">
          <cell r="C696" t="str">
            <v>North Bonneville city, Washington</v>
          </cell>
          <cell r="D696">
            <v>606</v>
          </cell>
          <cell r="E696">
            <v>601</v>
          </cell>
          <cell r="F696">
            <v>212</v>
          </cell>
          <cell r="G696">
            <v>386</v>
          </cell>
          <cell r="H696">
            <v>5</v>
          </cell>
          <cell r="I696">
            <v>93</v>
          </cell>
          <cell r="J696">
            <v>23</v>
          </cell>
          <cell r="K696">
            <v>265</v>
          </cell>
          <cell r="L696">
            <v>3</v>
          </cell>
          <cell r="M696">
            <v>0</v>
          </cell>
          <cell r="N696">
            <v>0</v>
          </cell>
          <cell r="O696">
            <v>3</v>
          </cell>
          <cell r="P696">
            <v>5</v>
          </cell>
          <cell r="Q696">
            <v>5</v>
          </cell>
          <cell r="R696">
            <v>0</v>
          </cell>
          <cell r="S696">
            <v>598</v>
          </cell>
          <cell r="T696">
            <v>8</v>
          </cell>
        </row>
        <row r="697">
          <cell r="C697" t="str">
            <v>North Creek CDP, Washington</v>
          </cell>
          <cell r="D697">
            <v>22224</v>
          </cell>
          <cell r="E697">
            <v>21453</v>
          </cell>
          <cell r="F697">
            <v>12434</v>
          </cell>
          <cell r="G697">
            <v>8788</v>
          </cell>
          <cell r="H697">
            <v>976</v>
          </cell>
          <cell r="I697">
            <v>2330</v>
          </cell>
          <cell r="J697">
            <v>1012</v>
          </cell>
          <cell r="K697">
            <v>4470</v>
          </cell>
          <cell r="L697">
            <v>231</v>
          </cell>
          <cell r="M697">
            <v>9</v>
          </cell>
          <cell r="N697">
            <v>10</v>
          </cell>
          <cell r="O697">
            <v>212</v>
          </cell>
          <cell r="P697">
            <v>771</v>
          </cell>
          <cell r="Q697">
            <v>293</v>
          </cell>
          <cell r="R697">
            <v>478</v>
          </cell>
          <cell r="S697">
            <v>21222</v>
          </cell>
          <cell r="T697">
            <v>1002</v>
          </cell>
        </row>
        <row r="698">
          <cell r="C698" t="str">
            <v>North Marysville CDP, Washington</v>
          </cell>
          <cell r="D698">
            <v>18761</v>
          </cell>
          <cell r="E698">
            <v>18191</v>
          </cell>
          <cell r="F698">
            <v>11295</v>
          </cell>
          <cell r="G698">
            <v>6719</v>
          </cell>
          <cell r="H698">
            <v>568</v>
          </cell>
          <cell r="I698">
            <v>1999</v>
          </cell>
          <cell r="J698">
            <v>805</v>
          </cell>
          <cell r="K698">
            <v>3347</v>
          </cell>
          <cell r="L698">
            <v>177</v>
          </cell>
          <cell r="M698">
            <v>0</v>
          </cell>
          <cell r="N698">
            <v>9</v>
          </cell>
          <cell r="O698">
            <v>168</v>
          </cell>
          <cell r="P698">
            <v>570</v>
          </cell>
          <cell r="Q698">
            <v>287</v>
          </cell>
          <cell r="R698">
            <v>283</v>
          </cell>
          <cell r="S698">
            <v>18014</v>
          </cell>
          <cell r="T698">
            <v>747</v>
          </cell>
        </row>
        <row r="699">
          <cell r="C699" t="str">
            <v>North Omak CDP, Washington</v>
          </cell>
          <cell r="D699">
            <v>58</v>
          </cell>
          <cell r="E699">
            <v>58</v>
          </cell>
          <cell r="F699">
            <v>48</v>
          </cell>
          <cell r="G699">
            <v>10</v>
          </cell>
          <cell r="H699">
            <v>6</v>
          </cell>
          <cell r="I699">
            <v>4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58</v>
          </cell>
          <cell r="T699">
            <v>0</v>
          </cell>
        </row>
        <row r="700">
          <cell r="C700" t="str">
            <v>Northport town, Washington</v>
          </cell>
          <cell r="D700">
            <v>309</v>
          </cell>
          <cell r="E700">
            <v>296</v>
          </cell>
          <cell r="F700">
            <v>166</v>
          </cell>
          <cell r="G700">
            <v>127</v>
          </cell>
          <cell r="H700">
            <v>6</v>
          </cell>
          <cell r="I700">
            <v>41</v>
          </cell>
          <cell r="J700">
            <v>10</v>
          </cell>
          <cell r="K700">
            <v>70</v>
          </cell>
          <cell r="L700">
            <v>3</v>
          </cell>
          <cell r="M700">
            <v>0</v>
          </cell>
          <cell r="N700">
            <v>0</v>
          </cell>
          <cell r="O700">
            <v>3</v>
          </cell>
          <cell r="P700">
            <v>13</v>
          </cell>
          <cell r="Q700">
            <v>4</v>
          </cell>
          <cell r="R700">
            <v>9</v>
          </cell>
          <cell r="S700">
            <v>293</v>
          </cell>
          <cell r="T700">
            <v>16</v>
          </cell>
        </row>
        <row r="701">
          <cell r="C701" t="str">
            <v>North Stanwood CDP, Washington</v>
          </cell>
          <cell r="D701">
            <v>400</v>
          </cell>
          <cell r="E701">
            <v>392</v>
          </cell>
          <cell r="F701">
            <v>231</v>
          </cell>
          <cell r="G701">
            <v>161</v>
          </cell>
          <cell r="H701">
            <v>9</v>
          </cell>
          <cell r="I701">
            <v>44</v>
          </cell>
          <cell r="J701">
            <v>15</v>
          </cell>
          <cell r="K701">
            <v>93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8</v>
          </cell>
          <cell r="Q701">
            <v>8</v>
          </cell>
          <cell r="R701">
            <v>0</v>
          </cell>
          <cell r="S701">
            <v>392</v>
          </cell>
          <cell r="T701">
            <v>8</v>
          </cell>
        </row>
        <row r="702">
          <cell r="C702" t="str">
            <v>North Sultan CDP, Washington</v>
          </cell>
          <cell r="D702">
            <v>391</v>
          </cell>
          <cell r="E702">
            <v>391</v>
          </cell>
          <cell r="F702">
            <v>212</v>
          </cell>
          <cell r="G702">
            <v>179</v>
          </cell>
          <cell r="H702">
            <v>12</v>
          </cell>
          <cell r="I702">
            <v>38</v>
          </cell>
          <cell r="J702">
            <v>18</v>
          </cell>
          <cell r="K702">
            <v>111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391</v>
          </cell>
          <cell r="T702">
            <v>0</v>
          </cell>
        </row>
        <row r="703">
          <cell r="C703" t="str">
            <v>Northwest Snohomish CDP, Washington</v>
          </cell>
          <cell r="D703">
            <v>1954</v>
          </cell>
          <cell r="E703">
            <v>1923</v>
          </cell>
          <cell r="F703">
            <v>1240</v>
          </cell>
          <cell r="G703">
            <v>677</v>
          </cell>
          <cell r="H703">
            <v>48</v>
          </cell>
          <cell r="I703">
            <v>235</v>
          </cell>
          <cell r="J703">
            <v>21</v>
          </cell>
          <cell r="K703">
            <v>373</v>
          </cell>
          <cell r="L703">
            <v>6</v>
          </cell>
          <cell r="M703">
            <v>0</v>
          </cell>
          <cell r="N703">
            <v>0</v>
          </cell>
          <cell r="O703">
            <v>6</v>
          </cell>
          <cell r="P703">
            <v>31</v>
          </cell>
          <cell r="Q703">
            <v>13</v>
          </cell>
          <cell r="R703">
            <v>18</v>
          </cell>
          <cell r="S703">
            <v>1917</v>
          </cell>
          <cell r="T703">
            <v>37</v>
          </cell>
        </row>
        <row r="704">
          <cell r="C704" t="str">
            <v>North Yelm CDP, Washington</v>
          </cell>
          <cell r="D704">
            <v>2459</v>
          </cell>
          <cell r="E704">
            <v>2367</v>
          </cell>
          <cell r="F704">
            <v>1100</v>
          </cell>
          <cell r="G704">
            <v>1253</v>
          </cell>
          <cell r="H704">
            <v>128</v>
          </cell>
          <cell r="I704">
            <v>266</v>
          </cell>
          <cell r="J704">
            <v>307</v>
          </cell>
          <cell r="K704">
            <v>552</v>
          </cell>
          <cell r="L704">
            <v>14</v>
          </cell>
          <cell r="M704">
            <v>0</v>
          </cell>
          <cell r="N704">
            <v>0</v>
          </cell>
          <cell r="O704">
            <v>14</v>
          </cell>
          <cell r="P704">
            <v>92</v>
          </cell>
          <cell r="Q704">
            <v>82</v>
          </cell>
          <cell r="R704">
            <v>10</v>
          </cell>
          <cell r="S704">
            <v>2353</v>
          </cell>
          <cell r="T704">
            <v>106</v>
          </cell>
        </row>
        <row r="705">
          <cell r="C705" t="str">
            <v>Oakesdale town, Washington</v>
          </cell>
          <cell r="D705">
            <v>405</v>
          </cell>
          <cell r="E705">
            <v>405</v>
          </cell>
          <cell r="F705">
            <v>262</v>
          </cell>
          <cell r="G705">
            <v>143</v>
          </cell>
          <cell r="H705">
            <v>7</v>
          </cell>
          <cell r="I705">
            <v>29</v>
          </cell>
          <cell r="J705">
            <v>30</v>
          </cell>
          <cell r="K705">
            <v>77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405</v>
          </cell>
          <cell r="T705">
            <v>0</v>
          </cell>
        </row>
        <row r="706">
          <cell r="C706" t="str">
            <v>Oak Harbor city, Washington</v>
          </cell>
          <cell r="D706">
            <v>14183</v>
          </cell>
          <cell r="E706">
            <v>13759</v>
          </cell>
          <cell r="F706">
            <v>3583</v>
          </cell>
          <cell r="G706">
            <v>9700</v>
          </cell>
          <cell r="H706">
            <v>1265</v>
          </cell>
          <cell r="I706">
            <v>2295</v>
          </cell>
          <cell r="J706">
            <v>2310</v>
          </cell>
          <cell r="K706">
            <v>3830</v>
          </cell>
          <cell r="L706">
            <v>476</v>
          </cell>
          <cell r="M706">
            <v>0</v>
          </cell>
          <cell r="N706">
            <v>48</v>
          </cell>
          <cell r="O706">
            <v>428</v>
          </cell>
          <cell r="P706">
            <v>424</v>
          </cell>
          <cell r="Q706">
            <v>232</v>
          </cell>
          <cell r="R706">
            <v>192</v>
          </cell>
          <cell r="S706">
            <v>13283</v>
          </cell>
          <cell r="T706">
            <v>900</v>
          </cell>
        </row>
        <row r="707">
          <cell r="C707" t="str">
            <v>Oakville city, Washington</v>
          </cell>
          <cell r="D707">
            <v>473</v>
          </cell>
          <cell r="E707">
            <v>471</v>
          </cell>
          <cell r="F707">
            <v>292</v>
          </cell>
          <cell r="G707">
            <v>172</v>
          </cell>
          <cell r="H707">
            <v>6</v>
          </cell>
          <cell r="I707">
            <v>56</v>
          </cell>
          <cell r="J707">
            <v>26</v>
          </cell>
          <cell r="K707">
            <v>84</v>
          </cell>
          <cell r="L707">
            <v>7</v>
          </cell>
          <cell r="M707">
            <v>0</v>
          </cell>
          <cell r="N707">
            <v>0</v>
          </cell>
          <cell r="O707">
            <v>7</v>
          </cell>
          <cell r="P707">
            <v>2</v>
          </cell>
          <cell r="Q707">
            <v>2</v>
          </cell>
          <cell r="R707">
            <v>0</v>
          </cell>
          <cell r="S707">
            <v>464</v>
          </cell>
          <cell r="T707">
            <v>9</v>
          </cell>
        </row>
        <row r="708">
          <cell r="C708" t="str">
            <v>Ocean City CDP, Washington</v>
          </cell>
          <cell r="D708">
            <v>175</v>
          </cell>
          <cell r="E708">
            <v>175</v>
          </cell>
          <cell r="F708">
            <v>105</v>
          </cell>
          <cell r="G708">
            <v>70</v>
          </cell>
          <cell r="H708">
            <v>23</v>
          </cell>
          <cell r="I708">
            <v>20</v>
          </cell>
          <cell r="J708">
            <v>0</v>
          </cell>
          <cell r="K708">
            <v>27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175</v>
          </cell>
          <cell r="T708">
            <v>0</v>
          </cell>
        </row>
        <row r="709">
          <cell r="C709" t="str">
            <v>Ocean Park CDP, Washington</v>
          </cell>
          <cell r="D709">
            <v>1339</v>
          </cell>
          <cell r="E709">
            <v>1315</v>
          </cell>
          <cell r="F709">
            <v>392</v>
          </cell>
          <cell r="G709">
            <v>923</v>
          </cell>
          <cell r="H709">
            <v>59</v>
          </cell>
          <cell r="I709">
            <v>263</v>
          </cell>
          <cell r="J709">
            <v>86</v>
          </cell>
          <cell r="K709">
            <v>515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24</v>
          </cell>
          <cell r="Q709">
            <v>24</v>
          </cell>
          <cell r="R709">
            <v>0</v>
          </cell>
          <cell r="S709">
            <v>1315</v>
          </cell>
          <cell r="T709">
            <v>24</v>
          </cell>
        </row>
        <row r="710">
          <cell r="C710" t="str">
            <v>Ocean Shores city, Washington</v>
          </cell>
          <cell r="D710">
            <v>3503</v>
          </cell>
          <cell r="E710">
            <v>3412</v>
          </cell>
          <cell r="F710">
            <v>1730</v>
          </cell>
          <cell r="G710">
            <v>1671</v>
          </cell>
          <cell r="H710">
            <v>105</v>
          </cell>
          <cell r="I710">
            <v>549</v>
          </cell>
          <cell r="J710">
            <v>125</v>
          </cell>
          <cell r="K710">
            <v>892</v>
          </cell>
          <cell r="L710">
            <v>11</v>
          </cell>
          <cell r="M710">
            <v>0</v>
          </cell>
          <cell r="N710">
            <v>0</v>
          </cell>
          <cell r="O710">
            <v>11</v>
          </cell>
          <cell r="P710">
            <v>91</v>
          </cell>
          <cell r="Q710">
            <v>64</v>
          </cell>
          <cell r="R710">
            <v>27</v>
          </cell>
          <cell r="S710">
            <v>3401</v>
          </cell>
          <cell r="T710">
            <v>102</v>
          </cell>
        </row>
        <row r="711">
          <cell r="C711" t="str">
            <v>Odessa town, Washington</v>
          </cell>
          <cell r="D711">
            <v>931</v>
          </cell>
          <cell r="E711">
            <v>923</v>
          </cell>
          <cell r="F711">
            <v>644</v>
          </cell>
          <cell r="G711">
            <v>272</v>
          </cell>
          <cell r="H711">
            <v>15</v>
          </cell>
          <cell r="I711">
            <v>57</v>
          </cell>
          <cell r="J711">
            <v>27</v>
          </cell>
          <cell r="K711">
            <v>173</v>
          </cell>
          <cell r="L711">
            <v>7</v>
          </cell>
          <cell r="M711">
            <v>0</v>
          </cell>
          <cell r="N711">
            <v>0</v>
          </cell>
          <cell r="O711">
            <v>7</v>
          </cell>
          <cell r="P711">
            <v>8</v>
          </cell>
          <cell r="Q711">
            <v>5</v>
          </cell>
          <cell r="R711">
            <v>3</v>
          </cell>
          <cell r="S711">
            <v>916</v>
          </cell>
          <cell r="T711">
            <v>15</v>
          </cell>
        </row>
        <row r="712">
          <cell r="C712" t="str">
            <v>Okanogan city, Washington</v>
          </cell>
          <cell r="D712">
            <v>1959</v>
          </cell>
          <cell r="E712">
            <v>1923</v>
          </cell>
          <cell r="F712">
            <v>1226</v>
          </cell>
          <cell r="G712">
            <v>690</v>
          </cell>
          <cell r="H712">
            <v>48</v>
          </cell>
          <cell r="I712">
            <v>175</v>
          </cell>
          <cell r="J712">
            <v>130</v>
          </cell>
          <cell r="K712">
            <v>337</v>
          </cell>
          <cell r="L712">
            <v>7</v>
          </cell>
          <cell r="M712">
            <v>0</v>
          </cell>
          <cell r="N712">
            <v>0</v>
          </cell>
          <cell r="O712">
            <v>7</v>
          </cell>
          <cell r="P712">
            <v>36</v>
          </cell>
          <cell r="Q712">
            <v>19</v>
          </cell>
          <cell r="R712">
            <v>17</v>
          </cell>
          <cell r="S712">
            <v>1916</v>
          </cell>
          <cell r="T712">
            <v>43</v>
          </cell>
        </row>
        <row r="713">
          <cell r="C713" t="str">
            <v>Olympia city, Washington</v>
          </cell>
          <cell r="D713">
            <v>35012</v>
          </cell>
          <cell r="E713">
            <v>34221</v>
          </cell>
          <cell r="F713">
            <v>16813</v>
          </cell>
          <cell r="G713">
            <v>16890</v>
          </cell>
          <cell r="H713">
            <v>2429</v>
          </cell>
          <cell r="I713">
            <v>4920</v>
          </cell>
          <cell r="J713">
            <v>2311</v>
          </cell>
          <cell r="K713">
            <v>7230</v>
          </cell>
          <cell r="L713">
            <v>518</v>
          </cell>
          <cell r="M713">
            <v>0</v>
          </cell>
          <cell r="N713">
            <v>32</v>
          </cell>
          <cell r="O713">
            <v>486</v>
          </cell>
          <cell r="P713">
            <v>791</v>
          </cell>
          <cell r="Q713">
            <v>498</v>
          </cell>
          <cell r="R713">
            <v>293</v>
          </cell>
          <cell r="S713">
            <v>33703</v>
          </cell>
          <cell r="T713">
            <v>1309</v>
          </cell>
        </row>
        <row r="714">
          <cell r="C714" t="str">
            <v>Omak city, Washington</v>
          </cell>
          <cell r="D714">
            <v>3145</v>
          </cell>
          <cell r="E714">
            <v>3094</v>
          </cell>
          <cell r="F714">
            <v>1817</v>
          </cell>
          <cell r="G714">
            <v>1269</v>
          </cell>
          <cell r="H714">
            <v>28</v>
          </cell>
          <cell r="I714">
            <v>449</v>
          </cell>
          <cell r="J714">
            <v>253</v>
          </cell>
          <cell r="K714">
            <v>539</v>
          </cell>
          <cell r="L714">
            <v>8</v>
          </cell>
          <cell r="M714">
            <v>0</v>
          </cell>
          <cell r="N714">
            <v>0</v>
          </cell>
          <cell r="O714">
            <v>8</v>
          </cell>
          <cell r="P714">
            <v>51</v>
          </cell>
          <cell r="Q714">
            <v>35</v>
          </cell>
          <cell r="R714">
            <v>16</v>
          </cell>
          <cell r="S714">
            <v>3086</v>
          </cell>
          <cell r="T714">
            <v>59</v>
          </cell>
        </row>
        <row r="715">
          <cell r="C715" t="str">
            <v>Opportunity CDP, Washington</v>
          </cell>
          <cell r="D715">
            <v>23029</v>
          </cell>
          <cell r="E715">
            <v>22533</v>
          </cell>
          <cell r="F715">
            <v>12395</v>
          </cell>
          <cell r="G715">
            <v>9957</v>
          </cell>
          <cell r="H715">
            <v>635</v>
          </cell>
          <cell r="I715">
            <v>2488</v>
          </cell>
          <cell r="J715">
            <v>1100</v>
          </cell>
          <cell r="K715">
            <v>5734</v>
          </cell>
          <cell r="L715">
            <v>181</v>
          </cell>
          <cell r="M715">
            <v>9</v>
          </cell>
          <cell r="N715">
            <v>0</v>
          </cell>
          <cell r="O715">
            <v>172</v>
          </cell>
          <cell r="P715">
            <v>496</v>
          </cell>
          <cell r="Q715">
            <v>276</v>
          </cell>
          <cell r="R715">
            <v>220</v>
          </cell>
          <cell r="S715">
            <v>22352</v>
          </cell>
          <cell r="T715">
            <v>677</v>
          </cell>
        </row>
        <row r="716">
          <cell r="C716" t="str">
            <v>Orchards CDP, Washington</v>
          </cell>
          <cell r="D716">
            <v>15259</v>
          </cell>
          <cell r="E716">
            <v>14492</v>
          </cell>
          <cell r="F716">
            <v>5125</v>
          </cell>
          <cell r="G716">
            <v>9197</v>
          </cell>
          <cell r="H716">
            <v>477</v>
          </cell>
          <cell r="I716">
            <v>1555</v>
          </cell>
          <cell r="J716">
            <v>665</v>
          </cell>
          <cell r="K716">
            <v>6500</v>
          </cell>
          <cell r="L716">
            <v>170</v>
          </cell>
          <cell r="M716">
            <v>0</v>
          </cell>
          <cell r="N716">
            <v>0</v>
          </cell>
          <cell r="O716">
            <v>170</v>
          </cell>
          <cell r="P716">
            <v>767</v>
          </cell>
          <cell r="Q716">
            <v>195</v>
          </cell>
          <cell r="R716">
            <v>572</v>
          </cell>
          <cell r="S716">
            <v>14322</v>
          </cell>
          <cell r="T716">
            <v>937</v>
          </cell>
        </row>
        <row r="717">
          <cell r="C717" t="str">
            <v>Oroville city, Washington</v>
          </cell>
          <cell r="D717">
            <v>1223</v>
          </cell>
          <cell r="E717">
            <v>1194</v>
          </cell>
          <cell r="F717">
            <v>698</v>
          </cell>
          <cell r="G717">
            <v>477</v>
          </cell>
          <cell r="H717">
            <v>20</v>
          </cell>
          <cell r="I717">
            <v>155</v>
          </cell>
          <cell r="J717">
            <v>89</v>
          </cell>
          <cell r="K717">
            <v>213</v>
          </cell>
          <cell r="L717">
            <v>19</v>
          </cell>
          <cell r="M717">
            <v>1</v>
          </cell>
          <cell r="N717">
            <v>0</v>
          </cell>
          <cell r="O717">
            <v>18</v>
          </cell>
          <cell r="P717">
            <v>29</v>
          </cell>
          <cell r="Q717">
            <v>23</v>
          </cell>
          <cell r="R717">
            <v>6</v>
          </cell>
          <cell r="S717">
            <v>1175</v>
          </cell>
          <cell r="T717">
            <v>48</v>
          </cell>
        </row>
        <row r="718">
          <cell r="C718" t="str">
            <v>Orting city, Washington</v>
          </cell>
          <cell r="D718">
            <v>3366</v>
          </cell>
          <cell r="E718">
            <v>3226</v>
          </cell>
          <cell r="F718">
            <v>2017</v>
          </cell>
          <cell r="G718">
            <v>1178</v>
          </cell>
          <cell r="H718">
            <v>58</v>
          </cell>
          <cell r="I718">
            <v>325</v>
          </cell>
          <cell r="J718">
            <v>219</v>
          </cell>
          <cell r="K718">
            <v>576</v>
          </cell>
          <cell r="L718">
            <v>31</v>
          </cell>
          <cell r="M718">
            <v>0</v>
          </cell>
          <cell r="N718">
            <v>0</v>
          </cell>
          <cell r="O718">
            <v>31</v>
          </cell>
          <cell r="P718">
            <v>140</v>
          </cell>
          <cell r="Q718">
            <v>40</v>
          </cell>
          <cell r="R718">
            <v>100</v>
          </cell>
          <cell r="S718">
            <v>3195</v>
          </cell>
          <cell r="T718">
            <v>171</v>
          </cell>
        </row>
        <row r="719">
          <cell r="C719" t="str">
            <v>Oso CDP, Washington</v>
          </cell>
          <cell r="D719">
            <v>206</v>
          </cell>
          <cell r="E719">
            <v>206</v>
          </cell>
          <cell r="F719">
            <v>149</v>
          </cell>
          <cell r="G719">
            <v>57</v>
          </cell>
          <cell r="H719">
            <v>0</v>
          </cell>
          <cell r="I719">
            <v>31</v>
          </cell>
          <cell r="J719">
            <v>11</v>
          </cell>
          <cell r="K719">
            <v>15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206</v>
          </cell>
          <cell r="T719">
            <v>0</v>
          </cell>
        </row>
        <row r="720">
          <cell r="C720" t="str">
            <v>Othello city, Washington</v>
          </cell>
          <cell r="D720">
            <v>2004</v>
          </cell>
          <cell r="E720">
            <v>1970</v>
          </cell>
          <cell r="F720">
            <v>1161</v>
          </cell>
          <cell r="G720">
            <v>798</v>
          </cell>
          <cell r="H720">
            <v>25</v>
          </cell>
          <cell r="I720">
            <v>279</v>
          </cell>
          <cell r="J720">
            <v>50</v>
          </cell>
          <cell r="K720">
            <v>444</v>
          </cell>
          <cell r="L720">
            <v>11</v>
          </cell>
          <cell r="M720">
            <v>0</v>
          </cell>
          <cell r="N720">
            <v>0</v>
          </cell>
          <cell r="O720">
            <v>11</v>
          </cell>
          <cell r="P720">
            <v>34</v>
          </cell>
          <cell r="Q720">
            <v>20</v>
          </cell>
          <cell r="R720">
            <v>14</v>
          </cell>
          <cell r="S720">
            <v>1959</v>
          </cell>
          <cell r="T720">
            <v>45</v>
          </cell>
        </row>
        <row r="721">
          <cell r="C721" t="str">
            <v>Otis Orchards-East Farms CDP, Washington</v>
          </cell>
          <cell r="D721">
            <v>6023</v>
          </cell>
          <cell r="E721">
            <v>5919</v>
          </cell>
          <cell r="F721">
            <v>3584</v>
          </cell>
          <cell r="G721">
            <v>2305</v>
          </cell>
          <cell r="H721">
            <v>132</v>
          </cell>
          <cell r="I721">
            <v>396</v>
          </cell>
          <cell r="J721">
            <v>294</v>
          </cell>
          <cell r="K721">
            <v>1483</v>
          </cell>
          <cell r="L721">
            <v>30</v>
          </cell>
          <cell r="M721">
            <v>9</v>
          </cell>
          <cell r="N721">
            <v>0</v>
          </cell>
          <cell r="O721">
            <v>21</v>
          </cell>
          <cell r="P721">
            <v>104</v>
          </cell>
          <cell r="Q721">
            <v>64</v>
          </cell>
          <cell r="R721">
            <v>40</v>
          </cell>
          <cell r="S721">
            <v>5889</v>
          </cell>
          <cell r="T721">
            <v>134</v>
          </cell>
        </row>
        <row r="722">
          <cell r="C722" t="str">
            <v>Oyehut-Hogans Corner CDP, Washington</v>
          </cell>
          <cell r="D722">
            <v>199</v>
          </cell>
          <cell r="E722">
            <v>182</v>
          </cell>
          <cell r="F722">
            <v>121</v>
          </cell>
          <cell r="G722">
            <v>61</v>
          </cell>
          <cell r="H722">
            <v>4</v>
          </cell>
          <cell r="I722">
            <v>19</v>
          </cell>
          <cell r="J722">
            <v>17</v>
          </cell>
          <cell r="K722">
            <v>21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17</v>
          </cell>
          <cell r="Q722">
            <v>8</v>
          </cell>
          <cell r="R722">
            <v>9</v>
          </cell>
          <cell r="S722">
            <v>182</v>
          </cell>
          <cell r="T722">
            <v>17</v>
          </cell>
        </row>
        <row r="723">
          <cell r="C723" t="str">
            <v>Pacific city, Washington</v>
          </cell>
          <cell r="D723">
            <v>4606</v>
          </cell>
          <cell r="E723">
            <v>4477</v>
          </cell>
          <cell r="F723">
            <v>2799</v>
          </cell>
          <cell r="G723">
            <v>1658</v>
          </cell>
          <cell r="H723">
            <v>100</v>
          </cell>
          <cell r="I723">
            <v>411</v>
          </cell>
          <cell r="J723">
            <v>154</v>
          </cell>
          <cell r="K723">
            <v>993</v>
          </cell>
          <cell r="L723">
            <v>20</v>
          </cell>
          <cell r="M723">
            <v>0</v>
          </cell>
          <cell r="N723">
            <v>0</v>
          </cell>
          <cell r="O723">
            <v>20</v>
          </cell>
          <cell r="P723">
            <v>129</v>
          </cell>
          <cell r="Q723">
            <v>33</v>
          </cell>
          <cell r="R723">
            <v>96</v>
          </cell>
          <cell r="S723">
            <v>4457</v>
          </cell>
          <cell r="T723">
            <v>149</v>
          </cell>
        </row>
        <row r="724">
          <cell r="C724" t="str">
            <v>Paine Field-Lake Stickney CDP, Washington</v>
          </cell>
          <cell r="D724">
            <v>18154</v>
          </cell>
          <cell r="E724">
            <v>16914</v>
          </cell>
          <cell r="F724">
            <v>9195</v>
          </cell>
          <cell r="G724">
            <v>7512</v>
          </cell>
          <cell r="H724">
            <v>935</v>
          </cell>
          <cell r="I724">
            <v>2136</v>
          </cell>
          <cell r="J724">
            <v>1103</v>
          </cell>
          <cell r="K724">
            <v>3338</v>
          </cell>
          <cell r="L724">
            <v>207</v>
          </cell>
          <cell r="M724">
            <v>0</v>
          </cell>
          <cell r="N724">
            <v>0</v>
          </cell>
          <cell r="O724">
            <v>207</v>
          </cell>
          <cell r="P724">
            <v>1240</v>
          </cell>
          <cell r="Q724">
            <v>265</v>
          </cell>
          <cell r="R724">
            <v>975</v>
          </cell>
          <cell r="S724">
            <v>16707</v>
          </cell>
          <cell r="T724">
            <v>1447</v>
          </cell>
        </row>
        <row r="725">
          <cell r="C725" t="str">
            <v>Palouse city, Washington</v>
          </cell>
          <cell r="D725">
            <v>948</v>
          </cell>
          <cell r="E725">
            <v>942</v>
          </cell>
          <cell r="F725">
            <v>433</v>
          </cell>
          <cell r="G725">
            <v>504</v>
          </cell>
          <cell r="H725">
            <v>16</v>
          </cell>
          <cell r="I725">
            <v>61</v>
          </cell>
          <cell r="J725">
            <v>32</v>
          </cell>
          <cell r="K725">
            <v>395</v>
          </cell>
          <cell r="L725">
            <v>5</v>
          </cell>
          <cell r="M725">
            <v>0</v>
          </cell>
          <cell r="N725">
            <v>0</v>
          </cell>
          <cell r="O725">
            <v>5</v>
          </cell>
          <cell r="P725">
            <v>6</v>
          </cell>
          <cell r="Q725">
            <v>4</v>
          </cell>
          <cell r="R725">
            <v>2</v>
          </cell>
          <cell r="S725">
            <v>937</v>
          </cell>
          <cell r="T725">
            <v>11</v>
          </cell>
        </row>
        <row r="726">
          <cell r="C726" t="str">
            <v>Parkland CDP, Washington</v>
          </cell>
          <cell r="D726">
            <v>17107</v>
          </cell>
          <cell r="E726">
            <v>16540</v>
          </cell>
          <cell r="F726">
            <v>8600</v>
          </cell>
          <cell r="G726">
            <v>7638</v>
          </cell>
          <cell r="H726">
            <v>832</v>
          </cell>
          <cell r="I726">
            <v>2272</v>
          </cell>
          <cell r="J726">
            <v>1298</v>
          </cell>
          <cell r="K726">
            <v>3236</v>
          </cell>
          <cell r="L726">
            <v>302</v>
          </cell>
          <cell r="M726">
            <v>10</v>
          </cell>
          <cell r="N726">
            <v>0</v>
          </cell>
          <cell r="O726">
            <v>292</v>
          </cell>
          <cell r="P726">
            <v>567</v>
          </cell>
          <cell r="Q726">
            <v>301</v>
          </cell>
          <cell r="R726">
            <v>266</v>
          </cell>
          <cell r="S726">
            <v>16238</v>
          </cell>
          <cell r="T726">
            <v>869</v>
          </cell>
        </row>
        <row r="727">
          <cell r="C727" t="str">
            <v>Parkwood CDP, Washington</v>
          </cell>
          <cell r="D727">
            <v>5912</v>
          </cell>
          <cell r="E727">
            <v>5828</v>
          </cell>
          <cell r="F727">
            <v>2458</v>
          </cell>
          <cell r="G727">
            <v>3280</v>
          </cell>
          <cell r="H727">
            <v>273</v>
          </cell>
          <cell r="I727">
            <v>869</v>
          </cell>
          <cell r="J727">
            <v>605</v>
          </cell>
          <cell r="K727">
            <v>1533</v>
          </cell>
          <cell r="L727">
            <v>90</v>
          </cell>
          <cell r="M727">
            <v>0</v>
          </cell>
          <cell r="N727">
            <v>19</v>
          </cell>
          <cell r="O727">
            <v>71</v>
          </cell>
          <cell r="P727">
            <v>84</v>
          </cell>
          <cell r="Q727">
            <v>55</v>
          </cell>
          <cell r="R727">
            <v>29</v>
          </cell>
          <cell r="S727">
            <v>5738</v>
          </cell>
          <cell r="T727">
            <v>174</v>
          </cell>
        </row>
        <row r="728">
          <cell r="C728" t="str">
            <v>Pasco city, Washington</v>
          </cell>
          <cell r="D728">
            <v>11754</v>
          </cell>
          <cell r="E728">
            <v>11091</v>
          </cell>
          <cell r="F728">
            <v>5929</v>
          </cell>
          <cell r="G728">
            <v>5111</v>
          </cell>
          <cell r="H728">
            <v>297</v>
          </cell>
          <cell r="I728">
            <v>1416</v>
          </cell>
          <cell r="J728">
            <v>814</v>
          </cell>
          <cell r="K728">
            <v>2584</v>
          </cell>
          <cell r="L728">
            <v>51</v>
          </cell>
          <cell r="M728">
            <v>7</v>
          </cell>
          <cell r="N728">
            <v>0</v>
          </cell>
          <cell r="O728">
            <v>44</v>
          </cell>
          <cell r="P728">
            <v>663</v>
          </cell>
          <cell r="Q728">
            <v>173</v>
          </cell>
          <cell r="R728">
            <v>490</v>
          </cell>
          <cell r="S728">
            <v>11040</v>
          </cell>
          <cell r="T728">
            <v>714</v>
          </cell>
        </row>
        <row r="729">
          <cell r="C729" t="str">
            <v>Pateros city, Washington</v>
          </cell>
          <cell r="D729">
            <v>408</v>
          </cell>
          <cell r="E729">
            <v>399</v>
          </cell>
          <cell r="F729">
            <v>255</v>
          </cell>
          <cell r="G729">
            <v>144</v>
          </cell>
          <cell r="H729">
            <v>6</v>
          </cell>
          <cell r="I729">
            <v>27</v>
          </cell>
          <cell r="J729">
            <v>33</v>
          </cell>
          <cell r="K729">
            <v>78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9</v>
          </cell>
          <cell r="Q729">
            <v>9</v>
          </cell>
          <cell r="R729">
            <v>0</v>
          </cell>
          <cell r="S729">
            <v>399</v>
          </cell>
          <cell r="T729">
            <v>9</v>
          </cell>
        </row>
        <row r="730">
          <cell r="C730" t="str">
            <v>Peaceful Valley CDP, Washington</v>
          </cell>
          <cell r="D730">
            <v>2323</v>
          </cell>
          <cell r="E730">
            <v>1633</v>
          </cell>
          <cell r="F730">
            <v>844</v>
          </cell>
          <cell r="G730">
            <v>765</v>
          </cell>
          <cell r="H730">
            <v>65</v>
          </cell>
          <cell r="I730">
            <v>115</v>
          </cell>
          <cell r="J730">
            <v>161</v>
          </cell>
          <cell r="K730">
            <v>424</v>
          </cell>
          <cell r="L730">
            <v>24</v>
          </cell>
          <cell r="M730">
            <v>0</v>
          </cell>
          <cell r="N730">
            <v>0</v>
          </cell>
          <cell r="O730">
            <v>24</v>
          </cell>
          <cell r="P730">
            <v>690</v>
          </cell>
          <cell r="Q730">
            <v>47</v>
          </cell>
          <cell r="R730">
            <v>643</v>
          </cell>
          <cell r="S730">
            <v>1609</v>
          </cell>
          <cell r="T730">
            <v>714</v>
          </cell>
        </row>
        <row r="731">
          <cell r="C731" t="str">
            <v>Pe Ell town, Washington</v>
          </cell>
          <cell r="D731">
            <v>628</v>
          </cell>
          <cell r="E731">
            <v>617</v>
          </cell>
          <cell r="F731">
            <v>461</v>
          </cell>
          <cell r="G731">
            <v>151</v>
          </cell>
          <cell r="H731">
            <v>16</v>
          </cell>
          <cell r="I731">
            <v>36</v>
          </cell>
          <cell r="J731">
            <v>14</v>
          </cell>
          <cell r="K731">
            <v>85</v>
          </cell>
          <cell r="L731">
            <v>5</v>
          </cell>
          <cell r="M731">
            <v>0</v>
          </cell>
          <cell r="N731">
            <v>0</v>
          </cell>
          <cell r="O731">
            <v>5</v>
          </cell>
          <cell r="P731">
            <v>11</v>
          </cell>
          <cell r="Q731">
            <v>4</v>
          </cell>
          <cell r="R731">
            <v>7</v>
          </cell>
          <cell r="S731">
            <v>612</v>
          </cell>
          <cell r="T731">
            <v>16</v>
          </cell>
        </row>
        <row r="732">
          <cell r="C732" t="str">
            <v>Picnic Point-North Lynnwood CDP, Washington</v>
          </cell>
          <cell r="D732">
            <v>17456</v>
          </cell>
          <cell r="E732">
            <v>16303</v>
          </cell>
          <cell r="F732">
            <v>9430</v>
          </cell>
          <cell r="G732">
            <v>6751</v>
          </cell>
          <cell r="H732">
            <v>794</v>
          </cell>
          <cell r="I732">
            <v>1887</v>
          </cell>
          <cell r="J732">
            <v>847</v>
          </cell>
          <cell r="K732">
            <v>3223</v>
          </cell>
          <cell r="L732">
            <v>122</v>
          </cell>
          <cell r="M732">
            <v>0</v>
          </cell>
          <cell r="N732">
            <v>0</v>
          </cell>
          <cell r="O732">
            <v>122</v>
          </cell>
          <cell r="P732">
            <v>1153</v>
          </cell>
          <cell r="Q732">
            <v>377</v>
          </cell>
          <cell r="R732">
            <v>776</v>
          </cell>
          <cell r="S732">
            <v>16181</v>
          </cell>
          <cell r="T732">
            <v>1275</v>
          </cell>
        </row>
        <row r="733">
          <cell r="C733" t="str">
            <v>Pomeroy city, Washington</v>
          </cell>
          <cell r="D733">
            <v>1466</v>
          </cell>
          <cell r="E733">
            <v>1454</v>
          </cell>
          <cell r="F733">
            <v>789</v>
          </cell>
          <cell r="G733">
            <v>661</v>
          </cell>
          <cell r="H733">
            <v>17</v>
          </cell>
          <cell r="I733">
            <v>92</v>
          </cell>
          <cell r="J733">
            <v>56</v>
          </cell>
          <cell r="K733">
            <v>496</v>
          </cell>
          <cell r="L733">
            <v>4</v>
          </cell>
          <cell r="M733">
            <v>0</v>
          </cell>
          <cell r="N733">
            <v>2</v>
          </cell>
          <cell r="O733">
            <v>2</v>
          </cell>
          <cell r="P733">
            <v>12</v>
          </cell>
          <cell r="Q733">
            <v>6</v>
          </cell>
          <cell r="R733">
            <v>6</v>
          </cell>
          <cell r="S733">
            <v>1450</v>
          </cell>
          <cell r="T733">
            <v>16</v>
          </cell>
        </row>
        <row r="734">
          <cell r="C734" t="str">
            <v>Port Angeles city, Washington</v>
          </cell>
          <cell r="D734">
            <v>16645</v>
          </cell>
          <cell r="E734">
            <v>16297</v>
          </cell>
          <cell r="F734">
            <v>8813</v>
          </cell>
          <cell r="G734">
            <v>7362</v>
          </cell>
          <cell r="H734">
            <v>741</v>
          </cell>
          <cell r="I734">
            <v>2413</v>
          </cell>
          <cell r="J734">
            <v>1040</v>
          </cell>
          <cell r="K734">
            <v>3168</v>
          </cell>
          <cell r="L734">
            <v>122</v>
          </cell>
          <cell r="M734">
            <v>0</v>
          </cell>
          <cell r="N734">
            <v>0</v>
          </cell>
          <cell r="O734">
            <v>122</v>
          </cell>
          <cell r="P734">
            <v>348</v>
          </cell>
          <cell r="Q734">
            <v>253</v>
          </cell>
          <cell r="R734">
            <v>95</v>
          </cell>
          <cell r="S734">
            <v>16175</v>
          </cell>
          <cell r="T734">
            <v>470</v>
          </cell>
        </row>
        <row r="735">
          <cell r="C735" t="str">
            <v>Port Angeles East CDP, Washington</v>
          </cell>
          <cell r="D735">
            <v>2829</v>
          </cell>
          <cell r="E735">
            <v>2780</v>
          </cell>
          <cell r="F735">
            <v>1582</v>
          </cell>
          <cell r="G735">
            <v>1159</v>
          </cell>
          <cell r="H735">
            <v>127</v>
          </cell>
          <cell r="I735">
            <v>418</v>
          </cell>
          <cell r="J735">
            <v>66</v>
          </cell>
          <cell r="K735">
            <v>548</v>
          </cell>
          <cell r="L735">
            <v>39</v>
          </cell>
          <cell r="M735">
            <v>0</v>
          </cell>
          <cell r="N735">
            <v>0</v>
          </cell>
          <cell r="O735">
            <v>39</v>
          </cell>
          <cell r="P735">
            <v>49</v>
          </cell>
          <cell r="Q735">
            <v>43</v>
          </cell>
          <cell r="R735">
            <v>6</v>
          </cell>
          <cell r="S735">
            <v>2741</v>
          </cell>
          <cell r="T735">
            <v>88</v>
          </cell>
        </row>
        <row r="736">
          <cell r="C736" t="str">
            <v>Port Hadlock-Irondale CDP, Washington</v>
          </cell>
          <cell r="D736">
            <v>3086</v>
          </cell>
          <cell r="E736">
            <v>2987</v>
          </cell>
          <cell r="F736">
            <v>1665</v>
          </cell>
          <cell r="G736">
            <v>1263</v>
          </cell>
          <cell r="H736">
            <v>140</v>
          </cell>
          <cell r="I736">
            <v>385</v>
          </cell>
          <cell r="J736">
            <v>114</v>
          </cell>
          <cell r="K736">
            <v>624</v>
          </cell>
          <cell r="L736">
            <v>59</v>
          </cell>
          <cell r="M736">
            <v>0</v>
          </cell>
          <cell r="N736">
            <v>0</v>
          </cell>
          <cell r="O736">
            <v>59</v>
          </cell>
          <cell r="P736">
            <v>99</v>
          </cell>
          <cell r="Q736">
            <v>21</v>
          </cell>
          <cell r="R736">
            <v>78</v>
          </cell>
          <cell r="S736">
            <v>2928</v>
          </cell>
          <cell r="T736">
            <v>158</v>
          </cell>
        </row>
        <row r="737">
          <cell r="C737" t="str">
            <v>Port Ludlow CDP, Washington</v>
          </cell>
          <cell r="D737">
            <v>1863</v>
          </cell>
          <cell r="E737">
            <v>1722</v>
          </cell>
          <cell r="F737">
            <v>451</v>
          </cell>
          <cell r="G737">
            <v>1266</v>
          </cell>
          <cell r="H737">
            <v>119</v>
          </cell>
          <cell r="I737">
            <v>362</v>
          </cell>
          <cell r="J737">
            <v>193</v>
          </cell>
          <cell r="K737">
            <v>592</v>
          </cell>
          <cell r="L737">
            <v>5</v>
          </cell>
          <cell r="M737">
            <v>0</v>
          </cell>
          <cell r="N737">
            <v>0</v>
          </cell>
          <cell r="O737">
            <v>5</v>
          </cell>
          <cell r="P737">
            <v>141</v>
          </cell>
          <cell r="Q737">
            <v>114</v>
          </cell>
          <cell r="R737">
            <v>27</v>
          </cell>
          <cell r="S737">
            <v>1717</v>
          </cell>
          <cell r="T737">
            <v>146</v>
          </cell>
        </row>
        <row r="738">
          <cell r="C738" t="str">
            <v>Port Orchard city, Washington</v>
          </cell>
          <cell r="D738">
            <v>6201</v>
          </cell>
          <cell r="E738">
            <v>6028</v>
          </cell>
          <cell r="F738">
            <v>2806</v>
          </cell>
          <cell r="G738">
            <v>3101</v>
          </cell>
          <cell r="H738">
            <v>250</v>
          </cell>
          <cell r="I738">
            <v>781</v>
          </cell>
          <cell r="J738">
            <v>538</v>
          </cell>
          <cell r="K738">
            <v>1532</v>
          </cell>
          <cell r="L738">
            <v>121</v>
          </cell>
          <cell r="M738">
            <v>7</v>
          </cell>
          <cell r="N738">
            <v>10</v>
          </cell>
          <cell r="O738">
            <v>104</v>
          </cell>
          <cell r="P738">
            <v>173</v>
          </cell>
          <cell r="Q738">
            <v>98</v>
          </cell>
          <cell r="R738">
            <v>75</v>
          </cell>
          <cell r="S738">
            <v>5907</v>
          </cell>
          <cell r="T738">
            <v>294</v>
          </cell>
        </row>
        <row r="739">
          <cell r="C739" t="str">
            <v>Port Townsend city, Washington</v>
          </cell>
          <cell r="D739">
            <v>7640</v>
          </cell>
          <cell r="E739">
            <v>7424</v>
          </cell>
          <cell r="F739">
            <v>2824</v>
          </cell>
          <cell r="G739">
            <v>4503</v>
          </cell>
          <cell r="H739">
            <v>745</v>
          </cell>
          <cell r="I739">
            <v>1190</v>
          </cell>
          <cell r="J739">
            <v>755</v>
          </cell>
          <cell r="K739">
            <v>1813</v>
          </cell>
          <cell r="L739">
            <v>97</v>
          </cell>
          <cell r="M739">
            <v>6</v>
          </cell>
          <cell r="N739">
            <v>0</v>
          </cell>
          <cell r="O739">
            <v>91</v>
          </cell>
          <cell r="P739">
            <v>216</v>
          </cell>
          <cell r="Q739">
            <v>157</v>
          </cell>
          <cell r="R739">
            <v>59</v>
          </cell>
          <cell r="S739">
            <v>7327</v>
          </cell>
          <cell r="T739">
            <v>313</v>
          </cell>
        </row>
        <row r="740">
          <cell r="C740" t="str">
            <v>Poulsbo city, Washington</v>
          </cell>
          <cell r="D740">
            <v>5863</v>
          </cell>
          <cell r="E740">
            <v>5643</v>
          </cell>
          <cell r="F740">
            <v>2478</v>
          </cell>
          <cell r="G740">
            <v>3095</v>
          </cell>
          <cell r="H740">
            <v>358</v>
          </cell>
          <cell r="I740">
            <v>840</v>
          </cell>
          <cell r="J740">
            <v>469</v>
          </cell>
          <cell r="K740">
            <v>1428</v>
          </cell>
          <cell r="L740">
            <v>70</v>
          </cell>
          <cell r="M740">
            <v>14</v>
          </cell>
          <cell r="N740">
            <v>10</v>
          </cell>
          <cell r="O740">
            <v>46</v>
          </cell>
          <cell r="P740">
            <v>220</v>
          </cell>
          <cell r="Q740">
            <v>129</v>
          </cell>
          <cell r="R740">
            <v>91</v>
          </cell>
          <cell r="S740">
            <v>5573</v>
          </cell>
          <cell r="T740">
            <v>290</v>
          </cell>
        </row>
        <row r="741">
          <cell r="C741" t="str">
            <v>Prairie Ridge CDP, Washington</v>
          </cell>
          <cell r="D741">
            <v>10506</v>
          </cell>
          <cell r="E741">
            <v>10383</v>
          </cell>
          <cell r="F741">
            <v>6480</v>
          </cell>
          <cell r="G741">
            <v>3806</v>
          </cell>
          <cell r="H741">
            <v>257</v>
          </cell>
          <cell r="I741">
            <v>1164</v>
          </cell>
          <cell r="J741">
            <v>493</v>
          </cell>
          <cell r="K741">
            <v>1892</v>
          </cell>
          <cell r="L741">
            <v>97</v>
          </cell>
          <cell r="M741">
            <v>0</v>
          </cell>
          <cell r="N741">
            <v>0</v>
          </cell>
          <cell r="O741">
            <v>97</v>
          </cell>
          <cell r="P741">
            <v>123</v>
          </cell>
          <cell r="Q741">
            <v>58</v>
          </cell>
          <cell r="R741">
            <v>65</v>
          </cell>
          <cell r="S741">
            <v>10286</v>
          </cell>
          <cell r="T741">
            <v>220</v>
          </cell>
        </row>
        <row r="742">
          <cell r="C742" t="str">
            <v>Prescott town, Washington</v>
          </cell>
          <cell r="D742">
            <v>271</v>
          </cell>
          <cell r="E742">
            <v>271</v>
          </cell>
          <cell r="F742">
            <v>172</v>
          </cell>
          <cell r="G742">
            <v>93</v>
          </cell>
          <cell r="H742">
            <v>1</v>
          </cell>
          <cell r="I742">
            <v>36</v>
          </cell>
          <cell r="J742">
            <v>7</v>
          </cell>
          <cell r="K742">
            <v>49</v>
          </cell>
          <cell r="L742">
            <v>6</v>
          </cell>
          <cell r="M742">
            <v>2</v>
          </cell>
          <cell r="N742">
            <v>0</v>
          </cell>
          <cell r="O742">
            <v>4</v>
          </cell>
          <cell r="P742">
            <v>0</v>
          </cell>
          <cell r="Q742">
            <v>0</v>
          </cell>
          <cell r="R742">
            <v>0</v>
          </cell>
          <cell r="S742">
            <v>265</v>
          </cell>
          <cell r="T742">
            <v>6</v>
          </cell>
        </row>
        <row r="743">
          <cell r="C743" t="str">
            <v>Priest Point CDP, Washington</v>
          </cell>
          <cell r="D743">
            <v>619</v>
          </cell>
          <cell r="E743">
            <v>604</v>
          </cell>
          <cell r="F743">
            <v>395</v>
          </cell>
          <cell r="G743">
            <v>209</v>
          </cell>
          <cell r="H743">
            <v>8</v>
          </cell>
          <cell r="I743">
            <v>73</v>
          </cell>
          <cell r="J743">
            <v>27</v>
          </cell>
          <cell r="K743">
            <v>101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15</v>
          </cell>
          <cell r="Q743">
            <v>9</v>
          </cell>
          <cell r="R743">
            <v>6</v>
          </cell>
          <cell r="S743">
            <v>604</v>
          </cell>
          <cell r="T743">
            <v>15</v>
          </cell>
        </row>
        <row r="744">
          <cell r="C744" t="str">
            <v>Prosser city, Washington</v>
          </cell>
          <cell r="D744">
            <v>3138</v>
          </cell>
          <cell r="E744">
            <v>3086</v>
          </cell>
          <cell r="F744">
            <v>1827</v>
          </cell>
          <cell r="G744">
            <v>1259</v>
          </cell>
          <cell r="H744">
            <v>61</v>
          </cell>
          <cell r="I744">
            <v>404</v>
          </cell>
          <cell r="J744">
            <v>148</v>
          </cell>
          <cell r="K744">
            <v>646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52</v>
          </cell>
          <cell r="Q744">
            <v>37</v>
          </cell>
          <cell r="R744">
            <v>15</v>
          </cell>
          <cell r="S744">
            <v>3086</v>
          </cell>
          <cell r="T744">
            <v>52</v>
          </cell>
        </row>
        <row r="745">
          <cell r="C745" t="str">
            <v>Pullman city, Washington</v>
          </cell>
          <cell r="D745">
            <v>20216</v>
          </cell>
          <cell r="E745">
            <v>19436</v>
          </cell>
          <cell r="F745">
            <v>10402</v>
          </cell>
          <cell r="G745">
            <v>8777</v>
          </cell>
          <cell r="H745">
            <v>725</v>
          </cell>
          <cell r="I745">
            <v>1917</v>
          </cell>
          <cell r="J745">
            <v>1096</v>
          </cell>
          <cell r="K745">
            <v>5039</v>
          </cell>
          <cell r="L745">
            <v>257</v>
          </cell>
          <cell r="M745">
            <v>0</v>
          </cell>
          <cell r="N745">
            <v>5</v>
          </cell>
          <cell r="O745">
            <v>252</v>
          </cell>
          <cell r="P745">
            <v>780</v>
          </cell>
          <cell r="Q745">
            <v>206</v>
          </cell>
          <cell r="R745">
            <v>574</v>
          </cell>
          <cell r="S745">
            <v>19179</v>
          </cell>
          <cell r="T745">
            <v>1037</v>
          </cell>
        </row>
        <row r="746">
          <cell r="C746" t="str">
            <v>Puyallup city, Washington</v>
          </cell>
          <cell r="D746">
            <v>27768</v>
          </cell>
          <cell r="E746">
            <v>27297</v>
          </cell>
          <cell r="F746">
            <v>16150</v>
          </cell>
          <cell r="G746">
            <v>10839</v>
          </cell>
          <cell r="H746">
            <v>925</v>
          </cell>
          <cell r="I746">
            <v>3415</v>
          </cell>
          <cell r="J746">
            <v>1799</v>
          </cell>
          <cell r="K746">
            <v>4700</v>
          </cell>
          <cell r="L746">
            <v>308</v>
          </cell>
          <cell r="M746">
            <v>23</v>
          </cell>
          <cell r="N746">
            <v>9</v>
          </cell>
          <cell r="O746">
            <v>276</v>
          </cell>
          <cell r="P746">
            <v>471</v>
          </cell>
          <cell r="Q746">
            <v>314</v>
          </cell>
          <cell r="R746">
            <v>157</v>
          </cell>
          <cell r="S746">
            <v>26989</v>
          </cell>
          <cell r="T746">
            <v>779</v>
          </cell>
        </row>
        <row r="747">
          <cell r="C747" t="str">
            <v>Quilcene CDP, Washington</v>
          </cell>
          <cell r="D747">
            <v>530</v>
          </cell>
          <cell r="E747">
            <v>530</v>
          </cell>
          <cell r="F747">
            <v>335</v>
          </cell>
          <cell r="G747">
            <v>193</v>
          </cell>
          <cell r="H747">
            <v>6</v>
          </cell>
          <cell r="I747">
            <v>67</v>
          </cell>
          <cell r="J747">
            <v>31</v>
          </cell>
          <cell r="K747">
            <v>89</v>
          </cell>
          <cell r="L747">
            <v>2</v>
          </cell>
          <cell r="M747">
            <v>0</v>
          </cell>
          <cell r="N747">
            <v>0</v>
          </cell>
          <cell r="O747">
            <v>2</v>
          </cell>
          <cell r="P747">
            <v>0</v>
          </cell>
          <cell r="Q747">
            <v>0</v>
          </cell>
          <cell r="R747">
            <v>0</v>
          </cell>
          <cell r="S747">
            <v>528</v>
          </cell>
          <cell r="T747">
            <v>2</v>
          </cell>
        </row>
        <row r="748">
          <cell r="C748" t="str">
            <v>Quincy city, Washington</v>
          </cell>
          <cell r="D748">
            <v>1721</v>
          </cell>
          <cell r="E748">
            <v>1680</v>
          </cell>
          <cell r="F748">
            <v>950</v>
          </cell>
          <cell r="G748">
            <v>730</v>
          </cell>
          <cell r="H748">
            <v>22</v>
          </cell>
          <cell r="I748">
            <v>195</v>
          </cell>
          <cell r="J748">
            <v>169</v>
          </cell>
          <cell r="K748">
            <v>344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41</v>
          </cell>
          <cell r="Q748">
            <v>23</v>
          </cell>
          <cell r="R748">
            <v>18</v>
          </cell>
          <cell r="S748">
            <v>1680</v>
          </cell>
          <cell r="T748">
            <v>41</v>
          </cell>
        </row>
        <row r="749">
          <cell r="C749" t="str">
            <v>Rainier town, Washington</v>
          </cell>
          <cell r="D749">
            <v>1318</v>
          </cell>
          <cell r="E749">
            <v>1289</v>
          </cell>
          <cell r="F749">
            <v>796</v>
          </cell>
          <cell r="G749">
            <v>473</v>
          </cell>
          <cell r="H749">
            <v>30</v>
          </cell>
          <cell r="I749">
            <v>112</v>
          </cell>
          <cell r="J749">
            <v>78</v>
          </cell>
          <cell r="K749">
            <v>253</v>
          </cell>
          <cell r="L749">
            <v>20</v>
          </cell>
          <cell r="M749">
            <v>0</v>
          </cell>
          <cell r="N749">
            <v>0</v>
          </cell>
          <cell r="O749">
            <v>20</v>
          </cell>
          <cell r="P749">
            <v>29</v>
          </cell>
          <cell r="Q749">
            <v>12</v>
          </cell>
          <cell r="R749">
            <v>17</v>
          </cell>
          <cell r="S749">
            <v>1269</v>
          </cell>
          <cell r="T749">
            <v>49</v>
          </cell>
        </row>
        <row r="750">
          <cell r="C750" t="str">
            <v>Ravensdale CDP, Washington</v>
          </cell>
          <cell r="D750">
            <v>726</v>
          </cell>
          <cell r="E750">
            <v>720</v>
          </cell>
          <cell r="F750">
            <v>529</v>
          </cell>
          <cell r="G750">
            <v>191</v>
          </cell>
          <cell r="H750">
            <v>24</v>
          </cell>
          <cell r="I750">
            <v>65</v>
          </cell>
          <cell r="J750">
            <v>8</v>
          </cell>
          <cell r="K750">
            <v>94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6</v>
          </cell>
          <cell r="Q750">
            <v>6</v>
          </cell>
          <cell r="R750">
            <v>0</v>
          </cell>
          <cell r="S750">
            <v>720</v>
          </cell>
          <cell r="T750">
            <v>6</v>
          </cell>
        </row>
        <row r="751">
          <cell r="C751" t="str">
            <v>Raymond city, Washington</v>
          </cell>
          <cell r="D751">
            <v>2242</v>
          </cell>
          <cell r="E751">
            <v>2174</v>
          </cell>
          <cell r="F751">
            <v>1302</v>
          </cell>
          <cell r="G751">
            <v>855</v>
          </cell>
          <cell r="H751">
            <v>10</v>
          </cell>
          <cell r="I751">
            <v>266</v>
          </cell>
          <cell r="J751">
            <v>134</v>
          </cell>
          <cell r="K751">
            <v>445</v>
          </cell>
          <cell r="L751">
            <v>17</v>
          </cell>
          <cell r="M751">
            <v>0</v>
          </cell>
          <cell r="N751">
            <v>0</v>
          </cell>
          <cell r="O751">
            <v>17</v>
          </cell>
          <cell r="P751">
            <v>68</v>
          </cell>
          <cell r="Q751">
            <v>43</v>
          </cell>
          <cell r="R751">
            <v>25</v>
          </cell>
          <cell r="S751">
            <v>2157</v>
          </cell>
          <cell r="T751">
            <v>85</v>
          </cell>
        </row>
        <row r="752">
          <cell r="C752" t="str">
            <v>Reardan town, Washington</v>
          </cell>
          <cell r="D752">
            <v>566</v>
          </cell>
          <cell r="E752">
            <v>551</v>
          </cell>
          <cell r="F752">
            <v>334</v>
          </cell>
          <cell r="G752">
            <v>208</v>
          </cell>
          <cell r="H752">
            <v>16</v>
          </cell>
          <cell r="I752">
            <v>73</v>
          </cell>
          <cell r="J752">
            <v>20</v>
          </cell>
          <cell r="K752">
            <v>99</v>
          </cell>
          <cell r="L752">
            <v>9</v>
          </cell>
          <cell r="M752">
            <v>0</v>
          </cell>
          <cell r="N752">
            <v>0</v>
          </cell>
          <cell r="O752">
            <v>9</v>
          </cell>
          <cell r="P752">
            <v>15</v>
          </cell>
          <cell r="Q752">
            <v>15</v>
          </cell>
          <cell r="R752">
            <v>0</v>
          </cell>
          <cell r="S752">
            <v>542</v>
          </cell>
          <cell r="T752">
            <v>24</v>
          </cell>
        </row>
        <row r="753">
          <cell r="C753" t="str">
            <v>Redmond city, Washington</v>
          </cell>
          <cell r="D753">
            <v>34751</v>
          </cell>
          <cell r="E753">
            <v>31444</v>
          </cell>
          <cell r="F753">
            <v>12605</v>
          </cell>
          <cell r="G753">
            <v>18317</v>
          </cell>
          <cell r="H753">
            <v>2502</v>
          </cell>
          <cell r="I753">
            <v>5413</v>
          </cell>
          <cell r="J753">
            <v>2839</v>
          </cell>
          <cell r="K753">
            <v>7563</v>
          </cell>
          <cell r="L753">
            <v>522</v>
          </cell>
          <cell r="M753">
            <v>0</v>
          </cell>
          <cell r="N753">
            <v>28</v>
          </cell>
          <cell r="O753">
            <v>494</v>
          </cell>
          <cell r="P753">
            <v>3307</v>
          </cell>
          <cell r="Q753">
            <v>1076</v>
          </cell>
          <cell r="R753">
            <v>2231</v>
          </cell>
          <cell r="S753">
            <v>30922</v>
          </cell>
          <cell r="T753">
            <v>3829</v>
          </cell>
        </row>
        <row r="754">
          <cell r="C754" t="str">
            <v>Renton city, Washington</v>
          </cell>
          <cell r="D754">
            <v>32755</v>
          </cell>
          <cell r="E754">
            <v>30255</v>
          </cell>
          <cell r="F754">
            <v>16477</v>
          </cell>
          <cell r="G754">
            <v>13390</v>
          </cell>
          <cell r="H754">
            <v>1405</v>
          </cell>
          <cell r="I754">
            <v>4362</v>
          </cell>
          <cell r="J754">
            <v>1677</v>
          </cell>
          <cell r="K754">
            <v>5946</v>
          </cell>
          <cell r="L754">
            <v>388</v>
          </cell>
          <cell r="M754">
            <v>0</v>
          </cell>
          <cell r="N754">
            <v>0</v>
          </cell>
          <cell r="O754">
            <v>388</v>
          </cell>
          <cell r="P754">
            <v>2500</v>
          </cell>
          <cell r="Q754">
            <v>914</v>
          </cell>
          <cell r="R754">
            <v>1586</v>
          </cell>
          <cell r="S754">
            <v>29867</v>
          </cell>
          <cell r="T754">
            <v>2888</v>
          </cell>
        </row>
        <row r="755">
          <cell r="C755" t="str">
            <v>Republic city, Washington</v>
          </cell>
          <cell r="D755">
            <v>915</v>
          </cell>
          <cell r="E755">
            <v>900</v>
          </cell>
          <cell r="F755">
            <v>543</v>
          </cell>
          <cell r="G755">
            <v>355</v>
          </cell>
          <cell r="H755">
            <v>25</v>
          </cell>
          <cell r="I755">
            <v>86</v>
          </cell>
          <cell r="J755">
            <v>41</v>
          </cell>
          <cell r="K755">
            <v>203</v>
          </cell>
          <cell r="L755">
            <v>2</v>
          </cell>
          <cell r="M755">
            <v>0</v>
          </cell>
          <cell r="N755">
            <v>0</v>
          </cell>
          <cell r="O755">
            <v>2</v>
          </cell>
          <cell r="P755">
            <v>15</v>
          </cell>
          <cell r="Q755">
            <v>12</v>
          </cell>
          <cell r="R755">
            <v>3</v>
          </cell>
          <cell r="S755">
            <v>898</v>
          </cell>
          <cell r="T755">
            <v>17</v>
          </cell>
        </row>
        <row r="756">
          <cell r="C756" t="str">
            <v>Richland city, Washington</v>
          </cell>
          <cell r="D756">
            <v>33565</v>
          </cell>
          <cell r="E756">
            <v>32373</v>
          </cell>
          <cell r="F756">
            <v>14706</v>
          </cell>
          <cell r="G756">
            <v>17449</v>
          </cell>
          <cell r="H756">
            <v>1746</v>
          </cell>
          <cell r="I756">
            <v>4614</v>
          </cell>
          <cell r="J756">
            <v>2957</v>
          </cell>
          <cell r="K756">
            <v>8132</v>
          </cell>
          <cell r="L756">
            <v>218</v>
          </cell>
          <cell r="M756">
            <v>0</v>
          </cell>
          <cell r="N756">
            <v>0</v>
          </cell>
          <cell r="O756">
            <v>218</v>
          </cell>
          <cell r="P756">
            <v>1192</v>
          </cell>
          <cell r="Q756">
            <v>321</v>
          </cell>
          <cell r="R756">
            <v>871</v>
          </cell>
          <cell r="S756">
            <v>32155</v>
          </cell>
          <cell r="T756">
            <v>1410</v>
          </cell>
        </row>
        <row r="757">
          <cell r="C757" t="str">
            <v>Ridgefield city, Washington</v>
          </cell>
          <cell r="D757">
            <v>2049</v>
          </cell>
          <cell r="E757">
            <v>2021</v>
          </cell>
          <cell r="F757">
            <v>846</v>
          </cell>
          <cell r="G757">
            <v>1155</v>
          </cell>
          <cell r="H757">
            <v>65</v>
          </cell>
          <cell r="I757">
            <v>271</v>
          </cell>
          <cell r="J757">
            <v>103</v>
          </cell>
          <cell r="K757">
            <v>716</v>
          </cell>
          <cell r="L757">
            <v>20</v>
          </cell>
          <cell r="M757">
            <v>0</v>
          </cell>
          <cell r="N757">
            <v>0</v>
          </cell>
          <cell r="O757">
            <v>20</v>
          </cell>
          <cell r="P757">
            <v>28</v>
          </cell>
          <cell r="Q757">
            <v>19</v>
          </cell>
          <cell r="R757">
            <v>9</v>
          </cell>
          <cell r="S757">
            <v>2001</v>
          </cell>
          <cell r="T757">
            <v>48</v>
          </cell>
        </row>
        <row r="758">
          <cell r="C758" t="str">
            <v>Ritzville city, Washington</v>
          </cell>
          <cell r="D758">
            <v>1652</v>
          </cell>
          <cell r="E758">
            <v>1633</v>
          </cell>
          <cell r="F758">
            <v>1063</v>
          </cell>
          <cell r="G758">
            <v>557</v>
          </cell>
          <cell r="H758">
            <v>7</v>
          </cell>
          <cell r="I758">
            <v>194</v>
          </cell>
          <cell r="J758">
            <v>79</v>
          </cell>
          <cell r="K758">
            <v>277</v>
          </cell>
          <cell r="L758">
            <v>13</v>
          </cell>
          <cell r="M758">
            <v>0</v>
          </cell>
          <cell r="N758">
            <v>2</v>
          </cell>
          <cell r="O758">
            <v>11</v>
          </cell>
          <cell r="P758">
            <v>19</v>
          </cell>
          <cell r="Q758">
            <v>14</v>
          </cell>
          <cell r="R758">
            <v>5</v>
          </cell>
          <cell r="S758">
            <v>1620</v>
          </cell>
          <cell r="T758">
            <v>32</v>
          </cell>
        </row>
        <row r="759">
          <cell r="C759" t="str">
            <v>Riverbend CDP, Washington</v>
          </cell>
          <cell r="D759">
            <v>2115</v>
          </cell>
          <cell r="E759">
            <v>2073</v>
          </cell>
          <cell r="F759">
            <v>1137</v>
          </cell>
          <cell r="G759">
            <v>929</v>
          </cell>
          <cell r="H759">
            <v>124</v>
          </cell>
          <cell r="I759">
            <v>238</v>
          </cell>
          <cell r="J759">
            <v>86</v>
          </cell>
          <cell r="K759">
            <v>481</v>
          </cell>
          <cell r="L759">
            <v>7</v>
          </cell>
          <cell r="M759">
            <v>0</v>
          </cell>
          <cell r="N759">
            <v>0</v>
          </cell>
          <cell r="O759">
            <v>7</v>
          </cell>
          <cell r="P759">
            <v>42</v>
          </cell>
          <cell r="Q759">
            <v>9</v>
          </cell>
          <cell r="R759">
            <v>33</v>
          </cell>
          <cell r="S759">
            <v>2066</v>
          </cell>
          <cell r="T759">
            <v>49</v>
          </cell>
        </row>
        <row r="760">
          <cell r="C760" t="str">
            <v>River Road CDP, Washington</v>
          </cell>
          <cell r="D760">
            <v>309</v>
          </cell>
          <cell r="E760">
            <v>300</v>
          </cell>
          <cell r="F760">
            <v>121</v>
          </cell>
          <cell r="G760">
            <v>179</v>
          </cell>
          <cell r="H760">
            <v>16</v>
          </cell>
          <cell r="I760">
            <v>55</v>
          </cell>
          <cell r="J760">
            <v>38</v>
          </cell>
          <cell r="K760">
            <v>70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9</v>
          </cell>
          <cell r="Q760">
            <v>9</v>
          </cell>
          <cell r="R760">
            <v>0</v>
          </cell>
          <cell r="S760">
            <v>300</v>
          </cell>
          <cell r="T760">
            <v>9</v>
          </cell>
        </row>
        <row r="761">
          <cell r="C761" t="str">
            <v>Riverside town, Washington</v>
          </cell>
          <cell r="D761">
            <v>303</v>
          </cell>
          <cell r="E761">
            <v>299</v>
          </cell>
          <cell r="F761">
            <v>163</v>
          </cell>
          <cell r="G761">
            <v>133</v>
          </cell>
          <cell r="H761">
            <v>2</v>
          </cell>
          <cell r="I761">
            <v>38</v>
          </cell>
          <cell r="J761">
            <v>23</v>
          </cell>
          <cell r="K761">
            <v>70</v>
          </cell>
          <cell r="L761">
            <v>3</v>
          </cell>
          <cell r="M761">
            <v>0</v>
          </cell>
          <cell r="N761">
            <v>0</v>
          </cell>
          <cell r="O761">
            <v>3</v>
          </cell>
          <cell r="P761">
            <v>4</v>
          </cell>
          <cell r="Q761">
            <v>2</v>
          </cell>
          <cell r="R761">
            <v>2</v>
          </cell>
          <cell r="S761">
            <v>296</v>
          </cell>
          <cell r="T761">
            <v>7</v>
          </cell>
        </row>
        <row r="762">
          <cell r="C762" t="str">
            <v>Riverton-Boulevard Park CDP, Washington</v>
          </cell>
          <cell r="D762">
            <v>6396</v>
          </cell>
          <cell r="E762">
            <v>6084</v>
          </cell>
          <cell r="F762">
            <v>3380</v>
          </cell>
          <cell r="G762">
            <v>2686</v>
          </cell>
          <cell r="H762">
            <v>254</v>
          </cell>
          <cell r="I762">
            <v>1064</v>
          </cell>
          <cell r="J762">
            <v>335</v>
          </cell>
          <cell r="K762">
            <v>1033</v>
          </cell>
          <cell r="L762">
            <v>18</v>
          </cell>
          <cell r="M762">
            <v>0</v>
          </cell>
          <cell r="N762">
            <v>0</v>
          </cell>
          <cell r="O762">
            <v>18</v>
          </cell>
          <cell r="P762">
            <v>312</v>
          </cell>
          <cell r="Q762">
            <v>221</v>
          </cell>
          <cell r="R762">
            <v>91</v>
          </cell>
          <cell r="S762">
            <v>6066</v>
          </cell>
          <cell r="T762">
            <v>330</v>
          </cell>
        </row>
        <row r="763">
          <cell r="C763" t="str">
            <v>Rochester CDP, Washington</v>
          </cell>
          <cell r="D763">
            <v>1583</v>
          </cell>
          <cell r="E763">
            <v>1583</v>
          </cell>
          <cell r="F763">
            <v>949</v>
          </cell>
          <cell r="G763">
            <v>616</v>
          </cell>
          <cell r="H763">
            <v>71</v>
          </cell>
          <cell r="I763">
            <v>163</v>
          </cell>
          <cell r="J763">
            <v>86</v>
          </cell>
          <cell r="K763">
            <v>296</v>
          </cell>
          <cell r="L763">
            <v>18</v>
          </cell>
          <cell r="M763">
            <v>0</v>
          </cell>
          <cell r="N763">
            <v>0</v>
          </cell>
          <cell r="O763">
            <v>18</v>
          </cell>
          <cell r="P763">
            <v>0</v>
          </cell>
          <cell r="Q763">
            <v>0</v>
          </cell>
          <cell r="R763">
            <v>0</v>
          </cell>
          <cell r="S763">
            <v>1565</v>
          </cell>
          <cell r="T763">
            <v>18</v>
          </cell>
        </row>
        <row r="764">
          <cell r="C764" t="str">
            <v>Rockford town, Washington</v>
          </cell>
          <cell r="D764">
            <v>400</v>
          </cell>
          <cell r="E764">
            <v>398</v>
          </cell>
          <cell r="F764">
            <v>287</v>
          </cell>
          <cell r="G764">
            <v>111</v>
          </cell>
          <cell r="H764">
            <v>3</v>
          </cell>
          <cell r="I764">
            <v>40</v>
          </cell>
          <cell r="J764">
            <v>7</v>
          </cell>
          <cell r="K764">
            <v>61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2</v>
          </cell>
          <cell r="Q764">
            <v>2</v>
          </cell>
          <cell r="R764">
            <v>0</v>
          </cell>
          <cell r="S764">
            <v>398</v>
          </cell>
          <cell r="T764">
            <v>2</v>
          </cell>
        </row>
        <row r="765">
          <cell r="C765" t="str">
            <v>Rock Island city, Washington</v>
          </cell>
          <cell r="D765">
            <v>572</v>
          </cell>
          <cell r="E765">
            <v>567</v>
          </cell>
          <cell r="F765">
            <v>359</v>
          </cell>
          <cell r="G765">
            <v>208</v>
          </cell>
          <cell r="H765">
            <v>18</v>
          </cell>
          <cell r="I765">
            <v>49</v>
          </cell>
          <cell r="J765">
            <v>44</v>
          </cell>
          <cell r="K765">
            <v>97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5</v>
          </cell>
          <cell r="Q765">
            <v>4</v>
          </cell>
          <cell r="R765">
            <v>1</v>
          </cell>
          <cell r="S765">
            <v>567</v>
          </cell>
          <cell r="T765">
            <v>5</v>
          </cell>
        </row>
        <row r="766">
          <cell r="C766" t="str">
            <v>Rockport CDP, Washington</v>
          </cell>
          <cell r="D766">
            <v>45</v>
          </cell>
          <cell r="E766">
            <v>45</v>
          </cell>
          <cell r="F766">
            <v>20</v>
          </cell>
          <cell r="G766">
            <v>25</v>
          </cell>
          <cell r="H766">
            <v>0</v>
          </cell>
          <cell r="I766">
            <v>10</v>
          </cell>
          <cell r="J766">
            <v>4</v>
          </cell>
          <cell r="K766">
            <v>11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45</v>
          </cell>
          <cell r="T766">
            <v>0</v>
          </cell>
        </row>
        <row r="767">
          <cell r="C767" t="str">
            <v>Ronald CDP, Washington</v>
          </cell>
          <cell r="D767">
            <v>177</v>
          </cell>
          <cell r="E767">
            <v>169</v>
          </cell>
          <cell r="F767">
            <v>85</v>
          </cell>
          <cell r="G767">
            <v>79</v>
          </cell>
          <cell r="H767">
            <v>7</v>
          </cell>
          <cell r="I767">
            <v>14</v>
          </cell>
          <cell r="J767">
            <v>20</v>
          </cell>
          <cell r="K767">
            <v>38</v>
          </cell>
          <cell r="L767">
            <v>5</v>
          </cell>
          <cell r="M767">
            <v>0</v>
          </cell>
          <cell r="N767">
            <v>0</v>
          </cell>
          <cell r="O767">
            <v>5</v>
          </cell>
          <cell r="P767">
            <v>8</v>
          </cell>
          <cell r="Q767">
            <v>0</v>
          </cell>
          <cell r="R767">
            <v>8</v>
          </cell>
          <cell r="S767">
            <v>164</v>
          </cell>
          <cell r="T767">
            <v>13</v>
          </cell>
        </row>
        <row r="768">
          <cell r="C768" t="str">
            <v>Roosevelt CDP, Washington</v>
          </cell>
          <cell r="D768">
            <v>76</v>
          </cell>
          <cell r="E768">
            <v>76</v>
          </cell>
          <cell r="F768">
            <v>47</v>
          </cell>
          <cell r="G768">
            <v>29</v>
          </cell>
          <cell r="H768">
            <v>0</v>
          </cell>
          <cell r="I768">
            <v>0</v>
          </cell>
          <cell r="J768">
            <v>3</v>
          </cell>
          <cell r="K768">
            <v>26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76</v>
          </cell>
          <cell r="T768">
            <v>0</v>
          </cell>
        </row>
        <row r="769">
          <cell r="C769" t="str">
            <v>Rosalia town, Washington</v>
          </cell>
          <cell r="D769">
            <v>615</v>
          </cell>
          <cell r="E769">
            <v>609</v>
          </cell>
          <cell r="F769">
            <v>406</v>
          </cell>
          <cell r="G769">
            <v>201</v>
          </cell>
          <cell r="H769">
            <v>18</v>
          </cell>
          <cell r="I769">
            <v>49</v>
          </cell>
          <cell r="J769">
            <v>40</v>
          </cell>
          <cell r="K769">
            <v>94</v>
          </cell>
          <cell r="L769">
            <v>2</v>
          </cell>
          <cell r="M769">
            <v>0</v>
          </cell>
          <cell r="N769">
            <v>0</v>
          </cell>
          <cell r="O769">
            <v>2</v>
          </cell>
          <cell r="P769">
            <v>6</v>
          </cell>
          <cell r="Q769">
            <v>4</v>
          </cell>
          <cell r="R769">
            <v>2</v>
          </cell>
          <cell r="S769">
            <v>607</v>
          </cell>
          <cell r="T769">
            <v>8</v>
          </cell>
        </row>
        <row r="770">
          <cell r="C770" t="str">
            <v>Roslyn city, Washington</v>
          </cell>
          <cell r="D770">
            <v>948</v>
          </cell>
          <cell r="E770">
            <v>926</v>
          </cell>
          <cell r="F770">
            <v>633</v>
          </cell>
          <cell r="G770">
            <v>284</v>
          </cell>
          <cell r="H770">
            <v>31</v>
          </cell>
          <cell r="I770">
            <v>106</v>
          </cell>
          <cell r="J770">
            <v>32</v>
          </cell>
          <cell r="K770">
            <v>115</v>
          </cell>
          <cell r="L770">
            <v>9</v>
          </cell>
          <cell r="M770">
            <v>0</v>
          </cell>
          <cell r="N770">
            <v>0</v>
          </cell>
          <cell r="O770">
            <v>9</v>
          </cell>
          <cell r="P770">
            <v>22</v>
          </cell>
          <cell r="Q770">
            <v>11</v>
          </cell>
          <cell r="R770">
            <v>11</v>
          </cell>
          <cell r="S770">
            <v>917</v>
          </cell>
          <cell r="T770">
            <v>31</v>
          </cell>
        </row>
        <row r="771">
          <cell r="C771" t="str">
            <v>Roy city, Washington</v>
          </cell>
          <cell r="D771">
            <v>196</v>
          </cell>
          <cell r="E771">
            <v>190</v>
          </cell>
          <cell r="F771">
            <v>102</v>
          </cell>
          <cell r="G771">
            <v>86</v>
          </cell>
          <cell r="H771">
            <v>4</v>
          </cell>
          <cell r="I771">
            <v>40</v>
          </cell>
          <cell r="J771">
            <v>3</v>
          </cell>
          <cell r="K771">
            <v>39</v>
          </cell>
          <cell r="L771">
            <v>2</v>
          </cell>
          <cell r="M771">
            <v>0</v>
          </cell>
          <cell r="N771">
            <v>0</v>
          </cell>
          <cell r="O771">
            <v>2</v>
          </cell>
          <cell r="P771">
            <v>6</v>
          </cell>
          <cell r="Q771">
            <v>6</v>
          </cell>
          <cell r="R771">
            <v>0</v>
          </cell>
          <cell r="S771">
            <v>188</v>
          </cell>
          <cell r="T771">
            <v>8</v>
          </cell>
        </row>
        <row r="772">
          <cell r="C772" t="str">
            <v>Royal City city, Washington</v>
          </cell>
          <cell r="D772">
            <v>357</v>
          </cell>
          <cell r="E772">
            <v>354</v>
          </cell>
          <cell r="F772">
            <v>207</v>
          </cell>
          <cell r="G772">
            <v>145</v>
          </cell>
          <cell r="H772">
            <v>12</v>
          </cell>
          <cell r="I772">
            <v>48</v>
          </cell>
          <cell r="J772">
            <v>22</v>
          </cell>
          <cell r="K772">
            <v>63</v>
          </cell>
          <cell r="L772">
            <v>2</v>
          </cell>
          <cell r="M772">
            <v>0</v>
          </cell>
          <cell r="N772">
            <v>0</v>
          </cell>
          <cell r="O772">
            <v>2</v>
          </cell>
          <cell r="P772">
            <v>3</v>
          </cell>
          <cell r="Q772">
            <v>0</v>
          </cell>
          <cell r="R772">
            <v>3</v>
          </cell>
          <cell r="S772">
            <v>352</v>
          </cell>
          <cell r="T772">
            <v>5</v>
          </cell>
        </row>
        <row r="773">
          <cell r="C773" t="str">
            <v>Ruston town, Washington</v>
          </cell>
          <cell r="D773">
            <v>614</v>
          </cell>
          <cell r="E773">
            <v>592</v>
          </cell>
          <cell r="F773">
            <v>302</v>
          </cell>
          <cell r="G773">
            <v>272</v>
          </cell>
          <cell r="H773">
            <v>34</v>
          </cell>
          <cell r="I773">
            <v>80</v>
          </cell>
          <cell r="J773">
            <v>47</v>
          </cell>
          <cell r="K773">
            <v>111</v>
          </cell>
          <cell r="L773">
            <v>18</v>
          </cell>
          <cell r="M773">
            <v>0</v>
          </cell>
          <cell r="N773">
            <v>0</v>
          </cell>
          <cell r="O773">
            <v>18</v>
          </cell>
          <cell r="P773">
            <v>22</v>
          </cell>
          <cell r="Q773">
            <v>18</v>
          </cell>
          <cell r="R773">
            <v>4</v>
          </cell>
          <cell r="S773">
            <v>574</v>
          </cell>
          <cell r="T773">
            <v>40</v>
          </cell>
        </row>
        <row r="774">
          <cell r="C774" t="str">
            <v>St. John town, Washington</v>
          </cell>
          <cell r="D774">
            <v>539</v>
          </cell>
          <cell r="E774">
            <v>535</v>
          </cell>
          <cell r="F774">
            <v>384</v>
          </cell>
          <cell r="G774">
            <v>149</v>
          </cell>
          <cell r="H774">
            <v>5</v>
          </cell>
          <cell r="I774">
            <v>37</v>
          </cell>
          <cell r="J774">
            <v>13</v>
          </cell>
          <cell r="K774">
            <v>94</v>
          </cell>
          <cell r="L774">
            <v>2</v>
          </cell>
          <cell r="M774">
            <v>2</v>
          </cell>
          <cell r="N774">
            <v>0</v>
          </cell>
          <cell r="O774">
            <v>0</v>
          </cell>
          <cell r="P774">
            <v>4</v>
          </cell>
          <cell r="Q774">
            <v>4</v>
          </cell>
          <cell r="R774">
            <v>0</v>
          </cell>
          <cell r="S774">
            <v>533</v>
          </cell>
          <cell r="T774">
            <v>6</v>
          </cell>
        </row>
        <row r="775">
          <cell r="C775" t="str">
            <v>Salmon Creek CDP, Washington</v>
          </cell>
          <cell r="D775">
            <v>14809</v>
          </cell>
          <cell r="E775">
            <v>14521</v>
          </cell>
          <cell r="F775">
            <v>4661</v>
          </cell>
          <cell r="G775">
            <v>9736</v>
          </cell>
          <cell r="H775">
            <v>529</v>
          </cell>
          <cell r="I775">
            <v>2049</v>
          </cell>
          <cell r="J775">
            <v>771</v>
          </cell>
          <cell r="K775">
            <v>6387</v>
          </cell>
          <cell r="L775">
            <v>124</v>
          </cell>
          <cell r="M775">
            <v>0</v>
          </cell>
          <cell r="N775">
            <v>0</v>
          </cell>
          <cell r="O775">
            <v>124</v>
          </cell>
          <cell r="P775">
            <v>288</v>
          </cell>
          <cell r="Q775">
            <v>216</v>
          </cell>
          <cell r="R775">
            <v>72</v>
          </cell>
          <cell r="S775">
            <v>14397</v>
          </cell>
          <cell r="T775">
            <v>412</v>
          </cell>
        </row>
        <row r="776">
          <cell r="C776" t="str">
            <v>Sammamish city, Washington</v>
          </cell>
          <cell r="D776">
            <v>29297</v>
          </cell>
          <cell r="E776">
            <v>27864</v>
          </cell>
          <cell r="F776">
            <v>11831</v>
          </cell>
          <cell r="G776">
            <v>15641</v>
          </cell>
          <cell r="H776">
            <v>2333</v>
          </cell>
          <cell r="I776">
            <v>4336</v>
          </cell>
          <cell r="J776">
            <v>2114</v>
          </cell>
          <cell r="K776">
            <v>6858</v>
          </cell>
          <cell r="L776">
            <v>392</v>
          </cell>
          <cell r="M776">
            <v>16</v>
          </cell>
          <cell r="N776">
            <v>9</v>
          </cell>
          <cell r="O776">
            <v>367</v>
          </cell>
          <cell r="P776">
            <v>1433</v>
          </cell>
          <cell r="Q776">
            <v>620</v>
          </cell>
          <cell r="R776">
            <v>813</v>
          </cell>
          <cell r="S776">
            <v>27472</v>
          </cell>
          <cell r="T776">
            <v>1825</v>
          </cell>
        </row>
        <row r="777">
          <cell r="C777" t="str">
            <v>Satsop CDP, Washington</v>
          </cell>
          <cell r="D777">
            <v>634</v>
          </cell>
          <cell r="E777">
            <v>632</v>
          </cell>
          <cell r="F777">
            <v>432</v>
          </cell>
          <cell r="G777">
            <v>200</v>
          </cell>
          <cell r="H777">
            <v>21</v>
          </cell>
          <cell r="I777">
            <v>68</v>
          </cell>
          <cell r="J777">
            <v>20</v>
          </cell>
          <cell r="K777">
            <v>91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2</v>
          </cell>
          <cell r="Q777">
            <v>0</v>
          </cell>
          <cell r="R777">
            <v>2</v>
          </cell>
          <cell r="S777">
            <v>632</v>
          </cell>
          <cell r="T777">
            <v>2</v>
          </cell>
        </row>
        <row r="778">
          <cell r="C778" t="str">
            <v>Satus CDP, Washington</v>
          </cell>
          <cell r="D778">
            <v>244</v>
          </cell>
          <cell r="E778">
            <v>244</v>
          </cell>
          <cell r="F778">
            <v>174</v>
          </cell>
          <cell r="G778">
            <v>70</v>
          </cell>
          <cell r="H778">
            <v>0</v>
          </cell>
          <cell r="I778">
            <v>24</v>
          </cell>
          <cell r="J778">
            <v>9</v>
          </cell>
          <cell r="K778">
            <v>37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244</v>
          </cell>
          <cell r="T778">
            <v>0</v>
          </cell>
        </row>
        <row r="779">
          <cell r="C779" t="str">
            <v>SeaTac city, Washington</v>
          </cell>
          <cell r="D779">
            <v>14410</v>
          </cell>
          <cell r="E779">
            <v>13655</v>
          </cell>
          <cell r="F779">
            <v>7976</v>
          </cell>
          <cell r="G779">
            <v>5608</v>
          </cell>
          <cell r="H779">
            <v>555</v>
          </cell>
          <cell r="I779">
            <v>2204</v>
          </cell>
          <cell r="J779">
            <v>590</v>
          </cell>
          <cell r="K779">
            <v>2259</v>
          </cell>
          <cell r="L779">
            <v>71</v>
          </cell>
          <cell r="M779">
            <v>0</v>
          </cell>
          <cell r="N779">
            <v>0</v>
          </cell>
          <cell r="O779">
            <v>71</v>
          </cell>
          <cell r="P779">
            <v>755</v>
          </cell>
          <cell r="Q779">
            <v>224</v>
          </cell>
          <cell r="R779">
            <v>531</v>
          </cell>
          <cell r="S779">
            <v>13584</v>
          </cell>
          <cell r="T779">
            <v>826</v>
          </cell>
        </row>
        <row r="780">
          <cell r="C780" t="str">
            <v>Seattle city, Washington</v>
          </cell>
          <cell r="D780">
            <v>382170</v>
          </cell>
          <cell r="E780">
            <v>359618</v>
          </cell>
          <cell r="F780">
            <v>161742</v>
          </cell>
          <cell r="G780">
            <v>192183</v>
          </cell>
          <cell r="H780">
            <v>35698</v>
          </cell>
          <cell r="I780">
            <v>58626</v>
          </cell>
          <cell r="J780">
            <v>26410</v>
          </cell>
          <cell r="K780">
            <v>71449</v>
          </cell>
          <cell r="L780">
            <v>5693</v>
          </cell>
          <cell r="M780">
            <v>119</v>
          </cell>
          <cell r="N780">
            <v>185</v>
          </cell>
          <cell r="O780">
            <v>5389</v>
          </cell>
          <cell r="P780">
            <v>22552</v>
          </cell>
          <cell r="Q780">
            <v>10829</v>
          </cell>
          <cell r="R780">
            <v>11723</v>
          </cell>
          <cell r="S780">
            <v>353925</v>
          </cell>
          <cell r="T780">
            <v>28245</v>
          </cell>
        </row>
        <row r="781">
          <cell r="C781" t="str">
            <v>Seattle Hill-Silver Firs CDP, Washington</v>
          </cell>
          <cell r="D781">
            <v>29856</v>
          </cell>
          <cell r="E781">
            <v>28787</v>
          </cell>
          <cell r="F781">
            <v>16843</v>
          </cell>
          <cell r="G781">
            <v>11623</v>
          </cell>
          <cell r="H781">
            <v>1206</v>
          </cell>
          <cell r="I781">
            <v>3437</v>
          </cell>
          <cell r="J781">
            <v>1404</v>
          </cell>
          <cell r="K781">
            <v>5576</v>
          </cell>
          <cell r="L781">
            <v>321</v>
          </cell>
          <cell r="M781">
            <v>7</v>
          </cell>
          <cell r="N781">
            <v>8</v>
          </cell>
          <cell r="O781">
            <v>306</v>
          </cell>
          <cell r="P781">
            <v>1069</v>
          </cell>
          <cell r="Q781">
            <v>484</v>
          </cell>
          <cell r="R781">
            <v>585</v>
          </cell>
          <cell r="S781">
            <v>28466</v>
          </cell>
          <cell r="T781">
            <v>1390</v>
          </cell>
        </row>
        <row r="782">
          <cell r="C782" t="str">
            <v>Sedro-Woolley city, Washington</v>
          </cell>
          <cell r="D782">
            <v>7864</v>
          </cell>
          <cell r="E782">
            <v>7779</v>
          </cell>
          <cell r="F782">
            <v>4783</v>
          </cell>
          <cell r="G782">
            <v>2895</v>
          </cell>
          <cell r="H782">
            <v>238</v>
          </cell>
          <cell r="I782">
            <v>821</v>
          </cell>
          <cell r="J782">
            <v>501</v>
          </cell>
          <cell r="K782">
            <v>1335</v>
          </cell>
          <cell r="L782">
            <v>101</v>
          </cell>
          <cell r="M782">
            <v>0</v>
          </cell>
          <cell r="N782">
            <v>5</v>
          </cell>
          <cell r="O782">
            <v>96</v>
          </cell>
          <cell r="P782">
            <v>85</v>
          </cell>
          <cell r="Q782">
            <v>63</v>
          </cell>
          <cell r="R782">
            <v>22</v>
          </cell>
          <cell r="S782">
            <v>7678</v>
          </cell>
          <cell r="T782">
            <v>186</v>
          </cell>
        </row>
        <row r="783">
          <cell r="C783" t="str">
            <v>Selah city, Washington</v>
          </cell>
          <cell r="D783">
            <v>5455</v>
          </cell>
          <cell r="E783">
            <v>5397</v>
          </cell>
          <cell r="F783">
            <v>3367</v>
          </cell>
          <cell r="G783">
            <v>2012</v>
          </cell>
          <cell r="H783">
            <v>184</v>
          </cell>
          <cell r="I783">
            <v>523</v>
          </cell>
          <cell r="J783">
            <v>358</v>
          </cell>
          <cell r="K783">
            <v>947</v>
          </cell>
          <cell r="L783">
            <v>18</v>
          </cell>
          <cell r="M783">
            <v>0</v>
          </cell>
          <cell r="N783">
            <v>0</v>
          </cell>
          <cell r="O783">
            <v>18</v>
          </cell>
          <cell r="P783">
            <v>58</v>
          </cell>
          <cell r="Q783">
            <v>33</v>
          </cell>
          <cell r="R783">
            <v>25</v>
          </cell>
          <cell r="S783">
            <v>5379</v>
          </cell>
          <cell r="T783">
            <v>76</v>
          </cell>
        </row>
        <row r="784">
          <cell r="C784" t="str">
            <v>Sequim city, Washington</v>
          </cell>
          <cell r="D784">
            <v>3949</v>
          </cell>
          <cell r="E784">
            <v>3685</v>
          </cell>
          <cell r="F784">
            <v>1230</v>
          </cell>
          <cell r="G784">
            <v>2434</v>
          </cell>
          <cell r="H784">
            <v>317</v>
          </cell>
          <cell r="I784">
            <v>762</v>
          </cell>
          <cell r="J784">
            <v>331</v>
          </cell>
          <cell r="K784">
            <v>1024</v>
          </cell>
          <cell r="L784">
            <v>21</v>
          </cell>
          <cell r="M784">
            <v>0</v>
          </cell>
          <cell r="N784">
            <v>0</v>
          </cell>
          <cell r="O784">
            <v>21</v>
          </cell>
          <cell r="P784">
            <v>264</v>
          </cell>
          <cell r="Q784">
            <v>177</v>
          </cell>
          <cell r="R784">
            <v>87</v>
          </cell>
          <cell r="S784">
            <v>3664</v>
          </cell>
          <cell r="T784">
            <v>285</v>
          </cell>
        </row>
        <row r="785">
          <cell r="C785" t="str">
            <v>Shaker Church CDP, Washington</v>
          </cell>
          <cell r="D785">
            <v>395</v>
          </cell>
          <cell r="E785">
            <v>389</v>
          </cell>
          <cell r="F785">
            <v>220</v>
          </cell>
          <cell r="G785">
            <v>165</v>
          </cell>
          <cell r="H785">
            <v>25</v>
          </cell>
          <cell r="I785">
            <v>51</v>
          </cell>
          <cell r="J785">
            <v>30</v>
          </cell>
          <cell r="K785">
            <v>59</v>
          </cell>
          <cell r="L785">
            <v>4</v>
          </cell>
          <cell r="M785">
            <v>0</v>
          </cell>
          <cell r="N785">
            <v>0</v>
          </cell>
          <cell r="O785">
            <v>4</v>
          </cell>
          <cell r="P785">
            <v>6</v>
          </cell>
          <cell r="Q785">
            <v>6</v>
          </cell>
          <cell r="R785">
            <v>0</v>
          </cell>
          <cell r="S785">
            <v>385</v>
          </cell>
          <cell r="T785">
            <v>10</v>
          </cell>
        </row>
        <row r="786">
          <cell r="C786" t="str">
            <v>Shelton city, Washington</v>
          </cell>
          <cell r="D786">
            <v>6798</v>
          </cell>
          <cell r="E786">
            <v>6680</v>
          </cell>
          <cell r="F786">
            <v>4019</v>
          </cell>
          <cell r="G786">
            <v>2597</v>
          </cell>
          <cell r="H786">
            <v>158</v>
          </cell>
          <cell r="I786">
            <v>855</v>
          </cell>
          <cell r="J786">
            <v>410</v>
          </cell>
          <cell r="K786">
            <v>1174</v>
          </cell>
          <cell r="L786">
            <v>64</v>
          </cell>
          <cell r="M786">
            <v>12</v>
          </cell>
          <cell r="N786">
            <v>5</v>
          </cell>
          <cell r="O786">
            <v>47</v>
          </cell>
          <cell r="P786">
            <v>118</v>
          </cell>
          <cell r="Q786">
            <v>75</v>
          </cell>
          <cell r="R786">
            <v>43</v>
          </cell>
          <cell r="S786">
            <v>6616</v>
          </cell>
          <cell r="T786">
            <v>182</v>
          </cell>
        </row>
        <row r="787">
          <cell r="C787" t="str">
            <v>Shoreline city, Washington</v>
          </cell>
          <cell r="D787">
            <v>39941</v>
          </cell>
          <cell r="E787">
            <v>37394</v>
          </cell>
          <cell r="F787">
            <v>21861</v>
          </cell>
          <cell r="G787">
            <v>15059</v>
          </cell>
          <cell r="H787">
            <v>1765</v>
          </cell>
          <cell r="I787">
            <v>5076</v>
          </cell>
          <cell r="J787">
            <v>2033</v>
          </cell>
          <cell r="K787">
            <v>6185</v>
          </cell>
          <cell r="L787">
            <v>474</v>
          </cell>
          <cell r="M787">
            <v>34</v>
          </cell>
          <cell r="N787">
            <v>50</v>
          </cell>
          <cell r="O787">
            <v>390</v>
          </cell>
          <cell r="P787">
            <v>2547</v>
          </cell>
          <cell r="Q787">
            <v>1378</v>
          </cell>
          <cell r="R787">
            <v>1169</v>
          </cell>
          <cell r="S787">
            <v>36920</v>
          </cell>
          <cell r="T787">
            <v>3021</v>
          </cell>
        </row>
        <row r="788">
          <cell r="C788" t="str">
            <v>Silvana CDP, Washington</v>
          </cell>
          <cell r="D788">
            <v>51</v>
          </cell>
          <cell r="E788">
            <v>51</v>
          </cell>
          <cell r="F788">
            <v>51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51</v>
          </cell>
          <cell r="T788">
            <v>0</v>
          </cell>
        </row>
        <row r="789">
          <cell r="C789" t="str">
            <v>Silverdale CDP, Washington</v>
          </cell>
          <cell r="D789">
            <v>11901</v>
          </cell>
          <cell r="E789">
            <v>11629</v>
          </cell>
          <cell r="F789">
            <v>3663</v>
          </cell>
          <cell r="G789">
            <v>7708</v>
          </cell>
          <cell r="H789">
            <v>978</v>
          </cell>
          <cell r="I789">
            <v>1964</v>
          </cell>
          <cell r="J789">
            <v>1417</v>
          </cell>
          <cell r="K789">
            <v>3349</v>
          </cell>
          <cell r="L789">
            <v>258</v>
          </cell>
          <cell r="M789">
            <v>7</v>
          </cell>
          <cell r="N789">
            <v>5</v>
          </cell>
          <cell r="O789">
            <v>246</v>
          </cell>
          <cell r="P789">
            <v>272</v>
          </cell>
          <cell r="Q789">
            <v>178</v>
          </cell>
          <cell r="R789">
            <v>94</v>
          </cell>
          <cell r="S789">
            <v>11371</v>
          </cell>
          <cell r="T789">
            <v>530</v>
          </cell>
        </row>
        <row r="790">
          <cell r="C790" t="str">
            <v>Skokomish CDP, Washington</v>
          </cell>
          <cell r="D790">
            <v>122</v>
          </cell>
          <cell r="E790">
            <v>122</v>
          </cell>
          <cell r="F790">
            <v>80</v>
          </cell>
          <cell r="G790">
            <v>42</v>
          </cell>
          <cell r="H790">
            <v>6</v>
          </cell>
          <cell r="I790">
            <v>9</v>
          </cell>
          <cell r="J790">
            <v>3</v>
          </cell>
          <cell r="K790">
            <v>24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122</v>
          </cell>
          <cell r="T790">
            <v>0</v>
          </cell>
        </row>
        <row r="791">
          <cell r="C791" t="str">
            <v>Skykomish town, Washington</v>
          </cell>
          <cell r="D791">
            <v>210</v>
          </cell>
          <cell r="E791">
            <v>203</v>
          </cell>
          <cell r="F791">
            <v>101</v>
          </cell>
          <cell r="G791">
            <v>101</v>
          </cell>
          <cell r="H791">
            <v>7</v>
          </cell>
          <cell r="I791">
            <v>20</v>
          </cell>
          <cell r="J791">
            <v>19</v>
          </cell>
          <cell r="K791">
            <v>55</v>
          </cell>
          <cell r="L791">
            <v>1</v>
          </cell>
          <cell r="M791">
            <v>0</v>
          </cell>
          <cell r="N791">
            <v>0</v>
          </cell>
          <cell r="O791">
            <v>1</v>
          </cell>
          <cell r="P791">
            <v>7</v>
          </cell>
          <cell r="Q791">
            <v>2</v>
          </cell>
          <cell r="R791">
            <v>5</v>
          </cell>
          <cell r="S791">
            <v>202</v>
          </cell>
          <cell r="T791">
            <v>8</v>
          </cell>
        </row>
        <row r="792">
          <cell r="C792" t="str">
            <v>Smokey Point CDP, Washington</v>
          </cell>
          <cell r="D792">
            <v>1386</v>
          </cell>
          <cell r="E792">
            <v>1366</v>
          </cell>
          <cell r="F792">
            <v>736</v>
          </cell>
          <cell r="G792">
            <v>609</v>
          </cell>
          <cell r="H792">
            <v>120</v>
          </cell>
          <cell r="I792">
            <v>204</v>
          </cell>
          <cell r="J792">
            <v>74</v>
          </cell>
          <cell r="K792">
            <v>211</v>
          </cell>
          <cell r="L792">
            <v>21</v>
          </cell>
          <cell r="M792">
            <v>0</v>
          </cell>
          <cell r="N792">
            <v>0</v>
          </cell>
          <cell r="O792">
            <v>21</v>
          </cell>
          <cell r="P792">
            <v>20</v>
          </cell>
          <cell r="Q792">
            <v>12</v>
          </cell>
          <cell r="R792">
            <v>8</v>
          </cell>
          <cell r="S792">
            <v>1345</v>
          </cell>
          <cell r="T792">
            <v>41</v>
          </cell>
        </row>
        <row r="793">
          <cell r="C793" t="str">
            <v>Snohomish city, Washington</v>
          </cell>
          <cell r="D793">
            <v>7640</v>
          </cell>
          <cell r="E793">
            <v>7510</v>
          </cell>
          <cell r="F793">
            <v>4494</v>
          </cell>
          <cell r="G793">
            <v>2956</v>
          </cell>
          <cell r="H793">
            <v>350</v>
          </cell>
          <cell r="I793">
            <v>793</v>
          </cell>
          <cell r="J793">
            <v>372</v>
          </cell>
          <cell r="K793">
            <v>1441</v>
          </cell>
          <cell r="L793">
            <v>60</v>
          </cell>
          <cell r="M793">
            <v>0</v>
          </cell>
          <cell r="N793">
            <v>9</v>
          </cell>
          <cell r="O793">
            <v>51</v>
          </cell>
          <cell r="P793">
            <v>130</v>
          </cell>
          <cell r="Q793">
            <v>67</v>
          </cell>
          <cell r="R793">
            <v>63</v>
          </cell>
          <cell r="S793">
            <v>7450</v>
          </cell>
          <cell r="T793">
            <v>190</v>
          </cell>
        </row>
        <row r="794">
          <cell r="C794" t="str">
            <v>Snoqualmie city, Washington</v>
          </cell>
          <cell r="D794">
            <v>1406</v>
          </cell>
          <cell r="E794">
            <v>1374</v>
          </cell>
          <cell r="F794">
            <v>795</v>
          </cell>
          <cell r="G794">
            <v>561</v>
          </cell>
          <cell r="H794">
            <v>49</v>
          </cell>
          <cell r="I794">
            <v>160</v>
          </cell>
          <cell r="J794">
            <v>62</v>
          </cell>
          <cell r="K794">
            <v>290</v>
          </cell>
          <cell r="L794">
            <v>18</v>
          </cell>
          <cell r="M794">
            <v>0</v>
          </cell>
          <cell r="N794">
            <v>0</v>
          </cell>
          <cell r="O794">
            <v>18</v>
          </cell>
          <cell r="P794">
            <v>32</v>
          </cell>
          <cell r="Q794">
            <v>17</v>
          </cell>
          <cell r="R794">
            <v>15</v>
          </cell>
          <cell r="S794">
            <v>1356</v>
          </cell>
          <cell r="T794">
            <v>50</v>
          </cell>
        </row>
        <row r="795">
          <cell r="C795" t="str">
            <v>Snoqualmie Pass CDP, Washington</v>
          </cell>
          <cell r="D795">
            <v>177</v>
          </cell>
          <cell r="E795">
            <v>175</v>
          </cell>
          <cell r="F795">
            <v>108</v>
          </cell>
          <cell r="G795">
            <v>59</v>
          </cell>
          <cell r="H795">
            <v>2</v>
          </cell>
          <cell r="I795">
            <v>29</v>
          </cell>
          <cell r="J795">
            <v>11</v>
          </cell>
          <cell r="K795">
            <v>17</v>
          </cell>
          <cell r="L795">
            <v>8</v>
          </cell>
          <cell r="M795">
            <v>0</v>
          </cell>
          <cell r="N795">
            <v>0</v>
          </cell>
          <cell r="O795">
            <v>8</v>
          </cell>
          <cell r="P795">
            <v>2</v>
          </cell>
          <cell r="Q795">
            <v>2</v>
          </cell>
          <cell r="R795">
            <v>0</v>
          </cell>
          <cell r="S795">
            <v>167</v>
          </cell>
          <cell r="T795">
            <v>10</v>
          </cell>
        </row>
        <row r="796">
          <cell r="C796" t="str">
            <v>Soap Lake city, Washington</v>
          </cell>
          <cell r="D796">
            <v>1429</v>
          </cell>
          <cell r="E796">
            <v>1233</v>
          </cell>
          <cell r="F796">
            <v>699</v>
          </cell>
          <cell r="G796">
            <v>532</v>
          </cell>
          <cell r="H796">
            <v>22</v>
          </cell>
          <cell r="I796">
            <v>140</v>
          </cell>
          <cell r="J796">
            <v>106</v>
          </cell>
          <cell r="K796">
            <v>264</v>
          </cell>
          <cell r="L796">
            <v>2</v>
          </cell>
          <cell r="M796">
            <v>0</v>
          </cell>
          <cell r="N796">
            <v>0</v>
          </cell>
          <cell r="O796">
            <v>2</v>
          </cell>
          <cell r="P796">
            <v>196</v>
          </cell>
          <cell r="Q796">
            <v>41</v>
          </cell>
          <cell r="R796">
            <v>155</v>
          </cell>
          <cell r="S796">
            <v>1231</v>
          </cell>
          <cell r="T796">
            <v>198</v>
          </cell>
        </row>
        <row r="797">
          <cell r="C797" t="str">
            <v>South Bend city, Washington</v>
          </cell>
          <cell r="D797">
            <v>1447</v>
          </cell>
          <cell r="E797">
            <v>1422</v>
          </cell>
          <cell r="F797">
            <v>905</v>
          </cell>
          <cell r="G797">
            <v>504</v>
          </cell>
          <cell r="H797">
            <v>28</v>
          </cell>
          <cell r="I797">
            <v>160</v>
          </cell>
          <cell r="J797">
            <v>69</v>
          </cell>
          <cell r="K797">
            <v>247</v>
          </cell>
          <cell r="L797">
            <v>13</v>
          </cell>
          <cell r="M797">
            <v>0</v>
          </cell>
          <cell r="N797">
            <v>0</v>
          </cell>
          <cell r="O797">
            <v>13</v>
          </cell>
          <cell r="P797">
            <v>25</v>
          </cell>
          <cell r="Q797">
            <v>23</v>
          </cell>
          <cell r="R797">
            <v>2</v>
          </cell>
          <cell r="S797">
            <v>1409</v>
          </cell>
          <cell r="T797">
            <v>38</v>
          </cell>
        </row>
        <row r="798">
          <cell r="C798" t="str">
            <v>South Cle Elum town, Washington</v>
          </cell>
          <cell r="D798">
            <v>428</v>
          </cell>
          <cell r="E798">
            <v>427</v>
          </cell>
          <cell r="F798">
            <v>322</v>
          </cell>
          <cell r="G798">
            <v>105</v>
          </cell>
          <cell r="H798">
            <v>2</v>
          </cell>
          <cell r="I798">
            <v>29</v>
          </cell>
          <cell r="J798">
            <v>10</v>
          </cell>
          <cell r="K798">
            <v>64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</v>
          </cell>
          <cell r="Q798">
            <v>0</v>
          </cell>
          <cell r="R798">
            <v>1</v>
          </cell>
          <cell r="S798">
            <v>427</v>
          </cell>
          <cell r="T798">
            <v>1</v>
          </cell>
        </row>
        <row r="799">
          <cell r="C799" t="str">
            <v>South Hill CDP, Washington</v>
          </cell>
          <cell r="D799">
            <v>27019</v>
          </cell>
          <cell r="E799">
            <v>26371</v>
          </cell>
          <cell r="F799">
            <v>14498</v>
          </cell>
          <cell r="G799">
            <v>11562</v>
          </cell>
          <cell r="H799">
            <v>1084</v>
          </cell>
          <cell r="I799">
            <v>3122</v>
          </cell>
          <cell r="J799">
            <v>1537</v>
          </cell>
          <cell r="K799">
            <v>5819</v>
          </cell>
          <cell r="L799">
            <v>311</v>
          </cell>
          <cell r="M799">
            <v>0</v>
          </cell>
          <cell r="N799">
            <v>17</v>
          </cell>
          <cell r="O799">
            <v>294</v>
          </cell>
          <cell r="P799">
            <v>648</v>
          </cell>
          <cell r="Q799">
            <v>431</v>
          </cell>
          <cell r="R799">
            <v>217</v>
          </cell>
          <cell r="S799">
            <v>26060</v>
          </cell>
          <cell r="T799">
            <v>959</v>
          </cell>
        </row>
        <row r="800">
          <cell r="C800" t="str">
            <v>South Prairie town, Washington</v>
          </cell>
          <cell r="D800">
            <v>429</v>
          </cell>
          <cell r="E800">
            <v>426</v>
          </cell>
          <cell r="F800">
            <v>293</v>
          </cell>
          <cell r="G800">
            <v>122</v>
          </cell>
          <cell r="H800">
            <v>2</v>
          </cell>
          <cell r="I800">
            <v>32</v>
          </cell>
          <cell r="J800">
            <v>14</v>
          </cell>
          <cell r="K800">
            <v>74</v>
          </cell>
          <cell r="L800">
            <v>11</v>
          </cell>
          <cell r="M800">
            <v>0</v>
          </cell>
          <cell r="N800">
            <v>0</v>
          </cell>
          <cell r="O800">
            <v>11</v>
          </cell>
          <cell r="P800">
            <v>3</v>
          </cell>
          <cell r="Q800">
            <v>3</v>
          </cell>
          <cell r="R800">
            <v>0</v>
          </cell>
          <cell r="S800">
            <v>415</v>
          </cell>
          <cell r="T800">
            <v>14</v>
          </cell>
        </row>
        <row r="801">
          <cell r="C801" t="str">
            <v>South Wenatchee CDP, Washington</v>
          </cell>
          <cell r="D801">
            <v>1193</v>
          </cell>
          <cell r="E801">
            <v>1179</v>
          </cell>
          <cell r="F801">
            <v>737</v>
          </cell>
          <cell r="G801">
            <v>430</v>
          </cell>
          <cell r="H801">
            <v>21</v>
          </cell>
          <cell r="I801">
            <v>139</v>
          </cell>
          <cell r="J801">
            <v>73</v>
          </cell>
          <cell r="K801">
            <v>197</v>
          </cell>
          <cell r="L801">
            <v>12</v>
          </cell>
          <cell r="M801">
            <v>0</v>
          </cell>
          <cell r="N801">
            <v>0</v>
          </cell>
          <cell r="O801">
            <v>12</v>
          </cell>
          <cell r="P801">
            <v>14</v>
          </cell>
          <cell r="Q801">
            <v>0</v>
          </cell>
          <cell r="R801">
            <v>14</v>
          </cell>
          <cell r="S801">
            <v>1167</v>
          </cell>
          <cell r="T801">
            <v>26</v>
          </cell>
        </row>
        <row r="802">
          <cell r="C802" t="str">
            <v>Spanaway CDP, Washington</v>
          </cell>
          <cell r="D802">
            <v>14538</v>
          </cell>
          <cell r="E802">
            <v>14019</v>
          </cell>
          <cell r="F802">
            <v>7179</v>
          </cell>
          <cell r="G802">
            <v>6465</v>
          </cell>
          <cell r="H802">
            <v>848</v>
          </cell>
          <cell r="I802">
            <v>1899</v>
          </cell>
          <cell r="J802">
            <v>1364</v>
          </cell>
          <cell r="K802">
            <v>2354</v>
          </cell>
          <cell r="L802">
            <v>375</v>
          </cell>
          <cell r="M802">
            <v>10</v>
          </cell>
          <cell r="N802">
            <v>10</v>
          </cell>
          <cell r="O802">
            <v>355</v>
          </cell>
          <cell r="P802">
            <v>519</v>
          </cell>
          <cell r="Q802">
            <v>304</v>
          </cell>
          <cell r="R802">
            <v>215</v>
          </cell>
          <cell r="S802">
            <v>13644</v>
          </cell>
          <cell r="T802">
            <v>894</v>
          </cell>
        </row>
        <row r="803">
          <cell r="C803" t="str">
            <v>Spangle town, Washington</v>
          </cell>
          <cell r="D803">
            <v>205</v>
          </cell>
          <cell r="E803">
            <v>201</v>
          </cell>
          <cell r="F803">
            <v>139</v>
          </cell>
          <cell r="G803">
            <v>62</v>
          </cell>
          <cell r="H803">
            <v>5</v>
          </cell>
          <cell r="I803">
            <v>3</v>
          </cell>
          <cell r="J803">
            <v>19</v>
          </cell>
          <cell r="K803">
            <v>35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4</v>
          </cell>
          <cell r="Q803">
            <v>4</v>
          </cell>
          <cell r="R803">
            <v>0</v>
          </cell>
          <cell r="S803">
            <v>201</v>
          </cell>
          <cell r="T803">
            <v>4</v>
          </cell>
        </row>
        <row r="804">
          <cell r="C804" t="str">
            <v>Spokane city, Washington</v>
          </cell>
          <cell r="D804">
            <v>171537</v>
          </cell>
          <cell r="E804">
            <v>165143</v>
          </cell>
          <cell r="F804">
            <v>92877</v>
          </cell>
          <cell r="G804">
            <v>70327</v>
          </cell>
          <cell r="H804">
            <v>5865</v>
          </cell>
          <cell r="I804">
            <v>18221</v>
          </cell>
          <cell r="J804">
            <v>7917</v>
          </cell>
          <cell r="K804">
            <v>38324</v>
          </cell>
          <cell r="L804">
            <v>1939</v>
          </cell>
          <cell r="M804">
            <v>37</v>
          </cell>
          <cell r="N804">
            <v>59</v>
          </cell>
          <cell r="O804">
            <v>1843</v>
          </cell>
          <cell r="P804">
            <v>6394</v>
          </cell>
          <cell r="Q804">
            <v>2267</v>
          </cell>
          <cell r="R804">
            <v>4127</v>
          </cell>
          <cell r="S804">
            <v>163204</v>
          </cell>
          <cell r="T804">
            <v>8333</v>
          </cell>
        </row>
        <row r="805">
          <cell r="C805" t="str">
            <v>Sprague city, Washington</v>
          </cell>
          <cell r="D805">
            <v>435</v>
          </cell>
          <cell r="E805">
            <v>425</v>
          </cell>
          <cell r="F805">
            <v>259</v>
          </cell>
          <cell r="G805">
            <v>159</v>
          </cell>
          <cell r="H805">
            <v>5</v>
          </cell>
          <cell r="I805">
            <v>38</v>
          </cell>
          <cell r="J805">
            <v>19</v>
          </cell>
          <cell r="K805">
            <v>97</v>
          </cell>
          <cell r="L805">
            <v>7</v>
          </cell>
          <cell r="M805">
            <v>0</v>
          </cell>
          <cell r="N805">
            <v>0</v>
          </cell>
          <cell r="O805">
            <v>7</v>
          </cell>
          <cell r="P805">
            <v>10</v>
          </cell>
          <cell r="Q805">
            <v>8</v>
          </cell>
          <cell r="R805">
            <v>2</v>
          </cell>
          <cell r="S805">
            <v>418</v>
          </cell>
          <cell r="T805">
            <v>17</v>
          </cell>
        </row>
        <row r="806">
          <cell r="C806" t="str">
            <v>Springdale town, Washington</v>
          </cell>
          <cell r="D806">
            <v>283</v>
          </cell>
          <cell r="E806">
            <v>278</v>
          </cell>
          <cell r="F806">
            <v>175</v>
          </cell>
          <cell r="G806">
            <v>103</v>
          </cell>
          <cell r="H806">
            <v>2</v>
          </cell>
          <cell r="I806">
            <v>26</v>
          </cell>
          <cell r="J806">
            <v>14</v>
          </cell>
          <cell r="K806">
            <v>61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5</v>
          </cell>
          <cell r="Q806">
            <v>5</v>
          </cell>
          <cell r="R806">
            <v>0</v>
          </cell>
          <cell r="S806">
            <v>278</v>
          </cell>
          <cell r="T806">
            <v>5</v>
          </cell>
        </row>
        <row r="807">
          <cell r="C807" t="str">
            <v>Stanwood city, Washington</v>
          </cell>
          <cell r="D807">
            <v>3314</v>
          </cell>
          <cell r="E807">
            <v>3297</v>
          </cell>
          <cell r="F807">
            <v>1913</v>
          </cell>
          <cell r="G807">
            <v>1348</v>
          </cell>
          <cell r="H807">
            <v>61</v>
          </cell>
          <cell r="I807">
            <v>372</v>
          </cell>
          <cell r="J807">
            <v>245</v>
          </cell>
          <cell r="K807">
            <v>670</v>
          </cell>
          <cell r="L807">
            <v>36</v>
          </cell>
          <cell r="M807">
            <v>0</v>
          </cell>
          <cell r="N807">
            <v>0</v>
          </cell>
          <cell r="O807">
            <v>36</v>
          </cell>
          <cell r="P807">
            <v>17</v>
          </cell>
          <cell r="Q807">
            <v>9</v>
          </cell>
          <cell r="R807">
            <v>8</v>
          </cell>
          <cell r="S807">
            <v>3261</v>
          </cell>
          <cell r="T807">
            <v>53</v>
          </cell>
        </row>
        <row r="808">
          <cell r="C808" t="str">
            <v>Starbuck town, Washington</v>
          </cell>
          <cell r="D808">
            <v>112</v>
          </cell>
          <cell r="E808">
            <v>112</v>
          </cell>
          <cell r="F808">
            <v>52</v>
          </cell>
          <cell r="G808">
            <v>60</v>
          </cell>
          <cell r="H808">
            <v>11</v>
          </cell>
          <cell r="I808">
            <v>4</v>
          </cell>
          <cell r="J808">
            <v>8</v>
          </cell>
          <cell r="K808">
            <v>37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112</v>
          </cell>
          <cell r="T808">
            <v>0</v>
          </cell>
        </row>
        <row r="809">
          <cell r="C809" t="str">
            <v>Startup CDP, Washington</v>
          </cell>
          <cell r="D809">
            <v>665</v>
          </cell>
          <cell r="E809">
            <v>665</v>
          </cell>
          <cell r="F809">
            <v>420</v>
          </cell>
          <cell r="G809">
            <v>239</v>
          </cell>
          <cell r="H809">
            <v>22</v>
          </cell>
          <cell r="I809">
            <v>46</v>
          </cell>
          <cell r="J809">
            <v>31</v>
          </cell>
          <cell r="K809">
            <v>140</v>
          </cell>
          <cell r="L809">
            <v>6</v>
          </cell>
          <cell r="M809">
            <v>0</v>
          </cell>
          <cell r="N809">
            <v>0</v>
          </cell>
          <cell r="O809">
            <v>6</v>
          </cell>
          <cell r="P809">
            <v>0</v>
          </cell>
          <cell r="Q809">
            <v>0</v>
          </cell>
          <cell r="R809">
            <v>0</v>
          </cell>
          <cell r="S809">
            <v>659</v>
          </cell>
          <cell r="T809">
            <v>6</v>
          </cell>
        </row>
        <row r="810">
          <cell r="C810" t="str">
            <v>Steilacoom town, Washington</v>
          </cell>
          <cell r="D810">
            <v>4620</v>
          </cell>
          <cell r="E810">
            <v>4365</v>
          </cell>
          <cell r="F810">
            <v>1557</v>
          </cell>
          <cell r="G810">
            <v>2664</v>
          </cell>
          <cell r="H810">
            <v>388</v>
          </cell>
          <cell r="I810">
            <v>852</v>
          </cell>
          <cell r="J810">
            <v>586</v>
          </cell>
          <cell r="K810">
            <v>838</v>
          </cell>
          <cell r="L810">
            <v>144</v>
          </cell>
          <cell r="M810">
            <v>0</v>
          </cell>
          <cell r="N810">
            <v>0</v>
          </cell>
          <cell r="O810">
            <v>144</v>
          </cell>
          <cell r="P810">
            <v>255</v>
          </cell>
          <cell r="Q810">
            <v>215</v>
          </cell>
          <cell r="R810">
            <v>40</v>
          </cell>
          <cell r="S810">
            <v>4221</v>
          </cell>
          <cell r="T810">
            <v>399</v>
          </cell>
        </row>
        <row r="811">
          <cell r="C811" t="str">
            <v>Stevenson city, Washington</v>
          </cell>
          <cell r="D811">
            <v>1104</v>
          </cell>
          <cell r="E811">
            <v>1086</v>
          </cell>
          <cell r="F811">
            <v>380</v>
          </cell>
          <cell r="G811">
            <v>701</v>
          </cell>
          <cell r="H811">
            <v>34</v>
          </cell>
          <cell r="I811">
            <v>138</v>
          </cell>
          <cell r="J811">
            <v>62</v>
          </cell>
          <cell r="K811">
            <v>467</v>
          </cell>
          <cell r="L811">
            <v>5</v>
          </cell>
          <cell r="M811">
            <v>0</v>
          </cell>
          <cell r="N811">
            <v>0</v>
          </cell>
          <cell r="O811">
            <v>5</v>
          </cell>
          <cell r="P811">
            <v>18</v>
          </cell>
          <cell r="Q811">
            <v>13</v>
          </cell>
          <cell r="R811">
            <v>5</v>
          </cell>
          <cell r="S811">
            <v>1081</v>
          </cell>
          <cell r="T811">
            <v>23</v>
          </cell>
        </row>
        <row r="812">
          <cell r="C812" t="str">
            <v>Stimson Crossing CDP, Washington</v>
          </cell>
          <cell r="D812">
            <v>743</v>
          </cell>
          <cell r="E812">
            <v>735</v>
          </cell>
          <cell r="F812">
            <v>406</v>
          </cell>
          <cell r="G812">
            <v>318</v>
          </cell>
          <cell r="H812">
            <v>56</v>
          </cell>
          <cell r="I812">
            <v>111</v>
          </cell>
          <cell r="J812">
            <v>35</v>
          </cell>
          <cell r="K812">
            <v>116</v>
          </cell>
          <cell r="L812">
            <v>11</v>
          </cell>
          <cell r="M812">
            <v>2</v>
          </cell>
          <cell r="N812">
            <v>0</v>
          </cell>
          <cell r="O812">
            <v>9</v>
          </cell>
          <cell r="P812">
            <v>8</v>
          </cell>
          <cell r="Q812">
            <v>8</v>
          </cell>
          <cell r="R812">
            <v>0</v>
          </cell>
          <cell r="S812">
            <v>724</v>
          </cell>
          <cell r="T812">
            <v>19</v>
          </cell>
        </row>
        <row r="813">
          <cell r="C813" t="str">
            <v>Sudden Valley CDP, Washington</v>
          </cell>
          <cell r="D813">
            <v>3836</v>
          </cell>
          <cell r="E813">
            <v>3525</v>
          </cell>
          <cell r="F813">
            <v>1327</v>
          </cell>
          <cell r="G813">
            <v>2153</v>
          </cell>
          <cell r="H813">
            <v>292</v>
          </cell>
          <cell r="I813">
            <v>660</v>
          </cell>
          <cell r="J813">
            <v>212</v>
          </cell>
          <cell r="K813">
            <v>989</v>
          </cell>
          <cell r="L813">
            <v>45</v>
          </cell>
          <cell r="M813">
            <v>9</v>
          </cell>
          <cell r="N813">
            <v>0</v>
          </cell>
          <cell r="O813">
            <v>36</v>
          </cell>
          <cell r="P813">
            <v>311</v>
          </cell>
          <cell r="Q813">
            <v>180</v>
          </cell>
          <cell r="R813">
            <v>131</v>
          </cell>
          <cell r="S813">
            <v>3480</v>
          </cell>
          <cell r="T813">
            <v>356</v>
          </cell>
        </row>
        <row r="814">
          <cell r="C814" t="str">
            <v>Sultan city, Washington</v>
          </cell>
          <cell r="D814">
            <v>3015</v>
          </cell>
          <cell r="E814">
            <v>2932</v>
          </cell>
          <cell r="F814">
            <v>1908</v>
          </cell>
          <cell r="G814">
            <v>978</v>
          </cell>
          <cell r="H814">
            <v>62</v>
          </cell>
          <cell r="I814">
            <v>275</v>
          </cell>
          <cell r="J814">
            <v>133</v>
          </cell>
          <cell r="K814">
            <v>508</v>
          </cell>
          <cell r="L814">
            <v>46</v>
          </cell>
          <cell r="M814">
            <v>0</v>
          </cell>
          <cell r="N814">
            <v>4</v>
          </cell>
          <cell r="O814">
            <v>42</v>
          </cell>
          <cell r="P814">
            <v>83</v>
          </cell>
          <cell r="Q814">
            <v>15</v>
          </cell>
          <cell r="R814">
            <v>68</v>
          </cell>
          <cell r="S814">
            <v>2886</v>
          </cell>
          <cell r="T814">
            <v>129</v>
          </cell>
        </row>
        <row r="815">
          <cell r="C815" t="str">
            <v>Sumas city, Washington</v>
          </cell>
          <cell r="D815">
            <v>808</v>
          </cell>
          <cell r="E815">
            <v>740</v>
          </cell>
          <cell r="F815">
            <v>420</v>
          </cell>
          <cell r="G815">
            <v>295</v>
          </cell>
          <cell r="H815">
            <v>23</v>
          </cell>
          <cell r="I815">
            <v>83</v>
          </cell>
          <cell r="J815">
            <v>46</v>
          </cell>
          <cell r="K815">
            <v>143</v>
          </cell>
          <cell r="L815">
            <v>25</v>
          </cell>
          <cell r="M815">
            <v>0</v>
          </cell>
          <cell r="N815">
            <v>0</v>
          </cell>
          <cell r="O815">
            <v>25</v>
          </cell>
          <cell r="P815">
            <v>68</v>
          </cell>
          <cell r="Q815">
            <v>24</v>
          </cell>
          <cell r="R815">
            <v>44</v>
          </cell>
          <cell r="S815">
            <v>715</v>
          </cell>
          <cell r="T815">
            <v>93</v>
          </cell>
        </row>
        <row r="816">
          <cell r="C816" t="str">
            <v>Summit CDP, Washington</v>
          </cell>
          <cell r="D816">
            <v>6959</v>
          </cell>
          <cell r="E816">
            <v>6818</v>
          </cell>
          <cell r="F816">
            <v>4180</v>
          </cell>
          <cell r="G816">
            <v>2605</v>
          </cell>
          <cell r="H816">
            <v>219</v>
          </cell>
          <cell r="I816">
            <v>866</v>
          </cell>
          <cell r="J816">
            <v>374</v>
          </cell>
          <cell r="K816">
            <v>1146</v>
          </cell>
          <cell r="L816">
            <v>33</v>
          </cell>
          <cell r="M816">
            <v>0</v>
          </cell>
          <cell r="N816">
            <v>0</v>
          </cell>
          <cell r="O816">
            <v>33</v>
          </cell>
          <cell r="P816">
            <v>141</v>
          </cell>
          <cell r="Q816">
            <v>98</v>
          </cell>
          <cell r="R816">
            <v>43</v>
          </cell>
          <cell r="S816">
            <v>6785</v>
          </cell>
          <cell r="T816">
            <v>174</v>
          </cell>
        </row>
        <row r="817">
          <cell r="C817" t="str">
            <v>Summitview CDP, Washington</v>
          </cell>
          <cell r="D817">
            <v>735</v>
          </cell>
          <cell r="E817">
            <v>735</v>
          </cell>
          <cell r="F817">
            <v>487</v>
          </cell>
          <cell r="G817">
            <v>248</v>
          </cell>
          <cell r="H817">
            <v>17</v>
          </cell>
          <cell r="I817">
            <v>72</v>
          </cell>
          <cell r="J817">
            <v>56</v>
          </cell>
          <cell r="K817">
            <v>103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735</v>
          </cell>
          <cell r="T817">
            <v>0</v>
          </cell>
        </row>
        <row r="818">
          <cell r="C818" t="str">
            <v>Sumner city, Washington</v>
          </cell>
          <cell r="D818">
            <v>7481</v>
          </cell>
          <cell r="E818">
            <v>7300</v>
          </cell>
          <cell r="F818">
            <v>4323</v>
          </cell>
          <cell r="G818">
            <v>2889</v>
          </cell>
          <cell r="H818">
            <v>150</v>
          </cell>
          <cell r="I818">
            <v>1025</v>
          </cell>
          <cell r="J818">
            <v>541</v>
          </cell>
          <cell r="K818">
            <v>1173</v>
          </cell>
          <cell r="L818">
            <v>88</v>
          </cell>
          <cell r="M818">
            <v>7</v>
          </cell>
          <cell r="N818">
            <v>0</v>
          </cell>
          <cell r="O818">
            <v>81</v>
          </cell>
          <cell r="P818">
            <v>181</v>
          </cell>
          <cell r="Q818">
            <v>106</v>
          </cell>
          <cell r="R818">
            <v>75</v>
          </cell>
          <cell r="S818">
            <v>7212</v>
          </cell>
          <cell r="T818">
            <v>269</v>
          </cell>
        </row>
        <row r="819">
          <cell r="C819" t="str">
            <v>Sunnyside city, Washington</v>
          </cell>
          <cell r="D819">
            <v>3595</v>
          </cell>
          <cell r="E819">
            <v>3428</v>
          </cell>
          <cell r="F819">
            <v>1924</v>
          </cell>
          <cell r="G819">
            <v>1492</v>
          </cell>
          <cell r="H819">
            <v>93</v>
          </cell>
          <cell r="I819">
            <v>356</v>
          </cell>
          <cell r="J819">
            <v>282</v>
          </cell>
          <cell r="K819">
            <v>761</v>
          </cell>
          <cell r="L819">
            <v>12</v>
          </cell>
          <cell r="M819">
            <v>0</v>
          </cell>
          <cell r="N819">
            <v>0</v>
          </cell>
          <cell r="O819">
            <v>12</v>
          </cell>
          <cell r="P819">
            <v>167</v>
          </cell>
          <cell r="Q819">
            <v>81</v>
          </cell>
          <cell r="R819">
            <v>86</v>
          </cell>
          <cell r="S819">
            <v>3416</v>
          </cell>
          <cell r="T819">
            <v>179</v>
          </cell>
        </row>
        <row r="820">
          <cell r="C820" t="str">
            <v>Sunnyslope CDP, Washington</v>
          </cell>
          <cell r="D820">
            <v>2143</v>
          </cell>
          <cell r="E820">
            <v>2091</v>
          </cell>
          <cell r="F820">
            <v>1190</v>
          </cell>
          <cell r="G820">
            <v>894</v>
          </cell>
          <cell r="H820">
            <v>72</v>
          </cell>
          <cell r="I820">
            <v>287</v>
          </cell>
          <cell r="J820">
            <v>114</v>
          </cell>
          <cell r="K820">
            <v>421</v>
          </cell>
          <cell r="L820">
            <v>7</v>
          </cell>
          <cell r="M820">
            <v>0</v>
          </cell>
          <cell r="N820">
            <v>0</v>
          </cell>
          <cell r="O820">
            <v>7</v>
          </cell>
          <cell r="P820">
            <v>52</v>
          </cell>
          <cell r="Q820">
            <v>43</v>
          </cell>
          <cell r="R820">
            <v>9</v>
          </cell>
          <cell r="S820">
            <v>2084</v>
          </cell>
          <cell r="T820">
            <v>59</v>
          </cell>
        </row>
        <row r="821">
          <cell r="C821" t="str">
            <v>Suquamish CDP, Washington</v>
          </cell>
          <cell r="D821">
            <v>2804</v>
          </cell>
          <cell r="E821">
            <v>2716</v>
          </cell>
          <cell r="F821">
            <v>1259</v>
          </cell>
          <cell r="G821">
            <v>1434</v>
          </cell>
          <cell r="H821">
            <v>185</v>
          </cell>
          <cell r="I821">
            <v>422</v>
          </cell>
          <cell r="J821">
            <v>181</v>
          </cell>
          <cell r="K821">
            <v>646</v>
          </cell>
          <cell r="L821">
            <v>23</v>
          </cell>
          <cell r="M821">
            <v>0</v>
          </cell>
          <cell r="N821">
            <v>1</v>
          </cell>
          <cell r="O821">
            <v>22</v>
          </cell>
          <cell r="P821">
            <v>88</v>
          </cell>
          <cell r="Q821">
            <v>42</v>
          </cell>
          <cell r="R821">
            <v>46</v>
          </cell>
          <cell r="S821">
            <v>2693</v>
          </cell>
          <cell r="T821">
            <v>111</v>
          </cell>
        </row>
        <row r="822">
          <cell r="C822" t="str">
            <v>Tacoma city, Washington</v>
          </cell>
          <cell r="D822">
            <v>128518</v>
          </cell>
          <cell r="E822">
            <v>121567</v>
          </cell>
          <cell r="F822">
            <v>68655</v>
          </cell>
          <cell r="G822">
            <v>51007</v>
          </cell>
          <cell r="H822">
            <v>5319</v>
          </cell>
          <cell r="I822">
            <v>16521</v>
          </cell>
          <cell r="J822">
            <v>7906</v>
          </cell>
          <cell r="K822">
            <v>21261</v>
          </cell>
          <cell r="L822">
            <v>1905</v>
          </cell>
          <cell r="M822">
            <v>3</v>
          </cell>
          <cell r="N822">
            <v>58</v>
          </cell>
          <cell r="O822">
            <v>1844</v>
          </cell>
          <cell r="P822">
            <v>6951</v>
          </cell>
          <cell r="Q822">
            <v>3122</v>
          </cell>
          <cell r="R822">
            <v>3829</v>
          </cell>
          <cell r="S822">
            <v>119662</v>
          </cell>
          <cell r="T822">
            <v>8856</v>
          </cell>
        </row>
        <row r="823">
          <cell r="C823" t="str">
            <v>Taholah CDP, Washington</v>
          </cell>
          <cell r="D823">
            <v>34</v>
          </cell>
          <cell r="E823">
            <v>34</v>
          </cell>
          <cell r="F823">
            <v>22</v>
          </cell>
          <cell r="G823">
            <v>12</v>
          </cell>
          <cell r="H823">
            <v>1</v>
          </cell>
          <cell r="I823">
            <v>8</v>
          </cell>
          <cell r="J823">
            <v>2</v>
          </cell>
          <cell r="K823">
            <v>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34</v>
          </cell>
          <cell r="T823">
            <v>0</v>
          </cell>
        </row>
        <row r="824">
          <cell r="C824" t="str">
            <v>Tanglewilde-Thompson Place CDP, Washington</v>
          </cell>
          <cell r="D824">
            <v>3892</v>
          </cell>
          <cell r="E824">
            <v>3784</v>
          </cell>
          <cell r="F824">
            <v>1872</v>
          </cell>
          <cell r="G824">
            <v>1803</v>
          </cell>
          <cell r="H824">
            <v>162</v>
          </cell>
          <cell r="I824">
            <v>435</v>
          </cell>
          <cell r="J824">
            <v>218</v>
          </cell>
          <cell r="K824">
            <v>988</v>
          </cell>
          <cell r="L824">
            <v>109</v>
          </cell>
          <cell r="M824">
            <v>0</v>
          </cell>
          <cell r="N824">
            <v>0</v>
          </cell>
          <cell r="O824">
            <v>109</v>
          </cell>
          <cell r="P824">
            <v>108</v>
          </cell>
          <cell r="Q824">
            <v>68</v>
          </cell>
          <cell r="R824">
            <v>40</v>
          </cell>
          <cell r="S824">
            <v>3675</v>
          </cell>
          <cell r="T824">
            <v>217</v>
          </cell>
        </row>
        <row r="825">
          <cell r="C825" t="str">
            <v>Tanner CDP, Washington</v>
          </cell>
          <cell r="D825">
            <v>2755</v>
          </cell>
          <cell r="E825">
            <v>2647</v>
          </cell>
          <cell r="F825">
            <v>1307</v>
          </cell>
          <cell r="G825">
            <v>1304</v>
          </cell>
          <cell r="H825">
            <v>159</v>
          </cell>
          <cell r="I825">
            <v>533</v>
          </cell>
          <cell r="J825">
            <v>98</v>
          </cell>
          <cell r="K825">
            <v>514</v>
          </cell>
          <cell r="L825">
            <v>36</v>
          </cell>
          <cell r="M825">
            <v>0</v>
          </cell>
          <cell r="N825">
            <v>0</v>
          </cell>
          <cell r="O825">
            <v>36</v>
          </cell>
          <cell r="P825">
            <v>108</v>
          </cell>
          <cell r="Q825">
            <v>46</v>
          </cell>
          <cell r="R825">
            <v>62</v>
          </cell>
          <cell r="S825">
            <v>2611</v>
          </cell>
          <cell r="T825">
            <v>144</v>
          </cell>
        </row>
        <row r="826">
          <cell r="C826" t="str">
            <v>Tekoa city, Washington</v>
          </cell>
          <cell r="D826">
            <v>778</v>
          </cell>
          <cell r="E826">
            <v>772</v>
          </cell>
          <cell r="F826">
            <v>465</v>
          </cell>
          <cell r="G826">
            <v>307</v>
          </cell>
          <cell r="H826">
            <v>7</v>
          </cell>
          <cell r="I826">
            <v>74</v>
          </cell>
          <cell r="J826">
            <v>25</v>
          </cell>
          <cell r="K826">
            <v>201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6</v>
          </cell>
          <cell r="Q826">
            <v>2</v>
          </cell>
          <cell r="R826">
            <v>4</v>
          </cell>
          <cell r="S826">
            <v>772</v>
          </cell>
          <cell r="T826">
            <v>6</v>
          </cell>
        </row>
        <row r="827">
          <cell r="C827" t="str">
            <v>Tenino city, Washington</v>
          </cell>
          <cell r="D827">
            <v>1268</v>
          </cell>
          <cell r="E827">
            <v>1256</v>
          </cell>
          <cell r="F827">
            <v>796</v>
          </cell>
          <cell r="G827">
            <v>449</v>
          </cell>
          <cell r="H827">
            <v>46</v>
          </cell>
          <cell r="I827">
            <v>139</v>
          </cell>
          <cell r="J827">
            <v>48</v>
          </cell>
          <cell r="K827">
            <v>216</v>
          </cell>
          <cell r="L827">
            <v>11</v>
          </cell>
          <cell r="M827">
            <v>0</v>
          </cell>
          <cell r="N827">
            <v>0</v>
          </cell>
          <cell r="O827">
            <v>11</v>
          </cell>
          <cell r="P827">
            <v>12</v>
          </cell>
          <cell r="Q827">
            <v>7</v>
          </cell>
          <cell r="R827">
            <v>5</v>
          </cell>
          <cell r="S827">
            <v>1245</v>
          </cell>
          <cell r="T827">
            <v>23</v>
          </cell>
        </row>
        <row r="828">
          <cell r="C828" t="str">
            <v>Terrace Heights CDP, Washington</v>
          </cell>
          <cell r="D828">
            <v>5578</v>
          </cell>
          <cell r="E828">
            <v>5463</v>
          </cell>
          <cell r="F828">
            <v>3576</v>
          </cell>
          <cell r="G828">
            <v>1847</v>
          </cell>
          <cell r="H828">
            <v>150</v>
          </cell>
          <cell r="I828">
            <v>665</v>
          </cell>
          <cell r="J828">
            <v>303</v>
          </cell>
          <cell r="K828">
            <v>729</v>
          </cell>
          <cell r="L828">
            <v>40</v>
          </cell>
          <cell r="M828">
            <v>0</v>
          </cell>
          <cell r="N828">
            <v>0</v>
          </cell>
          <cell r="O828">
            <v>40</v>
          </cell>
          <cell r="P828">
            <v>115</v>
          </cell>
          <cell r="Q828">
            <v>59</v>
          </cell>
          <cell r="R828">
            <v>56</v>
          </cell>
          <cell r="S828">
            <v>5423</v>
          </cell>
          <cell r="T828">
            <v>155</v>
          </cell>
        </row>
        <row r="829">
          <cell r="C829" t="str">
            <v>Thorp CDP, Washington</v>
          </cell>
          <cell r="D829">
            <v>272</v>
          </cell>
          <cell r="E829">
            <v>272</v>
          </cell>
          <cell r="F829">
            <v>173</v>
          </cell>
          <cell r="G829">
            <v>99</v>
          </cell>
          <cell r="H829">
            <v>1</v>
          </cell>
          <cell r="I829">
            <v>10</v>
          </cell>
          <cell r="J829">
            <v>6</v>
          </cell>
          <cell r="K829">
            <v>82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272</v>
          </cell>
          <cell r="T829">
            <v>0</v>
          </cell>
        </row>
        <row r="830">
          <cell r="C830" t="str">
            <v>Three Lakes CDP, Washington</v>
          </cell>
          <cell r="D830">
            <v>2417</v>
          </cell>
          <cell r="E830">
            <v>2346</v>
          </cell>
          <cell r="F830">
            <v>1403</v>
          </cell>
          <cell r="G830">
            <v>921</v>
          </cell>
          <cell r="H830">
            <v>136</v>
          </cell>
          <cell r="I830">
            <v>276</v>
          </cell>
          <cell r="J830">
            <v>128</v>
          </cell>
          <cell r="K830">
            <v>381</v>
          </cell>
          <cell r="L830">
            <v>22</v>
          </cell>
          <cell r="M830">
            <v>0</v>
          </cell>
          <cell r="N830">
            <v>0</v>
          </cell>
          <cell r="O830">
            <v>22</v>
          </cell>
          <cell r="P830">
            <v>71</v>
          </cell>
          <cell r="Q830">
            <v>28</v>
          </cell>
          <cell r="R830">
            <v>43</v>
          </cell>
          <cell r="S830">
            <v>2324</v>
          </cell>
          <cell r="T830">
            <v>93</v>
          </cell>
        </row>
        <row r="831">
          <cell r="C831" t="str">
            <v>Tieton town, Washington</v>
          </cell>
          <cell r="D831">
            <v>529</v>
          </cell>
          <cell r="E831">
            <v>524</v>
          </cell>
          <cell r="F831">
            <v>354</v>
          </cell>
          <cell r="G831">
            <v>167</v>
          </cell>
          <cell r="H831">
            <v>4</v>
          </cell>
          <cell r="I831">
            <v>35</v>
          </cell>
          <cell r="J831">
            <v>68</v>
          </cell>
          <cell r="K831">
            <v>60</v>
          </cell>
          <cell r="L831">
            <v>3</v>
          </cell>
          <cell r="M831">
            <v>0</v>
          </cell>
          <cell r="N831">
            <v>0</v>
          </cell>
          <cell r="O831">
            <v>3</v>
          </cell>
          <cell r="P831">
            <v>5</v>
          </cell>
          <cell r="Q831">
            <v>2</v>
          </cell>
          <cell r="R831">
            <v>3</v>
          </cell>
          <cell r="S831">
            <v>521</v>
          </cell>
          <cell r="T831">
            <v>8</v>
          </cell>
        </row>
        <row r="832">
          <cell r="C832" t="str">
            <v>Tokeland CDP, Washington</v>
          </cell>
          <cell r="D832">
            <v>254</v>
          </cell>
          <cell r="E832">
            <v>248</v>
          </cell>
          <cell r="F832">
            <v>160</v>
          </cell>
          <cell r="G832">
            <v>88</v>
          </cell>
          <cell r="H832">
            <v>9</v>
          </cell>
          <cell r="I832">
            <v>18</v>
          </cell>
          <cell r="J832">
            <v>15</v>
          </cell>
          <cell r="K832">
            <v>46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6</v>
          </cell>
          <cell r="Q832">
            <v>6</v>
          </cell>
          <cell r="R832">
            <v>0</v>
          </cell>
          <cell r="S832">
            <v>248</v>
          </cell>
          <cell r="T832">
            <v>6</v>
          </cell>
        </row>
        <row r="833">
          <cell r="C833" t="str">
            <v>Toledo city, Washington</v>
          </cell>
          <cell r="D833">
            <v>561</v>
          </cell>
          <cell r="E833">
            <v>554</v>
          </cell>
          <cell r="F833">
            <v>336</v>
          </cell>
          <cell r="G833">
            <v>215</v>
          </cell>
          <cell r="H833">
            <v>12</v>
          </cell>
          <cell r="I833">
            <v>60</v>
          </cell>
          <cell r="J833">
            <v>29</v>
          </cell>
          <cell r="K833">
            <v>114</v>
          </cell>
          <cell r="L833">
            <v>3</v>
          </cell>
          <cell r="M833">
            <v>0</v>
          </cell>
          <cell r="N833">
            <v>0</v>
          </cell>
          <cell r="O833">
            <v>3</v>
          </cell>
          <cell r="P833">
            <v>7</v>
          </cell>
          <cell r="Q833">
            <v>5</v>
          </cell>
          <cell r="R833">
            <v>2</v>
          </cell>
          <cell r="S833">
            <v>551</v>
          </cell>
          <cell r="T833">
            <v>10</v>
          </cell>
        </row>
        <row r="834">
          <cell r="C834" t="str">
            <v>Tonasket city, Washington</v>
          </cell>
          <cell r="D834">
            <v>887</v>
          </cell>
          <cell r="E834">
            <v>882</v>
          </cell>
          <cell r="F834">
            <v>529</v>
          </cell>
          <cell r="G834">
            <v>337</v>
          </cell>
          <cell r="H834">
            <v>26</v>
          </cell>
          <cell r="I834">
            <v>90</v>
          </cell>
          <cell r="J834">
            <v>74</v>
          </cell>
          <cell r="K834">
            <v>147</v>
          </cell>
          <cell r="L834">
            <v>16</v>
          </cell>
          <cell r="M834">
            <v>0</v>
          </cell>
          <cell r="N834">
            <v>0</v>
          </cell>
          <cell r="O834">
            <v>16</v>
          </cell>
          <cell r="P834">
            <v>5</v>
          </cell>
          <cell r="Q834">
            <v>5</v>
          </cell>
          <cell r="R834">
            <v>0</v>
          </cell>
          <cell r="S834">
            <v>866</v>
          </cell>
          <cell r="T834">
            <v>21</v>
          </cell>
        </row>
        <row r="835">
          <cell r="C835" t="str">
            <v>Toppenish city, Washington</v>
          </cell>
          <cell r="D835">
            <v>1382</v>
          </cell>
          <cell r="E835">
            <v>1348</v>
          </cell>
          <cell r="F835">
            <v>883</v>
          </cell>
          <cell r="G835">
            <v>465</v>
          </cell>
          <cell r="H835">
            <v>77</v>
          </cell>
          <cell r="I835">
            <v>156</v>
          </cell>
          <cell r="J835">
            <v>62</v>
          </cell>
          <cell r="K835">
            <v>170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34</v>
          </cell>
          <cell r="Q835">
            <v>16</v>
          </cell>
          <cell r="R835">
            <v>18</v>
          </cell>
          <cell r="S835">
            <v>1348</v>
          </cell>
          <cell r="T835">
            <v>34</v>
          </cell>
        </row>
        <row r="836">
          <cell r="C836" t="str">
            <v>Touchet CDP, Washington</v>
          </cell>
          <cell r="D836">
            <v>299</v>
          </cell>
          <cell r="E836">
            <v>299</v>
          </cell>
          <cell r="F836">
            <v>187</v>
          </cell>
          <cell r="G836">
            <v>109</v>
          </cell>
          <cell r="H836">
            <v>5</v>
          </cell>
          <cell r="I836">
            <v>13</v>
          </cell>
          <cell r="J836">
            <v>15</v>
          </cell>
          <cell r="K836">
            <v>76</v>
          </cell>
          <cell r="L836">
            <v>3</v>
          </cell>
          <cell r="M836">
            <v>2</v>
          </cell>
          <cell r="N836">
            <v>0</v>
          </cell>
          <cell r="O836">
            <v>1</v>
          </cell>
          <cell r="P836">
            <v>0</v>
          </cell>
          <cell r="Q836">
            <v>0</v>
          </cell>
          <cell r="R836">
            <v>0</v>
          </cell>
          <cell r="S836">
            <v>296</v>
          </cell>
          <cell r="T836">
            <v>3</v>
          </cell>
        </row>
        <row r="837">
          <cell r="C837" t="str">
            <v>Town and Country CDP, Washington</v>
          </cell>
          <cell r="D837">
            <v>4087</v>
          </cell>
          <cell r="E837">
            <v>3991</v>
          </cell>
          <cell r="F837">
            <v>2396</v>
          </cell>
          <cell r="G837">
            <v>1550</v>
          </cell>
          <cell r="H837">
            <v>107</v>
          </cell>
          <cell r="I837">
            <v>430</v>
          </cell>
          <cell r="J837">
            <v>147</v>
          </cell>
          <cell r="K837">
            <v>866</v>
          </cell>
          <cell r="L837">
            <v>45</v>
          </cell>
          <cell r="M837">
            <v>4</v>
          </cell>
          <cell r="N837">
            <v>0</v>
          </cell>
          <cell r="O837">
            <v>41</v>
          </cell>
          <cell r="P837">
            <v>96</v>
          </cell>
          <cell r="Q837">
            <v>63</v>
          </cell>
          <cell r="R837">
            <v>33</v>
          </cell>
          <cell r="S837">
            <v>3946</v>
          </cell>
          <cell r="T837">
            <v>141</v>
          </cell>
        </row>
        <row r="838">
          <cell r="C838" t="str">
            <v>Tracyton CDP, Washington</v>
          </cell>
          <cell r="D838">
            <v>2604</v>
          </cell>
          <cell r="E838">
            <v>2557</v>
          </cell>
          <cell r="F838">
            <v>1174</v>
          </cell>
          <cell r="G838">
            <v>1343</v>
          </cell>
          <cell r="H838">
            <v>174</v>
          </cell>
          <cell r="I838">
            <v>453</v>
          </cell>
          <cell r="J838">
            <v>250</v>
          </cell>
          <cell r="K838">
            <v>466</v>
          </cell>
          <cell r="L838">
            <v>40</v>
          </cell>
          <cell r="M838">
            <v>0</v>
          </cell>
          <cell r="N838">
            <v>0</v>
          </cell>
          <cell r="O838">
            <v>40</v>
          </cell>
          <cell r="P838">
            <v>47</v>
          </cell>
          <cell r="Q838">
            <v>42</v>
          </cell>
          <cell r="R838">
            <v>5</v>
          </cell>
          <cell r="S838">
            <v>2517</v>
          </cell>
          <cell r="T838">
            <v>87</v>
          </cell>
        </row>
        <row r="839">
          <cell r="C839" t="str">
            <v>Trentwood CDP, Washington</v>
          </cell>
          <cell r="D839">
            <v>3966</v>
          </cell>
          <cell r="E839">
            <v>3909</v>
          </cell>
          <cell r="F839">
            <v>2051</v>
          </cell>
          <cell r="G839">
            <v>1834</v>
          </cell>
          <cell r="H839">
            <v>90</v>
          </cell>
          <cell r="I839">
            <v>389</v>
          </cell>
          <cell r="J839">
            <v>228</v>
          </cell>
          <cell r="K839">
            <v>1127</v>
          </cell>
          <cell r="L839">
            <v>24</v>
          </cell>
          <cell r="M839">
            <v>0</v>
          </cell>
          <cell r="N839">
            <v>6</v>
          </cell>
          <cell r="O839">
            <v>18</v>
          </cell>
          <cell r="P839">
            <v>57</v>
          </cell>
          <cell r="Q839">
            <v>44</v>
          </cell>
          <cell r="R839">
            <v>13</v>
          </cell>
          <cell r="S839">
            <v>3885</v>
          </cell>
          <cell r="T839">
            <v>81</v>
          </cell>
        </row>
        <row r="840">
          <cell r="C840" t="str">
            <v>Trout Lake CDP, Washington</v>
          </cell>
          <cell r="D840">
            <v>383</v>
          </cell>
          <cell r="E840">
            <v>377</v>
          </cell>
          <cell r="F840">
            <v>171</v>
          </cell>
          <cell r="G840">
            <v>205</v>
          </cell>
          <cell r="H840">
            <v>15</v>
          </cell>
          <cell r="I840">
            <v>60</v>
          </cell>
          <cell r="J840">
            <v>12</v>
          </cell>
          <cell r="K840">
            <v>118</v>
          </cell>
          <cell r="L840">
            <v>1</v>
          </cell>
          <cell r="M840">
            <v>0</v>
          </cell>
          <cell r="N840">
            <v>0</v>
          </cell>
          <cell r="O840">
            <v>1</v>
          </cell>
          <cell r="P840">
            <v>6</v>
          </cell>
          <cell r="Q840">
            <v>2</v>
          </cell>
          <cell r="R840">
            <v>4</v>
          </cell>
          <cell r="S840">
            <v>376</v>
          </cell>
          <cell r="T840">
            <v>7</v>
          </cell>
        </row>
        <row r="841">
          <cell r="C841" t="str">
            <v>Tukwila city, Washington</v>
          </cell>
          <cell r="D841">
            <v>9212</v>
          </cell>
          <cell r="E841">
            <v>8107</v>
          </cell>
          <cell r="F841">
            <v>4483</v>
          </cell>
          <cell r="G841">
            <v>3544</v>
          </cell>
          <cell r="H841">
            <v>196</v>
          </cell>
          <cell r="I841">
            <v>1190</v>
          </cell>
          <cell r="J841">
            <v>526</v>
          </cell>
          <cell r="K841">
            <v>1632</v>
          </cell>
          <cell r="L841">
            <v>80</v>
          </cell>
          <cell r="M841">
            <v>6</v>
          </cell>
          <cell r="N841">
            <v>0</v>
          </cell>
          <cell r="O841">
            <v>74</v>
          </cell>
          <cell r="P841">
            <v>1105</v>
          </cell>
          <cell r="Q841">
            <v>322</v>
          </cell>
          <cell r="R841">
            <v>783</v>
          </cell>
          <cell r="S841">
            <v>8027</v>
          </cell>
          <cell r="T841">
            <v>1185</v>
          </cell>
        </row>
        <row r="842">
          <cell r="C842" t="str">
            <v>Tulalip Bay CDP, Washington</v>
          </cell>
          <cell r="D842">
            <v>854</v>
          </cell>
          <cell r="E842">
            <v>836</v>
          </cell>
          <cell r="F842">
            <v>530</v>
          </cell>
          <cell r="G842">
            <v>306</v>
          </cell>
          <cell r="H842">
            <v>41</v>
          </cell>
          <cell r="I842">
            <v>99</v>
          </cell>
          <cell r="J842">
            <v>39</v>
          </cell>
          <cell r="K842">
            <v>127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18</v>
          </cell>
          <cell r="Q842">
            <v>8</v>
          </cell>
          <cell r="R842">
            <v>10</v>
          </cell>
          <cell r="S842">
            <v>836</v>
          </cell>
          <cell r="T842">
            <v>18</v>
          </cell>
        </row>
        <row r="843">
          <cell r="C843" t="str">
            <v>Tumwater city, Washington</v>
          </cell>
          <cell r="D843">
            <v>10968</v>
          </cell>
          <cell r="E843">
            <v>10640</v>
          </cell>
          <cell r="F843">
            <v>5419</v>
          </cell>
          <cell r="G843">
            <v>5096</v>
          </cell>
          <cell r="H843">
            <v>546</v>
          </cell>
          <cell r="I843">
            <v>1501</v>
          </cell>
          <cell r="J843">
            <v>779</v>
          </cell>
          <cell r="K843">
            <v>2270</v>
          </cell>
          <cell r="L843">
            <v>125</v>
          </cell>
          <cell r="M843">
            <v>0</v>
          </cell>
          <cell r="N843">
            <v>0</v>
          </cell>
          <cell r="O843">
            <v>125</v>
          </cell>
          <cell r="P843">
            <v>328</v>
          </cell>
          <cell r="Q843">
            <v>168</v>
          </cell>
          <cell r="R843">
            <v>160</v>
          </cell>
          <cell r="S843">
            <v>10515</v>
          </cell>
          <cell r="T843">
            <v>453</v>
          </cell>
        </row>
        <row r="844">
          <cell r="C844" t="str">
            <v>Twisp town, Washington</v>
          </cell>
          <cell r="D844">
            <v>869</v>
          </cell>
          <cell r="E844">
            <v>857</v>
          </cell>
          <cell r="F844">
            <v>471</v>
          </cell>
          <cell r="G844">
            <v>371</v>
          </cell>
          <cell r="H844">
            <v>22</v>
          </cell>
          <cell r="I844">
            <v>110</v>
          </cell>
          <cell r="J844">
            <v>31</v>
          </cell>
          <cell r="K844">
            <v>208</v>
          </cell>
          <cell r="L844">
            <v>15</v>
          </cell>
          <cell r="M844">
            <v>0</v>
          </cell>
          <cell r="N844">
            <v>0</v>
          </cell>
          <cell r="O844">
            <v>15</v>
          </cell>
          <cell r="P844">
            <v>12</v>
          </cell>
          <cell r="Q844">
            <v>10</v>
          </cell>
          <cell r="R844">
            <v>2</v>
          </cell>
          <cell r="S844">
            <v>842</v>
          </cell>
          <cell r="T844">
            <v>27</v>
          </cell>
        </row>
        <row r="845">
          <cell r="C845" t="str">
            <v>Union Gap city, Washington</v>
          </cell>
          <cell r="D845">
            <v>3550</v>
          </cell>
          <cell r="E845">
            <v>3513</v>
          </cell>
          <cell r="F845">
            <v>2099</v>
          </cell>
          <cell r="G845">
            <v>1410</v>
          </cell>
          <cell r="H845">
            <v>22</v>
          </cell>
          <cell r="I845">
            <v>507</v>
          </cell>
          <cell r="J845">
            <v>358</v>
          </cell>
          <cell r="K845">
            <v>523</v>
          </cell>
          <cell r="L845">
            <v>4</v>
          </cell>
          <cell r="M845">
            <v>0</v>
          </cell>
          <cell r="N845">
            <v>0</v>
          </cell>
          <cell r="O845">
            <v>4</v>
          </cell>
          <cell r="P845">
            <v>37</v>
          </cell>
          <cell r="Q845">
            <v>25</v>
          </cell>
          <cell r="R845">
            <v>12</v>
          </cell>
          <cell r="S845">
            <v>3509</v>
          </cell>
          <cell r="T845">
            <v>41</v>
          </cell>
        </row>
        <row r="846">
          <cell r="C846" t="str">
            <v>Union Hill-Novelty Hill CDP, Washington</v>
          </cell>
          <cell r="D846">
            <v>9915</v>
          </cell>
          <cell r="E846">
            <v>9269</v>
          </cell>
          <cell r="F846">
            <v>4620</v>
          </cell>
          <cell r="G846">
            <v>4545</v>
          </cell>
          <cell r="H846">
            <v>460</v>
          </cell>
          <cell r="I846">
            <v>1181</v>
          </cell>
          <cell r="J846">
            <v>559</v>
          </cell>
          <cell r="K846">
            <v>2345</v>
          </cell>
          <cell r="L846">
            <v>104</v>
          </cell>
          <cell r="M846">
            <v>0</v>
          </cell>
          <cell r="N846">
            <v>0</v>
          </cell>
          <cell r="O846">
            <v>104</v>
          </cell>
          <cell r="P846">
            <v>646</v>
          </cell>
          <cell r="Q846">
            <v>225</v>
          </cell>
          <cell r="R846">
            <v>421</v>
          </cell>
          <cell r="S846">
            <v>9165</v>
          </cell>
          <cell r="T846">
            <v>750</v>
          </cell>
        </row>
        <row r="847">
          <cell r="C847" t="str">
            <v>Uniontown town, Washington</v>
          </cell>
          <cell r="D847">
            <v>349</v>
          </cell>
          <cell r="E847">
            <v>349</v>
          </cell>
          <cell r="F847">
            <v>156</v>
          </cell>
          <cell r="G847">
            <v>189</v>
          </cell>
          <cell r="H847">
            <v>11</v>
          </cell>
          <cell r="I847">
            <v>20</v>
          </cell>
          <cell r="J847">
            <v>21</v>
          </cell>
          <cell r="K847">
            <v>137</v>
          </cell>
          <cell r="L847">
            <v>4</v>
          </cell>
          <cell r="M847">
            <v>0</v>
          </cell>
          <cell r="N847">
            <v>0</v>
          </cell>
          <cell r="O847">
            <v>4</v>
          </cell>
          <cell r="P847">
            <v>0</v>
          </cell>
          <cell r="Q847">
            <v>0</v>
          </cell>
          <cell r="R847">
            <v>0</v>
          </cell>
          <cell r="S847">
            <v>345</v>
          </cell>
          <cell r="T847">
            <v>4</v>
          </cell>
        </row>
        <row r="848">
          <cell r="C848" t="str">
            <v>University Place city, Washington</v>
          </cell>
          <cell r="D848">
            <v>22404</v>
          </cell>
          <cell r="E848">
            <v>21586</v>
          </cell>
          <cell r="F848">
            <v>11801</v>
          </cell>
          <cell r="G848">
            <v>9416</v>
          </cell>
          <cell r="H848">
            <v>1048</v>
          </cell>
          <cell r="I848">
            <v>2771</v>
          </cell>
          <cell r="J848">
            <v>1572</v>
          </cell>
          <cell r="K848">
            <v>4025</v>
          </cell>
          <cell r="L848">
            <v>369</v>
          </cell>
          <cell r="M848">
            <v>0</v>
          </cell>
          <cell r="N848">
            <v>7</v>
          </cell>
          <cell r="O848">
            <v>362</v>
          </cell>
          <cell r="P848">
            <v>818</v>
          </cell>
          <cell r="Q848">
            <v>465</v>
          </cell>
          <cell r="R848">
            <v>353</v>
          </cell>
          <cell r="S848">
            <v>21217</v>
          </cell>
          <cell r="T848">
            <v>1187</v>
          </cell>
        </row>
        <row r="849">
          <cell r="C849" t="str">
            <v>Vader city, Washington</v>
          </cell>
          <cell r="D849">
            <v>540</v>
          </cell>
          <cell r="E849">
            <v>540</v>
          </cell>
          <cell r="F849">
            <v>268</v>
          </cell>
          <cell r="G849">
            <v>261</v>
          </cell>
          <cell r="H849">
            <v>5</v>
          </cell>
          <cell r="I849">
            <v>59</v>
          </cell>
          <cell r="J849">
            <v>26</v>
          </cell>
          <cell r="K849">
            <v>171</v>
          </cell>
          <cell r="L849">
            <v>11</v>
          </cell>
          <cell r="M849">
            <v>0</v>
          </cell>
          <cell r="N849">
            <v>0</v>
          </cell>
          <cell r="O849">
            <v>11</v>
          </cell>
          <cell r="P849">
            <v>0</v>
          </cell>
          <cell r="Q849">
            <v>0</v>
          </cell>
          <cell r="R849">
            <v>0</v>
          </cell>
          <cell r="S849">
            <v>529</v>
          </cell>
          <cell r="T849">
            <v>11</v>
          </cell>
        </row>
        <row r="850">
          <cell r="C850" t="str">
            <v>Vancouver city, Washington</v>
          </cell>
          <cell r="D850">
            <v>117042</v>
          </cell>
          <cell r="E850">
            <v>108533</v>
          </cell>
          <cell r="F850">
            <v>35809</v>
          </cell>
          <cell r="G850">
            <v>71717</v>
          </cell>
          <cell r="H850">
            <v>4063</v>
          </cell>
          <cell r="I850">
            <v>14417</v>
          </cell>
          <cell r="J850">
            <v>6964</v>
          </cell>
          <cell r="K850">
            <v>46273</v>
          </cell>
          <cell r="L850">
            <v>1007</v>
          </cell>
          <cell r="M850">
            <v>42</v>
          </cell>
          <cell r="N850">
            <v>51</v>
          </cell>
          <cell r="O850">
            <v>914</v>
          </cell>
          <cell r="P850">
            <v>8509</v>
          </cell>
          <cell r="Q850">
            <v>2040</v>
          </cell>
          <cell r="R850">
            <v>6469</v>
          </cell>
          <cell r="S850">
            <v>107526</v>
          </cell>
          <cell r="T850">
            <v>9516</v>
          </cell>
        </row>
        <row r="851">
          <cell r="C851" t="str">
            <v>Vantage CDP, Washington</v>
          </cell>
          <cell r="D851">
            <v>17</v>
          </cell>
          <cell r="E851">
            <v>17</v>
          </cell>
          <cell r="F851">
            <v>6</v>
          </cell>
          <cell r="G851">
            <v>11</v>
          </cell>
          <cell r="H851">
            <v>0</v>
          </cell>
          <cell r="I851">
            <v>4</v>
          </cell>
          <cell r="J851">
            <v>0</v>
          </cell>
          <cell r="K851">
            <v>7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17</v>
          </cell>
          <cell r="T851">
            <v>0</v>
          </cell>
        </row>
        <row r="852">
          <cell r="C852" t="str">
            <v>Vashon CDP, Washington</v>
          </cell>
          <cell r="D852">
            <v>9354</v>
          </cell>
          <cell r="E852">
            <v>9112</v>
          </cell>
          <cell r="F852">
            <v>4571</v>
          </cell>
          <cell r="G852">
            <v>4393</v>
          </cell>
          <cell r="H852">
            <v>723</v>
          </cell>
          <cell r="I852">
            <v>1375</v>
          </cell>
          <cell r="J852">
            <v>565</v>
          </cell>
          <cell r="K852">
            <v>1730</v>
          </cell>
          <cell r="L852">
            <v>148</v>
          </cell>
          <cell r="M852">
            <v>0</v>
          </cell>
          <cell r="N852">
            <v>0</v>
          </cell>
          <cell r="O852">
            <v>148</v>
          </cell>
          <cell r="P852">
            <v>242</v>
          </cell>
          <cell r="Q852">
            <v>124</v>
          </cell>
          <cell r="R852">
            <v>118</v>
          </cell>
          <cell r="S852">
            <v>8964</v>
          </cell>
          <cell r="T852">
            <v>390</v>
          </cell>
        </row>
        <row r="853">
          <cell r="C853" t="str">
            <v>Venersborg CDP, Washington</v>
          </cell>
          <cell r="D853">
            <v>3133</v>
          </cell>
          <cell r="E853">
            <v>3085</v>
          </cell>
          <cell r="F853">
            <v>1239</v>
          </cell>
          <cell r="G853">
            <v>1835</v>
          </cell>
          <cell r="H853">
            <v>116</v>
          </cell>
          <cell r="I853">
            <v>384</v>
          </cell>
          <cell r="J853">
            <v>87</v>
          </cell>
          <cell r="K853">
            <v>1248</v>
          </cell>
          <cell r="L853">
            <v>11</v>
          </cell>
          <cell r="M853">
            <v>0</v>
          </cell>
          <cell r="N853">
            <v>0</v>
          </cell>
          <cell r="O853">
            <v>11</v>
          </cell>
          <cell r="P853">
            <v>48</v>
          </cell>
          <cell r="Q853">
            <v>19</v>
          </cell>
          <cell r="R853">
            <v>29</v>
          </cell>
          <cell r="S853">
            <v>3074</v>
          </cell>
          <cell r="T853">
            <v>59</v>
          </cell>
        </row>
        <row r="854">
          <cell r="C854" t="str">
            <v>Veradale CDP, Washington</v>
          </cell>
          <cell r="D854">
            <v>8716</v>
          </cell>
          <cell r="E854">
            <v>8602</v>
          </cell>
          <cell r="F854">
            <v>4894</v>
          </cell>
          <cell r="G854">
            <v>3645</v>
          </cell>
          <cell r="H854">
            <v>300</v>
          </cell>
          <cell r="I854">
            <v>906</v>
          </cell>
          <cell r="J854">
            <v>242</v>
          </cell>
          <cell r="K854">
            <v>2197</v>
          </cell>
          <cell r="L854">
            <v>63</v>
          </cell>
          <cell r="M854">
            <v>0</v>
          </cell>
          <cell r="N854">
            <v>0</v>
          </cell>
          <cell r="O854">
            <v>63</v>
          </cell>
          <cell r="P854">
            <v>114</v>
          </cell>
          <cell r="Q854">
            <v>55</v>
          </cell>
          <cell r="R854">
            <v>59</v>
          </cell>
          <cell r="S854">
            <v>8539</v>
          </cell>
          <cell r="T854">
            <v>177</v>
          </cell>
        </row>
        <row r="855">
          <cell r="C855" t="str">
            <v>Verlot CDP, Washington</v>
          </cell>
          <cell r="D855">
            <v>236</v>
          </cell>
          <cell r="E855">
            <v>230</v>
          </cell>
          <cell r="F855">
            <v>161</v>
          </cell>
          <cell r="G855">
            <v>69</v>
          </cell>
          <cell r="H855">
            <v>12</v>
          </cell>
          <cell r="I855">
            <v>44</v>
          </cell>
          <cell r="J855">
            <v>0</v>
          </cell>
          <cell r="K855">
            <v>13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6</v>
          </cell>
          <cell r="Q855">
            <v>6</v>
          </cell>
          <cell r="R855">
            <v>0</v>
          </cell>
          <cell r="S855">
            <v>230</v>
          </cell>
          <cell r="T855">
            <v>6</v>
          </cell>
        </row>
        <row r="856">
          <cell r="C856" t="str">
            <v>Waitsburg city, Washington</v>
          </cell>
          <cell r="D856">
            <v>1136</v>
          </cell>
          <cell r="E856">
            <v>1128</v>
          </cell>
          <cell r="F856">
            <v>604</v>
          </cell>
          <cell r="G856">
            <v>514</v>
          </cell>
          <cell r="H856">
            <v>24</v>
          </cell>
          <cell r="I856">
            <v>143</v>
          </cell>
          <cell r="J856">
            <v>55</v>
          </cell>
          <cell r="K856">
            <v>292</v>
          </cell>
          <cell r="L856">
            <v>10</v>
          </cell>
          <cell r="M856">
            <v>0</v>
          </cell>
          <cell r="N856">
            <v>0</v>
          </cell>
          <cell r="O856">
            <v>10</v>
          </cell>
          <cell r="P856">
            <v>8</v>
          </cell>
          <cell r="Q856">
            <v>8</v>
          </cell>
          <cell r="R856">
            <v>0</v>
          </cell>
          <cell r="S856">
            <v>1118</v>
          </cell>
          <cell r="T856">
            <v>18</v>
          </cell>
        </row>
        <row r="857">
          <cell r="C857" t="str">
            <v>Walla Walla city, Washington</v>
          </cell>
          <cell r="D857">
            <v>22642</v>
          </cell>
          <cell r="E857">
            <v>22283</v>
          </cell>
          <cell r="F857">
            <v>11668</v>
          </cell>
          <cell r="G857">
            <v>10379</v>
          </cell>
          <cell r="H857">
            <v>620</v>
          </cell>
          <cell r="I857">
            <v>2233</v>
          </cell>
          <cell r="J857">
            <v>1252</v>
          </cell>
          <cell r="K857">
            <v>6274</v>
          </cell>
          <cell r="L857">
            <v>236</v>
          </cell>
          <cell r="M857">
            <v>0</v>
          </cell>
          <cell r="N857">
            <v>13</v>
          </cell>
          <cell r="O857">
            <v>223</v>
          </cell>
          <cell r="P857">
            <v>359</v>
          </cell>
          <cell r="Q857">
            <v>244</v>
          </cell>
          <cell r="R857">
            <v>115</v>
          </cell>
          <cell r="S857">
            <v>22047</v>
          </cell>
          <cell r="T857">
            <v>595</v>
          </cell>
        </row>
        <row r="858">
          <cell r="C858" t="str">
            <v>Walla Walla East CDP, Washington</v>
          </cell>
          <cell r="D858">
            <v>2143</v>
          </cell>
          <cell r="E858">
            <v>2081</v>
          </cell>
          <cell r="F858">
            <v>944</v>
          </cell>
          <cell r="G858">
            <v>1137</v>
          </cell>
          <cell r="H858">
            <v>54</v>
          </cell>
          <cell r="I858">
            <v>286</v>
          </cell>
          <cell r="J858">
            <v>193</v>
          </cell>
          <cell r="K858">
            <v>604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62</v>
          </cell>
          <cell r="Q858">
            <v>47</v>
          </cell>
          <cell r="R858">
            <v>15</v>
          </cell>
          <cell r="S858">
            <v>2081</v>
          </cell>
          <cell r="T858">
            <v>62</v>
          </cell>
        </row>
        <row r="859">
          <cell r="C859" t="str">
            <v>Waller CDP, Washington</v>
          </cell>
          <cell r="D859">
            <v>7987</v>
          </cell>
          <cell r="E859">
            <v>7837</v>
          </cell>
          <cell r="F859">
            <v>4945</v>
          </cell>
          <cell r="G859">
            <v>2805</v>
          </cell>
          <cell r="H859">
            <v>191</v>
          </cell>
          <cell r="I859">
            <v>1050</v>
          </cell>
          <cell r="J859">
            <v>383</v>
          </cell>
          <cell r="K859">
            <v>1181</v>
          </cell>
          <cell r="L859">
            <v>87</v>
          </cell>
          <cell r="M859">
            <v>0</v>
          </cell>
          <cell r="N859">
            <v>4</v>
          </cell>
          <cell r="O859">
            <v>83</v>
          </cell>
          <cell r="P859">
            <v>150</v>
          </cell>
          <cell r="Q859">
            <v>101</v>
          </cell>
          <cell r="R859">
            <v>49</v>
          </cell>
          <cell r="S859">
            <v>7750</v>
          </cell>
          <cell r="T859">
            <v>237</v>
          </cell>
        </row>
        <row r="860">
          <cell r="C860" t="str">
            <v>Wallula CDP, Washington</v>
          </cell>
          <cell r="D860">
            <v>154</v>
          </cell>
          <cell r="E860">
            <v>154</v>
          </cell>
          <cell r="F860">
            <v>63</v>
          </cell>
          <cell r="G860">
            <v>91</v>
          </cell>
          <cell r="H860">
            <v>10</v>
          </cell>
          <cell r="I860">
            <v>7</v>
          </cell>
          <cell r="J860">
            <v>12</v>
          </cell>
          <cell r="K860">
            <v>62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154</v>
          </cell>
          <cell r="T860">
            <v>0</v>
          </cell>
        </row>
        <row r="861">
          <cell r="C861" t="str">
            <v>Walnut Grove CDP, Washington</v>
          </cell>
          <cell r="D861">
            <v>6469</v>
          </cell>
          <cell r="E861">
            <v>6188</v>
          </cell>
          <cell r="F861">
            <v>2072</v>
          </cell>
          <cell r="G861">
            <v>4088</v>
          </cell>
          <cell r="H861">
            <v>194</v>
          </cell>
          <cell r="I861">
            <v>915</v>
          </cell>
          <cell r="J861">
            <v>404</v>
          </cell>
          <cell r="K861">
            <v>2575</v>
          </cell>
          <cell r="L861">
            <v>28</v>
          </cell>
          <cell r="M861">
            <v>0</v>
          </cell>
          <cell r="N861">
            <v>0</v>
          </cell>
          <cell r="O861">
            <v>28</v>
          </cell>
          <cell r="P861">
            <v>281</v>
          </cell>
          <cell r="Q861">
            <v>129</v>
          </cell>
          <cell r="R861">
            <v>152</v>
          </cell>
          <cell r="S861">
            <v>6160</v>
          </cell>
          <cell r="T861">
            <v>309</v>
          </cell>
        </row>
        <row r="862">
          <cell r="C862" t="str">
            <v>Wapato city, Washington</v>
          </cell>
          <cell r="D862">
            <v>590</v>
          </cell>
          <cell r="E862">
            <v>582</v>
          </cell>
          <cell r="F862">
            <v>377</v>
          </cell>
          <cell r="G862">
            <v>205</v>
          </cell>
          <cell r="H862">
            <v>26</v>
          </cell>
          <cell r="I862">
            <v>108</v>
          </cell>
          <cell r="J862">
            <v>23</v>
          </cell>
          <cell r="K862">
            <v>48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8</v>
          </cell>
          <cell r="Q862">
            <v>0</v>
          </cell>
          <cell r="R862">
            <v>8</v>
          </cell>
          <cell r="S862">
            <v>582</v>
          </cell>
          <cell r="T862">
            <v>8</v>
          </cell>
        </row>
        <row r="863">
          <cell r="C863" t="str">
            <v>Warden city, Washington</v>
          </cell>
          <cell r="D863">
            <v>558</v>
          </cell>
          <cell r="E863">
            <v>543</v>
          </cell>
          <cell r="F863">
            <v>299</v>
          </cell>
          <cell r="G863">
            <v>244</v>
          </cell>
          <cell r="H863">
            <v>10</v>
          </cell>
          <cell r="I863">
            <v>75</v>
          </cell>
          <cell r="J863">
            <v>43</v>
          </cell>
          <cell r="K863">
            <v>116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15</v>
          </cell>
          <cell r="Q863">
            <v>5</v>
          </cell>
          <cell r="R863">
            <v>10</v>
          </cell>
          <cell r="S863">
            <v>543</v>
          </cell>
          <cell r="T863">
            <v>15</v>
          </cell>
        </row>
        <row r="864">
          <cell r="C864" t="str">
            <v>Warm Beach CDP, Washington</v>
          </cell>
          <cell r="D864">
            <v>1927</v>
          </cell>
          <cell r="E864">
            <v>1852</v>
          </cell>
          <cell r="F864">
            <v>1103</v>
          </cell>
          <cell r="G864">
            <v>739</v>
          </cell>
          <cell r="H864">
            <v>56</v>
          </cell>
          <cell r="I864">
            <v>303</v>
          </cell>
          <cell r="J864">
            <v>41</v>
          </cell>
          <cell r="K864">
            <v>339</v>
          </cell>
          <cell r="L864">
            <v>10</v>
          </cell>
          <cell r="M864">
            <v>0</v>
          </cell>
          <cell r="N864">
            <v>0</v>
          </cell>
          <cell r="O864">
            <v>10</v>
          </cell>
          <cell r="P864">
            <v>75</v>
          </cell>
          <cell r="Q864">
            <v>54</v>
          </cell>
          <cell r="R864">
            <v>21</v>
          </cell>
          <cell r="S864">
            <v>1842</v>
          </cell>
          <cell r="T864">
            <v>85</v>
          </cell>
        </row>
        <row r="865">
          <cell r="C865" t="str">
            <v>Washougal city, Washington</v>
          </cell>
          <cell r="D865">
            <v>7815</v>
          </cell>
          <cell r="E865">
            <v>7604</v>
          </cell>
          <cell r="F865">
            <v>3195</v>
          </cell>
          <cell r="G865">
            <v>4372</v>
          </cell>
          <cell r="H865">
            <v>236</v>
          </cell>
          <cell r="I865">
            <v>848</v>
          </cell>
          <cell r="J865">
            <v>377</v>
          </cell>
          <cell r="K865">
            <v>2911</v>
          </cell>
          <cell r="L865">
            <v>37</v>
          </cell>
          <cell r="M865">
            <v>0</v>
          </cell>
          <cell r="N865">
            <v>0</v>
          </cell>
          <cell r="O865">
            <v>37</v>
          </cell>
          <cell r="P865">
            <v>211</v>
          </cell>
          <cell r="Q865">
            <v>91</v>
          </cell>
          <cell r="R865">
            <v>120</v>
          </cell>
          <cell r="S865">
            <v>7567</v>
          </cell>
          <cell r="T865">
            <v>248</v>
          </cell>
        </row>
        <row r="866">
          <cell r="C866" t="str">
            <v>Washtucna town, Washington</v>
          </cell>
          <cell r="D866">
            <v>218</v>
          </cell>
          <cell r="E866">
            <v>218</v>
          </cell>
          <cell r="F866">
            <v>157</v>
          </cell>
          <cell r="G866">
            <v>61</v>
          </cell>
          <cell r="H866">
            <v>4</v>
          </cell>
          <cell r="I866">
            <v>13</v>
          </cell>
          <cell r="J866">
            <v>2</v>
          </cell>
          <cell r="K866">
            <v>42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218</v>
          </cell>
          <cell r="T866">
            <v>0</v>
          </cell>
        </row>
        <row r="867">
          <cell r="C867" t="str">
            <v>Waterville town, Washington</v>
          </cell>
          <cell r="D867">
            <v>1027</v>
          </cell>
          <cell r="E867">
            <v>1022</v>
          </cell>
          <cell r="F867">
            <v>686</v>
          </cell>
          <cell r="G867">
            <v>322</v>
          </cell>
          <cell r="H867">
            <v>11</v>
          </cell>
          <cell r="I867">
            <v>94</v>
          </cell>
          <cell r="J867">
            <v>79</v>
          </cell>
          <cell r="K867">
            <v>138</v>
          </cell>
          <cell r="L867">
            <v>14</v>
          </cell>
          <cell r="M867">
            <v>0</v>
          </cell>
          <cell r="N867">
            <v>0</v>
          </cell>
          <cell r="O867">
            <v>14</v>
          </cell>
          <cell r="P867">
            <v>5</v>
          </cell>
          <cell r="Q867">
            <v>3</v>
          </cell>
          <cell r="R867">
            <v>2</v>
          </cell>
          <cell r="S867">
            <v>1008</v>
          </cell>
          <cell r="T867">
            <v>19</v>
          </cell>
        </row>
        <row r="868">
          <cell r="C868" t="str">
            <v>Waverly town, Washington</v>
          </cell>
          <cell r="D868">
            <v>118</v>
          </cell>
          <cell r="E868">
            <v>118</v>
          </cell>
          <cell r="F868">
            <v>86</v>
          </cell>
          <cell r="G868">
            <v>32</v>
          </cell>
          <cell r="H868">
            <v>0</v>
          </cell>
          <cell r="I868">
            <v>3</v>
          </cell>
          <cell r="J868">
            <v>2</v>
          </cell>
          <cell r="K868">
            <v>27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118</v>
          </cell>
          <cell r="T868">
            <v>0</v>
          </cell>
        </row>
        <row r="869">
          <cell r="C869" t="str">
            <v>Weallup Lake CDP, Washington</v>
          </cell>
          <cell r="D869">
            <v>783</v>
          </cell>
          <cell r="E869">
            <v>750</v>
          </cell>
          <cell r="F869">
            <v>345</v>
          </cell>
          <cell r="G869">
            <v>405</v>
          </cell>
          <cell r="H869">
            <v>44</v>
          </cell>
          <cell r="I869">
            <v>146</v>
          </cell>
          <cell r="J869">
            <v>59</v>
          </cell>
          <cell r="K869">
            <v>156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33</v>
          </cell>
          <cell r="Q869">
            <v>18</v>
          </cell>
          <cell r="R869">
            <v>15</v>
          </cell>
          <cell r="S869">
            <v>750</v>
          </cell>
          <cell r="T869">
            <v>33</v>
          </cell>
        </row>
        <row r="870">
          <cell r="C870" t="str">
            <v>Wenatchee city, Washington</v>
          </cell>
          <cell r="D870">
            <v>21156</v>
          </cell>
          <cell r="E870">
            <v>20787</v>
          </cell>
          <cell r="F870">
            <v>12696</v>
          </cell>
          <cell r="G870">
            <v>7964</v>
          </cell>
          <cell r="H870">
            <v>386</v>
          </cell>
          <cell r="I870">
            <v>2274</v>
          </cell>
          <cell r="J870">
            <v>1501</v>
          </cell>
          <cell r="K870">
            <v>3803</v>
          </cell>
          <cell r="L870">
            <v>127</v>
          </cell>
          <cell r="M870">
            <v>0</v>
          </cell>
          <cell r="N870">
            <v>0</v>
          </cell>
          <cell r="O870">
            <v>127</v>
          </cell>
          <cell r="P870">
            <v>369</v>
          </cell>
          <cell r="Q870">
            <v>219</v>
          </cell>
          <cell r="R870">
            <v>150</v>
          </cell>
          <cell r="S870">
            <v>20660</v>
          </cell>
          <cell r="T870">
            <v>496</v>
          </cell>
        </row>
        <row r="871">
          <cell r="C871" t="str">
            <v>West Clarkston-Highland CDP, Washington</v>
          </cell>
          <cell r="D871">
            <v>4366</v>
          </cell>
          <cell r="E871">
            <v>4324</v>
          </cell>
          <cell r="F871">
            <v>1089</v>
          </cell>
          <cell r="G871">
            <v>3208</v>
          </cell>
          <cell r="H871">
            <v>84</v>
          </cell>
          <cell r="I871">
            <v>465</v>
          </cell>
          <cell r="J871">
            <v>196</v>
          </cell>
          <cell r="K871">
            <v>2463</v>
          </cell>
          <cell r="L871">
            <v>27</v>
          </cell>
          <cell r="M871">
            <v>0</v>
          </cell>
          <cell r="N871">
            <v>0</v>
          </cell>
          <cell r="O871">
            <v>27</v>
          </cell>
          <cell r="P871">
            <v>42</v>
          </cell>
          <cell r="Q871">
            <v>34</v>
          </cell>
          <cell r="R871">
            <v>8</v>
          </cell>
          <cell r="S871">
            <v>4297</v>
          </cell>
          <cell r="T871">
            <v>69</v>
          </cell>
        </row>
        <row r="872">
          <cell r="C872" t="str">
            <v>West Lake Sammamish CDP, Washington</v>
          </cell>
          <cell r="D872">
            <v>5055</v>
          </cell>
          <cell r="E872">
            <v>4693</v>
          </cell>
          <cell r="F872">
            <v>2422</v>
          </cell>
          <cell r="G872">
            <v>2257</v>
          </cell>
          <cell r="H872">
            <v>234</v>
          </cell>
          <cell r="I872">
            <v>652</v>
          </cell>
          <cell r="J872">
            <v>326</v>
          </cell>
          <cell r="K872">
            <v>1045</v>
          </cell>
          <cell r="L872">
            <v>14</v>
          </cell>
          <cell r="M872">
            <v>0</v>
          </cell>
          <cell r="N872">
            <v>0</v>
          </cell>
          <cell r="O872">
            <v>14</v>
          </cell>
          <cell r="P872">
            <v>362</v>
          </cell>
          <cell r="Q872">
            <v>100</v>
          </cell>
          <cell r="R872">
            <v>262</v>
          </cell>
          <cell r="S872">
            <v>4679</v>
          </cell>
          <cell r="T872">
            <v>376</v>
          </cell>
        </row>
        <row r="873">
          <cell r="C873" t="str">
            <v>West Lake Stevens CDP, Washington</v>
          </cell>
          <cell r="D873">
            <v>15780</v>
          </cell>
          <cell r="E873">
            <v>15457</v>
          </cell>
          <cell r="F873">
            <v>9504</v>
          </cell>
          <cell r="G873">
            <v>5849</v>
          </cell>
          <cell r="H873">
            <v>439</v>
          </cell>
          <cell r="I873">
            <v>1539</v>
          </cell>
          <cell r="J873">
            <v>814</v>
          </cell>
          <cell r="K873">
            <v>3057</v>
          </cell>
          <cell r="L873">
            <v>104</v>
          </cell>
          <cell r="M873">
            <v>0</v>
          </cell>
          <cell r="N873">
            <v>0</v>
          </cell>
          <cell r="O873">
            <v>104</v>
          </cell>
          <cell r="P873">
            <v>323</v>
          </cell>
          <cell r="Q873">
            <v>157</v>
          </cell>
          <cell r="R873">
            <v>166</v>
          </cell>
          <cell r="S873">
            <v>15353</v>
          </cell>
          <cell r="T873">
            <v>427</v>
          </cell>
        </row>
        <row r="874">
          <cell r="C874" t="str">
            <v>West Longview CDP, Washington</v>
          </cell>
          <cell r="D874">
            <v>2620</v>
          </cell>
          <cell r="E874">
            <v>2587</v>
          </cell>
          <cell r="F874">
            <v>1400</v>
          </cell>
          <cell r="G874">
            <v>1179</v>
          </cell>
          <cell r="H874">
            <v>79</v>
          </cell>
          <cell r="I874">
            <v>243</v>
          </cell>
          <cell r="J874">
            <v>210</v>
          </cell>
          <cell r="K874">
            <v>647</v>
          </cell>
          <cell r="L874">
            <v>8</v>
          </cell>
          <cell r="M874">
            <v>0</v>
          </cell>
          <cell r="N874">
            <v>0</v>
          </cell>
          <cell r="O874">
            <v>8</v>
          </cell>
          <cell r="P874">
            <v>33</v>
          </cell>
          <cell r="Q874">
            <v>25</v>
          </cell>
          <cell r="R874">
            <v>8</v>
          </cell>
          <cell r="S874">
            <v>2579</v>
          </cell>
          <cell r="T874">
            <v>41</v>
          </cell>
        </row>
        <row r="875">
          <cell r="C875" t="str">
            <v>West Pasco CDP, Washington</v>
          </cell>
          <cell r="D875">
            <v>4016</v>
          </cell>
          <cell r="E875">
            <v>3968</v>
          </cell>
          <cell r="F875">
            <v>1938</v>
          </cell>
          <cell r="G875">
            <v>1998</v>
          </cell>
          <cell r="H875">
            <v>214</v>
          </cell>
          <cell r="I875">
            <v>484</v>
          </cell>
          <cell r="J875">
            <v>205</v>
          </cell>
          <cell r="K875">
            <v>1095</v>
          </cell>
          <cell r="L875">
            <v>32</v>
          </cell>
          <cell r="M875">
            <v>6</v>
          </cell>
          <cell r="N875">
            <v>0</v>
          </cell>
          <cell r="O875">
            <v>26</v>
          </cell>
          <cell r="P875">
            <v>48</v>
          </cell>
          <cell r="Q875">
            <v>27</v>
          </cell>
          <cell r="R875">
            <v>21</v>
          </cell>
          <cell r="S875">
            <v>3936</v>
          </cell>
          <cell r="T875">
            <v>80</v>
          </cell>
        </row>
        <row r="876">
          <cell r="C876" t="str">
            <v>Westport city, Washington</v>
          </cell>
          <cell r="D876">
            <v>2009</v>
          </cell>
          <cell r="E876">
            <v>1991</v>
          </cell>
          <cell r="F876">
            <v>1143</v>
          </cell>
          <cell r="G876">
            <v>833</v>
          </cell>
          <cell r="H876">
            <v>65</v>
          </cell>
          <cell r="I876">
            <v>178</v>
          </cell>
          <cell r="J876">
            <v>99</v>
          </cell>
          <cell r="K876">
            <v>491</v>
          </cell>
          <cell r="L876">
            <v>15</v>
          </cell>
          <cell r="M876">
            <v>5</v>
          </cell>
          <cell r="N876">
            <v>0</v>
          </cell>
          <cell r="O876">
            <v>10</v>
          </cell>
          <cell r="P876">
            <v>18</v>
          </cell>
          <cell r="Q876">
            <v>4</v>
          </cell>
          <cell r="R876">
            <v>14</v>
          </cell>
          <cell r="S876">
            <v>1976</v>
          </cell>
          <cell r="T876">
            <v>33</v>
          </cell>
        </row>
        <row r="877">
          <cell r="C877" t="str">
            <v>West Richland city, Washington</v>
          </cell>
          <cell r="D877">
            <v>7753</v>
          </cell>
          <cell r="E877">
            <v>7605</v>
          </cell>
          <cell r="F877">
            <v>3736</v>
          </cell>
          <cell r="G877">
            <v>3829</v>
          </cell>
          <cell r="H877">
            <v>216</v>
          </cell>
          <cell r="I877">
            <v>851</v>
          </cell>
          <cell r="J877">
            <v>581</v>
          </cell>
          <cell r="K877">
            <v>2181</v>
          </cell>
          <cell r="L877">
            <v>40</v>
          </cell>
          <cell r="M877">
            <v>0</v>
          </cell>
          <cell r="N877">
            <v>0</v>
          </cell>
          <cell r="O877">
            <v>40</v>
          </cell>
          <cell r="P877">
            <v>148</v>
          </cell>
          <cell r="Q877">
            <v>96</v>
          </cell>
          <cell r="R877">
            <v>52</v>
          </cell>
          <cell r="S877">
            <v>7565</v>
          </cell>
          <cell r="T877">
            <v>188</v>
          </cell>
        </row>
        <row r="878">
          <cell r="C878" t="str">
            <v>West Side Highway CDP, Washington</v>
          </cell>
          <cell r="D878">
            <v>4151</v>
          </cell>
          <cell r="E878">
            <v>4080</v>
          </cell>
          <cell r="F878">
            <v>2503</v>
          </cell>
          <cell r="G878">
            <v>1570</v>
          </cell>
          <cell r="H878">
            <v>96</v>
          </cell>
          <cell r="I878">
            <v>415</v>
          </cell>
          <cell r="J878">
            <v>208</v>
          </cell>
          <cell r="K878">
            <v>851</v>
          </cell>
          <cell r="L878">
            <v>7</v>
          </cell>
          <cell r="M878">
            <v>0</v>
          </cell>
          <cell r="N878">
            <v>0</v>
          </cell>
          <cell r="O878">
            <v>7</v>
          </cell>
          <cell r="P878">
            <v>71</v>
          </cell>
          <cell r="Q878">
            <v>42</v>
          </cell>
          <cell r="R878">
            <v>29</v>
          </cell>
          <cell r="S878">
            <v>4073</v>
          </cell>
          <cell r="T878">
            <v>78</v>
          </cell>
        </row>
        <row r="879">
          <cell r="C879" t="str">
            <v>West Valley CDP, Washington</v>
          </cell>
          <cell r="D879">
            <v>8528</v>
          </cell>
          <cell r="E879">
            <v>8430</v>
          </cell>
          <cell r="F879">
            <v>5272</v>
          </cell>
          <cell r="G879">
            <v>3080</v>
          </cell>
          <cell r="H879">
            <v>199</v>
          </cell>
          <cell r="I879">
            <v>928</v>
          </cell>
          <cell r="J879">
            <v>599</v>
          </cell>
          <cell r="K879">
            <v>1354</v>
          </cell>
          <cell r="L879">
            <v>78</v>
          </cell>
          <cell r="M879">
            <v>0</v>
          </cell>
          <cell r="N879">
            <v>0</v>
          </cell>
          <cell r="O879">
            <v>78</v>
          </cell>
          <cell r="P879">
            <v>98</v>
          </cell>
          <cell r="Q879">
            <v>48</v>
          </cell>
          <cell r="R879">
            <v>50</v>
          </cell>
          <cell r="S879">
            <v>8352</v>
          </cell>
          <cell r="T879">
            <v>176</v>
          </cell>
        </row>
        <row r="880">
          <cell r="C880" t="str">
            <v>West Wenatchee CDP, Washington</v>
          </cell>
          <cell r="D880">
            <v>1320</v>
          </cell>
          <cell r="E880">
            <v>1276</v>
          </cell>
          <cell r="F880">
            <v>779</v>
          </cell>
          <cell r="G880">
            <v>497</v>
          </cell>
          <cell r="H880">
            <v>54</v>
          </cell>
          <cell r="I880">
            <v>149</v>
          </cell>
          <cell r="J880">
            <v>90</v>
          </cell>
          <cell r="K880">
            <v>204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44</v>
          </cell>
          <cell r="Q880">
            <v>15</v>
          </cell>
          <cell r="R880">
            <v>29</v>
          </cell>
          <cell r="S880">
            <v>1276</v>
          </cell>
          <cell r="T880">
            <v>44</v>
          </cell>
        </row>
        <row r="881">
          <cell r="C881" t="str">
            <v>White Center CDP, Washington</v>
          </cell>
          <cell r="D881">
            <v>11042</v>
          </cell>
          <cell r="E881">
            <v>10393</v>
          </cell>
          <cell r="F881">
            <v>6602</v>
          </cell>
          <cell r="G881">
            <v>3728</v>
          </cell>
          <cell r="H881">
            <v>246</v>
          </cell>
          <cell r="I881">
            <v>1464</v>
          </cell>
          <cell r="J881">
            <v>377</v>
          </cell>
          <cell r="K881">
            <v>1641</v>
          </cell>
          <cell r="L881">
            <v>63</v>
          </cell>
          <cell r="M881">
            <v>0</v>
          </cell>
          <cell r="N881">
            <v>0</v>
          </cell>
          <cell r="O881">
            <v>63</v>
          </cell>
          <cell r="P881">
            <v>649</v>
          </cell>
          <cell r="Q881">
            <v>256</v>
          </cell>
          <cell r="R881">
            <v>393</v>
          </cell>
          <cell r="S881">
            <v>10330</v>
          </cell>
          <cell r="T881">
            <v>712</v>
          </cell>
        </row>
        <row r="882">
          <cell r="C882" t="str">
            <v>White Salmon city, Washington</v>
          </cell>
          <cell r="D882">
            <v>1618</v>
          </cell>
          <cell r="E882">
            <v>1595</v>
          </cell>
          <cell r="F882">
            <v>605</v>
          </cell>
          <cell r="G882">
            <v>983</v>
          </cell>
          <cell r="H882">
            <v>39</v>
          </cell>
          <cell r="I882">
            <v>250</v>
          </cell>
          <cell r="J882">
            <v>69</v>
          </cell>
          <cell r="K882">
            <v>625</v>
          </cell>
          <cell r="L882">
            <v>7</v>
          </cell>
          <cell r="M882">
            <v>0</v>
          </cell>
          <cell r="N882">
            <v>0</v>
          </cell>
          <cell r="O882">
            <v>7</v>
          </cell>
          <cell r="P882">
            <v>23</v>
          </cell>
          <cell r="Q882">
            <v>8</v>
          </cell>
          <cell r="R882">
            <v>15</v>
          </cell>
          <cell r="S882">
            <v>1588</v>
          </cell>
          <cell r="T882">
            <v>30</v>
          </cell>
        </row>
        <row r="883">
          <cell r="C883" t="str">
            <v>White Swan CDP, Washington</v>
          </cell>
          <cell r="D883">
            <v>1003</v>
          </cell>
          <cell r="E883">
            <v>998</v>
          </cell>
          <cell r="F883">
            <v>626</v>
          </cell>
          <cell r="G883">
            <v>372</v>
          </cell>
          <cell r="H883">
            <v>3</v>
          </cell>
          <cell r="I883">
            <v>56</v>
          </cell>
          <cell r="J883">
            <v>25</v>
          </cell>
          <cell r="K883">
            <v>288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</v>
          </cell>
          <cell r="Q883">
            <v>0</v>
          </cell>
          <cell r="R883">
            <v>5</v>
          </cell>
          <cell r="S883">
            <v>998</v>
          </cell>
          <cell r="T883">
            <v>5</v>
          </cell>
        </row>
        <row r="884">
          <cell r="C884" t="str">
            <v>Wilbur town, Washington</v>
          </cell>
          <cell r="D884">
            <v>880</v>
          </cell>
          <cell r="E884">
            <v>867</v>
          </cell>
          <cell r="F884">
            <v>573</v>
          </cell>
          <cell r="G884">
            <v>289</v>
          </cell>
          <cell r="H884">
            <v>9</v>
          </cell>
          <cell r="I884">
            <v>114</v>
          </cell>
          <cell r="J884">
            <v>37</v>
          </cell>
          <cell r="K884">
            <v>129</v>
          </cell>
          <cell r="L884">
            <v>5</v>
          </cell>
          <cell r="M884">
            <v>0</v>
          </cell>
          <cell r="N884">
            <v>0</v>
          </cell>
          <cell r="O884">
            <v>5</v>
          </cell>
          <cell r="P884">
            <v>13</v>
          </cell>
          <cell r="Q884">
            <v>0</v>
          </cell>
          <cell r="R884">
            <v>13</v>
          </cell>
          <cell r="S884">
            <v>862</v>
          </cell>
          <cell r="T884">
            <v>18</v>
          </cell>
        </row>
        <row r="885">
          <cell r="C885" t="str">
            <v>Wilkeson town, Washington</v>
          </cell>
          <cell r="D885">
            <v>387</v>
          </cell>
          <cell r="E885">
            <v>385</v>
          </cell>
          <cell r="F885">
            <v>249</v>
          </cell>
          <cell r="G885">
            <v>134</v>
          </cell>
          <cell r="H885">
            <v>10</v>
          </cell>
          <cell r="I885">
            <v>36</v>
          </cell>
          <cell r="J885">
            <v>29</v>
          </cell>
          <cell r="K885">
            <v>59</v>
          </cell>
          <cell r="L885">
            <v>2</v>
          </cell>
          <cell r="M885">
            <v>0</v>
          </cell>
          <cell r="N885">
            <v>0</v>
          </cell>
          <cell r="O885">
            <v>2</v>
          </cell>
          <cell r="P885">
            <v>2</v>
          </cell>
          <cell r="Q885">
            <v>0</v>
          </cell>
          <cell r="R885">
            <v>2</v>
          </cell>
          <cell r="S885">
            <v>383</v>
          </cell>
          <cell r="T885">
            <v>4</v>
          </cell>
        </row>
        <row r="886">
          <cell r="C886" t="str">
            <v>Wilson Creek town, Washington</v>
          </cell>
          <cell r="D886">
            <v>167</v>
          </cell>
          <cell r="E886">
            <v>164</v>
          </cell>
          <cell r="F886">
            <v>95</v>
          </cell>
          <cell r="G886">
            <v>69</v>
          </cell>
          <cell r="H886">
            <v>1</v>
          </cell>
          <cell r="I886">
            <v>24</v>
          </cell>
          <cell r="J886">
            <v>11</v>
          </cell>
          <cell r="K886">
            <v>33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3</v>
          </cell>
          <cell r="Q886">
            <v>0</v>
          </cell>
          <cell r="R886">
            <v>3</v>
          </cell>
          <cell r="S886">
            <v>164</v>
          </cell>
          <cell r="T886">
            <v>3</v>
          </cell>
        </row>
        <row r="887">
          <cell r="C887" t="str">
            <v>Winlock city, Washington</v>
          </cell>
          <cell r="D887">
            <v>996</v>
          </cell>
          <cell r="E887">
            <v>981</v>
          </cell>
          <cell r="F887">
            <v>562</v>
          </cell>
          <cell r="G887">
            <v>417</v>
          </cell>
          <cell r="H887">
            <v>14</v>
          </cell>
          <cell r="I887">
            <v>144</v>
          </cell>
          <cell r="J887">
            <v>68</v>
          </cell>
          <cell r="K887">
            <v>191</v>
          </cell>
          <cell r="L887">
            <v>2</v>
          </cell>
          <cell r="M887">
            <v>0</v>
          </cell>
          <cell r="N887">
            <v>0</v>
          </cell>
          <cell r="O887">
            <v>2</v>
          </cell>
          <cell r="P887">
            <v>15</v>
          </cell>
          <cell r="Q887">
            <v>8</v>
          </cell>
          <cell r="R887">
            <v>7</v>
          </cell>
          <cell r="S887">
            <v>979</v>
          </cell>
          <cell r="T887">
            <v>17</v>
          </cell>
        </row>
        <row r="888">
          <cell r="C888" t="str">
            <v>Winthrop town, Washington</v>
          </cell>
          <cell r="D888">
            <v>320</v>
          </cell>
          <cell r="E888">
            <v>314</v>
          </cell>
          <cell r="F888">
            <v>179</v>
          </cell>
          <cell r="G888">
            <v>135</v>
          </cell>
          <cell r="H888">
            <v>23</v>
          </cell>
          <cell r="I888">
            <v>47</v>
          </cell>
          <cell r="J888">
            <v>12</v>
          </cell>
          <cell r="K888">
            <v>53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6</v>
          </cell>
          <cell r="Q888">
            <v>6</v>
          </cell>
          <cell r="R888">
            <v>0</v>
          </cell>
          <cell r="S888">
            <v>314</v>
          </cell>
          <cell r="T888">
            <v>6</v>
          </cell>
        </row>
        <row r="889">
          <cell r="C889" t="str">
            <v>Wishram CDP, Washington</v>
          </cell>
          <cell r="D889">
            <v>236</v>
          </cell>
          <cell r="E889">
            <v>236</v>
          </cell>
          <cell r="F889">
            <v>75</v>
          </cell>
          <cell r="G889">
            <v>158</v>
          </cell>
          <cell r="H889">
            <v>11</v>
          </cell>
          <cell r="I889">
            <v>17</v>
          </cell>
          <cell r="J889">
            <v>18</v>
          </cell>
          <cell r="K889">
            <v>112</v>
          </cell>
          <cell r="L889">
            <v>3</v>
          </cell>
          <cell r="M889">
            <v>0</v>
          </cell>
          <cell r="N889">
            <v>0</v>
          </cell>
          <cell r="O889">
            <v>3</v>
          </cell>
          <cell r="P889">
            <v>0</v>
          </cell>
          <cell r="Q889">
            <v>0</v>
          </cell>
          <cell r="R889">
            <v>0</v>
          </cell>
          <cell r="S889">
            <v>233</v>
          </cell>
          <cell r="T889">
            <v>3</v>
          </cell>
        </row>
        <row r="890">
          <cell r="C890" t="str">
            <v>Woodinville city, Washington</v>
          </cell>
          <cell r="D890">
            <v>7527</v>
          </cell>
          <cell r="E890">
            <v>7132</v>
          </cell>
          <cell r="F890">
            <v>3566</v>
          </cell>
          <cell r="G890">
            <v>3453</v>
          </cell>
          <cell r="H890">
            <v>367</v>
          </cell>
          <cell r="I890">
            <v>1129</v>
          </cell>
          <cell r="J890">
            <v>343</v>
          </cell>
          <cell r="K890">
            <v>1614</v>
          </cell>
          <cell r="L890">
            <v>113</v>
          </cell>
          <cell r="M890">
            <v>0</v>
          </cell>
          <cell r="N890">
            <v>0</v>
          </cell>
          <cell r="O890">
            <v>113</v>
          </cell>
          <cell r="P890">
            <v>395</v>
          </cell>
          <cell r="Q890">
            <v>196</v>
          </cell>
          <cell r="R890">
            <v>199</v>
          </cell>
          <cell r="S890">
            <v>7019</v>
          </cell>
          <cell r="T890">
            <v>508</v>
          </cell>
        </row>
        <row r="891">
          <cell r="C891" t="str">
            <v>Woodland city, Washington</v>
          </cell>
          <cell r="D891">
            <v>3417</v>
          </cell>
          <cell r="E891">
            <v>3383</v>
          </cell>
          <cell r="F891">
            <v>1496</v>
          </cell>
          <cell r="G891">
            <v>1871</v>
          </cell>
          <cell r="H891">
            <v>10</v>
          </cell>
          <cell r="I891">
            <v>445</v>
          </cell>
          <cell r="J891">
            <v>147</v>
          </cell>
          <cell r="K891">
            <v>1269</v>
          </cell>
          <cell r="L891">
            <v>16</v>
          </cell>
          <cell r="M891">
            <v>0</v>
          </cell>
          <cell r="N891">
            <v>0</v>
          </cell>
          <cell r="O891">
            <v>16</v>
          </cell>
          <cell r="P891">
            <v>34</v>
          </cell>
          <cell r="Q891">
            <v>18</v>
          </cell>
          <cell r="R891">
            <v>16</v>
          </cell>
          <cell r="S891">
            <v>3367</v>
          </cell>
          <cell r="T891">
            <v>50</v>
          </cell>
        </row>
        <row r="892">
          <cell r="C892" t="str">
            <v>Woods Creek CDP, Washington</v>
          </cell>
          <cell r="D892">
            <v>4172</v>
          </cell>
          <cell r="E892">
            <v>4096</v>
          </cell>
          <cell r="F892">
            <v>2678</v>
          </cell>
          <cell r="G892">
            <v>1371</v>
          </cell>
          <cell r="H892">
            <v>147</v>
          </cell>
          <cell r="I892">
            <v>401</v>
          </cell>
          <cell r="J892">
            <v>161</v>
          </cell>
          <cell r="K892">
            <v>662</v>
          </cell>
          <cell r="L892">
            <v>47</v>
          </cell>
          <cell r="M892">
            <v>0</v>
          </cell>
          <cell r="N892">
            <v>0</v>
          </cell>
          <cell r="O892">
            <v>47</v>
          </cell>
          <cell r="P892">
            <v>76</v>
          </cell>
          <cell r="Q892">
            <v>45</v>
          </cell>
          <cell r="R892">
            <v>31</v>
          </cell>
          <cell r="S892">
            <v>4049</v>
          </cell>
          <cell r="T892">
            <v>123</v>
          </cell>
        </row>
        <row r="893">
          <cell r="C893" t="str">
            <v>Woodway city, Washington</v>
          </cell>
          <cell r="D893">
            <v>873</v>
          </cell>
          <cell r="E893">
            <v>833</v>
          </cell>
          <cell r="F893">
            <v>489</v>
          </cell>
          <cell r="G893">
            <v>332</v>
          </cell>
          <cell r="H893">
            <v>55</v>
          </cell>
          <cell r="I893">
            <v>117</v>
          </cell>
          <cell r="J893">
            <v>20</v>
          </cell>
          <cell r="K893">
            <v>140</v>
          </cell>
          <cell r="L893">
            <v>12</v>
          </cell>
          <cell r="M893">
            <v>0</v>
          </cell>
          <cell r="N893">
            <v>0</v>
          </cell>
          <cell r="O893">
            <v>12</v>
          </cell>
          <cell r="P893">
            <v>40</v>
          </cell>
          <cell r="Q893">
            <v>28</v>
          </cell>
          <cell r="R893">
            <v>12</v>
          </cell>
          <cell r="S893">
            <v>821</v>
          </cell>
          <cell r="T893">
            <v>52</v>
          </cell>
        </row>
        <row r="894">
          <cell r="C894" t="str">
            <v>Yacolt town, Washington</v>
          </cell>
          <cell r="D894">
            <v>1004</v>
          </cell>
          <cell r="E894">
            <v>962</v>
          </cell>
          <cell r="F894">
            <v>468</v>
          </cell>
          <cell r="G894">
            <v>492</v>
          </cell>
          <cell r="H894">
            <v>35</v>
          </cell>
          <cell r="I894">
            <v>87</v>
          </cell>
          <cell r="J894">
            <v>39</v>
          </cell>
          <cell r="K894">
            <v>331</v>
          </cell>
          <cell r="L894">
            <v>2</v>
          </cell>
          <cell r="M894">
            <v>0</v>
          </cell>
          <cell r="N894">
            <v>0</v>
          </cell>
          <cell r="O894">
            <v>2</v>
          </cell>
          <cell r="P894">
            <v>42</v>
          </cell>
          <cell r="Q894">
            <v>19</v>
          </cell>
          <cell r="R894">
            <v>23</v>
          </cell>
          <cell r="S894">
            <v>960</v>
          </cell>
          <cell r="T894">
            <v>44</v>
          </cell>
        </row>
        <row r="895">
          <cell r="C895" t="str">
            <v>Yakima city, Washington</v>
          </cell>
          <cell r="D895">
            <v>43325</v>
          </cell>
          <cell r="E895">
            <v>42473</v>
          </cell>
          <cell r="F895">
            <v>25681</v>
          </cell>
          <cell r="G895">
            <v>16432</v>
          </cell>
          <cell r="H895">
            <v>946</v>
          </cell>
          <cell r="I895">
            <v>5432</v>
          </cell>
          <cell r="J895">
            <v>2681</v>
          </cell>
          <cell r="K895">
            <v>7373</v>
          </cell>
          <cell r="L895">
            <v>360</v>
          </cell>
          <cell r="M895">
            <v>13</v>
          </cell>
          <cell r="N895">
            <v>0</v>
          </cell>
          <cell r="O895">
            <v>347</v>
          </cell>
          <cell r="P895">
            <v>852</v>
          </cell>
          <cell r="Q895">
            <v>488</v>
          </cell>
          <cell r="R895">
            <v>364</v>
          </cell>
          <cell r="S895">
            <v>42113</v>
          </cell>
          <cell r="T895">
            <v>1212</v>
          </cell>
        </row>
        <row r="896">
          <cell r="C896" t="str">
            <v>Yarrow Point town, Washington</v>
          </cell>
          <cell r="D896">
            <v>940</v>
          </cell>
          <cell r="E896">
            <v>890</v>
          </cell>
          <cell r="F896">
            <v>471</v>
          </cell>
          <cell r="G896">
            <v>412</v>
          </cell>
          <cell r="H896">
            <v>73</v>
          </cell>
          <cell r="I896">
            <v>103</v>
          </cell>
          <cell r="J896">
            <v>33</v>
          </cell>
          <cell r="K896">
            <v>203</v>
          </cell>
          <cell r="L896">
            <v>7</v>
          </cell>
          <cell r="M896">
            <v>0</v>
          </cell>
          <cell r="N896">
            <v>0</v>
          </cell>
          <cell r="O896">
            <v>7</v>
          </cell>
          <cell r="P896">
            <v>50</v>
          </cell>
          <cell r="Q896">
            <v>31</v>
          </cell>
          <cell r="R896">
            <v>19</v>
          </cell>
          <cell r="S896">
            <v>883</v>
          </cell>
          <cell r="T896">
            <v>57</v>
          </cell>
        </row>
        <row r="897">
          <cell r="C897" t="str">
            <v>Yelm city, Washington</v>
          </cell>
          <cell r="D897">
            <v>2778</v>
          </cell>
          <cell r="E897">
            <v>2713</v>
          </cell>
          <cell r="F897">
            <v>1261</v>
          </cell>
          <cell r="G897">
            <v>1367</v>
          </cell>
          <cell r="H897">
            <v>156</v>
          </cell>
          <cell r="I897">
            <v>364</v>
          </cell>
          <cell r="J897">
            <v>215</v>
          </cell>
          <cell r="K897">
            <v>632</v>
          </cell>
          <cell r="L897">
            <v>85</v>
          </cell>
          <cell r="M897">
            <v>0</v>
          </cell>
          <cell r="N897">
            <v>0</v>
          </cell>
          <cell r="O897">
            <v>85</v>
          </cell>
          <cell r="P897">
            <v>65</v>
          </cell>
          <cell r="Q897">
            <v>36</v>
          </cell>
          <cell r="R897">
            <v>29</v>
          </cell>
          <cell r="S897">
            <v>2628</v>
          </cell>
          <cell r="T897">
            <v>150</v>
          </cell>
        </row>
        <row r="898">
          <cell r="C898" t="str">
            <v>Zillah city, Washington</v>
          </cell>
          <cell r="D898">
            <v>1396</v>
          </cell>
          <cell r="E898">
            <v>1383</v>
          </cell>
          <cell r="F898">
            <v>863</v>
          </cell>
          <cell r="G898">
            <v>512</v>
          </cell>
          <cell r="H898">
            <v>28</v>
          </cell>
          <cell r="I898">
            <v>142</v>
          </cell>
          <cell r="J898">
            <v>59</v>
          </cell>
          <cell r="K898">
            <v>283</v>
          </cell>
          <cell r="L898">
            <v>8</v>
          </cell>
          <cell r="M898">
            <v>0</v>
          </cell>
          <cell r="N898">
            <v>0</v>
          </cell>
          <cell r="O898">
            <v>8</v>
          </cell>
          <cell r="P898">
            <v>13</v>
          </cell>
          <cell r="Q898">
            <v>10</v>
          </cell>
          <cell r="R898">
            <v>3</v>
          </cell>
          <cell r="S898">
            <v>1375</v>
          </cell>
          <cell r="T898">
            <v>21</v>
          </cell>
        </row>
      </sheetData>
      <sheetData sheetId="4">
        <row r="1">
          <cell r="C1" t="str">
            <v>GEO.display-label</v>
          </cell>
          <cell r="D1" t="str">
            <v>VD01</v>
          </cell>
          <cell r="E1" t="str">
            <v>VD02</v>
          </cell>
          <cell r="F1" t="str">
            <v>VD03</v>
          </cell>
          <cell r="G1" t="str">
            <v>VD04</v>
          </cell>
          <cell r="H1" t="str">
            <v>VD05</v>
          </cell>
          <cell r="I1" t="str">
            <v>VD06</v>
          </cell>
          <cell r="J1" t="str">
            <v>VD07</v>
          </cell>
          <cell r="K1" t="str">
            <v>VD08</v>
          </cell>
          <cell r="L1" t="str">
            <v>VD09</v>
          </cell>
          <cell r="M1" t="str">
            <v>VD10</v>
          </cell>
          <cell r="N1" t="str">
            <v>VD11</v>
          </cell>
          <cell r="O1" t="str">
            <v>VD12</v>
          </cell>
          <cell r="P1" t="str">
            <v>VD13</v>
          </cell>
          <cell r="Q1" t="str">
            <v>VD14</v>
          </cell>
          <cell r="R1" t="str">
            <v>VD15</v>
          </cell>
        </row>
        <row r="2">
          <cell r="C2" t="str">
            <v>Geography</v>
          </cell>
          <cell r="D2" t="str">
            <v>Total:</v>
          </cell>
          <cell r="E2" t="str">
            <v>Native:</v>
          </cell>
          <cell r="F2" t="str">
            <v>Native: - Born in state of residence</v>
          </cell>
          <cell r="G2" t="str">
            <v>Native: - Born in other state in the United States:</v>
          </cell>
          <cell r="H2" t="str">
            <v>Native: - Born in other state in the United States: - Northeast</v>
          </cell>
          <cell r="I2" t="str">
            <v>Native: - Born in other state in the United States: - Midwest</v>
          </cell>
          <cell r="J2" t="str">
            <v>Native: - Born in other state in the United States: - South</v>
          </cell>
          <cell r="K2" t="str">
            <v>Native: - Born in other state in the United States: - West</v>
          </cell>
          <cell r="L2" t="str">
            <v>Native: - Born outside the United States:</v>
          </cell>
          <cell r="M2" t="str">
            <v>Native: - Born outside the United States: - Puerto Rico</v>
          </cell>
          <cell r="N2" t="str">
            <v>Native: - Born outside the United States: - U.S. Island Areas</v>
          </cell>
          <cell r="O2" t="str">
            <v>Native: - Born outside the United States: - Born abroad of American parent(s)</v>
          </cell>
          <cell r="P2" t="str">
            <v>Foreign born:</v>
          </cell>
          <cell r="Q2" t="str">
            <v>Foreign born: - Naturalized citizen</v>
          </cell>
          <cell r="R2" t="str">
            <v>Foreign born: - Not a citizen</v>
          </cell>
          <cell r="S2" t="str">
            <v>Born in US</v>
          </cell>
          <cell r="T2" t="str">
            <v>Born outside US</v>
          </cell>
        </row>
        <row r="3">
          <cell r="C3" t="str">
            <v>King County, Washington</v>
          </cell>
          <cell r="D3">
            <v>39134</v>
          </cell>
          <cell r="E3">
            <v>24898</v>
          </cell>
          <cell r="F3">
            <v>10596</v>
          </cell>
          <cell r="G3">
            <v>13260</v>
          </cell>
          <cell r="H3">
            <v>1172</v>
          </cell>
          <cell r="I3">
            <v>1210</v>
          </cell>
          <cell r="J3">
            <v>2308</v>
          </cell>
          <cell r="K3">
            <v>8570</v>
          </cell>
          <cell r="L3">
            <v>1042</v>
          </cell>
          <cell r="M3">
            <v>414</v>
          </cell>
          <cell r="N3">
            <v>20</v>
          </cell>
          <cell r="O3">
            <v>608</v>
          </cell>
          <cell r="P3">
            <v>14236</v>
          </cell>
          <cell r="Q3">
            <v>3240</v>
          </cell>
          <cell r="R3">
            <v>10996</v>
          </cell>
          <cell r="S3">
            <v>23856</v>
          </cell>
          <cell r="T3">
            <v>15278</v>
          </cell>
        </row>
        <row r="4">
          <cell r="C4" t="str">
            <v>Census Tract 1, King County, Washington</v>
          </cell>
          <cell r="D4">
            <v>210</v>
          </cell>
          <cell r="E4">
            <v>164</v>
          </cell>
          <cell r="F4">
            <v>63</v>
          </cell>
          <cell r="G4">
            <v>101</v>
          </cell>
          <cell r="H4">
            <v>0</v>
          </cell>
          <cell r="I4">
            <v>0</v>
          </cell>
          <cell r="J4">
            <v>0</v>
          </cell>
          <cell r="K4">
            <v>101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46</v>
          </cell>
          <cell r="Q4">
            <v>0</v>
          </cell>
          <cell r="R4">
            <v>46</v>
          </cell>
          <cell r="S4">
            <v>164</v>
          </cell>
          <cell r="T4">
            <v>46</v>
          </cell>
        </row>
        <row r="5">
          <cell r="C5" t="str">
            <v>Census Tract 2, King County, Washington</v>
          </cell>
          <cell r="D5">
            <v>113</v>
          </cell>
          <cell r="E5">
            <v>74</v>
          </cell>
          <cell r="F5">
            <v>35</v>
          </cell>
          <cell r="G5">
            <v>39</v>
          </cell>
          <cell r="H5">
            <v>30</v>
          </cell>
          <cell r="I5">
            <v>9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39</v>
          </cell>
          <cell r="Q5">
            <v>18</v>
          </cell>
          <cell r="R5">
            <v>21</v>
          </cell>
          <cell r="S5">
            <v>74</v>
          </cell>
          <cell r="T5">
            <v>39</v>
          </cell>
        </row>
        <row r="6">
          <cell r="C6" t="str">
            <v>Census Tract 3, King County, Washington</v>
          </cell>
          <cell r="D6">
            <v>82</v>
          </cell>
          <cell r="E6">
            <v>71</v>
          </cell>
          <cell r="F6">
            <v>15</v>
          </cell>
          <cell r="G6">
            <v>56</v>
          </cell>
          <cell r="H6">
            <v>0</v>
          </cell>
          <cell r="I6">
            <v>12</v>
          </cell>
          <cell r="J6">
            <v>13</v>
          </cell>
          <cell r="K6">
            <v>31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11</v>
          </cell>
          <cell r="Q6">
            <v>7</v>
          </cell>
          <cell r="R6">
            <v>4</v>
          </cell>
          <cell r="S6">
            <v>71</v>
          </cell>
          <cell r="T6">
            <v>11</v>
          </cell>
        </row>
        <row r="7">
          <cell r="C7" t="str">
            <v>Census Tract 4.01, King County, Washington</v>
          </cell>
          <cell r="D7">
            <v>132</v>
          </cell>
          <cell r="E7">
            <v>39</v>
          </cell>
          <cell r="F7">
            <v>15</v>
          </cell>
          <cell r="G7">
            <v>16</v>
          </cell>
          <cell r="H7">
            <v>0</v>
          </cell>
          <cell r="I7">
            <v>9</v>
          </cell>
          <cell r="J7">
            <v>0</v>
          </cell>
          <cell r="K7">
            <v>7</v>
          </cell>
          <cell r="L7">
            <v>8</v>
          </cell>
          <cell r="M7">
            <v>0</v>
          </cell>
          <cell r="N7">
            <v>0</v>
          </cell>
          <cell r="O7">
            <v>8</v>
          </cell>
          <cell r="P7">
            <v>93</v>
          </cell>
          <cell r="Q7">
            <v>9</v>
          </cell>
          <cell r="R7">
            <v>84</v>
          </cell>
          <cell r="S7">
            <v>31</v>
          </cell>
          <cell r="T7">
            <v>101</v>
          </cell>
        </row>
        <row r="8">
          <cell r="C8" t="str">
            <v>Census Tract 4.02, King County, Washington</v>
          </cell>
          <cell r="D8">
            <v>86</v>
          </cell>
          <cell r="E8">
            <v>66</v>
          </cell>
          <cell r="F8">
            <v>23</v>
          </cell>
          <cell r="G8">
            <v>43</v>
          </cell>
          <cell r="H8">
            <v>12</v>
          </cell>
          <cell r="I8">
            <v>0</v>
          </cell>
          <cell r="J8">
            <v>21</v>
          </cell>
          <cell r="K8">
            <v>10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20</v>
          </cell>
          <cell r="Q8">
            <v>20</v>
          </cell>
          <cell r="R8">
            <v>0</v>
          </cell>
          <cell r="S8">
            <v>66</v>
          </cell>
          <cell r="T8">
            <v>20</v>
          </cell>
        </row>
        <row r="9">
          <cell r="C9" t="str">
            <v>Census Tract 5, King County, Washington</v>
          </cell>
          <cell r="D9">
            <v>78</v>
          </cell>
          <cell r="E9">
            <v>43</v>
          </cell>
          <cell r="F9">
            <v>26</v>
          </cell>
          <cell r="G9">
            <v>17</v>
          </cell>
          <cell r="H9">
            <v>0</v>
          </cell>
          <cell r="I9">
            <v>0</v>
          </cell>
          <cell r="J9">
            <v>0</v>
          </cell>
          <cell r="K9">
            <v>17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35</v>
          </cell>
          <cell r="Q9">
            <v>18</v>
          </cell>
          <cell r="R9">
            <v>17</v>
          </cell>
          <cell r="S9">
            <v>43</v>
          </cell>
          <cell r="T9">
            <v>35</v>
          </cell>
        </row>
        <row r="10">
          <cell r="C10" t="str">
            <v>Census Tract 6, King County, Washington</v>
          </cell>
          <cell r="D10">
            <v>273</v>
          </cell>
          <cell r="E10">
            <v>80</v>
          </cell>
          <cell r="F10">
            <v>54</v>
          </cell>
          <cell r="G10">
            <v>26</v>
          </cell>
          <cell r="H10">
            <v>0</v>
          </cell>
          <cell r="I10">
            <v>0</v>
          </cell>
          <cell r="J10">
            <v>6</v>
          </cell>
          <cell r="K10">
            <v>20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193</v>
          </cell>
          <cell r="Q10">
            <v>46</v>
          </cell>
          <cell r="R10">
            <v>147</v>
          </cell>
          <cell r="S10">
            <v>80</v>
          </cell>
          <cell r="T10">
            <v>193</v>
          </cell>
        </row>
        <row r="11">
          <cell r="C11" t="str">
            <v>Census Tract 7, King County, Washington</v>
          </cell>
          <cell r="D11">
            <v>72</v>
          </cell>
          <cell r="E11">
            <v>62</v>
          </cell>
          <cell r="F11">
            <v>9</v>
          </cell>
          <cell r="G11">
            <v>53</v>
          </cell>
          <cell r="H11">
            <v>18</v>
          </cell>
          <cell r="I11">
            <v>11</v>
          </cell>
          <cell r="J11">
            <v>13</v>
          </cell>
          <cell r="K11">
            <v>11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10</v>
          </cell>
          <cell r="Q11">
            <v>0</v>
          </cell>
          <cell r="R11">
            <v>10</v>
          </cell>
          <cell r="S11">
            <v>62</v>
          </cell>
          <cell r="T11">
            <v>10</v>
          </cell>
        </row>
        <row r="12">
          <cell r="C12" t="str">
            <v>Census Tract 8, King County, Washington</v>
          </cell>
          <cell r="D12">
            <v>32</v>
          </cell>
          <cell r="E12">
            <v>27</v>
          </cell>
          <cell r="F12">
            <v>8</v>
          </cell>
          <cell r="G12">
            <v>19</v>
          </cell>
          <cell r="H12">
            <v>0</v>
          </cell>
          <cell r="I12">
            <v>0</v>
          </cell>
          <cell r="J12">
            <v>8</v>
          </cell>
          <cell r="K12">
            <v>11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</v>
          </cell>
          <cell r="Q12">
            <v>5</v>
          </cell>
          <cell r="R12">
            <v>0</v>
          </cell>
          <cell r="S12">
            <v>27</v>
          </cell>
          <cell r="T12">
            <v>5</v>
          </cell>
        </row>
        <row r="13">
          <cell r="C13" t="str">
            <v>Census Tract 9, King County, Washington</v>
          </cell>
          <cell r="D13">
            <v>21</v>
          </cell>
          <cell r="E13">
            <v>21</v>
          </cell>
          <cell r="F13">
            <v>6</v>
          </cell>
          <cell r="G13">
            <v>15</v>
          </cell>
          <cell r="H13">
            <v>0</v>
          </cell>
          <cell r="I13">
            <v>0</v>
          </cell>
          <cell r="J13">
            <v>0</v>
          </cell>
          <cell r="K13">
            <v>15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21</v>
          </cell>
          <cell r="T13">
            <v>0</v>
          </cell>
        </row>
        <row r="14">
          <cell r="C14" t="str">
            <v>Census Tract 10, King County, Washington</v>
          </cell>
          <cell r="D14">
            <v>45</v>
          </cell>
          <cell r="E14">
            <v>45</v>
          </cell>
          <cell r="F14">
            <v>27</v>
          </cell>
          <cell r="G14">
            <v>18</v>
          </cell>
          <cell r="H14">
            <v>0</v>
          </cell>
          <cell r="I14">
            <v>0</v>
          </cell>
          <cell r="J14">
            <v>0</v>
          </cell>
          <cell r="K14">
            <v>18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45</v>
          </cell>
          <cell r="T14">
            <v>0</v>
          </cell>
        </row>
        <row r="15">
          <cell r="C15" t="str">
            <v>Census Tract 11, King County, Washington</v>
          </cell>
          <cell r="D15">
            <v>63</v>
          </cell>
          <cell r="E15">
            <v>57</v>
          </cell>
          <cell r="F15">
            <v>43</v>
          </cell>
          <cell r="G15">
            <v>14</v>
          </cell>
          <cell r="H15">
            <v>0</v>
          </cell>
          <cell r="I15">
            <v>0</v>
          </cell>
          <cell r="J15">
            <v>3</v>
          </cell>
          <cell r="K15">
            <v>11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6</v>
          </cell>
          <cell r="Q15">
            <v>0</v>
          </cell>
          <cell r="R15">
            <v>6</v>
          </cell>
          <cell r="S15">
            <v>57</v>
          </cell>
          <cell r="T15">
            <v>6</v>
          </cell>
        </row>
        <row r="16">
          <cell r="C16" t="str">
            <v>Census Tract 12, King County, Washington</v>
          </cell>
          <cell r="D16">
            <v>164</v>
          </cell>
          <cell r="E16">
            <v>94</v>
          </cell>
          <cell r="F16">
            <v>9</v>
          </cell>
          <cell r="G16">
            <v>85</v>
          </cell>
          <cell r="H16">
            <v>13</v>
          </cell>
          <cell r="I16">
            <v>14</v>
          </cell>
          <cell r="J16">
            <v>12</v>
          </cell>
          <cell r="K16">
            <v>46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70</v>
          </cell>
          <cell r="Q16">
            <v>20</v>
          </cell>
          <cell r="R16">
            <v>50</v>
          </cell>
          <cell r="S16">
            <v>94</v>
          </cell>
          <cell r="T16">
            <v>70</v>
          </cell>
        </row>
        <row r="17">
          <cell r="C17" t="str">
            <v>Census Tract 13, King County, Washington</v>
          </cell>
          <cell r="D17">
            <v>197</v>
          </cell>
          <cell r="E17">
            <v>121</v>
          </cell>
          <cell r="F17">
            <v>35</v>
          </cell>
          <cell r="G17">
            <v>72</v>
          </cell>
          <cell r="H17">
            <v>39</v>
          </cell>
          <cell r="I17">
            <v>0</v>
          </cell>
          <cell r="J17">
            <v>22</v>
          </cell>
          <cell r="K17">
            <v>11</v>
          </cell>
          <cell r="L17">
            <v>14</v>
          </cell>
          <cell r="M17">
            <v>0</v>
          </cell>
          <cell r="N17">
            <v>0</v>
          </cell>
          <cell r="O17">
            <v>14</v>
          </cell>
          <cell r="P17">
            <v>76</v>
          </cell>
          <cell r="Q17">
            <v>29</v>
          </cell>
          <cell r="R17">
            <v>47</v>
          </cell>
          <cell r="S17">
            <v>107</v>
          </cell>
          <cell r="T17">
            <v>90</v>
          </cell>
        </row>
        <row r="18">
          <cell r="C18" t="str">
            <v>Census Tract 14, King County, Washington</v>
          </cell>
          <cell r="D18">
            <v>108</v>
          </cell>
          <cell r="E18">
            <v>77</v>
          </cell>
          <cell r="F18">
            <v>62</v>
          </cell>
          <cell r="G18">
            <v>15</v>
          </cell>
          <cell r="H18">
            <v>0</v>
          </cell>
          <cell r="I18">
            <v>0</v>
          </cell>
          <cell r="J18">
            <v>0</v>
          </cell>
          <cell r="K18">
            <v>15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31</v>
          </cell>
          <cell r="Q18">
            <v>31</v>
          </cell>
          <cell r="R18">
            <v>0</v>
          </cell>
          <cell r="S18">
            <v>77</v>
          </cell>
          <cell r="T18">
            <v>31</v>
          </cell>
        </row>
        <row r="19">
          <cell r="C19" t="str">
            <v>Census Tract 15, King County, Washington</v>
          </cell>
          <cell r="D19">
            <v>76</v>
          </cell>
          <cell r="E19">
            <v>64</v>
          </cell>
          <cell r="F19">
            <v>31</v>
          </cell>
          <cell r="G19">
            <v>28</v>
          </cell>
          <cell r="H19">
            <v>0</v>
          </cell>
          <cell r="I19">
            <v>0</v>
          </cell>
          <cell r="J19">
            <v>0</v>
          </cell>
          <cell r="K19">
            <v>28</v>
          </cell>
          <cell r="L19">
            <v>5</v>
          </cell>
          <cell r="M19">
            <v>0</v>
          </cell>
          <cell r="N19">
            <v>0</v>
          </cell>
          <cell r="O19">
            <v>5</v>
          </cell>
          <cell r="P19">
            <v>12</v>
          </cell>
          <cell r="Q19">
            <v>0</v>
          </cell>
          <cell r="R19">
            <v>12</v>
          </cell>
          <cell r="S19">
            <v>59</v>
          </cell>
          <cell r="T19">
            <v>17</v>
          </cell>
        </row>
        <row r="20">
          <cell r="C20" t="str">
            <v>Census Tract 16, King County, Washington</v>
          </cell>
          <cell r="D20">
            <v>33</v>
          </cell>
          <cell r="E20">
            <v>26</v>
          </cell>
          <cell r="F20">
            <v>0</v>
          </cell>
          <cell r="G20">
            <v>26</v>
          </cell>
          <cell r="H20">
            <v>0</v>
          </cell>
          <cell r="I20">
            <v>9</v>
          </cell>
          <cell r="J20">
            <v>17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7</v>
          </cell>
          <cell r="Q20">
            <v>7</v>
          </cell>
          <cell r="R20">
            <v>0</v>
          </cell>
          <cell r="S20">
            <v>26</v>
          </cell>
          <cell r="T20">
            <v>7</v>
          </cell>
        </row>
        <row r="21">
          <cell r="C21" t="str">
            <v>Census Tract 17, King County, Washington</v>
          </cell>
          <cell r="D21">
            <v>206</v>
          </cell>
          <cell r="E21">
            <v>96</v>
          </cell>
          <cell r="F21">
            <v>59</v>
          </cell>
          <cell r="G21">
            <v>33</v>
          </cell>
          <cell r="H21">
            <v>0</v>
          </cell>
          <cell r="I21">
            <v>0</v>
          </cell>
          <cell r="J21">
            <v>6</v>
          </cell>
          <cell r="K21">
            <v>27</v>
          </cell>
          <cell r="L21">
            <v>4</v>
          </cell>
          <cell r="M21">
            <v>0</v>
          </cell>
          <cell r="N21">
            <v>0</v>
          </cell>
          <cell r="O21">
            <v>4</v>
          </cell>
          <cell r="P21">
            <v>110</v>
          </cell>
          <cell r="Q21">
            <v>39</v>
          </cell>
          <cell r="R21">
            <v>71</v>
          </cell>
          <cell r="S21">
            <v>92</v>
          </cell>
          <cell r="T21">
            <v>114</v>
          </cell>
        </row>
        <row r="22">
          <cell r="C22" t="str">
            <v>Census Tract 18, King County, Washington</v>
          </cell>
          <cell r="D22">
            <v>62</v>
          </cell>
          <cell r="E22">
            <v>33</v>
          </cell>
          <cell r="F22">
            <v>22</v>
          </cell>
          <cell r="G22">
            <v>11</v>
          </cell>
          <cell r="H22">
            <v>7</v>
          </cell>
          <cell r="I22">
            <v>0</v>
          </cell>
          <cell r="J22">
            <v>0</v>
          </cell>
          <cell r="K22">
            <v>4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29</v>
          </cell>
          <cell r="Q22">
            <v>0</v>
          </cell>
          <cell r="R22">
            <v>29</v>
          </cell>
          <cell r="S22">
            <v>33</v>
          </cell>
          <cell r="T22">
            <v>29</v>
          </cell>
        </row>
        <row r="23">
          <cell r="C23" t="str">
            <v>Census Tract 19, King County, Washington</v>
          </cell>
          <cell r="D23">
            <v>44</v>
          </cell>
          <cell r="E23">
            <v>44</v>
          </cell>
          <cell r="F23">
            <v>12</v>
          </cell>
          <cell r="G23">
            <v>32</v>
          </cell>
          <cell r="H23">
            <v>6</v>
          </cell>
          <cell r="I23">
            <v>0</v>
          </cell>
          <cell r="J23">
            <v>0</v>
          </cell>
          <cell r="K23">
            <v>26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44</v>
          </cell>
          <cell r="T23">
            <v>0</v>
          </cell>
        </row>
        <row r="24">
          <cell r="C24" t="str">
            <v>Census Tract 20, King County, Washington</v>
          </cell>
          <cell r="D24">
            <v>29</v>
          </cell>
          <cell r="E24">
            <v>18</v>
          </cell>
          <cell r="F24">
            <v>5</v>
          </cell>
          <cell r="G24">
            <v>13</v>
          </cell>
          <cell r="H24">
            <v>7</v>
          </cell>
          <cell r="I24">
            <v>0</v>
          </cell>
          <cell r="J24">
            <v>6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11</v>
          </cell>
          <cell r="Q24">
            <v>0</v>
          </cell>
          <cell r="R24">
            <v>11</v>
          </cell>
          <cell r="S24">
            <v>18</v>
          </cell>
          <cell r="T24">
            <v>11</v>
          </cell>
        </row>
        <row r="25">
          <cell r="C25" t="str">
            <v>Census Tract 21, King County, Washington</v>
          </cell>
          <cell r="D25">
            <v>72</v>
          </cell>
          <cell r="E25">
            <v>65</v>
          </cell>
          <cell r="F25">
            <v>23</v>
          </cell>
          <cell r="G25">
            <v>36</v>
          </cell>
          <cell r="H25">
            <v>0</v>
          </cell>
          <cell r="I25">
            <v>0</v>
          </cell>
          <cell r="J25">
            <v>0</v>
          </cell>
          <cell r="K25">
            <v>36</v>
          </cell>
          <cell r="L25">
            <v>6</v>
          </cell>
          <cell r="M25">
            <v>0</v>
          </cell>
          <cell r="N25">
            <v>0</v>
          </cell>
          <cell r="O25">
            <v>6</v>
          </cell>
          <cell r="P25">
            <v>7</v>
          </cell>
          <cell r="Q25">
            <v>7</v>
          </cell>
          <cell r="R25">
            <v>0</v>
          </cell>
          <cell r="S25">
            <v>59</v>
          </cell>
          <cell r="T25">
            <v>13</v>
          </cell>
        </row>
        <row r="26">
          <cell r="C26" t="str">
            <v>Census Tract 22, King County, Washington</v>
          </cell>
          <cell r="D26">
            <v>116</v>
          </cell>
          <cell r="E26">
            <v>86</v>
          </cell>
          <cell r="F26">
            <v>48</v>
          </cell>
          <cell r="G26">
            <v>32</v>
          </cell>
          <cell r="H26">
            <v>0</v>
          </cell>
          <cell r="I26">
            <v>0</v>
          </cell>
          <cell r="J26">
            <v>16</v>
          </cell>
          <cell r="K26">
            <v>16</v>
          </cell>
          <cell r="L26">
            <v>6</v>
          </cell>
          <cell r="M26">
            <v>0</v>
          </cell>
          <cell r="N26">
            <v>0</v>
          </cell>
          <cell r="O26">
            <v>6</v>
          </cell>
          <cell r="P26">
            <v>30</v>
          </cell>
          <cell r="Q26">
            <v>30</v>
          </cell>
          <cell r="R26">
            <v>0</v>
          </cell>
          <cell r="S26">
            <v>80</v>
          </cell>
          <cell r="T26">
            <v>36</v>
          </cell>
        </row>
        <row r="27">
          <cell r="C27" t="str">
            <v>Census Tract 24, King County, Washington</v>
          </cell>
          <cell r="D27">
            <v>34</v>
          </cell>
          <cell r="E27">
            <v>18</v>
          </cell>
          <cell r="F27">
            <v>8</v>
          </cell>
          <cell r="G27">
            <v>10</v>
          </cell>
          <cell r="H27">
            <v>4</v>
          </cell>
          <cell r="I27">
            <v>0</v>
          </cell>
          <cell r="J27">
            <v>0</v>
          </cell>
          <cell r="K27">
            <v>6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16</v>
          </cell>
          <cell r="Q27">
            <v>16</v>
          </cell>
          <cell r="R27">
            <v>0</v>
          </cell>
          <cell r="S27">
            <v>18</v>
          </cell>
          <cell r="T27">
            <v>16</v>
          </cell>
        </row>
        <row r="28">
          <cell r="C28" t="str">
            <v>Census Tract 25, King County, Washington</v>
          </cell>
          <cell r="D28">
            <v>26</v>
          </cell>
          <cell r="E28">
            <v>26</v>
          </cell>
          <cell r="F28">
            <v>7</v>
          </cell>
          <cell r="G28">
            <v>19</v>
          </cell>
          <cell r="H28">
            <v>7</v>
          </cell>
          <cell r="I28">
            <v>4</v>
          </cell>
          <cell r="J28">
            <v>0</v>
          </cell>
          <cell r="K28">
            <v>8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26</v>
          </cell>
          <cell r="T28">
            <v>0</v>
          </cell>
        </row>
        <row r="29">
          <cell r="C29" t="str">
            <v>Census Tract 26, King County, Washington</v>
          </cell>
          <cell r="D29">
            <v>81</v>
          </cell>
          <cell r="E29">
            <v>67</v>
          </cell>
          <cell r="F29">
            <v>22</v>
          </cell>
          <cell r="G29">
            <v>45</v>
          </cell>
          <cell r="H29">
            <v>0</v>
          </cell>
          <cell r="I29">
            <v>6</v>
          </cell>
          <cell r="J29">
            <v>15</v>
          </cell>
          <cell r="K29">
            <v>24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14</v>
          </cell>
          <cell r="Q29">
            <v>11</v>
          </cell>
          <cell r="R29">
            <v>3</v>
          </cell>
          <cell r="S29">
            <v>67</v>
          </cell>
          <cell r="T29">
            <v>14</v>
          </cell>
        </row>
        <row r="30">
          <cell r="C30" t="str">
            <v>Census Tract 27, King County, Washington</v>
          </cell>
          <cell r="D30">
            <v>19</v>
          </cell>
          <cell r="E30">
            <v>19</v>
          </cell>
          <cell r="F30">
            <v>0</v>
          </cell>
          <cell r="G30">
            <v>19</v>
          </cell>
          <cell r="H30">
            <v>0</v>
          </cell>
          <cell r="I30">
            <v>0</v>
          </cell>
          <cell r="J30">
            <v>0</v>
          </cell>
          <cell r="K30">
            <v>19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19</v>
          </cell>
          <cell r="T30">
            <v>0</v>
          </cell>
        </row>
        <row r="31">
          <cell r="C31" t="str">
            <v>Census Tract 28, King County, Washington</v>
          </cell>
          <cell r="D31">
            <v>126</v>
          </cell>
          <cell r="E31">
            <v>87</v>
          </cell>
          <cell r="F31">
            <v>37</v>
          </cell>
          <cell r="G31">
            <v>50</v>
          </cell>
          <cell r="H31">
            <v>0</v>
          </cell>
          <cell r="I31">
            <v>9</v>
          </cell>
          <cell r="J31">
            <v>0</v>
          </cell>
          <cell r="K31">
            <v>41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39</v>
          </cell>
          <cell r="Q31">
            <v>8</v>
          </cell>
          <cell r="R31">
            <v>31</v>
          </cell>
          <cell r="S31">
            <v>87</v>
          </cell>
          <cell r="T31">
            <v>39</v>
          </cell>
        </row>
        <row r="32">
          <cell r="C32" t="str">
            <v>Census Tract 29, King County, Washington</v>
          </cell>
          <cell r="D32">
            <v>76</v>
          </cell>
          <cell r="E32">
            <v>59</v>
          </cell>
          <cell r="F32">
            <v>22</v>
          </cell>
          <cell r="G32">
            <v>37</v>
          </cell>
          <cell r="H32">
            <v>8</v>
          </cell>
          <cell r="I32">
            <v>9</v>
          </cell>
          <cell r="J32">
            <v>10</v>
          </cell>
          <cell r="K32">
            <v>10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17</v>
          </cell>
          <cell r="Q32">
            <v>7</v>
          </cell>
          <cell r="R32">
            <v>10</v>
          </cell>
          <cell r="S32">
            <v>59</v>
          </cell>
          <cell r="T32">
            <v>17</v>
          </cell>
        </row>
        <row r="33">
          <cell r="C33" t="str">
            <v>Census Tract 30, King County, Washington</v>
          </cell>
          <cell r="D33">
            <v>148</v>
          </cell>
          <cell r="E33">
            <v>80</v>
          </cell>
          <cell r="F33">
            <v>26</v>
          </cell>
          <cell r="G33">
            <v>54</v>
          </cell>
          <cell r="H33">
            <v>0</v>
          </cell>
          <cell r="I33">
            <v>0</v>
          </cell>
          <cell r="J33">
            <v>16</v>
          </cell>
          <cell r="K33">
            <v>38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68</v>
          </cell>
          <cell r="Q33">
            <v>18</v>
          </cell>
          <cell r="R33">
            <v>50</v>
          </cell>
          <cell r="S33">
            <v>80</v>
          </cell>
          <cell r="T33">
            <v>68</v>
          </cell>
        </row>
        <row r="34">
          <cell r="C34" t="str">
            <v>Census Tract 31, King County, Washington</v>
          </cell>
          <cell r="D34">
            <v>172</v>
          </cell>
          <cell r="E34">
            <v>143</v>
          </cell>
          <cell r="F34">
            <v>73</v>
          </cell>
          <cell r="G34">
            <v>70</v>
          </cell>
          <cell r="H34">
            <v>14</v>
          </cell>
          <cell r="I34">
            <v>9</v>
          </cell>
          <cell r="J34">
            <v>8</v>
          </cell>
          <cell r="K34">
            <v>39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29</v>
          </cell>
          <cell r="Q34">
            <v>13</v>
          </cell>
          <cell r="R34">
            <v>16</v>
          </cell>
          <cell r="S34">
            <v>143</v>
          </cell>
          <cell r="T34">
            <v>29</v>
          </cell>
        </row>
        <row r="35">
          <cell r="C35" t="str">
            <v>Census Tract 32, King County, Washington</v>
          </cell>
          <cell r="D35">
            <v>104</v>
          </cell>
          <cell r="E35">
            <v>52</v>
          </cell>
          <cell r="F35">
            <v>18</v>
          </cell>
          <cell r="G35">
            <v>34</v>
          </cell>
          <cell r="H35">
            <v>16</v>
          </cell>
          <cell r="I35">
            <v>0</v>
          </cell>
          <cell r="J35">
            <v>12</v>
          </cell>
          <cell r="K35">
            <v>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52</v>
          </cell>
          <cell r="Q35">
            <v>0</v>
          </cell>
          <cell r="R35">
            <v>52</v>
          </cell>
          <cell r="S35">
            <v>52</v>
          </cell>
          <cell r="T35">
            <v>52</v>
          </cell>
        </row>
        <row r="36">
          <cell r="C36" t="str">
            <v>Census Tract 33, King County, Washington</v>
          </cell>
          <cell r="D36">
            <v>106</v>
          </cell>
          <cell r="E36">
            <v>77</v>
          </cell>
          <cell r="F36">
            <v>6</v>
          </cell>
          <cell r="G36">
            <v>71</v>
          </cell>
          <cell r="H36">
            <v>0</v>
          </cell>
          <cell r="I36">
            <v>28</v>
          </cell>
          <cell r="J36">
            <v>16</v>
          </cell>
          <cell r="K36">
            <v>27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29</v>
          </cell>
          <cell r="Q36">
            <v>15</v>
          </cell>
          <cell r="R36">
            <v>14</v>
          </cell>
          <cell r="S36">
            <v>77</v>
          </cell>
          <cell r="T36">
            <v>29</v>
          </cell>
        </row>
        <row r="37">
          <cell r="C37" t="str">
            <v>Census Tract 34, King County, Washington</v>
          </cell>
          <cell r="D37">
            <v>48</v>
          </cell>
          <cell r="E37">
            <v>44</v>
          </cell>
          <cell r="F37">
            <v>13</v>
          </cell>
          <cell r="G37">
            <v>22</v>
          </cell>
          <cell r="H37">
            <v>0</v>
          </cell>
          <cell r="I37">
            <v>0</v>
          </cell>
          <cell r="J37">
            <v>0</v>
          </cell>
          <cell r="K37">
            <v>22</v>
          </cell>
          <cell r="L37">
            <v>9</v>
          </cell>
          <cell r="M37">
            <v>0</v>
          </cell>
          <cell r="N37">
            <v>0</v>
          </cell>
          <cell r="O37">
            <v>9</v>
          </cell>
          <cell r="P37">
            <v>4</v>
          </cell>
          <cell r="Q37">
            <v>4</v>
          </cell>
          <cell r="R37">
            <v>0</v>
          </cell>
          <cell r="S37">
            <v>35</v>
          </cell>
          <cell r="T37">
            <v>13</v>
          </cell>
        </row>
        <row r="38">
          <cell r="C38" t="str">
            <v>Census Tract 35, King County, Washington</v>
          </cell>
          <cell r="D38">
            <v>32</v>
          </cell>
          <cell r="E38">
            <v>27</v>
          </cell>
          <cell r="F38">
            <v>4</v>
          </cell>
          <cell r="G38">
            <v>23</v>
          </cell>
          <cell r="H38">
            <v>9</v>
          </cell>
          <cell r="I38">
            <v>0</v>
          </cell>
          <cell r="J38">
            <v>0</v>
          </cell>
          <cell r="K38">
            <v>14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5</v>
          </cell>
          <cell r="Q38">
            <v>5</v>
          </cell>
          <cell r="R38">
            <v>0</v>
          </cell>
          <cell r="S38">
            <v>27</v>
          </cell>
          <cell r="T38">
            <v>5</v>
          </cell>
        </row>
        <row r="39">
          <cell r="C39" t="str">
            <v>Census Tract 36, King County, Washington</v>
          </cell>
          <cell r="D39">
            <v>66</v>
          </cell>
          <cell r="E39">
            <v>50</v>
          </cell>
          <cell r="F39">
            <v>12</v>
          </cell>
          <cell r="G39">
            <v>38</v>
          </cell>
          <cell r="H39">
            <v>0</v>
          </cell>
          <cell r="I39">
            <v>17</v>
          </cell>
          <cell r="J39">
            <v>0</v>
          </cell>
          <cell r="K39">
            <v>21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16</v>
          </cell>
          <cell r="Q39">
            <v>0</v>
          </cell>
          <cell r="R39">
            <v>16</v>
          </cell>
          <cell r="S39">
            <v>50</v>
          </cell>
          <cell r="T39">
            <v>16</v>
          </cell>
        </row>
        <row r="40">
          <cell r="C40" t="str">
            <v>Census Tract 38, King County, Washington</v>
          </cell>
          <cell r="D40">
            <v>19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19</v>
          </cell>
          <cell r="Q40">
            <v>19</v>
          </cell>
          <cell r="R40">
            <v>0</v>
          </cell>
          <cell r="S40">
            <v>0</v>
          </cell>
          <cell r="T40">
            <v>19</v>
          </cell>
        </row>
        <row r="41">
          <cell r="C41" t="str">
            <v>Census Tract 39, King County, Washington</v>
          </cell>
          <cell r="D41">
            <v>62</v>
          </cell>
          <cell r="E41">
            <v>52</v>
          </cell>
          <cell r="F41">
            <v>10</v>
          </cell>
          <cell r="G41">
            <v>42</v>
          </cell>
          <cell r="H41">
            <v>11</v>
          </cell>
          <cell r="I41">
            <v>0</v>
          </cell>
          <cell r="J41">
            <v>10</v>
          </cell>
          <cell r="K41">
            <v>21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10</v>
          </cell>
          <cell r="Q41">
            <v>10</v>
          </cell>
          <cell r="R41">
            <v>0</v>
          </cell>
          <cell r="S41">
            <v>52</v>
          </cell>
          <cell r="T41">
            <v>10</v>
          </cell>
        </row>
        <row r="42">
          <cell r="C42" t="str">
            <v>Census Tract 40, King County, Washington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C43" t="str">
            <v>Census Tract 41, King County, Washington</v>
          </cell>
          <cell r="D43">
            <v>99</v>
          </cell>
          <cell r="E43">
            <v>35</v>
          </cell>
          <cell r="F43">
            <v>18</v>
          </cell>
          <cell r="G43">
            <v>17</v>
          </cell>
          <cell r="H43">
            <v>0</v>
          </cell>
          <cell r="I43">
            <v>11</v>
          </cell>
          <cell r="J43">
            <v>6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64</v>
          </cell>
          <cell r="Q43">
            <v>29</v>
          </cell>
          <cell r="R43">
            <v>35</v>
          </cell>
          <cell r="S43">
            <v>35</v>
          </cell>
          <cell r="T43">
            <v>64</v>
          </cell>
        </row>
        <row r="44">
          <cell r="C44" t="str">
            <v>Census Tract 42, King County, Washington</v>
          </cell>
          <cell r="D44">
            <v>159</v>
          </cell>
          <cell r="E44">
            <v>122</v>
          </cell>
          <cell r="F44">
            <v>59</v>
          </cell>
          <cell r="G44">
            <v>35</v>
          </cell>
          <cell r="H44">
            <v>0</v>
          </cell>
          <cell r="I44">
            <v>3</v>
          </cell>
          <cell r="J44">
            <v>0</v>
          </cell>
          <cell r="K44">
            <v>32</v>
          </cell>
          <cell r="L44">
            <v>28</v>
          </cell>
          <cell r="M44">
            <v>0</v>
          </cell>
          <cell r="N44">
            <v>0</v>
          </cell>
          <cell r="O44">
            <v>28</v>
          </cell>
          <cell r="P44">
            <v>37</v>
          </cell>
          <cell r="Q44">
            <v>14</v>
          </cell>
          <cell r="R44">
            <v>23</v>
          </cell>
          <cell r="S44">
            <v>94</v>
          </cell>
          <cell r="T44">
            <v>65</v>
          </cell>
        </row>
        <row r="45">
          <cell r="C45" t="str">
            <v>Census Tract 43, King County, Washington</v>
          </cell>
          <cell r="D45">
            <v>123</v>
          </cell>
          <cell r="E45">
            <v>97</v>
          </cell>
          <cell r="F45">
            <v>27</v>
          </cell>
          <cell r="G45">
            <v>68</v>
          </cell>
          <cell r="H45">
            <v>2</v>
          </cell>
          <cell r="I45">
            <v>15</v>
          </cell>
          <cell r="J45">
            <v>7</v>
          </cell>
          <cell r="K45">
            <v>44</v>
          </cell>
          <cell r="L45">
            <v>2</v>
          </cell>
          <cell r="M45">
            <v>2</v>
          </cell>
          <cell r="N45">
            <v>0</v>
          </cell>
          <cell r="O45">
            <v>0</v>
          </cell>
          <cell r="P45">
            <v>26</v>
          </cell>
          <cell r="Q45">
            <v>8</v>
          </cell>
          <cell r="R45">
            <v>18</v>
          </cell>
          <cell r="S45">
            <v>95</v>
          </cell>
          <cell r="T45">
            <v>28</v>
          </cell>
        </row>
        <row r="46">
          <cell r="C46" t="str">
            <v>Census Tract 44, King County, Washington</v>
          </cell>
          <cell r="D46">
            <v>117</v>
          </cell>
          <cell r="E46">
            <v>66</v>
          </cell>
          <cell r="F46">
            <v>15</v>
          </cell>
          <cell r="G46">
            <v>51</v>
          </cell>
          <cell r="H46">
            <v>0</v>
          </cell>
          <cell r="I46">
            <v>0</v>
          </cell>
          <cell r="J46">
            <v>0</v>
          </cell>
          <cell r="K46">
            <v>51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51</v>
          </cell>
          <cell r="Q46">
            <v>0</v>
          </cell>
          <cell r="R46">
            <v>51</v>
          </cell>
          <cell r="S46">
            <v>66</v>
          </cell>
          <cell r="T46">
            <v>51</v>
          </cell>
        </row>
        <row r="47">
          <cell r="C47" t="str">
            <v>Census Tract 45, King County, Washington</v>
          </cell>
          <cell r="D47">
            <v>68</v>
          </cell>
          <cell r="E47">
            <v>61</v>
          </cell>
          <cell r="F47">
            <v>17</v>
          </cell>
          <cell r="G47">
            <v>40</v>
          </cell>
          <cell r="H47">
            <v>6</v>
          </cell>
          <cell r="I47">
            <v>0</v>
          </cell>
          <cell r="J47">
            <v>5</v>
          </cell>
          <cell r="K47">
            <v>29</v>
          </cell>
          <cell r="L47">
            <v>4</v>
          </cell>
          <cell r="M47">
            <v>4</v>
          </cell>
          <cell r="N47">
            <v>0</v>
          </cell>
          <cell r="O47">
            <v>0</v>
          </cell>
          <cell r="P47">
            <v>7</v>
          </cell>
          <cell r="Q47">
            <v>7</v>
          </cell>
          <cell r="R47">
            <v>0</v>
          </cell>
          <cell r="S47">
            <v>57</v>
          </cell>
          <cell r="T47">
            <v>11</v>
          </cell>
        </row>
        <row r="48">
          <cell r="C48" t="str">
            <v>Census Tract 46, King County, Washington</v>
          </cell>
          <cell r="D48">
            <v>72</v>
          </cell>
          <cell r="E48">
            <v>50</v>
          </cell>
          <cell r="F48">
            <v>20</v>
          </cell>
          <cell r="G48">
            <v>27</v>
          </cell>
          <cell r="H48">
            <v>5</v>
          </cell>
          <cell r="I48">
            <v>3</v>
          </cell>
          <cell r="J48">
            <v>0</v>
          </cell>
          <cell r="K48">
            <v>19</v>
          </cell>
          <cell r="L48">
            <v>3</v>
          </cell>
          <cell r="M48">
            <v>0</v>
          </cell>
          <cell r="N48">
            <v>0</v>
          </cell>
          <cell r="O48">
            <v>3</v>
          </cell>
          <cell r="P48">
            <v>22</v>
          </cell>
          <cell r="Q48">
            <v>17</v>
          </cell>
          <cell r="R48">
            <v>5</v>
          </cell>
          <cell r="S48">
            <v>47</v>
          </cell>
          <cell r="T48">
            <v>25</v>
          </cell>
        </row>
        <row r="49">
          <cell r="C49" t="str">
            <v>Census Tract 47, King County, Washington</v>
          </cell>
          <cell r="D49">
            <v>88</v>
          </cell>
          <cell r="E49">
            <v>77</v>
          </cell>
          <cell r="F49">
            <v>34</v>
          </cell>
          <cell r="G49">
            <v>31</v>
          </cell>
          <cell r="H49">
            <v>7</v>
          </cell>
          <cell r="I49">
            <v>3</v>
          </cell>
          <cell r="J49">
            <v>0</v>
          </cell>
          <cell r="K49">
            <v>21</v>
          </cell>
          <cell r="L49">
            <v>12</v>
          </cell>
          <cell r="M49">
            <v>0</v>
          </cell>
          <cell r="N49">
            <v>0</v>
          </cell>
          <cell r="O49">
            <v>12</v>
          </cell>
          <cell r="P49">
            <v>11</v>
          </cell>
          <cell r="Q49">
            <v>7</v>
          </cell>
          <cell r="R49">
            <v>4</v>
          </cell>
          <cell r="S49">
            <v>65</v>
          </cell>
          <cell r="T49">
            <v>23</v>
          </cell>
        </row>
        <row r="50">
          <cell r="C50" t="str">
            <v>Census Tract 48, King County, Washington</v>
          </cell>
          <cell r="D50">
            <v>153</v>
          </cell>
          <cell r="E50">
            <v>106</v>
          </cell>
          <cell r="F50">
            <v>25</v>
          </cell>
          <cell r="G50">
            <v>72</v>
          </cell>
          <cell r="H50">
            <v>15</v>
          </cell>
          <cell r="I50">
            <v>20</v>
          </cell>
          <cell r="J50">
            <v>22</v>
          </cell>
          <cell r="K50">
            <v>15</v>
          </cell>
          <cell r="L50">
            <v>9</v>
          </cell>
          <cell r="M50">
            <v>0</v>
          </cell>
          <cell r="N50">
            <v>0</v>
          </cell>
          <cell r="O50">
            <v>9</v>
          </cell>
          <cell r="P50">
            <v>47</v>
          </cell>
          <cell r="Q50">
            <v>26</v>
          </cell>
          <cell r="R50">
            <v>21</v>
          </cell>
          <cell r="S50">
            <v>97</v>
          </cell>
          <cell r="T50">
            <v>56</v>
          </cell>
        </row>
        <row r="51">
          <cell r="C51" t="str">
            <v>Census Tract 49, King County, Washington</v>
          </cell>
          <cell r="D51">
            <v>98</v>
          </cell>
          <cell r="E51">
            <v>72</v>
          </cell>
          <cell r="F51">
            <v>33</v>
          </cell>
          <cell r="G51">
            <v>39</v>
          </cell>
          <cell r="H51">
            <v>14</v>
          </cell>
          <cell r="I51">
            <v>0</v>
          </cell>
          <cell r="J51">
            <v>9</v>
          </cell>
          <cell r="K51">
            <v>16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26</v>
          </cell>
          <cell r="Q51">
            <v>7</v>
          </cell>
          <cell r="R51">
            <v>19</v>
          </cell>
          <cell r="S51">
            <v>72</v>
          </cell>
          <cell r="T51">
            <v>26</v>
          </cell>
        </row>
        <row r="52">
          <cell r="C52" t="str">
            <v>Census Tract 50, King County, Washington</v>
          </cell>
          <cell r="D52">
            <v>64</v>
          </cell>
          <cell r="E52">
            <v>45</v>
          </cell>
          <cell r="F52">
            <v>17</v>
          </cell>
          <cell r="G52">
            <v>22</v>
          </cell>
          <cell r="H52">
            <v>5</v>
          </cell>
          <cell r="I52">
            <v>0</v>
          </cell>
          <cell r="J52">
            <v>6</v>
          </cell>
          <cell r="K52">
            <v>11</v>
          </cell>
          <cell r="L52">
            <v>6</v>
          </cell>
          <cell r="M52">
            <v>0</v>
          </cell>
          <cell r="N52">
            <v>0</v>
          </cell>
          <cell r="O52">
            <v>6</v>
          </cell>
          <cell r="P52">
            <v>19</v>
          </cell>
          <cell r="Q52">
            <v>5</v>
          </cell>
          <cell r="R52">
            <v>14</v>
          </cell>
          <cell r="S52">
            <v>39</v>
          </cell>
          <cell r="T52">
            <v>25</v>
          </cell>
        </row>
        <row r="53">
          <cell r="C53" t="str">
            <v>Census Tract 51, King County, Washington</v>
          </cell>
          <cell r="D53">
            <v>76</v>
          </cell>
          <cell r="E53">
            <v>56</v>
          </cell>
          <cell r="F53">
            <v>4</v>
          </cell>
          <cell r="G53">
            <v>35</v>
          </cell>
          <cell r="H53">
            <v>11</v>
          </cell>
          <cell r="I53">
            <v>6</v>
          </cell>
          <cell r="J53">
            <v>9</v>
          </cell>
          <cell r="K53">
            <v>9</v>
          </cell>
          <cell r="L53">
            <v>17</v>
          </cell>
          <cell r="M53">
            <v>7</v>
          </cell>
          <cell r="N53">
            <v>0</v>
          </cell>
          <cell r="O53">
            <v>10</v>
          </cell>
          <cell r="P53">
            <v>20</v>
          </cell>
          <cell r="Q53">
            <v>5</v>
          </cell>
          <cell r="R53">
            <v>15</v>
          </cell>
          <cell r="S53">
            <v>39</v>
          </cell>
          <cell r="T53">
            <v>37</v>
          </cell>
        </row>
        <row r="54">
          <cell r="C54" t="str">
            <v>Census Tract 52, King County, Washington</v>
          </cell>
          <cell r="D54">
            <v>82</v>
          </cell>
          <cell r="E54">
            <v>61</v>
          </cell>
          <cell r="F54">
            <v>14</v>
          </cell>
          <cell r="G54">
            <v>41</v>
          </cell>
          <cell r="H54">
            <v>7</v>
          </cell>
          <cell r="I54">
            <v>10</v>
          </cell>
          <cell r="J54">
            <v>0</v>
          </cell>
          <cell r="K54">
            <v>24</v>
          </cell>
          <cell r="L54">
            <v>6</v>
          </cell>
          <cell r="M54">
            <v>0</v>
          </cell>
          <cell r="N54">
            <v>0</v>
          </cell>
          <cell r="O54">
            <v>6</v>
          </cell>
          <cell r="P54">
            <v>21</v>
          </cell>
          <cell r="Q54">
            <v>4</v>
          </cell>
          <cell r="R54">
            <v>17</v>
          </cell>
          <cell r="S54">
            <v>55</v>
          </cell>
          <cell r="T54">
            <v>27</v>
          </cell>
        </row>
        <row r="55">
          <cell r="C55" t="str">
            <v>Census Tract 53.01, King County, Washington</v>
          </cell>
          <cell r="D55">
            <v>164</v>
          </cell>
          <cell r="E55">
            <v>95</v>
          </cell>
          <cell r="F55">
            <v>21</v>
          </cell>
          <cell r="G55">
            <v>68</v>
          </cell>
          <cell r="H55">
            <v>0</v>
          </cell>
          <cell r="I55">
            <v>0</v>
          </cell>
          <cell r="J55">
            <v>37</v>
          </cell>
          <cell r="K55">
            <v>31</v>
          </cell>
          <cell r="L55">
            <v>6</v>
          </cell>
          <cell r="M55">
            <v>0</v>
          </cell>
          <cell r="N55">
            <v>0</v>
          </cell>
          <cell r="O55">
            <v>6</v>
          </cell>
          <cell r="P55">
            <v>69</v>
          </cell>
          <cell r="Q55">
            <v>7</v>
          </cell>
          <cell r="R55">
            <v>62</v>
          </cell>
          <cell r="S55">
            <v>89</v>
          </cell>
          <cell r="T55">
            <v>75</v>
          </cell>
        </row>
        <row r="56">
          <cell r="C56" t="str">
            <v>Census Tract 53.02, King County, Washington</v>
          </cell>
          <cell r="D56">
            <v>39</v>
          </cell>
          <cell r="E56">
            <v>39</v>
          </cell>
          <cell r="F56">
            <v>10</v>
          </cell>
          <cell r="G56">
            <v>24</v>
          </cell>
          <cell r="H56">
            <v>0</v>
          </cell>
          <cell r="I56">
            <v>0</v>
          </cell>
          <cell r="J56">
            <v>0</v>
          </cell>
          <cell r="K56">
            <v>24</v>
          </cell>
          <cell r="L56">
            <v>5</v>
          </cell>
          <cell r="M56">
            <v>0</v>
          </cell>
          <cell r="N56">
            <v>0</v>
          </cell>
          <cell r="O56">
            <v>5</v>
          </cell>
          <cell r="P56">
            <v>0</v>
          </cell>
          <cell r="Q56">
            <v>0</v>
          </cell>
          <cell r="R56">
            <v>0</v>
          </cell>
          <cell r="S56">
            <v>34</v>
          </cell>
          <cell r="T56">
            <v>5</v>
          </cell>
        </row>
        <row r="57">
          <cell r="C57" t="str">
            <v>Census Tract 54, King County, Washington</v>
          </cell>
          <cell r="D57">
            <v>105</v>
          </cell>
          <cell r="E57">
            <v>93</v>
          </cell>
          <cell r="F57">
            <v>42</v>
          </cell>
          <cell r="G57">
            <v>51</v>
          </cell>
          <cell r="H57">
            <v>17</v>
          </cell>
          <cell r="I57">
            <v>12</v>
          </cell>
          <cell r="J57">
            <v>0</v>
          </cell>
          <cell r="K57">
            <v>22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12</v>
          </cell>
          <cell r="Q57">
            <v>12</v>
          </cell>
          <cell r="R57">
            <v>0</v>
          </cell>
          <cell r="S57">
            <v>93</v>
          </cell>
          <cell r="T57">
            <v>12</v>
          </cell>
        </row>
        <row r="58">
          <cell r="C58" t="str">
            <v>Census Tract 56, King County, Washington</v>
          </cell>
          <cell r="D58">
            <v>66</v>
          </cell>
          <cell r="E58">
            <v>66</v>
          </cell>
          <cell r="F58">
            <v>30</v>
          </cell>
          <cell r="G58">
            <v>29</v>
          </cell>
          <cell r="H58">
            <v>17</v>
          </cell>
          <cell r="I58">
            <v>6</v>
          </cell>
          <cell r="J58">
            <v>6</v>
          </cell>
          <cell r="K58">
            <v>0</v>
          </cell>
          <cell r="L58">
            <v>7</v>
          </cell>
          <cell r="M58">
            <v>7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59</v>
          </cell>
          <cell r="T58">
            <v>7</v>
          </cell>
        </row>
        <row r="59">
          <cell r="C59" t="str">
            <v>Census Tract 57, King County, Washington</v>
          </cell>
          <cell r="D59">
            <v>100</v>
          </cell>
          <cell r="E59">
            <v>71</v>
          </cell>
          <cell r="F59">
            <v>33</v>
          </cell>
          <cell r="G59">
            <v>38</v>
          </cell>
          <cell r="H59">
            <v>0</v>
          </cell>
          <cell r="I59">
            <v>15</v>
          </cell>
          <cell r="J59">
            <v>9</v>
          </cell>
          <cell r="K59">
            <v>14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29</v>
          </cell>
          <cell r="Q59">
            <v>12</v>
          </cell>
          <cell r="R59">
            <v>17</v>
          </cell>
          <cell r="S59">
            <v>71</v>
          </cell>
          <cell r="T59">
            <v>29</v>
          </cell>
        </row>
        <row r="60">
          <cell r="C60" t="str">
            <v>Census Tract 58.01, King County, Washington</v>
          </cell>
          <cell r="D60">
            <v>111</v>
          </cell>
          <cell r="E60">
            <v>66</v>
          </cell>
          <cell r="F60">
            <v>26</v>
          </cell>
          <cell r="G60">
            <v>40</v>
          </cell>
          <cell r="H60">
            <v>0</v>
          </cell>
          <cell r="I60">
            <v>0</v>
          </cell>
          <cell r="J60">
            <v>0</v>
          </cell>
          <cell r="K60">
            <v>40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45</v>
          </cell>
          <cell r="Q60">
            <v>0</v>
          </cell>
          <cell r="R60">
            <v>45</v>
          </cell>
          <cell r="S60">
            <v>66</v>
          </cell>
          <cell r="T60">
            <v>45</v>
          </cell>
        </row>
        <row r="61">
          <cell r="C61" t="str">
            <v>Census Tract 58.02, King County, Washington</v>
          </cell>
          <cell r="D61">
            <v>193</v>
          </cell>
          <cell r="E61">
            <v>119</v>
          </cell>
          <cell r="F61">
            <v>18</v>
          </cell>
          <cell r="G61">
            <v>86</v>
          </cell>
          <cell r="H61">
            <v>20</v>
          </cell>
          <cell r="I61">
            <v>0</v>
          </cell>
          <cell r="J61">
            <v>52</v>
          </cell>
          <cell r="K61">
            <v>14</v>
          </cell>
          <cell r="L61">
            <v>15</v>
          </cell>
          <cell r="M61">
            <v>15</v>
          </cell>
          <cell r="N61">
            <v>0</v>
          </cell>
          <cell r="O61">
            <v>0</v>
          </cell>
          <cell r="P61">
            <v>74</v>
          </cell>
          <cell r="Q61">
            <v>24</v>
          </cell>
          <cell r="R61">
            <v>50</v>
          </cell>
          <cell r="S61">
            <v>104</v>
          </cell>
          <cell r="T61">
            <v>89</v>
          </cell>
        </row>
        <row r="62">
          <cell r="C62" t="str">
            <v>Census Tract 59, King County, Washington</v>
          </cell>
          <cell r="D62">
            <v>118</v>
          </cell>
          <cell r="E62">
            <v>93</v>
          </cell>
          <cell r="F62">
            <v>34</v>
          </cell>
          <cell r="G62">
            <v>53</v>
          </cell>
          <cell r="H62">
            <v>7</v>
          </cell>
          <cell r="I62">
            <v>11</v>
          </cell>
          <cell r="J62">
            <v>7</v>
          </cell>
          <cell r="K62">
            <v>28</v>
          </cell>
          <cell r="L62">
            <v>6</v>
          </cell>
          <cell r="M62">
            <v>0</v>
          </cell>
          <cell r="N62">
            <v>0</v>
          </cell>
          <cell r="O62">
            <v>6</v>
          </cell>
          <cell r="P62">
            <v>25</v>
          </cell>
          <cell r="Q62">
            <v>0</v>
          </cell>
          <cell r="R62">
            <v>25</v>
          </cell>
          <cell r="S62">
            <v>87</v>
          </cell>
          <cell r="T62">
            <v>31</v>
          </cell>
        </row>
        <row r="63">
          <cell r="C63" t="str">
            <v>Census Tract 60, King County, Washington</v>
          </cell>
          <cell r="D63">
            <v>60</v>
          </cell>
          <cell r="E63">
            <v>60</v>
          </cell>
          <cell r="F63">
            <v>8</v>
          </cell>
          <cell r="G63">
            <v>46</v>
          </cell>
          <cell r="H63">
            <v>0</v>
          </cell>
          <cell r="I63">
            <v>7</v>
          </cell>
          <cell r="J63">
            <v>0</v>
          </cell>
          <cell r="K63">
            <v>39</v>
          </cell>
          <cell r="L63">
            <v>6</v>
          </cell>
          <cell r="M63">
            <v>6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54</v>
          </cell>
          <cell r="T63">
            <v>6</v>
          </cell>
        </row>
        <row r="64">
          <cell r="C64" t="str">
            <v>Census Tract 61, King County, Washington</v>
          </cell>
          <cell r="D64">
            <v>108</v>
          </cell>
          <cell r="E64">
            <v>91</v>
          </cell>
          <cell r="F64">
            <v>48</v>
          </cell>
          <cell r="G64">
            <v>43</v>
          </cell>
          <cell r="H64">
            <v>0</v>
          </cell>
          <cell r="I64">
            <v>0</v>
          </cell>
          <cell r="J64">
            <v>0</v>
          </cell>
          <cell r="K64">
            <v>43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17</v>
          </cell>
          <cell r="Q64">
            <v>0</v>
          </cell>
          <cell r="R64">
            <v>17</v>
          </cell>
          <cell r="S64">
            <v>91</v>
          </cell>
          <cell r="T64">
            <v>17</v>
          </cell>
        </row>
        <row r="65">
          <cell r="C65" t="str">
            <v>Census Tract 62, King County, Washington</v>
          </cell>
          <cell r="D65">
            <v>60</v>
          </cell>
          <cell r="E65">
            <v>60</v>
          </cell>
          <cell r="F65">
            <v>19</v>
          </cell>
          <cell r="G65">
            <v>25</v>
          </cell>
          <cell r="H65">
            <v>6</v>
          </cell>
          <cell r="I65">
            <v>0</v>
          </cell>
          <cell r="J65">
            <v>4</v>
          </cell>
          <cell r="K65">
            <v>15</v>
          </cell>
          <cell r="L65">
            <v>16</v>
          </cell>
          <cell r="M65">
            <v>10</v>
          </cell>
          <cell r="N65">
            <v>0</v>
          </cell>
          <cell r="O65">
            <v>6</v>
          </cell>
          <cell r="P65">
            <v>0</v>
          </cell>
          <cell r="Q65">
            <v>0</v>
          </cell>
          <cell r="R65">
            <v>0</v>
          </cell>
          <cell r="S65">
            <v>44</v>
          </cell>
          <cell r="T65">
            <v>16</v>
          </cell>
        </row>
        <row r="66">
          <cell r="C66" t="str">
            <v>Census Tract 63, King County, Washington</v>
          </cell>
          <cell r="D66">
            <v>79</v>
          </cell>
          <cell r="E66">
            <v>65</v>
          </cell>
          <cell r="F66">
            <v>30</v>
          </cell>
          <cell r="G66">
            <v>35</v>
          </cell>
          <cell r="H66">
            <v>0</v>
          </cell>
          <cell r="I66">
            <v>10</v>
          </cell>
          <cell r="J66">
            <v>0</v>
          </cell>
          <cell r="K66">
            <v>25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14</v>
          </cell>
          <cell r="Q66">
            <v>14</v>
          </cell>
          <cell r="R66">
            <v>0</v>
          </cell>
          <cell r="S66">
            <v>65</v>
          </cell>
          <cell r="T66">
            <v>14</v>
          </cell>
        </row>
        <row r="67">
          <cell r="C67" t="str">
            <v>Census Tract 64, King County, Washington</v>
          </cell>
          <cell r="D67">
            <v>57</v>
          </cell>
          <cell r="E67">
            <v>50</v>
          </cell>
          <cell r="F67">
            <v>42</v>
          </cell>
          <cell r="G67">
            <v>8</v>
          </cell>
          <cell r="H67">
            <v>0</v>
          </cell>
          <cell r="I67">
            <v>0</v>
          </cell>
          <cell r="J67">
            <v>0</v>
          </cell>
          <cell r="K67">
            <v>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</v>
          </cell>
          <cell r="Q67">
            <v>7</v>
          </cell>
          <cell r="R67">
            <v>0</v>
          </cell>
          <cell r="S67">
            <v>50</v>
          </cell>
          <cell r="T67">
            <v>7</v>
          </cell>
        </row>
        <row r="68">
          <cell r="C68" t="str">
            <v>Census Tract 65, King County, Washington</v>
          </cell>
          <cell r="D68">
            <v>76</v>
          </cell>
          <cell r="E68">
            <v>49</v>
          </cell>
          <cell r="F68">
            <v>19</v>
          </cell>
          <cell r="G68">
            <v>20</v>
          </cell>
          <cell r="H68">
            <v>6</v>
          </cell>
          <cell r="I68">
            <v>0</v>
          </cell>
          <cell r="J68">
            <v>10</v>
          </cell>
          <cell r="K68">
            <v>4</v>
          </cell>
          <cell r="L68">
            <v>10</v>
          </cell>
          <cell r="M68">
            <v>3</v>
          </cell>
          <cell r="N68">
            <v>0</v>
          </cell>
          <cell r="O68">
            <v>7</v>
          </cell>
          <cell r="P68">
            <v>27</v>
          </cell>
          <cell r="Q68">
            <v>10</v>
          </cell>
          <cell r="R68">
            <v>17</v>
          </cell>
          <cell r="S68">
            <v>39</v>
          </cell>
          <cell r="T68">
            <v>37</v>
          </cell>
        </row>
        <row r="69">
          <cell r="C69" t="str">
            <v>Census Tract 66, King County, Washington</v>
          </cell>
          <cell r="D69">
            <v>60</v>
          </cell>
          <cell r="E69">
            <v>25</v>
          </cell>
          <cell r="F69">
            <v>0</v>
          </cell>
          <cell r="G69">
            <v>25</v>
          </cell>
          <cell r="H69">
            <v>11</v>
          </cell>
          <cell r="I69">
            <v>0</v>
          </cell>
          <cell r="J69">
            <v>0</v>
          </cell>
          <cell r="K69">
            <v>14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35</v>
          </cell>
          <cell r="Q69">
            <v>11</v>
          </cell>
          <cell r="R69">
            <v>24</v>
          </cell>
          <cell r="S69">
            <v>25</v>
          </cell>
          <cell r="T69">
            <v>35</v>
          </cell>
        </row>
        <row r="70">
          <cell r="C70" t="str">
            <v>Census Tract 67, King County, Washington</v>
          </cell>
          <cell r="D70">
            <v>112</v>
          </cell>
          <cell r="E70">
            <v>78</v>
          </cell>
          <cell r="F70">
            <v>15</v>
          </cell>
          <cell r="G70">
            <v>63</v>
          </cell>
          <cell r="H70">
            <v>10</v>
          </cell>
          <cell r="I70">
            <v>10</v>
          </cell>
          <cell r="J70">
            <v>11</v>
          </cell>
          <cell r="K70">
            <v>32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34</v>
          </cell>
          <cell r="Q70">
            <v>34</v>
          </cell>
          <cell r="R70">
            <v>0</v>
          </cell>
          <cell r="S70">
            <v>78</v>
          </cell>
          <cell r="T70">
            <v>34</v>
          </cell>
        </row>
        <row r="71">
          <cell r="C71" t="str">
            <v>Census Tract 68, King County, Washington</v>
          </cell>
          <cell r="D71">
            <v>48</v>
          </cell>
          <cell r="E71">
            <v>36</v>
          </cell>
          <cell r="F71">
            <v>8</v>
          </cell>
          <cell r="G71">
            <v>28</v>
          </cell>
          <cell r="H71">
            <v>0</v>
          </cell>
          <cell r="I71">
            <v>10</v>
          </cell>
          <cell r="J71">
            <v>0</v>
          </cell>
          <cell r="K71">
            <v>18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12</v>
          </cell>
          <cell r="Q71">
            <v>0</v>
          </cell>
          <cell r="R71">
            <v>12</v>
          </cell>
          <cell r="S71">
            <v>36</v>
          </cell>
          <cell r="T71">
            <v>12</v>
          </cell>
        </row>
        <row r="72">
          <cell r="C72" t="str">
            <v>Census Tract 69, King County, Washington</v>
          </cell>
          <cell r="D72">
            <v>48</v>
          </cell>
          <cell r="E72">
            <v>48</v>
          </cell>
          <cell r="F72">
            <v>9</v>
          </cell>
          <cell r="G72">
            <v>39</v>
          </cell>
          <cell r="H72">
            <v>26</v>
          </cell>
          <cell r="I72">
            <v>0</v>
          </cell>
          <cell r="J72">
            <v>0</v>
          </cell>
          <cell r="K72">
            <v>13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48</v>
          </cell>
          <cell r="T72">
            <v>0</v>
          </cell>
        </row>
        <row r="73">
          <cell r="C73" t="str">
            <v>Census Tract 70, King County, Washington</v>
          </cell>
          <cell r="D73">
            <v>158</v>
          </cell>
          <cell r="E73">
            <v>108</v>
          </cell>
          <cell r="F73">
            <v>18</v>
          </cell>
          <cell r="G73">
            <v>90</v>
          </cell>
          <cell r="H73">
            <v>38</v>
          </cell>
          <cell r="I73">
            <v>8</v>
          </cell>
          <cell r="J73">
            <v>16</v>
          </cell>
          <cell r="K73">
            <v>28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50</v>
          </cell>
          <cell r="Q73">
            <v>11</v>
          </cell>
          <cell r="R73">
            <v>39</v>
          </cell>
          <cell r="S73">
            <v>108</v>
          </cell>
          <cell r="T73">
            <v>50</v>
          </cell>
        </row>
        <row r="74">
          <cell r="C74" t="str">
            <v>Census Tract 71, King County, Washington</v>
          </cell>
          <cell r="D74">
            <v>14</v>
          </cell>
          <cell r="E74">
            <v>14</v>
          </cell>
          <cell r="F74">
            <v>0</v>
          </cell>
          <cell r="G74">
            <v>14</v>
          </cell>
          <cell r="H74">
            <v>0</v>
          </cell>
          <cell r="I74">
            <v>0</v>
          </cell>
          <cell r="J74">
            <v>14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14</v>
          </cell>
          <cell r="T74">
            <v>0</v>
          </cell>
        </row>
        <row r="75">
          <cell r="C75" t="str">
            <v>Census Tract 72, King County, Washington</v>
          </cell>
          <cell r="D75">
            <v>36</v>
          </cell>
          <cell r="E75">
            <v>28</v>
          </cell>
          <cell r="F75">
            <v>0</v>
          </cell>
          <cell r="G75">
            <v>13</v>
          </cell>
          <cell r="H75">
            <v>7</v>
          </cell>
          <cell r="I75">
            <v>6</v>
          </cell>
          <cell r="J75">
            <v>0</v>
          </cell>
          <cell r="K75">
            <v>0</v>
          </cell>
          <cell r="L75">
            <v>15</v>
          </cell>
          <cell r="M75">
            <v>8</v>
          </cell>
          <cell r="N75">
            <v>0</v>
          </cell>
          <cell r="O75">
            <v>7</v>
          </cell>
          <cell r="P75">
            <v>8</v>
          </cell>
          <cell r="Q75">
            <v>8</v>
          </cell>
          <cell r="R75">
            <v>0</v>
          </cell>
          <cell r="S75">
            <v>13</v>
          </cell>
          <cell r="T75">
            <v>23</v>
          </cell>
        </row>
        <row r="76">
          <cell r="C76" t="str">
            <v>Census Tract 73, King County, Washington</v>
          </cell>
          <cell r="D76">
            <v>27</v>
          </cell>
          <cell r="E76">
            <v>13</v>
          </cell>
          <cell r="F76">
            <v>13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14</v>
          </cell>
          <cell r="Q76">
            <v>14</v>
          </cell>
          <cell r="R76">
            <v>0</v>
          </cell>
          <cell r="S76">
            <v>13</v>
          </cell>
          <cell r="T76">
            <v>14</v>
          </cell>
        </row>
        <row r="77">
          <cell r="C77" t="str">
            <v>Census Tract 74, King County, Washington</v>
          </cell>
          <cell r="D77">
            <v>222</v>
          </cell>
          <cell r="E77">
            <v>175</v>
          </cell>
          <cell r="F77">
            <v>54</v>
          </cell>
          <cell r="G77">
            <v>121</v>
          </cell>
          <cell r="H77">
            <v>17</v>
          </cell>
          <cell r="I77">
            <v>16</v>
          </cell>
          <cell r="J77">
            <v>0</v>
          </cell>
          <cell r="K77">
            <v>88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47</v>
          </cell>
          <cell r="Q77">
            <v>15</v>
          </cell>
          <cell r="R77">
            <v>32</v>
          </cell>
          <cell r="S77">
            <v>175</v>
          </cell>
          <cell r="T77">
            <v>47</v>
          </cell>
        </row>
        <row r="78">
          <cell r="C78" t="str">
            <v>Census Tract 75, King County, Washington</v>
          </cell>
          <cell r="D78">
            <v>114</v>
          </cell>
          <cell r="E78">
            <v>103</v>
          </cell>
          <cell r="F78">
            <v>25</v>
          </cell>
          <cell r="G78">
            <v>60</v>
          </cell>
          <cell r="H78">
            <v>9</v>
          </cell>
          <cell r="I78">
            <v>0</v>
          </cell>
          <cell r="J78">
            <v>9</v>
          </cell>
          <cell r="K78">
            <v>42</v>
          </cell>
          <cell r="L78">
            <v>18</v>
          </cell>
          <cell r="M78">
            <v>9</v>
          </cell>
          <cell r="N78">
            <v>0</v>
          </cell>
          <cell r="O78">
            <v>9</v>
          </cell>
          <cell r="P78">
            <v>11</v>
          </cell>
          <cell r="Q78">
            <v>11</v>
          </cell>
          <cell r="R78">
            <v>0</v>
          </cell>
          <cell r="S78">
            <v>85</v>
          </cell>
          <cell r="T78">
            <v>29</v>
          </cell>
        </row>
        <row r="79">
          <cell r="C79" t="str">
            <v>Census Tract 76, King County, Washington</v>
          </cell>
          <cell r="D79">
            <v>76</v>
          </cell>
          <cell r="E79">
            <v>68</v>
          </cell>
          <cell r="F79">
            <v>23</v>
          </cell>
          <cell r="G79">
            <v>45</v>
          </cell>
          <cell r="H79">
            <v>0</v>
          </cell>
          <cell r="I79">
            <v>0</v>
          </cell>
          <cell r="J79">
            <v>9</v>
          </cell>
          <cell r="K79">
            <v>36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8</v>
          </cell>
          <cell r="Q79">
            <v>0</v>
          </cell>
          <cell r="R79">
            <v>8</v>
          </cell>
          <cell r="S79">
            <v>68</v>
          </cell>
          <cell r="T79">
            <v>8</v>
          </cell>
        </row>
        <row r="80">
          <cell r="C80" t="str">
            <v>Census Tract 77, King County, Washington</v>
          </cell>
          <cell r="D80">
            <v>86</v>
          </cell>
          <cell r="E80">
            <v>28</v>
          </cell>
          <cell r="F80">
            <v>0</v>
          </cell>
          <cell r="G80">
            <v>18</v>
          </cell>
          <cell r="H80">
            <v>0</v>
          </cell>
          <cell r="I80">
            <v>9</v>
          </cell>
          <cell r="J80">
            <v>0</v>
          </cell>
          <cell r="K80">
            <v>9</v>
          </cell>
          <cell r="L80">
            <v>10</v>
          </cell>
          <cell r="M80">
            <v>0</v>
          </cell>
          <cell r="N80">
            <v>0</v>
          </cell>
          <cell r="O80">
            <v>10</v>
          </cell>
          <cell r="P80">
            <v>58</v>
          </cell>
          <cell r="Q80">
            <v>8</v>
          </cell>
          <cell r="R80">
            <v>50</v>
          </cell>
          <cell r="S80">
            <v>18</v>
          </cell>
          <cell r="T80">
            <v>68</v>
          </cell>
        </row>
        <row r="81">
          <cell r="C81" t="str">
            <v>Census Tract 78, King County, Washington</v>
          </cell>
          <cell r="D81">
            <v>54</v>
          </cell>
          <cell r="E81">
            <v>54</v>
          </cell>
          <cell r="F81">
            <v>0</v>
          </cell>
          <cell r="G81">
            <v>54</v>
          </cell>
          <cell r="H81">
            <v>0</v>
          </cell>
          <cell r="I81">
            <v>0</v>
          </cell>
          <cell r="J81">
            <v>30</v>
          </cell>
          <cell r="K81">
            <v>24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54</v>
          </cell>
          <cell r="T81">
            <v>0</v>
          </cell>
        </row>
        <row r="82">
          <cell r="C82" t="str">
            <v>Census Tract 79, King County, Washington</v>
          </cell>
          <cell r="D82">
            <v>300</v>
          </cell>
          <cell r="E82">
            <v>88</v>
          </cell>
          <cell r="F82">
            <v>11</v>
          </cell>
          <cell r="G82">
            <v>63</v>
          </cell>
          <cell r="H82">
            <v>3</v>
          </cell>
          <cell r="I82">
            <v>0</v>
          </cell>
          <cell r="J82">
            <v>21</v>
          </cell>
          <cell r="K82">
            <v>39</v>
          </cell>
          <cell r="L82">
            <v>14</v>
          </cell>
          <cell r="M82">
            <v>0</v>
          </cell>
          <cell r="N82">
            <v>0</v>
          </cell>
          <cell r="O82">
            <v>14</v>
          </cell>
          <cell r="P82">
            <v>212</v>
          </cell>
          <cell r="Q82">
            <v>7</v>
          </cell>
          <cell r="R82">
            <v>205</v>
          </cell>
          <cell r="S82">
            <v>74</v>
          </cell>
          <cell r="T82">
            <v>226</v>
          </cell>
        </row>
        <row r="83">
          <cell r="C83" t="str">
            <v>Census Tract 80.01, King County, Washington</v>
          </cell>
          <cell r="D83">
            <v>110</v>
          </cell>
          <cell r="E83">
            <v>52</v>
          </cell>
          <cell r="F83">
            <v>19</v>
          </cell>
          <cell r="G83">
            <v>17</v>
          </cell>
          <cell r="H83">
            <v>0</v>
          </cell>
          <cell r="I83">
            <v>0</v>
          </cell>
          <cell r="J83">
            <v>0</v>
          </cell>
          <cell r="K83">
            <v>17</v>
          </cell>
          <cell r="L83">
            <v>16</v>
          </cell>
          <cell r="M83">
            <v>0</v>
          </cell>
          <cell r="N83">
            <v>0</v>
          </cell>
          <cell r="O83">
            <v>16</v>
          </cell>
          <cell r="P83">
            <v>58</v>
          </cell>
          <cell r="Q83">
            <v>9</v>
          </cell>
          <cell r="R83">
            <v>49</v>
          </cell>
          <cell r="S83">
            <v>36</v>
          </cell>
          <cell r="T83">
            <v>74</v>
          </cell>
        </row>
        <row r="84">
          <cell r="C84" t="str">
            <v>Census Tract 80.02, King County, Washington</v>
          </cell>
          <cell r="D84">
            <v>10</v>
          </cell>
          <cell r="E84">
            <v>10</v>
          </cell>
          <cell r="F84">
            <v>0</v>
          </cell>
          <cell r="G84">
            <v>10</v>
          </cell>
          <cell r="H84">
            <v>0</v>
          </cell>
          <cell r="I84">
            <v>0</v>
          </cell>
          <cell r="J84">
            <v>0</v>
          </cell>
          <cell r="K84">
            <v>10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10</v>
          </cell>
          <cell r="T84">
            <v>0</v>
          </cell>
        </row>
        <row r="85">
          <cell r="C85" t="str">
            <v>Census Tract 81, King County, Washington</v>
          </cell>
          <cell r="D85">
            <v>108</v>
          </cell>
          <cell r="E85">
            <v>99</v>
          </cell>
          <cell r="F85">
            <v>0</v>
          </cell>
          <cell r="G85">
            <v>99</v>
          </cell>
          <cell r="H85">
            <v>27</v>
          </cell>
          <cell r="I85">
            <v>14</v>
          </cell>
          <cell r="J85">
            <v>21</v>
          </cell>
          <cell r="K85">
            <v>37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9</v>
          </cell>
          <cell r="Q85">
            <v>9</v>
          </cell>
          <cell r="R85">
            <v>0</v>
          </cell>
          <cell r="S85">
            <v>99</v>
          </cell>
          <cell r="T85">
            <v>9</v>
          </cell>
        </row>
        <row r="86">
          <cell r="C86" t="str">
            <v>Census Tract 82, King County, Washington</v>
          </cell>
          <cell r="D86">
            <v>105</v>
          </cell>
          <cell r="E86">
            <v>56</v>
          </cell>
          <cell r="F86">
            <v>16</v>
          </cell>
          <cell r="G86">
            <v>33</v>
          </cell>
          <cell r="H86">
            <v>7</v>
          </cell>
          <cell r="I86">
            <v>6</v>
          </cell>
          <cell r="J86">
            <v>0</v>
          </cell>
          <cell r="K86">
            <v>20</v>
          </cell>
          <cell r="L86">
            <v>7</v>
          </cell>
          <cell r="M86">
            <v>0</v>
          </cell>
          <cell r="N86">
            <v>0</v>
          </cell>
          <cell r="O86">
            <v>7</v>
          </cell>
          <cell r="P86">
            <v>49</v>
          </cell>
          <cell r="Q86">
            <v>8</v>
          </cell>
          <cell r="R86">
            <v>41</v>
          </cell>
          <cell r="S86">
            <v>49</v>
          </cell>
          <cell r="T86">
            <v>56</v>
          </cell>
        </row>
        <row r="87">
          <cell r="C87" t="str">
            <v>Census Tract 83, King County, Washington</v>
          </cell>
          <cell r="D87">
            <v>39</v>
          </cell>
          <cell r="E87">
            <v>31</v>
          </cell>
          <cell r="F87">
            <v>19</v>
          </cell>
          <cell r="G87">
            <v>6</v>
          </cell>
          <cell r="H87">
            <v>0</v>
          </cell>
          <cell r="I87">
            <v>0</v>
          </cell>
          <cell r="J87">
            <v>6</v>
          </cell>
          <cell r="K87">
            <v>0</v>
          </cell>
          <cell r="L87">
            <v>6</v>
          </cell>
          <cell r="M87">
            <v>0</v>
          </cell>
          <cell r="N87">
            <v>0</v>
          </cell>
          <cell r="O87">
            <v>6</v>
          </cell>
          <cell r="P87">
            <v>8</v>
          </cell>
          <cell r="Q87">
            <v>0</v>
          </cell>
          <cell r="R87">
            <v>8</v>
          </cell>
          <cell r="S87">
            <v>25</v>
          </cell>
          <cell r="T87">
            <v>14</v>
          </cell>
        </row>
        <row r="88">
          <cell r="C88" t="str">
            <v>Census Tract 84, King County, Washington</v>
          </cell>
          <cell r="D88">
            <v>97</v>
          </cell>
          <cell r="E88">
            <v>55</v>
          </cell>
          <cell r="F88">
            <v>6</v>
          </cell>
          <cell r="G88">
            <v>43</v>
          </cell>
          <cell r="H88">
            <v>0</v>
          </cell>
          <cell r="I88">
            <v>6</v>
          </cell>
          <cell r="J88">
            <v>18</v>
          </cell>
          <cell r="K88">
            <v>19</v>
          </cell>
          <cell r="L88">
            <v>6</v>
          </cell>
          <cell r="M88">
            <v>0</v>
          </cell>
          <cell r="N88">
            <v>0</v>
          </cell>
          <cell r="O88">
            <v>6</v>
          </cell>
          <cell r="P88">
            <v>42</v>
          </cell>
          <cell r="Q88">
            <v>12</v>
          </cell>
          <cell r="R88">
            <v>30</v>
          </cell>
          <cell r="S88">
            <v>49</v>
          </cell>
          <cell r="T88">
            <v>48</v>
          </cell>
        </row>
        <row r="89">
          <cell r="C89" t="str">
            <v>Census Tract 85, King County, Washington</v>
          </cell>
          <cell r="D89">
            <v>181</v>
          </cell>
          <cell r="E89">
            <v>69</v>
          </cell>
          <cell r="F89">
            <v>5</v>
          </cell>
          <cell r="G89">
            <v>64</v>
          </cell>
          <cell r="H89">
            <v>0</v>
          </cell>
          <cell r="I89">
            <v>0</v>
          </cell>
          <cell r="J89">
            <v>24</v>
          </cell>
          <cell r="K89">
            <v>40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112</v>
          </cell>
          <cell r="Q89">
            <v>5</v>
          </cell>
          <cell r="R89">
            <v>107</v>
          </cell>
          <cell r="S89">
            <v>69</v>
          </cell>
          <cell r="T89">
            <v>112</v>
          </cell>
        </row>
        <row r="90">
          <cell r="C90" t="str">
            <v>Census Tract 86, King County, Washington</v>
          </cell>
          <cell r="D90">
            <v>146</v>
          </cell>
          <cell r="E90">
            <v>63</v>
          </cell>
          <cell r="F90">
            <v>14</v>
          </cell>
          <cell r="G90">
            <v>40</v>
          </cell>
          <cell r="H90">
            <v>3</v>
          </cell>
          <cell r="I90">
            <v>0</v>
          </cell>
          <cell r="J90">
            <v>9</v>
          </cell>
          <cell r="K90">
            <v>28</v>
          </cell>
          <cell r="L90">
            <v>9</v>
          </cell>
          <cell r="M90">
            <v>0</v>
          </cell>
          <cell r="N90">
            <v>0</v>
          </cell>
          <cell r="O90">
            <v>9</v>
          </cell>
          <cell r="P90">
            <v>83</v>
          </cell>
          <cell r="Q90">
            <v>3</v>
          </cell>
          <cell r="R90">
            <v>80</v>
          </cell>
          <cell r="S90">
            <v>54</v>
          </cell>
          <cell r="T90">
            <v>92</v>
          </cell>
        </row>
        <row r="91">
          <cell r="C91" t="str">
            <v>Census Tract 87, King County, Washington</v>
          </cell>
          <cell r="D91">
            <v>112</v>
          </cell>
          <cell r="E91">
            <v>60</v>
          </cell>
          <cell r="F91">
            <v>27</v>
          </cell>
          <cell r="G91">
            <v>33</v>
          </cell>
          <cell r="H91">
            <v>9</v>
          </cell>
          <cell r="I91">
            <v>0</v>
          </cell>
          <cell r="J91">
            <v>5</v>
          </cell>
          <cell r="K91">
            <v>19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52</v>
          </cell>
          <cell r="Q91">
            <v>0</v>
          </cell>
          <cell r="R91">
            <v>52</v>
          </cell>
          <cell r="S91">
            <v>60</v>
          </cell>
          <cell r="T91">
            <v>52</v>
          </cell>
        </row>
        <row r="92">
          <cell r="C92" t="str">
            <v>Census Tract 88, King County, Washington</v>
          </cell>
          <cell r="D92">
            <v>114</v>
          </cell>
          <cell r="E92">
            <v>28</v>
          </cell>
          <cell r="F92">
            <v>28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86</v>
          </cell>
          <cell r="Q92">
            <v>0</v>
          </cell>
          <cell r="R92">
            <v>86</v>
          </cell>
          <cell r="S92">
            <v>28</v>
          </cell>
          <cell r="T92">
            <v>86</v>
          </cell>
        </row>
        <row r="93">
          <cell r="C93" t="str">
            <v>Census Tract 89, King County, Washington</v>
          </cell>
          <cell r="D93">
            <v>58</v>
          </cell>
          <cell r="E93">
            <v>22</v>
          </cell>
          <cell r="F93">
            <v>22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36</v>
          </cell>
          <cell r="Q93">
            <v>7</v>
          </cell>
          <cell r="R93">
            <v>29</v>
          </cell>
          <cell r="S93">
            <v>22</v>
          </cell>
          <cell r="T93">
            <v>36</v>
          </cell>
        </row>
        <row r="94">
          <cell r="C94" t="str">
            <v>Census Tract 90, King County, Washington</v>
          </cell>
          <cell r="D94">
            <v>163</v>
          </cell>
          <cell r="E94">
            <v>76</v>
          </cell>
          <cell r="F94">
            <v>50</v>
          </cell>
          <cell r="G94">
            <v>17</v>
          </cell>
          <cell r="H94">
            <v>0</v>
          </cell>
          <cell r="I94">
            <v>0</v>
          </cell>
          <cell r="J94">
            <v>0</v>
          </cell>
          <cell r="K94">
            <v>17</v>
          </cell>
          <cell r="L94">
            <v>9</v>
          </cell>
          <cell r="M94">
            <v>9</v>
          </cell>
          <cell r="N94">
            <v>0</v>
          </cell>
          <cell r="O94">
            <v>0</v>
          </cell>
          <cell r="P94">
            <v>87</v>
          </cell>
          <cell r="Q94">
            <v>0</v>
          </cell>
          <cell r="R94">
            <v>87</v>
          </cell>
          <cell r="S94">
            <v>67</v>
          </cell>
          <cell r="T94">
            <v>96</v>
          </cell>
        </row>
        <row r="95">
          <cell r="C95" t="str">
            <v>Census Tract 91, King County, Washington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C96" t="str">
            <v>Census Tract 92, King County, Washington</v>
          </cell>
          <cell r="D96">
            <v>109</v>
          </cell>
          <cell r="E96">
            <v>26</v>
          </cell>
          <cell r="F96">
            <v>0</v>
          </cell>
          <cell r="G96">
            <v>26</v>
          </cell>
          <cell r="H96">
            <v>5</v>
          </cell>
          <cell r="I96">
            <v>0</v>
          </cell>
          <cell r="J96">
            <v>6</v>
          </cell>
          <cell r="K96">
            <v>15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83</v>
          </cell>
          <cell r="Q96">
            <v>8</v>
          </cell>
          <cell r="R96">
            <v>75</v>
          </cell>
          <cell r="S96">
            <v>26</v>
          </cell>
          <cell r="T96">
            <v>83</v>
          </cell>
        </row>
        <row r="97">
          <cell r="C97" t="str">
            <v>Census Tract 93, King County, Washington</v>
          </cell>
          <cell r="D97">
            <v>150</v>
          </cell>
          <cell r="E97">
            <v>55</v>
          </cell>
          <cell r="F97">
            <v>28</v>
          </cell>
          <cell r="G97">
            <v>27</v>
          </cell>
          <cell r="H97">
            <v>0</v>
          </cell>
          <cell r="I97">
            <v>14</v>
          </cell>
          <cell r="J97">
            <v>13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95</v>
          </cell>
          <cell r="Q97">
            <v>28</v>
          </cell>
          <cell r="R97">
            <v>67</v>
          </cell>
          <cell r="S97">
            <v>55</v>
          </cell>
          <cell r="T97">
            <v>95</v>
          </cell>
        </row>
        <row r="98">
          <cell r="C98" t="str">
            <v>Census Tract 94, King County, Washington</v>
          </cell>
          <cell r="D98">
            <v>153</v>
          </cell>
          <cell r="E98">
            <v>111</v>
          </cell>
          <cell r="F98">
            <v>34</v>
          </cell>
          <cell r="G98">
            <v>53</v>
          </cell>
          <cell r="H98">
            <v>0</v>
          </cell>
          <cell r="I98">
            <v>36</v>
          </cell>
          <cell r="J98">
            <v>0</v>
          </cell>
          <cell r="K98">
            <v>17</v>
          </cell>
          <cell r="L98">
            <v>24</v>
          </cell>
          <cell r="M98">
            <v>0</v>
          </cell>
          <cell r="N98">
            <v>0</v>
          </cell>
          <cell r="O98">
            <v>24</v>
          </cell>
          <cell r="P98">
            <v>42</v>
          </cell>
          <cell r="Q98">
            <v>0</v>
          </cell>
          <cell r="R98">
            <v>42</v>
          </cell>
          <cell r="S98">
            <v>87</v>
          </cell>
          <cell r="T98">
            <v>66</v>
          </cell>
        </row>
        <row r="99">
          <cell r="C99" t="str">
            <v>Census Tract 95, King County, Washington</v>
          </cell>
          <cell r="D99">
            <v>84</v>
          </cell>
          <cell r="E99">
            <v>37</v>
          </cell>
          <cell r="F99">
            <v>21</v>
          </cell>
          <cell r="G99">
            <v>16</v>
          </cell>
          <cell r="H99">
            <v>0</v>
          </cell>
          <cell r="I99">
            <v>0</v>
          </cell>
          <cell r="J99">
            <v>0</v>
          </cell>
          <cell r="K99">
            <v>16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47</v>
          </cell>
          <cell r="Q99">
            <v>0</v>
          </cell>
          <cell r="R99">
            <v>47</v>
          </cell>
          <cell r="S99">
            <v>37</v>
          </cell>
          <cell r="T99">
            <v>47</v>
          </cell>
        </row>
        <row r="100">
          <cell r="C100" t="str">
            <v>Census Tract 96, King County, Washington</v>
          </cell>
          <cell r="D100">
            <v>98</v>
          </cell>
          <cell r="E100">
            <v>78</v>
          </cell>
          <cell r="F100">
            <v>9</v>
          </cell>
          <cell r="G100">
            <v>69</v>
          </cell>
          <cell r="H100">
            <v>0</v>
          </cell>
          <cell r="I100">
            <v>22</v>
          </cell>
          <cell r="J100">
            <v>25</v>
          </cell>
          <cell r="K100">
            <v>22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20</v>
          </cell>
          <cell r="Q100">
            <v>0</v>
          </cell>
          <cell r="R100">
            <v>20</v>
          </cell>
          <cell r="S100">
            <v>78</v>
          </cell>
          <cell r="T100">
            <v>20</v>
          </cell>
        </row>
        <row r="101">
          <cell r="C101" t="str">
            <v>Census Tract 97.01, King County, Washington</v>
          </cell>
          <cell r="D101">
            <v>84</v>
          </cell>
          <cell r="E101">
            <v>80</v>
          </cell>
          <cell r="F101">
            <v>29</v>
          </cell>
          <cell r="G101">
            <v>51</v>
          </cell>
          <cell r="H101">
            <v>0</v>
          </cell>
          <cell r="I101">
            <v>0</v>
          </cell>
          <cell r="J101">
            <v>28</v>
          </cell>
          <cell r="K101">
            <v>23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</v>
          </cell>
          <cell r="Q101">
            <v>4</v>
          </cell>
          <cell r="R101">
            <v>0</v>
          </cell>
          <cell r="S101">
            <v>80</v>
          </cell>
          <cell r="T101">
            <v>4</v>
          </cell>
        </row>
        <row r="102">
          <cell r="C102" t="str">
            <v>Census Tract 97.02, King County, Washington</v>
          </cell>
          <cell r="D102">
            <v>141</v>
          </cell>
          <cell r="E102">
            <v>106</v>
          </cell>
          <cell r="F102">
            <v>19</v>
          </cell>
          <cell r="G102">
            <v>50</v>
          </cell>
          <cell r="H102">
            <v>0</v>
          </cell>
          <cell r="I102">
            <v>31</v>
          </cell>
          <cell r="J102">
            <v>9</v>
          </cell>
          <cell r="K102">
            <v>10</v>
          </cell>
          <cell r="L102">
            <v>37</v>
          </cell>
          <cell r="M102">
            <v>27</v>
          </cell>
          <cell r="N102">
            <v>0</v>
          </cell>
          <cell r="O102">
            <v>10</v>
          </cell>
          <cell r="P102">
            <v>35</v>
          </cell>
          <cell r="Q102">
            <v>0</v>
          </cell>
          <cell r="R102">
            <v>35</v>
          </cell>
          <cell r="S102">
            <v>69</v>
          </cell>
          <cell r="T102">
            <v>72</v>
          </cell>
        </row>
        <row r="103">
          <cell r="C103" t="str">
            <v>Census Tract 98, King County, Washington</v>
          </cell>
          <cell r="D103">
            <v>121</v>
          </cell>
          <cell r="E103">
            <v>106</v>
          </cell>
          <cell r="F103">
            <v>63</v>
          </cell>
          <cell r="G103">
            <v>34</v>
          </cell>
          <cell r="H103">
            <v>0</v>
          </cell>
          <cell r="I103">
            <v>0</v>
          </cell>
          <cell r="J103">
            <v>0</v>
          </cell>
          <cell r="K103">
            <v>34</v>
          </cell>
          <cell r="L103">
            <v>9</v>
          </cell>
          <cell r="M103">
            <v>0</v>
          </cell>
          <cell r="N103">
            <v>0</v>
          </cell>
          <cell r="O103">
            <v>9</v>
          </cell>
          <cell r="P103">
            <v>15</v>
          </cell>
          <cell r="Q103">
            <v>15</v>
          </cell>
          <cell r="R103">
            <v>0</v>
          </cell>
          <cell r="S103">
            <v>97</v>
          </cell>
          <cell r="T103">
            <v>24</v>
          </cell>
        </row>
        <row r="104">
          <cell r="C104" t="str">
            <v>Census Tract 99, King County, Washington</v>
          </cell>
          <cell r="D104">
            <v>131</v>
          </cell>
          <cell r="E104">
            <v>67</v>
          </cell>
          <cell r="F104">
            <v>19</v>
          </cell>
          <cell r="G104">
            <v>48</v>
          </cell>
          <cell r="H104">
            <v>7</v>
          </cell>
          <cell r="I104">
            <v>6</v>
          </cell>
          <cell r="J104">
            <v>6</v>
          </cell>
          <cell r="K104">
            <v>29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64</v>
          </cell>
          <cell r="Q104">
            <v>4</v>
          </cell>
          <cell r="R104">
            <v>60</v>
          </cell>
          <cell r="S104">
            <v>67</v>
          </cell>
          <cell r="T104">
            <v>64</v>
          </cell>
        </row>
        <row r="105">
          <cell r="C105" t="str">
            <v>Census Tract 100, King County, Washington</v>
          </cell>
          <cell r="D105">
            <v>273</v>
          </cell>
          <cell r="E105">
            <v>161</v>
          </cell>
          <cell r="F105">
            <v>90</v>
          </cell>
          <cell r="G105">
            <v>71</v>
          </cell>
          <cell r="H105">
            <v>0</v>
          </cell>
          <cell r="I105">
            <v>0</v>
          </cell>
          <cell r="J105">
            <v>9</v>
          </cell>
          <cell r="K105">
            <v>62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112</v>
          </cell>
          <cell r="Q105">
            <v>8</v>
          </cell>
          <cell r="R105">
            <v>104</v>
          </cell>
          <cell r="S105">
            <v>161</v>
          </cell>
          <cell r="T105">
            <v>112</v>
          </cell>
        </row>
        <row r="106">
          <cell r="C106" t="str">
            <v>Census Tract 101, King County, Washington</v>
          </cell>
          <cell r="D106">
            <v>105</v>
          </cell>
          <cell r="E106">
            <v>82</v>
          </cell>
          <cell r="F106">
            <v>32</v>
          </cell>
          <cell r="G106">
            <v>50</v>
          </cell>
          <cell r="H106">
            <v>33</v>
          </cell>
          <cell r="I106">
            <v>0</v>
          </cell>
          <cell r="J106">
            <v>17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23</v>
          </cell>
          <cell r="Q106">
            <v>8</v>
          </cell>
          <cell r="R106">
            <v>15</v>
          </cell>
          <cell r="S106">
            <v>82</v>
          </cell>
          <cell r="T106">
            <v>23</v>
          </cell>
        </row>
        <row r="107">
          <cell r="C107" t="str">
            <v>Census Tract 102, King County, Washington</v>
          </cell>
          <cell r="D107">
            <v>52</v>
          </cell>
          <cell r="E107">
            <v>52</v>
          </cell>
          <cell r="F107">
            <v>25</v>
          </cell>
          <cell r="G107">
            <v>27</v>
          </cell>
          <cell r="H107">
            <v>0</v>
          </cell>
          <cell r="I107">
            <v>0</v>
          </cell>
          <cell r="J107">
            <v>11</v>
          </cell>
          <cell r="K107">
            <v>16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52</v>
          </cell>
          <cell r="T107">
            <v>0</v>
          </cell>
        </row>
        <row r="108">
          <cell r="C108" t="str">
            <v>Census Tract 103, King County, Washington</v>
          </cell>
          <cell r="D108">
            <v>163</v>
          </cell>
          <cell r="E108">
            <v>52</v>
          </cell>
          <cell r="F108">
            <v>34</v>
          </cell>
          <cell r="G108">
            <v>14</v>
          </cell>
          <cell r="H108">
            <v>10</v>
          </cell>
          <cell r="I108">
            <v>4</v>
          </cell>
          <cell r="J108">
            <v>0</v>
          </cell>
          <cell r="K108">
            <v>0</v>
          </cell>
          <cell r="L108">
            <v>4</v>
          </cell>
          <cell r="M108">
            <v>4</v>
          </cell>
          <cell r="N108">
            <v>0</v>
          </cell>
          <cell r="O108">
            <v>0</v>
          </cell>
          <cell r="P108">
            <v>111</v>
          </cell>
          <cell r="Q108">
            <v>15</v>
          </cell>
          <cell r="R108">
            <v>96</v>
          </cell>
          <cell r="S108">
            <v>48</v>
          </cell>
          <cell r="T108">
            <v>115</v>
          </cell>
        </row>
        <row r="109">
          <cell r="C109" t="str">
            <v>Census Tract 104, King County, Washington</v>
          </cell>
          <cell r="D109">
            <v>46</v>
          </cell>
          <cell r="E109">
            <v>6</v>
          </cell>
          <cell r="F109">
            <v>6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40</v>
          </cell>
          <cell r="Q109">
            <v>0</v>
          </cell>
          <cell r="R109">
            <v>40</v>
          </cell>
          <cell r="S109">
            <v>6</v>
          </cell>
          <cell r="T109">
            <v>40</v>
          </cell>
        </row>
        <row r="110">
          <cell r="C110" t="str">
            <v>Census Tract 105, King County, Washington</v>
          </cell>
          <cell r="D110">
            <v>73</v>
          </cell>
          <cell r="E110">
            <v>62</v>
          </cell>
          <cell r="F110">
            <v>43</v>
          </cell>
          <cell r="G110">
            <v>19</v>
          </cell>
          <cell r="H110">
            <v>0</v>
          </cell>
          <cell r="I110">
            <v>12</v>
          </cell>
          <cell r="J110">
            <v>7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11</v>
          </cell>
          <cell r="Q110">
            <v>0</v>
          </cell>
          <cell r="R110">
            <v>11</v>
          </cell>
          <cell r="S110">
            <v>62</v>
          </cell>
          <cell r="T110">
            <v>11</v>
          </cell>
        </row>
        <row r="111">
          <cell r="C111" t="str">
            <v>Census Tract 106, King County, Washington</v>
          </cell>
          <cell r="D111">
            <v>168</v>
          </cell>
          <cell r="E111">
            <v>117</v>
          </cell>
          <cell r="F111">
            <v>45</v>
          </cell>
          <cell r="G111">
            <v>72</v>
          </cell>
          <cell r="H111">
            <v>0</v>
          </cell>
          <cell r="I111">
            <v>9</v>
          </cell>
          <cell r="J111">
            <v>30</v>
          </cell>
          <cell r="K111">
            <v>33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51</v>
          </cell>
          <cell r="Q111">
            <v>14</v>
          </cell>
          <cell r="R111">
            <v>37</v>
          </cell>
          <cell r="S111">
            <v>117</v>
          </cell>
          <cell r="T111">
            <v>51</v>
          </cell>
        </row>
        <row r="112">
          <cell r="C112" t="str">
            <v>Census Tract 107, King County, Washington</v>
          </cell>
          <cell r="D112">
            <v>72</v>
          </cell>
          <cell r="E112">
            <v>61</v>
          </cell>
          <cell r="F112">
            <v>42</v>
          </cell>
          <cell r="G112">
            <v>19</v>
          </cell>
          <cell r="H112">
            <v>0</v>
          </cell>
          <cell r="I112">
            <v>0</v>
          </cell>
          <cell r="J112">
            <v>5</v>
          </cell>
          <cell r="K112">
            <v>14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11</v>
          </cell>
          <cell r="Q112">
            <v>3</v>
          </cell>
          <cell r="R112">
            <v>8</v>
          </cell>
          <cell r="S112">
            <v>61</v>
          </cell>
          <cell r="T112">
            <v>11</v>
          </cell>
        </row>
        <row r="113">
          <cell r="C113" t="str">
            <v>Census Tract 108, King County, Washington</v>
          </cell>
          <cell r="D113">
            <v>83</v>
          </cell>
          <cell r="E113">
            <v>55</v>
          </cell>
          <cell r="F113">
            <v>34</v>
          </cell>
          <cell r="G113">
            <v>21</v>
          </cell>
          <cell r="H113">
            <v>0</v>
          </cell>
          <cell r="I113">
            <v>0</v>
          </cell>
          <cell r="J113">
            <v>0</v>
          </cell>
          <cell r="K113">
            <v>21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28</v>
          </cell>
          <cell r="Q113">
            <v>21</v>
          </cell>
          <cell r="R113">
            <v>7</v>
          </cell>
          <cell r="S113">
            <v>55</v>
          </cell>
          <cell r="T113">
            <v>28</v>
          </cell>
        </row>
        <row r="114">
          <cell r="C114" t="str">
            <v>Census Tract 109, King County, Washington</v>
          </cell>
          <cell r="D114">
            <v>58</v>
          </cell>
          <cell r="E114">
            <v>28</v>
          </cell>
          <cell r="F114">
            <v>17</v>
          </cell>
          <cell r="G114">
            <v>11</v>
          </cell>
          <cell r="H114">
            <v>0</v>
          </cell>
          <cell r="I114">
            <v>0</v>
          </cell>
          <cell r="J114">
            <v>11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30</v>
          </cell>
          <cell r="Q114">
            <v>20</v>
          </cell>
          <cell r="R114">
            <v>10</v>
          </cell>
          <cell r="S114">
            <v>28</v>
          </cell>
          <cell r="T114">
            <v>30</v>
          </cell>
        </row>
        <row r="115">
          <cell r="C115" t="str">
            <v>Census Tract 110, King County, Washington</v>
          </cell>
          <cell r="D115">
            <v>99</v>
          </cell>
          <cell r="E115">
            <v>37</v>
          </cell>
          <cell r="F115">
            <v>18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19</v>
          </cell>
          <cell r="M115">
            <v>0</v>
          </cell>
          <cell r="N115">
            <v>0</v>
          </cell>
          <cell r="O115">
            <v>19</v>
          </cell>
          <cell r="P115">
            <v>62</v>
          </cell>
          <cell r="Q115">
            <v>0</v>
          </cell>
          <cell r="R115">
            <v>62</v>
          </cell>
          <cell r="S115">
            <v>18</v>
          </cell>
          <cell r="T115">
            <v>81</v>
          </cell>
        </row>
        <row r="116">
          <cell r="C116" t="str">
            <v>Census Tract 111.01, King County, Washington</v>
          </cell>
          <cell r="D116">
            <v>82</v>
          </cell>
          <cell r="E116">
            <v>46</v>
          </cell>
          <cell r="F116">
            <v>17</v>
          </cell>
          <cell r="G116">
            <v>29</v>
          </cell>
          <cell r="H116">
            <v>13</v>
          </cell>
          <cell r="I116">
            <v>8</v>
          </cell>
          <cell r="J116">
            <v>0</v>
          </cell>
          <cell r="K116">
            <v>8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36</v>
          </cell>
          <cell r="Q116">
            <v>9</v>
          </cell>
          <cell r="R116">
            <v>27</v>
          </cell>
          <cell r="S116">
            <v>46</v>
          </cell>
          <cell r="T116">
            <v>36</v>
          </cell>
        </row>
        <row r="117">
          <cell r="C117" t="str">
            <v>Census Tract 111.02, King County, Washington</v>
          </cell>
          <cell r="D117">
            <v>153</v>
          </cell>
          <cell r="E117">
            <v>48</v>
          </cell>
          <cell r="F117">
            <v>31</v>
          </cell>
          <cell r="G117">
            <v>17</v>
          </cell>
          <cell r="H117">
            <v>0</v>
          </cell>
          <cell r="I117">
            <v>1</v>
          </cell>
          <cell r="J117">
            <v>0</v>
          </cell>
          <cell r="K117">
            <v>16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105</v>
          </cell>
          <cell r="Q117">
            <v>16</v>
          </cell>
          <cell r="R117">
            <v>89</v>
          </cell>
          <cell r="S117">
            <v>48</v>
          </cell>
          <cell r="T117">
            <v>105</v>
          </cell>
        </row>
        <row r="118">
          <cell r="C118" t="str">
            <v>Census Tract 112, King County, Washington</v>
          </cell>
          <cell r="D118">
            <v>362</v>
          </cell>
          <cell r="E118">
            <v>77</v>
          </cell>
          <cell r="F118">
            <v>64</v>
          </cell>
          <cell r="G118">
            <v>13</v>
          </cell>
          <cell r="H118">
            <v>0</v>
          </cell>
          <cell r="I118">
            <v>0</v>
          </cell>
          <cell r="J118">
            <v>5</v>
          </cell>
          <cell r="K118">
            <v>8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285</v>
          </cell>
          <cell r="Q118">
            <v>21</v>
          </cell>
          <cell r="R118">
            <v>264</v>
          </cell>
          <cell r="S118">
            <v>77</v>
          </cell>
          <cell r="T118">
            <v>285</v>
          </cell>
        </row>
        <row r="119">
          <cell r="C119" t="str">
            <v>Census Tract 113, King County, Washington</v>
          </cell>
          <cell r="D119">
            <v>157</v>
          </cell>
          <cell r="E119">
            <v>77</v>
          </cell>
          <cell r="F119">
            <v>35</v>
          </cell>
          <cell r="G119">
            <v>38</v>
          </cell>
          <cell r="H119">
            <v>0</v>
          </cell>
          <cell r="I119">
            <v>0</v>
          </cell>
          <cell r="J119">
            <v>0</v>
          </cell>
          <cell r="K119">
            <v>38</v>
          </cell>
          <cell r="L119">
            <v>4</v>
          </cell>
          <cell r="M119">
            <v>0</v>
          </cell>
          <cell r="N119">
            <v>0</v>
          </cell>
          <cell r="O119">
            <v>4</v>
          </cell>
          <cell r="P119">
            <v>80</v>
          </cell>
          <cell r="Q119">
            <v>23</v>
          </cell>
          <cell r="R119">
            <v>57</v>
          </cell>
          <cell r="S119">
            <v>73</v>
          </cell>
          <cell r="T119">
            <v>84</v>
          </cell>
        </row>
        <row r="120">
          <cell r="C120" t="str">
            <v>Census Tract 114, King County, Washington</v>
          </cell>
          <cell r="D120">
            <v>162</v>
          </cell>
          <cell r="E120">
            <v>92</v>
          </cell>
          <cell r="F120">
            <v>44</v>
          </cell>
          <cell r="G120">
            <v>48</v>
          </cell>
          <cell r="H120">
            <v>0</v>
          </cell>
          <cell r="I120">
            <v>0</v>
          </cell>
          <cell r="J120">
            <v>23</v>
          </cell>
          <cell r="K120">
            <v>25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70</v>
          </cell>
          <cell r="Q120">
            <v>26</v>
          </cell>
          <cell r="R120">
            <v>44</v>
          </cell>
          <cell r="S120">
            <v>92</v>
          </cell>
          <cell r="T120">
            <v>70</v>
          </cell>
        </row>
        <row r="121">
          <cell r="C121" t="str">
            <v>Census Tract 115, King County, Washington</v>
          </cell>
          <cell r="D121">
            <v>87</v>
          </cell>
          <cell r="E121">
            <v>76</v>
          </cell>
          <cell r="F121">
            <v>28</v>
          </cell>
          <cell r="G121">
            <v>48</v>
          </cell>
          <cell r="H121">
            <v>6</v>
          </cell>
          <cell r="I121">
            <v>0</v>
          </cell>
          <cell r="J121">
            <v>0</v>
          </cell>
          <cell r="K121">
            <v>42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11</v>
          </cell>
          <cell r="Q121">
            <v>11</v>
          </cell>
          <cell r="R121">
            <v>0</v>
          </cell>
          <cell r="S121">
            <v>76</v>
          </cell>
          <cell r="T121">
            <v>11</v>
          </cell>
        </row>
        <row r="122">
          <cell r="C122" t="str">
            <v>Census Tract 116, King County, Washington</v>
          </cell>
          <cell r="D122">
            <v>171</v>
          </cell>
          <cell r="E122">
            <v>102</v>
          </cell>
          <cell r="F122">
            <v>59</v>
          </cell>
          <cell r="G122">
            <v>43</v>
          </cell>
          <cell r="H122">
            <v>7</v>
          </cell>
          <cell r="I122">
            <v>0</v>
          </cell>
          <cell r="J122">
            <v>19</v>
          </cell>
          <cell r="K122">
            <v>17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69</v>
          </cell>
          <cell r="Q122">
            <v>17</v>
          </cell>
          <cell r="R122">
            <v>52</v>
          </cell>
          <cell r="S122">
            <v>102</v>
          </cell>
          <cell r="T122">
            <v>69</v>
          </cell>
        </row>
        <row r="123">
          <cell r="C123" t="str">
            <v>Census Tract 117, King County, Washington</v>
          </cell>
          <cell r="D123">
            <v>99</v>
          </cell>
          <cell r="E123">
            <v>22</v>
          </cell>
          <cell r="F123">
            <v>22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77</v>
          </cell>
          <cell r="Q123">
            <v>23</v>
          </cell>
          <cell r="R123">
            <v>54</v>
          </cell>
          <cell r="S123">
            <v>22</v>
          </cell>
          <cell r="T123">
            <v>77</v>
          </cell>
        </row>
        <row r="124">
          <cell r="C124" t="str">
            <v>Census Tract 118, King County, Washington</v>
          </cell>
          <cell r="D124">
            <v>131</v>
          </cell>
          <cell r="E124">
            <v>42</v>
          </cell>
          <cell r="F124">
            <v>14</v>
          </cell>
          <cell r="G124">
            <v>28</v>
          </cell>
          <cell r="H124">
            <v>0</v>
          </cell>
          <cell r="I124">
            <v>0</v>
          </cell>
          <cell r="J124">
            <v>16</v>
          </cell>
          <cell r="K124">
            <v>12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89</v>
          </cell>
          <cell r="Q124">
            <v>15</v>
          </cell>
          <cell r="R124">
            <v>74</v>
          </cell>
          <cell r="S124">
            <v>42</v>
          </cell>
          <cell r="T124">
            <v>89</v>
          </cell>
        </row>
        <row r="125">
          <cell r="C125" t="str">
            <v>Census Tract 119, King County, Washington</v>
          </cell>
          <cell r="D125">
            <v>32</v>
          </cell>
          <cell r="E125">
            <v>19</v>
          </cell>
          <cell r="F125">
            <v>0</v>
          </cell>
          <cell r="G125">
            <v>13</v>
          </cell>
          <cell r="H125">
            <v>0</v>
          </cell>
          <cell r="I125">
            <v>0</v>
          </cell>
          <cell r="J125">
            <v>7</v>
          </cell>
          <cell r="K125">
            <v>6</v>
          </cell>
          <cell r="L125">
            <v>6</v>
          </cell>
          <cell r="M125">
            <v>0</v>
          </cell>
          <cell r="N125">
            <v>0</v>
          </cell>
          <cell r="O125">
            <v>6</v>
          </cell>
          <cell r="P125">
            <v>13</v>
          </cell>
          <cell r="Q125">
            <v>6</v>
          </cell>
          <cell r="R125">
            <v>7</v>
          </cell>
          <cell r="S125">
            <v>13</v>
          </cell>
          <cell r="T125">
            <v>19</v>
          </cell>
        </row>
        <row r="126">
          <cell r="C126" t="str">
            <v>Census Tract 120, King County, Washington</v>
          </cell>
          <cell r="D126">
            <v>74</v>
          </cell>
          <cell r="E126">
            <v>70</v>
          </cell>
          <cell r="F126">
            <v>42</v>
          </cell>
          <cell r="G126">
            <v>28</v>
          </cell>
          <cell r="H126">
            <v>0</v>
          </cell>
          <cell r="I126">
            <v>0</v>
          </cell>
          <cell r="J126">
            <v>6</v>
          </cell>
          <cell r="K126">
            <v>22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4</v>
          </cell>
          <cell r="Q126">
            <v>4</v>
          </cell>
          <cell r="R126">
            <v>0</v>
          </cell>
          <cell r="S126">
            <v>70</v>
          </cell>
          <cell r="T126">
            <v>4</v>
          </cell>
        </row>
        <row r="127">
          <cell r="C127" t="str">
            <v>Census Tract 121, King County, Washington</v>
          </cell>
          <cell r="D127">
            <v>9</v>
          </cell>
          <cell r="E127">
            <v>9</v>
          </cell>
          <cell r="F127">
            <v>0</v>
          </cell>
          <cell r="G127">
            <v>9</v>
          </cell>
          <cell r="H127">
            <v>0</v>
          </cell>
          <cell r="I127">
            <v>9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9</v>
          </cell>
          <cell r="T127">
            <v>0</v>
          </cell>
        </row>
        <row r="128">
          <cell r="C128" t="str">
            <v>Census Tract 201, King County, Washington</v>
          </cell>
          <cell r="D128">
            <v>21</v>
          </cell>
          <cell r="E128">
            <v>16</v>
          </cell>
          <cell r="F128">
            <v>10</v>
          </cell>
          <cell r="G128">
            <v>6</v>
          </cell>
          <cell r="H128">
            <v>6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5</v>
          </cell>
          <cell r="Q128">
            <v>0</v>
          </cell>
          <cell r="R128">
            <v>5</v>
          </cell>
          <cell r="S128">
            <v>16</v>
          </cell>
          <cell r="T128">
            <v>5</v>
          </cell>
        </row>
        <row r="129">
          <cell r="C129" t="str">
            <v>Census Tract 202, King County, Washington</v>
          </cell>
          <cell r="D129">
            <v>144</v>
          </cell>
          <cell r="E129">
            <v>61</v>
          </cell>
          <cell r="F129">
            <v>43</v>
          </cell>
          <cell r="G129">
            <v>18</v>
          </cell>
          <cell r="H129">
            <v>0</v>
          </cell>
          <cell r="I129">
            <v>0</v>
          </cell>
          <cell r="J129">
            <v>0</v>
          </cell>
          <cell r="K129">
            <v>18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83</v>
          </cell>
          <cell r="Q129">
            <v>6</v>
          </cell>
          <cell r="R129">
            <v>77</v>
          </cell>
          <cell r="S129">
            <v>61</v>
          </cell>
          <cell r="T129">
            <v>83</v>
          </cell>
        </row>
        <row r="130">
          <cell r="C130" t="str">
            <v>Census Tract 203, King County, Washington</v>
          </cell>
          <cell r="D130">
            <v>58</v>
          </cell>
          <cell r="E130">
            <v>20</v>
          </cell>
          <cell r="F130">
            <v>20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38</v>
          </cell>
          <cell r="Q130">
            <v>0</v>
          </cell>
          <cell r="R130">
            <v>38</v>
          </cell>
          <cell r="S130">
            <v>20</v>
          </cell>
          <cell r="T130">
            <v>38</v>
          </cell>
        </row>
        <row r="131">
          <cell r="C131" t="str">
            <v>Census Tract 204.01, King County, Washington</v>
          </cell>
          <cell r="D131">
            <v>37</v>
          </cell>
          <cell r="E131">
            <v>25</v>
          </cell>
          <cell r="F131">
            <v>9</v>
          </cell>
          <cell r="G131">
            <v>16</v>
          </cell>
          <cell r="H131">
            <v>0</v>
          </cell>
          <cell r="I131">
            <v>0</v>
          </cell>
          <cell r="J131">
            <v>7</v>
          </cell>
          <cell r="K131">
            <v>9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12</v>
          </cell>
          <cell r="Q131">
            <v>12</v>
          </cell>
          <cell r="R131">
            <v>0</v>
          </cell>
          <cell r="S131">
            <v>25</v>
          </cell>
          <cell r="T131">
            <v>12</v>
          </cell>
        </row>
        <row r="132">
          <cell r="C132" t="str">
            <v>Census Tract 204.02, King County, Washington</v>
          </cell>
          <cell r="D132">
            <v>64</v>
          </cell>
          <cell r="E132">
            <v>64</v>
          </cell>
          <cell r="F132">
            <v>39</v>
          </cell>
          <cell r="G132">
            <v>17</v>
          </cell>
          <cell r="H132">
            <v>0</v>
          </cell>
          <cell r="I132">
            <v>0</v>
          </cell>
          <cell r="J132">
            <v>7</v>
          </cell>
          <cell r="K132">
            <v>10</v>
          </cell>
          <cell r="L132">
            <v>8</v>
          </cell>
          <cell r="M132">
            <v>0</v>
          </cell>
          <cell r="N132">
            <v>0</v>
          </cell>
          <cell r="O132">
            <v>8</v>
          </cell>
          <cell r="P132">
            <v>0</v>
          </cell>
          <cell r="Q132">
            <v>0</v>
          </cell>
          <cell r="R132">
            <v>0</v>
          </cell>
          <cell r="S132">
            <v>56</v>
          </cell>
          <cell r="T132">
            <v>8</v>
          </cell>
        </row>
        <row r="133">
          <cell r="C133" t="str">
            <v>Census Tract 205, King County, Washington</v>
          </cell>
          <cell r="D133">
            <v>39</v>
          </cell>
          <cell r="E133">
            <v>39</v>
          </cell>
          <cell r="F133">
            <v>0</v>
          </cell>
          <cell r="G133">
            <v>39</v>
          </cell>
          <cell r="H133">
            <v>0</v>
          </cell>
          <cell r="I133">
            <v>0</v>
          </cell>
          <cell r="J133">
            <v>0</v>
          </cell>
          <cell r="K133">
            <v>39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39</v>
          </cell>
          <cell r="T133">
            <v>0</v>
          </cell>
        </row>
        <row r="134">
          <cell r="C134" t="str">
            <v>Census Tract 206, King County, Washington</v>
          </cell>
          <cell r="D134">
            <v>59</v>
          </cell>
          <cell r="E134">
            <v>53</v>
          </cell>
          <cell r="F134">
            <v>9</v>
          </cell>
          <cell r="G134">
            <v>44</v>
          </cell>
          <cell r="H134">
            <v>0</v>
          </cell>
          <cell r="I134">
            <v>10</v>
          </cell>
          <cell r="J134">
            <v>0</v>
          </cell>
          <cell r="K134">
            <v>34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6</v>
          </cell>
          <cell r="Q134">
            <v>6</v>
          </cell>
          <cell r="R134">
            <v>0</v>
          </cell>
          <cell r="S134">
            <v>53</v>
          </cell>
          <cell r="T134">
            <v>6</v>
          </cell>
        </row>
        <row r="135">
          <cell r="C135" t="str">
            <v>Census Tract 207, King County, Washington</v>
          </cell>
          <cell r="D135">
            <v>50</v>
          </cell>
          <cell r="E135">
            <v>40</v>
          </cell>
          <cell r="F135">
            <v>29</v>
          </cell>
          <cell r="G135">
            <v>11</v>
          </cell>
          <cell r="H135">
            <v>0</v>
          </cell>
          <cell r="I135">
            <v>0</v>
          </cell>
          <cell r="J135">
            <v>7</v>
          </cell>
          <cell r="K135">
            <v>4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10</v>
          </cell>
          <cell r="Q135">
            <v>6</v>
          </cell>
          <cell r="R135">
            <v>4</v>
          </cell>
          <cell r="S135">
            <v>40</v>
          </cell>
          <cell r="T135">
            <v>10</v>
          </cell>
        </row>
        <row r="136">
          <cell r="C136" t="str">
            <v>Census Tract 208, King County, Washington</v>
          </cell>
          <cell r="D136">
            <v>48</v>
          </cell>
          <cell r="E136">
            <v>44</v>
          </cell>
          <cell r="F136">
            <v>21</v>
          </cell>
          <cell r="G136">
            <v>23</v>
          </cell>
          <cell r="H136">
            <v>0</v>
          </cell>
          <cell r="I136">
            <v>6</v>
          </cell>
          <cell r="J136">
            <v>0</v>
          </cell>
          <cell r="K136">
            <v>17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4</v>
          </cell>
          <cell r="Q136">
            <v>4</v>
          </cell>
          <cell r="R136">
            <v>0</v>
          </cell>
          <cell r="S136">
            <v>44</v>
          </cell>
          <cell r="T136">
            <v>4</v>
          </cell>
        </row>
        <row r="137">
          <cell r="C137" t="str">
            <v>Census Tract 209, King County, Washington</v>
          </cell>
          <cell r="D137">
            <v>38</v>
          </cell>
          <cell r="E137">
            <v>38</v>
          </cell>
          <cell r="F137">
            <v>8</v>
          </cell>
          <cell r="G137">
            <v>24</v>
          </cell>
          <cell r="H137">
            <v>0</v>
          </cell>
          <cell r="I137">
            <v>10</v>
          </cell>
          <cell r="J137">
            <v>0</v>
          </cell>
          <cell r="K137">
            <v>14</v>
          </cell>
          <cell r="L137">
            <v>6</v>
          </cell>
          <cell r="M137">
            <v>0</v>
          </cell>
          <cell r="N137">
            <v>0</v>
          </cell>
          <cell r="O137">
            <v>6</v>
          </cell>
          <cell r="P137">
            <v>0</v>
          </cell>
          <cell r="Q137">
            <v>0</v>
          </cell>
          <cell r="R137">
            <v>0</v>
          </cell>
          <cell r="S137">
            <v>32</v>
          </cell>
          <cell r="T137">
            <v>6</v>
          </cell>
        </row>
        <row r="138">
          <cell r="C138" t="str">
            <v>Census Tract 210, King County, Washington</v>
          </cell>
          <cell r="D138">
            <v>50</v>
          </cell>
          <cell r="E138">
            <v>50</v>
          </cell>
          <cell r="F138">
            <v>23</v>
          </cell>
          <cell r="G138">
            <v>27</v>
          </cell>
          <cell r="H138">
            <v>0</v>
          </cell>
          <cell r="I138">
            <v>0</v>
          </cell>
          <cell r="J138">
            <v>5</v>
          </cell>
          <cell r="K138">
            <v>22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50</v>
          </cell>
          <cell r="T138">
            <v>0</v>
          </cell>
        </row>
        <row r="139">
          <cell r="C139" t="str">
            <v>Census Tract 211, King County, Washington</v>
          </cell>
          <cell r="D139">
            <v>52</v>
          </cell>
          <cell r="E139">
            <v>42</v>
          </cell>
          <cell r="F139">
            <v>8</v>
          </cell>
          <cell r="G139">
            <v>21</v>
          </cell>
          <cell r="H139">
            <v>0</v>
          </cell>
          <cell r="I139">
            <v>7</v>
          </cell>
          <cell r="J139">
            <v>0</v>
          </cell>
          <cell r="K139">
            <v>14</v>
          </cell>
          <cell r="L139">
            <v>13</v>
          </cell>
          <cell r="M139">
            <v>0</v>
          </cell>
          <cell r="N139">
            <v>13</v>
          </cell>
          <cell r="O139">
            <v>0</v>
          </cell>
          <cell r="P139">
            <v>10</v>
          </cell>
          <cell r="Q139">
            <v>10</v>
          </cell>
          <cell r="R139">
            <v>0</v>
          </cell>
          <cell r="S139">
            <v>29</v>
          </cell>
          <cell r="T139">
            <v>23</v>
          </cell>
        </row>
        <row r="140">
          <cell r="C140" t="str">
            <v>Census Tract 213, King County, Washington</v>
          </cell>
          <cell r="D140">
            <v>57</v>
          </cell>
          <cell r="E140">
            <v>50</v>
          </cell>
          <cell r="F140">
            <v>30</v>
          </cell>
          <cell r="G140">
            <v>13</v>
          </cell>
          <cell r="H140">
            <v>0</v>
          </cell>
          <cell r="I140">
            <v>0</v>
          </cell>
          <cell r="J140">
            <v>0</v>
          </cell>
          <cell r="K140">
            <v>13</v>
          </cell>
          <cell r="L140">
            <v>7</v>
          </cell>
          <cell r="M140">
            <v>0</v>
          </cell>
          <cell r="N140">
            <v>7</v>
          </cell>
          <cell r="O140">
            <v>0</v>
          </cell>
          <cell r="P140">
            <v>7</v>
          </cell>
          <cell r="Q140">
            <v>0</v>
          </cell>
          <cell r="R140">
            <v>7</v>
          </cell>
          <cell r="S140">
            <v>43</v>
          </cell>
          <cell r="T140">
            <v>14</v>
          </cell>
        </row>
        <row r="141">
          <cell r="C141" t="str">
            <v>Census Tract 214, King County, Washington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C142" t="str">
            <v>Census Tract 215, King County, Washington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C143" t="str">
            <v>Census Tract 216, King County, Washington</v>
          </cell>
          <cell r="D143">
            <v>106</v>
          </cell>
          <cell r="E143">
            <v>90</v>
          </cell>
          <cell r="F143">
            <v>59</v>
          </cell>
          <cell r="G143">
            <v>31</v>
          </cell>
          <cell r="H143">
            <v>0</v>
          </cell>
          <cell r="I143">
            <v>0</v>
          </cell>
          <cell r="J143">
            <v>11</v>
          </cell>
          <cell r="K143">
            <v>20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16</v>
          </cell>
          <cell r="Q143">
            <v>16</v>
          </cell>
          <cell r="R143">
            <v>0</v>
          </cell>
          <cell r="S143">
            <v>90</v>
          </cell>
          <cell r="T143">
            <v>16</v>
          </cell>
        </row>
        <row r="144">
          <cell r="C144" t="str">
            <v>Census Tract 217, King County, Washington</v>
          </cell>
          <cell r="D144">
            <v>174</v>
          </cell>
          <cell r="E144">
            <v>148</v>
          </cell>
          <cell r="F144">
            <v>89</v>
          </cell>
          <cell r="G144">
            <v>31</v>
          </cell>
          <cell r="H144">
            <v>31</v>
          </cell>
          <cell r="I144">
            <v>0</v>
          </cell>
          <cell r="J144">
            <v>0</v>
          </cell>
          <cell r="K144">
            <v>0</v>
          </cell>
          <cell r="L144">
            <v>28</v>
          </cell>
          <cell r="M144">
            <v>28</v>
          </cell>
          <cell r="N144">
            <v>0</v>
          </cell>
          <cell r="O144">
            <v>0</v>
          </cell>
          <cell r="P144">
            <v>26</v>
          </cell>
          <cell r="Q144">
            <v>26</v>
          </cell>
          <cell r="R144">
            <v>0</v>
          </cell>
          <cell r="S144">
            <v>120</v>
          </cell>
          <cell r="T144">
            <v>54</v>
          </cell>
        </row>
        <row r="145">
          <cell r="C145" t="str">
            <v>Census Tract 218.02, King County, Washington</v>
          </cell>
          <cell r="D145">
            <v>34</v>
          </cell>
          <cell r="E145">
            <v>11</v>
          </cell>
          <cell r="F145">
            <v>5</v>
          </cell>
          <cell r="G145">
            <v>6</v>
          </cell>
          <cell r="H145">
            <v>0</v>
          </cell>
          <cell r="I145">
            <v>0</v>
          </cell>
          <cell r="J145">
            <v>6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23</v>
          </cell>
          <cell r="Q145">
            <v>0</v>
          </cell>
          <cell r="R145">
            <v>23</v>
          </cell>
          <cell r="S145">
            <v>11</v>
          </cell>
          <cell r="T145">
            <v>23</v>
          </cell>
        </row>
        <row r="146">
          <cell r="C146" t="str">
            <v>Census Tract 218.03, King County, Washington</v>
          </cell>
          <cell r="D146">
            <v>159</v>
          </cell>
          <cell r="E146">
            <v>43</v>
          </cell>
          <cell r="F146">
            <v>23</v>
          </cell>
          <cell r="G146">
            <v>20</v>
          </cell>
          <cell r="H146">
            <v>0</v>
          </cell>
          <cell r="I146">
            <v>0</v>
          </cell>
          <cell r="J146">
            <v>10</v>
          </cell>
          <cell r="K146">
            <v>10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116</v>
          </cell>
          <cell r="Q146">
            <v>7</v>
          </cell>
          <cell r="R146">
            <v>109</v>
          </cell>
          <cell r="S146">
            <v>43</v>
          </cell>
          <cell r="T146">
            <v>116</v>
          </cell>
        </row>
        <row r="147">
          <cell r="C147" t="str">
            <v>Census Tract 218.04, King County, Washington</v>
          </cell>
          <cell r="D147">
            <v>105</v>
          </cell>
          <cell r="E147">
            <v>34</v>
          </cell>
          <cell r="F147">
            <v>0</v>
          </cell>
          <cell r="G147">
            <v>34</v>
          </cell>
          <cell r="H147">
            <v>0</v>
          </cell>
          <cell r="I147">
            <v>0</v>
          </cell>
          <cell r="J147">
            <v>0</v>
          </cell>
          <cell r="K147">
            <v>34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71</v>
          </cell>
          <cell r="Q147">
            <v>35</v>
          </cell>
          <cell r="R147">
            <v>36</v>
          </cell>
          <cell r="S147">
            <v>34</v>
          </cell>
          <cell r="T147">
            <v>71</v>
          </cell>
        </row>
        <row r="148">
          <cell r="C148" t="str">
            <v>Census Tract 219.03, King County, Washington</v>
          </cell>
          <cell r="D148">
            <v>93</v>
          </cell>
          <cell r="E148">
            <v>86</v>
          </cell>
          <cell r="F148">
            <v>22</v>
          </cell>
          <cell r="G148">
            <v>60</v>
          </cell>
          <cell r="H148">
            <v>0</v>
          </cell>
          <cell r="I148">
            <v>0</v>
          </cell>
          <cell r="J148">
            <v>16</v>
          </cell>
          <cell r="K148">
            <v>44</v>
          </cell>
          <cell r="L148">
            <v>4</v>
          </cell>
          <cell r="M148">
            <v>4</v>
          </cell>
          <cell r="N148">
            <v>0</v>
          </cell>
          <cell r="O148">
            <v>0</v>
          </cell>
          <cell r="P148">
            <v>7</v>
          </cell>
          <cell r="Q148">
            <v>7</v>
          </cell>
          <cell r="R148">
            <v>0</v>
          </cell>
          <cell r="S148">
            <v>82</v>
          </cell>
          <cell r="T148">
            <v>11</v>
          </cell>
        </row>
        <row r="149">
          <cell r="C149" t="str">
            <v>Census Tract 219.04, King County, Washington</v>
          </cell>
          <cell r="D149">
            <v>196</v>
          </cell>
          <cell r="E149">
            <v>69</v>
          </cell>
          <cell r="F149">
            <v>37</v>
          </cell>
          <cell r="G149">
            <v>32</v>
          </cell>
          <cell r="H149">
            <v>0</v>
          </cell>
          <cell r="I149">
            <v>7</v>
          </cell>
          <cell r="J149">
            <v>6</v>
          </cell>
          <cell r="K149">
            <v>19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127</v>
          </cell>
          <cell r="Q149">
            <v>35</v>
          </cell>
          <cell r="R149">
            <v>92</v>
          </cell>
          <cell r="S149">
            <v>69</v>
          </cell>
          <cell r="T149">
            <v>127</v>
          </cell>
        </row>
        <row r="150">
          <cell r="C150" t="str">
            <v>Census Tract 219.05, King County, Washington</v>
          </cell>
          <cell r="D150">
            <v>132</v>
          </cell>
          <cell r="E150">
            <v>84</v>
          </cell>
          <cell r="F150">
            <v>67</v>
          </cell>
          <cell r="G150">
            <v>17</v>
          </cell>
          <cell r="H150">
            <v>0</v>
          </cell>
          <cell r="I150">
            <v>0</v>
          </cell>
          <cell r="J150">
            <v>11</v>
          </cell>
          <cell r="K150">
            <v>6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48</v>
          </cell>
          <cell r="Q150">
            <v>7</v>
          </cell>
          <cell r="R150">
            <v>41</v>
          </cell>
          <cell r="S150">
            <v>84</v>
          </cell>
          <cell r="T150">
            <v>48</v>
          </cell>
        </row>
        <row r="151">
          <cell r="C151" t="str">
            <v>Census Tract 219.06, King County, Washington</v>
          </cell>
          <cell r="D151">
            <v>67</v>
          </cell>
          <cell r="E151">
            <v>37</v>
          </cell>
          <cell r="F151">
            <v>0</v>
          </cell>
          <cell r="G151">
            <v>37</v>
          </cell>
          <cell r="H151">
            <v>0</v>
          </cell>
          <cell r="I151">
            <v>0</v>
          </cell>
          <cell r="J151">
            <v>0</v>
          </cell>
          <cell r="K151">
            <v>37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30</v>
          </cell>
          <cell r="Q151">
            <v>0</v>
          </cell>
          <cell r="R151">
            <v>30</v>
          </cell>
          <cell r="S151">
            <v>37</v>
          </cell>
          <cell r="T151">
            <v>30</v>
          </cell>
        </row>
        <row r="152">
          <cell r="C152" t="str">
            <v>Census Tract 220.01, King County, Washington</v>
          </cell>
          <cell r="D152">
            <v>155</v>
          </cell>
          <cell r="E152">
            <v>43</v>
          </cell>
          <cell r="F152">
            <v>13</v>
          </cell>
          <cell r="G152">
            <v>30</v>
          </cell>
          <cell r="H152">
            <v>0</v>
          </cell>
          <cell r="I152">
            <v>20</v>
          </cell>
          <cell r="J152">
            <v>3</v>
          </cell>
          <cell r="K152">
            <v>7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112</v>
          </cell>
          <cell r="Q152">
            <v>10</v>
          </cell>
          <cell r="R152">
            <v>102</v>
          </cell>
          <cell r="S152">
            <v>43</v>
          </cell>
          <cell r="T152">
            <v>112</v>
          </cell>
        </row>
        <row r="153">
          <cell r="C153" t="str">
            <v>Census Tract 220.03, King County, Washington</v>
          </cell>
          <cell r="D153">
            <v>128</v>
          </cell>
          <cell r="E153">
            <v>91</v>
          </cell>
          <cell r="F153">
            <v>26</v>
          </cell>
          <cell r="G153">
            <v>65</v>
          </cell>
          <cell r="H153">
            <v>0</v>
          </cell>
          <cell r="I153">
            <v>0</v>
          </cell>
          <cell r="J153">
            <v>3</v>
          </cell>
          <cell r="K153">
            <v>62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37</v>
          </cell>
          <cell r="Q153">
            <v>0</v>
          </cell>
          <cell r="R153">
            <v>37</v>
          </cell>
          <cell r="S153">
            <v>91</v>
          </cell>
          <cell r="T153">
            <v>37</v>
          </cell>
        </row>
        <row r="154">
          <cell r="C154" t="str">
            <v>Census Tract 220.05, King County, Washington</v>
          </cell>
          <cell r="D154">
            <v>138</v>
          </cell>
          <cell r="E154">
            <v>79</v>
          </cell>
          <cell r="F154">
            <v>17</v>
          </cell>
          <cell r="G154">
            <v>62</v>
          </cell>
          <cell r="H154">
            <v>0</v>
          </cell>
          <cell r="I154">
            <v>0</v>
          </cell>
          <cell r="J154">
            <v>13</v>
          </cell>
          <cell r="K154">
            <v>49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59</v>
          </cell>
          <cell r="Q154">
            <v>0</v>
          </cell>
          <cell r="R154">
            <v>59</v>
          </cell>
          <cell r="S154">
            <v>79</v>
          </cell>
          <cell r="T154">
            <v>59</v>
          </cell>
        </row>
        <row r="155">
          <cell r="C155" t="str">
            <v>Census Tract 220.06, King County, Washington</v>
          </cell>
          <cell r="D155">
            <v>92</v>
          </cell>
          <cell r="E155">
            <v>20</v>
          </cell>
          <cell r="F155">
            <v>11</v>
          </cell>
          <cell r="G155">
            <v>9</v>
          </cell>
          <cell r="H155">
            <v>0</v>
          </cell>
          <cell r="I155">
            <v>0</v>
          </cell>
          <cell r="J155">
            <v>0</v>
          </cell>
          <cell r="K155">
            <v>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72</v>
          </cell>
          <cell r="Q155">
            <v>26</v>
          </cell>
          <cell r="R155">
            <v>46</v>
          </cell>
          <cell r="S155">
            <v>20</v>
          </cell>
          <cell r="T155">
            <v>72</v>
          </cell>
        </row>
        <row r="156">
          <cell r="C156" t="str">
            <v>Census Tract 221.01, King County, Washington</v>
          </cell>
          <cell r="D156">
            <v>95</v>
          </cell>
          <cell r="E156">
            <v>71</v>
          </cell>
          <cell r="F156">
            <v>36</v>
          </cell>
          <cell r="G156">
            <v>35</v>
          </cell>
          <cell r="H156">
            <v>0</v>
          </cell>
          <cell r="I156">
            <v>0</v>
          </cell>
          <cell r="J156">
            <v>0</v>
          </cell>
          <cell r="K156">
            <v>35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24</v>
          </cell>
          <cell r="Q156">
            <v>8</v>
          </cell>
          <cell r="R156">
            <v>16</v>
          </cell>
          <cell r="S156">
            <v>71</v>
          </cell>
          <cell r="T156">
            <v>24</v>
          </cell>
        </row>
        <row r="157">
          <cell r="C157" t="str">
            <v>Census Tract 221.02, King County, Washington</v>
          </cell>
          <cell r="D157">
            <v>109</v>
          </cell>
          <cell r="E157">
            <v>86</v>
          </cell>
          <cell r="F157">
            <v>41</v>
          </cell>
          <cell r="G157">
            <v>45</v>
          </cell>
          <cell r="H157">
            <v>7</v>
          </cell>
          <cell r="I157">
            <v>17</v>
          </cell>
          <cell r="J157">
            <v>0</v>
          </cell>
          <cell r="K157">
            <v>21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23</v>
          </cell>
          <cell r="Q157">
            <v>23</v>
          </cell>
          <cell r="R157">
            <v>0</v>
          </cell>
          <cell r="S157">
            <v>86</v>
          </cell>
          <cell r="T157">
            <v>23</v>
          </cell>
        </row>
        <row r="158">
          <cell r="C158" t="str">
            <v>Census Tract 222.01, King County, Washington</v>
          </cell>
          <cell r="D158">
            <v>89</v>
          </cell>
          <cell r="E158">
            <v>80</v>
          </cell>
          <cell r="F158">
            <v>39</v>
          </cell>
          <cell r="G158">
            <v>41</v>
          </cell>
          <cell r="H158">
            <v>0</v>
          </cell>
          <cell r="I158">
            <v>0</v>
          </cell>
          <cell r="J158">
            <v>24</v>
          </cell>
          <cell r="K158">
            <v>17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9</v>
          </cell>
          <cell r="Q158">
            <v>9</v>
          </cell>
          <cell r="R158">
            <v>0</v>
          </cell>
          <cell r="S158">
            <v>80</v>
          </cell>
          <cell r="T158">
            <v>9</v>
          </cell>
        </row>
        <row r="159">
          <cell r="C159" t="str">
            <v>Census Tract 222.02, King County, Washington</v>
          </cell>
          <cell r="D159">
            <v>143</v>
          </cell>
          <cell r="E159">
            <v>93</v>
          </cell>
          <cell r="F159">
            <v>25</v>
          </cell>
          <cell r="G159">
            <v>68</v>
          </cell>
          <cell r="H159">
            <v>5</v>
          </cell>
          <cell r="I159">
            <v>0</v>
          </cell>
          <cell r="J159">
            <v>11</v>
          </cell>
          <cell r="K159">
            <v>52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50</v>
          </cell>
          <cell r="Q159">
            <v>13</v>
          </cell>
          <cell r="R159">
            <v>37</v>
          </cell>
          <cell r="S159">
            <v>93</v>
          </cell>
          <cell r="T159">
            <v>50</v>
          </cell>
        </row>
        <row r="160">
          <cell r="C160" t="str">
            <v>Census Tract 222.03, King County, Washington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C161" t="str">
            <v>Census Tract 223, King County, Washington</v>
          </cell>
          <cell r="D161">
            <v>7</v>
          </cell>
          <cell r="E161">
            <v>7</v>
          </cell>
          <cell r="F161">
            <v>0</v>
          </cell>
          <cell r="G161">
            <v>7</v>
          </cell>
          <cell r="H161">
            <v>0</v>
          </cell>
          <cell r="I161">
            <v>7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7</v>
          </cell>
          <cell r="T161">
            <v>0</v>
          </cell>
        </row>
        <row r="162">
          <cell r="C162" t="str">
            <v>Census Tract 224, King County, Washington</v>
          </cell>
          <cell r="D162">
            <v>137</v>
          </cell>
          <cell r="E162">
            <v>128</v>
          </cell>
          <cell r="F162">
            <v>64</v>
          </cell>
          <cell r="G162">
            <v>64</v>
          </cell>
          <cell r="H162">
            <v>21</v>
          </cell>
          <cell r="I162">
            <v>0</v>
          </cell>
          <cell r="J162">
            <v>9</v>
          </cell>
          <cell r="K162">
            <v>34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9</v>
          </cell>
          <cell r="Q162">
            <v>0</v>
          </cell>
          <cell r="R162">
            <v>9</v>
          </cell>
          <cell r="S162">
            <v>128</v>
          </cell>
          <cell r="T162">
            <v>9</v>
          </cell>
        </row>
        <row r="163">
          <cell r="C163" t="str">
            <v>Census Tract 225, King County, Washington</v>
          </cell>
          <cell r="D163">
            <v>158</v>
          </cell>
          <cell r="E163">
            <v>134</v>
          </cell>
          <cell r="F163">
            <v>39</v>
          </cell>
          <cell r="G163">
            <v>82</v>
          </cell>
          <cell r="H163">
            <v>0</v>
          </cell>
          <cell r="I163">
            <v>0</v>
          </cell>
          <cell r="J163">
            <v>0</v>
          </cell>
          <cell r="K163">
            <v>82</v>
          </cell>
          <cell r="L163">
            <v>13</v>
          </cell>
          <cell r="M163">
            <v>13</v>
          </cell>
          <cell r="N163">
            <v>0</v>
          </cell>
          <cell r="O163">
            <v>0</v>
          </cell>
          <cell r="P163">
            <v>24</v>
          </cell>
          <cell r="Q163">
            <v>9</v>
          </cell>
          <cell r="R163">
            <v>15</v>
          </cell>
          <cell r="S163">
            <v>121</v>
          </cell>
          <cell r="T163">
            <v>37</v>
          </cell>
        </row>
        <row r="164">
          <cell r="C164" t="str">
            <v>Census Tract 226.03, King County, Washington</v>
          </cell>
          <cell r="D164">
            <v>75</v>
          </cell>
          <cell r="E164">
            <v>62</v>
          </cell>
          <cell r="F164">
            <v>30</v>
          </cell>
          <cell r="G164">
            <v>32</v>
          </cell>
          <cell r="H164">
            <v>0</v>
          </cell>
          <cell r="I164">
            <v>0</v>
          </cell>
          <cell r="J164">
            <v>0</v>
          </cell>
          <cell r="K164">
            <v>32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13</v>
          </cell>
          <cell r="Q164">
            <v>13</v>
          </cell>
          <cell r="R164">
            <v>0</v>
          </cell>
          <cell r="S164">
            <v>62</v>
          </cell>
          <cell r="T164">
            <v>13</v>
          </cell>
        </row>
        <row r="165">
          <cell r="C165" t="str">
            <v>Census Tract 226.04, King County, Washington</v>
          </cell>
          <cell r="D165">
            <v>82</v>
          </cell>
          <cell r="E165">
            <v>42</v>
          </cell>
          <cell r="F165">
            <v>9</v>
          </cell>
          <cell r="G165">
            <v>33</v>
          </cell>
          <cell r="H165">
            <v>0</v>
          </cell>
          <cell r="I165">
            <v>0</v>
          </cell>
          <cell r="J165">
            <v>24</v>
          </cell>
          <cell r="K165">
            <v>9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40</v>
          </cell>
          <cell r="Q165">
            <v>26</v>
          </cell>
          <cell r="R165">
            <v>14</v>
          </cell>
          <cell r="S165">
            <v>42</v>
          </cell>
          <cell r="T165">
            <v>40</v>
          </cell>
        </row>
        <row r="166">
          <cell r="C166" t="str">
            <v>Census Tract 226.05, King County, Washington</v>
          </cell>
          <cell r="D166">
            <v>302</v>
          </cell>
          <cell r="E166">
            <v>117</v>
          </cell>
          <cell r="F166">
            <v>68</v>
          </cell>
          <cell r="G166">
            <v>49</v>
          </cell>
          <cell r="H166">
            <v>0</v>
          </cell>
          <cell r="I166">
            <v>32</v>
          </cell>
          <cell r="J166">
            <v>0</v>
          </cell>
          <cell r="K166">
            <v>17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185</v>
          </cell>
          <cell r="Q166">
            <v>18</v>
          </cell>
          <cell r="R166">
            <v>167</v>
          </cell>
          <cell r="S166">
            <v>117</v>
          </cell>
          <cell r="T166">
            <v>185</v>
          </cell>
        </row>
        <row r="167">
          <cell r="C167" t="str">
            <v>Census Tract 226.06, King County, Washington</v>
          </cell>
          <cell r="D167">
            <v>105</v>
          </cell>
          <cell r="E167">
            <v>44</v>
          </cell>
          <cell r="F167">
            <v>0</v>
          </cell>
          <cell r="G167">
            <v>35</v>
          </cell>
          <cell r="H167">
            <v>0</v>
          </cell>
          <cell r="I167">
            <v>0</v>
          </cell>
          <cell r="J167">
            <v>0</v>
          </cell>
          <cell r="K167">
            <v>35</v>
          </cell>
          <cell r="L167">
            <v>9</v>
          </cell>
          <cell r="M167">
            <v>0</v>
          </cell>
          <cell r="N167">
            <v>0</v>
          </cell>
          <cell r="O167">
            <v>9</v>
          </cell>
          <cell r="P167">
            <v>61</v>
          </cell>
          <cell r="Q167">
            <v>45</v>
          </cell>
          <cell r="R167">
            <v>16</v>
          </cell>
          <cell r="S167">
            <v>35</v>
          </cell>
          <cell r="T167">
            <v>70</v>
          </cell>
        </row>
        <row r="168">
          <cell r="C168" t="str">
            <v>Census Tract 227.01, King County, Washington</v>
          </cell>
          <cell r="D168">
            <v>3</v>
          </cell>
          <cell r="E168">
            <v>3</v>
          </cell>
          <cell r="F168">
            <v>3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3</v>
          </cell>
          <cell r="T168">
            <v>0</v>
          </cell>
        </row>
        <row r="169">
          <cell r="C169" t="str">
            <v>Census Tract 227.02, King County, Washington</v>
          </cell>
          <cell r="D169">
            <v>65</v>
          </cell>
          <cell r="E169">
            <v>65</v>
          </cell>
          <cell r="F169">
            <v>49</v>
          </cell>
          <cell r="G169">
            <v>16</v>
          </cell>
          <cell r="H169">
            <v>0</v>
          </cell>
          <cell r="I169">
            <v>0</v>
          </cell>
          <cell r="J169">
            <v>0</v>
          </cell>
          <cell r="K169">
            <v>16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65</v>
          </cell>
          <cell r="T169">
            <v>0</v>
          </cell>
        </row>
        <row r="170">
          <cell r="C170" t="str">
            <v>Census Tract 227.03, King County, Washington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C171" t="str">
            <v>Census Tract 228.01, King County, Washington</v>
          </cell>
          <cell r="D171">
            <v>306</v>
          </cell>
          <cell r="E171">
            <v>132</v>
          </cell>
          <cell r="F171">
            <v>87</v>
          </cell>
          <cell r="G171">
            <v>45</v>
          </cell>
          <cell r="H171">
            <v>0</v>
          </cell>
          <cell r="I171">
            <v>0</v>
          </cell>
          <cell r="J171">
            <v>8</v>
          </cell>
          <cell r="K171">
            <v>37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174</v>
          </cell>
          <cell r="Q171">
            <v>17</v>
          </cell>
          <cell r="R171">
            <v>157</v>
          </cell>
          <cell r="S171">
            <v>132</v>
          </cell>
          <cell r="T171">
            <v>174</v>
          </cell>
        </row>
        <row r="172">
          <cell r="C172" t="str">
            <v>Census Tract 228.02, King County, Washington</v>
          </cell>
          <cell r="D172">
            <v>51</v>
          </cell>
          <cell r="E172">
            <v>16</v>
          </cell>
          <cell r="F172">
            <v>16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35</v>
          </cell>
          <cell r="Q172">
            <v>0</v>
          </cell>
          <cell r="R172">
            <v>35</v>
          </cell>
          <cell r="S172">
            <v>16</v>
          </cell>
          <cell r="T172">
            <v>35</v>
          </cell>
        </row>
        <row r="173">
          <cell r="C173" t="str">
            <v>Census Tract 228.03, King County, Washington</v>
          </cell>
          <cell r="D173">
            <v>51</v>
          </cell>
          <cell r="E173">
            <v>35</v>
          </cell>
          <cell r="F173">
            <v>0</v>
          </cell>
          <cell r="G173">
            <v>35</v>
          </cell>
          <cell r="H173">
            <v>0</v>
          </cell>
          <cell r="I173">
            <v>9</v>
          </cell>
          <cell r="J173">
            <v>0</v>
          </cell>
          <cell r="K173">
            <v>26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16</v>
          </cell>
          <cell r="Q173">
            <v>16</v>
          </cell>
          <cell r="R173">
            <v>0</v>
          </cell>
          <cell r="S173">
            <v>35</v>
          </cell>
          <cell r="T173">
            <v>16</v>
          </cell>
        </row>
        <row r="174">
          <cell r="C174" t="str">
            <v>Census Tract 229.01, King County, Washington</v>
          </cell>
          <cell r="D174">
            <v>24</v>
          </cell>
          <cell r="E174">
            <v>24</v>
          </cell>
          <cell r="F174">
            <v>9</v>
          </cell>
          <cell r="G174">
            <v>15</v>
          </cell>
          <cell r="H174">
            <v>6</v>
          </cell>
          <cell r="I174">
            <v>0</v>
          </cell>
          <cell r="J174">
            <v>0</v>
          </cell>
          <cell r="K174">
            <v>9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24</v>
          </cell>
          <cell r="T174">
            <v>0</v>
          </cell>
        </row>
        <row r="175">
          <cell r="C175" t="str">
            <v>Census Tract 229.02, King County, Washington</v>
          </cell>
          <cell r="D175">
            <v>94</v>
          </cell>
          <cell r="E175">
            <v>51</v>
          </cell>
          <cell r="F175">
            <v>34</v>
          </cell>
          <cell r="G175">
            <v>9</v>
          </cell>
          <cell r="H175">
            <v>0</v>
          </cell>
          <cell r="I175">
            <v>0</v>
          </cell>
          <cell r="J175">
            <v>0</v>
          </cell>
          <cell r="K175">
            <v>9</v>
          </cell>
          <cell r="L175">
            <v>8</v>
          </cell>
          <cell r="M175">
            <v>0</v>
          </cell>
          <cell r="N175">
            <v>0</v>
          </cell>
          <cell r="O175">
            <v>8</v>
          </cell>
          <cell r="P175">
            <v>43</v>
          </cell>
          <cell r="Q175">
            <v>43</v>
          </cell>
          <cell r="R175">
            <v>0</v>
          </cell>
          <cell r="S175">
            <v>43</v>
          </cell>
          <cell r="T175">
            <v>51</v>
          </cell>
        </row>
        <row r="176">
          <cell r="C176" t="str">
            <v>Census Tract 230, King County, Washington</v>
          </cell>
          <cell r="D176">
            <v>89</v>
          </cell>
          <cell r="E176">
            <v>50</v>
          </cell>
          <cell r="F176">
            <v>24</v>
          </cell>
          <cell r="G176">
            <v>26</v>
          </cell>
          <cell r="H176">
            <v>0</v>
          </cell>
          <cell r="I176">
            <v>0</v>
          </cell>
          <cell r="J176">
            <v>0</v>
          </cell>
          <cell r="K176">
            <v>26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39</v>
          </cell>
          <cell r="Q176">
            <v>9</v>
          </cell>
          <cell r="R176">
            <v>30</v>
          </cell>
          <cell r="S176">
            <v>50</v>
          </cell>
          <cell r="T176">
            <v>39</v>
          </cell>
        </row>
        <row r="177">
          <cell r="C177" t="str">
            <v>Census Tract 231, King County, Washington</v>
          </cell>
          <cell r="D177">
            <v>146</v>
          </cell>
          <cell r="E177">
            <v>28</v>
          </cell>
          <cell r="F177">
            <v>14</v>
          </cell>
          <cell r="G177">
            <v>14</v>
          </cell>
          <cell r="H177">
            <v>0</v>
          </cell>
          <cell r="I177">
            <v>5</v>
          </cell>
          <cell r="J177">
            <v>0</v>
          </cell>
          <cell r="K177">
            <v>9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118</v>
          </cell>
          <cell r="Q177">
            <v>12</v>
          </cell>
          <cell r="R177">
            <v>106</v>
          </cell>
          <cell r="S177">
            <v>28</v>
          </cell>
          <cell r="T177">
            <v>118</v>
          </cell>
        </row>
        <row r="178">
          <cell r="C178" t="str">
            <v>Census Tract 232.01, King County, Washington</v>
          </cell>
          <cell r="D178">
            <v>299</v>
          </cell>
          <cell r="E178">
            <v>128</v>
          </cell>
          <cell r="F178">
            <v>36</v>
          </cell>
          <cell r="G178">
            <v>75</v>
          </cell>
          <cell r="H178">
            <v>14</v>
          </cell>
          <cell r="I178">
            <v>0</v>
          </cell>
          <cell r="J178">
            <v>10</v>
          </cell>
          <cell r="K178">
            <v>51</v>
          </cell>
          <cell r="L178">
            <v>17</v>
          </cell>
          <cell r="M178">
            <v>17</v>
          </cell>
          <cell r="N178">
            <v>0</v>
          </cell>
          <cell r="O178">
            <v>0</v>
          </cell>
          <cell r="P178">
            <v>171</v>
          </cell>
          <cell r="Q178">
            <v>17</v>
          </cell>
          <cell r="R178">
            <v>154</v>
          </cell>
          <cell r="S178">
            <v>111</v>
          </cell>
          <cell r="T178">
            <v>188</v>
          </cell>
        </row>
        <row r="179">
          <cell r="C179" t="str">
            <v>Census Tract 232.02, King County, Washington</v>
          </cell>
          <cell r="D179">
            <v>286</v>
          </cell>
          <cell r="E179">
            <v>116</v>
          </cell>
          <cell r="F179">
            <v>17</v>
          </cell>
          <cell r="G179">
            <v>99</v>
          </cell>
          <cell r="H179">
            <v>11</v>
          </cell>
          <cell r="I179">
            <v>0</v>
          </cell>
          <cell r="J179">
            <v>43</v>
          </cell>
          <cell r="K179">
            <v>45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170</v>
          </cell>
          <cell r="Q179">
            <v>31</v>
          </cell>
          <cell r="R179">
            <v>139</v>
          </cell>
          <cell r="S179">
            <v>116</v>
          </cell>
          <cell r="T179">
            <v>170</v>
          </cell>
        </row>
        <row r="180">
          <cell r="C180" t="str">
            <v>Census Tract 233, King County, Washington</v>
          </cell>
          <cell r="D180">
            <v>181</v>
          </cell>
          <cell r="E180">
            <v>107</v>
          </cell>
          <cell r="F180">
            <v>52</v>
          </cell>
          <cell r="G180">
            <v>19</v>
          </cell>
          <cell r="H180">
            <v>0</v>
          </cell>
          <cell r="I180">
            <v>0</v>
          </cell>
          <cell r="J180">
            <v>0</v>
          </cell>
          <cell r="K180">
            <v>19</v>
          </cell>
          <cell r="L180">
            <v>36</v>
          </cell>
          <cell r="M180">
            <v>20</v>
          </cell>
          <cell r="N180">
            <v>0</v>
          </cell>
          <cell r="O180">
            <v>16</v>
          </cell>
          <cell r="P180">
            <v>74</v>
          </cell>
          <cell r="Q180">
            <v>7</v>
          </cell>
          <cell r="R180">
            <v>67</v>
          </cell>
          <cell r="S180">
            <v>71</v>
          </cell>
          <cell r="T180">
            <v>110</v>
          </cell>
        </row>
        <row r="181">
          <cell r="C181" t="str">
            <v>Census Tract 234.01, King County, Washington</v>
          </cell>
          <cell r="D181">
            <v>38</v>
          </cell>
          <cell r="E181">
            <v>19</v>
          </cell>
          <cell r="F181">
            <v>5</v>
          </cell>
          <cell r="G181">
            <v>14</v>
          </cell>
          <cell r="H181">
            <v>0</v>
          </cell>
          <cell r="I181">
            <v>0</v>
          </cell>
          <cell r="J181">
            <v>0</v>
          </cell>
          <cell r="K181">
            <v>14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19</v>
          </cell>
          <cell r="Q181">
            <v>0</v>
          </cell>
          <cell r="R181">
            <v>19</v>
          </cell>
          <cell r="S181">
            <v>19</v>
          </cell>
          <cell r="T181">
            <v>19</v>
          </cell>
        </row>
        <row r="182">
          <cell r="C182" t="str">
            <v>Census Tract 234.02, King County, Washington</v>
          </cell>
          <cell r="D182">
            <v>63</v>
          </cell>
          <cell r="E182">
            <v>38</v>
          </cell>
          <cell r="F182">
            <v>0</v>
          </cell>
          <cell r="G182">
            <v>34</v>
          </cell>
          <cell r="H182">
            <v>0</v>
          </cell>
          <cell r="I182">
            <v>0</v>
          </cell>
          <cell r="J182">
            <v>0</v>
          </cell>
          <cell r="K182">
            <v>34</v>
          </cell>
          <cell r="L182">
            <v>4</v>
          </cell>
          <cell r="M182">
            <v>4</v>
          </cell>
          <cell r="N182">
            <v>0</v>
          </cell>
          <cell r="O182">
            <v>0</v>
          </cell>
          <cell r="P182">
            <v>25</v>
          </cell>
          <cell r="Q182">
            <v>25</v>
          </cell>
          <cell r="R182">
            <v>0</v>
          </cell>
          <cell r="S182">
            <v>34</v>
          </cell>
          <cell r="T182">
            <v>29</v>
          </cell>
        </row>
        <row r="183">
          <cell r="C183" t="str">
            <v>Census Tract 235, King County, Washington</v>
          </cell>
          <cell r="D183">
            <v>25</v>
          </cell>
          <cell r="E183">
            <v>13</v>
          </cell>
          <cell r="F183">
            <v>10</v>
          </cell>
          <cell r="G183">
            <v>3</v>
          </cell>
          <cell r="H183">
            <v>0</v>
          </cell>
          <cell r="I183">
            <v>2</v>
          </cell>
          <cell r="J183">
            <v>1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12</v>
          </cell>
          <cell r="Q183">
            <v>0</v>
          </cell>
          <cell r="R183">
            <v>12</v>
          </cell>
          <cell r="S183">
            <v>13</v>
          </cell>
          <cell r="T183">
            <v>12</v>
          </cell>
        </row>
        <row r="184">
          <cell r="C184" t="str">
            <v>Census Tract 236.01, King County, Washington</v>
          </cell>
          <cell r="D184">
            <v>38</v>
          </cell>
          <cell r="E184">
            <v>12</v>
          </cell>
          <cell r="F184">
            <v>12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26</v>
          </cell>
          <cell r="Q184">
            <v>0</v>
          </cell>
          <cell r="R184">
            <v>26</v>
          </cell>
          <cell r="S184">
            <v>12</v>
          </cell>
          <cell r="T184">
            <v>26</v>
          </cell>
        </row>
        <row r="185">
          <cell r="C185" t="str">
            <v>Census Tract 236.03, King County, Washington</v>
          </cell>
          <cell r="D185">
            <v>92</v>
          </cell>
          <cell r="E185">
            <v>68</v>
          </cell>
          <cell r="F185">
            <v>10</v>
          </cell>
          <cell r="G185">
            <v>58</v>
          </cell>
          <cell r="H185">
            <v>0</v>
          </cell>
          <cell r="I185">
            <v>0</v>
          </cell>
          <cell r="J185">
            <v>12</v>
          </cell>
          <cell r="K185">
            <v>46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24</v>
          </cell>
          <cell r="Q185">
            <v>9</v>
          </cell>
          <cell r="R185">
            <v>15</v>
          </cell>
          <cell r="S185">
            <v>68</v>
          </cell>
          <cell r="T185">
            <v>24</v>
          </cell>
        </row>
        <row r="186">
          <cell r="C186" t="str">
            <v>Census Tract 236.04, King County, Washington</v>
          </cell>
          <cell r="D186">
            <v>193</v>
          </cell>
          <cell r="E186">
            <v>95</v>
          </cell>
          <cell r="F186">
            <v>28</v>
          </cell>
          <cell r="G186">
            <v>67</v>
          </cell>
          <cell r="H186">
            <v>0</v>
          </cell>
          <cell r="I186">
            <v>0</v>
          </cell>
          <cell r="J186">
            <v>28</v>
          </cell>
          <cell r="K186">
            <v>39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98</v>
          </cell>
          <cell r="Q186">
            <v>14</v>
          </cell>
          <cell r="R186">
            <v>84</v>
          </cell>
          <cell r="S186">
            <v>95</v>
          </cell>
          <cell r="T186">
            <v>98</v>
          </cell>
        </row>
        <row r="187">
          <cell r="C187" t="str">
            <v>Census Tract 237, King County, Washington</v>
          </cell>
          <cell r="D187">
            <v>55</v>
          </cell>
          <cell r="E187">
            <v>38</v>
          </cell>
          <cell r="F187">
            <v>0</v>
          </cell>
          <cell r="G187">
            <v>17</v>
          </cell>
          <cell r="H187">
            <v>17</v>
          </cell>
          <cell r="I187">
            <v>0</v>
          </cell>
          <cell r="J187">
            <v>0</v>
          </cell>
          <cell r="K187">
            <v>0</v>
          </cell>
          <cell r="L187">
            <v>21</v>
          </cell>
          <cell r="M187">
            <v>0</v>
          </cell>
          <cell r="N187">
            <v>0</v>
          </cell>
          <cell r="O187">
            <v>21</v>
          </cell>
          <cell r="P187">
            <v>17</v>
          </cell>
          <cell r="Q187">
            <v>0</v>
          </cell>
          <cell r="R187">
            <v>17</v>
          </cell>
          <cell r="S187">
            <v>17</v>
          </cell>
          <cell r="T187">
            <v>38</v>
          </cell>
        </row>
        <row r="188">
          <cell r="C188" t="str">
            <v>Census Tract 238.01, King County, Washington</v>
          </cell>
          <cell r="D188">
            <v>122</v>
          </cell>
          <cell r="E188">
            <v>84</v>
          </cell>
          <cell r="F188">
            <v>21</v>
          </cell>
          <cell r="G188">
            <v>63</v>
          </cell>
          <cell r="H188">
            <v>0</v>
          </cell>
          <cell r="I188">
            <v>12</v>
          </cell>
          <cell r="J188">
            <v>0</v>
          </cell>
          <cell r="K188">
            <v>51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38</v>
          </cell>
          <cell r="Q188">
            <v>0</v>
          </cell>
          <cell r="R188">
            <v>38</v>
          </cell>
          <cell r="S188">
            <v>84</v>
          </cell>
          <cell r="T188">
            <v>38</v>
          </cell>
        </row>
        <row r="189">
          <cell r="C189" t="str">
            <v>Census Tract 238.02, King County, Washington</v>
          </cell>
          <cell r="D189">
            <v>60</v>
          </cell>
          <cell r="E189">
            <v>29</v>
          </cell>
          <cell r="F189">
            <v>0</v>
          </cell>
          <cell r="G189">
            <v>29</v>
          </cell>
          <cell r="H189">
            <v>0</v>
          </cell>
          <cell r="I189">
            <v>5</v>
          </cell>
          <cell r="J189">
            <v>0</v>
          </cell>
          <cell r="K189">
            <v>24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31</v>
          </cell>
          <cell r="Q189">
            <v>7</v>
          </cell>
          <cell r="R189">
            <v>24</v>
          </cell>
          <cell r="S189">
            <v>29</v>
          </cell>
          <cell r="T189">
            <v>31</v>
          </cell>
        </row>
        <row r="190">
          <cell r="C190" t="str">
            <v>Census Tract 239, King County, Washington</v>
          </cell>
          <cell r="D190">
            <v>82</v>
          </cell>
          <cell r="E190">
            <v>31</v>
          </cell>
          <cell r="F190">
            <v>21</v>
          </cell>
          <cell r="G190">
            <v>10</v>
          </cell>
          <cell r="H190">
            <v>10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51</v>
          </cell>
          <cell r="Q190">
            <v>0</v>
          </cell>
          <cell r="R190">
            <v>51</v>
          </cell>
          <cell r="S190">
            <v>31</v>
          </cell>
          <cell r="T190">
            <v>51</v>
          </cell>
        </row>
        <row r="191">
          <cell r="C191" t="str">
            <v>Census Tract 240, King County, Washington</v>
          </cell>
          <cell r="D191">
            <v>88</v>
          </cell>
          <cell r="E191">
            <v>66</v>
          </cell>
          <cell r="F191">
            <v>25</v>
          </cell>
          <cell r="G191">
            <v>41</v>
          </cell>
          <cell r="H191">
            <v>5</v>
          </cell>
          <cell r="I191">
            <v>0</v>
          </cell>
          <cell r="J191">
            <v>7</v>
          </cell>
          <cell r="K191">
            <v>29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22</v>
          </cell>
          <cell r="Q191">
            <v>5</v>
          </cell>
          <cell r="R191">
            <v>17</v>
          </cell>
          <cell r="S191">
            <v>66</v>
          </cell>
          <cell r="T191">
            <v>22</v>
          </cell>
        </row>
        <row r="192">
          <cell r="C192" t="str">
            <v>Census Tract 241, King County, Washington</v>
          </cell>
          <cell r="D192">
            <v>42</v>
          </cell>
          <cell r="E192">
            <v>34</v>
          </cell>
          <cell r="F192">
            <v>16</v>
          </cell>
          <cell r="G192">
            <v>18</v>
          </cell>
          <cell r="H192">
            <v>0</v>
          </cell>
          <cell r="I192">
            <v>2</v>
          </cell>
          <cell r="J192">
            <v>0</v>
          </cell>
          <cell r="K192">
            <v>16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8</v>
          </cell>
          <cell r="Q192">
            <v>4</v>
          </cell>
          <cell r="R192">
            <v>4</v>
          </cell>
          <cell r="S192">
            <v>34</v>
          </cell>
          <cell r="T192">
            <v>8</v>
          </cell>
        </row>
        <row r="193">
          <cell r="C193" t="str">
            <v>Census Tract 242, King County, Washington</v>
          </cell>
          <cell r="D193">
            <v>74</v>
          </cell>
          <cell r="E193">
            <v>74</v>
          </cell>
          <cell r="F193">
            <v>13</v>
          </cell>
          <cell r="G193">
            <v>61</v>
          </cell>
          <cell r="H193">
            <v>11</v>
          </cell>
          <cell r="I193">
            <v>0</v>
          </cell>
          <cell r="J193">
            <v>0</v>
          </cell>
          <cell r="K193">
            <v>50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74</v>
          </cell>
          <cell r="T193">
            <v>0</v>
          </cell>
        </row>
        <row r="194">
          <cell r="C194" t="str">
            <v>Census Tract 243, King County, Washington</v>
          </cell>
          <cell r="D194">
            <v>97</v>
          </cell>
          <cell r="E194">
            <v>56</v>
          </cell>
          <cell r="F194">
            <v>32</v>
          </cell>
          <cell r="G194">
            <v>24</v>
          </cell>
          <cell r="H194">
            <v>0</v>
          </cell>
          <cell r="I194">
            <v>0</v>
          </cell>
          <cell r="J194">
            <v>0</v>
          </cell>
          <cell r="K194">
            <v>24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41</v>
          </cell>
          <cell r="Q194">
            <v>0</v>
          </cell>
          <cell r="R194">
            <v>41</v>
          </cell>
          <cell r="S194">
            <v>56</v>
          </cell>
          <cell r="T194">
            <v>41</v>
          </cell>
        </row>
        <row r="195">
          <cell r="C195" t="str">
            <v>Census Tract 244, King County, Washington</v>
          </cell>
          <cell r="D195">
            <v>8</v>
          </cell>
          <cell r="E195">
            <v>8</v>
          </cell>
          <cell r="F195">
            <v>0</v>
          </cell>
          <cell r="G195">
            <v>8</v>
          </cell>
          <cell r="H195">
            <v>0</v>
          </cell>
          <cell r="I195">
            <v>0</v>
          </cell>
          <cell r="J195">
            <v>0</v>
          </cell>
          <cell r="K195">
            <v>8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8</v>
          </cell>
          <cell r="T195">
            <v>0</v>
          </cell>
        </row>
        <row r="196">
          <cell r="C196" t="str">
            <v>Census Tract 245, King County, Washington</v>
          </cell>
          <cell r="D196">
            <v>39</v>
          </cell>
          <cell r="E196">
            <v>39</v>
          </cell>
          <cell r="F196">
            <v>33</v>
          </cell>
          <cell r="G196">
            <v>6</v>
          </cell>
          <cell r="H196">
            <v>0</v>
          </cell>
          <cell r="I196">
            <v>0</v>
          </cell>
          <cell r="J196">
            <v>0</v>
          </cell>
          <cell r="K196">
            <v>6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39</v>
          </cell>
          <cell r="T196">
            <v>0</v>
          </cell>
        </row>
        <row r="197">
          <cell r="C197" t="str">
            <v>Census Tract 246.01, King County, Washington</v>
          </cell>
          <cell r="D197">
            <v>65</v>
          </cell>
          <cell r="E197">
            <v>65</v>
          </cell>
          <cell r="F197">
            <v>18</v>
          </cell>
          <cell r="G197">
            <v>47</v>
          </cell>
          <cell r="H197">
            <v>12</v>
          </cell>
          <cell r="I197">
            <v>8</v>
          </cell>
          <cell r="J197">
            <v>9</v>
          </cell>
          <cell r="K197">
            <v>18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65</v>
          </cell>
          <cell r="T197">
            <v>0</v>
          </cell>
        </row>
        <row r="198">
          <cell r="C198" t="str">
            <v>Census Tract 246.02, King County, Washington</v>
          </cell>
          <cell r="D198">
            <v>33</v>
          </cell>
          <cell r="E198">
            <v>28</v>
          </cell>
          <cell r="F198">
            <v>0</v>
          </cell>
          <cell r="G198">
            <v>18</v>
          </cell>
          <cell r="H198">
            <v>0</v>
          </cell>
          <cell r="I198">
            <v>0</v>
          </cell>
          <cell r="J198">
            <v>0</v>
          </cell>
          <cell r="K198">
            <v>18</v>
          </cell>
          <cell r="L198">
            <v>10</v>
          </cell>
          <cell r="M198">
            <v>0</v>
          </cell>
          <cell r="N198">
            <v>0</v>
          </cell>
          <cell r="O198">
            <v>10</v>
          </cell>
          <cell r="P198">
            <v>5</v>
          </cell>
          <cell r="Q198">
            <v>5</v>
          </cell>
          <cell r="R198">
            <v>0</v>
          </cell>
          <cell r="S198">
            <v>18</v>
          </cell>
          <cell r="T198">
            <v>15</v>
          </cell>
        </row>
        <row r="199">
          <cell r="C199" t="str">
            <v>Census Tract 247.01, King County, Washington</v>
          </cell>
          <cell r="D199">
            <v>47</v>
          </cell>
          <cell r="E199">
            <v>37</v>
          </cell>
          <cell r="F199">
            <v>16</v>
          </cell>
          <cell r="G199">
            <v>14</v>
          </cell>
          <cell r="H199">
            <v>0</v>
          </cell>
          <cell r="I199">
            <v>0</v>
          </cell>
          <cell r="J199">
            <v>14</v>
          </cell>
          <cell r="K199">
            <v>0</v>
          </cell>
          <cell r="L199">
            <v>7</v>
          </cell>
          <cell r="M199">
            <v>0</v>
          </cell>
          <cell r="N199">
            <v>0</v>
          </cell>
          <cell r="O199">
            <v>7</v>
          </cell>
          <cell r="P199">
            <v>10</v>
          </cell>
          <cell r="Q199">
            <v>10</v>
          </cell>
          <cell r="R199">
            <v>0</v>
          </cell>
          <cell r="S199">
            <v>30</v>
          </cell>
          <cell r="T199">
            <v>17</v>
          </cell>
        </row>
        <row r="200">
          <cell r="C200" t="str">
            <v>Census Tract 247.02, King County, Washington</v>
          </cell>
          <cell r="D200">
            <v>8</v>
          </cell>
          <cell r="E200">
            <v>8</v>
          </cell>
          <cell r="F200">
            <v>0</v>
          </cell>
          <cell r="G200">
            <v>8</v>
          </cell>
          <cell r="H200">
            <v>0</v>
          </cell>
          <cell r="I200">
            <v>0</v>
          </cell>
          <cell r="J200">
            <v>0</v>
          </cell>
          <cell r="K200">
            <v>8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8</v>
          </cell>
          <cell r="T200">
            <v>0</v>
          </cell>
        </row>
        <row r="201">
          <cell r="C201" t="str">
            <v>Census Tract 248, King County, Washington</v>
          </cell>
          <cell r="D201">
            <v>192</v>
          </cell>
          <cell r="E201">
            <v>87</v>
          </cell>
          <cell r="F201">
            <v>15</v>
          </cell>
          <cell r="G201">
            <v>64</v>
          </cell>
          <cell r="H201">
            <v>0</v>
          </cell>
          <cell r="I201">
            <v>0</v>
          </cell>
          <cell r="J201">
            <v>9</v>
          </cell>
          <cell r="K201">
            <v>55</v>
          </cell>
          <cell r="L201">
            <v>8</v>
          </cell>
          <cell r="M201">
            <v>0</v>
          </cell>
          <cell r="N201">
            <v>0</v>
          </cell>
          <cell r="O201">
            <v>8</v>
          </cell>
          <cell r="P201">
            <v>105</v>
          </cell>
          <cell r="Q201">
            <v>5</v>
          </cell>
          <cell r="R201">
            <v>100</v>
          </cell>
          <cell r="S201">
            <v>79</v>
          </cell>
          <cell r="T201">
            <v>113</v>
          </cell>
        </row>
        <row r="202">
          <cell r="C202" t="str">
            <v>Census Tract 249.01, King County, Washington</v>
          </cell>
          <cell r="D202">
            <v>28</v>
          </cell>
          <cell r="E202">
            <v>22</v>
          </cell>
          <cell r="F202">
            <v>9</v>
          </cell>
          <cell r="G202">
            <v>7</v>
          </cell>
          <cell r="H202">
            <v>0</v>
          </cell>
          <cell r="I202">
            <v>7</v>
          </cell>
          <cell r="J202">
            <v>0</v>
          </cell>
          <cell r="K202">
            <v>0</v>
          </cell>
          <cell r="L202">
            <v>6</v>
          </cell>
          <cell r="M202">
            <v>0</v>
          </cell>
          <cell r="N202">
            <v>0</v>
          </cell>
          <cell r="O202">
            <v>6</v>
          </cell>
          <cell r="P202">
            <v>6</v>
          </cell>
          <cell r="Q202">
            <v>0</v>
          </cell>
          <cell r="R202">
            <v>6</v>
          </cell>
          <cell r="S202">
            <v>16</v>
          </cell>
          <cell r="T202">
            <v>12</v>
          </cell>
        </row>
        <row r="203">
          <cell r="C203" t="str">
            <v>Census Tract 249.02, King County, Washington</v>
          </cell>
          <cell r="D203">
            <v>32</v>
          </cell>
          <cell r="E203">
            <v>22</v>
          </cell>
          <cell r="F203">
            <v>19</v>
          </cell>
          <cell r="G203">
            <v>3</v>
          </cell>
          <cell r="H203">
            <v>0</v>
          </cell>
          <cell r="I203">
            <v>0</v>
          </cell>
          <cell r="J203">
            <v>0</v>
          </cell>
          <cell r="K203">
            <v>3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10</v>
          </cell>
          <cell r="Q203">
            <v>0</v>
          </cell>
          <cell r="R203">
            <v>10</v>
          </cell>
          <cell r="S203">
            <v>22</v>
          </cell>
          <cell r="T203">
            <v>10</v>
          </cell>
        </row>
        <row r="204">
          <cell r="C204" t="str">
            <v>Census Tract 249.03, King County, Washington</v>
          </cell>
          <cell r="D204">
            <v>32</v>
          </cell>
          <cell r="E204">
            <v>32</v>
          </cell>
          <cell r="F204">
            <v>23</v>
          </cell>
          <cell r="G204">
            <v>9</v>
          </cell>
          <cell r="H204">
            <v>0</v>
          </cell>
          <cell r="I204">
            <v>0</v>
          </cell>
          <cell r="J204">
            <v>0</v>
          </cell>
          <cell r="K204">
            <v>9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32</v>
          </cell>
          <cell r="T204">
            <v>0</v>
          </cell>
        </row>
        <row r="205">
          <cell r="C205" t="str">
            <v>Census Tract 250.01, King County, Washington</v>
          </cell>
          <cell r="D205">
            <v>79</v>
          </cell>
          <cell r="E205">
            <v>46</v>
          </cell>
          <cell r="F205">
            <v>9</v>
          </cell>
          <cell r="G205">
            <v>37</v>
          </cell>
          <cell r="H205">
            <v>0</v>
          </cell>
          <cell r="I205">
            <v>0</v>
          </cell>
          <cell r="J205">
            <v>0</v>
          </cell>
          <cell r="K205">
            <v>37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33</v>
          </cell>
          <cell r="Q205">
            <v>17</v>
          </cell>
          <cell r="R205">
            <v>16</v>
          </cell>
          <cell r="S205">
            <v>46</v>
          </cell>
          <cell r="T205">
            <v>33</v>
          </cell>
        </row>
        <row r="206">
          <cell r="C206" t="str">
            <v>Census Tract 250.03, King County, Washington</v>
          </cell>
          <cell r="D206">
            <v>132</v>
          </cell>
          <cell r="E206">
            <v>93</v>
          </cell>
          <cell r="F206">
            <v>19</v>
          </cell>
          <cell r="G206">
            <v>74</v>
          </cell>
          <cell r="H206">
            <v>0</v>
          </cell>
          <cell r="I206">
            <v>33</v>
          </cell>
          <cell r="J206">
            <v>22</v>
          </cell>
          <cell r="K206">
            <v>19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39</v>
          </cell>
          <cell r="Q206">
            <v>0</v>
          </cell>
          <cell r="R206">
            <v>39</v>
          </cell>
          <cell r="S206">
            <v>93</v>
          </cell>
          <cell r="T206">
            <v>39</v>
          </cell>
        </row>
        <row r="207">
          <cell r="C207" t="str">
            <v>Census Tract 250.04, King County, Washington</v>
          </cell>
          <cell r="D207">
            <v>116</v>
          </cell>
          <cell r="E207">
            <v>78</v>
          </cell>
          <cell r="F207">
            <v>30</v>
          </cell>
          <cell r="G207">
            <v>42</v>
          </cell>
          <cell r="H207">
            <v>24</v>
          </cell>
          <cell r="I207">
            <v>11</v>
          </cell>
          <cell r="J207">
            <v>0</v>
          </cell>
          <cell r="K207">
            <v>7</v>
          </cell>
          <cell r="L207">
            <v>6</v>
          </cell>
          <cell r="M207">
            <v>0</v>
          </cell>
          <cell r="N207">
            <v>0</v>
          </cell>
          <cell r="O207">
            <v>6</v>
          </cell>
          <cell r="P207">
            <v>38</v>
          </cell>
          <cell r="Q207">
            <v>0</v>
          </cell>
          <cell r="R207">
            <v>38</v>
          </cell>
          <cell r="S207">
            <v>72</v>
          </cell>
          <cell r="T207">
            <v>44</v>
          </cell>
        </row>
        <row r="208">
          <cell r="C208" t="str">
            <v>Census Tract 251.01, King County, Washington</v>
          </cell>
          <cell r="D208">
            <v>218</v>
          </cell>
          <cell r="E208">
            <v>92</v>
          </cell>
          <cell r="F208">
            <v>48</v>
          </cell>
          <cell r="G208">
            <v>40</v>
          </cell>
          <cell r="H208">
            <v>0</v>
          </cell>
          <cell r="I208">
            <v>0</v>
          </cell>
          <cell r="J208">
            <v>0</v>
          </cell>
          <cell r="K208">
            <v>40</v>
          </cell>
          <cell r="L208">
            <v>4</v>
          </cell>
          <cell r="M208">
            <v>0</v>
          </cell>
          <cell r="N208">
            <v>0</v>
          </cell>
          <cell r="O208">
            <v>4</v>
          </cell>
          <cell r="P208">
            <v>126</v>
          </cell>
          <cell r="Q208">
            <v>13</v>
          </cell>
          <cell r="R208">
            <v>113</v>
          </cell>
          <cell r="S208">
            <v>88</v>
          </cell>
          <cell r="T208">
            <v>130</v>
          </cell>
        </row>
        <row r="209">
          <cell r="C209" t="str">
            <v>Census Tract 251.02, King County, Washington</v>
          </cell>
          <cell r="D209">
            <v>101</v>
          </cell>
          <cell r="E209">
            <v>30</v>
          </cell>
          <cell r="F209">
            <v>30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71</v>
          </cell>
          <cell r="Q209">
            <v>0</v>
          </cell>
          <cell r="R209">
            <v>71</v>
          </cell>
          <cell r="S209">
            <v>30</v>
          </cell>
          <cell r="T209">
            <v>71</v>
          </cell>
        </row>
        <row r="210">
          <cell r="C210" t="str">
            <v>Census Tract 252, King County, Washington</v>
          </cell>
          <cell r="D210">
            <v>91</v>
          </cell>
          <cell r="E210">
            <v>15</v>
          </cell>
          <cell r="F210">
            <v>15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76</v>
          </cell>
          <cell r="Q210">
            <v>31</v>
          </cell>
          <cell r="R210">
            <v>45</v>
          </cell>
          <cell r="S210">
            <v>15</v>
          </cell>
          <cell r="T210">
            <v>76</v>
          </cell>
        </row>
        <row r="211">
          <cell r="C211" t="str">
            <v>Census Tract 253, King County, Washington</v>
          </cell>
          <cell r="D211">
            <v>224</v>
          </cell>
          <cell r="E211">
            <v>127</v>
          </cell>
          <cell r="F211">
            <v>59</v>
          </cell>
          <cell r="G211">
            <v>68</v>
          </cell>
          <cell r="H211">
            <v>20</v>
          </cell>
          <cell r="I211">
            <v>0</v>
          </cell>
          <cell r="J211">
            <v>21</v>
          </cell>
          <cell r="K211">
            <v>27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97</v>
          </cell>
          <cell r="Q211">
            <v>27</v>
          </cell>
          <cell r="R211">
            <v>70</v>
          </cell>
          <cell r="S211">
            <v>127</v>
          </cell>
          <cell r="T211">
            <v>97</v>
          </cell>
        </row>
        <row r="212">
          <cell r="C212" t="str">
            <v>Census Tract 254, King County, Washington</v>
          </cell>
          <cell r="D212">
            <v>202</v>
          </cell>
          <cell r="E212">
            <v>102</v>
          </cell>
          <cell r="F212">
            <v>79</v>
          </cell>
          <cell r="G212">
            <v>23</v>
          </cell>
          <cell r="H212">
            <v>10</v>
          </cell>
          <cell r="I212">
            <v>0</v>
          </cell>
          <cell r="J212">
            <v>0</v>
          </cell>
          <cell r="K212">
            <v>13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100</v>
          </cell>
          <cell r="Q212">
            <v>17</v>
          </cell>
          <cell r="R212">
            <v>83</v>
          </cell>
          <cell r="S212">
            <v>102</v>
          </cell>
          <cell r="T212">
            <v>100</v>
          </cell>
        </row>
        <row r="213">
          <cell r="C213" t="str">
            <v>Census Tract 255, King County, Washington</v>
          </cell>
          <cell r="D213">
            <v>162</v>
          </cell>
          <cell r="E213">
            <v>106</v>
          </cell>
          <cell r="F213">
            <v>72</v>
          </cell>
          <cell r="G213">
            <v>34</v>
          </cell>
          <cell r="H213">
            <v>5</v>
          </cell>
          <cell r="I213">
            <v>0</v>
          </cell>
          <cell r="J213">
            <v>0</v>
          </cell>
          <cell r="K213">
            <v>29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56</v>
          </cell>
          <cell r="Q213">
            <v>11</v>
          </cell>
          <cell r="R213">
            <v>45</v>
          </cell>
          <cell r="S213">
            <v>106</v>
          </cell>
          <cell r="T213">
            <v>56</v>
          </cell>
        </row>
        <row r="214">
          <cell r="C214" t="str">
            <v>Census Tract 256, King County, Washington</v>
          </cell>
          <cell r="D214">
            <v>181</v>
          </cell>
          <cell r="E214">
            <v>112</v>
          </cell>
          <cell r="F214">
            <v>58</v>
          </cell>
          <cell r="G214">
            <v>54</v>
          </cell>
          <cell r="H214">
            <v>11</v>
          </cell>
          <cell r="I214">
            <v>8</v>
          </cell>
          <cell r="J214">
            <v>0</v>
          </cell>
          <cell r="K214">
            <v>35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69</v>
          </cell>
          <cell r="Q214">
            <v>11</v>
          </cell>
          <cell r="R214">
            <v>58</v>
          </cell>
          <cell r="S214">
            <v>112</v>
          </cell>
          <cell r="T214">
            <v>69</v>
          </cell>
        </row>
        <row r="215">
          <cell r="C215" t="str">
            <v>Census Tract 257.01, King County, Washington</v>
          </cell>
          <cell r="D215">
            <v>99</v>
          </cell>
          <cell r="E215">
            <v>79</v>
          </cell>
          <cell r="F215">
            <v>42</v>
          </cell>
          <cell r="G215">
            <v>37</v>
          </cell>
          <cell r="H215">
            <v>0</v>
          </cell>
          <cell r="I215">
            <v>4</v>
          </cell>
          <cell r="J215">
            <v>16</v>
          </cell>
          <cell r="K215">
            <v>17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20</v>
          </cell>
          <cell r="Q215">
            <v>7</v>
          </cell>
          <cell r="R215">
            <v>13</v>
          </cell>
          <cell r="S215">
            <v>79</v>
          </cell>
          <cell r="T215">
            <v>20</v>
          </cell>
        </row>
        <row r="216">
          <cell r="C216" t="str">
            <v>Census Tract 257.02, King County, Washington</v>
          </cell>
          <cell r="D216">
            <v>66</v>
          </cell>
          <cell r="E216">
            <v>51</v>
          </cell>
          <cell r="F216">
            <v>15</v>
          </cell>
          <cell r="G216">
            <v>24</v>
          </cell>
          <cell r="H216">
            <v>0</v>
          </cell>
          <cell r="I216">
            <v>0</v>
          </cell>
          <cell r="J216">
            <v>10</v>
          </cell>
          <cell r="K216">
            <v>14</v>
          </cell>
          <cell r="L216">
            <v>12</v>
          </cell>
          <cell r="M216">
            <v>0</v>
          </cell>
          <cell r="N216">
            <v>0</v>
          </cell>
          <cell r="O216">
            <v>12</v>
          </cell>
          <cell r="P216">
            <v>15</v>
          </cell>
          <cell r="Q216">
            <v>8</v>
          </cell>
          <cell r="R216">
            <v>7</v>
          </cell>
          <cell r="S216">
            <v>39</v>
          </cell>
          <cell r="T216">
            <v>27</v>
          </cell>
        </row>
        <row r="217">
          <cell r="C217" t="str">
            <v>Census Tract 258.01, King County, Washington</v>
          </cell>
          <cell r="D217">
            <v>133</v>
          </cell>
          <cell r="E217">
            <v>129</v>
          </cell>
          <cell r="F217">
            <v>45</v>
          </cell>
          <cell r="G217">
            <v>84</v>
          </cell>
          <cell r="H217">
            <v>7</v>
          </cell>
          <cell r="I217">
            <v>0</v>
          </cell>
          <cell r="J217">
            <v>31</v>
          </cell>
          <cell r="K217">
            <v>46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4</v>
          </cell>
          <cell r="Q217">
            <v>4</v>
          </cell>
          <cell r="R217">
            <v>0</v>
          </cell>
          <cell r="S217">
            <v>129</v>
          </cell>
          <cell r="T217">
            <v>4</v>
          </cell>
        </row>
        <row r="218">
          <cell r="C218" t="str">
            <v>Census Tract 258.03, King County, Washington</v>
          </cell>
          <cell r="D218">
            <v>32</v>
          </cell>
          <cell r="E218">
            <v>15</v>
          </cell>
          <cell r="F218">
            <v>0</v>
          </cell>
          <cell r="G218">
            <v>15</v>
          </cell>
          <cell r="H218">
            <v>0</v>
          </cell>
          <cell r="I218">
            <v>0</v>
          </cell>
          <cell r="J218">
            <v>0</v>
          </cell>
          <cell r="K218">
            <v>15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17</v>
          </cell>
          <cell r="Q218">
            <v>9</v>
          </cell>
          <cell r="R218">
            <v>8</v>
          </cell>
          <cell r="S218">
            <v>15</v>
          </cell>
          <cell r="T218">
            <v>17</v>
          </cell>
        </row>
        <row r="219">
          <cell r="C219" t="str">
            <v>Census Tract 258.04, King County, Washington</v>
          </cell>
          <cell r="D219">
            <v>6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6</v>
          </cell>
          <cell r="Q219">
            <v>0</v>
          </cell>
          <cell r="R219">
            <v>6</v>
          </cell>
          <cell r="S219">
            <v>0</v>
          </cell>
          <cell r="T219">
            <v>6</v>
          </cell>
        </row>
        <row r="220">
          <cell r="C220" t="str">
            <v>Census Tract 260.01, King County, Washington</v>
          </cell>
          <cell r="D220">
            <v>32</v>
          </cell>
          <cell r="E220">
            <v>27</v>
          </cell>
          <cell r="F220">
            <v>16</v>
          </cell>
          <cell r="G220">
            <v>11</v>
          </cell>
          <cell r="H220">
            <v>1</v>
          </cell>
          <cell r="I220">
            <v>2</v>
          </cell>
          <cell r="J220">
            <v>6</v>
          </cell>
          <cell r="K220">
            <v>2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5</v>
          </cell>
          <cell r="Q220">
            <v>1</v>
          </cell>
          <cell r="R220">
            <v>4</v>
          </cell>
          <cell r="S220">
            <v>27</v>
          </cell>
          <cell r="T220">
            <v>5</v>
          </cell>
        </row>
        <row r="221">
          <cell r="C221" t="str">
            <v>Census Tract 260.02, King County, Washington</v>
          </cell>
          <cell r="D221">
            <v>126</v>
          </cell>
          <cell r="E221">
            <v>63</v>
          </cell>
          <cell r="F221">
            <v>32</v>
          </cell>
          <cell r="G221">
            <v>31</v>
          </cell>
          <cell r="H221">
            <v>0</v>
          </cell>
          <cell r="I221">
            <v>0</v>
          </cell>
          <cell r="J221">
            <v>12</v>
          </cell>
          <cell r="K221">
            <v>19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63</v>
          </cell>
          <cell r="Q221">
            <v>23</v>
          </cell>
          <cell r="R221">
            <v>40</v>
          </cell>
          <cell r="S221">
            <v>63</v>
          </cell>
          <cell r="T221">
            <v>63</v>
          </cell>
        </row>
        <row r="222">
          <cell r="C222" t="str">
            <v>Census Tract 261, King County, Washington</v>
          </cell>
          <cell r="D222">
            <v>97</v>
          </cell>
          <cell r="E222">
            <v>97</v>
          </cell>
          <cell r="F222">
            <v>42</v>
          </cell>
          <cell r="G222">
            <v>35</v>
          </cell>
          <cell r="H222">
            <v>0</v>
          </cell>
          <cell r="I222">
            <v>0</v>
          </cell>
          <cell r="J222">
            <v>7</v>
          </cell>
          <cell r="K222">
            <v>28</v>
          </cell>
          <cell r="L222">
            <v>20</v>
          </cell>
          <cell r="M222">
            <v>20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77</v>
          </cell>
          <cell r="T222">
            <v>20</v>
          </cell>
        </row>
        <row r="223">
          <cell r="C223" t="str">
            <v>Census Tract 262, King County, Washington</v>
          </cell>
          <cell r="D223">
            <v>297</v>
          </cell>
          <cell r="E223">
            <v>153</v>
          </cell>
          <cell r="F223">
            <v>0</v>
          </cell>
          <cell r="G223">
            <v>153</v>
          </cell>
          <cell r="H223">
            <v>37</v>
          </cell>
          <cell r="I223">
            <v>15</v>
          </cell>
          <cell r="J223">
            <v>20</v>
          </cell>
          <cell r="K223">
            <v>81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144</v>
          </cell>
          <cell r="Q223">
            <v>22</v>
          </cell>
          <cell r="R223">
            <v>122</v>
          </cell>
          <cell r="S223">
            <v>153</v>
          </cell>
          <cell r="T223">
            <v>144</v>
          </cell>
        </row>
        <row r="224">
          <cell r="C224" t="str">
            <v>Census Tract 263, King County, Washington</v>
          </cell>
          <cell r="D224">
            <v>9</v>
          </cell>
          <cell r="E224">
            <v>9</v>
          </cell>
          <cell r="F224">
            <v>9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9</v>
          </cell>
          <cell r="T224">
            <v>0</v>
          </cell>
        </row>
        <row r="225">
          <cell r="C225" t="str">
            <v>Census Tract 264, King County, Washington</v>
          </cell>
          <cell r="D225">
            <v>358</v>
          </cell>
          <cell r="E225">
            <v>89</v>
          </cell>
          <cell r="F225">
            <v>38</v>
          </cell>
          <cell r="G225">
            <v>51</v>
          </cell>
          <cell r="H225">
            <v>0</v>
          </cell>
          <cell r="I225">
            <v>0</v>
          </cell>
          <cell r="J225">
            <v>17</v>
          </cell>
          <cell r="K225">
            <v>34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269</v>
          </cell>
          <cell r="Q225">
            <v>57</v>
          </cell>
          <cell r="R225">
            <v>212</v>
          </cell>
          <cell r="S225">
            <v>89</v>
          </cell>
          <cell r="T225">
            <v>269</v>
          </cell>
        </row>
        <row r="226">
          <cell r="C226" t="str">
            <v>Census Tract 265, King County, Washington</v>
          </cell>
          <cell r="D226">
            <v>90</v>
          </cell>
          <cell r="E226">
            <v>58</v>
          </cell>
          <cell r="F226">
            <v>49</v>
          </cell>
          <cell r="G226">
            <v>9</v>
          </cell>
          <cell r="H226">
            <v>0</v>
          </cell>
          <cell r="I226">
            <v>0</v>
          </cell>
          <cell r="J226">
            <v>9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32</v>
          </cell>
          <cell r="Q226">
            <v>0</v>
          </cell>
          <cell r="R226">
            <v>32</v>
          </cell>
          <cell r="S226">
            <v>58</v>
          </cell>
          <cell r="T226">
            <v>32</v>
          </cell>
        </row>
        <row r="227">
          <cell r="C227" t="str">
            <v>Census Tract 266, King County, Washington</v>
          </cell>
          <cell r="D227">
            <v>103</v>
          </cell>
          <cell r="E227">
            <v>51</v>
          </cell>
          <cell r="F227">
            <v>24</v>
          </cell>
          <cell r="G227">
            <v>27</v>
          </cell>
          <cell r="H227">
            <v>0</v>
          </cell>
          <cell r="I227">
            <v>0</v>
          </cell>
          <cell r="J227">
            <v>0</v>
          </cell>
          <cell r="K227">
            <v>27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52</v>
          </cell>
          <cell r="Q227">
            <v>0</v>
          </cell>
          <cell r="R227">
            <v>52</v>
          </cell>
          <cell r="S227">
            <v>51</v>
          </cell>
          <cell r="T227">
            <v>52</v>
          </cell>
        </row>
        <row r="228">
          <cell r="C228" t="str">
            <v>Census Tract 267, King County, Washington</v>
          </cell>
          <cell r="D228">
            <v>208</v>
          </cell>
          <cell r="E228">
            <v>148</v>
          </cell>
          <cell r="F228">
            <v>82</v>
          </cell>
          <cell r="G228">
            <v>66</v>
          </cell>
          <cell r="H228">
            <v>8</v>
          </cell>
          <cell r="I228">
            <v>8</v>
          </cell>
          <cell r="J228">
            <v>8</v>
          </cell>
          <cell r="K228">
            <v>42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60</v>
          </cell>
          <cell r="Q228">
            <v>23</v>
          </cell>
          <cell r="R228">
            <v>37</v>
          </cell>
          <cell r="S228">
            <v>148</v>
          </cell>
          <cell r="T228">
            <v>60</v>
          </cell>
        </row>
        <row r="229">
          <cell r="C229" t="str">
            <v>Census Tract 268.01, King County, Washington</v>
          </cell>
          <cell r="D229">
            <v>252</v>
          </cell>
          <cell r="E229">
            <v>184</v>
          </cell>
          <cell r="F229">
            <v>103</v>
          </cell>
          <cell r="G229">
            <v>67</v>
          </cell>
          <cell r="H229">
            <v>17</v>
          </cell>
          <cell r="I229">
            <v>12</v>
          </cell>
          <cell r="J229">
            <v>0</v>
          </cell>
          <cell r="K229">
            <v>38</v>
          </cell>
          <cell r="L229">
            <v>14</v>
          </cell>
          <cell r="M229">
            <v>0</v>
          </cell>
          <cell r="N229">
            <v>0</v>
          </cell>
          <cell r="O229">
            <v>14</v>
          </cell>
          <cell r="P229">
            <v>68</v>
          </cell>
          <cell r="Q229">
            <v>23</v>
          </cell>
          <cell r="R229">
            <v>45</v>
          </cell>
          <cell r="S229">
            <v>170</v>
          </cell>
          <cell r="T229">
            <v>82</v>
          </cell>
        </row>
        <row r="230">
          <cell r="C230" t="str">
            <v>Census Tract 268.02, King County, Washington</v>
          </cell>
          <cell r="D230">
            <v>204</v>
          </cell>
          <cell r="E230">
            <v>101</v>
          </cell>
          <cell r="F230">
            <v>10</v>
          </cell>
          <cell r="G230">
            <v>43</v>
          </cell>
          <cell r="H230">
            <v>0</v>
          </cell>
          <cell r="I230">
            <v>0</v>
          </cell>
          <cell r="J230">
            <v>11</v>
          </cell>
          <cell r="K230">
            <v>32</v>
          </cell>
          <cell r="L230">
            <v>48</v>
          </cell>
          <cell r="M230">
            <v>48</v>
          </cell>
          <cell r="N230">
            <v>0</v>
          </cell>
          <cell r="O230">
            <v>0</v>
          </cell>
          <cell r="P230">
            <v>103</v>
          </cell>
          <cell r="Q230">
            <v>41</v>
          </cell>
          <cell r="R230">
            <v>62</v>
          </cell>
          <cell r="S230">
            <v>53</v>
          </cell>
          <cell r="T230">
            <v>151</v>
          </cell>
        </row>
        <row r="231">
          <cell r="C231" t="str">
            <v>Census Tract 269, King County, Washington</v>
          </cell>
          <cell r="D231">
            <v>8</v>
          </cell>
          <cell r="E231">
            <v>8</v>
          </cell>
          <cell r="F231">
            <v>8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8</v>
          </cell>
          <cell r="T231">
            <v>0</v>
          </cell>
        </row>
        <row r="232">
          <cell r="C232" t="str">
            <v>Census Tract 270, King County, Washington</v>
          </cell>
          <cell r="D232">
            <v>92</v>
          </cell>
          <cell r="E232">
            <v>4</v>
          </cell>
          <cell r="F232">
            <v>4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88</v>
          </cell>
          <cell r="Q232">
            <v>0</v>
          </cell>
          <cell r="R232">
            <v>88</v>
          </cell>
          <cell r="S232">
            <v>4</v>
          </cell>
          <cell r="T232">
            <v>88</v>
          </cell>
        </row>
        <row r="233">
          <cell r="C233" t="str">
            <v>Census Tract 271, King County, Washington</v>
          </cell>
          <cell r="D233">
            <v>87</v>
          </cell>
          <cell r="E233">
            <v>87</v>
          </cell>
          <cell r="F233">
            <v>15</v>
          </cell>
          <cell r="G233">
            <v>72</v>
          </cell>
          <cell r="H233">
            <v>0</v>
          </cell>
          <cell r="I233">
            <v>10</v>
          </cell>
          <cell r="J233">
            <v>13</v>
          </cell>
          <cell r="K233">
            <v>49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87</v>
          </cell>
          <cell r="T233">
            <v>0</v>
          </cell>
        </row>
        <row r="234">
          <cell r="C234" t="str">
            <v>Census Tract 272, King County, Washington</v>
          </cell>
          <cell r="D234">
            <v>98</v>
          </cell>
          <cell r="E234">
            <v>82</v>
          </cell>
          <cell r="F234">
            <v>36</v>
          </cell>
          <cell r="G234">
            <v>46</v>
          </cell>
          <cell r="H234">
            <v>0</v>
          </cell>
          <cell r="I234">
            <v>35</v>
          </cell>
          <cell r="J234">
            <v>0</v>
          </cell>
          <cell r="K234">
            <v>11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16</v>
          </cell>
          <cell r="Q234">
            <v>6</v>
          </cell>
          <cell r="R234">
            <v>10</v>
          </cell>
          <cell r="S234">
            <v>82</v>
          </cell>
          <cell r="T234">
            <v>16</v>
          </cell>
        </row>
        <row r="235">
          <cell r="C235" t="str">
            <v>Census Tract 273, King County, Washington</v>
          </cell>
          <cell r="D235">
            <v>277</v>
          </cell>
          <cell r="E235">
            <v>126</v>
          </cell>
          <cell r="F235">
            <v>76</v>
          </cell>
          <cell r="G235">
            <v>46</v>
          </cell>
          <cell r="H235">
            <v>0</v>
          </cell>
          <cell r="I235">
            <v>0</v>
          </cell>
          <cell r="J235">
            <v>9</v>
          </cell>
          <cell r="K235">
            <v>37</v>
          </cell>
          <cell r="L235">
            <v>4</v>
          </cell>
          <cell r="M235">
            <v>0</v>
          </cell>
          <cell r="N235">
            <v>0</v>
          </cell>
          <cell r="O235">
            <v>4</v>
          </cell>
          <cell r="P235">
            <v>151</v>
          </cell>
          <cell r="Q235">
            <v>13</v>
          </cell>
          <cell r="R235">
            <v>138</v>
          </cell>
          <cell r="S235">
            <v>122</v>
          </cell>
          <cell r="T235">
            <v>155</v>
          </cell>
        </row>
        <row r="236">
          <cell r="C236" t="str">
            <v>Census Tract 274, King County, Washington</v>
          </cell>
          <cell r="D236">
            <v>210</v>
          </cell>
          <cell r="E236">
            <v>133</v>
          </cell>
          <cell r="F236">
            <v>46</v>
          </cell>
          <cell r="G236">
            <v>87</v>
          </cell>
          <cell r="H236">
            <v>0</v>
          </cell>
          <cell r="I236">
            <v>8</v>
          </cell>
          <cell r="J236">
            <v>33</v>
          </cell>
          <cell r="K236">
            <v>46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77</v>
          </cell>
          <cell r="Q236">
            <v>0</v>
          </cell>
          <cell r="R236">
            <v>77</v>
          </cell>
          <cell r="S236">
            <v>133</v>
          </cell>
          <cell r="T236">
            <v>77</v>
          </cell>
        </row>
        <row r="237">
          <cell r="C237" t="str">
            <v>Census Tract 275, King County, Washington</v>
          </cell>
          <cell r="D237">
            <v>185</v>
          </cell>
          <cell r="E237">
            <v>163</v>
          </cell>
          <cell r="F237">
            <v>76</v>
          </cell>
          <cell r="G237">
            <v>87</v>
          </cell>
          <cell r="H237">
            <v>16</v>
          </cell>
          <cell r="I237">
            <v>21</v>
          </cell>
          <cell r="J237">
            <v>15</v>
          </cell>
          <cell r="K237">
            <v>35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22</v>
          </cell>
          <cell r="Q237">
            <v>16</v>
          </cell>
          <cell r="R237">
            <v>6</v>
          </cell>
          <cell r="S237">
            <v>163</v>
          </cell>
          <cell r="T237">
            <v>22</v>
          </cell>
        </row>
        <row r="238">
          <cell r="C238" t="str">
            <v>Census Tract 276, King County, Washington</v>
          </cell>
          <cell r="D238">
            <v>322</v>
          </cell>
          <cell r="E238">
            <v>157</v>
          </cell>
          <cell r="F238">
            <v>65</v>
          </cell>
          <cell r="G238">
            <v>92</v>
          </cell>
          <cell r="H238">
            <v>0</v>
          </cell>
          <cell r="I238">
            <v>5</v>
          </cell>
          <cell r="J238">
            <v>10</v>
          </cell>
          <cell r="K238">
            <v>77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165</v>
          </cell>
          <cell r="Q238">
            <v>39</v>
          </cell>
          <cell r="R238">
            <v>126</v>
          </cell>
          <cell r="S238">
            <v>157</v>
          </cell>
          <cell r="T238">
            <v>165</v>
          </cell>
        </row>
        <row r="239">
          <cell r="C239" t="str">
            <v>Census Tract 277.01, King County, Washington</v>
          </cell>
          <cell r="D239">
            <v>46</v>
          </cell>
          <cell r="E239">
            <v>39</v>
          </cell>
          <cell r="F239">
            <v>7</v>
          </cell>
          <cell r="G239">
            <v>32</v>
          </cell>
          <cell r="H239">
            <v>0</v>
          </cell>
          <cell r="I239">
            <v>8</v>
          </cell>
          <cell r="J239">
            <v>10</v>
          </cell>
          <cell r="K239">
            <v>14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7</v>
          </cell>
          <cell r="Q239">
            <v>0</v>
          </cell>
          <cell r="R239">
            <v>7</v>
          </cell>
          <cell r="S239">
            <v>39</v>
          </cell>
          <cell r="T239">
            <v>7</v>
          </cell>
        </row>
        <row r="240">
          <cell r="C240" t="str">
            <v>Census Tract 277.02, King County, Washington</v>
          </cell>
          <cell r="D240">
            <v>70</v>
          </cell>
          <cell r="E240">
            <v>66</v>
          </cell>
          <cell r="F240">
            <v>56</v>
          </cell>
          <cell r="G240">
            <v>10</v>
          </cell>
          <cell r="H240">
            <v>0</v>
          </cell>
          <cell r="I240">
            <v>6</v>
          </cell>
          <cell r="J240">
            <v>4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4</v>
          </cell>
          <cell r="Q240">
            <v>0</v>
          </cell>
          <cell r="R240">
            <v>4</v>
          </cell>
          <cell r="S240">
            <v>66</v>
          </cell>
          <cell r="T240">
            <v>4</v>
          </cell>
        </row>
        <row r="241">
          <cell r="C241" t="str">
            <v>Census Tract 278, King County, Washington</v>
          </cell>
          <cell r="D241">
            <v>7</v>
          </cell>
          <cell r="E241">
            <v>7</v>
          </cell>
          <cell r="F241">
            <v>0</v>
          </cell>
          <cell r="G241">
            <v>7</v>
          </cell>
          <cell r="H241">
            <v>0</v>
          </cell>
          <cell r="I241">
            <v>0</v>
          </cell>
          <cell r="J241">
            <v>3</v>
          </cell>
          <cell r="K241">
            <v>4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7</v>
          </cell>
          <cell r="T241">
            <v>0</v>
          </cell>
        </row>
        <row r="242">
          <cell r="C242" t="str">
            <v>Census Tract 279, King County, Washington</v>
          </cell>
          <cell r="D242">
            <v>112</v>
          </cell>
          <cell r="E242">
            <v>59</v>
          </cell>
          <cell r="F242">
            <v>40</v>
          </cell>
          <cell r="G242">
            <v>19</v>
          </cell>
          <cell r="H242">
            <v>0</v>
          </cell>
          <cell r="I242">
            <v>0</v>
          </cell>
          <cell r="J242">
            <v>0</v>
          </cell>
          <cell r="K242">
            <v>19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53</v>
          </cell>
          <cell r="Q242">
            <v>10</v>
          </cell>
          <cell r="R242">
            <v>43</v>
          </cell>
          <cell r="S242">
            <v>59</v>
          </cell>
          <cell r="T242">
            <v>53</v>
          </cell>
        </row>
        <row r="243">
          <cell r="C243" t="str">
            <v>Census Tract 280, King County, Washington</v>
          </cell>
          <cell r="D243">
            <v>219</v>
          </cell>
          <cell r="E243">
            <v>105</v>
          </cell>
          <cell r="F243">
            <v>69</v>
          </cell>
          <cell r="G243">
            <v>36</v>
          </cell>
          <cell r="H243">
            <v>0</v>
          </cell>
          <cell r="I243">
            <v>0</v>
          </cell>
          <cell r="J243">
            <v>0</v>
          </cell>
          <cell r="K243">
            <v>36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114</v>
          </cell>
          <cell r="Q243">
            <v>61</v>
          </cell>
          <cell r="R243">
            <v>53</v>
          </cell>
          <cell r="S243">
            <v>105</v>
          </cell>
          <cell r="T243">
            <v>114</v>
          </cell>
        </row>
        <row r="244">
          <cell r="C244" t="str">
            <v>Census Tract 281, King County, Washington</v>
          </cell>
          <cell r="D244">
            <v>232</v>
          </cell>
          <cell r="E244">
            <v>109</v>
          </cell>
          <cell r="F244">
            <v>98</v>
          </cell>
          <cell r="G244">
            <v>11</v>
          </cell>
          <cell r="H244">
            <v>0</v>
          </cell>
          <cell r="I244">
            <v>0</v>
          </cell>
          <cell r="J244">
            <v>0</v>
          </cell>
          <cell r="K244">
            <v>11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123</v>
          </cell>
          <cell r="Q244">
            <v>44</v>
          </cell>
          <cell r="R244">
            <v>79</v>
          </cell>
          <cell r="S244">
            <v>109</v>
          </cell>
          <cell r="T244">
            <v>123</v>
          </cell>
        </row>
        <row r="245">
          <cell r="C245" t="str">
            <v>Census Tract 282, King County, Washington</v>
          </cell>
          <cell r="D245">
            <v>122</v>
          </cell>
          <cell r="E245">
            <v>71</v>
          </cell>
          <cell r="F245">
            <v>40</v>
          </cell>
          <cell r="G245">
            <v>28</v>
          </cell>
          <cell r="H245">
            <v>0</v>
          </cell>
          <cell r="I245">
            <v>0</v>
          </cell>
          <cell r="J245">
            <v>28</v>
          </cell>
          <cell r="K245">
            <v>0</v>
          </cell>
          <cell r="L245">
            <v>3</v>
          </cell>
          <cell r="M245">
            <v>0</v>
          </cell>
          <cell r="N245">
            <v>0</v>
          </cell>
          <cell r="O245">
            <v>3</v>
          </cell>
          <cell r="P245">
            <v>51</v>
          </cell>
          <cell r="Q245">
            <v>14</v>
          </cell>
          <cell r="R245">
            <v>37</v>
          </cell>
          <cell r="S245">
            <v>68</v>
          </cell>
          <cell r="T245">
            <v>54</v>
          </cell>
        </row>
        <row r="246">
          <cell r="C246" t="str">
            <v>Census Tract 283, King County, Washington</v>
          </cell>
          <cell r="D246">
            <v>42</v>
          </cell>
          <cell r="E246">
            <v>33</v>
          </cell>
          <cell r="F246">
            <v>23</v>
          </cell>
          <cell r="G246">
            <v>10</v>
          </cell>
          <cell r="H246">
            <v>0</v>
          </cell>
          <cell r="I246">
            <v>0</v>
          </cell>
          <cell r="J246">
            <v>5</v>
          </cell>
          <cell r="K246">
            <v>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</v>
          </cell>
          <cell r="Q246">
            <v>4</v>
          </cell>
          <cell r="R246">
            <v>5</v>
          </cell>
          <cell r="S246">
            <v>33</v>
          </cell>
          <cell r="T246">
            <v>9</v>
          </cell>
        </row>
        <row r="247">
          <cell r="C247" t="str">
            <v>Census Tract 284.02, King County, Washington</v>
          </cell>
          <cell r="D247">
            <v>209</v>
          </cell>
          <cell r="E247">
            <v>131</v>
          </cell>
          <cell r="F247">
            <v>78</v>
          </cell>
          <cell r="G247">
            <v>53</v>
          </cell>
          <cell r="H247">
            <v>0</v>
          </cell>
          <cell r="I247">
            <v>10</v>
          </cell>
          <cell r="J247">
            <v>0</v>
          </cell>
          <cell r="K247">
            <v>43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78</v>
          </cell>
          <cell r="Q247">
            <v>16</v>
          </cell>
          <cell r="R247">
            <v>62</v>
          </cell>
          <cell r="S247">
            <v>131</v>
          </cell>
          <cell r="T247">
            <v>78</v>
          </cell>
        </row>
        <row r="248">
          <cell r="C248" t="str">
            <v>Census Tract 284.03, King County, Washington</v>
          </cell>
          <cell r="D248">
            <v>195</v>
          </cell>
          <cell r="E248">
            <v>116</v>
          </cell>
          <cell r="F248">
            <v>86</v>
          </cell>
          <cell r="G248">
            <v>30</v>
          </cell>
          <cell r="H248">
            <v>0</v>
          </cell>
          <cell r="I248">
            <v>0</v>
          </cell>
          <cell r="J248">
            <v>0</v>
          </cell>
          <cell r="K248">
            <v>30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79</v>
          </cell>
          <cell r="Q248">
            <v>19</v>
          </cell>
          <cell r="R248">
            <v>60</v>
          </cell>
          <cell r="S248">
            <v>116</v>
          </cell>
          <cell r="T248">
            <v>79</v>
          </cell>
        </row>
        <row r="249">
          <cell r="C249" t="str">
            <v>Census Tract 285, King County, Washington</v>
          </cell>
          <cell r="D249">
            <v>97</v>
          </cell>
          <cell r="E249">
            <v>83</v>
          </cell>
          <cell r="F249">
            <v>83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14</v>
          </cell>
          <cell r="Q249">
            <v>14</v>
          </cell>
          <cell r="R249">
            <v>0</v>
          </cell>
          <cell r="S249">
            <v>83</v>
          </cell>
          <cell r="T249">
            <v>14</v>
          </cell>
        </row>
        <row r="250">
          <cell r="C250" t="str">
            <v>Census Tract 286, King County, Washington</v>
          </cell>
          <cell r="D250">
            <v>85</v>
          </cell>
          <cell r="E250">
            <v>79</v>
          </cell>
          <cell r="F250">
            <v>41</v>
          </cell>
          <cell r="G250">
            <v>38</v>
          </cell>
          <cell r="H250">
            <v>0</v>
          </cell>
          <cell r="I250">
            <v>7</v>
          </cell>
          <cell r="J250">
            <v>6</v>
          </cell>
          <cell r="K250">
            <v>25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6</v>
          </cell>
          <cell r="Q250">
            <v>0</v>
          </cell>
          <cell r="R250">
            <v>6</v>
          </cell>
          <cell r="S250">
            <v>79</v>
          </cell>
          <cell r="T250">
            <v>6</v>
          </cell>
        </row>
        <row r="251">
          <cell r="C251" t="str">
            <v>Census Tract 287, King County, Washington</v>
          </cell>
          <cell r="D251">
            <v>106</v>
          </cell>
          <cell r="E251">
            <v>100</v>
          </cell>
          <cell r="F251">
            <v>22</v>
          </cell>
          <cell r="G251">
            <v>70</v>
          </cell>
          <cell r="H251">
            <v>21</v>
          </cell>
          <cell r="I251">
            <v>0</v>
          </cell>
          <cell r="J251">
            <v>10</v>
          </cell>
          <cell r="K251">
            <v>39</v>
          </cell>
          <cell r="L251">
            <v>8</v>
          </cell>
          <cell r="M251">
            <v>8</v>
          </cell>
          <cell r="N251">
            <v>0</v>
          </cell>
          <cell r="O251">
            <v>0</v>
          </cell>
          <cell r="P251">
            <v>6</v>
          </cell>
          <cell r="Q251">
            <v>6</v>
          </cell>
          <cell r="R251">
            <v>0</v>
          </cell>
          <cell r="S251">
            <v>92</v>
          </cell>
          <cell r="T251">
            <v>14</v>
          </cell>
        </row>
        <row r="252">
          <cell r="C252" t="str">
            <v>Census Tract 288.01, King County, Washington</v>
          </cell>
          <cell r="D252">
            <v>371</v>
          </cell>
          <cell r="E252">
            <v>134</v>
          </cell>
          <cell r="F252">
            <v>58</v>
          </cell>
          <cell r="G252">
            <v>72</v>
          </cell>
          <cell r="H252">
            <v>0</v>
          </cell>
          <cell r="I252">
            <v>4</v>
          </cell>
          <cell r="J252">
            <v>8</v>
          </cell>
          <cell r="K252">
            <v>60</v>
          </cell>
          <cell r="L252">
            <v>4</v>
          </cell>
          <cell r="M252">
            <v>0</v>
          </cell>
          <cell r="N252">
            <v>0</v>
          </cell>
          <cell r="O252">
            <v>4</v>
          </cell>
          <cell r="P252">
            <v>237</v>
          </cell>
          <cell r="Q252">
            <v>10</v>
          </cell>
          <cell r="R252">
            <v>227</v>
          </cell>
          <cell r="S252">
            <v>130</v>
          </cell>
          <cell r="T252">
            <v>241</v>
          </cell>
        </row>
        <row r="253">
          <cell r="C253" t="str">
            <v>Census Tract 288.02, King County, Washington</v>
          </cell>
          <cell r="D253">
            <v>374</v>
          </cell>
          <cell r="E253">
            <v>186</v>
          </cell>
          <cell r="F253">
            <v>36</v>
          </cell>
          <cell r="G253">
            <v>150</v>
          </cell>
          <cell r="H253">
            <v>0</v>
          </cell>
          <cell r="I253">
            <v>0</v>
          </cell>
          <cell r="J253">
            <v>0</v>
          </cell>
          <cell r="K253">
            <v>150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188</v>
          </cell>
          <cell r="Q253">
            <v>64</v>
          </cell>
          <cell r="R253">
            <v>124</v>
          </cell>
          <cell r="S253">
            <v>186</v>
          </cell>
          <cell r="T253">
            <v>188</v>
          </cell>
        </row>
        <row r="254">
          <cell r="C254" t="str">
            <v>Census Tract 289.01, King County, Washington</v>
          </cell>
          <cell r="D254">
            <v>55</v>
          </cell>
          <cell r="E254">
            <v>49</v>
          </cell>
          <cell r="F254">
            <v>30</v>
          </cell>
          <cell r="G254">
            <v>19</v>
          </cell>
          <cell r="H254">
            <v>0</v>
          </cell>
          <cell r="I254">
            <v>0</v>
          </cell>
          <cell r="J254">
            <v>8</v>
          </cell>
          <cell r="K254">
            <v>11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6</v>
          </cell>
          <cell r="Q254">
            <v>0</v>
          </cell>
          <cell r="R254">
            <v>6</v>
          </cell>
          <cell r="S254">
            <v>49</v>
          </cell>
          <cell r="T254">
            <v>6</v>
          </cell>
        </row>
        <row r="255">
          <cell r="C255" t="str">
            <v>Census Tract 289.02, King County, Washington</v>
          </cell>
          <cell r="D255">
            <v>250</v>
          </cell>
          <cell r="E255">
            <v>160</v>
          </cell>
          <cell r="F255">
            <v>52</v>
          </cell>
          <cell r="G255">
            <v>108</v>
          </cell>
          <cell r="H255">
            <v>11</v>
          </cell>
          <cell r="I255">
            <v>8</v>
          </cell>
          <cell r="J255">
            <v>14</v>
          </cell>
          <cell r="K255">
            <v>75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90</v>
          </cell>
          <cell r="Q255">
            <v>24</v>
          </cell>
          <cell r="R255">
            <v>66</v>
          </cell>
          <cell r="S255">
            <v>160</v>
          </cell>
          <cell r="T255">
            <v>90</v>
          </cell>
        </row>
        <row r="256">
          <cell r="C256" t="str">
            <v>Census Tract 290.01, King County, Washington</v>
          </cell>
          <cell r="D256">
            <v>58</v>
          </cell>
          <cell r="E256">
            <v>52</v>
          </cell>
          <cell r="F256">
            <v>18</v>
          </cell>
          <cell r="G256">
            <v>34</v>
          </cell>
          <cell r="H256">
            <v>6</v>
          </cell>
          <cell r="I256">
            <v>0</v>
          </cell>
          <cell r="J256">
            <v>6</v>
          </cell>
          <cell r="K256">
            <v>22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6</v>
          </cell>
          <cell r="Q256">
            <v>6</v>
          </cell>
          <cell r="R256">
            <v>0</v>
          </cell>
          <cell r="S256">
            <v>52</v>
          </cell>
          <cell r="T256">
            <v>6</v>
          </cell>
        </row>
        <row r="257">
          <cell r="C257" t="str">
            <v>Census Tract 290.03, King County, Washington</v>
          </cell>
          <cell r="D257">
            <v>106</v>
          </cell>
          <cell r="E257">
            <v>106</v>
          </cell>
          <cell r="F257">
            <v>29</v>
          </cell>
          <cell r="G257">
            <v>65</v>
          </cell>
          <cell r="H257">
            <v>13</v>
          </cell>
          <cell r="I257">
            <v>0</v>
          </cell>
          <cell r="J257">
            <v>0</v>
          </cell>
          <cell r="K257">
            <v>52</v>
          </cell>
          <cell r="L257">
            <v>12</v>
          </cell>
          <cell r="M257">
            <v>0</v>
          </cell>
          <cell r="N257">
            <v>0</v>
          </cell>
          <cell r="O257">
            <v>12</v>
          </cell>
          <cell r="P257">
            <v>0</v>
          </cell>
          <cell r="Q257">
            <v>0</v>
          </cell>
          <cell r="R257">
            <v>0</v>
          </cell>
          <cell r="S257">
            <v>94</v>
          </cell>
          <cell r="T257">
            <v>12</v>
          </cell>
        </row>
        <row r="258">
          <cell r="C258" t="str">
            <v>Census Tract 290.04, King County, Washington</v>
          </cell>
          <cell r="D258">
            <v>117</v>
          </cell>
          <cell r="E258">
            <v>79</v>
          </cell>
          <cell r="F258">
            <v>57</v>
          </cell>
          <cell r="G258">
            <v>22</v>
          </cell>
          <cell r="H258">
            <v>0</v>
          </cell>
          <cell r="I258">
            <v>0</v>
          </cell>
          <cell r="J258">
            <v>0</v>
          </cell>
          <cell r="K258">
            <v>22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38</v>
          </cell>
          <cell r="Q258">
            <v>0</v>
          </cell>
          <cell r="R258">
            <v>38</v>
          </cell>
          <cell r="S258">
            <v>79</v>
          </cell>
          <cell r="T258">
            <v>38</v>
          </cell>
        </row>
        <row r="259">
          <cell r="C259" t="str">
            <v>Census Tract 291, King County, Washington</v>
          </cell>
          <cell r="D259">
            <v>139</v>
          </cell>
          <cell r="E259">
            <v>108</v>
          </cell>
          <cell r="F259">
            <v>60</v>
          </cell>
          <cell r="G259">
            <v>48</v>
          </cell>
          <cell r="H259">
            <v>0</v>
          </cell>
          <cell r="I259">
            <v>0</v>
          </cell>
          <cell r="J259">
            <v>8</v>
          </cell>
          <cell r="K259">
            <v>40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31</v>
          </cell>
          <cell r="Q259">
            <v>21</v>
          </cell>
          <cell r="R259">
            <v>10</v>
          </cell>
          <cell r="S259">
            <v>108</v>
          </cell>
          <cell r="T259">
            <v>31</v>
          </cell>
        </row>
        <row r="260">
          <cell r="C260" t="str">
            <v>Census Tract 292.01, King County, Washington</v>
          </cell>
          <cell r="D260">
            <v>467</v>
          </cell>
          <cell r="E260">
            <v>219</v>
          </cell>
          <cell r="F260">
            <v>43</v>
          </cell>
          <cell r="G260">
            <v>156</v>
          </cell>
          <cell r="H260">
            <v>10</v>
          </cell>
          <cell r="I260">
            <v>23</v>
          </cell>
          <cell r="J260">
            <v>27</v>
          </cell>
          <cell r="K260">
            <v>96</v>
          </cell>
          <cell r="L260">
            <v>20</v>
          </cell>
          <cell r="M260">
            <v>20</v>
          </cell>
          <cell r="N260">
            <v>0</v>
          </cell>
          <cell r="O260">
            <v>0</v>
          </cell>
          <cell r="P260">
            <v>248</v>
          </cell>
          <cell r="Q260">
            <v>42</v>
          </cell>
          <cell r="R260">
            <v>206</v>
          </cell>
          <cell r="S260">
            <v>199</v>
          </cell>
          <cell r="T260">
            <v>268</v>
          </cell>
        </row>
        <row r="261">
          <cell r="C261" t="str">
            <v>Census Tract 292.03, King County, Washington</v>
          </cell>
          <cell r="D261">
            <v>110</v>
          </cell>
          <cell r="E261">
            <v>73</v>
          </cell>
          <cell r="F261">
            <v>13</v>
          </cell>
          <cell r="G261">
            <v>60</v>
          </cell>
          <cell r="H261">
            <v>0</v>
          </cell>
          <cell r="I261">
            <v>0</v>
          </cell>
          <cell r="J261">
            <v>0</v>
          </cell>
          <cell r="K261">
            <v>60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37</v>
          </cell>
          <cell r="Q261">
            <v>0</v>
          </cell>
          <cell r="R261">
            <v>37</v>
          </cell>
          <cell r="S261">
            <v>73</v>
          </cell>
          <cell r="T261">
            <v>37</v>
          </cell>
        </row>
        <row r="262">
          <cell r="C262" t="str">
            <v>Census Tract 292.04, King County, Washington</v>
          </cell>
          <cell r="D262">
            <v>77</v>
          </cell>
          <cell r="E262">
            <v>69</v>
          </cell>
          <cell r="F262">
            <v>29</v>
          </cell>
          <cell r="G262">
            <v>40</v>
          </cell>
          <cell r="H262">
            <v>0</v>
          </cell>
          <cell r="I262">
            <v>8</v>
          </cell>
          <cell r="J262">
            <v>11</v>
          </cell>
          <cell r="K262">
            <v>21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8</v>
          </cell>
          <cell r="Q262">
            <v>8</v>
          </cell>
          <cell r="R262">
            <v>0</v>
          </cell>
          <cell r="S262">
            <v>69</v>
          </cell>
          <cell r="T262">
            <v>8</v>
          </cell>
        </row>
        <row r="263">
          <cell r="C263" t="str">
            <v>Census Tract 293.03, King County, Washington</v>
          </cell>
          <cell r="D263">
            <v>37</v>
          </cell>
          <cell r="E263">
            <v>26</v>
          </cell>
          <cell r="F263">
            <v>12</v>
          </cell>
          <cell r="G263">
            <v>14</v>
          </cell>
          <cell r="H263">
            <v>0</v>
          </cell>
          <cell r="I263">
            <v>0</v>
          </cell>
          <cell r="J263">
            <v>0</v>
          </cell>
          <cell r="K263">
            <v>14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</v>
          </cell>
          <cell r="Q263">
            <v>0</v>
          </cell>
          <cell r="R263">
            <v>11</v>
          </cell>
          <cell r="S263">
            <v>26</v>
          </cell>
          <cell r="T263">
            <v>11</v>
          </cell>
        </row>
        <row r="264">
          <cell r="C264" t="str">
            <v>Census Tract 293.04, King County, Washington</v>
          </cell>
          <cell r="D264">
            <v>59</v>
          </cell>
          <cell r="E264">
            <v>50</v>
          </cell>
          <cell r="F264">
            <v>20</v>
          </cell>
          <cell r="G264">
            <v>30</v>
          </cell>
          <cell r="H264">
            <v>0</v>
          </cell>
          <cell r="I264">
            <v>0</v>
          </cell>
          <cell r="J264">
            <v>0</v>
          </cell>
          <cell r="K264">
            <v>30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9</v>
          </cell>
          <cell r="Q264">
            <v>9</v>
          </cell>
          <cell r="R264">
            <v>0</v>
          </cell>
          <cell r="S264">
            <v>50</v>
          </cell>
          <cell r="T264">
            <v>9</v>
          </cell>
        </row>
        <row r="265">
          <cell r="C265" t="str">
            <v>Census Tract 293.05, King County, Washington</v>
          </cell>
          <cell r="D265">
            <v>31</v>
          </cell>
          <cell r="E265">
            <v>31</v>
          </cell>
          <cell r="F265">
            <v>31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31</v>
          </cell>
          <cell r="T265">
            <v>0</v>
          </cell>
        </row>
        <row r="266">
          <cell r="C266" t="str">
            <v>Census Tract 293.06, King County, Washington</v>
          </cell>
          <cell r="D266">
            <v>29</v>
          </cell>
          <cell r="E266">
            <v>29</v>
          </cell>
          <cell r="F266">
            <v>12</v>
          </cell>
          <cell r="G266">
            <v>17</v>
          </cell>
          <cell r="H266">
            <v>0</v>
          </cell>
          <cell r="I266">
            <v>0</v>
          </cell>
          <cell r="J266">
            <v>0</v>
          </cell>
          <cell r="K266">
            <v>17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29</v>
          </cell>
          <cell r="T266">
            <v>0</v>
          </cell>
        </row>
        <row r="267">
          <cell r="C267" t="str">
            <v>Census Tract 293.07, King County, Washington</v>
          </cell>
          <cell r="D267">
            <v>103</v>
          </cell>
          <cell r="E267">
            <v>87</v>
          </cell>
          <cell r="F267">
            <v>10</v>
          </cell>
          <cell r="G267">
            <v>68</v>
          </cell>
          <cell r="H267">
            <v>0</v>
          </cell>
          <cell r="I267">
            <v>0</v>
          </cell>
          <cell r="J267">
            <v>0</v>
          </cell>
          <cell r="K267">
            <v>68</v>
          </cell>
          <cell r="L267">
            <v>9</v>
          </cell>
          <cell r="M267">
            <v>0</v>
          </cell>
          <cell r="N267">
            <v>0</v>
          </cell>
          <cell r="O267">
            <v>9</v>
          </cell>
          <cell r="P267">
            <v>16</v>
          </cell>
          <cell r="Q267">
            <v>16</v>
          </cell>
          <cell r="R267">
            <v>0</v>
          </cell>
          <cell r="S267">
            <v>78</v>
          </cell>
          <cell r="T267">
            <v>25</v>
          </cell>
        </row>
        <row r="268">
          <cell r="C268" t="str">
            <v>Census Tract 294.03, King County, Washington</v>
          </cell>
          <cell r="D268">
            <v>62</v>
          </cell>
          <cell r="E268">
            <v>32</v>
          </cell>
          <cell r="F268">
            <v>32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30</v>
          </cell>
          <cell r="Q268">
            <v>0</v>
          </cell>
          <cell r="R268">
            <v>30</v>
          </cell>
          <cell r="S268">
            <v>32</v>
          </cell>
          <cell r="T268">
            <v>30</v>
          </cell>
        </row>
        <row r="269">
          <cell r="C269" t="str">
            <v>Census Tract 294.05, King County, Washington</v>
          </cell>
          <cell r="D269">
            <v>124</v>
          </cell>
          <cell r="E269">
            <v>108</v>
          </cell>
          <cell r="F269">
            <v>27</v>
          </cell>
          <cell r="G269">
            <v>81</v>
          </cell>
          <cell r="H269">
            <v>0</v>
          </cell>
          <cell r="I269">
            <v>0</v>
          </cell>
          <cell r="J269">
            <v>10</v>
          </cell>
          <cell r="K269">
            <v>71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16</v>
          </cell>
          <cell r="Q269">
            <v>0</v>
          </cell>
          <cell r="R269">
            <v>16</v>
          </cell>
          <cell r="S269">
            <v>108</v>
          </cell>
          <cell r="T269">
            <v>16</v>
          </cell>
        </row>
        <row r="270">
          <cell r="C270" t="str">
            <v>Census Tract 294.06, King County, Washington</v>
          </cell>
          <cell r="D270">
            <v>122</v>
          </cell>
          <cell r="E270">
            <v>122</v>
          </cell>
          <cell r="F270">
            <v>37</v>
          </cell>
          <cell r="G270">
            <v>52</v>
          </cell>
          <cell r="H270">
            <v>0</v>
          </cell>
          <cell r="I270">
            <v>9</v>
          </cell>
          <cell r="J270">
            <v>10</v>
          </cell>
          <cell r="K270">
            <v>33</v>
          </cell>
          <cell r="L270">
            <v>33</v>
          </cell>
          <cell r="M270">
            <v>25</v>
          </cell>
          <cell r="N270">
            <v>0</v>
          </cell>
          <cell r="O270">
            <v>8</v>
          </cell>
          <cell r="P270">
            <v>0</v>
          </cell>
          <cell r="Q270">
            <v>0</v>
          </cell>
          <cell r="R270">
            <v>0</v>
          </cell>
          <cell r="S270">
            <v>89</v>
          </cell>
          <cell r="T270">
            <v>33</v>
          </cell>
        </row>
        <row r="271">
          <cell r="C271" t="str">
            <v>Census Tract 294.07, King County, Washington</v>
          </cell>
          <cell r="D271">
            <v>170</v>
          </cell>
          <cell r="E271">
            <v>134</v>
          </cell>
          <cell r="F271">
            <v>87</v>
          </cell>
          <cell r="G271">
            <v>47</v>
          </cell>
          <cell r="H271">
            <v>11</v>
          </cell>
          <cell r="I271">
            <v>0</v>
          </cell>
          <cell r="J271">
            <v>0</v>
          </cell>
          <cell r="K271">
            <v>36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36</v>
          </cell>
          <cell r="Q271">
            <v>9</v>
          </cell>
          <cell r="R271">
            <v>27</v>
          </cell>
          <cell r="S271">
            <v>134</v>
          </cell>
          <cell r="T271">
            <v>36</v>
          </cell>
        </row>
        <row r="272">
          <cell r="C272" t="str">
            <v>Census Tract 294.08, King County, Washington</v>
          </cell>
          <cell r="D272">
            <v>117</v>
          </cell>
          <cell r="E272">
            <v>82</v>
          </cell>
          <cell r="F272">
            <v>32</v>
          </cell>
          <cell r="G272">
            <v>50</v>
          </cell>
          <cell r="H272">
            <v>0</v>
          </cell>
          <cell r="I272">
            <v>6</v>
          </cell>
          <cell r="J272">
            <v>27</v>
          </cell>
          <cell r="K272">
            <v>17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35</v>
          </cell>
          <cell r="Q272">
            <v>0</v>
          </cell>
          <cell r="R272">
            <v>35</v>
          </cell>
          <cell r="S272">
            <v>82</v>
          </cell>
          <cell r="T272">
            <v>35</v>
          </cell>
        </row>
        <row r="273">
          <cell r="C273" t="str">
            <v>Census Tract 295.02, King County, Washington</v>
          </cell>
          <cell r="D273">
            <v>107</v>
          </cell>
          <cell r="E273">
            <v>82</v>
          </cell>
          <cell r="F273">
            <v>50</v>
          </cell>
          <cell r="G273">
            <v>27</v>
          </cell>
          <cell r="H273">
            <v>0</v>
          </cell>
          <cell r="I273">
            <v>3</v>
          </cell>
          <cell r="J273">
            <v>9</v>
          </cell>
          <cell r="K273">
            <v>15</v>
          </cell>
          <cell r="L273">
            <v>5</v>
          </cell>
          <cell r="M273">
            <v>5</v>
          </cell>
          <cell r="N273">
            <v>0</v>
          </cell>
          <cell r="O273">
            <v>0</v>
          </cell>
          <cell r="P273">
            <v>25</v>
          </cell>
          <cell r="Q273">
            <v>0</v>
          </cell>
          <cell r="R273">
            <v>25</v>
          </cell>
          <cell r="S273">
            <v>77</v>
          </cell>
          <cell r="T273">
            <v>30</v>
          </cell>
        </row>
        <row r="274">
          <cell r="C274" t="str">
            <v>Census Tract 295.03, King County, Washington</v>
          </cell>
          <cell r="D274">
            <v>379</v>
          </cell>
          <cell r="E274">
            <v>102</v>
          </cell>
          <cell r="F274">
            <v>64</v>
          </cell>
          <cell r="G274">
            <v>38</v>
          </cell>
          <cell r="H274">
            <v>9</v>
          </cell>
          <cell r="I274">
            <v>0</v>
          </cell>
          <cell r="J274">
            <v>6</v>
          </cell>
          <cell r="K274">
            <v>23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277</v>
          </cell>
          <cell r="Q274">
            <v>0</v>
          </cell>
          <cell r="R274">
            <v>277</v>
          </cell>
          <cell r="S274">
            <v>102</v>
          </cell>
          <cell r="T274">
            <v>277</v>
          </cell>
        </row>
        <row r="275">
          <cell r="C275" t="str">
            <v>Census Tract 295.04, King County, Washington</v>
          </cell>
          <cell r="D275">
            <v>113</v>
          </cell>
          <cell r="E275">
            <v>59</v>
          </cell>
          <cell r="F275">
            <v>27</v>
          </cell>
          <cell r="G275">
            <v>32</v>
          </cell>
          <cell r="H275">
            <v>7</v>
          </cell>
          <cell r="I275">
            <v>0</v>
          </cell>
          <cell r="J275">
            <v>0</v>
          </cell>
          <cell r="K275">
            <v>25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54</v>
          </cell>
          <cell r="Q275">
            <v>0</v>
          </cell>
          <cell r="R275">
            <v>54</v>
          </cell>
          <cell r="S275">
            <v>59</v>
          </cell>
          <cell r="T275">
            <v>54</v>
          </cell>
        </row>
        <row r="276">
          <cell r="C276" t="str">
            <v>Census Tract 296.01, King County, Washington</v>
          </cell>
          <cell r="D276">
            <v>145</v>
          </cell>
          <cell r="E276">
            <v>102</v>
          </cell>
          <cell r="F276">
            <v>68</v>
          </cell>
          <cell r="G276">
            <v>34</v>
          </cell>
          <cell r="H276">
            <v>0</v>
          </cell>
          <cell r="I276">
            <v>0</v>
          </cell>
          <cell r="J276">
            <v>21</v>
          </cell>
          <cell r="K276">
            <v>13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43</v>
          </cell>
          <cell r="Q276">
            <v>24</v>
          </cell>
          <cell r="R276">
            <v>19</v>
          </cell>
          <cell r="S276">
            <v>102</v>
          </cell>
          <cell r="T276">
            <v>43</v>
          </cell>
        </row>
        <row r="277">
          <cell r="C277" t="str">
            <v>Census Tract 296.02, King County, Washington</v>
          </cell>
          <cell r="D277">
            <v>13</v>
          </cell>
          <cell r="E277">
            <v>7</v>
          </cell>
          <cell r="F277">
            <v>0</v>
          </cell>
          <cell r="G277">
            <v>7</v>
          </cell>
          <cell r="H277">
            <v>7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6</v>
          </cell>
          <cell r="Q277">
            <v>0</v>
          </cell>
          <cell r="R277">
            <v>6</v>
          </cell>
          <cell r="S277">
            <v>7</v>
          </cell>
          <cell r="T277">
            <v>6</v>
          </cell>
        </row>
        <row r="278">
          <cell r="C278" t="str">
            <v>Census Tract 297, King County, Washington</v>
          </cell>
          <cell r="D278">
            <v>55</v>
          </cell>
          <cell r="E278">
            <v>47</v>
          </cell>
          <cell r="F278">
            <v>9</v>
          </cell>
          <cell r="G278">
            <v>38</v>
          </cell>
          <cell r="H278">
            <v>11</v>
          </cell>
          <cell r="I278">
            <v>0</v>
          </cell>
          <cell r="J278">
            <v>0</v>
          </cell>
          <cell r="K278">
            <v>27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8</v>
          </cell>
          <cell r="Q278">
            <v>0</v>
          </cell>
          <cell r="R278">
            <v>8</v>
          </cell>
          <cell r="S278">
            <v>47</v>
          </cell>
          <cell r="T278">
            <v>8</v>
          </cell>
        </row>
        <row r="279">
          <cell r="C279" t="str">
            <v>Census Tract 298.01, King County, Washington</v>
          </cell>
          <cell r="D279">
            <v>242</v>
          </cell>
          <cell r="E279">
            <v>149</v>
          </cell>
          <cell r="F279">
            <v>101</v>
          </cell>
          <cell r="G279">
            <v>48</v>
          </cell>
          <cell r="H279">
            <v>0</v>
          </cell>
          <cell r="I279">
            <v>11</v>
          </cell>
          <cell r="J279">
            <v>23</v>
          </cell>
          <cell r="K279">
            <v>14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93</v>
          </cell>
          <cell r="Q279">
            <v>21</v>
          </cell>
          <cell r="R279">
            <v>72</v>
          </cell>
          <cell r="S279">
            <v>149</v>
          </cell>
          <cell r="T279">
            <v>93</v>
          </cell>
        </row>
        <row r="280">
          <cell r="C280" t="str">
            <v>Census Tract 298.02, King County, Washington</v>
          </cell>
          <cell r="D280">
            <v>140</v>
          </cell>
          <cell r="E280">
            <v>129</v>
          </cell>
          <cell r="F280">
            <v>77</v>
          </cell>
          <cell r="G280">
            <v>52</v>
          </cell>
          <cell r="H280">
            <v>0</v>
          </cell>
          <cell r="I280">
            <v>0</v>
          </cell>
          <cell r="J280">
            <v>10</v>
          </cell>
          <cell r="K280">
            <v>42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11</v>
          </cell>
          <cell r="Q280">
            <v>0</v>
          </cell>
          <cell r="R280">
            <v>11</v>
          </cell>
          <cell r="S280">
            <v>129</v>
          </cell>
          <cell r="T280">
            <v>11</v>
          </cell>
        </row>
        <row r="281">
          <cell r="C281" t="str">
            <v>Census Tract 299.01, King County, Washington</v>
          </cell>
          <cell r="D281">
            <v>135</v>
          </cell>
          <cell r="E281">
            <v>111</v>
          </cell>
          <cell r="F281">
            <v>46</v>
          </cell>
          <cell r="G281">
            <v>56</v>
          </cell>
          <cell r="H281">
            <v>15</v>
          </cell>
          <cell r="I281">
            <v>0</v>
          </cell>
          <cell r="J281">
            <v>13</v>
          </cell>
          <cell r="K281">
            <v>28</v>
          </cell>
          <cell r="L281">
            <v>9</v>
          </cell>
          <cell r="M281">
            <v>0</v>
          </cell>
          <cell r="N281">
            <v>0</v>
          </cell>
          <cell r="O281">
            <v>9</v>
          </cell>
          <cell r="P281">
            <v>24</v>
          </cell>
          <cell r="Q281">
            <v>8</v>
          </cell>
          <cell r="R281">
            <v>16</v>
          </cell>
          <cell r="S281">
            <v>102</v>
          </cell>
          <cell r="T281">
            <v>33</v>
          </cell>
        </row>
        <row r="282">
          <cell r="C282" t="str">
            <v>Census Tract 299.02, King County, Washington</v>
          </cell>
          <cell r="D282">
            <v>14</v>
          </cell>
          <cell r="E282">
            <v>14</v>
          </cell>
          <cell r="F282">
            <v>0</v>
          </cell>
          <cell r="G282">
            <v>14</v>
          </cell>
          <cell r="H282">
            <v>0</v>
          </cell>
          <cell r="I282">
            <v>9</v>
          </cell>
          <cell r="J282">
            <v>0</v>
          </cell>
          <cell r="K282">
            <v>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14</v>
          </cell>
          <cell r="T282">
            <v>0</v>
          </cell>
        </row>
        <row r="283">
          <cell r="C283" t="str">
            <v>Census Tract 300.02, King County, Washington</v>
          </cell>
          <cell r="D283">
            <v>325</v>
          </cell>
          <cell r="E283">
            <v>216</v>
          </cell>
          <cell r="F283">
            <v>131</v>
          </cell>
          <cell r="G283">
            <v>58</v>
          </cell>
          <cell r="H283">
            <v>0</v>
          </cell>
          <cell r="I283">
            <v>0</v>
          </cell>
          <cell r="J283">
            <v>14</v>
          </cell>
          <cell r="K283">
            <v>44</v>
          </cell>
          <cell r="L283">
            <v>27</v>
          </cell>
          <cell r="M283">
            <v>0</v>
          </cell>
          <cell r="N283">
            <v>0</v>
          </cell>
          <cell r="O283">
            <v>27</v>
          </cell>
          <cell r="P283">
            <v>109</v>
          </cell>
          <cell r="Q283">
            <v>10</v>
          </cell>
          <cell r="R283">
            <v>99</v>
          </cell>
          <cell r="S283">
            <v>189</v>
          </cell>
          <cell r="T283">
            <v>136</v>
          </cell>
        </row>
        <row r="284">
          <cell r="C284" t="str">
            <v>Census Tract 300.03, King County, Washington</v>
          </cell>
          <cell r="D284">
            <v>230</v>
          </cell>
          <cell r="E284">
            <v>123</v>
          </cell>
          <cell r="F284">
            <v>51</v>
          </cell>
          <cell r="G284">
            <v>64</v>
          </cell>
          <cell r="H284">
            <v>0</v>
          </cell>
          <cell r="I284">
            <v>11</v>
          </cell>
          <cell r="J284">
            <v>6</v>
          </cell>
          <cell r="K284">
            <v>47</v>
          </cell>
          <cell r="L284">
            <v>8</v>
          </cell>
          <cell r="M284">
            <v>0</v>
          </cell>
          <cell r="N284">
            <v>0</v>
          </cell>
          <cell r="O284">
            <v>8</v>
          </cell>
          <cell r="P284">
            <v>107</v>
          </cell>
          <cell r="Q284">
            <v>17</v>
          </cell>
          <cell r="R284">
            <v>90</v>
          </cell>
          <cell r="S284">
            <v>115</v>
          </cell>
          <cell r="T284">
            <v>115</v>
          </cell>
        </row>
        <row r="285">
          <cell r="C285" t="str">
            <v>Census Tract 300.04, King County, Washington</v>
          </cell>
          <cell r="D285">
            <v>305</v>
          </cell>
          <cell r="E285">
            <v>152</v>
          </cell>
          <cell r="F285">
            <v>53</v>
          </cell>
          <cell r="G285">
            <v>99</v>
          </cell>
          <cell r="H285">
            <v>0</v>
          </cell>
          <cell r="I285">
            <v>9</v>
          </cell>
          <cell r="J285">
            <v>40</v>
          </cell>
          <cell r="K285">
            <v>50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153</v>
          </cell>
          <cell r="Q285">
            <v>37</v>
          </cell>
          <cell r="R285">
            <v>116</v>
          </cell>
          <cell r="S285">
            <v>152</v>
          </cell>
          <cell r="T285">
            <v>153</v>
          </cell>
        </row>
        <row r="286">
          <cell r="C286" t="str">
            <v>Census Tract 301, King County, Washington</v>
          </cell>
          <cell r="D286">
            <v>179</v>
          </cell>
          <cell r="E286">
            <v>124</v>
          </cell>
          <cell r="F286">
            <v>77</v>
          </cell>
          <cell r="G286">
            <v>47</v>
          </cell>
          <cell r="H286">
            <v>0</v>
          </cell>
          <cell r="I286">
            <v>0</v>
          </cell>
          <cell r="J286">
            <v>14</v>
          </cell>
          <cell r="K286">
            <v>33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55</v>
          </cell>
          <cell r="Q286">
            <v>0</v>
          </cell>
          <cell r="R286">
            <v>55</v>
          </cell>
          <cell r="S286">
            <v>124</v>
          </cell>
          <cell r="T286">
            <v>55</v>
          </cell>
        </row>
        <row r="287">
          <cell r="C287" t="str">
            <v>Census Tract 302.01, King County, Washington</v>
          </cell>
          <cell r="D287">
            <v>220</v>
          </cell>
          <cell r="E287">
            <v>174</v>
          </cell>
          <cell r="F287">
            <v>117</v>
          </cell>
          <cell r="G287">
            <v>46</v>
          </cell>
          <cell r="H287">
            <v>0</v>
          </cell>
          <cell r="I287">
            <v>0</v>
          </cell>
          <cell r="J287">
            <v>20</v>
          </cell>
          <cell r="K287">
            <v>26</v>
          </cell>
          <cell r="L287">
            <v>11</v>
          </cell>
          <cell r="M287">
            <v>11</v>
          </cell>
          <cell r="N287">
            <v>0</v>
          </cell>
          <cell r="O287">
            <v>0</v>
          </cell>
          <cell r="P287">
            <v>46</v>
          </cell>
          <cell r="Q287">
            <v>21</v>
          </cell>
          <cell r="R287">
            <v>25</v>
          </cell>
          <cell r="S287">
            <v>163</v>
          </cell>
          <cell r="T287">
            <v>57</v>
          </cell>
        </row>
        <row r="288">
          <cell r="C288" t="str">
            <v>Census Tract 302.02, King County, Washington</v>
          </cell>
          <cell r="D288">
            <v>58</v>
          </cell>
          <cell r="E288">
            <v>32</v>
          </cell>
          <cell r="F288">
            <v>0</v>
          </cell>
          <cell r="G288">
            <v>23</v>
          </cell>
          <cell r="H288">
            <v>0</v>
          </cell>
          <cell r="I288">
            <v>0</v>
          </cell>
          <cell r="J288">
            <v>0</v>
          </cell>
          <cell r="K288">
            <v>23</v>
          </cell>
          <cell r="L288">
            <v>9</v>
          </cell>
          <cell r="M288">
            <v>9</v>
          </cell>
          <cell r="N288">
            <v>0</v>
          </cell>
          <cell r="O288">
            <v>0</v>
          </cell>
          <cell r="P288">
            <v>26</v>
          </cell>
          <cell r="Q288">
            <v>13</v>
          </cell>
          <cell r="R288">
            <v>13</v>
          </cell>
          <cell r="S288">
            <v>23</v>
          </cell>
          <cell r="T288">
            <v>35</v>
          </cell>
        </row>
        <row r="289">
          <cell r="C289" t="str">
            <v>Census Tract 303.03, King County, Washington</v>
          </cell>
          <cell r="D289">
            <v>239</v>
          </cell>
          <cell r="E289">
            <v>164</v>
          </cell>
          <cell r="F289">
            <v>59</v>
          </cell>
          <cell r="G289">
            <v>95</v>
          </cell>
          <cell r="H289">
            <v>0</v>
          </cell>
          <cell r="I289">
            <v>0</v>
          </cell>
          <cell r="J289">
            <v>36</v>
          </cell>
          <cell r="K289">
            <v>59</v>
          </cell>
          <cell r="L289">
            <v>10</v>
          </cell>
          <cell r="M289">
            <v>0</v>
          </cell>
          <cell r="N289">
            <v>0</v>
          </cell>
          <cell r="O289">
            <v>10</v>
          </cell>
          <cell r="P289">
            <v>75</v>
          </cell>
          <cell r="Q289">
            <v>16</v>
          </cell>
          <cell r="R289">
            <v>59</v>
          </cell>
          <cell r="S289">
            <v>154</v>
          </cell>
          <cell r="T289">
            <v>85</v>
          </cell>
        </row>
        <row r="290">
          <cell r="C290" t="str">
            <v>Census Tract 303.04, King County, Washington</v>
          </cell>
          <cell r="D290">
            <v>96</v>
          </cell>
          <cell r="E290">
            <v>96</v>
          </cell>
          <cell r="F290">
            <v>73</v>
          </cell>
          <cell r="G290">
            <v>23</v>
          </cell>
          <cell r="H290">
            <v>0</v>
          </cell>
          <cell r="I290">
            <v>0</v>
          </cell>
          <cell r="J290">
            <v>6</v>
          </cell>
          <cell r="K290">
            <v>17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96</v>
          </cell>
          <cell r="T290">
            <v>0</v>
          </cell>
        </row>
        <row r="291">
          <cell r="C291" t="str">
            <v>Census Tract 303.05, King County, Washington</v>
          </cell>
          <cell r="D291">
            <v>82</v>
          </cell>
          <cell r="E291">
            <v>82</v>
          </cell>
          <cell r="F291">
            <v>0</v>
          </cell>
          <cell r="G291">
            <v>82</v>
          </cell>
          <cell r="H291">
            <v>0</v>
          </cell>
          <cell r="I291">
            <v>0</v>
          </cell>
          <cell r="J291">
            <v>15</v>
          </cell>
          <cell r="K291">
            <v>67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82</v>
          </cell>
          <cell r="T291">
            <v>0</v>
          </cell>
        </row>
        <row r="292">
          <cell r="C292" t="str">
            <v>Census Tract 303.06, King County, Washington</v>
          </cell>
          <cell r="D292">
            <v>126</v>
          </cell>
          <cell r="E292">
            <v>99</v>
          </cell>
          <cell r="F292">
            <v>28</v>
          </cell>
          <cell r="G292">
            <v>71</v>
          </cell>
          <cell r="H292">
            <v>13</v>
          </cell>
          <cell r="I292">
            <v>0</v>
          </cell>
          <cell r="J292">
            <v>44</v>
          </cell>
          <cell r="K292">
            <v>14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27</v>
          </cell>
          <cell r="Q292">
            <v>20</v>
          </cell>
          <cell r="R292">
            <v>7</v>
          </cell>
          <cell r="S292">
            <v>99</v>
          </cell>
          <cell r="T292">
            <v>27</v>
          </cell>
        </row>
        <row r="293">
          <cell r="C293" t="str">
            <v>Census Tract 303.08, King County, Washington</v>
          </cell>
          <cell r="D293">
            <v>111</v>
          </cell>
          <cell r="E293">
            <v>88</v>
          </cell>
          <cell r="F293">
            <v>33</v>
          </cell>
          <cell r="G293">
            <v>43</v>
          </cell>
          <cell r="H293">
            <v>0</v>
          </cell>
          <cell r="I293">
            <v>0</v>
          </cell>
          <cell r="J293">
            <v>6</v>
          </cell>
          <cell r="K293">
            <v>37</v>
          </cell>
          <cell r="L293">
            <v>12</v>
          </cell>
          <cell r="M293">
            <v>0</v>
          </cell>
          <cell r="N293">
            <v>0</v>
          </cell>
          <cell r="O293">
            <v>12</v>
          </cell>
          <cell r="P293">
            <v>23</v>
          </cell>
          <cell r="Q293">
            <v>4</v>
          </cell>
          <cell r="R293">
            <v>19</v>
          </cell>
          <cell r="S293">
            <v>76</v>
          </cell>
          <cell r="T293">
            <v>35</v>
          </cell>
        </row>
        <row r="294">
          <cell r="C294" t="str">
            <v>Census Tract 303.09, King County, Washington</v>
          </cell>
          <cell r="D294">
            <v>121</v>
          </cell>
          <cell r="E294">
            <v>86</v>
          </cell>
          <cell r="F294">
            <v>25</v>
          </cell>
          <cell r="G294">
            <v>61</v>
          </cell>
          <cell r="H294">
            <v>0</v>
          </cell>
          <cell r="I294">
            <v>0</v>
          </cell>
          <cell r="J294">
            <v>0</v>
          </cell>
          <cell r="K294">
            <v>61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35</v>
          </cell>
          <cell r="Q294">
            <v>0</v>
          </cell>
          <cell r="R294">
            <v>35</v>
          </cell>
          <cell r="S294">
            <v>86</v>
          </cell>
          <cell r="T294">
            <v>35</v>
          </cell>
        </row>
        <row r="295">
          <cell r="C295" t="str">
            <v>Census Tract 303.10, King County, Washington</v>
          </cell>
          <cell r="D295">
            <v>102</v>
          </cell>
          <cell r="E295">
            <v>90</v>
          </cell>
          <cell r="F295">
            <v>6</v>
          </cell>
          <cell r="G295">
            <v>84</v>
          </cell>
          <cell r="H295">
            <v>0</v>
          </cell>
          <cell r="I295">
            <v>0</v>
          </cell>
          <cell r="J295">
            <v>23</v>
          </cell>
          <cell r="K295">
            <v>61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12</v>
          </cell>
          <cell r="Q295">
            <v>12</v>
          </cell>
          <cell r="R295">
            <v>0</v>
          </cell>
          <cell r="S295">
            <v>90</v>
          </cell>
          <cell r="T295">
            <v>12</v>
          </cell>
        </row>
        <row r="296">
          <cell r="C296" t="str">
            <v>Census Tract 303.11, King County, Washington</v>
          </cell>
          <cell r="D296">
            <v>194</v>
          </cell>
          <cell r="E296">
            <v>109</v>
          </cell>
          <cell r="F296">
            <v>75</v>
          </cell>
          <cell r="G296">
            <v>34</v>
          </cell>
          <cell r="H296">
            <v>0</v>
          </cell>
          <cell r="I296">
            <v>0</v>
          </cell>
          <cell r="J296">
            <v>6</v>
          </cell>
          <cell r="K296">
            <v>28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85</v>
          </cell>
          <cell r="Q296">
            <v>0</v>
          </cell>
          <cell r="R296">
            <v>85</v>
          </cell>
          <cell r="S296">
            <v>109</v>
          </cell>
          <cell r="T296">
            <v>85</v>
          </cell>
        </row>
        <row r="297">
          <cell r="C297" t="str">
            <v>Census Tract 303.12, King County, Washington</v>
          </cell>
          <cell r="D297">
            <v>44</v>
          </cell>
          <cell r="E297">
            <v>44</v>
          </cell>
          <cell r="F297">
            <v>24</v>
          </cell>
          <cell r="G297">
            <v>20</v>
          </cell>
          <cell r="H297">
            <v>0</v>
          </cell>
          <cell r="I297">
            <v>0</v>
          </cell>
          <cell r="J297">
            <v>0</v>
          </cell>
          <cell r="K297">
            <v>20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44</v>
          </cell>
          <cell r="T297">
            <v>0</v>
          </cell>
        </row>
        <row r="298">
          <cell r="C298" t="str">
            <v>Census Tract 304.01, King County, Washington</v>
          </cell>
          <cell r="D298">
            <v>83</v>
          </cell>
          <cell r="E298">
            <v>83</v>
          </cell>
          <cell r="F298">
            <v>49</v>
          </cell>
          <cell r="G298">
            <v>34</v>
          </cell>
          <cell r="H298">
            <v>18</v>
          </cell>
          <cell r="I298">
            <v>0</v>
          </cell>
          <cell r="J298">
            <v>0</v>
          </cell>
          <cell r="K298">
            <v>16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83</v>
          </cell>
          <cell r="T298">
            <v>0</v>
          </cell>
        </row>
        <row r="299">
          <cell r="C299" t="str">
            <v>Census Tract 304.03, King County, Washington</v>
          </cell>
          <cell r="D299">
            <v>104</v>
          </cell>
          <cell r="E299">
            <v>104</v>
          </cell>
          <cell r="F299">
            <v>8</v>
          </cell>
          <cell r="G299">
            <v>96</v>
          </cell>
          <cell r="H299">
            <v>0</v>
          </cell>
          <cell r="I299">
            <v>16</v>
          </cell>
          <cell r="J299">
            <v>0</v>
          </cell>
          <cell r="K299">
            <v>80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104</v>
          </cell>
          <cell r="T299">
            <v>0</v>
          </cell>
        </row>
        <row r="300">
          <cell r="C300" t="str">
            <v>Census Tract 304.04, King County, Washington</v>
          </cell>
          <cell r="D300">
            <v>8</v>
          </cell>
          <cell r="E300">
            <v>8</v>
          </cell>
          <cell r="F300">
            <v>8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8</v>
          </cell>
          <cell r="T300">
            <v>0</v>
          </cell>
        </row>
        <row r="301">
          <cell r="C301" t="str">
            <v>Census Tract 305.01, King County, Washington</v>
          </cell>
          <cell r="D301">
            <v>66</v>
          </cell>
          <cell r="E301">
            <v>66</v>
          </cell>
          <cell r="F301">
            <v>31</v>
          </cell>
          <cell r="G301">
            <v>14</v>
          </cell>
          <cell r="H301">
            <v>0</v>
          </cell>
          <cell r="I301">
            <v>0</v>
          </cell>
          <cell r="J301">
            <v>0</v>
          </cell>
          <cell r="K301">
            <v>14</v>
          </cell>
          <cell r="L301">
            <v>21</v>
          </cell>
          <cell r="M301">
            <v>21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45</v>
          </cell>
          <cell r="T301">
            <v>21</v>
          </cell>
        </row>
        <row r="302">
          <cell r="C302" t="str">
            <v>Census Tract 305.03, King County, Washington</v>
          </cell>
          <cell r="D302">
            <v>76</v>
          </cell>
          <cell r="E302">
            <v>40</v>
          </cell>
          <cell r="F302">
            <v>18</v>
          </cell>
          <cell r="G302">
            <v>14</v>
          </cell>
          <cell r="H302">
            <v>0</v>
          </cell>
          <cell r="I302">
            <v>14</v>
          </cell>
          <cell r="J302">
            <v>0</v>
          </cell>
          <cell r="K302">
            <v>0</v>
          </cell>
          <cell r="L302">
            <v>8</v>
          </cell>
          <cell r="M302">
            <v>8</v>
          </cell>
          <cell r="N302">
            <v>0</v>
          </cell>
          <cell r="O302">
            <v>0</v>
          </cell>
          <cell r="P302">
            <v>36</v>
          </cell>
          <cell r="Q302">
            <v>7</v>
          </cell>
          <cell r="R302">
            <v>29</v>
          </cell>
          <cell r="S302">
            <v>32</v>
          </cell>
          <cell r="T302">
            <v>44</v>
          </cell>
        </row>
        <row r="303">
          <cell r="C303" t="str">
            <v>Census Tract 305.04, King County, Washington</v>
          </cell>
          <cell r="D303">
            <v>93</v>
          </cell>
          <cell r="E303">
            <v>36</v>
          </cell>
          <cell r="F303">
            <v>20</v>
          </cell>
          <cell r="G303">
            <v>16</v>
          </cell>
          <cell r="H303">
            <v>0</v>
          </cell>
          <cell r="I303">
            <v>16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57</v>
          </cell>
          <cell r="Q303">
            <v>0</v>
          </cell>
          <cell r="R303">
            <v>57</v>
          </cell>
          <cell r="S303">
            <v>36</v>
          </cell>
          <cell r="T303">
            <v>57</v>
          </cell>
        </row>
        <row r="304">
          <cell r="C304" t="str">
            <v>Census Tract 306, King County, Washington</v>
          </cell>
          <cell r="D304">
            <v>206</v>
          </cell>
          <cell r="E304">
            <v>163</v>
          </cell>
          <cell r="F304">
            <v>106</v>
          </cell>
          <cell r="G304">
            <v>47</v>
          </cell>
          <cell r="H304">
            <v>0</v>
          </cell>
          <cell r="I304">
            <v>10</v>
          </cell>
          <cell r="J304">
            <v>0</v>
          </cell>
          <cell r="K304">
            <v>37</v>
          </cell>
          <cell r="L304">
            <v>10</v>
          </cell>
          <cell r="M304">
            <v>10</v>
          </cell>
          <cell r="N304">
            <v>0</v>
          </cell>
          <cell r="O304">
            <v>0</v>
          </cell>
          <cell r="P304">
            <v>43</v>
          </cell>
          <cell r="Q304">
            <v>9</v>
          </cell>
          <cell r="R304">
            <v>34</v>
          </cell>
          <cell r="S304">
            <v>153</v>
          </cell>
          <cell r="T304">
            <v>53</v>
          </cell>
        </row>
        <row r="305">
          <cell r="C305" t="str">
            <v>Census Tract 307, King County, Washington</v>
          </cell>
          <cell r="D305">
            <v>99</v>
          </cell>
          <cell r="E305">
            <v>72</v>
          </cell>
          <cell r="F305">
            <v>39</v>
          </cell>
          <cell r="G305">
            <v>33</v>
          </cell>
          <cell r="H305">
            <v>0</v>
          </cell>
          <cell r="I305">
            <v>10</v>
          </cell>
          <cell r="J305">
            <v>0</v>
          </cell>
          <cell r="K305">
            <v>23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27</v>
          </cell>
          <cell r="Q305">
            <v>7</v>
          </cell>
          <cell r="R305">
            <v>20</v>
          </cell>
          <cell r="S305">
            <v>72</v>
          </cell>
          <cell r="T305">
            <v>27</v>
          </cell>
        </row>
        <row r="306">
          <cell r="C306" t="str">
            <v>Census Tract 308.01, King County, Washington</v>
          </cell>
          <cell r="D306">
            <v>279</v>
          </cell>
          <cell r="E306">
            <v>232</v>
          </cell>
          <cell r="F306">
            <v>100</v>
          </cell>
          <cell r="G306">
            <v>132</v>
          </cell>
          <cell r="H306">
            <v>0</v>
          </cell>
          <cell r="I306">
            <v>0</v>
          </cell>
          <cell r="J306">
            <v>28</v>
          </cell>
          <cell r="K306">
            <v>104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47</v>
          </cell>
          <cell r="Q306">
            <v>47</v>
          </cell>
          <cell r="R306">
            <v>0</v>
          </cell>
          <cell r="S306">
            <v>232</v>
          </cell>
          <cell r="T306">
            <v>47</v>
          </cell>
        </row>
        <row r="307">
          <cell r="C307" t="str">
            <v>Census Tract 308.02, King County, Washington</v>
          </cell>
          <cell r="D307">
            <v>35</v>
          </cell>
          <cell r="E307">
            <v>35</v>
          </cell>
          <cell r="F307">
            <v>11</v>
          </cell>
          <cell r="G307">
            <v>24</v>
          </cell>
          <cell r="H307">
            <v>0</v>
          </cell>
          <cell r="I307">
            <v>0</v>
          </cell>
          <cell r="J307">
            <v>0</v>
          </cell>
          <cell r="K307">
            <v>24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35</v>
          </cell>
          <cell r="T307">
            <v>0</v>
          </cell>
        </row>
        <row r="308">
          <cell r="C308" t="str">
            <v>Census Tract 309.01, King County, Washington</v>
          </cell>
          <cell r="D308">
            <v>121</v>
          </cell>
          <cell r="E308">
            <v>75</v>
          </cell>
          <cell r="F308">
            <v>45</v>
          </cell>
          <cell r="G308">
            <v>30</v>
          </cell>
          <cell r="H308">
            <v>0</v>
          </cell>
          <cell r="I308">
            <v>0</v>
          </cell>
          <cell r="J308">
            <v>0</v>
          </cell>
          <cell r="K308">
            <v>30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46</v>
          </cell>
          <cell r="Q308">
            <v>11</v>
          </cell>
          <cell r="R308">
            <v>35</v>
          </cell>
          <cell r="S308">
            <v>75</v>
          </cell>
          <cell r="T308">
            <v>46</v>
          </cell>
        </row>
        <row r="309">
          <cell r="C309" t="str">
            <v>Census Tract 309.02, King County, Washington</v>
          </cell>
          <cell r="D309">
            <v>112</v>
          </cell>
          <cell r="E309">
            <v>94</v>
          </cell>
          <cell r="F309">
            <v>23</v>
          </cell>
          <cell r="G309">
            <v>65</v>
          </cell>
          <cell r="H309">
            <v>0</v>
          </cell>
          <cell r="I309">
            <v>0</v>
          </cell>
          <cell r="J309">
            <v>0</v>
          </cell>
          <cell r="K309">
            <v>65</v>
          </cell>
          <cell r="L309">
            <v>6</v>
          </cell>
          <cell r="M309">
            <v>0</v>
          </cell>
          <cell r="N309">
            <v>0</v>
          </cell>
          <cell r="O309">
            <v>6</v>
          </cell>
          <cell r="P309">
            <v>18</v>
          </cell>
          <cell r="Q309">
            <v>5</v>
          </cell>
          <cell r="R309">
            <v>13</v>
          </cell>
          <cell r="S309">
            <v>88</v>
          </cell>
          <cell r="T309">
            <v>24</v>
          </cell>
        </row>
        <row r="310">
          <cell r="C310" t="str">
            <v>Census Tract 310, King County, Washington</v>
          </cell>
          <cell r="D310">
            <v>90</v>
          </cell>
          <cell r="E310">
            <v>79</v>
          </cell>
          <cell r="F310">
            <v>25</v>
          </cell>
          <cell r="G310">
            <v>49</v>
          </cell>
          <cell r="H310">
            <v>0</v>
          </cell>
          <cell r="I310">
            <v>0</v>
          </cell>
          <cell r="J310">
            <v>0</v>
          </cell>
          <cell r="K310">
            <v>49</v>
          </cell>
          <cell r="L310">
            <v>5</v>
          </cell>
          <cell r="M310">
            <v>5</v>
          </cell>
          <cell r="N310">
            <v>0</v>
          </cell>
          <cell r="O310">
            <v>0</v>
          </cell>
          <cell r="P310">
            <v>11</v>
          </cell>
          <cell r="Q310">
            <v>11</v>
          </cell>
          <cell r="R310">
            <v>0</v>
          </cell>
          <cell r="S310">
            <v>74</v>
          </cell>
          <cell r="T310">
            <v>16</v>
          </cell>
        </row>
        <row r="311">
          <cell r="C311" t="str">
            <v>Census Tract 311, King County, Washington</v>
          </cell>
          <cell r="D311">
            <v>121</v>
          </cell>
          <cell r="E311">
            <v>96</v>
          </cell>
          <cell r="F311">
            <v>57</v>
          </cell>
          <cell r="G311">
            <v>39</v>
          </cell>
          <cell r="H311">
            <v>2</v>
          </cell>
          <cell r="I311">
            <v>14</v>
          </cell>
          <cell r="J311">
            <v>0</v>
          </cell>
          <cell r="K311">
            <v>23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25</v>
          </cell>
          <cell r="Q311">
            <v>8</v>
          </cell>
          <cell r="R311">
            <v>17</v>
          </cell>
          <cell r="S311">
            <v>96</v>
          </cell>
          <cell r="T311">
            <v>25</v>
          </cell>
        </row>
        <row r="312">
          <cell r="C312" t="str">
            <v>Census Tract 312.02, King County, Washington</v>
          </cell>
          <cell r="D312">
            <v>68</v>
          </cell>
          <cell r="E312">
            <v>37</v>
          </cell>
          <cell r="F312">
            <v>24</v>
          </cell>
          <cell r="G312">
            <v>1</v>
          </cell>
          <cell r="H312">
            <v>0</v>
          </cell>
          <cell r="I312">
            <v>0</v>
          </cell>
          <cell r="J312">
            <v>1</v>
          </cell>
          <cell r="K312">
            <v>0</v>
          </cell>
          <cell r="L312">
            <v>12</v>
          </cell>
          <cell r="M312">
            <v>12</v>
          </cell>
          <cell r="N312">
            <v>0</v>
          </cell>
          <cell r="O312">
            <v>0</v>
          </cell>
          <cell r="P312">
            <v>31</v>
          </cell>
          <cell r="Q312">
            <v>16</v>
          </cell>
          <cell r="R312">
            <v>15</v>
          </cell>
          <cell r="S312">
            <v>25</v>
          </cell>
          <cell r="T312">
            <v>43</v>
          </cell>
        </row>
        <row r="313">
          <cell r="C313" t="str">
            <v>Census Tract 312.04, King County, Washington</v>
          </cell>
          <cell r="D313">
            <v>19</v>
          </cell>
          <cell r="E313">
            <v>6</v>
          </cell>
          <cell r="F313">
            <v>0</v>
          </cell>
          <cell r="G313">
            <v>6</v>
          </cell>
          <cell r="H313">
            <v>0</v>
          </cell>
          <cell r="I313">
            <v>6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13</v>
          </cell>
          <cell r="Q313">
            <v>13</v>
          </cell>
          <cell r="R313">
            <v>0</v>
          </cell>
          <cell r="S313">
            <v>6</v>
          </cell>
          <cell r="T313">
            <v>13</v>
          </cell>
        </row>
        <row r="314">
          <cell r="C314" t="str">
            <v>Census Tract 312.05, King County, Washington</v>
          </cell>
          <cell r="D314">
            <v>40</v>
          </cell>
          <cell r="E314">
            <v>40</v>
          </cell>
          <cell r="F314">
            <v>0</v>
          </cell>
          <cell r="G314">
            <v>40</v>
          </cell>
          <cell r="H314">
            <v>0</v>
          </cell>
          <cell r="I314">
            <v>0</v>
          </cell>
          <cell r="J314">
            <v>15</v>
          </cell>
          <cell r="K314">
            <v>25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40</v>
          </cell>
          <cell r="T314">
            <v>0</v>
          </cell>
        </row>
        <row r="315">
          <cell r="C315" t="str">
            <v>Census Tract 312.06, King County, Washington</v>
          </cell>
          <cell r="D315">
            <v>187</v>
          </cell>
          <cell r="E315">
            <v>163</v>
          </cell>
          <cell r="F315">
            <v>78</v>
          </cell>
          <cell r="G315">
            <v>77</v>
          </cell>
          <cell r="H315">
            <v>12</v>
          </cell>
          <cell r="I315">
            <v>0</v>
          </cell>
          <cell r="J315">
            <v>0</v>
          </cell>
          <cell r="K315">
            <v>65</v>
          </cell>
          <cell r="L315">
            <v>8</v>
          </cell>
          <cell r="M315">
            <v>0</v>
          </cell>
          <cell r="N315">
            <v>0</v>
          </cell>
          <cell r="O315">
            <v>8</v>
          </cell>
          <cell r="P315">
            <v>24</v>
          </cell>
          <cell r="Q315">
            <v>12</v>
          </cell>
          <cell r="R315">
            <v>12</v>
          </cell>
          <cell r="S315">
            <v>155</v>
          </cell>
          <cell r="T315">
            <v>32</v>
          </cell>
        </row>
        <row r="316">
          <cell r="C316" t="str">
            <v>Census Tract 313.01, King County, Washington</v>
          </cell>
          <cell r="D316">
            <v>93</v>
          </cell>
          <cell r="E316">
            <v>64</v>
          </cell>
          <cell r="F316">
            <v>39</v>
          </cell>
          <cell r="G316">
            <v>25</v>
          </cell>
          <cell r="H316">
            <v>0</v>
          </cell>
          <cell r="I316">
            <v>0</v>
          </cell>
          <cell r="J316">
            <v>19</v>
          </cell>
          <cell r="K316">
            <v>6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29</v>
          </cell>
          <cell r="Q316">
            <v>13</v>
          </cell>
          <cell r="R316">
            <v>16</v>
          </cell>
          <cell r="S316">
            <v>64</v>
          </cell>
          <cell r="T316">
            <v>29</v>
          </cell>
        </row>
        <row r="317">
          <cell r="C317" t="str">
            <v>Census Tract 313.02, King County, Washington</v>
          </cell>
          <cell r="D317">
            <v>115</v>
          </cell>
          <cell r="E317">
            <v>115</v>
          </cell>
          <cell r="F317">
            <v>45</v>
          </cell>
          <cell r="G317">
            <v>70</v>
          </cell>
          <cell r="H317">
            <v>0</v>
          </cell>
          <cell r="I317">
            <v>0</v>
          </cell>
          <cell r="J317">
            <v>8</v>
          </cell>
          <cell r="K317">
            <v>62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115</v>
          </cell>
          <cell r="T317">
            <v>0</v>
          </cell>
        </row>
        <row r="318">
          <cell r="C318" t="str">
            <v>Census Tract 314, King County, Washington</v>
          </cell>
          <cell r="D318">
            <v>118</v>
          </cell>
          <cell r="E318">
            <v>108</v>
          </cell>
          <cell r="F318">
            <v>31</v>
          </cell>
          <cell r="G318">
            <v>74</v>
          </cell>
          <cell r="H318">
            <v>0</v>
          </cell>
          <cell r="I318">
            <v>4</v>
          </cell>
          <cell r="J318">
            <v>5</v>
          </cell>
          <cell r="K318">
            <v>65</v>
          </cell>
          <cell r="L318">
            <v>3</v>
          </cell>
          <cell r="M318">
            <v>3</v>
          </cell>
          <cell r="N318">
            <v>0</v>
          </cell>
          <cell r="O318">
            <v>0</v>
          </cell>
          <cell r="P318">
            <v>10</v>
          </cell>
          <cell r="Q318">
            <v>6</v>
          </cell>
          <cell r="R318">
            <v>4</v>
          </cell>
          <cell r="S318">
            <v>105</v>
          </cell>
          <cell r="T318">
            <v>13</v>
          </cell>
        </row>
        <row r="319">
          <cell r="C319" t="str">
            <v>Census Tract 315.01, King County, Washington</v>
          </cell>
          <cell r="D319">
            <v>14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14</v>
          </cell>
          <cell r="Q319">
            <v>0</v>
          </cell>
          <cell r="R319">
            <v>14</v>
          </cell>
          <cell r="S319">
            <v>0</v>
          </cell>
          <cell r="T319">
            <v>14</v>
          </cell>
        </row>
        <row r="320">
          <cell r="C320" t="str">
            <v>Census Tract 315.02, King County, Washington</v>
          </cell>
          <cell r="D320">
            <v>52</v>
          </cell>
          <cell r="E320">
            <v>52</v>
          </cell>
          <cell r="F320">
            <v>21</v>
          </cell>
          <cell r="G320">
            <v>31</v>
          </cell>
          <cell r="H320">
            <v>5</v>
          </cell>
          <cell r="I320">
            <v>0</v>
          </cell>
          <cell r="J320">
            <v>0</v>
          </cell>
          <cell r="K320">
            <v>26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52</v>
          </cell>
          <cell r="T320">
            <v>0</v>
          </cell>
        </row>
        <row r="321">
          <cell r="C321" t="str">
            <v>Census Tract 316.01, King County, Washington</v>
          </cell>
          <cell r="D321">
            <v>103</v>
          </cell>
          <cell r="E321">
            <v>69</v>
          </cell>
          <cell r="F321">
            <v>65</v>
          </cell>
          <cell r="G321">
            <v>4</v>
          </cell>
          <cell r="H321">
            <v>0</v>
          </cell>
          <cell r="I321">
            <v>0</v>
          </cell>
          <cell r="J321">
            <v>4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34</v>
          </cell>
          <cell r="Q321">
            <v>0</v>
          </cell>
          <cell r="R321">
            <v>34</v>
          </cell>
          <cell r="S321">
            <v>69</v>
          </cell>
          <cell r="T321">
            <v>34</v>
          </cell>
        </row>
        <row r="322">
          <cell r="C322" t="str">
            <v>Census Tract 316.02, King County, Washington</v>
          </cell>
          <cell r="D322">
            <v>94</v>
          </cell>
          <cell r="E322">
            <v>89</v>
          </cell>
          <cell r="F322">
            <v>66</v>
          </cell>
          <cell r="G322">
            <v>23</v>
          </cell>
          <cell r="H322">
            <v>0</v>
          </cell>
          <cell r="I322">
            <v>0</v>
          </cell>
          <cell r="J322">
            <v>6</v>
          </cell>
          <cell r="K322">
            <v>17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5</v>
          </cell>
          <cell r="Q322">
            <v>0</v>
          </cell>
          <cell r="R322">
            <v>5</v>
          </cell>
          <cell r="S322">
            <v>89</v>
          </cell>
          <cell r="T322">
            <v>5</v>
          </cell>
        </row>
        <row r="323">
          <cell r="C323" t="str">
            <v>Census Tract 316.03, King County, Washington</v>
          </cell>
          <cell r="D323">
            <v>178</v>
          </cell>
          <cell r="E323">
            <v>111</v>
          </cell>
          <cell r="F323">
            <v>68</v>
          </cell>
          <cell r="G323">
            <v>43</v>
          </cell>
          <cell r="H323">
            <v>0</v>
          </cell>
          <cell r="I323">
            <v>11</v>
          </cell>
          <cell r="J323">
            <v>0</v>
          </cell>
          <cell r="K323">
            <v>32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67</v>
          </cell>
          <cell r="Q323">
            <v>13</v>
          </cell>
          <cell r="R323">
            <v>54</v>
          </cell>
          <cell r="S323">
            <v>111</v>
          </cell>
          <cell r="T323">
            <v>67</v>
          </cell>
        </row>
        <row r="324">
          <cell r="C324" t="str">
            <v>Census Tract 317.02, King County, Washington</v>
          </cell>
          <cell r="D324">
            <v>140</v>
          </cell>
          <cell r="E324">
            <v>135</v>
          </cell>
          <cell r="F324">
            <v>81</v>
          </cell>
          <cell r="G324">
            <v>50</v>
          </cell>
          <cell r="H324">
            <v>5</v>
          </cell>
          <cell r="I324">
            <v>0</v>
          </cell>
          <cell r="J324">
            <v>0</v>
          </cell>
          <cell r="K324">
            <v>45</v>
          </cell>
          <cell r="L324">
            <v>4</v>
          </cell>
          <cell r="M324">
            <v>0</v>
          </cell>
          <cell r="N324">
            <v>0</v>
          </cell>
          <cell r="O324">
            <v>4</v>
          </cell>
          <cell r="P324">
            <v>5</v>
          </cell>
          <cell r="Q324">
            <v>0</v>
          </cell>
          <cell r="R324">
            <v>5</v>
          </cell>
          <cell r="S324">
            <v>131</v>
          </cell>
          <cell r="T324">
            <v>9</v>
          </cell>
        </row>
        <row r="325">
          <cell r="C325" t="str">
            <v>Census Tract 317.03, King County, Washington</v>
          </cell>
          <cell r="D325">
            <v>98</v>
          </cell>
          <cell r="E325">
            <v>98</v>
          </cell>
          <cell r="F325">
            <v>25</v>
          </cell>
          <cell r="G325">
            <v>73</v>
          </cell>
          <cell r="H325">
            <v>0</v>
          </cell>
          <cell r="I325">
            <v>19</v>
          </cell>
          <cell r="J325">
            <v>0</v>
          </cell>
          <cell r="K325">
            <v>54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98</v>
          </cell>
          <cell r="T325">
            <v>0</v>
          </cell>
        </row>
        <row r="326">
          <cell r="C326" t="str">
            <v>Census Tract 317.04, King County, Washington</v>
          </cell>
          <cell r="D326">
            <v>9</v>
          </cell>
          <cell r="E326">
            <v>9</v>
          </cell>
          <cell r="F326">
            <v>0</v>
          </cell>
          <cell r="G326">
            <v>9</v>
          </cell>
          <cell r="H326">
            <v>0</v>
          </cell>
          <cell r="I326">
            <v>0</v>
          </cell>
          <cell r="J326">
            <v>9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9</v>
          </cell>
          <cell r="T326">
            <v>0</v>
          </cell>
        </row>
        <row r="327">
          <cell r="C327" t="str">
            <v>Census Tract 318, King County, Washington</v>
          </cell>
          <cell r="D327">
            <v>52</v>
          </cell>
          <cell r="E327">
            <v>52</v>
          </cell>
          <cell r="F327">
            <v>12</v>
          </cell>
          <cell r="G327">
            <v>40</v>
          </cell>
          <cell r="H327">
            <v>0</v>
          </cell>
          <cell r="I327">
            <v>7</v>
          </cell>
          <cell r="J327">
            <v>6</v>
          </cell>
          <cell r="K327">
            <v>27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52</v>
          </cell>
          <cell r="T327">
            <v>0</v>
          </cell>
        </row>
        <row r="328">
          <cell r="C328" t="str">
            <v>Census Tract 319.03, King County, Washington</v>
          </cell>
          <cell r="D328">
            <v>145</v>
          </cell>
          <cell r="E328">
            <v>55</v>
          </cell>
          <cell r="F328">
            <v>28</v>
          </cell>
          <cell r="G328">
            <v>27</v>
          </cell>
          <cell r="H328">
            <v>0</v>
          </cell>
          <cell r="I328">
            <v>0</v>
          </cell>
          <cell r="J328">
            <v>9</v>
          </cell>
          <cell r="K328">
            <v>18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90</v>
          </cell>
          <cell r="Q328">
            <v>38</v>
          </cell>
          <cell r="R328">
            <v>52</v>
          </cell>
          <cell r="S328">
            <v>55</v>
          </cell>
          <cell r="T328">
            <v>90</v>
          </cell>
        </row>
        <row r="329">
          <cell r="C329" t="str">
            <v>Census Tract 319.04, King County, Washington</v>
          </cell>
          <cell r="D329">
            <v>73</v>
          </cell>
          <cell r="E329">
            <v>73</v>
          </cell>
          <cell r="F329">
            <v>52</v>
          </cell>
          <cell r="G329">
            <v>21</v>
          </cell>
          <cell r="H329">
            <v>6</v>
          </cell>
          <cell r="I329">
            <v>0</v>
          </cell>
          <cell r="J329">
            <v>0</v>
          </cell>
          <cell r="K329">
            <v>15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73</v>
          </cell>
          <cell r="T329">
            <v>0</v>
          </cell>
        </row>
        <row r="330">
          <cell r="C330" t="str">
            <v>Census Tract 319.06, King County, Washington</v>
          </cell>
          <cell r="D330">
            <v>49</v>
          </cell>
          <cell r="E330">
            <v>41</v>
          </cell>
          <cell r="F330">
            <v>22</v>
          </cell>
          <cell r="G330">
            <v>19</v>
          </cell>
          <cell r="H330">
            <v>0</v>
          </cell>
          <cell r="I330">
            <v>4</v>
          </cell>
          <cell r="J330">
            <v>0</v>
          </cell>
          <cell r="K330">
            <v>15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8</v>
          </cell>
          <cell r="Q330">
            <v>0</v>
          </cell>
          <cell r="R330">
            <v>8</v>
          </cell>
          <cell r="S330">
            <v>41</v>
          </cell>
          <cell r="T330">
            <v>8</v>
          </cell>
        </row>
        <row r="331">
          <cell r="C331" t="str">
            <v>Census Tract 319.07, King County, Washington</v>
          </cell>
          <cell r="D331">
            <v>90</v>
          </cell>
          <cell r="E331">
            <v>73</v>
          </cell>
          <cell r="F331">
            <v>46</v>
          </cell>
          <cell r="G331">
            <v>27</v>
          </cell>
          <cell r="H331">
            <v>0</v>
          </cell>
          <cell r="I331">
            <v>0</v>
          </cell>
          <cell r="J331">
            <v>0</v>
          </cell>
          <cell r="K331">
            <v>27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17</v>
          </cell>
          <cell r="Q331">
            <v>6</v>
          </cell>
          <cell r="R331">
            <v>11</v>
          </cell>
          <cell r="S331">
            <v>73</v>
          </cell>
          <cell r="T331">
            <v>17</v>
          </cell>
        </row>
        <row r="332">
          <cell r="C332" t="str">
            <v>Census Tract 319.08, King County, Washington</v>
          </cell>
          <cell r="D332">
            <v>100</v>
          </cell>
          <cell r="E332">
            <v>91</v>
          </cell>
          <cell r="F332">
            <v>61</v>
          </cell>
          <cell r="G332">
            <v>30</v>
          </cell>
          <cell r="H332">
            <v>0</v>
          </cell>
          <cell r="I332">
            <v>10</v>
          </cell>
          <cell r="J332">
            <v>0</v>
          </cell>
          <cell r="K332">
            <v>20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9</v>
          </cell>
          <cell r="Q332">
            <v>9</v>
          </cell>
          <cell r="R332">
            <v>0</v>
          </cell>
          <cell r="S332">
            <v>91</v>
          </cell>
          <cell r="T332">
            <v>9</v>
          </cell>
        </row>
        <row r="333">
          <cell r="C333" t="str">
            <v>Census Tract 319.09, King County, Washington</v>
          </cell>
          <cell r="D333">
            <v>20</v>
          </cell>
          <cell r="E333">
            <v>20</v>
          </cell>
          <cell r="F333">
            <v>20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20</v>
          </cell>
          <cell r="T333">
            <v>0</v>
          </cell>
        </row>
        <row r="334">
          <cell r="C334" t="str">
            <v>Census Tract 320.02, King County, Washington</v>
          </cell>
          <cell r="D334">
            <v>11</v>
          </cell>
          <cell r="E334">
            <v>11</v>
          </cell>
          <cell r="F334">
            <v>0</v>
          </cell>
          <cell r="G334">
            <v>11</v>
          </cell>
          <cell r="H334">
            <v>0</v>
          </cell>
          <cell r="I334">
            <v>0</v>
          </cell>
          <cell r="J334">
            <v>8</v>
          </cell>
          <cell r="K334">
            <v>3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11</v>
          </cell>
          <cell r="T334">
            <v>0</v>
          </cell>
        </row>
        <row r="335">
          <cell r="C335" t="str">
            <v>Census Tract 320.03, King County, Washington</v>
          </cell>
          <cell r="D335">
            <v>82</v>
          </cell>
          <cell r="E335">
            <v>65</v>
          </cell>
          <cell r="F335">
            <v>31</v>
          </cell>
          <cell r="G335">
            <v>34</v>
          </cell>
          <cell r="H335">
            <v>0</v>
          </cell>
          <cell r="I335">
            <v>0</v>
          </cell>
          <cell r="J335">
            <v>10</v>
          </cell>
          <cell r="K335">
            <v>24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17</v>
          </cell>
          <cell r="Q335">
            <v>5</v>
          </cell>
          <cell r="R335">
            <v>12</v>
          </cell>
          <cell r="S335">
            <v>65</v>
          </cell>
          <cell r="T335">
            <v>17</v>
          </cell>
        </row>
        <row r="336">
          <cell r="C336" t="str">
            <v>Census Tract 320.05, King County, Washington</v>
          </cell>
          <cell r="D336">
            <v>100</v>
          </cell>
          <cell r="E336">
            <v>100</v>
          </cell>
          <cell r="F336">
            <v>50</v>
          </cell>
          <cell r="G336">
            <v>50</v>
          </cell>
          <cell r="H336">
            <v>7</v>
          </cell>
          <cell r="I336">
            <v>0</v>
          </cell>
          <cell r="J336">
            <v>25</v>
          </cell>
          <cell r="K336">
            <v>18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100</v>
          </cell>
          <cell r="T336">
            <v>0</v>
          </cell>
        </row>
        <row r="337">
          <cell r="C337" t="str">
            <v>Census Tract 320.06, King County, Washington</v>
          </cell>
          <cell r="D337">
            <v>55</v>
          </cell>
          <cell r="E337">
            <v>38</v>
          </cell>
          <cell r="F337">
            <v>6</v>
          </cell>
          <cell r="G337">
            <v>32</v>
          </cell>
          <cell r="H337">
            <v>0</v>
          </cell>
          <cell r="I337">
            <v>7</v>
          </cell>
          <cell r="J337">
            <v>0</v>
          </cell>
          <cell r="K337">
            <v>25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17</v>
          </cell>
          <cell r="Q337">
            <v>11</v>
          </cell>
          <cell r="R337">
            <v>6</v>
          </cell>
          <cell r="S337">
            <v>38</v>
          </cell>
          <cell r="T337">
            <v>17</v>
          </cell>
        </row>
        <row r="338">
          <cell r="C338" t="str">
            <v>Census Tract 320.07, King County, Washington</v>
          </cell>
          <cell r="D338">
            <v>12</v>
          </cell>
          <cell r="E338">
            <v>12</v>
          </cell>
          <cell r="F338">
            <v>0</v>
          </cell>
          <cell r="G338">
            <v>12</v>
          </cell>
          <cell r="H338">
            <v>0</v>
          </cell>
          <cell r="I338">
            <v>0</v>
          </cell>
          <cell r="J338">
            <v>0</v>
          </cell>
          <cell r="K338">
            <v>12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12</v>
          </cell>
          <cell r="T338">
            <v>0</v>
          </cell>
        </row>
        <row r="339">
          <cell r="C339" t="str">
            <v>Census Tract 320.08, King County, Washington</v>
          </cell>
          <cell r="D339">
            <v>64</v>
          </cell>
          <cell r="E339">
            <v>64</v>
          </cell>
          <cell r="F339">
            <v>26</v>
          </cell>
          <cell r="G339">
            <v>38</v>
          </cell>
          <cell r="H339">
            <v>0</v>
          </cell>
          <cell r="I339">
            <v>0</v>
          </cell>
          <cell r="J339">
            <v>12</v>
          </cell>
          <cell r="K339">
            <v>26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64</v>
          </cell>
          <cell r="T339">
            <v>0</v>
          </cell>
        </row>
        <row r="340">
          <cell r="C340" t="str">
            <v>Census Tract 320.09, King County, Washington</v>
          </cell>
          <cell r="D340">
            <v>89</v>
          </cell>
          <cell r="E340">
            <v>66</v>
          </cell>
          <cell r="F340">
            <v>23</v>
          </cell>
          <cell r="G340">
            <v>43</v>
          </cell>
          <cell r="H340">
            <v>10</v>
          </cell>
          <cell r="I340">
            <v>0</v>
          </cell>
          <cell r="J340">
            <v>0</v>
          </cell>
          <cell r="K340">
            <v>33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23</v>
          </cell>
          <cell r="Q340">
            <v>0</v>
          </cell>
          <cell r="R340">
            <v>23</v>
          </cell>
          <cell r="S340">
            <v>66</v>
          </cell>
          <cell r="T340">
            <v>23</v>
          </cell>
        </row>
        <row r="341">
          <cell r="C341" t="str">
            <v>Census Tract 321.02, King County, Washington</v>
          </cell>
          <cell r="D341">
            <v>37</v>
          </cell>
          <cell r="E341">
            <v>27</v>
          </cell>
          <cell r="F341">
            <v>15</v>
          </cell>
          <cell r="G341">
            <v>12</v>
          </cell>
          <cell r="H341">
            <v>0</v>
          </cell>
          <cell r="I341">
            <v>0</v>
          </cell>
          <cell r="J341">
            <v>0</v>
          </cell>
          <cell r="K341">
            <v>12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10</v>
          </cell>
          <cell r="Q341">
            <v>10</v>
          </cell>
          <cell r="R341">
            <v>0</v>
          </cell>
          <cell r="S341">
            <v>27</v>
          </cell>
          <cell r="T341">
            <v>10</v>
          </cell>
        </row>
        <row r="342">
          <cell r="C342" t="str">
            <v>Census Tract 321.03, King County, Washington</v>
          </cell>
          <cell r="D342">
            <v>196</v>
          </cell>
          <cell r="E342">
            <v>34</v>
          </cell>
          <cell r="F342">
            <v>9</v>
          </cell>
          <cell r="G342">
            <v>25</v>
          </cell>
          <cell r="H342">
            <v>0</v>
          </cell>
          <cell r="I342">
            <v>0</v>
          </cell>
          <cell r="J342">
            <v>10</v>
          </cell>
          <cell r="K342">
            <v>15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162</v>
          </cell>
          <cell r="Q342">
            <v>14</v>
          </cell>
          <cell r="R342">
            <v>148</v>
          </cell>
          <cell r="S342">
            <v>34</v>
          </cell>
          <cell r="T342">
            <v>162</v>
          </cell>
        </row>
        <row r="343">
          <cell r="C343" t="str">
            <v>Census Tract 321.04, King County, Washington</v>
          </cell>
          <cell r="D343">
            <v>176</v>
          </cell>
          <cell r="E343">
            <v>93</v>
          </cell>
          <cell r="F343">
            <v>43</v>
          </cell>
          <cell r="G343">
            <v>50</v>
          </cell>
          <cell r="H343">
            <v>0</v>
          </cell>
          <cell r="I343">
            <v>0</v>
          </cell>
          <cell r="J343">
            <v>17</v>
          </cell>
          <cell r="K343">
            <v>33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83</v>
          </cell>
          <cell r="Q343">
            <v>19</v>
          </cell>
          <cell r="R343">
            <v>64</v>
          </cell>
          <cell r="S343">
            <v>93</v>
          </cell>
          <cell r="T343">
            <v>83</v>
          </cell>
        </row>
        <row r="344">
          <cell r="C344" t="str">
            <v>Census Tract 322.03, King County, Washington</v>
          </cell>
          <cell r="D344">
            <v>52</v>
          </cell>
          <cell r="E344">
            <v>52</v>
          </cell>
          <cell r="F344">
            <v>10</v>
          </cell>
          <cell r="G344">
            <v>42</v>
          </cell>
          <cell r="H344">
            <v>9</v>
          </cell>
          <cell r="I344">
            <v>0</v>
          </cell>
          <cell r="J344">
            <v>7</v>
          </cell>
          <cell r="K344">
            <v>26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52</v>
          </cell>
          <cell r="T344">
            <v>0</v>
          </cell>
        </row>
        <row r="345">
          <cell r="C345" t="str">
            <v>Census Tract 322.07, King County, Washington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C346" t="str">
            <v>Census Tract 322.08, King County, Washington</v>
          </cell>
          <cell r="D346">
            <v>42</v>
          </cell>
          <cell r="E346">
            <v>26</v>
          </cell>
          <cell r="F346">
            <v>7</v>
          </cell>
          <cell r="G346">
            <v>19</v>
          </cell>
          <cell r="H346">
            <v>0</v>
          </cell>
          <cell r="I346">
            <v>0</v>
          </cell>
          <cell r="J346">
            <v>14</v>
          </cell>
          <cell r="K346">
            <v>5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16</v>
          </cell>
          <cell r="Q346">
            <v>7</v>
          </cell>
          <cell r="R346">
            <v>9</v>
          </cell>
          <cell r="S346">
            <v>26</v>
          </cell>
          <cell r="T346">
            <v>16</v>
          </cell>
        </row>
        <row r="347">
          <cell r="C347" t="str">
            <v>Census Tract 322.09, King County, Washington</v>
          </cell>
          <cell r="D347">
            <v>206</v>
          </cell>
          <cell r="E347">
            <v>179</v>
          </cell>
          <cell r="F347">
            <v>79</v>
          </cell>
          <cell r="G347">
            <v>86</v>
          </cell>
          <cell r="H347">
            <v>0</v>
          </cell>
          <cell r="I347">
            <v>20</v>
          </cell>
          <cell r="J347">
            <v>0</v>
          </cell>
          <cell r="K347">
            <v>66</v>
          </cell>
          <cell r="L347">
            <v>14</v>
          </cell>
          <cell r="M347">
            <v>0</v>
          </cell>
          <cell r="N347">
            <v>0</v>
          </cell>
          <cell r="O347">
            <v>14</v>
          </cell>
          <cell r="P347">
            <v>27</v>
          </cell>
          <cell r="Q347">
            <v>27</v>
          </cell>
          <cell r="R347">
            <v>0</v>
          </cell>
          <cell r="S347">
            <v>165</v>
          </cell>
          <cell r="T347">
            <v>41</v>
          </cell>
        </row>
        <row r="348">
          <cell r="C348" t="str">
            <v>Census Tract 322.10, King County, Washington</v>
          </cell>
          <cell r="D348">
            <v>29</v>
          </cell>
          <cell r="E348">
            <v>29</v>
          </cell>
          <cell r="F348">
            <v>19</v>
          </cell>
          <cell r="G348">
            <v>10</v>
          </cell>
          <cell r="H348">
            <v>0</v>
          </cell>
          <cell r="I348">
            <v>10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29</v>
          </cell>
          <cell r="T348">
            <v>0</v>
          </cell>
        </row>
        <row r="349">
          <cell r="C349" t="str">
            <v>Census Tract 322.11, King County, Washington</v>
          </cell>
          <cell r="D349">
            <v>64</v>
          </cell>
          <cell r="E349">
            <v>64</v>
          </cell>
          <cell r="F349">
            <v>20</v>
          </cell>
          <cell r="G349">
            <v>36</v>
          </cell>
          <cell r="H349">
            <v>0</v>
          </cell>
          <cell r="I349">
            <v>0</v>
          </cell>
          <cell r="J349">
            <v>10</v>
          </cell>
          <cell r="K349">
            <v>26</v>
          </cell>
          <cell r="L349">
            <v>8</v>
          </cell>
          <cell r="M349">
            <v>0</v>
          </cell>
          <cell r="N349">
            <v>0</v>
          </cell>
          <cell r="O349">
            <v>8</v>
          </cell>
          <cell r="P349">
            <v>0</v>
          </cell>
          <cell r="Q349">
            <v>0</v>
          </cell>
          <cell r="R349">
            <v>0</v>
          </cell>
          <cell r="S349">
            <v>56</v>
          </cell>
          <cell r="T349">
            <v>8</v>
          </cell>
        </row>
        <row r="350">
          <cell r="C350" t="str">
            <v>Census Tract 322.12, King County, Washington</v>
          </cell>
          <cell r="D350">
            <v>128</v>
          </cell>
          <cell r="E350">
            <v>77</v>
          </cell>
          <cell r="F350">
            <v>0</v>
          </cell>
          <cell r="G350">
            <v>77</v>
          </cell>
          <cell r="H350">
            <v>0</v>
          </cell>
          <cell r="I350">
            <v>0</v>
          </cell>
          <cell r="J350">
            <v>0</v>
          </cell>
          <cell r="K350">
            <v>77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51</v>
          </cell>
          <cell r="Q350">
            <v>15</v>
          </cell>
          <cell r="R350">
            <v>36</v>
          </cell>
          <cell r="S350">
            <v>77</v>
          </cell>
          <cell r="T350">
            <v>51</v>
          </cell>
        </row>
        <row r="351">
          <cell r="C351" t="str">
            <v>Census Tract 323.07, King County, Washington</v>
          </cell>
          <cell r="D351">
            <v>84</v>
          </cell>
          <cell r="E351">
            <v>84</v>
          </cell>
          <cell r="F351">
            <v>24</v>
          </cell>
          <cell r="G351">
            <v>60</v>
          </cell>
          <cell r="H351">
            <v>0</v>
          </cell>
          <cell r="I351">
            <v>0</v>
          </cell>
          <cell r="J351">
            <v>0</v>
          </cell>
          <cell r="K351">
            <v>60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84</v>
          </cell>
          <cell r="T351">
            <v>0</v>
          </cell>
        </row>
        <row r="352">
          <cell r="C352" t="str">
            <v>Census Tract 323.09, King County, Washington</v>
          </cell>
          <cell r="D352">
            <v>86</v>
          </cell>
          <cell r="E352">
            <v>26</v>
          </cell>
          <cell r="F352">
            <v>4</v>
          </cell>
          <cell r="G352">
            <v>22</v>
          </cell>
          <cell r="H352">
            <v>0</v>
          </cell>
          <cell r="I352">
            <v>0</v>
          </cell>
          <cell r="J352">
            <v>13</v>
          </cell>
          <cell r="K352">
            <v>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60</v>
          </cell>
          <cell r="Q352">
            <v>4</v>
          </cell>
          <cell r="R352">
            <v>56</v>
          </cell>
          <cell r="S352">
            <v>26</v>
          </cell>
          <cell r="T352">
            <v>60</v>
          </cell>
        </row>
        <row r="353">
          <cell r="C353" t="str">
            <v>Census Tract 323.11, King County, Washington</v>
          </cell>
          <cell r="D353">
            <v>132</v>
          </cell>
          <cell r="E353">
            <v>105</v>
          </cell>
          <cell r="F353">
            <v>16</v>
          </cell>
          <cell r="G353">
            <v>82</v>
          </cell>
          <cell r="H353">
            <v>0</v>
          </cell>
          <cell r="I353">
            <v>0</v>
          </cell>
          <cell r="J353">
            <v>66</v>
          </cell>
          <cell r="K353">
            <v>16</v>
          </cell>
          <cell r="L353">
            <v>7</v>
          </cell>
          <cell r="M353">
            <v>0</v>
          </cell>
          <cell r="N353">
            <v>0</v>
          </cell>
          <cell r="O353">
            <v>7</v>
          </cell>
          <cell r="P353">
            <v>27</v>
          </cell>
          <cell r="Q353">
            <v>14</v>
          </cell>
          <cell r="R353">
            <v>13</v>
          </cell>
          <cell r="S353">
            <v>98</v>
          </cell>
          <cell r="T353">
            <v>34</v>
          </cell>
        </row>
        <row r="354">
          <cell r="C354" t="str">
            <v>Census Tract 323.12, King County, Washington</v>
          </cell>
          <cell r="D354">
            <v>78</v>
          </cell>
          <cell r="E354">
            <v>78</v>
          </cell>
          <cell r="F354">
            <v>7</v>
          </cell>
          <cell r="G354">
            <v>71</v>
          </cell>
          <cell r="H354">
            <v>14</v>
          </cell>
          <cell r="I354">
            <v>0</v>
          </cell>
          <cell r="J354">
            <v>13</v>
          </cell>
          <cell r="K354">
            <v>44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78</v>
          </cell>
          <cell r="T354">
            <v>0</v>
          </cell>
        </row>
        <row r="355">
          <cell r="C355" t="str">
            <v>Census Tract 323.13, King County, Washington</v>
          </cell>
          <cell r="D355">
            <v>145</v>
          </cell>
          <cell r="E355">
            <v>57</v>
          </cell>
          <cell r="F355">
            <v>22</v>
          </cell>
          <cell r="G355">
            <v>35</v>
          </cell>
          <cell r="H355">
            <v>0</v>
          </cell>
          <cell r="I355">
            <v>0</v>
          </cell>
          <cell r="J355">
            <v>16</v>
          </cell>
          <cell r="K355">
            <v>19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88</v>
          </cell>
          <cell r="Q355">
            <v>0</v>
          </cell>
          <cell r="R355">
            <v>88</v>
          </cell>
          <cell r="S355">
            <v>57</v>
          </cell>
          <cell r="T355">
            <v>88</v>
          </cell>
        </row>
        <row r="356">
          <cell r="C356" t="str">
            <v>Census Tract 323.14, King County, Washington</v>
          </cell>
          <cell r="D356">
            <v>75</v>
          </cell>
          <cell r="E356">
            <v>34</v>
          </cell>
          <cell r="F356">
            <v>0</v>
          </cell>
          <cell r="G356">
            <v>26</v>
          </cell>
          <cell r="H356">
            <v>9</v>
          </cell>
          <cell r="I356">
            <v>0</v>
          </cell>
          <cell r="J356">
            <v>0</v>
          </cell>
          <cell r="K356">
            <v>17</v>
          </cell>
          <cell r="L356">
            <v>8</v>
          </cell>
          <cell r="M356">
            <v>0</v>
          </cell>
          <cell r="N356">
            <v>0</v>
          </cell>
          <cell r="O356">
            <v>8</v>
          </cell>
          <cell r="P356">
            <v>41</v>
          </cell>
          <cell r="Q356">
            <v>6</v>
          </cell>
          <cell r="R356">
            <v>35</v>
          </cell>
          <cell r="S356">
            <v>26</v>
          </cell>
          <cell r="T356">
            <v>49</v>
          </cell>
        </row>
        <row r="357">
          <cell r="C357" t="str">
            <v>Census Tract 323.15, King County, Washington</v>
          </cell>
          <cell r="D357">
            <v>20</v>
          </cell>
          <cell r="E357">
            <v>20</v>
          </cell>
          <cell r="F357">
            <v>0</v>
          </cell>
          <cell r="G357">
            <v>20</v>
          </cell>
          <cell r="H357">
            <v>0</v>
          </cell>
          <cell r="I357">
            <v>0</v>
          </cell>
          <cell r="J357">
            <v>0</v>
          </cell>
          <cell r="K357">
            <v>20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20</v>
          </cell>
          <cell r="T357">
            <v>0</v>
          </cell>
        </row>
        <row r="358">
          <cell r="C358" t="str">
            <v>Census Tract 323.16, King County, Washington</v>
          </cell>
          <cell r="D358">
            <v>75</v>
          </cell>
          <cell r="E358">
            <v>61</v>
          </cell>
          <cell r="F358">
            <v>45</v>
          </cell>
          <cell r="G358">
            <v>16</v>
          </cell>
          <cell r="H358">
            <v>9</v>
          </cell>
          <cell r="I358">
            <v>0</v>
          </cell>
          <cell r="J358">
            <v>0</v>
          </cell>
          <cell r="K358">
            <v>7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14</v>
          </cell>
          <cell r="Q358">
            <v>14</v>
          </cell>
          <cell r="R358">
            <v>0</v>
          </cell>
          <cell r="S358">
            <v>61</v>
          </cell>
          <cell r="T358">
            <v>14</v>
          </cell>
        </row>
        <row r="359">
          <cell r="C359" t="str">
            <v>Census Tract 323.17, King County, Washington</v>
          </cell>
          <cell r="D359">
            <v>119</v>
          </cell>
          <cell r="E359">
            <v>119</v>
          </cell>
          <cell r="F359">
            <v>71</v>
          </cell>
          <cell r="G359">
            <v>48</v>
          </cell>
          <cell r="H359">
            <v>10</v>
          </cell>
          <cell r="I359">
            <v>14</v>
          </cell>
          <cell r="J359">
            <v>0</v>
          </cell>
          <cell r="K359">
            <v>24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119</v>
          </cell>
          <cell r="T359">
            <v>0</v>
          </cell>
        </row>
        <row r="360">
          <cell r="C360" t="str">
            <v>Census Tract 323.18, King County, Washington</v>
          </cell>
          <cell r="D360">
            <v>18</v>
          </cell>
          <cell r="E360">
            <v>18</v>
          </cell>
          <cell r="F360">
            <v>0</v>
          </cell>
          <cell r="G360">
            <v>18</v>
          </cell>
          <cell r="H360">
            <v>0</v>
          </cell>
          <cell r="I360">
            <v>0</v>
          </cell>
          <cell r="J360">
            <v>0</v>
          </cell>
          <cell r="K360">
            <v>18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18</v>
          </cell>
          <cell r="T360">
            <v>0</v>
          </cell>
        </row>
        <row r="361">
          <cell r="C361" t="str">
            <v>Census Tract 323.19, King County, Washington</v>
          </cell>
          <cell r="D361">
            <v>231</v>
          </cell>
          <cell r="E361">
            <v>92</v>
          </cell>
          <cell r="F361">
            <v>81</v>
          </cell>
          <cell r="G361">
            <v>11</v>
          </cell>
          <cell r="H361">
            <v>0</v>
          </cell>
          <cell r="I361">
            <v>0</v>
          </cell>
          <cell r="J361">
            <v>0</v>
          </cell>
          <cell r="K361">
            <v>11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139</v>
          </cell>
          <cell r="Q361">
            <v>23</v>
          </cell>
          <cell r="R361">
            <v>116</v>
          </cell>
          <cell r="S361">
            <v>92</v>
          </cell>
          <cell r="T361">
            <v>139</v>
          </cell>
        </row>
        <row r="362">
          <cell r="C362" t="str">
            <v>Census Tract 323.20, King County, Washington</v>
          </cell>
          <cell r="D362">
            <v>24</v>
          </cell>
          <cell r="E362">
            <v>13</v>
          </cell>
          <cell r="F362">
            <v>0</v>
          </cell>
          <cell r="G362">
            <v>13</v>
          </cell>
          <cell r="H362">
            <v>8</v>
          </cell>
          <cell r="I362">
            <v>0</v>
          </cell>
          <cell r="J362">
            <v>0</v>
          </cell>
          <cell r="K362">
            <v>5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11</v>
          </cell>
          <cell r="Q362">
            <v>0</v>
          </cell>
          <cell r="R362">
            <v>11</v>
          </cell>
          <cell r="S362">
            <v>13</v>
          </cell>
          <cell r="T362">
            <v>11</v>
          </cell>
        </row>
        <row r="363">
          <cell r="C363" t="str">
            <v>Census Tract 323.21, King County, Washington</v>
          </cell>
          <cell r="D363">
            <v>36</v>
          </cell>
          <cell r="E363">
            <v>36</v>
          </cell>
          <cell r="F363">
            <v>0</v>
          </cell>
          <cell r="G363">
            <v>36</v>
          </cell>
          <cell r="H363">
            <v>0</v>
          </cell>
          <cell r="I363">
            <v>0</v>
          </cell>
          <cell r="J363">
            <v>0</v>
          </cell>
          <cell r="K363">
            <v>36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36</v>
          </cell>
          <cell r="T363">
            <v>0</v>
          </cell>
        </row>
        <row r="364">
          <cell r="C364" t="str">
            <v>Census Tract 323.22, King County, Washington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</row>
        <row r="365">
          <cell r="C365" t="str">
            <v>Census Tract 323.23, King County, Washington</v>
          </cell>
          <cell r="D365">
            <v>84</v>
          </cell>
          <cell r="E365">
            <v>26</v>
          </cell>
          <cell r="F365">
            <v>19</v>
          </cell>
          <cell r="G365">
            <v>7</v>
          </cell>
          <cell r="H365">
            <v>0</v>
          </cell>
          <cell r="I365">
            <v>0</v>
          </cell>
          <cell r="J365">
            <v>0</v>
          </cell>
          <cell r="K365">
            <v>7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58</v>
          </cell>
          <cell r="Q365">
            <v>5</v>
          </cell>
          <cell r="R365">
            <v>53</v>
          </cell>
          <cell r="S365">
            <v>26</v>
          </cell>
          <cell r="T365">
            <v>58</v>
          </cell>
        </row>
        <row r="366">
          <cell r="C366" t="str">
            <v>Census Tract 323.24, King County, Washington</v>
          </cell>
          <cell r="D366">
            <v>219</v>
          </cell>
          <cell r="E366">
            <v>130</v>
          </cell>
          <cell r="F366">
            <v>78</v>
          </cell>
          <cell r="G366">
            <v>52</v>
          </cell>
          <cell r="H366">
            <v>0</v>
          </cell>
          <cell r="I366">
            <v>0</v>
          </cell>
          <cell r="J366">
            <v>10</v>
          </cell>
          <cell r="K366">
            <v>42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89</v>
          </cell>
          <cell r="Q366">
            <v>19</v>
          </cell>
          <cell r="R366">
            <v>70</v>
          </cell>
          <cell r="S366">
            <v>130</v>
          </cell>
          <cell r="T366">
            <v>89</v>
          </cell>
        </row>
        <row r="367">
          <cell r="C367" t="str">
            <v>Census Tract 323.25, King County, Washington</v>
          </cell>
          <cell r="D367">
            <v>186</v>
          </cell>
          <cell r="E367">
            <v>40</v>
          </cell>
          <cell r="F367">
            <v>14</v>
          </cell>
          <cell r="G367">
            <v>26</v>
          </cell>
          <cell r="H367">
            <v>0</v>
          </cell>
          <cell r="I367">
            <v>0</v>
          </cell>
          <cell r="J367">
            <v>0</v>
          </cell>
          <cell r="K367">
            <v>26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146</v>
          </cell>
          <cell r="Q367">
            <v>27</v>
          </cell>
          <cell r="R367">
            <v>119</v>
          </cell>
          <cell r="S367">
            <v>40</v>
          </cell>
          <cell r="T367">
            <v>146</v>
          </cell>
        </row>
        <row r="368">
          <cell r="C368" t="str">
            <v>Census Tract 324.01, King County, Washington</v>
          </cell>
          <cell r="D368">
            <v>60</v>
          </cell>
          <cell r="E368">
            <v>52</v>
          </cell>
          <cell r="F368">
            <v>24</v>
          </cell>
          <cell r="G368">
            <v>28</v>
          </cell>
          <cell r="H368">
            <v>0</v>
          </cell>
          <cell r="I368">
            <v>28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8</v>
          </cell>
          <cell r="Q368">
            <v>8</v>
          </cell>
          <cell r="R368">
            <v>0</v>
          </cell>
          <cell r="S368">
            <v>52</v>
          </cell>
          <cell r="T368">
            <v>8</v>
          </cell>
        </row>
        <row r="369">
          <cell r="C369" t="str">
            <v>Census Tract 324.02, King County, Washington</v>
          </cell>
          <cell r="D369">
            <v>52</v>
          </cell>
          <cell r="E369">
            <v>52</v>
          </cell>
          <cell r="F369">
            <v>30</v>
          </cell>
          <cell r="G369">
            <v>22</v>
          </cell>
          <cell r="H369">
            <v>8</v>
          </cell>
          <cell r="I369">
            <v>0</v>
          </cell>
          <cell r="J369">
            <v>0</v>
          </cell>
          <cell r="K369">
            <v>14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52</v>
          </cell>
          <cell r="T369">
            <v>0</v>
          </cell>
        </row>
        <row r="370">
          <cell r="C370" t="str">
            <v>Census Tract 325, King County, Washington</v>
          </cell>
          <cell r="D370">
            <v>99</v>
          </cell>
          <cell r="E370">
            <v>69</v>
          </cell>
          <cell r="F370">
            <v>46</v>
          </cell>
          <cell r="G370">
            <v>19</v>
          </cell>
          <cell r="H370">
            <v>0</v>
          </cell>
          <cell r="I370">
            <v>1</v>
          </cell>
          <cell r="J370">
            <v>3</v>
          </cell>
          <cell r="K370">
            <v>15</v>
          </cell>
          <cell r="L370">
            <v>4</v>
          </cell>
          <cell r="M370">
            <v>4</v>
          </cell>
          <cell r="N370">
            <v>0</v>
          </cell>
          <cell r="O370">
            <v>0</v>
          </cell>
          <cell r="P370">
            <v>30</v>
          </cell>
          <cell r="Q370">
            <v>10</v>
          </cell>
          <cell r="R370">
            <v>20</v>
          </cell>
          <cell r="S370">
            <v>65</v>
          </cell>
          <cell r="T370">
            <v>34</v>
          </cell>
        </row>
        <row r="371">
          <cell r="C371" t="str">
            <v>Census Tract 326.01, King County, Washington</v>
          </cell>
          <cell r="D371">
            <v>69</v>
          </cell>
          <cell r="E371">
            <v>42</v>
          </cell>
          <cell r="F371">
            <v>26</v>
          </cell>
          <cell r="G371">
            <v>8</v>
          </cell>
          <cell r="H371">
            <v>0</v>
          </cell>
          <cell r="I371">
            <v>0</v>
          </cell>
          <cell r="J371">
            <v>0</v>
          </cell>
          <cell r="K371">
            <v>8</v>
          </cell>
          <cell r="L371">
            <v>8</v>
          </cell>
          <cell r="M371">
            <v>8</v>
          </cell>
          <cell r="N371">
            <v>0</v>
          </cell>
          <cell r="O371">
            <v>0</v>
          </cell>
          <cell r="P371">
            <v>27</v>
          </cell>
          <cell r="Q371">
            <v>0</v>
          </cell>
          <cell r="R371">
            <v>27</v>
          </cell>
          <cell r="S371">
            <v>34</v>
          </cell>
          <cell r="T371">
            <v>35</v>
          </cell>
        </row>
        <row r="372">
          <cell r="C372" t="str">
            <v>Census Tract 326.02, King County, Washington</v>
          </cell>
          <cell r="D372">
            <v>78</v>
          </cell>
          <cell r="E372">
            <v>78</v>
          </cell>
          <cell r="F372">
            <v>53</v>
          </cell>
          <cell r="G372">
            <v>25</v>
          </cell>
          <cell r="H372">
            <v>0</v>
          </cell>
          <cell r="I372">
            <v>0</v>
          </cell>
          <cell r="J372">
            <v>0</v>
          </cell>
          <cell r="K372">
            <v>25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78</v>
          </cell>
          <cell r="T372">
            <v>0</v>
          </cell>
        </row>
        <row r="373">
          <cell r="C373" t="str">
            <v>Census Tract 327.02, King County, Washington</v>
          </cell>
          <cell r="D373">
            <v>103</v>
          </cell>
          <cell r="E373">
            <v>74</v>
          </cell>
          <cell r="F373">
            <v>7</v>
          </cell>
          <cell r="G373">
            <v>67</v>
          </cell>
          <cell r="H373">
            <v>0</v>
          </cell>
          <cell r="I373">
            <v>0</v>
          </cell>
          <cell r="J373">
            <v>4</v>
          </cell>
          <cell r="K373">
            <v>63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29</v>
          </cell>
          <cell r="Q373">
            <v>21</v>
          </cell>
          <cell r="R373">
            <v>8</v>
          </cell>
          <cell r="S373">
            <v>74</v>
          </cell>
          <cell r="T373">
            <v>29</v>
          </cell>
        </row>
        <row r="374">
          <cell r="C374" t="str">
            <v>Census Tract 327.03, King County, Washington</v>
          </cell>
          <cell r="D374">
            <v>4</v>
          </cell>
          <cell r="E374">
            <v>4</v>
          </cell>
          <cell r="F374">
            <v>0</v>
          </cell>
          <cell r="G374">
            <v>4</v>
          </cell>
          <cell r="H374">
            <v>0</v>
          </cell>
          <cell r="I374">
            <v>0</v>
          </cell>
          <cell r="J374">
            <v>4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4</v>
          </cell>
          <cell r="T374">
            <v>0</v>
          </cell>
        </row>
        <row r="375">
          <cell r="C375" t="str">
            <v>Census Tract 327.04, King County, Washington</v>
          </cell>
          <cell r="D375">
            <v>57</v>
          </cell>
          <cell r="E375">
            <v>30</v>
          </cell>
          <cell r="F375">
            <v>20</v>
          </cell>
          <cell r="G375">
            <v>10</v>
          </cell>
          <cell r="H375">
            <v>0</v>
          </cell>
          <cell r="I375">
            <v>0</v>
          </cell>
          <cell r="J375">
            <v>0</v>
          </cell>
          <cell r="K375">
            <v>10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27</v>
          </cell>
          <cell r="Q375">
            <v>0</v>
          </cell>
          <cell r="R375">
            <v>27</v>
          </cell>
          <cell r="S375">
            <v>30</v>
          </cell>
          <cell r="T375">
            <v>27</v>
          </cell>
        </row>
        <row r="376">
          <cell r="C376" t="str">
            <v>Census Tract 328, King County, Washington</v>
          </cell>
          <cell r="D376">
            <v>21</v>
          </cell>
          <cell r="E376">
            <v>21</v>
          </cell>
          <cell r="F376">
            <v>0</v>
          </cell>
          <cell r="G376">
            <v>21</v>
          </cell>
          <cell r="H376">
            <v>0</v>
          </cell>
          <cell r="I376">
            <v>4</v>
          </cell>
          <cell r="J376">
            <v>0</v>
          </cell>
          <cell r="K376">
            <v>17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21</v>
          </cell>
          <cell r="T376">
            <v>0</v>
          </cell>
        </row>
        <row r="377">
          <cell r="C377" t="str">
            <v>Aberdeen city, Washington</v>
          </cell>
          <cell r="D377">
            <v>540</v>
          </cell>
          <cell r="E377">
            <v>270</v>
          </cell>
          <cell r="F377">
            <v>198</v>
          </cell>
          <cell r="G377">
            <v>72</v>
          </cell>
          <cell r="H377">
            <v>0</v>
          </cell>
          <cell r="I377">
            <v>0</v>
          </cell>
          <cell r="J377">
            <v>4</v>
          </cell>
          <cell r="K377">
            <v>68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270</v>
          </cell>
          <cell r="Q377">
            <v>0</v>
          </cell>
          <cell r="R377">
            <v>270</v>
          </cell>
          <cell r="S377">
            <v>270</v>
          </cell>
          <cell r="T377">
            <v>270</v>
          </cell>
        </row>
        <row r="378">
          <cell r="C378" t="str">
            <v>Aberdeen Gardens CDP, Washington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</row>
        <row r="379">
          <cell r="C379" t="str">
            <v>Acme CDP, Washington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</row>
        <row r="380">
          <cell r="C380" t="str">
            <v>Ahtanum CDP, Washington</v>
          </cell>
          <cell r="D380">
            <v>218</v>
          </cell>
          <cell r="E380">
            <v>120</v>
          </cell>
          <cell r="F380">
            <v>76</v>
          </cell>
          <cell r="G380">
            <v>44</v>
          </cell>
          <cell r="H380">
            <v>0</v>
          </cell>
          <cell r="I380">
            <v>6</v>
          </cell>
          <cell r="J380">
            <v>6</v>
          </cell>
          <cell r="K380">
            <v>32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98</v>
          </cell>
          <cell r="Q380">
            <v>16</v>
          </cell>
          <cell r="R380">
            <v>82</v>
          </cell>
          <cell r="S380">
            <v>120</v>
          </cell>
          <cell r="T380">
            <v>98</v>
          </cell>
        </row>
        <row r="381">
          <cell r="C381" t="str">
            <v>Airway Heights city, Washington</v>
          </cell>
          <cell r="D381">
            <v>442</v>
          </cell>
          <cell r="E381">
            <v>204</v>
          </cell>
          <cell r="F381">
            <v>60</v>
          </cell>
          <cell r="G381">
            <v>133</v>
          </cell>
          <cell r="H381">
            <v>13</v>
          </cell>
          <cell r="I381">
            <v>0</v>
          </cell>
          <cell r="J381">
            <v>73</v>
          </cell>
          <cell r="K381">
            <v>47</v>
          </cell>
          <cell r="L381">
            <v>11</v>
          </cell>
          <cell r="M381">
            <v>7</v>
          </cell>
          <cell r="N381">
            <v>0</v>
          </cell>
          <cell r="O381">
            <v>4</v>
          </cell>
          <cell r="P381">
            <v>238</v>
          </cell>
          <cell r="Q381">
            <v>2</v>
          </cell>
          <cell r="R381">
            <v>236</v>
          </cell>
          <cell r="S381">
            <v>193</v>
          </cell>
          <cell r="T381">
            <v>249</v>
          </cell>
        </row>
        <row r="382">
          <cell r="C382" t="str">
            <v>Albion town, Washington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</row>
        <row r="383">
          <cell r="C383" t="str">
            <v>Alderwood Manor CDP, Washington</v>
          </cell>
          <cell r="D383">
            <v>241</v>
          </cell>
          <cell r="E383">
            <v>154</v>
          </cell>
          <cell r="F383">
            <v>99</v>
          </cell>
          <cell r="G383">
            <v>55</v>
          </cell>
          <cell r="H383">
            <v>4</v>
          </cell>
          <cell r="I383">
            <v>9</v>
          </cell>
          <cell r="J383">
            <v>22</v>
          </cell>
          <cell r="K383">
            <v>20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87</v>
          </cell>
          <cell r="Q383">
            <v>17</v>
          </cell>
          <cell r="R383">
            <v>70</v>
          </cell>
          <cell r="S383">
            <v>154</v>
          </cell>
          <cell r="T383">
            <v>87</v>
          </cell>
        </row>
        <row r="384">
          <cell r="C384" t="str">
            <v>Alger CDP, Washington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</row>
        <row r="385">
          <cell r="C385" t="str">
            <v>Algona city, Washington</v>
          </cell>
          <cell r="D385">
            <v>85</v>
          </cell>
          <cell r="E385">
            <v>53</v>
          </cell>
          <cell r="F385">
            <v>31</v>
          </cell>
          <cell r="G385">
            <v>22</v>
          </cell>
          <cell r="H385">
            <v>0</v>
          </cell>
          <cell r="I385">
            <v>0</v>
          </cell>
          <cell r="J385">
            <v>0</v>
          </cell>
          <cell r="K385">
            <v>22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32</v>
          </cell>
          <cell r="Q385">
            <v>5</v>
          </cell>
          <cell r="R385">
            <v>27</v>
          </cell>
          <cell r="S385">
            <v>53</v>
          </cell>
          <cell r="T385">
            <v>32</v>
          </cell>
        </row>
        <row r="386">
          <cell r="C386" t="str">
            <v>Allyn-Grapeview CDP, Washington</v>
          </cell>
          <cell r="D386">
            <v>40</v>
          </cell>
          <cell r="E386">
            <v>30</v>
          </cell>
          <cell r="F386">
            <v>14</v>
          </cell>
          <cell r="G386">
            <v>16</v>
          </cell>
          <cell r="H386">
            <v>10</v>
          </cell>
          <cell r="I386">
            <v>0</v>
          </cell>
          <cell r="J386">
            <v>0</v>
          </cell>
          <cell r="K386">
            <v>6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10</v>
          </cell>
          <cell r="Q386">
            <v>10</v>
          </cell>
          <cell r="R386">
            <v>0</v>
          </cell>
          <cell r="S386">
            <v>30</v>
          </cell>
          <cell r="T386">
            <v>10</v>
          </cell>
        </row>
        <row r="387">
          <cell r="C387" t="str">
            <v>Almira town, Washington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</row>
        <row r="388">
          <cell r="C388" t="str">
            <v>Amboy CDP, Washington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</row>
        <row r="389">
          <cell r="C389" t="str">
            <v>Ames Lake CDP, Washington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</row>
        <row r="390">
          <cell r="C390" t="str">
            <v>Anacortes city, Washington</v>
          </cell>
          <cell r="D390">
            <v>117</v>
          </cell>
          <cell r="E390">
            <v>72</v>
          </cell>
          <cell r="F390">
            <v>24</v>
          </cell>
          <cell r="G390">
            <v>48</v>
          </cell>
          <cell r="H390">
            <v>0</v>
          </cell>
          <cell r="I390">
            <v>8</v>
          </cell>
          <cell r="J390">
            <v>0</v>
          </cell>
          <cell r="K390">
            <v>40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45</v>
          </cell>
          <cell r="Q390">
            <v>45</v>
          </cell>
          <cell r="R390">
            <v>0</v>
          </cell>
          <cell r="S390">
            <v>72</v>
          </cell>
          <cell r="T390">
            <v>45</v>
          </cell>
        </row>
        <row r="391">
          <cell r="C391" t="str">
            <v>Arlington city, Washington</v>
          </cell>
          <cell r="D391">
            <v>325</v>
          </cell>
          <cell r="E391">
            <v>277</v>
          </cell>
          <cell r="F391">
            <v>140</v>
          </cell>
          <cell r="G391">
            <v>131</v>
          </cell>
          <cell r="H391">
            <v>0</v>
          </cell>
          <cell r="I391">
            <v>0</v>
          </cell>
          <cell r="J391">
            <v>24</v>
          </cell>
          <cell r="K391">
            <v>107</v>
          </cell>
          <cell r="L391">
            <v>6</v>
          </cell>
          <cell r="M391">
            <v>6</v>
          </cell>
          <cell r="N391">
            <v>0</v>
          </cell>
          <cell r="O391">
            <v>0</v>
          </cell>
          <cell r="P391">
            <v>48</v>
          </cell>
          <cell r="Q391">
            <v>24</v>
          </cell>
          <cell r="R391">
            <v>24</v>
          </cell>
          <cell r="S391">
            <v>271</v>
          </cell>
          <cell r="T391">
            <v>54</v>
          </cell>
        </row>
        <row r="392">
          <cell r="C392" t="str">
            <v>Arlington Heights CDP, Washington</v>
          </cell>
          <cell r="D392">
            <v>16</v>
          </cell>
          <cell r="E392">
            <v>16</v>
          </cell>
          <cell r="F392">
            <v>0</v>
          </cell>
          <cell r="G392">
            <v>16</v>
          </cell>
          <cell r="H392">
            <v>0</v>
          </cell>
          <cell r="I392">
            <v>0</v>
          </cell>
          <cell r="J392">
            <v>0</v>
          </cell>
          <cell r="K392">
            <v>16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16</v>
          </cell>
          <cell r="T392">
            <v>0</v>
          </cell>
        </row>
        <row r="393">
          <cell r="C393" t="str">
            <v>Artondale CDP, Washington</v>
          </cell>
          <cell r="D393">
            <v>116</v>
          </cell>
          <cell r="E393">
            <v>111</v>
          </cell>
          <cell r="F393">
            <v>37</v>
          </cell>
          <cell r="G393">
            <v>74</v>
          </cell>
          <cell r="H393">
            <v>0</v>
          </cell>
          <cell r="I393">
            <v>12</v>
          </cell>
          <cell r="J393">
            <v>24</v>
          </cell>
          <cell r="K393">
            <v>38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5</v>
          </cell>
          <cell r="Q393">
            <v>5</v>
          </cell>
          <cell r="R393">
            <v>0</v>
          </cell>
          <cell r="S393">
            <v>111</v>
          </cell>
          <cell r="T393">
            <v>5</v>
          </cell>
        </row>
        <row r="394">
          <cell r="C394" t="str">
            <v>Ashford CDP, Washington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</row>
        <row r="395">
          <cell r="C395" t="str">
            <v>Asotin city, Washington</v>
          </cell>
          <cell r="D395">
            <v>20</v>
          </cell>
          <cell r="E395">
            <v>20</v>
          </cell>
          <cell r="F395">
            <v>3</v>
          </cell>
          <cell r="G395">
            <v>17</v>
          </cell>
          <cell r="H395">
            <v>1</v>
          </cell>
          <cell r="I395">
            <v>0</v>
          </cell>
          <cell r="J395">
            <v>0</v>
          </cell>
          <cell r="K395">
            <v>16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20</v>
          </cell>
          <cell r="T395">
            <v>0</v>
          </cell>
        </row>
        <row r="396">
          <cell r="C396" t="str">
            <v>Auburn city, Washington</v>
          </cell>
          <cell r="D396">
            <v>1063</v>
          </cell>
          <cell r="E396">
            <v>817</v>
          </cell>
          <cell r="F396">
            <v>409</v>
          </cell>
          <cell r="G396">
            <v>359</v>
          </cell>
          <cell r="H396">
            <v>2</v>
          </cell>
          <cell r="I396">
            <v>64</v>
          </cell>
          <cell r="J396">
            <v>28</v>
          </cell>
          <cell r="K396">
            <v>265</v>
          </cell>
          <cell r="L396">
            <v>49</v>
          </cell>
          <cell r="M396">
            <v>49</v>
          </cell>
          <cell r="N396">
            <v>0</v>
          </cell>
          <cell r="O396">
            <v>0</v>
          </cell>
          <cell r="P396">
            <v>246</v>
          </cell>
          <cell r="Q396">
            <v>89</v>
          </cell>
          <cell r="R396">
            <v>157</v>
          </cell>
          <cell r="S396">
            <v>768</v>
          </cell>
          <cell r="T396">
            <v>295</v>
          </cell>
        </row>
        <row r="397">
          <cell r="C397" t="str">
            <v>Ault Field CDP, Washington</v>
          </cell>
          <cell r="D397">
            <v>141</v>
          </cell>
          <cell r="E397">
            <v>122</v>
          </cell>
          <cell r="F397">
            <v>4</v>
          </cell>
          <cell r="G397">
            <v>118</v>
          </cell>
          <cell r="H397">
            <v>16</v>
          </cell>
          <cell r="I397">
            <v>12</v>
          </cell>
          <cell r="J397">
            <v>32</v>
          </cell>
          <cell r="K397">
            <v>58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19</v>
          </cell>
          <cell r="Q397">
            <v>7</v>
          </cell>
          <cell r="R397">
            <v>12</v>
          </cell>
          <cell r="S397">
            <v>122</v>
          </cell>
          <cell r="T397">
            <v>19</v>
          </cell>
        </row>
        <row r="398">
          <cell r="C398" t="str">
            <v>Bainbridge Island city, Washington</v>
          </cell>
          <cell r="D398">
            <v>244</v>
          </cell>
          <cell r="E398">
            <v>198</v>
          </cell>
          <cell r="F398">
            <v>49</v>
          </cell>
          <cell r="G398">
            <v>104</v>
          </cell>
          <cell r="H398">
            <v>22</v>
          </cell>
          <cell r="I398">
            <v>0</v>
          </cell>
          <cell r="J398">
            <v>17</v>
          </cell>
          <cell r="K398">
            <v>65</v>
          </cell>
          <cell r="L398">
            <v>45</v>
          </cell>
          <cell r="M398">
            <v>12</v>
          </cell>
          <cell r="N398">
            <v>0</v>
          </cell>
          <cell r="O398">
            <v>33</v>
          </cell>
          <cell r="P398">
            <v>46</v>
          </cell>
          <cell r="Q398">
            <v>17</v>
          </cell>
          <cell r="R398">
            <v>29</v>
          </cell>
          <cell r="S398">
            <v>153</v>
          </cell>
          <cell r="T398">
            <v>91</v>
          </cell>
        </row>
        <row r="399">
          <cell r="C399" t="str">
            <v>Bangor Trident Base CDP, Washington</v>
          </cell>
          <cell r="D399">
            <v>301</v>
          </cell>
          <cell r="E399">
            <v>256</v>
          </cell>
          <cell r="F399">
            <v>68</v>
          </cell>
          <cell r="G399">
            <v>188</v>
          </cell>
          <cell r="H399">
            <v>24</v>
          </cell>
          <cell r="I399">
            <v>0</v>
          </cell>
          <cell r="J399">
            <v>88</v>
          </cell>
          <cell r="K399">
            <v>76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45</v>
          </cell>
          <cell r="Q399">
            <v>5</v>
          </cell>
          <cell r="R399">
            <v>40</v>
          </cell>
          <cell r="S399">
            <v>256</v>
          </cell>
          <cell r="T399">
            <v>45</v>
          </cell>
        </row>
        <row r="400">
          <cell r="C400" t="str">
            <v>Banks Lake South CDP, Washington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C401" t="str">
            <v>Barberton CDP, Washington</v>
          </cell>
          <cell r="D401">
            <v>39</v>
          </cell>
          <cell r="E401">
            <v>39</v>
          </cell>
          <cell r="F401">
            <v>26</v>
          </cell>
          <cell r="G401">
            <v>13</v>
          </cell>
          <cell r="H401">
            <v>13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39</v>
          </cell>
          <cell r="T401">
            <v>0</v>
          </cell>
        </row>
        <row r="402">
          <cell r="C402" t="str">
            <v>Baring CDP, Washington</v>
          </cell>
          <cell r="D402">
            <v>3</v>
          </cell>
          <cell r="E402">
            <v>3</v>
          </cell>
          <cell r="F402">
            <v>0</v>
          </cell>
          <cell r="G402">
            <v>3</v>
          </cell>
          <cell r="H402">
            <v>0</v>
          </cell>
          <cell r="I402">
            <v>0</v>
          </cell>
          <cell r="J402">
            <v>0</v>
          </cell>
          <cell r="K402">
            <v>3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3</v>
          </cell>
          <cell r="T402">
            <v>0</v>
          </cell>
        </row>
        <row r="403">
          <cell r="C403" t="str">
            <v>Basin City CDP, Washington</v>
          </cell>
          <cell r="D403">
            <v>263</v>
          </cell>
          <cell r="E403">
            <v>99</v>
          </cell>
          <cell r="F403">
            <v>85</v>
          </cell>
          <cell r="G403">
            <v>14</v>
          </cell>
          <cell r="H403">
            <v>0</v>
          </cell>
          <cell r="I403">
            <v>7</v>
          </cell>
          <cell r="J403">
            <v>0</v>
          </cell>
          <cell r="K403">
            <v>7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164</v>
          </cell>
          <cell r="Q403">
            <v>24</v>
          </cell>
          <cell r="R403">
            <v>140</v>
          </cell>
          <cell r="S403">
            <v>99</v>
          </cell>
          <cell r="T403">
            <v>164</v>
          </cell>
        </row>
        <row r="404">
          <cell r="C404" t="str">
            <v>Battle Ground city, Washington</v>
          </cell>
          <cell r="D404">
            <v>216</v>
          </cell>
          <cell r="E404">
            <v>171</v>
          </cell>
          <cell r="F404">
            <v>70</v>
          </cell>
          <cell r="G404">
            <v>85</v>
          </cell>
          <cell r="H404">
            <v>0</v>
          </cell>
          <cell r="I404">
            <v>0</v>
          </cell>
          <cell r="J404">
            <v>12</v>
          </cell>
          <cell r="K404">
            <v>73</v>
          </cell>
          <cell r="L404">
            <v>16</v>
          </cell>
          <cell r="M404">
            <v>0</v>
          </cell>
          <cell r="N404">
            <v>0</v>
          </cell>
          <cell r="O404">
            <v>16</v>
          </cell>
          <cell r="P404">
            <v>45</v>
          </cell>
          <cell r="Q404">
            <v>0</v>
          </cell>
          <cell r="R404">
            <v>45</v>
          </cell>
          <cell r="S404">
            <v>155</v>
          </cell>
          <cell r="T404">
            <v>61</v>
          </cell>
        </row>
        <row r="405">
          <cell r="C405" t="str">
            <v>Bay Center CDP, Washington</v>
          </cell>
          <cell r="D405">
            <v>3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3</v>
          </cell>
          <cell r="Q405">
            <v>0</v>
          </cell>
          <cell r="R405">
            <v>3</v>
          </cell>
          <cell r="S405">
            <v>0</v>
          </cell>
          <cell r="T405">
            <v>3</v>
          </cell>
        </row>
        <row r="406">
          <cell r="C406" t="str">
            <v>Bay View CDP, Washington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</row>
        <row r="407">
          <cell r="C407" t="str">
            <v>Beaux Arts Village town, Washington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</row>
        <row r="408">
          <cell r="C408" t="str">
            <v>Bellevue city, Washington</v>
          </cell>
          <cell r="D408">
            <v>2486</v>
          </cell>
          <cell r="E408">
            <v>1298</v>
          </cell>
          <cell r="F408">
            <v>453</v>
          </cell>
          <cell r="G408">
            <v>750</v>
          </cell>
          <cell r="H408">
            <v>63</v>
          </cell>
          <cell r="I408">
            <v>64</v>
          </cell>
          <cell r="J408">
            <v>145</v>
          </cell>
          <cell r="K408">
            <v>478</v>
          </cell>
          <cell r="L408">
            <v>95</v>
          </cell>
          <cell r="M408">
            <v>37</v>
          </cell>
          <cell r="N408">
            <v>0</v>
          </cell>
          <cell r="O408">
            <v>58</v>
          </cell>
          <cell r="P408">
            <v>1188</v>
          </cell>
          <cell r="Q408">
            <v>155</v>
          </cell>
          <cell r="R408">
            <v>1033</v>
          </cell>
          <cell r="S408">
            <v>1203</v>
          </cell>
          <cell r="T408">
            <v>1283</v>
          </cell>
        </row>
        <row r="409">
          <cell r="C409" t="str">
            <v>Bell Hill CDP, Washington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</row>
        <row r="410">
          <cell r="C410" t="str">
            <v>Bellingham city, Washington</v>
          </cell>
          <cell r="D410">
            <v>1463</v>
          </cell>
          <cell r="E410">
            <v>1196</v>
          </cell>
          <cell r="F410">
            <v>568</v>
          </cell>
          <cell r="G410">
            <v>586</v>
          </cell>
          <cell r="H410">
            <v>55</v>
          </cell>
          <cell r="I410">
            <v>13</v>
          </cell>
          <cell r="J410">
            <v>100</v>
          </cell>
          <cell r="K410">
            <v>418</v>
          </cell>
          <cell r="L410">
            <v>42</v>
          </cell>
          <cell r="M410">
            <v>14</v>
          </cell>
          <cell r="N410">
            <v>0</v>
          </cell>
          <cell r="O410">
            <v>28</v>
          </cell>
          <cell r="P410">
            <v>267</v>
          </cell>
          <cell r="Q410">
            <v>77</v>
          </cell>
          <cell r="R410">
            <v>190</v>
          </cell>
          <cell r="S410">
            <v>1154</v>
          </cell>
          <cell r="T410">
            <v>309</v>
          </cell>
        </row>
        <row r="411">
          <cell r="C411" t="str">
            <v>Benton City city, Washington</v>
          </cell>
          <cell r="D411">
            <v>171</v>
          </cell>
          <cell r="E411">
            <v>71</v>
          </cell>
          <cell r="F411">
            <v>45</v>
          </cell>
          <cell r="G411">
            <v>23</v>
          </cell>
          <cell r="H411">
            <v>0</v>
          </cell>
          <cell r="I411">
            <v>0</v>
          </cell>
          <cell r="J411">
            <v>6</v>
          </cell>
          <cell r="K411">
            <v>17</v>
          </cell>
          <cell r="L411">
            <v>3</v>
          </cell>
          <cell r="M411">
            <v>0</v>
          </cell>
          <cell r="N411">
            <v>0</v>
          </cell>
          <cell r="O411">
            <v>3</v>
          </cell>
          <cell r="P411">
            <v>100</v>
          </cell>
          <cell r="Q411">
            <v>5</v>
          </cell>
          <cell r="R411">
            <v>95</v>
          </cell>
          <cell r="S411">
            <v>68</v>
          </cell>
          <cell r="T411">
            <v>103</v>
          </cell>
        </row>
        <row r="412">
          <cell r="C412" t="str">
            <v>Bickleton CDP, Washington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C413" t="str">
            <v>Big Lake CDP, Washington</v>
          </cell>
          <cell r="D413">
            <v>33</v>
          </cell>
          <cell r="E413">
            <v>33</v>
          </cell>
          <cell r="F413">
            <v>20</v>
          </cell>
          <cell r="G413">
            <v>13</v>
          </cell>
          <cell r="H413">
            <v>0</v>
          </cell>
          <cell r="I413">
            <v>0</v>
          </cell>
          <cell r="J413">
            <v>0</v>
          </cell>
          <cell r="K413">
            <v>13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33</v>
          </cell>
          <cell r="T413">
            <v>0</v>
          </cell>
        </row>
        <row r="414">
          <cell r="C414" t="str">
            <v>Bingen city, Washington</v>
          </cell>
          <cell r="D414">
            <v>25</v>
          </cell>
          <cell r="E414">
            <v>18</v>
          </cell>
          <cell r="F414">
            <v>0</v>
          </cell>
          <cell r="G414">
            <v>18</v>
          </cell>
          <cell r="H414">
            <v>0</v>
          </cell>
          <cell r="I414">
            <v>2</v>
          </cell>
          <cell r="J414">
            <v>0</v>
          </cell>
          <cell r="K414">
            <v>16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7</v>
          </cell>
          <cell r="Q414">
            <v>5</v>
          </cell>
          <cell r="R414">
            <v>2</v>
          </cell>
          <cell r="S414">
            <v>18</v>
          </cell>
          <cell r="T414">
            <v>7</v>
          </cell>
        </row>
        <row r="415">
          <cell r="C415" t="str">
            <v>Birch Bay CDP, Washington</v>
          </cell>
          <cell r="D415">
            <v>62</v>
          </cell>
          <cell r="E415">
            <v>62</v>
          </cell>
          <cell r="F415">
            <v>10</v>
          </cell>
          <cell r="G415">
            <v>52</v>
          </cell>
          <cell r="H415">
            <v>0</v>
          </cell>
          <cell r="I415">
            <v>0</v>
          </cell>
          <cell r="J415">
            <v>0</v>
          </cell>
          <cell r="K415">
            <v>52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62</v>
          </cell>
          <cell r="T415">
            <v>0</v>
          </cell>
        </row>
        <row r="416">
          <cell r="C416" t="str">
            <v>Black Diamond city, Washington</v>
          </cell>
          <cell r="D416">
            <v>192</v>
          </cell>
          <cell r="E416">
            <v>125</v>
          </cell>
          <cell r="F416">
            <v>82</v>
          </cell>
          <cell r="G416">
            <v>43</v>
          </cell>
          <cell r="H416">
            <v>0</v>
          </cell>
          <cell r="I416">
            <v>11</v>
          </cell>
          <cell r="J416">
            <v>0</v>
          </cell>
          <cell r="K416">
            <v>32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67</v>
          </cell>
          <cell r="Q416">
            <v>13</v>
          </cell>
          <cell r="R416">
            <v>54</v>
          </cell>
          <cell r="S416">
            <v>125</v>
          </cell>
          <cell r="T416">
            <v>67</v>
          </cell>
        </row>
        <row r="417">
          <cell r="C417" t="str">
            <v>Blaine city, Washington</v>
          </cell>
          <cell r="D417">
            <v>36</v>
          </cell>
          <cell r="E417">
            <v>36</v>
          </cell>
          <cell r="F417">
            <v>17</v>
          </cell>
          <cell r="G417">
            <v>19</v>
          </cell>
          <cell r="H417">
            <v>0</v>
          </cell>
          <cell r="I417">
            <v>0</v>
          </cell>
          <cell r="J417">
            <v>0</v>
          </cell>
          <cell r="K417">
            <v>19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36</v>
          </cell>
          <cell r="T417">
            <v>0</v>
          </cell>
        </row>
        <row r="418">
          <cell r="C418" t="str">
            <v>Blyn CDP, Washington</v>
          </cell>
          <cell r="D418">
            <v>2</v>
          </cell>
          <cell r="E418">
            <v>2</v>
          </cell>
          <cell r="F418">
            <v>0</v>
          </cell>
          <cell r="G418">
            <v>2</v>
          </cell>
          <cell r="H418">
            <v>0</v>
          </cell>
          <cell r="I418">
            <v>0</v>
          </cell>
          <cell r="J418">
            <v>0</v>
          </cell>
          <cell r="K418">
            <v>2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</v>
          </cell>
          <cell r="T418">
            <v>0</v>
          </cell>
        </row>
        <row r="419">
          <cell r="C419" t="str">
            <v>Bonney Lake city, Washington</v>
          </cell>
          <cell r="D419">
            <v>324</v>
          </cell>
          <cell r="E419">
            <v>314</v>
          </cell>
          <cell r="F419">
            <v>181</v>
          </cell>
          <cell r="G419">
            <v>129</v>
          </cell>
          <cell r="H419">
            <v>17</v>
          </cell>
          <cell r="I419">
            <v>14</v>
          </cell>
          <cell r="J419">
            <v>17</v>
          </cell>
          <cell r="K419">
            <v>81</v>
          </cell>
          <cell r="L419">
            <v>4</v>
          </cell>
          <cell r="M419">
            <v>0</v>
          </cell>
          <cell r="N419">
            <v>0</v>
          </cell>
          <cell r="O419">
            <v>4</v>
          </cell>
          <cell r="P419">
            <v>10</v>
          </cell>
          <cell r="Q419">
            <v>10</v>
          </cell>
          <cell r="R419">
            <v>0</v>
          </cell>
          <cell r="S419">
            <v>310</v>
          </cell>
          <cell r="T419">
            <v>14</v>
          </cell>
        </row>
        <row r="420">
          <cell r="C420" t="str">
            <v>Bothell city, Washington</v>
          </cell>
          <cell r="D420">
            <v>712</v>
          </cell>
          <cell r="E420">
            <v>389</v>
          </cell>
          <cell r="F420">
            <v>233</v>
          </cell>
          <cell r="G420">
            <v>156</v>
          </cell>
          <cell r="H420">
            <v>12</v>
          </cell>
          <cell r="I420">
            <v>36</v>
          </cell>
          <cell r="J420">
            <v>23</v>
          </cell>
          <cell r="K420">
            <v>85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323</v>
          </cell>
          <cell r="Q420">
            <v>82</v>
          </cell>
          <cell r="R420">
            <v>241</v>
          </cell>
          <cell r="S420">
            <v>389</v>
          </cell>
          <cell r="T420">
            <v>323</v>
          </cell>
        </row>
        <row r="421">
          <cell r="C421" t="str">
            <v>Brady CDP, Washington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</row>
        <row r="422">
          <cell r="C422" t="str">
            <v>Bremerton city, Washington</v>
          </cell>
          <cell r="D422">
            <v>837</v>
          </cell>
          <cell r="E422">
            <v>703</v>
          </cell>
          <cell r="F422">
            <v>260</v>
          </cell>
          <cell r="G422">
            <v>413</v>
          </cell>
          <cell r="H422">
            <v>42</v>
          </cell>
          <cell r="I422">
            <v>38</v>
          </cell>
          <cell r="J422">
            <v>68</v>
          </cell>
          <cell r="K422">
            <v>265</v>
          </cell>
          <cell r="L422">
            <v>30</v>
          </cell>
          <cell r="M422">
            <v>23</v>
          </cell>
          <cell r="N422">
            <v>0</v>
          </cell>
          <cell r="O422">
            <v>7</v>
          </cell>
          <cell r="P422">
            <v>134</v>
          </cell>
          <cell r="Q422">
            <v>34</v>
          </cell>
          <cell r="R422">
            <v>100</v>
          </cell>
          <cell r="S422">
            <v>673</v>
          </cell>
          <cell r="T422">
            <v>164</v>
          </cell>
        </row>
        <row r="423">
          <cell r="C423" t="str">
            <v>Brewster city, Washington</v>
          </cell>
          <cell r="D423">
            <v>399</v>
          </cell>
          <cell r="E423">
            <v>159</v>
          </cell>
          <cell r="F423">
            <v>140</v>
          </cell>
          <cell r="G423">
            <v>17</v>
          </cell>
          <cell r="H423">
            <v>0</v>
          </cell>
          <cell r="I423">
            <v>0</v>
          </cell>
          <cell r="J423">
            <v>2</v>
          </cell>
          <cell r="K423">
            <v>15</v>
          </cell>
          <cell r="L423">
            <v>2</v>
          </cell>
          <cell r="M423">
            <v>0</v>
          </cell>
          <cell r="N423">
            <v>0</v>
          </cell>
          <cell r="O423">
            <v>2</v>
          </cell>
          <cell r="P423">
            <v>240</v>
          </cell>
          <cell r="Q423">
            <v>40</v>
          </cell>
          <cell r="R423">
            <v>200</v>
          </cell>
          <cell r="S423">
            <v>157</v>
          </cell>
          <cell r="T423">
            <v>242</v>
          </cell>
        </row>
        <row r="424">
          <cell r="C424" t="str">
            <v>Bridgeport city, Washington</v>
          </cell>
          <cell r="D424">
            <v>617</v>
          </cell>
          <cell r="E424">
            <v>244</v>
          </cell>
          <cell r="F424">
            <v>195</v>
          </cell>
          <cell r="G424">
            <v>49</v>
          </cell>
          <cell r="H424">
            <v>0</v>
          </cell>
          <cell r="I424">
            <v>7</v>
          </cell>
          <cell r="J424">
            <v>4</v>
          </cell>
          <cell r="K424">
            <v>38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373</v>
          </cell>
          <cell r="Q424">
            <v>16</v>
          </cell>
          <cell r="R424">
            <v>357</v>
          </cell>
          <cell r="S424">
            <v>244</v>
          </cell>
          <cell r="T424">
            <v>373</v>
          </cell>
        </row>
        <row r="425">
          <cell r="C425" t="str">
            <v>Brier city, Washington</v>
          </cell>
          <cell r="D425">
            <v>74</v>
          </cell>
          <cell r="E425">
            <v>66</v>
          </cell>
          <cell r="F425">
            <v>28</v>
          </cell>
          <cell r="G425">
            <v>38</v>
          </cell>
          <cell r="H425">
            <v>0</v>
          </cell>
          <cell r="I425">
            <v>0</v>
          </cell>
          <cell r="J425">
            <v>7</v>
          </cell>
          <cell r="K425">
            <v>31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8</v>
          </cell>
          <cell r="Q425">
            <v>0</v>
          </cell>
          <cell r="R425">
            <v>8</v>
          </cell>
          <cell r="S425">
            <v>66</v>
          </cell>
          <cell r="T425">
            <v>8</v>
          </cell>
        </row>
        <row r="426">
          <cell r="C426" t="str">
            <v>Brinnon CDP, Washington</v>
          </cell>
          <cell r="D426">
            <v>5</v>
          </cell>
          <cell r="E426">
            <v>5</v>
          </cell>
          <cell r="F426">
            <v>3</v>
          </cell>
          <cell r="G426">
            <v>2</v>
          </cell>
          <cell r="H426">
            <v>0</v>
          </cell>
          <cell r="I426">
            <v>0</v>
          </cell>
          <cell r="J426">
            <v>0</v>
          </cell>
          <cell r="K426">
            <v>2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5</v>
          </cell>
          <cell r="T426">
            <v>0</v>
          </cell>
        </row>
        <row r="427">
          <cell r="C427" t="str">
            <v>Brush Prairie CDP, Washington</v>
          </cell>
          <cell r="D427">
            <v>41</v>
          </cell>
          <cell r="E427">
            <v>23</v>
          </cell>
          <cell r="F427">
            <v>5</v>
          </cell>
          <cell r="G427">
            <v>18</v>
          </cell>
          <cell r="H427">
            <v>0</v>
          </cell>
          <cell r="I427">
            <v>0</v>
          </cell>
          <cell r="J427">
            <v>0</v>
          </cell>
          <cell r="K427">
            <v>18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18</v>
          </cell>
          <cell r="Q427">
            <v>0</v>
          </cell>
          <cell r="R427">
            <v>18</v>
          </cell>
          <cell r="S427">
            <v>23</v>
          </cell>
          <cell r="T427">
            <v>18</v>
          </cell>
        </row>
        <row r="428">
          <cell r="C428" t="str">
            <v>Bryn Mawr-Skyway CDP, Washington</v>
          </cell>
          <cell r="D428">
            <v>183</v>
          </cell>
          <cell r="E428">
            <v>141</v>
          </cell>
          <cell r="F428">
            <v>67</v>
          </cell>
          <cell r="G428">
            <v>54</v>
          </cell>
          <cell r="H428">
            <v>1</v>
          </cell>
          <cell r="I428">
            <v>2</v>
          </cell>
          <cell r="J428">
            <v>13</v>
          </cell>
          <cell r="K428">
            <v>38</v>
          </cell>
          <cell r="L428">
            <v>20</v>
          </cell>
          <cell r="M428">
            <v>20</v>
          </cell>
          <cell r="N428">
            <v>0</v>
          </cell>
          <cell r="O428">
            <v>0</v>
          </cell>
          <cell r="P428">
            <v>42</v>
          </cell>
          <cell r="Q428">
            <v>9</v>
          </cell>
          <cell r="R428">
            <v>33</v>
          </cell>
          <cell r="S428">
            <v>121</v>
          </cell>
          <cell r="T428">
            <v>62</v>
          </cell>
        </row>
        <row r="429">
          <cell r="C429" t="str">
            <v>Buckley city, Washington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C430" t="str">
            <v>Bucoda town, Washington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C431" t="str">
            <v>Burbank CDP, Washington</v>
          </cell>
          <cell r="D431">
            <v>100</v>
          </cell>
          <cell r="E431">
            <v>82</v>
          </cell>
          <cell r="F431">
            <v>73</v>
          </cell>
          <cell r="G431">
            <v>9</v>
          </cell>
          <cell r="H431">
            <v>0</v>
          </cell>
          <cell r="I431">
            <v>0</v>
          </cell>
          <cell r="J431">
            <v>9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18</v>
          </cell>
          <cell r="Q431">
            <v>8</v>
          </cell>
          <cell r="R431">
            <v>10</v>
          </cell>
          <cell r="S431">
            <v>82</v>
          </cell>
          <cell r="T431">
            <v>18</v>
          </cell>
        </row>
        <row r="432">
          <cell r="C432" t="str">
            <v>Burien city, Washington</v>
          </cell>
          <cell r="D432">
            <v>1219</v>
          </cell>
          <cell r="E432">
            <v>743</v>
          </cell>
          <cell r="F432">
            <v>413</v>
          </cell>
          <cell r="G432">
            <v>330</v>
          </cell>
          <cell r="H432">
            <v>16</v>
          </cell>
          <cell r="I432">
            <v>26</v>
          </cell>
          <cell r="J432">
            <v>61</v>
          </cell>
          <cell r="K432">
            <v>227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476</v>
          </cell>
          <cell r="Q432">
            <v>162</v>
          </cell>
          <cell r="R432">
            <v>314</v>
          </cell>
          <cell r="S432">
            <v>743</v>
          </cell>
          <cell r="T432">
            <v>476</v>
          </cell>
        </row>
        <row r="433">
          <cell r="C433" t="str">
            <v>Burlington city, Washington</v>
          </cell>
          <cell r="D433">
            <v>541</v>
          </cell>
          <cell r="E433">
            <v>429</v>
          </cell>
          <cell r="F433">
            <v>213</v>
          </cell>
          <cell r="G433">
            <v>203</v>
          </cell>
          <cell r="H433">
            <v>0</v>
          </cell>
          <cell r="I433">
            <v>0</v>
          </cell>
          <cell r="J433">
            <v>49</v>
          </cell>
          <cell r="K433">
            <v>154</v>
          </cell>
          <cell r="L433">
            <v>13</v>
          </cell>
          <cell r="M433">
            <v>0</v>
          </cell>
          <cell r="N433">
            <v>0</v>
          </cell>
          <cell r="O433">
            <v>13</v>
          </cell>
          <cell r="P433">
            <v>112</v>
          </cell>
          <cell r="Q433">
            <v>18</v>
          </cell>
          <cell r="R433">
            <v>94</v>
          </cell>
          <cell r="S433">
            <v>416</v>
          </cell>
          <cell r="T433">
            <v>125</v>
          </cell>
        </row>
        <row r="434">
          <cell r="C434" t="str">
            <v>Camano CDP, Washington</v>
          </cell>
          <cell r="D434">
            <v>228</v>
          </cell>
          <cell r="E434">
            <v>194</v>
          </cell>
          <cell r="F434">
            <v>62</v>
          </cell>
          <cell r="G434">
            <v>126</v>
          </cell>
          <cell r="H434">
            <v>0</v>
          </cell>
          <cell r="I434">
            <v>0</v>
          </cell>
          <cell r="J434">
            <v>45</v>
          </cell>
          <cell r="K434">
            <v>81</v>
          </cell>
          <cell r="L434">
            <v>6</v>
          </cell>
          <cell r="M434">
            <v>6</v>
          </cell>
          <cell r="N434">
            <v>0</v>
          </cell>
          <cell r="O434">
            <v>0</v>
          </cell>
          <cell r="P434">
            <v>34</v>
          </cell>
          <cell r="Q434">
            <v>27</v>
          </cell>
          <cell r="R434">
            <v>7</v>
          </cell>
          <cell r="S434">
            <v>188</v>
          </cell>
          <cell r="T434">
            <v>40</v>
          </cell>
        </row>
        <row r="435">
          <cell r="C435" t="str">
            <v>Camas city, Washington</v>
          </cell>
          <cell r="D435">
            <v>220</v>
          </cell>
          <cell r="E435">
            <v>220</v>
          </cell>
          <cell r="F435">
            <v>60</v>
          </cell>
          <cell r="G435">
            <v>160</v>
          </cell>
          <cell r="H435">
            <v>0</v>
          </cell>
          <cell r="I435">
            <v>0</v>
          </cell>
          <cell r="J435">
            <v>22</v>
          </cell>
          <cell r="K435">
            <v>138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220</v>
          </cell>
          <cell r="T435">
            <v>0</v>
          </cell>
        </row>
        <row r="436">
          <cell r="C436" t="str">
            <v>Carbonado town, Washington</v>
          </cell>
          <cell r="D436">
            <v>6</v>
          </cell>
          <cell r="E436">
            <v>6</v>
          </cell>
          <cell r="F436">
            <v>4</v>
          </cell>
          <cell r="G436">
            <v>2</v>
          </cell>
          <cell r="H436">
            <v>2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6</v>
          </cell>
          <cell r="T436">
            <v>0</v>
          </cell>
        </row>
        <row r="437">
          <cell r="C437" t="str">
            <v>Carlsborg CDP, Washington</v>
          </cell>
          <cell r="D437">
            <v>12</v>
          </cell>
          <cell r="E437">
            <v>12</v>
          </cell>
          <cell r="F437">
            <v>6</v>
          </cell>
          <cell r="G437">
            <v>6</v>
          </cell>
          <cell r="H437">
            <v>0</v>
          </cell>
          <cell r="I437">
            <v>0</v>
          </cell>
          <cell r="J437">
            <v>0</v>
          </cell>
          <cell r="K437">
            <v>6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12</v>
          </cell>
          <cell r="T437">
            <v>0</v>
          </cell>
        </row>
        <row r="438">
          <cell r="C438" t="str">
            <v>Carnation city, Washington</v>
          </cell>
          <cell r="D438">
            <v>42</v>
          </cell>
          <cell r="E438">
            <v>30</v>
          </cell>
          <cell r="F438">
            <v>16</v>
          </cell>
          <cell r="G438">
            <v>10</v>
          </cell>
          <cell r="H438">
            <v>0</v>
          </cell>
          <cell r="I438">
            <v>1</v>
          </cell>
          <cell r="J438">
            <v>3</v>
          </cell>
          <cell r="K438">
            <v>6</v>
          </cell>
          <cell r="L438">
            <v>4</v>
          </cell>
          <cell r="M438">
            <v>4</v>
          </cell>
          <cell r="N438">
            <v>0</v>
          </cell>
          <cell r="O438">
            <v>0</v>
          </cell>
          <cell r="P438">
            <v>12</v>
          </cell>
          <cell r="Q438">
            <v>10</v>
          </cell>
          <cell r="R438">
            <v>2</v>
          </cell>
          <cell r="S438">
            <v>26</v>
          </cell>
          <cell r="T438">
            <v>16</v>
          </cell>
        </row>
        <row r="439">
          <cell r="C439" t="str">
            <v>Carson River Valley CDP, Washington</v>
          </cell>
          <cell r="D439">
            <v>68</v>
          </cell>
          <cell r="E439">
            <v>23</v>
          </cell>
          <cell r="F439">
            <v>8</v>
          </cell>
          <cell r="G439">
            <v>11</v>
          </cell>
          <cell r="H439">
            <v>0</v>
          </cell>
          <cell r="I439">
            <v>0</v>
          </cell>
          <cell r="J439">
            <v>0</v>
          </cell>
          <cell r="K439">
            <v>11</v>
          </cell>
          <cell r="L439">
            <v>4</v>
          </cell>
          <cell r="M439">
            <v>0</v>
          </cell>
          <cell r="N439">
            <v>0</v>
          </cell>
          <cell r="O439">
            <v>4</v>
          </cell>
          <cell r="P439">
            <v>45</v>
          </cell>
          <cell r="Q439">
            <v>13</v>
          </cell>
          <cell r="R439">
            <v>32</v>
          </cell>
          <cell r="S439">
            <v>19</v>
          </cell>
          <cell r="T439">
            <v>49</v>
          </cell>
        </row>
        <row r="440">
          <cell r="C440" t="str">
            <v>Cascade-Fairwood CDP, Washington</v>
          </cell>
          <cell r="D440">
            <v>455</v>
          </cell>
          <cell r="E440">
            <v>367</v>
          </cell>
          <cell r="F440">
            <v>202</v>
          </cell>
          <cell r="G440">
            <v>153</v>
          </cell>
          <cell r="H440">
            <v>0</v>
          </cell>
          <cell r="I440">
            <v>10</v>
          </cell>
          <cell r="J440">
            <v>10</v>
          </cell>
          <cell r="K440">
            <v>133</v>
          </cell>
          <cell r="L440">
            <v>12</v>
          </cell>
          <cell r="M440">
            <v>0</v>
          </cell>
          <cell r="N440">
            <v>0</v>
          </cell>
          <cell r="O440">
            <v>12</v>
          </cell>
          <cell r="P440">
            <v>88</v>
          </cell>
          <cell r="Q440">
            <v>45</v>
          </cell>
          <cell r="R440">
            <v>43</v>
          </cell>
          <cell r="S440">
            <v>355</v>
          </cell>
          <cell r="T440">
            <v>100</v>
          </cell>
        </row>
        <row r="441">
          <cell r="C441" t="str">
            <v>Cascade Valley CDP, Washington</v>
          </cell>
          <cell r="D441">
            <v>45</v>
          </cell>
          <cell r="E441">
            <v>36</v>
          </cell>
          <cell r="F441">
            <v>28</v>
          </cell>
          <cell r="G441">
            <v>8</v>
          </cell>
          <cell r="H441">
            <v>0</v>
          </cell>
          <cell r="I441">
            <v>0</v>
          </cell>
          <cell r="J441">
            <v>8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9</v>
          </cell>
          <cell r="Q441">
            <v>0</v>
          </cell>
          <cell r="R441">
            <v>9</v>
          </cell>
          <cell r="S441">
            <v>36</v>
          </cell>
          <cell r="T441">
            <v>9</v>
          </cell>
        </row>
        <row r="442">
          <cell r="C442" t="str">
            <v>Cashmere city, Washington</v>
          </cell>
          <cell r="D442">
            <v>239</v>
          </cell>
          <cell r="E442">
            <v>97</v>
          </cell>
          <cell r="F442">
            <v>51</v>
          </cell>
          <cell r="G442">
            <v>34</v>
          </cell>
          <cell r="H442">
            <v>0</v>
          </cell>
          <cell r="I442">
            <v>0</v>
          </cell>
          <cell r="J442">
            <v>4</v>
          </cell>
          <cell r="K442">
            <v>30</v>
          </cell>
          <cell r="L442">
            <v>12</v>
          </cell>
          <cell r="M442">
            <v>0</v>
          </cell>
          <cell r="N442">
            <v>0</v>
          </cell>
          <cell r="O442">
            <v>12</v>
          </cell>
          <cell r="P442">
            <v>142</v>
          </cell>
          <cell r="Q442">
            <v>19</v>
          </cell>
          <cell r="R442">
            <v>123</v>
          </cell>
          <cell r="S442">
            <v>85</v>
          </cell>
          <cell r="T442">
            <v>154</v>
          </cell>
        </row>
        <row r="443">
          <cell r="C443" t="str">
            <v>Castle Rock city, Washington</v>
          </cell>
          <cell r="D443">
            <v>27</v>
          </cell>
          <cell r="E443">
            <v>27</v>
          </cell>
          <cell r="F443">
            <v>19</v>
          </cell>
          <cell r="G443">
            <v>8</v>
          </cell>
          <cell r="H443">
            <v>0</v>
          </cell>
          <cell r="I443">
            <v>0</v>
          </cell>
          <cell r="J443">
            <v>0</v>
          </cell>
          <cell r="K443">
            <v>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27</v>
          </cell>
          <cell r="T443">
            <v>0</v>
          </cell>
        </row>
        <row r="444">
          <cell r="C444" t="str">
            <v>Cathan CDP, Washington</v>
          </cell>
          <cell r="D444">
            <v>3</v>
          </cell>
          <cell r="E444">
            <v>3</v>
          </cell>
          <cell r="F444">
            <v>3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3</v>
          </cell>
          <cell r="T444">
            <v>0</v>
          </cell>
        </row>
        <row r="445">
          <cell r="C445" t="str">
            <v>Cathcart CDP, Washington</v>
          </cell>
          <cell r="D445">
            <v>60</v>
          </cell>
          <cell r="E445">
            <v>60</v>
          </cell>
          <cell r="F445">
            <v>24</v>
          </cell>
          <cell r="G445">
            <v>36</v>
          </cell>
          <cell r="H445">
            <v>0</v>
          </cell>
          <cell r="I445">
            <v>0</v>
          </cell>
          <cell r="J445">
            <v>0</v>
          </cell>
          <cell r="K445">
            <v>36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60</v>
          </cell>
          <cell r="T445">
            <v>0</v>
          </cell>
        </row>
        <row r="446">
          <cell r="C446" t="str">
            <v>Cathlamet town, Washington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C447" t="str">
            <v>Centerville CDP, Washington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C448" t="str">
            <v>Centralia city, Washington</v>
          </cell>
          <cell r="D448">
            <v>667</v>
          </cell>
          <cell r="E448">
            <v>230</v>
          </cell>
          <cell r="F448">
            <v>139</v>
          </cell>
          <cell r="G448">
            <v>71</v>
          </cell>
          <cell r="H448">
            <v>0</v>
          </cell>
          <cell r="I448">
            <v>7</v>
          </cell>
          <cell r="J448">
            <v>12</v>
          </cell>
          <cell r="K448">
            <v>52</v>
          </cell>
          <cell r="L448">
            <v>20</v>
          </cell>
          <cell r="M448">
            <v>7</v>
          </cell>
          <cell r="N448">
            <v>0</v>
          </cell>
          <cell r="O448">
            <v>13</v>
          </cell>
          <cell r="P448">
            <v>437</v>
          </cell>
          <cell r="Q448">
            <v>85</v>
          </cell>
          <cell r="R448">
            <v>352</v>
          </cell>
          <cell r="S448">
            <v>210</v>
          </cell>
          <cell r="T448">
            <v>457</v>
          </cell>
        </row>
        <row r="449">
          <cell r="C449" t="str">
            <v>Central Park CDP, Washington</v>
          </cell>
          <cell r="D449">
            <v>6</v>
          </cell>
          <cell r="E449">
            <v>6</v>
          </cell>
          <cell r="F449">
            <v>6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6</v>
          </cell>
          <cell r="T449">
            <v>0</v>
          </cell>
        </row>
        <row r="450">
          <cell r="C450" t="str">
            <v>Chehalis city, Washington</v>
          </cell>
          <cell r="D450">
            <v>149</v>
          </cell>
          <cell r="E450">
            <v>104</v>
          </cell>
          <cell r="F450">
            <v>46</v>
          </cell>
          <cell r="G450">
            <v>58</v>
          </cell>
          <cell r="H450">
            <v>0</v>
          </cell>
          <cell r="I450">
            <v>0</v>
          </cell>
          <cell r="J450">
            <v>8</v>
          </cell>
          <cell r="K450">
            <v>50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45</v>
          </cell>
          <cell r="Q450">
            <v>7</v>
          </cell>
          <cell r="R450">
            <v>38</v>
          </cell>
          <cell r="S450">
            <v>104</v>
          </cell>
          <cell r="T450">
            <v>45</v>
          </cell>
        </row>
        <row r="451">
          <cell r="C451" t="str">
            <v>Chehalis Village CDP, Washington</v>
          </cell>
          <cell r="D451">
            <v>2</v>
          </cell>
          <cell r="E451">
            <v>2</v>
          </cell>
          <cell r="F451">
            <v>0</v>
          </cell>
          <cell r="G451">
            <v>2</v>
          </cell>
          <cell r="H451">
            <v>0</v>
          </cell>
          <cell r="I451">
            <v>0</v>
          </cell>
          <cell r="J451">
            <v>0</v>
          </cell>
          <cell r="K451">
            <v>2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</v>
          </cell>
          <cell r="T451">
            <v>0</v>
          </cell>
        </row>
        <row r="452">
          <cell r="C452" t="str">
            <v>Chelan city, Washington</v>
          </cell>
          <cell r="D452">
            <v>194</v>
          </cell>
          <cell r="E452">
            <v>134</v>
          </cell>
          <cell r="F452">
            <v>117</v>
          </cell>
          <cell r="G452">
            <v>17</v>
          </cell>
          <cell r="H452">
            <v>0</v>
          </cell>
          <cell r="I452">
            <v>0</v>
          </cell>
          <cell r="J452">
            <v>0</v>
          </cell>
          <cell r="K452">
            <v>17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60</v>
          </cell>
          <cell r="Q452">
            <v>15</v>
          </cell>
          <cell r="R452">
            <v>45</v>
          </cell>
          <cell r="S452">
            <v>134</v>
          </cell>
          <cell r="T452">
            <v>60</v>
          </cell>
        </row>
        <row r="453">
          <cell r="C453" t="str">
            <v>Cheney city, Washington</v>
          </cell>
          <cell r="D453">
            <v>200</v>
          </cell>
          <cell r="E453">
            <v>171</v>
          </cell>
          <cell r="F453">
            <v>97</v>
          </cell>
          <cell r="G453">
            <v>64</v>
          </cell>
          <cell r="H453">
            <v>0</v>
          </cell>
          <cell r="I453">
            <v>19</v>
          </cell>
          <cell r="J453">
            <v>37</v>
          </cell>
          <cell r="K453">
            <v>8</v>
          </cell>
          <cell r="L453">
            <v>10</v>
          </cell>
          <cell r="M453">
            <v>0</v>
          </cell>
          <cell r="N453">
            <v>0</v>
          </cell>
          <cell r="O453">
            <v>10</v>
          </cell>
          <cell r="P453">
            <v>29</v>
          </cell>
          <cell r="Q453">
            <v>10</v>
          </cell>
          <cell r="R453">
            <v>19</v>
          </cell>
          <cell r="S453">
            <v>161</v>
          </cell>
          <cell r="T453">
            <v>39</v>
          </cell>
        </row>
        <row r="454">
          <cell r="C454" t="str">
            <v>Cherry Grove CDP, Washington</v>
          </cell>
          <cell r="D454">
            <v>11</v>
          </cell>
          <cell r="E454">
            <v>11</v>
          </cell>
          <cell r="F454">
            <v>6</v>
          </cell>
          <cell r="G454">
            <v>5</v>
          </cell>
          <cell r="H454">
            <v>0</v>
          </cell>
          <cell r="I454">
            <v>0</v>
          </cell>
          <cell r="J454">
            <v>0</v>
          </cell>
          <cell r="K454">
            <v>5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11</v>
          </cell>
          <cell r="T454">
            <v>0</v>
          </cell>
        </row>
        <row r="455">
          <cell r="C455" t="str">
            <v>Chewelah city, Washington</v>
          </cell>
          <cell r="D455">
            <v>45</v>
          </cell>
          <cell r="E455">
            <v>39</v>
          </cell>
          <cell r="F455">
            <v>24</v>
          </cell>
          <cell r="G455">
            <v>15</v>
          </cell>
          <cell r="H455">
            <v>0</v>
          </cell>
          <cell r="I455">
            <v>3</v>
          </cell>
          <cell r="J455">
            <v>3</v>
          </cell>
          <cell r="K455">
            <v>9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6</v>
          </cell>
          <cell r="Q455">
            <v>0</v>
          </cell>
          <cell r="R455">
            <v>6</v>
          </cell>
          <cell r="S455">
            <v>39</v>
          </cell>
          <cell r="T455">
            <v>6</v>
          </cell>
        </row>
        <row r="456">
          <cell r="C456" t="str">
            <v>Chinook CDP, Washington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C457" t="str">
            <v>Clarkston city, Washington</v>
          </cell>
          <cell r="D457">
            <v>48</v>
          </cell>
          <cell r="E457">
            <v>30</v>
          </cell>
          <cell r="F457">
            <v>0</v>
          </cell>
          <cell r="G457">
            <v>30</v>
          </cell>
          <cell r="H457">
            <v>0</v>
          </cell>
          <cell r="I457">
            <v>0</v>
          </cell>
          <cell r="J457">
            <v>0</v>
          </cell>
          <cell r="K457">
            <v>30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18</v>
          </cell>
          <cell r="Q457">
            <v>9</v>
          </cell>
          <cell r="R457">
            <v>9</v>
          </cell>
          <cell r="S457">
            <v>30</v>
          </cell>
          <cell r="T457">
            <v>18</v>
          </cell>
        </row>
        <row r="458">
          <cell r="C458" t="str">
            <v>Clarkston Heights-Vineland CDP, Washington</v>
          </cell>
          <cell r="D458">
            <v>55</v>
          </cell>
          <cell r="E458">
            <v>45</v>
          </cell>
          <cell r="F458">
            <v>11</v>
          </cell>
          <cell r="G458">
            <v>34</v>
          </cell>
          <cell r="H458">
            <v>0</v>
          </cell>
          <cell r="I458">
            <v>3</v>
          </cell>
          <cell r="J458">
            <v>0</v>
          </cell>
          <cell r="K458">
            <v>31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10</v>
          </cell>
          <cell r="Q458">
            <v>3</v>
          </cell>
          <cell r="R458">
            <v>7</v>
          </cell>
          <cell r="S458">
            <v>45</v>
          </cell>
          <cell r="T458">
            <v>10</v>
          </cell>
        </row>
        <row r="459">
          <cell r="C459" t="str">
            <v>Clear Lake CDP, Washington</v>
          </cell>
          <cell r="D459">
            <v>26</v>
          </cell>
          <cell r="E459">
            <v>26</v>
          </cell>
          <cell r="F459">
            <v>7</v>
          </cell>
          <cell r="G459">
            <v>19</v>
          </cell>
          <cell r="H459">
            <v>0</v>
          </cell>
          <cell r="I459">
            <v>0</v>
          </cell>
          <cell r="J459">
            <v>0</v>
          </cell>
          <cell r="K459">
            <v>19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26</v>
          </cell>
          <cell r="T459">
            <v>0</v>
          </cell>
        </row>
        <row r="460">
          <cell r="C460" t="str">
            <v>Cle Elum city, Washington</v>
          </cell>
          <cell r="D460">
            <v>32</v>
          </cell>
          <cell r="E460">
            <v>24</v>
          </cell>
          <cell r="F460">
            <v>20</v>
          </cell>
          <cell r="G460">
            <v>4</v>
          </cell>
          <cell r="H460">
            <v>0</v>
          </cell>
          <cell r="I460">
            <v>0</v>
          </cell>
          <cell r="J460">
            <v>0</v>
          </cell>
          <cell r="K460">
            <v>4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8</v>
          </cell>
          <cell r="Q460">
            <v>3</v>
          </cell>
          <cell r="R460">
            <v>5</v>
          </cell>
          <cell r="S460">
            <v>24</v>
          </cell>
          <cell r="T460">
            <v>8</v>
          </cell>
        </row>
        <row r="461">
          <cell r="C461" t="str">
            <v>Clinton CDP, Washington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C462" t="str">
            <v>Clyde Hill city, Washington</v>
          </cell>
          <cell r="D462">
            <v>16</v>
          </cell>
          <cell r="E462">
            <v>16</v>
          </cell>
          <cell r="F462">
            <v>8</v>
          </cell>
          <cell r="G462">
            <v>8</v>
          </cell>
          <cell r="H462">
            <v>0</v>
          </cell>
          <cell r="I462">
            <v>0</v>
          </cell>
          <cell r="J462">
            <v>0</v>
          </cell>
          <cell r="K462">
            <v>8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16</v>
          </cell>
          <cell r="T462">
            <v>0</v>
          </cell>
        </row>
        <row r="463">
          <cell r="C463" t="str">
            <v>Cohassett Beach CDP, Washington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C464" t="str">
            <v>Colfax city, Washington</v>
          </cell>
          <cell r="D464">
            <v>10</v>
          </cell>
          <cell r="E464">
            <v>4</v>
          </cell>
          <cell r="F464">
            <v>4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6</v>
          </cell>
          <cell r="Q464">
            <v>6</v>
          </cell>
          <cell r="R464">
            <v>0</v>
          </cell>
          <cell r="S464">
            <v>4</v>
          </cell>
          <cell r="T464">
            <v>6</v>
          </cell>
        </row>
        <row r="465">
          <cell r="C465" t="str">
            <v>College Place city, Washington</v>
          </cell>
          <cell r="D465">
            <v>413</v>
          </cell>
          <cell r="E465">
            <v>270</v>
          </cell>
          <cell r="F465">
            <v>124</v>
          </cell>
          <cell r="G465">
            <v>131</v>
          </cell>
          <cell r="H465">
            <v>0</v>
          </cell>
          <cell r="I465">
            <v>11</v>
          </cell>
          <cell r="J465">
            <v>36</v>
          </cell>
          <cell r="K465">
            <v>84</v>
          </cell>
          <cell r="L465">
            <v>15</v>
          </cell>
          <cell r="M465">
            <v>8</v>
          </cell>
          <cell r="N465">
            <v>0</v>
          </cell>
          <cell r="O465">
            <v>7</v>
          </cell>
          <cell r="P465">
            <v>143</v>
          </cell>
          <cell r="Q465">
            <v>51</v>
          </cell>
          <cell r="R465">
            <v>92</v>
          </cell>
          <cell r="S465">
            <v>255</v>
          </cell>
          <cell r="T465">
            <v>158</v>
          </cell>
        </row>
        <row r="466">
          <cell r="C466" t="str">
            <v>Colton town, Washington</v>
          </cell>
          <cell r="D466">
            <v>4</v>
          </cell>
          <cell r="E466">
            <v>4</v>
          </cell>
          <cell r="F466">
            <v>4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4</v>
          </cell>
          <cell r="T466">
            <v>0</v>
          </cell>
        </row>
        <row r="467">
          <cell r="C467" t="str">
            <v>Colville city, Washington</v>
          </cell>
          <cell r="D467">
            <v>64</v>
          </cell>
          <cell r="E467">
            <v>64</v>
          </cell>
          <cell r="F467">
            <v>5</v>
          </cell>
          <cell r="G467">
            <v>52</v>
          </cell>
          <cell r="H467">
            <v>0</v>
          </cell>
          <cell r="I467">
            <v>0</v>
          </cell>
          <cell r="J467">
            <v>17</v>
          </cell>
          <cell r="K467">
            <v>35</v>
          </cell>
          <cell r="L467">
            <v>7</v>
          </cell>
          <cell r="M467">
            <v>0</v>
          </cell>
          <cell r="N467">
            <v>0</v>
          </cell>
          <cell r="O467">
            <v>7</v>
          </cell>
          <cell r="P467">
            <v>0</v>
          </cell>
          <cell r="Q467">
            <v>0</v>
          </cell>
          <cell r="R467">
            <v>0</v>
          </cell>
          <cell r="S467">
            <v>57</v>
          </cell>
          <cell r="T467">
            <v>7</v>
          </cell>
        </row>
        <row r="468">
          <cell r="C468" t="str">
            <v>Conconully town, Washington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</row>
        <row r="469">
          <cell r="C469" t="str">
            <v>Concrete town, Washington</v>
          </cell>
          <cell r="D469">
            <v>3</v>
          </cell>
          <cell r="E469">
            <v>3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3</v>
          </cell>
          <cell r="M469">
            <v>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3</v>
          </cell>
        </row>
        <row r="470">
          <cell r="C470" t="str">
            <v>Connell city, Washington</v>
          </cell>
          <cell r="D470">
            <v>387</v>
          </cell>
          <cell r="E470">
            <v>180</v>
          </cell>
          <cell r="F470">
            <v>118</v>
          </cell>
          <cell r="G470">
            <v>61</v>
          </cell>
          <cell r="H470">
            <v>0</v>
          </cell>
          <cell r="I470">
            <v>0</v>
          </cell>
          <cell r="J470">
            <v>18</v>
          </cell>
          <cell r="K470">
            <v>43</v>
          </cell>
          <cell r="L470">
            <v>1</v>
          </cell>
          <cell r="M470">
            <v>0</v>
          </cell>
          <cell r="N470">
            <v>0</v>
          </cell>
          <cell r="O470">
            <v>1</v>
          </cell>
          <cell r="P470">
            <v>207</v>
          </cell>
          <cell r="Q470">
            <v>22</v>
          </cell>
          <cell r="R470">
            <v>185</v>
          </cell>
          <cell r="S470">
            <v>179</v>
          </cell>
          <cell r="T470">
            <v>208</v>
          </cell>
        </row>
        <row r="471">
          <cell r="C471" t="str">
            <v>Conway CDP, Washington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C472" t="str">
            <v>Copalis Beach CDP, Washington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C473" t="str">
            <v>Cosmopolis city, Washington</v>
          </cell>
          <cell r="D473">
            <v>34</v>
          </cell>
          <cell r="E473">
            <v>22</v>
          </cell>
          <cell r="F473">
            <v>20</v>
          </cell>
          <cell r="G473">
            <v>2</v>
          </cell>
          <cell r="H473">
            <v>0</v>
          </cell>
          <cell r="I473">
            <v>0</v>
          </cell>
          <cell r="J473">
            <v>0</v>
          </cell>
          <cell r="K473">
            <v>2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</v>
          </cell>
          <cell r="Q473">
            <v>8</v>
          </cell>
          <cell r="R473">
            <v>4</v>
          </cell>
          <cell r="S473">
            <v>22</v>
          </cell>
          <cell r="T473">
            <v>12</v>
          </cell>
        </row>
        <row r="474">
          <cell r="C474" t="str">
            <v>Cottage Lake CDP, Washington</v>
          </cell>
          <cell r="D474">
            <v>266</v>
          </cell>
          <cell r="E474">
            <v>228</v>
          </cell>
          <cell r="F474">
            <v>40</v>
          </cell>
          <cell r="G474">
            <v>181</v>
          </cell>
          <cell r="H474">
            <v>8</v>
          </cell>
          <cell r="I474">
            <v>0</v>
          </cell>
          <cell r="J474">
            <v>79</v>
          </cell>
          <cell r="K474">
            <v>94</v>
          </cell>
          <cell r="L474">
            <v>7</v>
          </cell>
          <cell r="M474">
            <v>0</v>
          </cell>
          <cell r="N474">
            <v>0</v>
          </cell>
          <cell r="O474">
            <v>7</v>
          </cell>
          <cell r="P474">
            <v>38</v>
          </cell>
          <cell r="Q474">
            <v>14</v>
          </cell>
          <cell r="R474">
            <v>24</v>
          </cell>
          <cell r="S474">
            <v>221</v>
          </cell>
          <cell r="T474">
            <v>45</v>
          </cell>
        </row>
        <row r="475">
          <cell r="C475" t="str">
            <v>Coulee City town, Washington</v>
          </cell>
          <cell r="D475">
            <v>18</v>
          </cell>
          <cell r="E475">
            <v>18</v>
          </cell>
          <cell r="F475">
            <v>15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3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18</v>
          </cell>
          <cell r="T475">
            <v>0</v>
          </cell>
        </row>
        <row r="476">
          <cell r="C476" t="str">
            <v>Coulee Dam town, Washington</v>
          </cell>
          <cell r="D476">
            <v>5</v>
          </cell>
          <cell r="E476">
            <v>5</v>
          </cell>
          <cell r="F476">
            <v>0</v>
          </cell>
          <cell r="G476">
            <v>5</v>
          </cell>
          <cell r="H476">
            <v>0</v>
          </cell>
          <cell r="I476">
            <v>0</v>
          </cell>
          <cell r="J476">
            <v>3</v>
          </cell>
          <cell r="K476">
            <v>2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5</v>
          </cell>
          <cell r="T476">
            <v>0</v>
          </cell>
        </row>
        <row r="477">
          <cell r="C477" t="str">
            <v>Country Homes CDP, Washington</v>
          </cell>
          <cell r="D477">
            <v>8</v>
          </cell>
          <cell r="E477">
            <v>8</v>
          </cell>
          <cell r="F477">
            <v>0</v>
          </cell>
          <cell r="G477">
            <v>8</v>
          </cell>
          <cell r="H477">
            <v>0</v>
          </cell>
          <cell r="I477">
            <v>0</v>
          </cell>
          <cell r="J477">
            <v>0</v>
          </cell>
          <cell r="K477">
            <v>8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8</v>
          </cell>
          <cell r="T477">
            <v>0</v>
          </cell>
        </row>
        <row r="478">
          <cell r="C478" t="str">
            <v>Coupeville town, Washington</v>
          </cell>
          <cell r="D478">
            <v>46</v>
          </cell>
          <cell r="E478">
            <v>37</v>
          </cell>
          <cell r="F478">
            <v>8</v>
          </cell>
          <cell r="G478">
            <v>28</v>
          </cell>
          <cell r="H478">
            <v>3</v>
          </cell>
          <cell r="I478">
            <v>0</v>
          </cell>
          <cell r="J478">
            <v>0</v>
          </cell>
          <cell r="K478">
            <v>25</v>
          </cell>
          <cell r="L478">
            <v>1</v>
          </cell>
          <cell r="M478">
            <v>0</v>
          </cell>
          <cell r="N478">
            <v>1</v>
          </cell>
          <cell r="O478">
            <v>0</v>
          </cell>
          <cell r="P478">
            <v>9</v>
          </cell>
          <cell r="Q478">
            <v>3</v>
          </cell>
          <cell r="R478">
            <v>6</v>
          </cell>
          <cell r="S478">
            <v>36</v>
          </cell>
          <cell r="T478">
            <v>10</v>
          </cell>
        </row>
        <row r="479">
          <cell r="C479" t="str">
            <v>Covington city, Washington</v>
          </cell>
          <cell r="D479">
            <v>233</v>
          </cell>
          <cell r="E479">
            <v>228</v>
          </cell>
          <cell r="F479">
            <v>131</v>
          </cell>
          <cell r="G479">
            <v>93</v>
          </cell>
          <cell r="H479">
            <v>5</v>
          </cell>
          <cell r="I479">
            <v>0</v>
          </cell>
          <cell r="J479">
            <v>25</v>
          </cell>
          <cell r="K479">
            <v>63</v>
          </cell>
          <cell r="L479">
            <v>4</v>
          </cell>
          <cell r="M479">
            <v>0</v>
          </cell>
          <cell r="N479">
            <v>0</v>
          </cell>
          <cell r="O479">
            <v>4</v>
          </cell>
          <cell r="P479">
            <v>5</v>
          </cell>
          <cell r="Q479">
            <v>0</v>
          </cell>
          <cell r="R479">
            <v>5</v>
          </cell>
          <cell r="S479">
            <v>224</v>
          </cell>
          <cell r="T479">
            <v>9</v>
          </cell>
        </row>
        <row r="480">
          <cell r="C480" t="str">
            <v>Creston town, Washington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</row>
        <row r="481">
          <cell r="C481" t="str">
            <v>Cusick town, Washington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C482" t="str">
            <v>Custer CDP, Washington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C483" t="str">
            <v>Dallesport CDP, Washington</v>
          </cell>
          <cell r="D483">
            <v>5</v>
          </cell>
          <cell r="E483">
            <v>5</v>
          </cell>
          <cell r="F483">
            <v>0</v>
          </cell>
          <cell r="G483">
            <v>5</v>
          </cell>
          <cell r="H483">
            <v>0</v>
          </cell>
          <cell r="I483">
            <v>0</v>
          </cell>
          <cell r="J483">
            <v>0</v>
          </cell>
          <cell r="K483">
            <v>5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5</v>
          </cell>
          <cell r="T483">
            <v>0</v>
          </cell>
        </row>
        <row r="484">
          <cell r="C484" t="str">
            <v>Darrington town, Washington</v>
          </cell>
          <cell r="D484">
            <v>10</v>
          </cell>
          <cell r="E484">
            <v>5</v>
          </cell>
          <cell r="F484">
            <v>0</v>
          </cell>
          <cell r="G484">
            <v>5</v>
          </cell>
          <cell r="H484">
            <v>0</v>
          </cell>
          <cell r="I484">
            <v>5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5</v>
          </cell>
          <cell r="Q484">
            <v>5</v>
          </cell>
          <cell r="R484">
            <v>0</v>
          </cell>
          <cell r="S484">
            <v>5</v>
          </cell>
          <cell r="T484">
            <v>5</v>
          </cell>
        </row>
        <row r="485">
          <cell r="C485" t="str">
            <v>Davenport city, Washington</v>
          </cell>
          <cell r="D485">
            <v>15</v>
          </cell>
          <cell r="E485">
            <v>15</v>
          </cell>
          <cell r="F485">
            <v>6</v>
          </cell>
          <cell r="G485">
            <v>9</v>
          </cell>
          <cell r="H485">
            <v>0</v>
          </cell>
          <cell r="I485">
            <v>1</v>
          </cell>
          <cell r="J485">
            <v>2</v>
          </cell>
          <cell r="K485">
            <v>6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15</v>
          </cell>
          <cell r="T485">
            <v>0</v>
          </cell>
        </row>
        <row r="486">
          <cell r="C486" t="str">
            <v>Dayton city, Washington</v>
          </cell>
          <cell r="D486">
            <v>89</v>
          </cell>
          <cell r="E486">
            <v>77</v>
          </cell>
          <cell r="F486">
            <v>54</v>
          </cell>
          <cell r="G486">
            <v>23</v>
          </cell>
          <cell r="H486">
            <v>0</v>
          </cell>
          <cell r="I486">
            <v>0</v>
          </cell>
          <cell r="J486">
            <v>0</v>
          </cell>
          <cell r="K486">
            <v>23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12</v>
          </cell>
          <cell r="Q486">
            <v>4</v>
          </cell>
          <cell r="R486">
            <v>8</v>
          </cell>
          <cell r="S486">
            <v>77</v>
          </cell>
          <cell r="T486">
            <v>12</v>
          </cell>
        </row>
        <row r="487">
          <cell r="C487" t="str">
            <v>Deer Park city, Washington</v>
          </cell>
          <cell r="D487">
            <v>34</v>
          </cell>
          <cell r="E487">
            <v>34</v>
          </cell>
          <cell r="F487">
            <v>17</v>
          </cell>
          <cell r="G487">
            <v>12</v>
          </cell>
          <cell r="H487">
            <v>0</v>
          </cell>
          <cell r="I487">
            <v>0</v>
          </cell>
          <cell r="J487">
            <v>4</v>
          </cell>
          <cell r="K487">
            <v>8</v>
          </cell>
          <cell r="L487">
            <v>5</v>
          </cell>
          <cell r="M487">
            <v>0</v>
          </cell>
          <cell r="N487">
            <v>0</v>
          </cell>
          <cell r="O487">
            <v>5</v>
          </cell>
          <cell r="P487">
            <v>0</v>
          </cell>
          <cell r="Q487">
            <v>0</v>
          </cell>
          <cell r="R487">
            <v>0</v>
          </cell>
          <cell r="S487">
            <v>29</v>
          </cell>
          <cell r="T487">
            <v>5</v>
          </cell>
        </row>
        <row r="488">
          <cell r="C488" t="str">
            <v>Deming CDP, Washington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</row>
        <row r="489">
          <cell r="C489" t="str">
            <v>Desert Aire CDP, Washington</v>
          </cell>
          <cell r="D489">
            <v>227</v>
          </cell>
          <cell r="E489">
            <v>111</v>
          </cell>
          <cell r="F489">
            <v>96</v>
          </cell>
          <cell r="G489">
            <v>15</v>
          </cell>
          <cell r="H489">
            <v>0</v>
          </cell>
          <cell r="I489">
            <v>0</v>
          </cell>
          <cell r="J489">
            <v>8</v>
          </cell>
          <cell r="K489">
            <v>7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116</v>
          </cell>
          <cell r="Q489">
            <v>8</v>
          </cell>
          <cell r="R489">
            <v>108</v>
          </cell>
          <cell r="S489">
            <v>111</v>
          </cell>
          <cell r="T489">
            <v>116</v>
          </cell>
        </row>
        <row r="490">
          <cell r="C490" t="str">
            <v>Des Moines city, Washington</v>
          </cell>
          <cell r="D490">
            <v>700</v>
          </cell>
          <cell r="E490">
            <v>517</v>
          </cell>
          <cell r="F490">
            <v>179</v>
          </cell>
          <cell r="G490">
            <v>318</v>
          </cell>
          <cell r="H490">
            <v>51</v>
          </cell>
          <cell r="I490">
            <v>8</v>
          </cell>
          <cell r="J490">
            <v>44</v>
          </cell>
          <cell r="K490">
            <v>215</v>
          </cell>
          <cell r="L490">
            <v>20</v>
          </cell>
          <cell r="M490">
            <v>8</v>
          </cell>
          <cell r="N490">
            <v>0</v>
          </cell>
          <cell r="O490">
            <v>12</v>
          </cell>
          <cell r="P490">
            <v>183</v>
          </cell>
          <cell r="Q490">
            <v>36</v>
          </cell>
          <cell r="R490">
            <v>147</v>
          </cell>
          <cell r="S490">
            <v>497</v>
          </cell>
          <cell r="T490">
            <v>203</v>
          </cell>
        </row>
        <row r="491">
          <cell r="C491" t="str">
            <v>Dishman CDP, Washington</v>
          </cell>
          <cell r="D491">
            <v>154</v>
          </cell>
          <cell r="E491">
            <v>124</v>
          </cell>
          <cell r="F491">
            <v>65</v>
          </cell>
          <cell r="G491">
            <v>52</v>
          </cell>
          <cell r="H491">
            <v>0</v>
          </cell>
          <cell r="I491">
            <v>5</v>
          </cell>
          <cell r="J491">
            <v>0</v>
          </cell>
          <cell r="K491">
            <v>47</v>
          </cell>
          <cell r="L491">
            <v>7</v>
          </cell>
          <cell r="M491">
            <v>0</v>
          </cell>
          <cell r="N491">
            <v>0</v>
          </cell>
          <cell r="O491">
            <v>7</v>
          </cell>
          <cell r="P491">
            <v>30</v>
          </cell>
          <cell r="Q491">
            <v>9</v>
          </cell>
          <cell r="R491">
            <v>21</v>
          </cell>
          <cell r="S491">
            <v>117</v>
          </cell>
          <cell r="T491">
            <v>37</v>
          </cell>
        </row>
        <row r="492">
          <cell r="C492" t="str">
            <v>Dixie CDP, Washington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</row>
        <row r="493">
          <cell r="C493" t="str">
            <v>Dollar Corner CDP, Washington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</row>
        <row r="494">
          <cell r="C494" t="str">
            <v>DuPont city, Washington</v>
          </cell>
          <cell r="D494">
            <v>113</v>
          </cell>
          <cell r="E494">
            <v>82</v>
          </cell>
          <cell r="F494">
            <v>18</v>
          </cell>
          <cell r="G494">
            <v>64</v>
          </cell>
          <cell r="H494">
            <v>0</v>
          </cell>
          <cell r="I494">
            <v>5</v>
          </cell>
          <cell r="J494">
            <v>21</v>
          </cell>
          <cell r="K494">
            <v>38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31</v>
          </cell>
          <cell r="Q494">
            <v>7</v>
          </cell>
          <cell r="R494">
            <v>24</v>
          </cell>
          <cell r="S494">
            <v>82</v>
          </cell>
          <cell r="T494">
            <v>31</v>
          </cell>
        </row>
        <row r="495">
          <cell r="C495" t="str">
            <v>Duvall city, Washington</v>
          </cell>
          <cell r="D495">
            <v>67</v>
          </cell>
          <cell r="E495">
            <v>59</v>
          </cell>
          <cell r="F495">
            <v>43</v>
          </cell>
          <cell r="G495">
            <v>16</v>
          </cell>
          <cell r="H495">
            <v>8</v>
          </cell>
          <cell r="I495">
            <v>0</v>
          </cell>
          <cell r="J495">
            <v>0</v>
          </cell>
          <cell r="K495">
            <v>8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8</v>
          </cell>
          <cell r="Q495">
            <v>8</v>
          </cell>
          <cell r="R495">
            <v>0</v>
          </cell>
          <cell r="S495">
            <v>59</v>
          </cell>
          <cell r="T495">
            <v>8</v>
          </cell>
        </row>
        <row r="496">
          <cell r="C496" t="str">
            <v>East Cathlamet CDP, Washington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</row>
        <row r="497">
          <cell r="C497" t="str">
            <v>Eastgate CDP, Washington</v>
          </cell>
          <cell r="D497">
            <v>141</v>
          </cell>
          <cell r="E497">
            <v>42</v>
          </cell>
          <cell r="F497">
            <v>9</v>
          </cell>
          <cell r="G497">
            <v>33</v>
          </cell>
          <cell r="H497">
            <v>0</v>
          </cell>
          <cell r="I497">
            <v>0</v>
          </cell>
          <cell r="J497">
            <v>9</v>
          </cell>
          <cell r="K497">
            <v>24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99</v>
          </cell>
          <cell r="Q497">
            <v>5</v>
          </cell>
          <cell r="R497">
            <v>94</v>
          </cell>
          <cell r="S497">
            <v>42</v>
          </cell>
          <cell r="T497">
            <v>99</v>
          </cell>
        </row>
        <row r="498">
          <cell r="C498" t="str">
            <v>East Hill-Meridian CDP, Washington</v>
          </cell>
          <cell r="D498">
            <v>599</v>
          </cell>
          <cell r="E498">
            <v>510</v>
          </cell>
          <cell r="F498">
            <v>180</v>
          </cell>
          <cell r="G498">
            <v>288</v>
          </cell>
          <cell r="H498">
            <v>11</v>
          </cell>
          <cell r="I498">
            <v>16</v>
          </cell>
          <cell r="J498">
            <v>37</v>
          </cell>
          <cell r="K498">
            <v>224</v>
          </cell>
          <cell r="L498">
            <v>42</v>
          </cell>
          <cell r="M498">
            <v>25</v>
          </cell>
          <cell r="N498">
            <v>0</v>
          </cell>
          <cell r="O498">
            <v>17</v>
          </cell>
          <cell r="P498">
            <v>89</v>
          </cell>
          <cell r="Q498">
            <v>16</v>
          </cell>
          <cell r="R498">
            <v>73</v>
          </cell>
          <cell r="S498">
            <v>468</v>
          </cell>
          <cell r="T498">
            <v>131</v>
          </cell>
        </row>
        <row r="499">
          <cell r="C499" t="str">
            <v>Easton CDP, Washington</v>
          </cell>
          <cell r="D499">
            <v>20</v>
          </cell>
          <cell r="E499">
            <v>7</v>
          </cell>
          <cell r="F499">
            <v>7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13</v>
          </cell>
          <cell r="Q499">
            <v>0</v>
          </cell>
          <cell r="R499">
            <v>13</v>
          </cell>
          <cell r="S499">
            <v>7</v>
          </cell>
          <cell r="T499">
            <v>13</v>
          </cell>
        </row>
        <row r="500">
          <cell r="C500" t="str">
            <v>East Port Orchard CDP, Washington</v>
          </cell>
          <cell r="D500">
            <v>95</v>
          </cell>
          <cell r="E500">
            <v>72</v>
          </cell>
          <cell r="F500">
            <v>39</v>
          </cell>
          <cell r="G500">
            <v>27</v>
          </cell>
          <cell r="H500">
            <v>7</v>
          </cell>
          <cell r="I500">
            <v>0</v>
          </cell>
          <cell r="J500">
            <v>0</v>
          </cell>
          <cell r="K500">
            <v>20</v>
          </cell>
          <cell r="L500">
            <v>6</v>
          </cell>
          <cell r="M500">
            <v>0</v>
          </cell>
          <cell r="N500">
            <v>0</v>
          </cell>
          <cell r="O500">
            <v>6</v>
          </cell>
          <cell r="P500">
            <v>23</v>
          </cell>
          <cell r="Q500">
            <v>8</v>
          </cell>
          <cell r="R500">
            <v>15</v>
          </cell>
          <cell r="S500">
            <v>66</v>
          </cell>
          <cell r="T500">
            <v>29</v>
          </cell>
        </row>
        <row r="501">
          <cell r="C501" t="str">
            <v>East Renton Highlands CDP, Washington</v>
          </cell>
          <cell r="D501">
            <v>300</v>
          </cell>
          <cell r="E501">
            <v>153</v>
          </cell>
          <cell r="F501">
            <v>101</v>
          </cell>
          <cell r="G501">
            <v>52</v>
          </cell>
          <cell r="H501">
            <v>6</v>
          </cell>
          <cell r="I501">
            <v>8</v>
          </cell>
          <cell r="J501">
            <v>9</v>
          </cell>
          <cell r="K501">
            <v>29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147</v>
          </cell>
          <cell r="Q501">
            <v>49</v>
          </cell>
          <cell r="R501">
            <v>98</v>
          </cell>
          <cell r="S501">
            <v>153</v>
          </cell>
          <cell r="T501">
            <v>147</v>
          </cell>
        </row>
        <row r="502">
          <cell r="C502" t="str">
            <v>East Wenatchee city, Washington</v>
          </cell>
          <cell r="D502">
            <v>279</v>
          </cell>
          <cell r="E502">
            <v>154</v>
          </cell>
          <cell r="F502">
            <v>115</v>
          </cell>
          <cell r="G502">
            <v>21</v>
          </cell>
          <cell r="H502">
            <v>0</v>
          </cell>
          <cell r="I502">
            <v>0</v>
          </cell>
          <cell r="J502">
            <v>0</v>
          </cell>
          <cell r="K502">
            <v>21</v>
          </cell>
          <cell r="L502">
            <v>18</v>
          </cell>
          <cell r="M502">
            <v>18</v>
          </cell>
          <cell r="N502">
            <v>0</v>
          </cell>
          <cell r="O502">
            <v>0</v>
          </cell>
          <cell r="P502">
            <v>125</v>
          </cell>
          <cell r="Q502">
            <v>41</v>
          </cell>
          <cell r="R502">
            <v>84</v>
          </cell>
          <cell r="S502">
            <v>136</v>
          </cell>
          <cell r="T502">
            <v>143</v>
          </cell>
        </row>
        <row r="503">
          <cell r="C503" t="str">
            <v>East Wenatchee Bench CDP, Washington</v>
          </cell>
          <cell r="D503">
            <v>726</v>
          </cell>
          <cell r="E503">
            <v>316</v>
          </cell>
          <cell r="F503">
            <v>228</v>
          </cell>
          <cell r="G503">
            <v>88</v>
          </cell>
          <cell r="H503">
            <v>0</v>
          </cell>
          <cell r="I503">
            <v>10</v>
          </cell>
          <cell r="J503">
            <v>8</v>
          </cell>
          <cell r="K503">
            <v>70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410</v>
          </cell>
          <cell r="Q503">
            <v>105</v>
          </cell>
          <cell r="R503">
            <v>305</v>
          </cell>
          <cell r="S503">
            <v>316</v>
          </cell>
          <cell r="T503">
            <v>410</v>
          </cell>
        </row>
        <row r="504">
          <cell r="C504" t="str">
            <v>Eatonville town, Washington</v>
          </cell>
          <cell r="D504">
            <v>34</v>
          </cell>
          <cell r="E504">
            <v>34</v>
          </cell>
          <cell r="F504">
            <v>14</v>
          </cell>
          <cell r="G504">
            <v>20</v>
          </cell>
          <cell r="H504">
            <v>5</v>
          </cell>
          <cell r="I504">
            <v>0</v>
          </cell>
          <cell r="J504">
            <v>0</v>
          </cell>
          <cell r="K504">
            <v>15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34</v>
          </cell>
          <cell r="T504">
            <v>0</v>
          </cell>
        </row>
        <row r="505">
          <cell r="C505" t="str">
            <v>Echo Lake CDP, Washington</v>
          </cell>
          <cell r="D505">
            <v>5</v>
          </cell>
          <cell r="E505">
            <v>5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5</v>
          </cell>
          <cell r="M505">
            <v>5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5</v>
          </cell>
        </row>
        <row r="506">
          <cell r="C506" t="str">
            <v>Edgewood city, Washington</v>
          </cell>
          <cell r="D506">
            <v>131</v>
          </cell>
          <cell r="E506">
            <v>108</v>
          </cell>
          <cell r="F506">
            <v>64</v>
          </cell>
          <cell r="G506">
            <v>38</v>
          </cell>
          <cell r="H506">
            <v>10</v>
          </cell>
          <cell r="I506">
            <v>15</v>
          </cell>
          <cell r="J506">
            <v>10</v>
          </cell>
          <cell r="K506">
            <v>3</v>
          </cell>
          <cell r="L506">
            <v>6</v>
          </cell>
          <cell r="M506">
            <v>0</v>
          </cell>
          <cell r="N506">
            <v>0</v>
          </cell>
          <cell r="O506">
            <v>6</v>
          </cell>
          <cell r="P506">
            <v>23</v>
          </cell>
          <cell r="Q506">
            <v>23</v>
          </cell>
          <cell r="R506">
            <v>0</v>
          </cell>
          <cell r="S506">
            <v>102</v>
          </cell>
          <cell r="T506">
            <v>29</v>
          </cell>
        </row>
        <row r="507">
          <cell r="C507" t="str">
            <v>Edison CDP, Washington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</row>
        <row r="508">
          <cell r="C508" t="str">
            <v>Edmonds city, Washington</v>
          </cell>
          <cell r="D508">
            <v>606</v>
          </cell>
          <cell r="E508">
            <v>390</v>
          </cell>
          <cell r="F508">
            <v>97</v>
          </cell>
          <cell r="G508">
            <v>277</v>
          </cell>
          <cell r="H508">
            <v>0</v>
          </cell>
          <cell r="I508">
            <v>28</v>
          </cell>
          <cell r="J508">
            <v>68</v>
          </cell>
          <cell r="K508">
            <v>181</v>
          </cell>
          <cell r="L508">
            <v>16</v>
          </cell>
          <cell r="M508">
            <v>0</v>
          </cell>
          <cell r="N508">
            <v>0</v>
          </cell>
          <cell r="O508">
            <v>16</v>
          </cell>
          <cell r="P508">
            <v>216</v>
          </cell>
          <cell r="Q508">
            <v>87</v>
          </cell>
          <cell r="R508">
            <v>129</v>
          </cell>
          <cell r="S508">
            <v>374</v>
          </cell>
          <cell r="T508">
            <v>232</v>
          </cell>
        </row>
        <row r="509">
          <cell r="C509" t="str">
            <v>Elbe CDP, Washington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</row>
        <row r="510">
          <cell r="C510" t="str">
            <v>Electric City town, Washington</v>
          </cell>
          <cell r="D510">
            <v>5</v>
          </cell>
          <cell r="E510">
            <v>5</v>
          </cell>
          <cell r="F510">
            <v>5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5</v>
          </cell>
          <cell r="T510">
            <v>0</v>
          </cell>
        </row>
        <row r="511">
          <cell r="C511" t="str">
            <v>Elk Plain CDP, Washington</v>
          </cell>
          <cell r="D511">
            <v>307</v>
          </cell>
          <cell r="E511">
            <v>291</v>
          </cell>
          <cell r="F511">
            <v>132</v>
          </cell>
          <cell r="G511">
            <v>145</v>
          </cell>
          <cell r="H511">
            <v>10</v>
          </cell>
          <cell r="I511">
            <v>0</v>
          </cell>
          <cell r="J511">
            <v>8</v>
          </cell>
          <cell r="K511">
            <v>127</v>
          </cell>
          <cell r="L511">
            <v>14</v>
          </cell>
          <cell r="M511">
            <v>4</v>
          </cell>
          <cell r="N511">
            <v>0</v>
          </cell>
          <cell r="O511">
            <v>10</v>
          </cell>
          <cell r="P511">
            <v>16</v>
          </cell>
          <cell r="Q511">
            <v>16</v>
          </cell>
          <cell r="R511">
            <v>0</v>
          </cell>
          <cell r="S511">
            <v>277</v>
          </cell>
          <cell r="T511">
            <v>30</v>
          </cell>
        </row>
        <row r="512">
          <cell r="C512" t="str">
            <v>Ellensburg city, Washington</v>
          </cell>
          <cell r="D512">
            <v>549</v>
          </cell>
          <cell r="E512">
            <v>360</v>
          </cell>
          <cell r="F512">
            <v>232</v>
          </cell>
          <cell r="G512">
            <v>128</v>
          </cell>
          <cell r="H512">
            <v>14</v>
          </cell>
          <cell r="I512">
            <v>0</v>
          </cell>
          <cell r="J512">
            <v>34</v>
          </cell>
          <cell r="K512">
            <v>80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189</v>
          </cell>
          <cell r="Q512">
            <v>46</v>
          </cell>
          <cell r="R512">
            <v>143</v>
          </cell>
          <cell r="S512">
            <v>360</v>
          </cell>
          <cell r="T512">
            <v>189</v>
          </cell>
        </row>
        <row r="513">
          <cell r="C513" t="str">
            <v>Elma city, Washington</v>
          </cell>
          <cell r="D513">
            <v>42</v>
          </cell>
          <cell r="E513">
            <v>34</v>
          </cell>
          <cell r="F513">
            <v>19</v>
          </cell>
          <cell r="G513">
            <v>15</v>
          </cell>
          <cell r="H513">
            <v>0</v>
          </cell>
          <cell r="I513">
            <v>6</v>
          </cell>
          <cell r="J513">
            <v>0</v>
          </cell>
          <cell r="K513">
            <v>9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8</v>
          </cell>
          <cell r="Q513">
            <v>0</v>
          </cell>
          <cell r="R513">
            <v>8</v>
          </cell>
          <cell r="S513">
            <v>34</v>
          </cell>
          <cell r="T513">
            <v>8</v>
          </cell>
        </row>
        <row r="514">
          <cell r="C514" t="str">
            <v>Elmer City town, Washington</v>
          </cell>
          <cell r="D514">
            <v>8</v>
          </cell>
          <cell r="E514">
            <v>8</v>
          </cell>
          <cell r="F514">
            <v>5</v>
          </cell>
          <cell r="G514">
            <v>3</v>
          </cell>
          <cell r="H514">
            <v>0</v>
          </cell>
          <cell r="I514">
            <v>0</v>
          </cell>
          <cell r="J514">
            <v>0</v>
          </cell>
          <cell r="K514">
            <v>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8</v>
          </cell>
          <cell r="T514">
            <v>0</v>
          </cell>
        </row>
        <row r="515">
          <cell r="C515" t="str">
            <v>Endicott town, Washington</v>
          </cell>
          <cell r="D515">
            <v>2</v>
          </cell>
          <cell r="E515">
            <v>2</v>
          </cell>
          <cell r="F515">
            <v>2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</v>
          </cell>
          <cell r="T515">
            <v>0</v>
          </cell>
        </row>
        <row r="516">
          <cell r="C516" t="str">
            <v>Entiat city, Washington</v>
          </cell>
          <cell r="D516">
            <v>56</v>
          </cell>
          <cell r="E516">
            <v>32</v>
          </cell>
          <cell r="F516">
            <v>25</v>
          </cell>
          <cell r="G516">
            <v>7</v>
          </cell>
          <cell r="H516">
            <v>0</v>
          </cell>
          <cell r="I516">
            <v>0</v>
          </cell>
          <cell r="J516">
            <v>0</v>
          </cell>
          <cell r="K516">
            <v>7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24</v>
          </cell>
          <cell r="Q516">
            <v>9</v>
          </cell>
          <cell r="R516">
            <v>15</v>
          </cell>
          <cell r="S516">
            <v>32</v>
          </cell>
          <cell r="T516">
            <v>24</v>
          </cell>
        </row>
        <row r="517">
          <cell r="C517" t="str">
            <v>Enumclaw city, Washington</v>
          </cell>
          <cell r="D517">
            <v>255</v>
          </cell>
          <cell r="E517">
            <v>245</v>
          </cell>
          <cell r="F517">
            <v>82</v>
          </cell>
          <cell r="G517">
            <v>160</v>
          </cell>
          <cell r="H517">
            <v>5</v>
          </cell>
          <cell r="I517">
            <v>4</v>
          </cell>
          <cell r="J517">
            <v>5</v>
          </cell>
          <cell r="K517">
            <v>146</v>
          </cell>
          <cell r="L517">
            <v>3</v>
          </cell>
          <cell r="M517">
            <v>3</v>
          </cell>
          <cell r="N517">
            <v>0</v>
          </cell>
          <cell r="O517">
            <v>0</v>
          </cell>
          <cell r="P517">
            <v>10</v>
          </cell>
          <cell r="Q517">
            <v>6</v>
          </cell>
          <cell r="R517">
            <v>4</v>
          </cell>
          <cell r="S517">
            <v>242</v>
          </cell>
          <cell r="T517">
            <v>13</v>
          </cell>
        </row>
        <row r="518">
          <cell r="C518" t="str">
            <v>Ephrata city, Washington</v>
          </cell>
          <cell r="D518">
            <v>257</v>
          </cell>
          <cell r="E518">
            <v>149</v>
          </cell>
          <cell r="F518">
            <v>68</v>
          </cell>
          <cell r="G518">
            <v>81</v>
          </cell>
          <cell r="H518">
            <v>0</v>
          </cell>
          <cell r="I518">
            <v>0</v>
          </cell>
          <cell r="J518">
            <v>9</v>
          </cell>
          <cell r="K518">
            <v>72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108</v>
          </cell>
          <cell r="Q518">
            <v>8</v>
          </cell>
          <cell r="R518">
            <v>100</v>
          </cell>
          <cell r="S518">
            <v>149</v>
          </cell>
          <cell r="T518">
            <v>108</v>
          </cell>
        </row>
        <row r="519">
          <cell r="C519" t="str">
            <v>Erlands Point-Kitsap Lake CDP, Washington</v>
          </cell>
          <cell r="D519">
            <v>44</v>
          </cell>
          <cell r="E519">
            <v>40</v>
          </cell>
          <cell r="F519">
            <v>24</v>
          </cell>
          <cell r="G519">
            <v>9</v>
          </cell>
          <cell r="H519">
            <v>0</v>
          </cell>
          <cell r="I519">
            <v>0</v>
          </cell>
          <cell r="J519">
            <v>0</v>
          </cell>
          <cell r="K519">
            <v>9</v>
          </cell>
          <cell r="L519">
            <v>7</v>
          </cell>
          <cell r="M519">
            <v>7</v>
          </cell>
          <cell r="N519">
            <v>0</v>
          </cell>
          <cell r="O519">
            <v>0</v>
          </cell>
          <cell r="P519">
            <v>4</v>
          </cell>
          <cell r="Q519">
            <v>4</v>
          </cell>
          <cell r="R519">
            <v>0</v>
          </cell>
          <cell r="S519">
            <v>33</v>
          </cell>
          <cell r="T519">
            <v>11</v>
          </cell>
        </row>
        <row r="520">
          <cell r="C520" t="str">
            <v>Eschbach CDP, Washington</v>
          </cell>
          <cell r="D520">
            <v>28</v>
          </cell>
          <cell r="E520">
            <v>17</v>
          </cell>
          <cell r="F520">
            <v>17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</v>
          </cell>
          <cell r="Q520">
            <v>0</v>
          </cell>
          <cell r="R520">
            <v>11</v>
          </cell>
          <cell r="S520">
            <v>17</v>
          </cell>
          <cell r="T520">
            <v>11</v>
          </cell>
        </row>
        <row r="521">
          <cell r="C521" t="str">
            <v>Esperance CDP, Washington</v>
          </cell>
          <cell r="D521">
            <v>75</v>
          </cell>
          <cell r="E521">
            <v>46</v>
          </cell>
          <cell r="F521">
            <v>10</v>
          </cell>
          <cell r="G521">
            <v>36</v>
          </cell>
          <cell r="H521">
            <v>0</v>
          </cell>
          <cell r="I521">
            <v>29</v>
          </cell>
          <cell r="J521">
            <v>0</v>
          </cell>
          <cell r="K521">
            <v>7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29</v>
          </cell>
          <cell r="Q521">
            <v>10</v>
          </cell>
          <cell r="R521">
            <v>19</v>
          </cell>
          <cell r="S521">
            <v>46</v>
          </cell>
          <cell r="T521">
            <v>29</v>
          </cell>
        </row>
        <row r="522">
          <cell r="C522" t="str">
            <v>Everett city, Washington</v>
          </cell>
          <cell r="D522">
            <v>2622</v>
          </cell>
          <cell r="E522">
            <v>1837</v>
          </cell>
          <cell r="F522">
            <v>738</v>
          </cell>
          <cell r="G522">
            <v>1072</v>
          </cell>
          <cell r="H522">
            <v>55</v>
          </cell>
          <cell r="I522">
            <v>36</v>
          </cell>
          <cell r="J522">
            <v>227</v>
          </cell>
          <cell r="K522">
            <v>754</v>
          </cell>
          <cell r="L522">
            <v>27</v>
          </cell>
          <cell r="M522">
            <v>9</v>
          </cell>
          <cell r="N522">
            <v>0</v>
          </cell>
          <cell r="O522">
            <v>18</v>
          </cell>
          <cell r="P522">
            <v>785</v>
          </cell>
          <cell r="Q522">
            <v>205</v>
          </cell>
          <cell r="R522">
            <v>580</v>
          </cell>
          <cell r="S522">
            <v>1810</v>
          </cell>
          <cell r="T522">
            <v>812</v>
          </cell>
        </row>
        <row r="523">
          <cell r="C523" t="str">
            <v>Everson city, Washington</v>
          </cell>
          <cell r="D523">
            <v>236</v>
          </cell>
          <cell r="E523">
            <v>117</v>
          </cell>
          <cell r="F523">
            <v>69</v>
          </cell>
          <cell r="G523">
            <v>48</v>
          </cell>
          <cell r="H523">
            <v>0</v>
          </cell>
          <cell r="I523">
            <v>0</v>
          </cell>
          <cell r="J523">
            <v>9</v>
          </cell>
          <cell r="K523">
            <v>39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119</v>
          </cell>
          <cell r="Q523">
            <v>9</v>
          </cell>
          <cell r="R523">
            <v>110</v>
          </cell>
          <cell r="S523">
            <v>117</v>
          </cell>
          <cell r="T523">
            <v>119</v>
          </cell>
        </row>
        <row r="524">
          <cell r="C524" t="str">
            <v>Fairchild AFB CDP, Washington</v>
          </cell>
          <cell r="D524">
            <v>105</v>
          </cell>
          <cell r="E524">
            <v>94</v>
          </cell>
          <cell r="F524">
            <v>5</v>
          </cell>
          <cell r="G524">
            <v>81</v>
          </cell>
          <cell r="H524">
            <v>0</v>
          </cell>
          <cell r="I524">
            <v>16</v>
          </cell>
          <cell r="J524">
            <v>18</v>
          </cell>
          <cell r="K524">
            <v>47</v>
          </cell>
          <cell r="L524">
            <v>8</v>
          </cell>
          <cell r="M524">
            <v>0</v>
          </cell>
          <cell r="N524">
            <v>0</v>
          </cell>
          <cell r="O524">
            <v>8</v>
          </cell>
          <cell r="P524">
            <v>11</v>
          </cell>
          <cell r="Q524">
            <v>5</v>
          </cell>
          <cell r="R524">
            <v>6</v>
          </cell>
          <cell r="S524">
            <v>86</v>
          </cell>
          <cell r="T524">
            <v>19</v>
          </cell>
        </row>
        <row r="525">
          <cell r="C525" t="str">
            <v>Fairfield town, Washington</v>
          </cell>
          <cell r="D525">
            <v>7</v>
          </cell>
          <cell r="E525">
            <v>7</v>
          </cell>
          <cell r="F525">
            <v>3</v>
          </cell>
          <cell r="G525">
            <v>4</v>
          </cell>
          <cell r="H525">
            <v>0</v>
          </cell>
          <cell r="I525">
            <v>0</v>
          </cell>
          <cell r="J525">
            <v>0</v>
          </cell>
          <cell r="K525">
            <v>4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7</v>
          </cell>
          <cell r="T525">
            <v>0</v>
          </cell>
        </row>
        <row r="526">
          <cell r="C526" t="str">
            <v>Fairwood CDP, Washington</v>
          </cell>
          <cell r="D526">
            <v>90</v>
          </cell>
          <cell r="E526">
            <v>78</v>
          </cell>
          <cell r="F526">
            <v>52</v>
          </cell>
          <cell r="G526">
            <v>26</v>
          </cell>
          <cell r="H526">
            <v>0</v>
          </cell>
          <cell r="I526">
            <v>0</v>
          </cell>
          <cell r="J526">
            <v>0</v>
          </cell>
          <cell r="K526">
            <v>26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12</v>
          </cell>
          <cell r="Q526">
            <v>12</v>
          </cell>
          <cell r="R526">
            <v>0</v>
          </cell>
          <cell r="S526">
            <v>78</v>
          </cell>
          <cell r="T526">
            <v>12</v>
          </cell>
        </row>
        <row r="527">
          <cell r="C527" t="str">
            <v>Fall City CDP, Washington</v>
          </cell>
          <cell r="D527">
            <v>14</v>
          </cell>
          <cell r="E527">
            <v>5</v>
          </cell>
          <cell r="F527">
            <v>5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9</v>
          </cell>
          <cell r="Q527">
            <v>0</v>
          </cell>
          <cell r="R527">
            <v>9</v>
          </cell>
          <cell r="S527">
            <v>5</v>
          </cell>
          <cell r="T527">
            <v>9</v>
          </cell>
        </row>
        <row r="528">
          <cell r="C528" t="str">
            <v>Farmington town, Washington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</row>
        <row r="529">
          <cell r="C529" t="str">
            <v>Federal Way city, Washington</v>
          </cell>
          <cell r="D529">
            <v>2211</v>
          </cell>
          <cell r="E529">
            <v>1556</v>
          </cell>
          <cell r="F529">
            <v>701</v>
          </cell>
          <cell r="G529">
            <v>778</v>
          </cell>
          <cell r="H529">
            <v>13</v>
          </cell>
          <cell r="I529">
            <v>9</v>
          </cell>
          <cell r="J529">
            <v>224</v>
          </cell>
          <cell r="K529">
            <v>532</v>
          </cell>
          <cell r="L529">
            <v>77</v>
          </cell>
          <cell r="M529">
            <v>20</v>
          </cell>
          <cell r="N529">
            <v>0</v>
          </cell>
          <cell r="O529">
            <v>57</v>
          </cell>
          <cell r="P529">
            <v>655</v>
          </cell>
          <cell r="Q529">
            <v>142</v>
          </cell>
          <cell r="R529">
            <v>513</v>
          </cell>
          <cell r="S529">
            <v>1479</v>
          </cell>
          <cell r="T529">
            <v>732</v>
          </cell>
        </row>
        <row r="530">
          <cell r="C530" t="str">
            <v>Felida CDP, Washington</v>
          </cell>
          <cell r="D530">
            <v>56</v>
          </cell>
          <cell r="E530">
            <v>47</v>
          </cell>
          <cell r="F530">
            <v>6</v>
          </cell>
          <cell r="G530">
            <v>41</v>
          </cell>
          <cell r="H530">
            <v>0</v>
          </cell>
          <cell r="I530">
            <v>0</v>
          </cell>
          <cell r="J530">
            <v>0</v>
          </cell>
          <cell r="K530">
            <v>41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</v>
          </cell>
          <cell r="Q530">
            <v>9</v>
          </cell>
          <cell r="R530">
            <v>0</v>
          </cell>
          <cell r="S530">
            <v>47</v>
          </cell>
          <cell r="T530">
            <v>9</v>
          </cell>
        </row>
        <row r="531">
          <cell r="C531" t="str">
            <v>Ferndale city, Washington</v>
          </cell>
          <cell r="D531">
            <v>258</v>
          </cell>
          <cell r="E531">
            <v>200</v>
          </cell>
          <cell r="F531">
            <v>82</v>
          </cell>
          <cell r="G531">
            <v>118</v>
          </cell>
          <cell r="H531">
            <v>0</v>
          </cell>
          <cell r="I531">
            <v>0</v>
          </cell>
          <cell r="J531">
            <v>0</v>
          </cell>
          <cell r="K531">
            <v>118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58</v>
          </cell>
          <cell r="Q531">
            <v>21</v>
          </cell>
          <cell r="R531">
            <v>37</v>
          </cell>
          <cell r="S531">
            <v>200</v>
          </cell>
          <cell r="T531">
            <v>58</v>
          </cell>
        </row>
        <row r="532">
          <cell r="C532" t="str">
            <v>Fife city, Washington</v>
          </cell>
          <cell r="D532">
            <v>243</v>
          </cell>
          <cell r="E532">
            <v>137</v>
          </cell>
          <cell r="F532">
            <v>84</v>
          </cell>
          <cell r="G532">
            <v>51</v>
          </cell>
          <cell r="H532">
            <v>8</v>
          </cell>
          <cell r="I532">
            <v>0</v>
          </cell>
          <cell r="J532">
            <v>7</v>
          </cell>
          <cell r="K532">
            <v>36</v>
          </cell>
          <cell r="L532">
            <v>2</v>
          </cell>
          <cell r="M532">
            <v>0</v>
          </cell>
          <cell r="N532">
            <v>0</v>
          </cell>
          <cell r="O532">
            <v>2</v>
          </cell>
          <cell r="P532">
            <v>106</v>
          </cell>
          <cell r="Q532">
            <v>31</v>
          </cell>
          <cell r="R532">
            <v>75</v>
          </cell>
          <cell r="S532">
            <v>135</v>
          </cell>
          <cell r="T532">
            <v>108</v>
          </cell>
        </row>
        <row r="533">
          <cell r="C533" t="str">
            <v>Finley CDP, Washington</v>
          </cell>
          <cell r="D533">
            <v>209</v>
          </cell>
          <cell r="E533">
            <v>138</v>
          </cell>
          <cell r="F533">
            <v>104</v>
          </cell>
          <cell r="G533">
            <v>34</v>
          </cell>
          <cell r="H533">
            <v>0</v>
          </cell>
          <cell r="I533">
            <v>6</v>
          </cell>
          <cell r="J533">
            <v>8</v>
          </cell>
          <cell r="K533">
            <v>20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71</v>
          </cell>
          <cell r="Q533">
            <v>0</v>
          </cell>
          <cell r="R533">
            <v>71</v>
          </cell>
          <cell r="S533">
            <v>138</v>
          </cell>
          <cell r="T533">
            <v>71</v>
          </cell>
        </row>
        <row r="534">
          <cell r="C534" t="str">
            <v>Fircrest city, Washington</v>
          </cell>
          <cell r="D534">
            <v>64</v>
          </cell>
          <cell r="E534">
            <v>48</v>
          </cell>
          <cell r="F534">
            <v>0</v>
          </cell>
          <cell r="G534">
            <v>48</v>
          </cell>
          <cell r="H534">
            <v>0</v>
          </cell>
          <cell r="I534">
            <v>11</v>
          </cell>
          <cell r="J534">
            <v>37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16</v>
          </cell>
          <cell r="Q534">
            <v>0</v>
          </cell>
          <cell r="R534">
            <v>16</v>
          </cell>
          <cell r="S534">
            <v>48</v>
          </cell>
          <cell r="T534">
            <v>16</v>
          </cell>
        </row>
        <row r="535">
          <cell r="C535" t="str">
            <v>Five Corners CDP, Washington</v>
          </cell>
          <cell r="D535">
            <v>222</v>
          </cell>
          <cell r="E535">
            <v>161</v>
          </cell>
          <cell r="F535">
            <v>32</v>
          </cell>
          <cell r="G535">
            <v>129</v>
          </cell>
          <cell r="H535">
            <v>0</v>
          </cell>
          <cell r="I535">
            <v>0</v>
          </cell>
          <cell r="J535">
            <v>5</v>
          </cell>
          <cell r="K535">
            <v>124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61</v>
          </cell>
          <cell r="Q535">
            <v>21</v>
          </cell>
          <cell r="R535">
            <v>40</v>
          </cell>
          <cell r="S535">
            <v>161</v>
          </cell>
          <cell r="T535">
            <v>61</v>
          </cell>
        </row>
        <row r="536">
          <cell r="C536" t="str">
            <v>Fords Prairie CDP, Washington</v>
          </cell>
          <cell r="D536">
            <v>47</v>
          </cell>
          <cell r="E536">
            <v>47</v>
          </cell>
          <cell r="F536">
            <v>47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47</v>
          </cell>
          <cell r="T536">
            <v>0</v>
          </cell>
        </row>
        <row r="537">
          <cell r="C537" t="str">
            <v>Forks city, Washington</v>
          </cell>
          <cell r="D537">
            <v>151</v>
          </cell>
          <cell r="E537">
            <v>77</v>
          </cell>
          <cell r="F537">
            <v>21</v>
          </cell>
          <cell r="G537">
            <v>56</v>
          </cell>
          <cell r="H537">
            <v>0</v>
          </cell>
          <cell r="I537">
            <v>7</v>
          </cell>
          <cell r="J537">
            <v>0</v>
          </cell>
          <cell r="K537">
            <v>49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74</v>
          </cell>
          <cell r="Q537">
            <v>0</v>
          </cell>
          <cell r="R537">
            <v>74</v>
          </cell>
          <cell r="S537">
            <v>77</v>
          </cell>
          <cell r="T537">
            <v>74</v>
          </cell>
        </row>
        <row r="538">
          <cell r="C538" t="str">
            <v>Fort Lewis CDP, Washington</v>
          </cell>
          <cell r="D538">
            <v>858</v>
          </cell>
          <cell r="E538">
            <v>788</v>
          </cell>
          <cell r="F538">
            <v>65</v>
          </cell>
          <cell r="G538">
            <v>545</v>
          </cell>
          <cell r="H538">
            <v>59</v>
          </cell>
          <cell r="I538">
            <v>20</v>
          </cell>
          <cell r="J538">
            <v>155</v>
          </cell>
          <cell r="K538">
            <v>311</v>
          </cell>
          <cell r="L538">
            <v>178</v>
          </cell>
          <cell r="M538">
            <v>129</v>
          </cell>
          <cell r="N538">
            <v>0</v>
          </cell>
          <cell r="O538">
            <v>49</v>
          </cell>
          <cell r="P538">
            <v>70</v>
          </cell>
          <cell r="Q538">
            <v>23</v>
          </cell>
          <cell r="R538">
            <v>47</v>
          </cell>
          <cell r="S538">
            <v>610</v>
          </cell>
          <cell r="T538">
            <v>248</v>
          </cell>
        </row>
        <row r="539">
          <cell r="C539" t="str">
            <v>Fox Island CDP, Washington</v>
          </cell>
          <cell r="D539">
            <v>37</v>
          </cell>
          <cell r="E539">
            <v>37</v>
          </cell>
          <cell r="F539">
            <v>0</v>
          </cell>
          <cell r="G539">
            <v>37</v>
          </cell>
          <cell r="H539">
            <v>6</v>
          </cell>
          <cell r="I539">
            <v>0</v>
          </cell>
          <cell r="J539">
            <v>6</v>
          </cell>
          <cell r="K539">
            <v>25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37</v>
          </cell>
          <cell r="T539">
            <v>0</v>
          </cell>
        </row>
        <row r="540">
          <cell r="C540" t="str">
            <v>Frederickson CDP, Washington</v>
          </cell>
          <cell r="D540">
            <v>166</v>
          </cell>
          <cell r="E540">
            <v>118</v>
          </cell>
          <cell r="F540">
            <v>45</v>
          </cell>
          <cell r="G540">
            <v>62</v>
          </cell>
          <cell r="H540">
            <v>6</v>
          </cell>
          <cell r="I540">
            <v>11</v>
          </cell>
          <cell r="J540">
            <v>17</v>
          </cell>
          <cell r="K540">
            <v>28</v>
          </cell>
          <cell r="L540">
            <v>11</v>
          </cell>
          <cell r="M540">
            <v>0</v>
          </cell>
          <cell r="N540">
            <v>0</v>
          </cell>
          <cell r="O540">
            <v>11</v>
          </cell>
          <cell r="P540">
            <v>48</v>
          </cell>
          <cell r="Q540">
            <v>30</v>
          </cell>
          <cell r="R540">
            <v>18</v>
          </cell>
          <cell r="S540">
            <v>107</v>
          </cell>
          <cell r="T540">
            <v>59</v>
          </cell>
        </row>
        <row r="541">
          <cell r="C541" t="str">
            <v>Freeland CDP, Washington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C542" t="str">
            <v>Friday Harbor town, Washington</v>
          </cell>
          <cell r="D542">
            <v>62</v>
          </cell>
          <cell r="E542">
            <v>62</v>
          </cell>
          <cell r="F542">
            <v>24</v>
          </cell>
          <cell r="G542">
            <v>38</v>
          </cell>
          <cell r="H542">
            <v>0</v>
          </cell>
          <cell r="I542">
            <v>0</v>
          </cell>
          <cell r="J542">
            <v>0</v>
          </cell>
          <cell r="K542">
            <v>38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62</v>
          </cell>
          <cell r="T542">
            <v>0</v>
          </cell>
        </row>
        <row r="543">
          <cell r="C543" t="str">
            <v>Garfield town, Washington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</row>
        <row r="544">
          <cell r="C544" t="str">
            <v>Garrett CDP, Washington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</row>
        <row r="545">
          <cell r="C545" t="str">
            <v>Geneva CDP, Washington</v>
          </cell>
          <cell r="D545">
            <v>21</v>
          </cell>
          <cell r="E545">
            <v>21</v>
          </cell>
          <cell r="F545">
            <v>11</v>
          </cell>
          <cell r="G545">
            <v>10</v>
          </cell>
          <cell r="H545">
            <v>0</v>
          </cell>
          <cell r="I545">
            <v>5</v>
          </cell>
          <cell r="J545">
            <v>5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21</v>
          </cell>
          <cell r="T545">
            <v>0</v>
          </cell>
        </row>
        <row r="546">
          <cell r="C546" t="str">
            <v>George city, Washington</v>
          </cell>
          <cell r="D546">
            <v>212</v>
          </cell>
          <cell r="E546">
            <v>69</v>
          </cell>
          <cell r="F546">
            <v>64</v>
          </cell>
          <cell r="G546">
            <v>5</v>
          </cell>
          <cell r="H546">
            <v>0</v>
          </cell>
          <cell r="I546">
            <v>0</v>
          </cell>
          <cell r="J546">
            <v>2</v>
          </cell>
          <cell r="K546">
            <v>3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143</v>
          </cell>
          <cell r="Q546">
            <v>8</v>
          </cell>
          <cell r="R546">
            <v>135</v>
          </cell>
          <cell r="S546">
            <v>69</v>
          </cell>
          <cell r="T546">
            <v>143</v>
          </cell>
        </row>
        <row r="547">
          <cell r="C547" t="str">
            <v>Gig Harbor city, Washington</v>
          </cell>
          <cell r="D547">
            <v>100</v>
          </cell>
          <cell r="E547">
            <v>43</v>
          </cell>
          <cell r="F547">
            <v>14</v>
          </cell>
          <cell r="G547">
            <v>29</v>
          </cell>
          <cell r="H547">
            <v>0</v>
          </cell>
          <cell r="I547">
            <v>0</v>
          </cell>
          <cell r="J547">
            <v>0</v>
          </cell>
          <cell r="K547">
            <v>29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57</v>
          </cell>
          <cell r="Q547">
            <v>18</v>
          </cell>
          <cell r="R547">
            <v>39</v>
          </cell>
          <cell r="S547">
            <v>43</v>
          </cell>
          <cell r="T547">
            <v>57</v>
          </cell>
        </row>
        <row r="548">
          <cell r="C548" t="str">
            <v>Glacier CDP, Washington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</row>
        <row r="549">
          <cell r="C549" t="str">
            <v>Gleed CDP, Washington</v>
          </cell>
          <cell r="D549">
            <v>14</v>
          </cell>
          <cell r="E549">
            <v>14</v>
          </cell>
          <cell r="F549">
            <v>0</v>
          </cell>
          <cell r="G549">
            <v>14</v>
          </cell>
          <cell r="H549">
            <v>0</v>
          </cell>
          <cell r="I549">
            <v>0</v>
          </cell>
          <cell r="J549">
            <v>0</v>
          </cell>
          <cell r="K549">
            <v>14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14</v>
          </cell>
          <cell r="T549">
            <v>0</v>
          </cell>
        </row>
        <row r="550">
          <cell r="C550" t="str">
            <v>Gold Bar city, Washington</v>
          </cell>
          <cell r="D550">
            <v>40</v>
          </cell>
          <cell r="E550">
            <v>40</v>
          </cell>
          <cell r="F550">
            <v>21</v>
          </cell>
          <cell r="G550">
            <v>19</v>
          </cell>
          <cell r="H550">
            <v>0</v>
          </cell>
          <cell r="I550">
            <v>3</v>
          </cell>
          <cell r="J550">
            <v>3</v>
          </cell>
          <cell r="K550">
            <v>13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40</v>
          </cell>
          <cell r="T550">
            <v>0</v>
          </cell>
        </row>
        <row r="551">
          <cell r="C551" t="str">
            <v>Goldendale city, Washington</v>
          </cell>
          <cell r="D551">
            <v>20</v>
          </cell>
          <cell r="E551">
            <v>20</v>
          </cell>
          <cell r="F551">
            <v>20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20</v>
          </cell>
          <cell r="T551">
            <v>0</v>
          </cell>
        </row>
        <row r="552">
          <cell r="C552" t="str">
            <v>Graham CDP, Washington</v>
          </cell>
          <cell r="D552">
            <v>134</v>
          </cell>
          <cell r="E552">
            <v>123</v>
          </cell>
          <cell r="F552">
            <v>14</v>
          </cell>
          <cell r="G552">
            <v>109</v>
          </cell>
          <cell r="H552">
            <v>0</v>
          </cell>
          <cell r="I552">
            <v>24</v>
          </cell>
          <cell r="J552">
            <v>0</v>
          </cell>
          <cell r="K552">
            <v>85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11</v>
          </cell>
          <cell r="Q552">
            <v>11</v>
          </cell>
          <cell r="R552">
            <v>0</v>
          </cell>
          <cell r="S552">
            <v>123</v>
          </cell>
          <cell r="T552">
            <v>11</v>
          </cell>
        </row>
        <row r="553">
          <cell r="C553" t="str">
            <v>Grand Coulee city, Washington</v>
          </cell>
          <cell r="D553">
            <v>16</v>
          </cell>
          <cell r="E553">
            <v>16</v>
          </cell>
          <cell r="F553">
            <v>7</v>
          </cell>
          <cell r="G553">
            <v>9</v>
          </cell>
          <cell r="H553">
            <v>0</v>
          </cell>
          <cell r="I553">
            <v>2</v>
          </cell>
          <cell r="J553">
            <v>3</v>
          </cell>
          <cell r="K553">
            <v>4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16</v>
          </cell>
          <cell r="T553">
            <v>0</v>
          </cell>
        </row>
        <row r="554">
          <cell r="C554" t="str">
            <v>Grand Mound CDP, Washington</v>
          </cell>
          <cell r="D554">
            <v>7</v>
          </cell>
          <cell r="E554">
            <v>7</v>
          </cell>
          <cell r="F554">
            <v>7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7</v>
          </cell>
          <cell r="T554">
            <v>0</v>
          </cell>
        </row>
        <row r="555">
          <cell r="C555" t="str">
            <v>Grandview city, Washington</v>
          </cell>
          <cell r="D555">
            <v>1800</v>
          </cell>
          <cell r="E555">
            <v>1095</v>
          </cell>
          <cell r="F555">
            <v>796</v>
          </cell>
          <cell r="G555">
            <v>266</v>
          </cell>
          <cell r="H555">
            <v>0</v>
          </cell>
          <cell r="I555">
            <v>16</v>
          </cell>
          <cell r="J555">
            <v>141</v>
          </cell>
          <cell r="K555">
            <v>109</v>
          </cell>
          <cell r="L555">
            <v>33</v>
          </cell>
          <cell r="M555">
            <v>21</v>
          </cell>
          <cell r="N555">
            <v>0</v>
          </cell>
          <cell r="O555">
            <v>12</v>
          </cell>
          <cell r="P555">
            <v>705</v>
          </cell>
          <cell r="Q555">
            <v>133</v>
          </cell>
          <cell r="R555">
            <v>572</v>
          </cell>
          <cell r="S555">
            <v>1062</v>
          </cell>
          <cell r="T555">
            <v>738</v>
          </cell>
        </row>
        <row r="556">
          <cell r="C556" t="str">
            <v>Granger town, Washington</v>
          </cell>
          <cell r="D556">
            <v>156</v>
          </cell>
          <cell r="E556">
            <v>83</v>
          </cell>
          <cell r="F556">
            <v>53</v>
          </cell>
          <cell r="G556">
            <v>30</v>
          </cell>
          <cell r="H556">
            <v>0</v>
          </cell>
          <cell r="I556">
            <v>0</v>
          </cell>
          <cell r="J556">
            <v>27</v>
          </cell>
          <cell r="K556">
            <v>3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73</v>
          </cell>
          <cell r="Q556">
            <v>4</v>
          </cell>
          <cell r="R556">
            <v>69</v>
          </cell>
          <cell r="S556">
            <v>83</v>
          </cell>
          <cell r="T556">
            <v>73</v>
          </cell>
        </row>
        <row r="557">
          <cell r="C557" t="str">
            <v>Granite Falls city, Washington</v>
          </cell>
          <cell r="D557">
            <v>70</v>
          </cell>
          <cell r="E557">
            <v>51</v>
          </cell>
          <cell r="F557">
            <v>25</v>
          </cell>
          <cell r="G557">
            <v>26</v>
          </cell>
          <cell r="H557">
            <v>7</v>
          </cell>
          <cell r="I557">
            <v>3</v>
          </cell>
          <cell r="J557">
            <v>2</v>
          </cell>
          <cell r="K557">
            <v>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19</v>
          </cell>
          <cell r="Q557">
            <v>4</v>
          </cell>
          <cell r="R557">
            <v>15</v>
          </cell>
          <cell r="S557">
            <v>51</v>
          </cell>
          <cell r="T557">
            <v>19</v>
          </cell>
        </row>
        <row r="558">
          <cell r="C558" t="str">
            <v>Grayland CDP, Washington</v>
          </cell>
          <cell r="D558">
            <v>53</v>
          </cell>
          <cell r="E558">
            <v>31</v>
          </cell>
          <cell r="F558">
            <v>19</v>
          </cell>
          <cell r="G558">
            <v>12</v>
          </cell>
          <cell r="H558">
            <v>0</v>
          </cell>
          <cell r="I558">
            <v>0</v>
          </cell>
          <cell r="J558">
            <v>0</v>
          </cell>
          <cell r="K558">
            <v>12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22</v>
          </cell>
          <cell r="Q558">
            <v>0</v>
          </cell>
          <cell r="R558">
            <v>22</v>
          </cell>
          <cell r="S558">
            <v>31</v>
          </cell>
          <cell r="T558">
            <v>22</v>
          </cell>
        </row>
        <row r="559">
          <cell r="C559" t="str">
            <v>Green Acres CDP, Washington</v>
          </cell>
          <cell r="D559">
            <v>90</v>
          </cell>
          <cell r="E559">
            <v>79</v>
          </cell>
          <cell r="F559">
            <v>19</v>
          </cell>
          <cell r="G559">
            <v>60</v>
          </cell>
          <cell r="H559">
            <v>0</v>
          </cell>
          <cell r="I559">
            <v>4</v>
          </cell>
          <cell r="J559">
            <v>24</v>
          </cell>
          <cell r="K559">
            <v>32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11</v>
          </cell>
          <cell r="Q559">
            <v>0</v>
          </cell>
          <cell r="R559">
            <v>11</v>
          </cell>
          <cell r="S559">
            <v>79</v>
          </cell>
          <cell r="T559">
            <v>11</v>
          </cell>
        </row>
        <row r="560">
          <cell r="C560" t="str">
            <v>Greenwater CDP, Washington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</row>
        <row r="561">
          <cell r="C561" t="str">
            <v>Hamilton town, Washington</v>
          </cell>
          <cell r="D561">
            <v>3</v>
          </cell>
          <cell r="E561">
            <v>3</v>
          </cell>
          <cell r="F561">
            <v>1</v>
          </cell>
          <cell r="G561">
            <v>2</v>
          </cell>
          <cell r="H561">
            <v>0</v>
          </cell>
          <cell r="I561">
            <v>0</v>
          </cell>
          <cell r="J561">
            <v>2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</v>
          </cell>
          <cell r="T561">
            <v>0</v>
          </cell>
        </row>
        <row r="562">
          <cell r="C562" t="str">
            <v>Harrah town, Washington</v>
          </cell>
          <cell r="D562">
            <v>45</v>
          </cell>
          <cell r="E562">
            <v>25</v>
          </cell>
          <cell r="F562">
            <v>20</v>
          </cell>
          <cell r="G562">
            <v>5</v>
          </cell>
          <cell r="H562">
            <v>0</v>
          </cell>
          <cell r="I562">
            <v>0</v>
          </cell>
          <cell r="J562">
            <v>2</v>
          </cell>
          <cell r="K562">
            <v>3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20</v>
          </cell>
          <cell r="Q562">
            <v>11</v>
          </cell>
          <cell r="R562">
            <v>9</v>
          </cell>
          <cell r="S562">
            <v>25</v>
          </cell>
          <cell r="T562">
            <v>20</v>
          </cell>
        </row>
        <row r="563">
          <cell r="C563" t="str">
            <v>Harrington city, Washington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C564" t="str">
            <v>Hartline town, Washington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</row>
        <row r="565">
          <cell r="C565" t="str">
            <v>Hatton town, Washington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</row>
        <row r="566">
          <cell r="C566" t="str">
            <v>Hazel Dell North CDP, Washington</v>
          </cell>
          <cell r="D566">
            <v>361</v>
          </cell>
          <cell r="E566">
            <v>164</v>
          </cell>
          <cell r="F566">
            <v>69</v>
          </cell>
          <cell r="G566">
            <v>95</v>
          </cell>
          <cell r="H566">
            <v>0</v>
          </cell>
          <cell r="I566">
            <v>14</v>
          </cell>
          <cell r="J566">
            <v>0</v>
          </cell>
          <cell r="K566">
            <v>81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197</v>
          </cell>
          <cell r="Q566">
            <v>36</v>
          </cell>
          <cell r="R566">
            <v>161</v>
          </cell>
          <cell r="S566">
            <v>164</v>
          </cell>
          <cell r="T566">
            <v>197</v>
          </cell>
        </row>
        <row r="567">
          <cell r="C567" t="str">
            <v>Hazel Dell South CDP, Washington</v>
          </cell>
          <cell r="D567">
            <v>156</v>
          </cell>
          <cell r="E567">
            <v>121</v>
          </cell>
          <cell r="F567">
            <v>68</v>
          </cell>
          <cell r="G567">
            <v>53</v>
          </cell>
          <cell r="H567">
            <v>0</v>
          </cell>
          <cell r="I567">
            <v>8</v>
          </cell>
          <cell r="J567">
            <v>16</v>
          </cell>
          <cell r="K567">
            <v>29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35</v>
          </cell>
          <cell r="Q567">
            <v>10</v>
          </cell>
          <cell r="R567">
            <v>25</v>
          </cell>
          <cell r="S567">
            <v>121</v>
          </cell>
          <cell r="T567">
            <v>35</v>
          </cell>
        </row>
        <row r="568">
          <cell r="C568" t="str">
            <v>Highland CDP, Washington</v>
          </cell>
          <cell r="D568">
            <v>121</v>
          </cell>
          <cell r="E568">
            <v>94</v>
          </cell>
          <cell r="F568">
            <v>73</v>
          </cell>
          <cell r="G568">
            <v>21</v>
          </cell>
          <cell r="H568">
            <v>0</v>
          </cell>
          <cell r="I568">
            <v>0</v>
          </cell>
          <cell r="J568">
            <v>12</v>
          </cell>
          <cell r="K568">
            <v>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27</v>
          </cell>
          <cell r="Q568">
            <v>27</v>
          </cell>
          <cell r="R568">
            <v>0</v>
          </cell>
          <cell r="S568">
            <v>94</v>
          </cell>
          <cell r="T568">
            <v>27</v>
          </cell>
        </row>
        <row r="569">
          <cell r="C569" t="str">
            <v>Hobart CDP, Washington</v>
          </cell>
          <cell r="D569">
            <v>82</v>
          </cell>
          <cell r="E569">
            <v>65</v>
          </cell>
          <cell r="F569">
            <v>31</v>
          </cell>
          <cell r="G569">
            <v>34</v>
          </cell>
          <cell r="H569">
            <v>0</v>
          </cell>
          <cell r="I569">
            <v>0</v>
          </cell>
          <cell r="J569">
            <v>10</v>
          </cell>
          <cell r="K569">
            <v>24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17</v>
          </cell>
          <cell r="Q569">
            <v>5</v>
          </cell>
          <cell r="R569">
            <v>12</v>
          </cell>
          <cell r="S569">
            <v>65</v>
          </cell>
          <cell r="T569">
            <v>17</v>
          </cell>
        </row>
        <row r="570">
          <cell r="C570" t="str">
            <v>Hockinson CDP, Washington</v>
          </cell>
          <cell r="D570">
            <v>49</v>
          </cell>
          <cell r="E570">
            <v>38</v>
          </cell>
          <cell r="F570">
            <v>7</v>
          </cell>
          <cell r="G570">
            <v>25</v>
          </cell>
          <cell r="H570">
            <v>13</v>
          </cell>
          <cell r="I570">
            <v>0</v>
          </cell>
          <cell r="J570">
            <v>0</v>
          </cell>
          <cell r="K570">
            <v>12</v>
          </cell>
          <cell r="L570">
            <v>6</v>
          </cell>
          <cell r="M570">
            <v>0</v>
          </cell>
          <cell r="N570">
            <v>0</v>
          </cell>
          <cell r="O570">
            <v>6</v>
          </cell>
          <cell r="P570">
            <v>11</v>
          </cell>
          <cell r="Q570">
            <v>11</v>
          </cell>
          <cell r="R570">
            <v>0</v>
          </cell>
          <cell r="S570">
            <v>32</v>
          </cell>
          <cell r="T570">
            <v>17</v>
          </cell>
        </row>
        <row r="571">
          <cell r="C571" t="str">
            <v>Hoquiam city, Washington</v>
          </cell>
          <cell r="D571">
            <v>251</v>
          </cell>
          <cell r="E571">
            <v>175</v>
          </cell>
          <cell r="F571">
            <v>109</v>
          </cell>
          <cell r="G571">
            <v>60</v>
          </cell>
          <cell r="H571">
            <v>0</v>
          </cell>
          <cell r="I571">
            <v>13</v>
          </cell>
          <cell r="J571">
            <v>4</v>
          </cell>
          <cell r="K571">
            <v>43</v>
          </cell>
          <cell r="L571">
            <v>6</v>
          </cell>
          <cell r="M571">
            <v>0</v>
          </cell>
          <cell r="N571">
            <v>0</v>
          </cell>
          <cell r="O571">
            <v>6</v>
          </cell>
          <cell r="P571">
            <v>76</v>
          </cell>
          <cell r="Q571">
            <v>16</v>
          </cell>
          <cell r="R571">
            <v>60</v>
          </cell>
          <cell r="S571">
            <v>169</v>
          </cell>
          <cell r="T571">
            <v>82</v>
          </cell>
        </row>
        <row r="572">
          <cell r="C572" t="str">
            <v>Humptulips CDP, Washington</v>
          </cell>
          <cell r="D572">
            <v>2</v>
          </cell>
          <cell r="E572">
            <v>2</v>
          </cell>
          <cell r="F572">
            <v>2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</v>
          </cell>
          <cell r="T572">
            <v>0</v>
          </cell>
        </row>
        <row r="573">
          <cell r="C573" t="str">
            <v>Hunts Point town, Washington</v>
          </cell>
          <cell r="D573">
            <v>15</v>
          </cell>
          <cell r="E573">
            <v>9</v>
          </cell>
          <cell r="F573">
            <v>3</v>
          </cell>
          <cell r="G573">
            <v>6</v>
          </cell>
          <cell r="H573">
            <v>0</v>
          </cell>
          <cell r="I573">
            <v>0</v>
          </cell>
          <cell r="J573">
            <v>0</v>
          </cell>
          <cell r="K573">
            <v>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6</v>
          </cell>
          <cell r="Q573">
            <v>2</v>
          </cell>
          <cell r="R573">
            <v>4</v>
          </cell>
          <cell r="S573">
            <v>9</v>
          </cell>
          <cell r="T573">
            <v>6</v>
          </cell>
        </row>
        <row r="574">
          <cell r="C574" t="str">
            <v>Ilwaco city, Washington</v>
          </cell>
          <cell r="D574">
            <v>16</v>
          </cell>
          <cell r="E574">
            <v>8</v>
          </cell>
          <cell r="F574">
            <v>0</v>
          </cell>
          <cell r="G574">
            <v>8</v>
          </cell>
          <cell r="H574">
            <v>0</v>
          </cell>
          <cell r="I574">
            <v>0</v>
          </cell>
          <cell r="J574">
            <v>0</v>
          </cell>
          <cell r="K574">
            <v>8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8</v>
          </cell>
          <cell r="Q574">
            <v>2</v>
          </cell>
          <cell r="R574">
            <v>6</v>
          </cell>
          <cell r="S574">
            <v>8</v>
          </cell>
          <cell r="T574">
            <v>8</v>
          </cell>
        </row>
        <row r="575">
          <cell r="C575" t="str">
            <v>Inchelium CDP, Washington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C576" t="str">
            <v>Index town, Washington</v>
          </cell>
          <cell r="D576">
            <v>2</v>
          </cell>
          <cell r="E576">
            <v>2</v>
          </cell>
          <cell r="F576">
            <v>2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</v>
          </cell>
          <cell r="T576">
            <v>0</v>
          </cell>
        </row>
        <row r="577">
          <cell r="C577" t="str">
            <v>Indianola CDP, Washington</v>
          </cell>
          <cell r="D577">
            <v>46</v>
          </cell>
          <cell r="E577">
            <v>36</v>
          </cell>
          <cell r="F577">
            <v>19</v>
          </cell>
          <cell r="G577">
            <v>17</v>
          </cell>
          <cell r="H577">
            <v>4</v>
          </cell>
          <cell r="I577">
            <v>0</v>
          </cell>
          <cell r="J577">
            <v>1</v>
          </cell>
          <cell r="K577">
            <v>12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10</v>
          </cell>
          <cell r="Q577">
            <v>10</v>
          </cell>
          <cell r="R577">
            <v>0</v>
          </cell>
          <cell r="S577">
            <v>36</v>
          </cell>
          <cell r="T577">
            <v>10</v>
          </cell>
        </row>
        <row r="578">
          <cell r="C578" t="str">
            <v>Inglewood-Finn Hill CDP, Washington</v>
          </cell>
          <cell r="D578">
            <v>397</v>
          </cell>
          <cell r="E578">
            <v>257</v>
          </cell>
          <cell r="F578">
            <v>78</v>
          </cell>
          <cell r="G578">
            <v>179</v>
          </cell>
          <cell r="H578">
            <v>5</v>
          </cell>
          <cell r="I578">
            <v>16</v>
          </cell>
          <cell r="J578">
            <v>38</v>
          </cell>
          <cell r="K578">
            <v>120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140</v>
          </cell>
          <cell r="Q578">
            <v>14</v>
          </cell>
          <cell r="R578">
            <v>126</v>
          </cell>
          <cell r="S578">
            <v>257</v>
          </cell>
          <cell r="T578">
            <v>140</v>
          </cell>
        </row>
        <row r="579">
          <cell r="C579" t="str">
            <v>Ione town, Washington</v>
          </cell>
          <cell r="D579">
            <v>13</v>
          </cell>
          <cell r="E579">
            <v>13</v>
          </cell>
          <cell r="F579">
            <v>11</v>
          </cell>
          <cell r="G579">
            <v>2</v>
          </cell>
          <cell r="H579">
            <v>0</v>
          </cell>
          <cell r="I579">
            <v>0</v>
          </cell>
          <cell r="J579">
            <v>0</v>
          </cell>
          <cell r="K579">
            <v>2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13</v>
          </cell>
          <cell r="T579">
            <v>0</v>
          </cell>
        </row>
        <row r="580">
          <cell r="C580" t="str">
            <v>Issaquah city, Washington</v>
          </cell>
          <cell r="D580">
            <v>410</v>
          </cell>
          <cell r="E580">
            <v>165</v>
          </cell>
          <cell r="F580">
            <v>71</v>
          </cell>
          <cell r="G580">
            <v>94</v>
          </cell>
          <cell r="H580">
            <v>0</v>
          </cell>
          <cell r="I580">
            <v>0</v>
          </cell>
          <cell r="J580">
            <v>27</v>
          </cell>
          <cell r="K580">
            <v>67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245</v>
          </cell>
          <cell r="Q580">
            <v>33</v>
          </cell>
          <cell r="R580">
            <v>212</v>
          </cell>
          <cell r="S580">
            <v>165</v>
          </cell>
          <cell r="T580">
            <v>245</v>
          </cell>
        </row>
        <row r="581">
          <cell r="C581" t="str">
            <v>John Sam Lake CDP, Washington</v>
          </cell>
          <cell r="D581">
            <v>4</v>
          </cell>
          <cell r="E581">
            <v>4</v>
          </cell>
          <cell r="F581">
            <v>4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4</v>
          </cell>
          <cell r="T581">
            <v>0</v>
          </cell>
        </row>
        <row r="582">
          <cell r="C582" t="str">
            <v>Jordan Road-Canyon Creek CDP, Washington</v>
          </cell>
          <cell r="D582">
            <v>83</v>
          </cell>
          <cell r="E582">
            <v>52</v>
          </cell>
          <cell r="F582">
            <v>37</v>
          </cell>
          <cell r="G582">
            <v>15</v>
          </cell>
          <cell r="H582">
            <v>0</v>
          </cell>
          <cell r="I582">
            <v>0</v>
          </cell>
          <cell r="J582">
            <v>0</v>
          </cell>
          <cell r="K582">
            <v>15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31</v>
          </cell>
          <cell r="Q582">
            <v>10</v>
          </cell>
          <cell r="R582">
            <v>21</v>
          </cell>
          <cell r="S582">
            <v>52</v>
          </cell>
          <cell r="T582">
            <v>31</v>
          </cell>
        </row>
        <row r="583">
          <cell r="C583" t="str">
            <v>Junction City CDP, Washington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</row>
        <row r="584">
          <cell r="C584" t="str">
            <v>Kahlotus city, Washington</v>
          </cell>
          <cell r="D584">
            <v>2</v>
          </cell>
          <cell r="E584">
            <v>2</v>
          </cell>
          <cell r="F584">
            <v>0</v>
          </cell>
          <cell r="G584">
            <v>2</v>
          </cell>
          <cell r="H584">
            <v>0</v>
          </cell>
          <cell r="I584">
            <v>0</v>
          </cell>
          <cell r="J584">
            <v>0</v>
          </cell>
          <cell r="K584">
            <v>2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</v>
          </cell>
          <cell r="T584">
            <v>0</v>
          </cell>
        </row>
        <row r="585">
          <cell r="C585" t="str">
            <v>Kalama city, Washington</v>
          </cell>
          <cell r="D585">
            <v>24</v>
          </cell>
          <cell r="E585">
            <v>17</v>
          </cell>
          <cell r="F585">
            <v>2</v>
          </cell>
          <cell r="G585">
            <v>15</v>
          </cell>
          <cell r="H585">
            <v>0</v>
          </cell>
          <cell r="I585">
            <v>0</v>
          </cell>
          <cell r="J585">
            <v>0</v>
          </cell>
          <cell r="K585">
            <v>15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7</v>
          </cell>
          <cell r="Q585">
            <v>1</v>
          </cell>
          <cell r="R585">
            <v>6</v>
          </cell>
          <cell r="S585">
            <v>17</v>
          </cell>
          <cell r="T585">
            <v>7</v>
          </cell>
        </row>
        <row r="586">
          <cell r="C586" t="str">
            <v>Kelso city, Washington</v>
          </cell>
          <cell r="D586">
            <v>354</v>
          </cell>
          <cell r="E586">
            <v>290</v>
          </cell>
          <cell r="F586">
            <v>162</v>
          </cell>
          <cell r="G586">
            <v>128</v>
          </cell>
          <cell r="H586">
            <v>0</v>
          </cell>
          <cell r="I586">
            <v>4</v>
          </cell>
          <cell r="J586">
            <v>25</v>
          </cell>
          <cell r="K586">
            <v>99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64</v>
          </cell>
          <cell r="Q586">
            <v>0</v>
          </cell>
          <cell r="R586">
            <v>64</v>
          </cell>
          <cell r="S586">
            <v>290</v>
          </cell>
          <cell r="T586">
            <v>64</v>
          </cell>
        </row>
        <row r="587">
          <cell r="C587" t="str">
            <v>Kendall CDP, Washington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</row>
        <row r="588">
          <cell r="C588" t="str">
            <v>Kenmore city, Washington</v>
          </cell>
          <cell r="D588">
            <v>454</v>
          </cell>
          <cell r="E588">
            <v>365</v>
          </cell>
          <cell r="F588">
            <v>214</v>
          </cell>
          <cell r="G588">
            <v>123</v>
          </cell>
          <cell r="H588">
            <v>38</v>
          </cell>
          <cell r="I588">
            <v>17</v>
          </cell>
          <cell r="J588">
            <v>11</v>
          </cell>
          <cell r="K588">
            <v>57</v>
          </cell>
          <cell r="L588">
            <v>28</v>
          </cell>
          <cell r="M588">
            <v>28</v>
          </cell>
          <cell r="N588">
            <v>0</v>
          </cell>
          <cell r="O588">
            <v>0</v>
          </cell>
          <cell r="P588">
            <v>89</v>
          </cell>
          <cell r="Q588">
            <v>73</v>
          </cell>
          <cell r="R588">
            <v>16</v>
          </cell>
          <cell r="S588">
            <v>337</v>
          </cell>
          <cell r="T588">
            <v>117</v>
          </cell>
        </row>
        <row r="589">
          <cell r="C589" t="str">
            <v>Kennewick city, Washington</v>
          </cell>
          <cell r="D589">
            <v>2585</v>
          </cell>
          <cell r="E589">
            <v>1609</v>
          </cell>
          <cell r="F589">
            <v>1015</v>
          </cell>
          <cell r="G589">
            <v>570</v>
          </cell>
          <cell r="H589">
            <v>0</v>
          </cell>
          <cell r="I589">
            <v>13</v>
          </cell>
          <cell r="J589">
            <v>168</v>
          </cell>
          <cell r="K589">
            <v>389</v>
          </cell>
          <cell r="L589">
            <v>24</v>
          </cell>
          <cell r="M589">
            <v>0</v>
          </cell>
          <cell r="N589">
            <v>0</v>
          </cell>
          <cell r="O589">
            <v>24</v>
          </cell>
          <cell r="P589">
            <v>976</v>
          </cell>
          <cell r="Q589">
            <v>160</v>
          </cell>
          <cell r="R589">
            <v>816</v>
          </cell>
          <cell r="S589">
            <v>1585</v>
          </cell>
          <cell r="T589">
            <v>1000</v>
          </cell>
        </row>
        <row r="590">
          <cell r="C590" t="str">
            <v>Kent city, Washington</v>
          </cell>
          <cell r="D590">
            <v>2263</v>
          </cell>
          <cell r="E590">
            <v>1336</v>
          </cell>
          <cell r="F590">
            <v>648</v>
          </cell>
          <cell r="G590">
            <v>663</v>
          </cell>
          <cell r="H590">
            <v>37</v>
          </cell>
          <cell r="I590">
            <v>70</v>
          </cell>
          <cell r="J590">
            <v>124</v>
          </cell>
          <cell r="K590">
            <v>432</v>
          </cell>
          <cell r="L590">
            <v>25</v>
          </cell>
          <cell r="M590">
            <v>25</v>
          </cell>
          <cell r="N590">
            <v>0</v>
          </cell>
          <cell r="O590">
            <v>0</v>
          </cell>
          <cell r="P590">
            <v>927</v>
          </cell>
          <cell r="Q590">
            <v>133</v>
          </cell>
          <cell r="R590">
            <v>794</v>
          </cell>
          <cell r="S590">
            <v>1311</v>
          </cell>
          <cell r="T590">
            <v>952</v>
          </cell>
        </row>
        <row r="591">
          <cell r="C591" t="str">
            <v>Kettle Falls city, Washington</v>
          </cell>
          <cell r="D591">
            <v>17</v>
          </cell>
          <cell r="E591">
            <v>17</v>
          </cell>
          <cell r="F591">
            <v>0</v>
          </cell>
          <cell r="G591">
            <v>17</v>
          </cell>
          <cell r="H591">
            <v>0</v>
          </cell>
          <cell r="I591">
            <v>0</v>
          </cell>
          <cell r="J591">
            <v>0</v>
          </cell>
          <cell r="K591">
            <v>17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17</v>
          </cell>
          <cell r="T591">
            <v>0</v>
          </cell>
        </row>
        <row r="592">
          <cell r="C592" t="str">
            <v>Kingsgate CDP, Washington</v>
          </cell>
          <cell r="D592">
            <v>348</v>
          </cell>
          <cell r="E592">
            <v>177</v>
          </cell>
          <cell r="F592">
            <v>59</v>
          </cell>
          <cell r="G592">
            <v>114</v>
          </cell>
          <cell r="H592">
            <v>0</v>
          </cell>
          <cell r="I592">
            <v>7</v>
          </cell>
          <cell r="J592">
            <v>29</v>
          </cell>
          <cell r="K592">
            <v>78</v>
          </cell>
          <cell r="L592">
            <v>4</v>
          </cell>
          <cell r="M592">
            <v>4</v>
          </cell>
          <cell r="N592">
            <v>0</v>
          </cell>
          <cell r="O592">
            <v>0</v>
          </cell>
          <cell r="P592">
            <v>171</v>
          </cell>
          <cell r="Q592">
            <v>42</v>
          </cell>
          <cell r="R592">
            <v>129</v>
          </cell>
          <cell r="S592">
            <v>173</v>
          </cell>
          <cell r="T592">
            <v>175</v>
          </cell>
        </row>
        <row r="593">
          <cell r="C593" t="str">
            <v>Kingston CDP, Washington</v>
          </cell>
          <cell r="D593">
            <v>21</v>
          </cell>
          <cell r="E593">
            <v>21</v>
          </cell>
          <cell r="F593">
            <v>8</v>
          </cell>
          <cell r="G593">
            <v>13</v>
          </cell>
          <cell r="H593">
            <v>0</v>
          </cell>
          <cell r="I593">
            <v>0</v>
          </cell>
          <cell r="J593">
            <v>0</v>
          </cell>
          <cell r="K593">
            <v>13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21</v>
          </cell>
          <cell r="T593">
            <v>0</v>
          </cell>
        </row>
        <row r="594">
          <cell r="C594" t="str">
            <v>Kirkland city, Washington</v>
          </cell>
          <cell r="D594">
            <v>1003</v>
          </cell>
          <cell r="E594">
            <v>660</v>
          </cell>
          <cell r="F594">
            <v>319</v>
          </cell>
          <cell r="G594">
            <v>328</v>
          </cell>
          <cell r="H594">
            <v>21</v>
          </cell>
          <cell r="I594">
            <v>0</v>
          </cell>
          <cell r="J594">
            <v>46</v>
          </cell>
          <cell r="K594">
            <v>261</v>
          </cell>
          <cell r="L594">
            <v>13</v>
          </cell>
          <cell r="M594">
            <v>13</v>
          </cell>
          <cell r="N594">
            <v>0</v>
          </cell>
          <cell r="O594">
            <v>0</v>
          </cell>
          <cell r="P594">
            <v>343</v>
          </cell>
          <cell r="Q594">
            <v>87</v>
          </cell>
          <cell r="R594">
            <v>256</v>
          </cell>
          <cell r="S594">
            <v>647</v>
          </cell>
          <cell r="T594">
            <v>356</v>
          </cell>
        </row>
        <row r="595">
          <cell r="C595" t="str">
            <v>Kittitas city, Washington</v>
          </cell>
          <cell r="D595">
            <v>116</v>
          </cell>
          <cell r="E595">
            <v>34</v>
          </cell>
          <cell r="F595">
            <v>26</v>
          </cell>
          <cell r="G595">
            <v>8</v>
          </cell>
          <cell r="H595">
            <v>0</v>
          </cell>
          <cell r="I595">
            <v>0</v>
          </cell>
          <cell r="J595">
            <v>6</v>
          </cell>
          <cell r="K595">
            <v>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82</v>
          </cell>
          <cell r="Q595">
            <v>3</v>
          </cell>
          <cell r="R595">
            <v>79</v>
          </cell>
          <cell r="S595">
            <v>34</v>
          </cell>
          <cell r="T595">
            <v>82</v>
          </cell>
        </row>
        <row r="596">
          <cell r="C596" t="str">
            <v>Klickitat CDP, Washington</v>
          </cell>
          <cell r="D596">
            <v>32</v>
          </cell>
          <cell r="E596">
            <v>27</v>
          </cell>
          <cell r="F596">
            <v>19</v>
          </cell>
          <cell r="G596">
            <v>8</v>
          </cell>
          <cell r="H596">
            <v>0</v>
          </cell>
          <cell r="I596">
            <v>0</v>
          </cell>
          <cell r="J596">
            <v>2</v>
          </cell>
          <cell r="K596">
            <v>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5</v>
          </cell>
          <cell r="Q596">
            <v>5</v>
          </cell>
          <cell r="R596">
            <v>0</v>
          </cell>
          <cell r="S596">
            <v>27</v>
          </cell>
          <cell r="T596">
            <v>5</v>
          </cell>
        </row>
        <row r="597">
          <cell r="C597" t="str">
            <v>Krupp town, Washington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</row>
        <row r="598">
          <cell r="C598" t="str">
            <v>La Center city, Washington</v>
          </cell>
          <cell r="D598">
            <v>35</v>
          </cell>
          <cell r="E598">
            <v>29</v>
          </cell>
          <cell r="F598">
            <v>20</v>
          </cell>
          <cell r="G598">
            <v>9</v>
          </cell>
          <cell r="H598">
            <v>1</v>
          </cell>
          <cell r="I598">
            <v>0</v>
          </cell>
          <cell r="J598">
            <v>1</v>
          </cell>
          <cell r="K598">
            <v>7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6</v>
          </cell>
          <cell r="Q598">
            <v>2</v>
          </cell>
          <cell r="R598">
            <v>4</v>
          </cell>
          <cell r="S598">
            <v>29</v>
          </cell>
          <cell r="T598">
            <v>6</v>
          </cell>
        </row>
        <row r="599">
          <cell r="C599" t="str">
            <v>Lacey city, Washington</v>
          </cell>
          <cell r="D599">
            <v>793</v>
          </cell>
          <cell r="E599">
            <v>683</v>
          </cell>
          <cell r="F599">
            <v>163</v>
          </cell>
          <cell r="G599">
            <v>388</v>
          </cell>
          <cell r="H599">
            <v>27</v>
          </cell>
          <cell r="I599">
            <v>78</v>
          </cell>
          <cell r="J599">
            <v>93</v>
          </cell>
          <cell r="K599">
            <v>190</v>
          </cell>
          <cell r="L599">
            <v>132</v>
          </cell>
          <cell r="M599">
            <v>109</v>
          </cell>
          <cell r="N599">
            <v>0</v>
          </cell>
          <cell r="O599">
            <v>23</v>
          </cell>
          <cell r="P599">
            <v>110</v>
          </cell>
          <cell r="Q599">
            <v>57</v>
          </cell>
          <cell r="R599">
            <v>53</v>
          </cell>
          <cell r="S599">
            <v>551</v>
          </cell>
          <cell r="T599">
            <v>242</v>
          </cell>
        </row>
        <row r="600">
          <cell r="C600" t="str">
            <v>La Conner town, Washington</v>
          </cell>
          <cell r="D600">
            <v>12</v>
          </cell>
          <cell r="E600">
            <v>12</v>
          </cell>
          <cell r="F600">
            <v>5</v>
          </cell>
          <cell r="G600">
            <v>7</v>
          </cell>
          <cell r="H600">
            <v>0</v>
          </cell>
          <cell r="I600">
            <v>0</v>
          </cell>
          <cell r="J600">
            <v>0</v>
          </cell>
          <cell r="K600">
            <v>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12</v>
          </cell>
          <cell r="T600">
            <v>0</v>
          </cell>
        </row>
        <row r="601">
          <cell r="C601" t="str">
            <v>La Crosse town, Washington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</row>
        <row r="602">
          <cell r="C602" t="str">
            <v>Lake Bosworth CDP, Washington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</row>
        <row r="603">
          <cell r="C603" t="str">
            <v>Lake Cavanaugh CDP, Washington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</row>
        <row r="604">
          <cell r="C604" t="str">
            <v>Lake Forest Park city, Washington</v>
          </cell>
          <cell r="D604">
            <v>32</v>
          </cell>
          <cell r="E604">
            <v>32</v>
          </cell>
          <cell r="F604">
            <v>25</v>
          </cell>
          <cell r="G604">
            <v>7</v>
          </cell>
          <cell r="H604">
            <v>0</v>
          </cell>
          <cell r="I604">
            <v>0</v>
          </cell>
          <cell r="J604">
            <v>7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32</v>
          </cell>
          <cell r="T604">
            <v>0</v>
          </cell>
        </row>
        <row r="605">
          <cell r="C605" t="str">
            <v>Lake Goodwin CDP, Washington</v>
          </cell>
          <cell r="D605">
            <v>21</v>
          </cell>
          <cell r="E605">
            <v>21</v>
          </cell>
          <cell r="F605">
            <v>7</v>
          </cell>
          <cell r="G605">
            <v>7</v>
          </cell>
          <cell r="H605">
            <v>0</v>
          </cell>
          <cell r="I605">
            <v>0</v>
          </cell>
          <cell r="J605">
            <v>0</v>
          </cell>
          <cell r="K605">
            <v>7</v>
          </cell>
          <cell r="L605">
            <v>7</v>
          </cell>
          <cell r="M605">
            <v>0</v>
          </cell>
          <cell r="N605">
            <v>0</v>
          </cell>
          <cell r="O605">
            <v>7</v>
          </cell>
          <cell r="P605">
            <v>0</v>
          </cell>
          <cell r="Q605">
            <v>0</v>
          </cell>
          <cell r="R605">
            <v>0</v>
          </cell>
          <cell r="S605">
            <v>14</v>
          </cell>
          <cell r="T605">
            <v>7</v>
          </cell>
        </row>
        <row r="606">
          <cell r="C606" t="str">
            <v>Lake Ketchum CDP, Washington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</row>
        <row r="607">
          <cell r="C607" t="str">
            <v>Lakeland North CDP, Washington</v>
          </cell>
          <cell r="D607">
            <v>289</v>
          </cell>
          <cell r="E607">
            <v>254</v>
          </cell>
          <cell r="F607">
            <v>123</v>
          </cell>
          <cell r="G607">
            <v>122</v>
          </cell>
          <cell r="H607">
            <v>15</v>
          </cell>
          <cell r="I607">
            <v>9</v>
          </cell>
          <cell r="J607">
            <v>23</v>
          </cell>
          <cell r="K607">
            <v>75</v>
          </cell>
          <cell r="L607">
            <v>9</v>
          </cell>
          <cell r="M607">
            <v>0</v>
          </cell>
          <cell r="N607">
            <v>0</v>
          </cell>
          <cell r="O607">
            <v>9</v>
          </cell>
          <cell r="P607">
            <v>35</v>
          </cell>
          <cell r="Q607">
            <v>8</v>
          </cell>
          <cell r="R607">
            <v>27</v>
          </cell>
          <cell r="S607">
            <v>245</v>
          </cell>
          <cell r="T607">
            <v>44</v>
          </cell>
        </row>
        <row r="608">
          <cell r="C608" t="str">
            <v>Lakeland South CDP, Washington</v>
          </cell>
          <cell r="D608">
            <v>175</v>
          </cell>
          <cell r="E608">
            <v>175</v>
          </cell>
          <cell r="F608">
            <v>65</v>
          </cell>
          <cell r="G608">
            <v>110</v>
          </cell>
          <cell r="H608">
            <v>18</v>
          </cell>
          <cell r="I608">
            <v>16</v>
          </cell>
          <cell r="J608">
            <v>0</v>
          </cell>
          <cell r="K608">
            <v>76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175</v>
          </cell>
          <cell r="T608">
            <v>0</v>
          </cell>
        </row>
        <row r="609">
          <cell r="C609" t="str">
            <v>Lake McMurray CDP, Washington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</row>
        <row r="610">
          <cell r="C610" t="str">
            <v>Lake Marcel-Stillwater CDP, Washington</v>
          </cell>
          <cell r="D610">
            <v>17</v>
          </cell>
          <cell r="E610">
            <v>17</v>
          </cell>
          <cell r="F610">
            <v>11</v>
          </cell>
          <cell r="G610">
            <v>6</v>
          </cell>
          <cell r="H610">
            <v>0</v>
          </cell>
          <cell r="I610">
            <v>0</v>
          </cell>
          <cell r="J610">
            <v>0</v>
          </cell>
          <cell r="K610">
            <v>6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17</v>
          </cell>
          <cell r="T610">
            <v>0</v>
          </cell>
        </row>
        <row r="611">
          <cell r="C611" t="str">
            <v>Lake Morton-Berrydale CDP, Washington</v>
          </cell>
          <cell r="D611">
            <v>121</v>
          </cell>
          <cell r="E611">
            <v>87</v>
          </cell>
          <cell r="F611">
            <v>65</v>
          </cell>
          <cell r="G611">
            <v>22</v>
          </cell>
          <cell r="H611">
            <v>0</v>
          </cell>
          <cell r="I611">
            <v>6</v>
          </cell>
          <cell r="J611">
            <v>4</v>
          </cell>
          <cell r="K611">
            <v>12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34</v>
          </cell>
          <cell r="Q611">
            <v>0</v>
          </cell>
          <cell r="R611">
            <v>34</v>
          </cell>
          <cell r="S611">
            <v>87</v>
          </cell>
          <cell r="T611">
            <v>34</v>
          </cell>
        </row>
        <row r="612">
          <cell r="C612" t="str">
            <v>Lake Roesiger CDP, Washington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</row>
        <row r="613">
          <cell r="C613" t="str">
            <v>Lake Shore CDP, Washington</v>
          </cell>
          <cell r="D613">
            <v>178</v>
          </cell>
          <cell r="E613">
            <v>153</v>
          </cell>
          <cell r="F613">
            <v>30</v>
          </cell>
          <cell r="G613">
            <v>123</v>
          </cell>
          <cell r="H613">
            <v>0</v>
          </cell>
          <cell r="I613">
            <v>14</v>
          </cell>
          <cell r="J613">
            <v>23</v>
          </cell>
          <cell r="K613">
            <v>86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25</v>
          </cell>
          <cell r="Q613">
            <v>12</v>
          </cell>
          <cell r="R613">
            <v>13</v>
          </cell>
          <cell r="S613">
            <v>153</v>
          </cell>
          <cell r="T613">
            <v>25</v>
          </cell>
        </row>
        <row r="614">
          <cell r="C614" t="str">
            <v>Lake Stevens city, Washington</v>
          </cell>
          <cell r="D614">
            <v>171</v>
          </cell>
          <cell r="E614">
            <v>148</v>
          </cell>
          <cell r="F614">
            <v>117</v>
          </cell>
          <cell r="G614">
            <v>31</v>
          </cell>
          <cell r="H614">
            <v>4</v>
          </cell>
          <cell r="I614">
            <v>0</v>
          </cell>
          <cell r="J614">
            <v>5</v>
          </cell>
          <cell r="K614">
            <v>22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23</v>
          </cell>
          <cell r="Q614">
            <v>11</v>
          </cell>
          <cell r="R614">
            <v>12</v>
          </cell>
          <cell r="S614">
            <v>148</v>
          </cell>
          <cell r="T614">
            <v>23</v>
          </cell>
        </row>
        <row r="615">
          <cell r="C615" t="str">
            <v>Lakeview CDP, Washington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</row>
        <row r="616">
          <cell r="C616" t="str">
            <v>Lakewood city, Washington</v>
          </cell>
          <cell r="D616">
            <v>1880</v>
          </cell>
          <cell r="E616">
            <v>1333</v>
          </cell>
          <cell r="F616">
            <v>507</v>
          </cell>
          <cell r="G616">
            <v>632</v>
          </cell>
          <cell r="H616">
            <v>37</v>
          </cell>
          <cell r="I616">
            <v>30</v>
          </cell>
          <cell r="J616">
            <v>227</v>
          </cell>
          <cell r="K616">
            <v>338</v>
          </cell>
          <cell r="L616">
            <v>194</v>
          </cell>
          <cell r="M616">
            <v>129</v>
          </cell>
          <cell r="N616">
            <v>0</v>
          </cell>
          <cell r="O616">
            <v>65</v>
          </cell>
          <cell r="P616">
            <v>547</v>
          </cell>
          <cell r="Q616">
            <v>131</v>
          </cell>
          <cell r="R616">
            <v>416</v>
          </cell>
          <cell r="S616">
            <v>1139</v>
          </cell>
          <cell r="T616">
            <v>741</v>
          </cell>
        </row>
        <row r="617">
          <cell r="C617" t="str">
            <v>Lamont town, Washington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</row>
        <row r="618">
          <cell r="C618" t="str">
            <v>Langley city, Washington</v>
          </cell>
          <cell r="D618">
            <v>14</v>
          </cell>
          <cell r="E618">
            <v>14</v>
          </cell>
          <cell r="F618">
            <v>5</v>
          </cell>
          <cell r="G618">
            <v>7</v>
          </cell>
          <cell r="H618">
            <v>0</v>
          </cell>
          <cell r="I618">
            <v>0</v>
          </cell>
          <cell r="J618">
            <v>2</v>
          </cell>
          <cell r="K618">
            <v>5</v>
          </cell>
          <cell r="L618">
            <v>2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0</v>
          </cell>
          <cell r="R618">
            <v>0</v>
          </cell>
          <cell r="S618">
            <v>12</v>
          </cell>
          <cell r="T618">
            <v>2</v>
          </cell>
        </row>
        <row r="619">
          <cell r="C619" t="str">
            <v>Latah town, Washington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</row>
        <row r="620">
          <cell r="C620" t="str">
            <v>Lea Hill CDP, Washington</v>
          </cell>
          <cell r="D620">
            <v>240</v>
          </cell>
          <cell r="E620">
            <v>210</v>
          </cell>
          <cell r="F620">
            <v>78</v>
          </cell>
          <cell r="G620">
            <v>124</v>
          </cell>
          <cell r="H620">
            <v>19</v>
          </cell>
          <cell r="I620">
            <v>0</v>
          </cell>
          <cell r="J620">
            <v>15</v>
          </cell>
          <cell r="K620">
            <v>90</v>
          </cell>
          <cell r="L620">
            <v>8</v>
          </cell>
          <cell r="M620">
            <v>0</v>
          </cell>
          <cell r="N620">
            <v>0</v>
          </cell>
          <cell r="O620">
            <v>8</v>
          </cell>
          <cell r="P620">
            <v>30</v>
          </cell>
          <cell r="Q620">
            <v>12</v>
          </cell>
          <cell r="R620">
            <v>18</v>
          </cell>
          <cell r="S620">
            <v>202</v>
          </cell>
          <cell r="T620">
            <v>38</v>
          </cell>
        </row>
        <row r="621">
          <cell r="C621" t="str">
            <v>Leavenworth city, Washington</v>
          </cell>
          <cell r="D621">
            <v>26</v>
          </cell>
          <cell r="E621">
            <v>13</v>
          </cell>
          <cell r="F621">
            <v>7</v>
          </cell>
          <cell r="G621">
            <v>6</v>
          </cell>
          <cell r="H621">
            <v>0</v>
          </cell>
          <cell r="I621">
            <v>0</v>
          </cell>
          <cell r="J621">
            <v>0</v>
          </cell>
          <cell r="K621">
            <v>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13</v>
          </cell>
          <cell r="Q621">
            <v>0</v>
          </cell>
          <cell r="R621">
            <v>13</v>
          </cell>
          <cell r="S621">
            <v>13</v>
          </cell>
          <cell r="T621">
            <v>13</v>
          </cell>
        </row>
        <row r="622">
          <cell r="C622" t="str">
            <v>Lebam CDP, Washington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</row>
        <row r="623">
          <cell r="C623" t="str">
            <v>Lewisville CDP, Washington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</row>
        <row r="624">
          <cell r="C624" t="str">
            <v>Liberty Lake CDP, Washington</v>
          </cell>
          <cell r="D624">
            <v>80</v>
          </cell>
          <cell r="E624">
            <v>80</v>
          </cell>
          <cell r="F624">
            <v>33</v>
          </cell>
          <cell r="G624">
            <v>47</v>
          </cell>
          <cell r="H624">
            <v>0</v>
          </cell>
          <cell r="I624">
            <v>7</v>
          </cell>
          <cell r="J624">
            <v>19</v>
          </cell>
          <cell r="K624">
            <v>21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80</v>
          </cell>
          <cell r="T624">
            <v>0</v>
          </cell>
        </row>
        <row r="625">
          <cell r="C625" t="str">
            <v>Lind town, Washington</v>
          </cell>
          <cell r="D625">
            <v>13</v>
          </cell>
          <cell r="E625">
            <v>13</v>
          </cell>
          <cell r="F625">
            <v>4</v>
          </cell>
          <cell r="G625">
            <v>9</v>
          </cell>
          <cell r="H625">
            <v>0</v>
          </cell>
          <cell r="I625">
            <v>0</v>
          </cell>
          <cell r="J625">
            <v>0</v>
          </cell>
          <cell r="K625">
            <v>9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13</v>
          </cell>
          <cell r="T625">
            <v>0</v>
          </cell>
        </row>
        <row r="626">
          <cell r="C626" t="str">
            <v>Lochsloy CDP, Washington</v>
          </cell>
          <cell r="D626">
            <v>81</v>
          </cell>
          <cell r="E626">
            <v>81</v>
          </cell>
          <cell r="F626">
            <v>9</v>
          </cell>
          <cell r="G626">
            <v>48</v>
          </cell>
          <cell r="H626">
            <v>0</v>
          </cell>
          <cell r="I626">
            <v>0</v>
          </cell>
          <cell r="J626">
            <v>0</v>
          </cell>
          <cell r="K626">
            <v>48</v>
          </cell>
          <cell r="L626">
            <v>24</v>
          </cell>
          <cell r="M626">
            <v>0</v>
          </cell>
          <cell r="N626">
            <v>0</v>
          </cell>
          <cell r="O626">
            <v>24</v>
          </cell>
          <cell r="P626">
            <v>0</v>
          </cell>
          <cell r="Q626">
            <v>0</v>
          </cell>
          <cell r="R626">
            <v>0</v>
          </cell>
          <cell r="S626">
            <v>57</v>
          </cell>
          <cell r="T626">
            <v>24</v>
          </cell>
        </row>
        <row r="627">
          <cell r="C627" t="str">
            <v>Long Beach city, Washington</v>
          </cell>
          <cell r="D627">
            <v>48</v>
          </cell>
          <cell r="E627">
            <v>35</v>
          </cell>
          <cell r="F627">
            <v>18</v>
          </cell>
          <cell r="G627">
            <v>17</v>
          </cell>
          <cell r="H627">
            <v>0</v>
          </cell>
          <cell r="I627">
            <v>4</v>
          </cell>
          <cell r="J627">
            <v>0</v>
          </cell>
          <cell r="K627">
            <v>13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13</v>
          </cell>
          <cell r="Q627">
            <v>11</v>
          </cell>
          <cell r="R627">
            <v>2</v>
          </cell>
          <cell r="S627">
            <v>35</v>
          </cell>
          <cell r="T627">
            <v>13</v>
          </cell>
        </row>
        <row r="628">
          <cell r="C628" t="str">
            <v>Longview city, Washington</v>
          </cell>
          <cell r="D628">
            <v>820</v>
          </cell>
          <cell r="E628">
            <v>594</v>
          </cell>
          <cell r="F628">
            <v>299</v>
          </cell>
          <cell r="G628">
            <v>276</v>
          </cell>
          <cell r="H628">
            <v>0</v>
          </cell>
          <cell r="I628">
            <v>0</v>
          </cell>
          <cell r="J628">
            <v>23</v>
          </cell>
          <cell r="K628">
            <v>253</v>
          </cell>
          <cell r="L628">
            <v>19</v>
          </cell>
          <cell r="M628">
            <v>9</v>
          </cell>
          <cell r="N628">
            <v>0</v>
          </cell>
          <cell r="O628">
            <v>10</v>
          </cell>
          <cell r="P628">
            <v>226</v>
          </cell>
          <cell r="Q628">
            <v>31</v>
          </cell>
          <cell r="R628">
            <v>195</v>
          </cell>
          <cell r="S628">
            <v>575</v>
          </cell>
          <cell r="T628">
            <v>245</v>
          </cell>
        </row>
        <row r="629">
          <cell r="C629" t="str">
            <v>Longview Heights CDP, Washington</v>
          </cell>
          <cell r="D629">
            <v>6</v>
          </cell>
          <cell r="E629">
            <v>6</v>
          </cell>
          <cell r="F629">
            <v>6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6</v>
          </cell>
          <cell r="T629">
            <v>0</v>
          </cell>
        </row>
        <row r="630">
          <cell r="C630" t="str">
            <v>Lyle CDP, Washington</v>
          </cell>
          <cell r="D630">
            <v>6</v>
          </cell>
          <cell r="E630">
            <v>6</v>
          </cell>
          <cell r="F630">
            <v>6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6</v>
          </cell>
          <cell r="T630">
            <v>0</v>
          </cell>
        </row>
        <row r="631">
          <cell r="C631" t="str">
            <v>Lyman town, Washington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</row>
        <row r="632">
          <cell r="C632" t="str">
            <v>Lynden city, Washington</v>
          </cell>
          <cell r="D632">
            <v>127</v>
          </cell>
          <cell r="E632">
            <v>116</v>
          </cell>
          <cell r="F632">
            <v>78</v>
          </cell>
          <cell r="G632">
            <v>38</v>
          </cell>
          <cell r="H632">
            <v>0</v>
          </cell>
          <cell r="I632">
            <v>0</v>
          </cell>
          <cell r="J632">
            <v>0</v>
          </cell>
          <cell r="K632">
            <v>38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11</v>
          </cell>
          <cell r="Q632">
            <v>11</v>
          </cell>
          <cell r="R632">
            <v>0</v>
          </cell>
          <cell r="S632">
            <v>116</v>
          </cell>
          <cell r="T632">
            <v>11</v>
          </cell>
        </row>
        <row r="633">
          <cell r="C633" t="str">
            <v>Lynnwood city, Washington</v>
          </cell>
          <cell r="D633">
            <v>1081</v>
          </cell>
          <cell r="E633">
            <v>668</v>
          </cell>
          <cell r="F633">
            <v>252</v>
          </cell>
          <cell r="G633">
            <v>304</v>
          </cell>
          <cell r="H633">
            <v>84</v>
          </cell>
          <cell r="I633">
            <v>15</v>
          </cell>
          <cell r="J633">
            <v>27</v>
          </cell>
          <cell r="K633">
            <v>178</v>
          </cell>
          <cell r="L633">
            <v>112</v>
          </cell>
          <cell r="M633">
            <v>42</v>
          </cell>
          <cell r="N633">
            <v>0</v>
          </cell>
          <cell r="O633">
            <v>70</v>
          </cell>
          <cell r="P633">
            <v>413</v>
          </cell>
          <cell r="Q633">
            <v>75</v>
          </cell>
          <cell r="R633">
            <v>338</v>
          </cell>
          <cell r="S633">
            <v>556</v>
          </cell>
          <cell r="T633">
            <v>525</v>
          </cell>
        </row>
        <row r="634">
          <cell r="C634" t="str">
            <v>Mabton city, Washington</v>
          </cell>
          <cell r="D634">
            <v>215</v>
          </cell>
          <cell r="E634">
            <v>144</v>
          </cell>
          <cell r="F634">
            <v>111</v>
          </cell>
          <cell r="G634">
            <v>32</v>
          </cell>
          <cell r="H634">
            <v>0</v>
          </cell>
          <cell r="I634">
            <v>2</v>
          </cell>
          <cell r="J634">
            <v>19</v>
          </cell>
          <cell r="K634">
            <v>11</v>
          </cell>
          <cell r="L634">
            <v>1</v>
          </cell>
          <cell r="M634">
            <v>0</v>
          </cell>
          <cell r="N634">
            <v>0</v>
          </cell>
          <cell r="O634">
            <v>1</v>
          </cell>
          <cell r="P634">
            <v>71</v>
          </cell>
          <cell r="Q634">
            <v>11</v>
          </cell>
          <cell r="R634">
            <v>60</v>
          </cell>
          <cell r="S634">
            <v>143</v>
          </cell>
          <cell r="T634">
            <v>72</v>
          </cell>
        </row>
        <row r="635">
          <cell r="C635" t="str">
            <v>McChord AFB CDP, Washington</v>
          </cell>
          <cell r="D635">
            <v>155</v>
          </cell>
          <cell r="E635">
            <v>134</v>
          </cell>
          <cell r="F635">
            <v>16</v>
          </cell>
          <cell r="G635">
            <v>98</v>
          </cell>
          <cell r="H635">
            <v>0</v>
          </cell>
          <cell r="I635">
            <v>15</v>
          </cell>
          <cell r="J635">
            <v>43</v>
          </cell>
          <cell r="K635">
            <v>40</v>
          </cell>
          <cell r="L635">
            <v>20</v>
          </cell>
          <cell r="M635">
            <v>0</v>
          </cell>
          <cell r="N635">
            <v>0</v>
          </cell>
          <cell r="O635">
            <v>20</v>
          </cell>
          <cell r="P635">
            <v>21</v>
          </cell>
          <cell r="Q635">
            <v>3</v>
          </cell>
          <cell r="R635">
            <v>18</v>
          </cell>
          <cell r="S635">
            <v>114</v>
          </cell>
          <cell r="T635">
            <v>41</v>
          </cell>
        </row>
        <row r="636">
          <cell r="C636" t="str">
            <v>McCleary city, Washington</v>
          </cell>
          <cell r="D636">
            <v>31</v>
          </cell>
          <cell r="E636">
            <v>21</v>
          </cell>
          <cell r="F636">
            <v>11</v>
          </cell>
          <cell r="G636">
            <v>10</v>
          </cell>
          <cell r="H636">
            <v>0</v>
          </cell>
          <cell r="I636">
            <v>0</v>
          </cell>
          <cell r="J636">
            <v>3</v>
          </cell>
          <cell r="K636">
            <v>7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10</v>
          </cell>
          <cell r="Q636">
            <v>0</v>
          </cell>
          <cell r="R636">
            <v>10</v>
          </cell>
          <cell r="S636">
            <v>21</v>
          </cell>
          <cell r="T636">
            <v>10</v>
          </cell>
        </row>
        <row r="637">
          <cell r="C637" t="str">
            <v>Machias CDP, Washington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</row>
        <row r="638">
          <cell r="C638" t="str">
            <v>Malden town, Washington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</row>
        <row r="639">
          <cell r="C639" t="str">
            <v>Malone-Porter CDP, Washington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</row>
        <row r="640">
          <cell r="C640" t="str">
            <v>Maltby CDP, Washington</v>
          </cell>
          <cell r="D640">
            <v>130</v>
          </cell>
          <cell r="E640">
            <v>126</v>
          </cell>
          <cell r="F640">
            <v>37</v>
          </cell>
          <cell r="G640">
            <v>89</v>
          </cell>
          <cell r="H640">
            <v>0</v>
          </cell>
          <cell r="I640">
            <v>0</v>
          </cell>
          <cell r="J640">
            <v>27</v>
          </cell>
          <cell r="K640">
            <v>62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</v>
          </cell>
          <cell r="Q640">
            <v>4</v>
          </cell>
          <cell r="R640">
            <v>0</v>
          </cell>
          <cell r="S640">
            <v>126</v>
          </cell>
          <cell r="T640">
            <v>4</v>
          </cell>
        </row>
        <row r="641">
          <cell r="C641" t="str">
            <v>Manchester CDP, Washington</v>
          </cell>
          <cell r="D641">
            <v>85</v>
          </cell>
          <cell r="E641">
            <v>64</v>
          </cell>
          <cell r="F641">
            <v>31</v>
          </cell>
          <cell r="G641">
            <v>33</v>
          </cell>
          <cell r="H641">
            <v>0</v>
          </cell>
          <cell r="I641">
            <v>0</v>
          </cell>
          <cell r="J641">
            <v>10</v>
          </cell>
          <cell r="K641">
            <v>23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21</v>
          </cell>
          <cell r="Q641">
            <v>21</v>
          </cell>
          <cell r="R641">
            <v>0</v>
          </cell>
          <cell r="S641">
            <v>64</v>
          </cell>
          <cell r="T641">
            <v>21</v>
          </cell>
        </row>
        <row r="642">
          <cell r="C642" t="str">
            <v>Mansfield town, Washington</v>
          </cell>
          <cell r="D642">
            <v>9</v>
          </cell>
          <cell r="E642">
            <v>9</v>
          </cell>
          <cell r="F642">
            <v>7</v>
          </cell>
          <cell r="G642">
            <v>2</v>
          </cell>
          <cell r="H642">
            <v>0</v>
          </cell>
          <cell r="I642">
            <v>0</v>
          </cell>
          <cell r="J642">
            <v>2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9</v>
          </cell>
          <cell r="T642">
            <v>0</v>
          </cell>
        </row>
        <row r="643">
          <cell r="C643" t="str">
            <v>Maple Falls CDP, Washington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</row>
        <row r="644">
          <cell r="C644" t="str">
            <v>Maple Heights-Lake Desire CDP, Washington</v>
          </cell>
          <cell r="D644">
            <v>49</v>
          </cell>
          <cell r="E644">
            <v>41</v>
          </cell>
          <cell r="F644">
            <v>22</v>
          </cell>
          <cell r="G644">
            <v>19</v>
          </cell>
          <cell r="H644">
            <v>0</v>
          </cell>
          <cell r="I644">
            <v>4</v>
          </cell>
          <cell r="J644">
            <v>0</v>
          </cell>
          <cell r="K644">
            <v>15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8</v>
          </cell>
          <cell r="Q644">
            <v>0</v>
          </cell>
          <cell r="R644">
            <v>8</v>
          </cell>
          <cell r="S644">
            <v>41</v>
          </cell>
          <cell r="T644">
            <v>8</v>
          </cell>
        </row>
        <row r="645">
          <cell r="C645" t="str">
            <v>Maple Valley city, Washington</v>
          </cell>
          <cell r="D645">
            <v>231</v>
          </cell>
          <cell r="E645">
            <v>186</v>
          </cell>
          <cell r="F645">
            <v>84</v>
          </cell>
          <cell r="G645">
            <v>102</v>
          </cell>
          <cell r="H645">
            <v>10</v>
          </cell>
          <cell r="I645">
            <v>7</v>
          </cell>
          <cell r="J645">
            <v>6</v>
          </cell>
          <cell r="K645">
            <v>79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45</v>
          </cell>
          <cell r="Q645">
            <v>11</v>
          </cell>
          <cell r="R645">
            <v>34</v>
          </cell>
          <cell r="S645">
            <v>186</v>
          </cell>
          <cell r="T645">
            <v>45</v>
          </cell>
        </row>
        <row r="646">
          <cell r="C646" t="str">
            <v>Marblemount CDP, Washington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</row>
        <row r="647">
          <cell r="C647" t="str">
            <v>Marcus town, Washington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</row>
        <row r="648">
          <cell r="C648" t="str">
            <v>Marietta-Alderwood CDP, Washington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</row>
        <row r="649">
          <cell r="C649" t="str">
            <v>Markham CDP, Washington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</row>
        <row r="650">
          <cell r="C650" t="str">
            <v>Marrowstone CDP, Washington</v>
          </cell>
          <cell r="D650">
            <v>9</v>
          </cell>
          <cell r="E650">
            <v>9</v>
          </cell>
          <cell r="F650">
            <v>5</v>
          </cell>
          <cell r="G650">
            <v>4</v>
          </cell>
          <cell r="H650">
            <v>0</v>
          </cell>
          <cell r="I650">
            <v>0</v>
          </cell>
          <cell r="J650">
            <v>0</v>
          </cell>
          <cell r="K650">
            <v>4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9</v>
          </cell>
          <cell r="T650">
            <v>0</v>
          </cell>
        </row>
        <row r="651">
          <cell r="C651" t="str">
            <v>Martha Lake CDP, Washington</v>
          </cell>
          <cell r="D651">
            <v>230</v>
          </cell>
          <cell r="E651">
            <v>207</v>
          </cell>
          <cell r="F651">
            <v>77</v>
          </cell>
          <cell r="G651">
            <v>130</v>
          </cell>
          <cell r="H651">
            <v>39</v>
          </cell>
          <cell r="I651">
            <v>15</v>
          </cell>
          <cell r="J651">
            <v>12</v>
          </cell>
          <cell r="K651">
            <v>64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23</v>
          </cell>
          <cell r="Q651">
            <v>10</v>
          </cell>
          <cell r="R651">
            <v>13</v>
          </cell>
          <cell r="S651">
            <v>207</v>
          </cell>
          <cell r="T651">
            <v>23</v>
          </cell>
        </row>
        <row r="652">
          <cell r="C652" t="str">
            <v>Maryhill CDP, Washington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</row>
        <row r="653">
          <cell r="C653" t="str">
            <v>Marysville city, Washington</v>
          </cell>
          <cell r="D653">
            <v>476</v>
          </cell>
          <cell r="E653">
            <v>307</v>
          </cell>
          <cell r="F653">
            <v>141</v>
          </cell>
          <cell r="G653">
            <v>120</v>
          </cell>
          <cell r="H653">
            <v>0</v>
          </cell>
          <cell r="I653">
            <v>0</v>
          </cell>
          <cell r="J653">
            <v>54</v>
          </cell>
          <cell r="K653">
            <v>66</v>
          </cell>
          <cell r="L653">
            <v>46</v>
          </cell>
          <cell r="M653">
            <v>25</v>
          </cell>
          <cell r="N653">
            <v>0</v>
          </cell>
          <cell r="O653">
            <v>21</v>
          </cell>
          <cell r="P653">
            <v>169</v>
          </cell>
          <cell r="Q653">
            <v>102</v>
          </cell>
          <cell r="R653">
            <v>67</v>
          </cell>
          <cell r="S653">
            <v>261</v>
          </cell>
          <cell r="T653">
            <v>215</v>
          </cell>
        </row>
        <row r="654">
          <cell r="C654" t="str">
            <v>Mattawa town, Washington</v>
          </cell>
          <cell r="D654">
            <v>506</v>
          </cell>
          <cell r="E654">
            <v>156</v>
          </cell>
          <cell r="F654">
            <v>132</v>
          </cell>
          <cell r="G654">
            <v>21</v>
          </cell>
          <cell r="H654">
            <v>0</v>
          </cell>
          <cell r="I654">
            <v>3</v>
          </cell>
          <cell r="J654">
            <v>7</v>
          </cell>
          <cell r="K654">
            <v>11</v>
          </cell>
          <cell r="L654">
            <v>3</v>
          </cell>
          <cell r="M654">
            <v>0</v>
          </cell>
          <cell r="N654">
            <v>0</v>
          </cell>
          <cell r="O654">
            <v>3</v>
          </cell>
          <cell r="P654">
            <v>350</v>
          </cell>
          <cell r="Q654">
            <v>17</v>
          </cell>
          <cell r="R654">
            <v>333</v>
          </cell>
          <cell r="S654">
            <v>153</v>
          </cell>
          <cell r="T654">
            <v>353</v>
          </cell>
        </row>
        <row r="655">
          <cell r="C655" t="str">
            <v>May Creek CDP, Washington</v>
          </cell>
          <cell r="D655">
            <v>19</v>
          </cell>
          <cell r="E655">
            <v>19</v>
          </cell>
          <cell r="F655">
            <v>11</v>
          </cell>
          <cell r="G655">
            <v>8</v>
          </cell>
          <cell r="H655">
            <v>0</v>
          </cell>
          <cell r="I655">
            <v>5</v>
          </cell>
          <cell r="J655">
            <v>3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19</v>
          </cell>
          <cell r="T655">
            <v>0</v>
          </cell>
        </row>
        <row r="656">
          <cell r="C656" t="str">
            <v>Meadow Glade CDP, Washington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</row>
        <row r="657">
          <cell r="C657" t="str">
            <v>Medical Lake city, Washington</v>
          </cell>
          <cell r="D657">
            <v>140</v>
          </cell>
          <cell r="E657">
            <v>140</v>
          </cell>
          <cell r="F657">
            <v>64</v>
          </cell>
          <cell r="G657">
            <v>73</v>
          </cell>
          <cell r="H657">
            <v>4</v>
          </cell>
          <cell r="I657">
            <v>12</v>
          </cell>
          <cell r="J657">
            <v>10</v>
          </cell>
          <cell r="K657">
            <v>47</v>
          </cell>
          <cell r="L657">
            <v>3</v>
          </cell>
          <cell r="M657">
            <v>0</v>
          </cell>
          <cell r="N657">
            <v>0</v>
          </cell>
          <cell r="O657">
            <v>3</v>
          </cell>
          <cell r="P657">
            <v>0</v>
          </cell>
          <cell r="Q657">
            <v>0</v>
          </cell>
          <cell r="R657">
            <v>0</v>
          </cell>
          <cell r="S657">
            <v>137</v>
          </cell>
          <cell r="T657">
            <v>3</v>
          </cell>
        </row>
        <row r="658">
          <cell r="C658" t="str">
            <v>Medina city, Washington</v>
          </cell>
          <cell r="D658">
            <v>74</v>
          </cell>
          <cell r="E658">
            <v>74</v>
          </cell>
          <cell r="F658">
            <v>13</v>
          </cell>
          <cell r="G658">
            <v>61</v>
          </cell>
          <cell r="H658">
            <v>11</v>
          </cell>
          <cell r="I658">
            <v>0</v>
          </cell>
          <cell r="J658">
            <v>0</v>
          </cell>
          <cell r="K658">
            <v>50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74</v>
          </cell>
          <cell r="T658">
            <v>0</v>
          </cell>
        </row>
        <row r="659">
          <cell r="C659" t="str">
            <v>Mercer Island city, Washington</v>
          </cell>
          <cell r="D659">
            <v>242</v>
          </cell>
          <cell r="E659">
            <v>196</v>
          </cell>
          <cell r="F659">
            <v>83</v>
          </cell>
          <cell r="G659">
            <v>103</v>
          </cell>
          <cell r="H659">
            <v>12</v>
          </cell>
          <cell r="I659">
            <v>8</v>
          </cell>
          <cell r="J659">
            <v>9</v>
          </cell>
          <cell r="K659">
            <v>74</v>
          </cell>
          <cell r="L659">
            <v>10</v>
          </cell>
          <cell r="M659">
            <v>0</v>
          </cell>
          <cell r="N659">
            <v>0</v>
          </cell>
          <cell r="O659">
            <v>10</v>
          </cell>
          <cell r="P659">
            <v>46</v>
          </cell>
          <cell r="Q659">
            <v>5</v>
          </cell>
          <cell r="R659">
            <v>41</v>
          </cell>
          <cell r="S659">
            <v>186</v>
          </cell>
          <cell r="T659">
            <v>56</v>
          </cell>
        </row>
        <row r="660">
          <cell r="C660" t="str">
            <v>Mesa city, Washington</v>
          </cell>
          <cell r="D660">
            <v>69</v>
          </cell>
          <cell r="E660">
            <v>40</v>
          </cell>
          <cell r="F660">
            <v>24</v>
          </cell>
          <cell r="G660">
            <v>16</v>
          </cell>
          <cell r="H660">
            <v>0</v>
          </cell>
          <cell r="I660">
            <v>4</v>
          </cell>
          <cell r="J660">
            <v>4</v>
          </cell>
          <cell r="K660">
            <v>8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29</v>
          </cell>
          <cell r="Q660">
            <v>2</v>
          </cell>
          <cell r="R660">
            <v>27</v>
          </cell>
          <cell r="S660">
            <v>40</v>
          </cell>
          <cell r="T660">
            <v>29</v>
          </cell>
        </row>
        <row r="661">
          <cell r="C661" t="str">
            <v>Metaline town, Washington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</row>
        <row r="662">
          <cell r="C662" t="str">
            <v>Metaline Falls town, Washington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</row>
        <row r="663">
          <cell r="C663" t="str">
            <v>Midland CDP, Washington</v>
          </cell>
          <cell r="D663">
            <v>250</v>
          </cell>
          <cell r="E663">
            <v>161</v>
          </cell>
          <cell r="F663">
            <v>87</v>
          </cell>
          <cell r="G663">
            <v>56</v>
          </cell>
          <cell r="H663">
            <v>0</v>
          </cell>
          <cell r="I663">
            <v>0</v>
          </cell>
          <cell r="J663">
            <v>41</v>
          </cell>
          <cell r="K663">
            <v>15</v>
          </cell>
          <cell r="L663">
            <v>18</v>
          </cell>
          <cell r="M663">
            <v>18</v>
          </cell>
          <cell r="N663">
            <v>0</v>
          </cell>
          <cell r="O663">
            <v>0</v>
          </cell>
          <cell r="P663">
            <v>89</v>
          </cell>
          <cell r="Q663">
            <v>0</v>
          </cell>
          <cell r="R663">
            <v>89</v>
          </cell>
          <cell r="S663">
            <v>143</v>
          </cell>
          <cell r="T663">
            <v>107</v>
          </cell>
        </row>
        <row r="664">
          <cell r="C664" t="str">
            <v>Mill Creek city, Washington</v>
          </cell>
          <cell r="D664">
            <v>211</v>
          </cell>
          <cell r="E664">
            <v>151</v>
          </cell>
          <cell r="F664">
            <v>62</v>
          </cell>
          <cell r="G664">
            <v>76</v>
          </cell>
          <cell r="H664">
            <v>6</v>
          </cell>
          <cell r="I664">
            <v>8</v>
          </cell>
          <cell r="J664">
            <v>27</v>
          </cell>
          <cell r="K664">
            <v>35</v>
          </cell>
          <cell r="L664">
            <v>13</v>
          </cell>
          <cell r="M664">
            <v>13</v>
          </cell>
          <cell r="N664">
            <v>0</v>
          </cell>
          <cell r="O664">
            <v>0</v>
          </cell>
          <cell r="P664">
            <v>60</v>
          </cell>
          <cell r="Q664">
            <v>34</v>
          </cell>
          <cell r="R664">
            <v>26</v>
          </cell>
          <cell r="S664">
            <v>138</v>
          </cell>
          <cell r="T664">
            <v>73</v>
          </cell>
        </row>
        <row r="665">
          <cell r="C665" t="str">
            <v>Mill Plain CDP, Washington</v>
          </cell>
          <cell r="D665">
            <v>104</v>
          </cell>
          <cell r="E665">
            <v>78</v>
          </cell>
          <cell r="F665">
            <v>6</v>
          </cell>
          <cell r="G665">
            <v>59</v>
          </cell>
          <cell r="H665">
            <v>0</v>
          </cell>
          <cell r="I665">
            <v>5</v>
          </cell>
          <cell r="J665">
            <v>11</v>
          </cell>
          <cell r="K665">
            <v>43</v>
          </cell>
          <cell r="L665">
            <v>13</v>
          </cell>
          <cell r="M665">
            <v>0</v>
          </cell>
          <cell r="N665">
            <v>0</v>
          </cell>
          <cell r="O665">
            <v>13</v>
          </cell>
          <cell r="P665">
            <v>26</v>
          </cell>
          <cell r="Q665">
            <v>8</v>
          </cell>
          <cell r="R665">
            <v>18</v>
          </cell>
          <cell r="S665">
            <v>65</v>
          </cell>
          <cell r="T665">
            <v>39</v>
          </cell>
        </row>
        <row r="666">
          <cell r="C666" t="str">
            <v>Millwood town, Washington</v>
          </cell>
          <cell r="D666">
            <v>5</v>
          </cell>
          <cell r="E666">
            <v>5</v>
          </cell>
          <cell r="F666">
            <v>3</v>
          </cell>
          <cell r="G666">
            <v>2</v>
          </cell>
          <cell r="H666">
            <v>0</v>
          </cell>
          <cell r="I666">
            <v>0</v>
          </cell>
          <cell r="J666">
            <v>0</v>
          </cell>
          <cell r="K666">
            <v>2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5</v>
          </cell>
          <cell r="T666">
            <v>0</v>
          </cell>
        </row>
        <row r="667">
          <cell r="C667" t="str">
            <v>Milton city, Washington</v>
          </cell>
          <cell r="D667">
            <v>90</v>
          </cell>
          <cell r="E667">
            <v>73</v>
          </cell>
          <cell r="F667">
            <v>6</v>
          </cell>
          <cell r="G667">
            <v>62</v>
          </cell>
          <cell r="H667">
            <v>3</v>
          </cell>
          <cell r="I667">
            <v>0</v>
          </cell>
          <cell r="J667">
            <v>0</v>
          </cell>
          <cell r="K667">
            <v>59</v>
          </cell>
          <cell r="L667">
            <v>5</v>
          </cell>
          <cell r="M667">
            <v>5</v>
          </cell>
          <cell r="N667">
            <v>0</v>
          </cell>
          <cell r="O667">
            <v>0</v>
          </cell>
          <cell r="P667">
            <v>17</v>
          </cell>
          <cell r="Q667">
            <v>11</v>
          </cell>
          <cell r="R667">
            <v>6</v>
          </cell>
          <cell r="S667">
            <v>68</v>
          </cell>
          <cell r="T667">
            <v>22</v>
          </cell>
        </row>
        <row r="668">
          <cell r="C668" t="str">
            <v>Minnehaha CDP, Washington</v>
          </cell>
          <cell r="D668">
            <v>233</v>
          </cell>
          <cell r="E668">
            <v>190</v>
          </cell>
          <cell r="F668">
            <v>65</v>
          </cell>
          <cell r="G668">
            <v>125</v>
          </cell>
          <cell r="H668">
            <v>0</v>
          </cell>
          <cell r="I668">
            <v>8</v>
          </cell>
          <cell r="J668">
            <v>34</v>
          </cell>
          <cell r="K668">
            <v>83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43</v>
          </cell>
          <cell r="Q668">
            <v>0</v>
          </cell>
          <cell r="R668">
            <v>43</v>
          </cell>
          <cell r="S668">
            <v>190</v>
          </cell>
          <cell r="T668">
            <v>43</v>
          </cell>
        </row>
        <row r="669">
          <cell r="C669" t="str">
            <v>Mirrormont CDP, Washington</v>
          </cell>
          <cell r="D669">
            <v>31</v>
          </cell>
          <cell r="E669">
            <v>25</v>
          </cell>
          <cell r="F669">
            <v>15</v>
          </cell>
          <cell r="G669">
            <v>10</v>
          </cell>
          <cell r="H669">
            <v>0</v>
          </cell>
          <cell r="I669">
            <v>0</v>
          </cell>
          <cell r="J669">
            <v>0</v>
          </cell>
          <cell r="K669">
            <v>10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6</v>
          </cell>
          <cell r="Q669">
            <v>6</v>
          </cell>
          <cell r="R669">
            <v>0</v>
          </cell>
          <cell r="S669">
            <v>25</v>
          </cell>
          <cell r="T669">
            <v>6</v>
          </cell>
        </row>
        <row r="670">
          <cell r="C670" t="str">
            <v>Moclips CDP, Washington</v>
          </cell>
          <cell r="D670">
            <v>4</v>
          </cell>
          <cell r="E670">
            <v>4</v>
          </cell>
          <cell r="F670">
            <v>0</v>
          </cell>
          <cell r="G670">
            <v>4</v>
          </cell>
          <cell r="H670">
            <v>0</v>
          </cell>
          <cell r="I670">
            <v>0</v>
          </cell>
          <cell r="J670">
            <v>0</v>
          </cell>
          <cell r="K670">
            <v>4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</v>
          </cell>
          <cell r="T670">
            <v>0</v>
          </cell>
        </row>
        <row r="671">
          <cell r="C671" t="str">
            <v>Monroe city, Washington</v>
          </cell>
          <cell r="D671">
            <v>803</v>
          </cell>
          <cell r="E671">
            <v>331</v>
          </cell>
          <cell r="F671">
            <v>245</v>
          </cell>
          <cell r="G671">
            <v>76</v>
          </cell>
          <cell r="H671">
            <v>0</v>
          </cell>
          <cell r="I671">
            <v>0</v>
          </cell>
          <cell r="J671">
            <v>42</v>
          </cell>
          <cell r="K671">
            <v>34</v>
          </cell>
          <cell r="L671">
            <v>10</v>
          </cell>
          <cell r="M671">
            <v>0</v>
          </cell>
          <cell r="N671">
            <v>0</v>
          </cell>
          <cell r="O671">
            <v>10</v>
          </cell>
          <cell r="P671">
            <v>472</v>
          </cell>
          <cell r="Q671">
            <v>81</v>
          </cell>
          <cell r="R671">
            <v>391</v>
          </cell>
          <cell r="S671">
            <v>321</v>
          </cell>
          <cell r="T671">
            <v>482</v>
          </cell>
        </row>
        <row r="672">
          <cell r="C672" t="str">
            <v>Montesano city, Washington</v>
          </cell>
          <cell r="D672">
            <v>51</v>
          </cell>
          <cell r="E672">
            <v>51</v>
          </cell>
          <cell r="F672">
            <v>41</v>
          </cell>
          <cell r="G672">
            <v>10</v>
          </cell>
          <cell r="H672">
            <v>0</v>
          </cell>
          <cell r="I672">
            <v>0</v>
          </cell>
          <cell r="J672">
            <v>0</v>
          </cell>
          <cell r="K672">
            <v>10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51</v>
          </cell>
          <cell r="T672">
            <v>0</v>
          </cell>
        </row>
        <row r="673">
          <cell r="C673" t="str">
            <v>Morton city, Washington</v>
          </cell>
          <cell r="D673">
            <v>6</v>
          </cell>
          <cell r="E673">
            <v>5</v>
          </cell>
          <cell r="F673">
            <v>2</v>
          </cell>
          <cell r="G673">
            <v>3</v>
          </cell>
          <cell r="H673">
            <v>1</v>
          </cell>
          <cell r="I673">
            <v>0</v>
          </cell>
          <cell r="J673">
            <v>0</v>
          </cell>
          <cell r="K673">
            <v>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</v>
          </cell>
          <cell r="Q673">
            <v>1</v>
          </cell>
          <cell r="R673">
            <v>0</v>
          </cell>
          <cell r="S673">
            <v>5</v>
          </cell>
          <cell r="T673">
            <v>1</v>
          </cell>
        </row>
        <row r="674">
          <cell r="C674" t="str">
            <v>Moses Lake city, Washington</v>
          </cell>
          <cell r="D674">
            <v>1271</v>
          </cell>
          <cell r="E674">
            <v>1050</v>
          </cell>
          <cell r="F674">
            <v>630</v>
          </cell>
          <cell r="G674">
            <v>396</v>
          </cell>
          <cell r="H674">
            <v>0</v>
          </cell>
          <cell r="I674">
            <v>26</v>
          </cell>
          <cell r="J674">
            <v>285</v>
          </cell>
          <cell r="K674">
            <v>85</v>
          </cell>
          <cell r="L674">
            <v>24</v>
          </cell>
          <cell r="M674">
            <v>9</v>
          </cell>
          <cell r="N674">
            <v>0</v>
          </cell>
          <cell r="O674">
            <v>15</v>
          </cell>
          <cell r="P674">
            <v>221</v>
          </cell>
          <cell r="Q674">
            <v>57</v>
          </cell>
          <cell r="R674">
            <v>164</v>
          </cell>
          <cell r="S674">
            <v>1026</v>
          </cell>
          <cell r="T674">
            <v>245</v>
          </cell>
        </row>
        <row r="675">
          <cell r="C675" t="str">
            <v>Moses Lake North CDP, Washington</v>
          </cell>
          <cell r="D675">
            <v>304</v>
          </cell>
          <cell r="E675">
            <v>243</v>
          </cell>
          <cell r="F675">
            <v>174</v>
          </cell>
          <cell r="G675">
            <v>69</v>
          </cell>
          <cell r="H675">
            <v>0</v>
          </cell>
          <cell r="I675">
            <v>0</v>
          </cell>
          <cell r="J675">
            <v>34</v>
          </cell>
          <cell r="K675">
            <v>35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61</v>
          </cell>
          <cell r="Q675">
            <v>27</v>
          </cell>
          <cell r="R675">
            <v>34</v>
          </cell>
          <cell r="S675">
            <v>243</v>
          </cell>
          <cell r="T675">
            <v>61</v>
          </cell>
        </row>
        <row r="676">
          <cell r="C676" t="str">
            <v>Mossyrock city, Washington</v>
          </cell>
          <cell r="D676">
            <v>3</v>
          </cell>
          <cell r="E676">
            <v>3</v>
          </cell>
          <cell r="F676">
            <v>0</v>
          </cell>
          <cell r="G676">
            <v>3</v>
          </cell>
          <cell r="H676">
            <v>0</v>
          </cell>
          <cell r="I676">
            <v>0</v>
          </cell>
          <cell r="J676">
            <v>2</v>
          </cell>
          <cell r="K676">
            <v>1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</v>
          </cell>
          <cell r="T676">
            <v>0</v>
          </cell>
        </row>
        <row r="677">
          <cell r="C677" t="str">
            <v>Mountlake Terrace city, Washington</v>
          </cell>
          <cell r="D677">
            <v>340</v>
          </cell>
          <cell r="E677">
            <v>197</v>
          </cell>
          <cell r="F677">
            <v>89</v>
          </cell>
          <cell r="G677">
            <v>90</v>
          </cell>
          <cell r="H677">
            <v>0</v>
          </cell>
          <cell r="I677">
            <v>0</v>
          </cell>
          <cell r="J677">
            <v>45</v>
          </cell>
          <cell r="K677">
            <v>45</v>
          </cell>
          <cell r="L677">
            <v>18</v>
          </cell>
          <cell r="M677">
            <v>0</v>
          </cell>
          <cell r="N677">
            <v>0</v>
          </cell>
          <cell r="O677">
            <v>18</v>
          </cell>
          <cell r="P677">
            <v>143</v>
          </cell>
          <cell r="Q677">
            <v>19</v>
          </cell>
          <cell r="R677">
            <v>124</v>
          </cell>
          <cell r="S677">
            <v>179</v>
          </cell>
          <cell r="T677">
            <v>161</v>
          </cell>
        </row>
        <row r="678">
          <cell r="C678" t="str">
            <v>Mount Vernon city, Washington</v>
          </cell>
          <cell r="D678">
            <v>1950</v>
          </cell>
          <cell r="E678">
            <v>801</v>
          </cell>
          <cell r="F678">
            <v>579</v>
          </cell>
          <cell r="G678">
            <v>215</v>
          </cell>
          <cell r="H678">
            <v>0</v>
          </cell>
          <cell r="I678">
            <v>0</v>
          </cell>
          <cell r="J678">
            <v>65</v>
          </cell>
          <cell r="K678">
            <v>150</v>
          </cell>
          <cell r="L678">
            <v>7</v>
          </cell>
          <cell r="M678">
            <v>0</v>
          </cell>
          <cell r="N678">
            <v>0</v>
          </cell>
          <cell r="O678">
            <v>7</v>
          </cell>
          <cell r="P678">
            <v>1149</v>
          </cell>
          <cell r="Q678">
            <v>140</v>
          </cell>
          <cell r="R678">
            <v>1009</v>
          </cell>
          <cell r="S678">
            <v>794</v>
          </cell>
          <cell r="T678">
            <v>1156</v>
          </cell>
        </row>
        <row r="679">
          <cell r="C679" t="str">
            <v>Mount Vista CDP, Washington</v>
          </cell>
          <cell r="D679">
            <v>77</v>
          </cell>
          <cell r="E679">
            <v>67</v>
          </cell>
          <cell r="F679">
            <v>12</v>
          </cell>
          <cell r="G679">
            <v>55</v>
          </cell>
          <cell r="H679">
            <v>0</v>
          </cell>
          <cell r="I679">
            <v>0</v>
          </cell>
          <cell r="J679">
            <v>0</v>
          </cell>
          <cell r="K679">
            <v>55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10</v>
          </cell>
          <cell r="Q679">
            <v>10</v>
          </cell>
          <cell r="R679">
            <v>0</v>
          </cell>
          <cell r="S679">
            <v>67</v>
          </cell>
          <cell r="T679">
            <v>10</v>
          </cell>
        </row>
        <row r="680">
          <cell r="C680" t="str">
            <v>Moxee city, Washington</v>
          </cell>
          <cell r="D680">
            <v>24</v>
          </cell>
          <cell r="E680">
            <v>24</v>
          </cell>
          <cell r="F680">
            <v>17</v>
          </cell>
          <cell r="G680">
            <v>7</v>
          </cell>
          <cell r="H680">
            <v>0</v>
          </cell>
          <cell r="I680">
            <v>0</v>
          </cell>
          <cell r="J680">
            <v>0</v>
          </cell>
          <cell r="K680">
            <v>7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24</v>
          </cell>
          <cell r="T680">
            <v>0</v>
          </cell>
        </row>
        <row r="681">
          <cell r="C681" t="str">
            <v>Mukilteo city, Washington</v>
          </cell>
          <cell r="D681">
            <v>190</v>
          </cell>
          <cell r="E681">
            <v>155</v>
          </cell>
          <cell r="F681">
            <v>53</v>
          </cell>
          <cell r="G681">
            <v>94</v>
          </cell>
          <cell r="H681">
            <v>0</v>
          </cell>
          <cell r="I681">
            <v>25</v>
          </cell>
          <cell r="J681">
            <v>13</v>
          </cell>
          <cell r="K681">
            <v>56</v>
          </cell>
          <cell r="L681">
            <v>8</v>
          </cell>
          <cell r="M681">
            <v>0</v>
          </cell>
          <cell r="N681">
            <v>0</v>
          </cell>
          <cell r="O681">
            <v>8</v>
          </cell>
          <cell r="P681">
            <v>35</v>
          </cell>
          <cell r="Q681">
            <v>35</v>
          </cell>
          <cell r="R681">
            <v>0</v>
          </cell>
          <cell r="S681">
            <v>147</v>
          </cell>
          <cell r="T681">
            <v>43</v>
          </cell>
        </row>
        <row r="682">
          <cell r="C682" t="str">
            <v>Naches town, Washington</v>
          </cell>
          <cell r="D682">
            <v>40</v>
          </cell>
          <cell r="E682">
            <v>27</v>
          </cell>
          <cell r="F682">
            <v>8</v>
          </cell>
          <cell r="G682">
            <v>19</v>
          </cell>
          <cell r="H682">
            <v>19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13</v>
          </cell>
          <cell r="Q682">
            <v>0</v>
          </cell>
          <cell r="R682">
            <v>13</v>
          </cell>
          <cell r="S682">
            <v>27</v>
          </cell>
          <cell r="T682">
            <v>13</v>
          </cell>
        </row>
        <row r="683">
          <cell r="C683" t="str">
            <v>Napavine city, Washington</v>
          </cell>
          <cell r="D683">
            <v>44</v>
          </cell>
          <cell r="E683">
            <v>33</v>
          </cell>
          <cell r="F683">
            <v>21</v>
          </cell>
          <cell r="G683">
            <v>12</v>
          </cell>
          <cell r="H683">
            <v>0</v>
          </cell>
          <cell r="I683">
            <v>0</v>
          </cell>
          <cell r="J683">
            <v>0</v>
          </cell>
          <cell r="K683">
            <v>12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11</v>
          </cell>
          <cell r="Q683">
            <v>0</v>
          </cell>
          <cell r="R683">
            <v>11</v>
          </cell>
          <cell r="S683">
            <v>33</v>
          </cell>
          <cell r="T683">
            <v>11</v>
          </cell>
        </row>
        <row r="684">
          <cell r="C684" t="str">
            <v>Naselle CDP, Washington</v>
          </cell>
          <cell r="D684">
            <v>3</v>
          </cell>
          <cell r="E684">
            <v>3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3</v>
          </cell>
          <cell r="M684">
            <v>3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3</v>
          </cell>
        </row>
        <row r="685">
          <cell r="C685" t="str">
            <v>Navy Yard City CDP, Washington</v>
          </cell>
          <cell r="D685">
            <v>142</v>
          </cell>
          <cell r="E685">
            <v>118</v>
          </cell>
          <cell r="F685">
            <v>74</v>
          </cell>
          <cell r="G685">
            <v>44</v>
          </cell>
          <cell r="H685">
            <v>0</v>
          </cell>
          <cell r="I685">
            <v>0</v>
          </cell>
          <cell r="J685">
            <v>9</v>
          </cell>
          <cell r="K685">
            <v>35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24</v>
          </cell>
          <cell r="Q685">
            <v>12</v>
          </cell>
          <cell r="R685">
            <v>12</v>
          </cell>
          <cell r="S685">
            <v>118</v>
          </cell>
          <cell r="T685">
            <v>24</v>
          </cell>
        </row>
        <row r="686">
          <cell r="C686" t="str">
            <v>Neah Bay CDP, Washington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</row>
        <row r="687">
          <cell r="C687" t="str">
            <v>Neilton CDP, Washington</v>
          </cell>
          <cell r="D687">
            <v>1</v>
          </cell>
          <cell r="E687">
            <v>1</v>
          </cell>
          <cell r="F687">
            <v>0</v>
          </cell>
          <cell r="G687">
            <v>1</v>
          </cell>
          <cell r="H687">
            <v>0</v>
          </cell>
          <cell r="I687">
            <v>0</v>
          </cell>
          <cell r="J687">
            <v>0</v>
          </cell>
          <cell r="K687">
            <v>1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1</v>
          </cell>
          <cell r="T687">
            <v>0</v>
          </cell>
        </row>
        <row r="688">
          <cell r="C688" t="str">
            <v>Nespelem town, Washington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</row>
        <row r="689">
          <cell r="C689" t="str">
            <v>Nespelem Community CDP, Washington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</row>
        <row r="690">
          <cell r="C690" t="str">
            <v>Newcastle city, Washington</v>
          </cell>
          <cell r="D690">
            <v>125</v>
          </cell>
          <cell r="E690">
            <v>87</v>
          </cell>
          <cell r="F690">
            <v>30</v>
          </cell>
          <cell r="G690">
            <v>51</v>
          </cell>
          <cell r="H690">
            <v>24</v>
          </cell>
          <cell r="I690">
            <v>11</v>
          </cell>
          <cell r="J690">
            <v>0</v>
          </cell>
          <cell r="K690">
            <v>16</v>
          </cell>
          <cell r="L690">
            <v>6</v>
          </cell>
          <cell r="M690">
            <v>0</v>
          </cell>
          <cell r="N690">
            <v>0</v>
          </cell>
          <cell r="O690">
            <v>6</v>
          </cell>
          <cell r="P690">
            <v>38</v>
          </cell>
          <cell r="Q690">
            <v>0</v>
          </cell>
          <cell r="R690">
            <v>38</v>
          </cell>
          <cell r="S690">
            <v>81</v>
          </cell>
          <cell r="T690">
            <v>44</v>
          </cell>
        </row>
        <row r="691">
          <cell r="C691" t="str">
            <v>Newport city, Washington</v>
          </cell>
          <cell r="D691">
            <v>19</v>
          </cell>
          <cell r="E691">
            <v>19</v>
          </cell>
          <cell r="F691">
            <v>15</v>
          </cell>
          <cell r="G691">
            <v>4</v>
          </cell>
          <cell r="H691">
            <v>0</v>
          </cell>
          <cell r="I691">
            <v>0</v>
          </cell>
          <cell r="J691">
            <v>0</v>
          </cell>
          <cell r="K691">
            <v>4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19</v>
          </cell>
          <cell r="T691">
            <v>0</v>
          </cell>
        </row>
        <row r="692">
          <cell r="C692" t="str">
            <v>Nisqually Indian Community CDP, Washington</v>
          </cell>
          <cell r="D692">
            <v>5</v>
          </cell>
          <cell r="E692">
            <v>5</v>
          </cell>
          <cell r="F692">
            <v>5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5</v>
          </cell>
          <cell r="T692">
            <v>0</v>
          </cell>
        </row>
        <row r="693">
          <cell r="C693" t="str">
            <v>Nooksack city, Washington</v>
          </cell>
          <cell r="D693">
            <v>26</v>
          </cell>
          <cell r="E693">
            <v>24</v>
          </cell>
          <cell r="F693">
            <v>10</v>
          </cell>
          <cell r="G693">
            <v>14</v>
          </cell>
          <cell r="H693">
            <v>0</v>
          </cell>
          <cell r="I693">
            <v>0</v>
          </cell>
          <cell r="J693">
            <v>3</v>
          </cell>
          <cell r="K693">
            <v>11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2</v>
          </cell>
          <cell r="Q693">
            <v>0</v>
          </cell>
          <cell r="R693">
            <v>2</v>
          </cell>
          <cell r="S693">
            <v>24</v>
          </cell>
          <cell r="T693">
            <v>2</v>
          </cell>
        </row>
        <row r="694">
          <cell r="C694" t="str">
            <v>Normandy Park city, Washington</v>
          </cell>
          <cell r="D694">
            <v>100</v>
          </cell>
          <cell r="E694">
            <v>94</v>
          </cell>
          <cell r="F694">
            <v>52</v>
          </cell>
          <cell r="G694">
            <v>42</v>
          </cell>
          <cell r="H694">
            <v>0</v>
          </cell>
          <cell r="I694">
            <v>7</v>
          </cell>
          <cell r="J694">
            <v>6</v>
          </cell>
          <cell r="K694">
            <v>29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</v>
          </cell>
          <cell r="Q694">
            <v>0</v>
          </cell>
          <cell r="R694">
            <v>6</v>
          </cell>
          <cell r="S694">
            <v>94</v>
          </cell>
          <cell r="T694">
            <v>6</v>
          </cell>
        </row>
        <row r="695">
          <cell r="C695" t="str">
            <v>North Bend city, Washington</v>
          </cell>
          <cell r="D695">
            <v>78</v>
          </cell>
          <cell r="E695">
            <v>38</v>
          </cell>
          <cell r="F695">
            <v>20</v>
          </cell>
          <cell r="G695">
            <v>18</v>
          </cell>
          <cell r="H695">
            <v>0</v>
          </cell>
          <cell r="I695">
            <v>0</v>
          </cell>
          <cell r="J695">
            <v>0</v>
          </cell>
          <cell r="K695">
            <v>18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40</v>
          </cell>
          <cell r="Q695">
            <v>5</v>
          </cell>
          <cell r="R695">
            <v>35</v>
          </cell>
          <cell r="S695">
            <v>38</v>
          </cell>
          <cell r="T695">
            <v>40</v>
          </cell>
        </row>
        <row r="696">
          <cell r="C696" t="str">
            <v>North Bonneville city, Washington</v>
          </cell>
          <cell r="D696">
            <v>6</v>
          </cell>
          <cell r="E696">
            <v>4</v>
          </cell>
          <cell r="F696">
            <v>1</v>
          </cell>
          <cell r="G696">
            <v>3</v>
          </cell>
          <cell r="H696">
            <v>0</v>
          </cell>
          <cell r="I696">
            <v>0</v>
          </cell>
          <cell r="J696">
            <v>0</v>
          </cell>
          <cell r="K696">
            <v>3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2</v>
          </cell>
          <cell r="Q696">
            <v>0</v>
          </cell>
          <cell r="R696">
            <v>2</v>
          </cell>
          <cell r="S696">
            <v>4</v>
          </cell>
          <cell r="T696">
            <v>2</v>
          </cell>
        </row>
        <row r="697">
          <cell r="C697" t="str">
            <v>North Creek CDP, Washington</v>
          </cell>
          <cell r="D697">
            <v>594</v>
          </cell>
          <cell r="E697">
            <v>491</v>
          </cell>
          <cell r="F697">
            <v>179</v>
          </cell>
          <cell r="G697">
            <v>312</v>
          </cell>
          <cell r="H697">
            <v>23</v>
          </cell>
          <cell r="I697">
            <v>0</v>
          </cell>
          <cell r="J697">
            <v>52</v>
          </cell>
          <cell r="K697">
            <v>237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103</v>
          </cell>
          <cell r="Q697">
            <v>44</v>
          </cell>
          <cell r="R697">
            <v>59</v>
          </cell>
          <cell r="S697">
            <v>491</v>
          </cell>
          <cell r="T697">
            <v>103</v>
          </cell>
        </row>
        <row r="698">
          <cell r="C698" t="str">
            <v>North Marysville CDP, Washington</v>
          </cell>
          <cell r="D698">
            <v>431</v>
          </cell>
          <cell r="E698">
            <v>344</v>
          </cell>
          <cell r="F698">
            <v>82</v>
          </cell>
          <cell r="G698">
            <v>262</v>
          </cell>
          <cell r="H698">
            <v>0</v>
          </cell>
          <cell r="I698">
            <v>31</v>
          </cell>
          <cell r="J698">
            <v>45</v>
          </cell>
          <cell r="K698">
            <v>186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87</v>
          </cell>
          <cell r="Q698">
            <v>61</v>
          </cell>
          <cell r="R698">
            <v>26</v>
          </cell>
          <cell r="S698">
            <v>344</v>
          </cell>
          <cell r="T698">
            <v>87</v>
          </cell>
        </row>
        <row r="699">
          <cell r="C699" t="str">
            <v>North Omak CDP, Washington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</row>
        <row r="700">
          <cell r="C700" t="str">
            <v>Northport town, Washington</v>
          </cell>
          <cell r="D700">
            <v>6</v>
          </cell>
          <cell r="E700">
            <v>6</v>
          </cell>
          <cell r="F700">
            <v>0</v>
          </cell>
          <cell r="G700">
            <v>6</v>
          </cell>
          <cell r="H700">
            <v>0</v>
          </cell>
          <cell r="I700">
            <v>0</v>
          </cell>
          <cell r="J700">
            <v>2</v>
          </cell>
          <cell r="K700">
            <v>4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6</v>
          </cell>
          <cell r="T700">
            <v>0</v>
          </cell>
        </row>
        <row r="701">
          <cell r="C701" t="str">
            <v>North Stanwood CDP, Washington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</row>
        <row r="702">
          <cell r="C702" t="str">
            <v>North Sultan CDP, Washington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</row>
        <row r="703">
          <cell r="C703" t="str">
            <v>Northwest Snohomish CDP, Washington</v>
          </cell>
          <cell r="D703">
            <v>33</v>
          </cell>
          <cell r="E703">
            <v>25</v>
          </cell>
          <cell r="F703">
            <v>11</v>
          </cell>
          <cell r="G703">
            <v>14</v>
          </cell>
          <cell r="H703">
            <v>0</v>
          </cell>
          <cell r="I703">
            <v>0</v>
          </cell>
          <cell r="J703">
            <v>0</v>
          </cell>
          <cell r="K703">
            <v>14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8</v>
          </cell>
          <cell r="Q703">
            <v>8</v>
          </cell>
          <cell r="R703">
            <v>0</v>
          </cell>
          <cell r="S703">
            <v>25</v>
          </cell>
          <cell r="T703">
            <v>8</v>
          </cell>
        </row>
        <row r="704">
          <cell r="C704" t="str">
            <v>North Yelm CDP, Washington</v>
          </cell>
          <cell r="D704">
            <v>33</v>
          </cell>
          <cell r="E704">
            <v>33</v>
          </cell>
          <cell r="F704">
            <v>29</v>
          </cell>
          <cell r="G704">
            <v>4</v>
          </cell>
          <cell r="H704">
            <v>0</v>
          </cell>
          <cell r="I704">
            <v>0</v>
          </cell>
          <cell r="J704">
            <v>0</v>
          </cell>
          <cell r="K704">
            <v>4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33</v>
          </cell>
          <cell r="T704">
            <v>0</v>
          </cell>
        </row>
        <row r="705">
          <cell r="C705" t="str">
            <v>Oakesdale town, Washington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</row>
        <row r="706">
          <cell r="C706" t="str">
            <v>Oak Harbor city, Washington</v>
          </cell>
          <cell r="D706">
            <v>472</v>
          </cell>
          <cell r="E706">
            <v>455</v>
          </cell>
          <cell r="F706">
            <v>117</v>
          </cell>
          <cell r="G706">
            <v>307</v>
          </cell>
          <cell r="H706">
            <v>17</v>
          </cell>
          <cell r="I706">
            <v>22</v>
          </cell>
          <cell r="J706">
            <v>64</v>
          </cell>
          <cell r="K706">
            <v>204</v>
          </cell>
          <cell r="L706">
            <v>31</v>
          </cell>
          <cell r="M706">
            <v>21</v>
          </cell>
          <cell r="N706">
            <v>0</v>
          </cell>
          <cell r="O706">
            <v>10</v>
          </cell>
          <cell r="P706">
            <v>17</v>
          </cell>
          <cell r="Q706">
            <v>14</v>
          </cell>
          <cell r="R706">
            <v>3</v>
          </cell>
          <cell r="S706">
            <v>424</v>
          </cell>
          <cell r="T706">
            <v>48</v>
          </cell>
        </row>
        <row r="707">
          <cell r="C707" t="str">
            <v>Oakville city, Washington</v>
          </cell>
          <cell r="D707">
            <v>24</v>
          </cell>
          <cell r="E707">
            <v>17</v>
          </cell>
          <cell r="F707">
            <v>13</v>
          </cell>
          <cell r="G707">
            <v>4</v>
          </cell>
          <cell r="H707">
            <v>0</v>
          </cell>
          <cell r="I707">
            <v>4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7</v>
          </cell>
          <cell r="Q707">
            <v>3</v>
          </cell>
          <cell r="R707">
            <v>4</v>
          </cell>
          <cell r="S707">
            <v>17</v>
          </cell>
          <cell r="T707">
            <v>7</v>
          </cell>
        </row>
        <row r="708">
          <cell r="C708" t="str">
            <v>Ocean City CDP, Washington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</row>
        <row r="709">
          <cell r="C709" t="str">
            <v>Ocean Park CDP, Washington</v>
          </cell>
          <cell r="D709">
            <v>8</v>
          </cell>
          <cell r="E709">
            <v>8</v>
          </cell>
          <cell r="F709">
            <v>8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8</v>
          </cell>
          <cell r="T709">
            <v>0</v>
          </cell>
        </row>
        <row r="710">
          <cell r="C710" t="str">
            <v>Ocean Shores city, Washington</v>
          </cell>
          <cell r="D710">
            <v>39</v>
          </cell>
          <cell r="E710">
            <v>39</v>
          </cell>
          <cell r="F710">
            <v>28</v>
          </cell>
          <cell r="G710">
            <v>5</v>
          </cell>
          <cell r="H710">
            <v>0</v>
          </cell>
          <cell r="I710">
            <v>0</v>
          </cell>
          <cell r="J710">
            <v>0</v>
          </cell>
          <cell r="K710">
            <v>5</v>
          </cell>
          <cell r="L710">
            <v>6</v>
          </cell>
          <cell r="M710">
            <v>6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33</v>
          </cell>
          <cell r="T710">
            <v>6</v>
          </cell>
        </row>
        <row r="711">
          <cell r="C711" t="str">
            <v>Odessa town, Washington</v>
          </cell>
          <cell r="D711">
            <v>4</v>
          </cell>
          <cell r="E711">
            <v>4</v>
          </cell>
          <cell r="F711">
            <v>2</v>
          </cell>
          <cell r="G711">
            <v>2</v>
          </cell>
          <cell r="H711">
            <v>0</v>
          </cell>
          <cell r="I711">
            <v>0</v>
          </cell>
          <cell r="J711">
            <v>0</v>
          </cell>
          <cell r="K711">
            <v>2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4</v>
          </cell>
          <cell r="T711">
            <v>0</v>
          </cell>
        </row>
        <row r="712">
          <cell r="C712" t="str">
            <v>Okanogan city, Washington</v>
          </cell>
          <cell r="D712">
            <v>40</v>
          </cell>
          <cell r="E712">
            <v>25</v>
          </cell>
          <cell r="F712">
            <v>11</v>
          </cell>
          <cell r="G712">
            <v>14</v>
          </cell>
          <cell r="H712">
            <v>0</v>
          </cell>
          <cell r="I712">
            <v>0</v>
          </cell>
          <cell r="J712">
            <v>0</v>
          </cell>
          <cell r="K712">
            <v>14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15</v>
          </cell>
          <cell r="Q712">
            <v>4</v>
          </cell>
          <cell r="R712">
            <v>11</v>
          </cell>
          <cell r="S712">
            <v>25</v>
          </cell>
          <cell r="T712">
            <v>15</v>
          </cell>
        </row>
        <row r="713">
          <cell r="C713" t="str">
            <v>Olympia city, Washington</v>
          </cell>
          <cell r="D713">
            <v>897</v>
          </cell>
          <cell r="E713">
            <v>770</v>
          </cell>
          <cell r="F713">
            <v>297</v>
          </cell>
          <cell r="G713">
            <v>455</v>
          </cell>
          <cell r="H713">
            <v>0</v>
          </cell>
          <cell r="I713">
            <v>64</v>
          </cell>
          <cell r="J713">
            <v>79</v>
          </cell>
          <cell r="K713">
            <v>312</v>
          </cell>
          <cell r="L713">
            <v>18</v>
          </cell>
          <cell r="M713">
            <v>8</v>
          </cell>
          <cell r="N713">
            <v>0</v>
          </cell>
          <cell r="O713">
            <v>10</v>
          </cell>
          <cell r="P713">
            <v>127</v>
          </cell>
          <cell r="Q713">
            <v>20</v>
          </cell>
          <cell r="R713">
            <v>107</v>
          </cell>
          <cell r="S713">
            <v>752</v>
          </cell>
          <cell r="T713">
            <v>145</v>
          </cell>
        </row>
        <row r="714">
          <cell r="C714" t="str">
            <v>Omak city, Washington</v>
          </cell>
          <cell r="D714">
            <v>85</v>
          </cell>
          <cell r="E714">
            <v>66</v>
          </cell>
          <cell r="F714">
            <v>25</v>
          </cell>
          <cell r="G714">
            <v>41</v>
          </cell>
          <cell r="H714">
            <v>0</v>
          </cell>
          <cell r="I714">
            <v>8</v>
          </cell>
          <cell r="J714">
            <v>0</v>
          </cell>
          <cell r="K714">
            <v>33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19</v>
          </cell>
          <cell r="Q714">
            <v>0</v>
          </cell>
          <cell r="R714">
            <v>19</v>
          </cell>
          <cell r="S714">
            <v>66</v>
          </cell>
          <cell r="T714">
            <v>19</v>
          </cell>
        </row>
        <row r="715">
          <cell r="C715" t="str">
            <v>Opportunity CDP, Washington</v>
          </cell>
          <cell r="D715">
            <v>303</v>
          </cell>
          <cell r="E715">
            <v>264</v>
          </cell>
          <cell r="F715">
            <v>91</v>
          </cell>
          <cell r="G715">
            <v>158</v>
          </cell>
          <cell r="H715">
            <v>9</v>
          </cell>
          <cell r="I715">
            <v>0</v>
          </cell>
          <cell r="J715">
            <v>56</v>
          </cell>
          <cell r="K715">
            <v>93</v>
          </cell>
          <cell r="L715">
            <v>15</v>
          </cell>
          <cell r="M715">
            <v>15</v>
          </cell>
          <cell r="N715">
            <v>0</v>
          </cell>
          <cell r="O715">
            <v>0</v>
          </cell>
          <cell r="P715">
            <v>39</v>
          </cell>
          <cell r="Q715">
            <v>0</v>
          </cell>
          <cell r="R715">
            <v>39</v>
          </cell>
          <cell r="S715">
            <v>249</v>
          </cell>
          <cell r="T715">
            <v>54</v>
          </cell>
        </row>
        <row r="716">
          <cell r="C716" t="str">
            <v>Orchards CDP, Washington</v>
          </cell>
          <cell r="D716">
            <v>497</v>
          </cell>
          <cell r="E716">
            <v>433</v>
          </cell>
          <cell r="F716">
            <v>166</v>
          </cell>
          <cell r="G716">
            <v>239</v>
          </cell>
          <cell r="H716">
            <v>0</v>
          </cell>
          <cell r="I716">
            <v>0</v>
          </cell>
          <cell r="J716">
            <v>29</v>
          </cell>
          <cell r="K716">
            <v>210</v>
          </cell>
          <cell r="L716">
            <v>28</v>
          </cell>
          <cell r="M716">
            <v>15</v>
          </cell>
          <cell r="N716">
            <v>0</v>
          </cell>
          <cell r="O716">
            <v>13</v>
          </cell>
          <cell r="P716">
            <v>64</v>
          </cell>
          <cell r="Q716">
            <v>19</v>
          </cell>
          <cell r="R716">
            <v>45</v>
          </cell>
          <cell r="S716">
            <v>405</v>
          </cell>
          <cell r="T716">
            <v>92</v>
          </cell>
        </row>
        <row r="717">
          <cell r="C717" t="str">
            <v>Oroville city, Washington</v>
          </cell>
          <cell r="D717">
            <v>181</v>
          </cell>
          <cell r="E717">
            <v>85</v>
          </cell>
          <cell r="F717">
            <v>63</v>
          </cell>
          <cell r="G717">
            <v>22</v>
          </cell>
          <cell r="H717">
            <v>0</v>
          </cell>
          <cell r="I717">
            <v>3</v>
          </cell>
          <cell r="J717">
            <v>0</v>
          </cell>
          <cell r="K717">
            <v>19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96</v>
          </cell>
          <cell r="Q717">
            <v>7</v>
          </cell>
          <cell r="R717">
            <v>89</v>
          </cell>
          <cell r="S717">
            <v>85</v>
          </cell>
          <cell r="T717">
            <v>96</v>
          </cell>
        </row>
        <row r="718">
          <cell r="C718" t="str">
            <v>Orting city, Washington</v>
          </cell>
          <cell r="D718">
            <v>79</v>
          </cell>
          <cell r="E718">
            <v>69</v>
          </cell>
          <cell r="F718">
            <v>42</v>
          </cell>
          <cell r="G718">
            <v>27</v>
          </cell>
          <cell r="H718">
            <v>4</v>
          </cell>
          <cell r="I718">
            <v>0</v>
          </cell>
          <cell r="J718">
            <v>8</v>
          </cell>
          <cell r="K718">
            <v>15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10</v>
          </cell>
          <cell r="Q718">
            <v>5</v>
          </cell>
          <cell r="R718">
            <v>5</v>
          </cell>
          <cell r="S718">
            <v>69</v>
          </cell>
          <cell r="T718">
            <v>10</v>
          </cell>
        </row>
        <row r="719">
          <cell r="C719" t="str">
            <v>Oso CDP, Washington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</row>
        <row r="720">
          <cell r="C720" t="str">
            <v>Othello city, Washington</v>
          </cell>
          <cell r="D720">
            <v>1168</v>
          </cell>
          <cell r="E720">
            <v>693</v>
          </cell>
          <cell r="F720">
            <v>470</v>
          </cell>
          <cell r="G720">
            <v>223</v>
          </cell>
          <cell r="H720">
            <v>0</v>
          </cell>
          <cell r="I720">
            <v>27</v>
          </cell>
          <cell r="J720">
            <v>121</v>
          </cell>
          <cell r="K720">
            <v>75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475</v>
          </cell>
          <cell r="Q720">
            <v>119</v>
          </cell>
          <cell r="R720">
            <v>356</v>
          </cell>
          <cell r="S720">
            <v>693</v>
          </cell>
          <cell r="T720">
            <v>475</v>
          </cell>
        </row>
        <row r="721">
          <cell r="C721" t="str">
            <v>Otis Orchards-East Farms CDP, Washington</v>
          </cell>
          <cell r="D721">
            <v>86</v>
          </cell>
          <cell r="E721">
            <v>86</v>
          </cell>
          <cell r="F721">
            <v>28</v>
          </cell>
          <cell r="G721">
            <v>58</v>
          </cell>
          <cell r="H721">
            <v>0</v>
          </cell>
          <cell r="I721">
            <v>0</v>
          </cell>
          <cell r="J721">
            <v>15</v>
          </cell>
          <cell r="K721">
            <v>43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86</v>
          </cell>
          <cell r="T721">
            <v>0</v>
          </cell>
        </row>
        <row r="722">
          <cell r="C722" t="str">
            <v>Oyehut-Hogans Corner CDP, Washington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</row>
        <row r="723">
          <cell r="C723" t="str">
            <v>Pacific city, Washington</v>
          </cell>
          <cell r="D723">
            <v>148</v>
          </cell>
          <cell r="E723">
            <v>116</v>
          </cell>
          <cell r="F723">
            <v>37</v>
          </cell>
          <cell r="G723">
            <v>73</v>
          </cell>
          <cell r="H723">
            <v>0</v>
          </cell>
          <cell r="I723">
            <v>0</v>
          </cell>
          <cell r="J723">
            <v>0</v>
          </cell>
          <cell r="K723">
            <v>73</v>
          </cell>
          <cell r="L723">
            <v>6</v>
          </cell>
          <cell r="M723">
            <v>0</v>
          </cell>
          <cell r="N723">
            <v>0</v>
          </cell>
          <cell r="O723">
            <v>6</v>
          </cell>
          <cell r="P723">
            <v>32</v>
          </cell>
          <cell r="Q723">
            <v>11</v>
          </cell>
          <cell r="R723">
            <v>21</v>
          </cell>
          <cell r="S723">
            <v>110</v>
          </cell>
          <cell r="T723">
            <v>38</v>
          </cell>
        </row>
        <row r="724">
          <cell r="C724" t="str">
            <v>Paine Field-Lake Stickney CDP, Washington</v>
          </cell>
          <cell r="D724">
            <v>826</v>
          </cell>
          <cell r="E724">
            <v>628</v>
          </cell>
          <cell r="F724">
            <v>343</v>
          </cell>
          <cell r="G724">
            <v>269</v>
          </cell>
          <cell r="H724">
            <v>9</v>
          </cell>
          <cell r="I724">
            <v>40</v>
          </cell>
          <cell r="J724">
            <v>27</v>
          </cell>
          <cell r="K724">
            <v>193</v>
          </cell>
          <cell r="L724">
            <v>16</v>
          </cell>
          <cell r="M724">
            <v>0</v>
          </cell>
          <cell r="N724">
            <v>0</v>
          </cell>
          <cell r="O724">
            <v>16</v>
          </cell>
          <cell r="P724">
            <v>198</v>
          </cell>
          <cell r="Q724">
            <v>2</v>
          </cell>
          <cell r="R724">
            <v>196</v>
          </cell>
          <cell r="S724">
            <v>612</v>
          </cell>
          <cell r="T724">
            <v>214</v>
          </cell>
        </row>
        <row r="725">
          <cell r="C725" t="str">
            <v>Palouse city, Washington</v>
          </cell>
          <cell r="D725">
            <v>10</v>
          </cell>
          <cell r="E725">
            <v>10</v>
          </cell>
          <cell r="F725">
            <v>5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5</v>
          </cell>
          <cell r="M725">
            <v>5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5</v>
          </cell>
          <cell r="T725">
            <v>5</v>
          </cell>
        </row>
        <row r="726">
          <cell r="C726" t="str">
            <v>Parkland CDP, Washington</v>
          </cell>
          <cell r="D726">
            <v>385</v>
          </cell>
          <cell r="E726">
            <v>322</v>
          </cell>
          <cell r="F726">
            <v>151</v>
          </cell>
          <cell r="G726">
            <v>161</v>
          </cell>
          <cell r="H726">
            <v>21</v>
          </cell>
          <cell r="I726">
            <v>9</v>
          </cell>
          <cell r="J726">
            <v>35</v>
          </cell>
          <cell r="K726">
            <v>96</v>
          </cell>
          <cell r="L726">
            <v>10</v>
          </cell>
          <cell r="M726">
            <v>10</v>
          </cell>
          <cell r="N726">
            <v>0</v>
          </cell>
          <cell r="O726">
            <v>0</v>
          </cell>
          <cell r="P726">
            <v>63</v>
          </cell>
          <cell r="Q726">
            <v>13</v>
          </cell>
          <cell r="R726">
            <v>50</v>
          </cell>
          <cell r="S726">
            <v>312</v>
          </cell>
          <cell r="T726">
            <v>73</v>
          </cell>
        </row>
        <row r="727">
          <cell r="C727" t="str">
            <v>Parkwood CDP, Washington</v>
          </cell>
          <cell r="D727">
            <v>212</v>
          </cell>
          <cell r="E727">
            <v>212</v>
          </cell>
          <cell r="F727">
            <v>77</v>
          </cell>
          <cell r="G727">
            <v>128</v>
          </cell>
          <cell r="H727">
            <v>10</v>
          </cell>
          <cell r="I727">
            <v>0</v>
          </cell>
          <cell r="J727">
            <v>17</v>
          </cell>
          <cell r="K727">
            <v>101</v>
          </cell>
          <cell r="L727">
            <v>7</v>
          </cell>
          <cell r="M727">
            <v>0</v>
          </cell>
          <cell r="N727">
            <v>0</v>
          </cell>
          <cell r="O727">
            <v>7</v>
          </cell>
          <cell r="P727">
            <v>0</v>
          </cell>
          <cell r="Q727">
            <v>0</v>
          </cell>
          <cell r="R727">
            <v>0</v>
          </cell>
          <cell r="S727">
            <v>205</v>
          </cell>
          <cell r="T727">
            <v>7</v>
          </cell>
        </row>
        <row r="728">
          <cell r="C728" t="str">
            <v>Pasco city, Washington</v>
          </cell>
          <cell r="D728">
            <v>4870</v>
          </cell>
          <cell r="E728">
            <v>2482</v>
          </cell>
          <cell r="F728">
            <v>1645</v>
          </cell>
          <cell r="G728">
            <v>782</v>
          </cell>
          <cell r="H728">
            <v>6</v>
          </cell>
          <cell r="I728">
            <v>20</v>
          </cell>
          <cell r="J728">
            <v>333</v>
          </cell>
          <cell r="K728">
            <v>423</v>
          </cell>
          <cell r="L728">
            <v>55</v>
          </cell>
          <cell r="M728">
            <v>4</v>
          </cell>
          <cell r="N728">
            <v>0</v>
          </cell>
          <cell r="O728">
            <v>51</v>
          </cell>
          <cell r="P728">
            <v>2388</v>
          </cell>
          <cell r="Q728">
            <v>360</v>
          </cell>
          <cell r="R728">
            <v>2028</v>
          </cell>
          <cell r="S728">
            <v>2427</v>
          </cell>
          <cell r="T728">
            <v>2443</v>
          </cell>
        </row>
        <row r="729">
          <cell r="C729" t="str">
            <v>Pateros city, Washington</v>
          </cell>
          <cell r="D729">
            <v>52</v>
          </cell>
          <cell r="E729">
            <v>20</v>
          </cell>
          <cell r="F729">
            <v>18</v>
          </cell>
          <cell r="G729">
            <v>2</v>
          </cell>
          <cell r="H729">
            <v>2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32</v>
          </cell>
          <cell r="Q729">
            <v>7</v>
          </cell>
          <cell r="R729">
            <v>25</v>
          </cell>
          <cell r="S729">
            <v>20</v>
          </cell>
          <cell r="T729">
            <v>32</v>
          </cell>
        </row>
        <row r="730">
          <cell r="C730" t="str">
            <v>Peaceful Valley CDP, Washington</v>
          </cell>
          <cell r="D730">
            <v>54</v>
          </cell>
          <cell r="E730">
            <v>51</v>
          </cell>
          <cell r="F730">
            <v>0</v>
          </cell>
          <cell r="G730">
            <v>51</v>
          </cell>
          <cell r="H730">
            <v>0</v>
          </cell>
          <cell r="I730">
            <v>0</v>
          </cell>
          <cell r="J730">
            <v>37</v>
          </cell>
          <cell r="K730">
            <v>14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3</v>
          </cell>
          <cell r="Q730">
            <v>0</v>
          </cell>
          <cell r="R730">
            <v>3</v>
          </cell>
          <cell r="S730">
            <v>51</v>
          </cell>
          <cell r="T730">
            <v>3</v>
          </cell>
        </row>
        <row r="731">
          <cell r="C731" t="str">
            <v>Pe Ell town, Washington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</row>
        <row r="732">
          <cell r="C732" t="str">
            <v>Picnic Point-North Lynnwood CDP, Washington</v>
          </cell>
          <cell r="D732">
            <v>370</v>
          </cell>
          <cell r="E732">
            <v>291</v>
          </cell>
          <cell r="F732">
            <v>100</v>
          </cell>
          <cell r="G732">
            <v>181</v>
          </cell>
          <cell r="H732">
            <v>13</v>
          </cell>
          <cell r="I732">
            <v>37</v>
          </cell>
          <cell r="J732">
            <v>15</v>
          </cell>
          <cell r="K732">
            <v>116</v>
          </cell>
          <cell r="L732">
            <v>10</v>
          </cell>
          <cell r="M732">
            <v>0</v>
          </cell>
          <cell r="N732">
            <v>0</v>
          </cell>
          <cell r="O732">
            <v>10</v>
          </cell>
          <cell r="P732">
            <v>79</v>
          </cell>
          <cell r="Q732">
            <v>38</v>
          </cell>
          <cell r="R732">
            <v>41</v>
          </cell>
          <cell r="S732">
            <v>281</v>
          </cell>
          <cell r="T732">
            <v>89</v>
          </cell>
        </row>
        <row r="733">
          <cell r="C733" t="str">
            <v>Pomeroy city, Washington</v>
          </cell>
          <cell r="D733">
            <v>3</v>
          </cell>
          <cell r="E733">
            <v>3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3</v>
          </cell>
          <cell r="M733">
            <v>3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3</v>
          </cell>
        </row>
        <row r="734">
          <cell r="C734" t="str">
            <v>Port Angeles city, Washington</v>
          </cell>
          <cell r="D734">
            <v>360</v>
          </cell>
          <cell r="E734">
            <v>346</v>
          </cell>
          <cell r="F734">
            <v>207</v>
          </cell>
          <cell r="G734">
            <v>139</v>
          </cell>
          <cell r="H734">
            <v>0</v>
          </cell>
          <cell r="I734">
            <v>12</v>
          </cell>
          <cell r="J734">
            <v>12</v>
          </cell>
          <cell r="K734">
            <v>115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14</v>
          </cell>
          <cell r="Q734">
            <v>0</v>
          </cell>
          <cell r="R734">
            <v>14</v>
          </cell>
          <cell r="S734">
            <v>346</v>
          </cell>
          <cell r="T734">
            <v>14</v>
          </cell>
        </row>
        <row r="735">
          <cell r="C735" t="str">
            <v>Port Angeles East CDP, Washington</v>
          </cell>
          <cell r="D735">
            <v>31</v>
          </cell>
          <cell r="E735">
            <v>24</v>
          </cell>
          <cell r="F735">
            <v>14</v>
          </cell>
          <cell r="G735">
            <v>10</v>
          </cell>
          <cell r="H735">
            <v>0</v>
          </cell>
          <cell r="I735">
            <v>0</v>
          </cell>
          <cell r="J735">
            <v>0</v>
          </cell>
          <cell r="K735">
            <v>10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7</v>
          </cell>
          <cell r="Q735">
            <v>7</v>
          </cell>
          <cell r="R735">
            <v>0</v>
          </cell>
          <cell r="S735">
            <v>24</v>
          </cell>
          <cell r="T735">
            <v>7</v>
          </cell>
        </row>
        <row r="736">
          <cell r="C736" t="str">
            <v>Port Hadlock-Irondale CDP, Washington</v>
          </cell>
          <cell r="D736">
            <v>28</v>
          </cell>
          <cell r="E736">
            <v>28</v>
          </cell>
          <cell r="F736">
            <v>6</v>
          </cell>
          <cell r="G736">
            <v>22</v>
          </cell>
          <cell r="H736">
            <v>0</v>
          </cell>
          <cell r="I736">
            <v>0</v>
          </cell>
          <cell r="J736">
            <v>11</v>
          </cell>
          <cell r="K736">
            <v>11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28</v>
          </cell>
          <cell r="T736">
            <v>0</v>
          </cell>
        </row>
        <row r="737">
          <cell r="C737" t="str">
            <v>Port Ludlow CDP, Washington</v>
          </cell>
          <cell r="D737">
            <v>65</v>
          </cell>
          <cell r="E737">
            <v>65</v>
          </cell>
          <cell r="F737">
            <v>65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65</v>
          </cell>
          <cell r="T737">
            <v>0</v>
          </cell>
        </row>
        <row r="738">
          <cell r="C738" t="str">
            <v>Port Orchard city, Washington</v>
          </cell>
          <cell r="D738">
            <v>221</v>
          </cell>
          <cell r="E738">
            <v>172</v>
          </cell>
          <cell r="F738">
            <v>69</v>
          </cell>
          <cell r="G738">
            <v>103</v>
          </cell>
          <cell r="H738">
            <v>0</v>
          </cell>
          <cell r="I738">
            <v>10</v>
          </cell>
          <cell r="J738">
            <v>70</v>
          </cell>
          <cell r="K738">
            <v>23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49</v>
          </cell>
          <cell r="Q738">
            <v>0</v>
          </cell>
          <cell r="R738">
            <v>49</v>
          </cell>
          <cell r="S738">
            <v>172</v>
          </cell>
          <cell r="T738">
            <v>49</v>
          </cell>
        </row>
        <row r="739">
          <cell r="C739" t="str">
            <v>Port Townsend city, Washington</v>
          </cell>
          <cell r="D739">
            <v>142</v>
          </cell>
          <cell r="E739">
            <v>130</v>
          </cell>
          <cell r="F739">
            <v>70</v>
          </cell>
          <cell r="G739">
            <v>47</v>
          </cell>
          <cell r="H739">
            <v>11</v>
          </cell>
          <cell r="I739">
            <v>0</v>
          </cell>
          <cell r="J739">
            <v>5</v>
          </cell>
          <cell r="K739">
            <v>31</v>
          </cell>
          <cell r="L739">
            <v>13</v>
          </cell>
          <cell r="M739">
            <v>0</v>
          </cell>
          <cell r="N739">
            <v>0</v>
          </cell>
          <cell r="O739">
            <v>13</v>
          </cell>
          <cell r="P739">
            <v>12</v>
          </cell>
          <cell r="Q739">
            <v>6</v>
          </cell>
          <cell r="R739">
            <v>6</v>
          </cell>
          <cell r="S739">
            <v>117</v>
          </cell>
          <cell r="T739">
            <v>25</v>
          </cell>
        </row>
        <row r="740">
          <cell r="C740" t="str">
            <v>Poulsbo city, Washington</v>
          </cell>
          <cell r="D740">
            <v>187</v>
          </cell>
          <cell r="E740">
            <v>143</v>
          </cell>
          <cell r="F740">
            <v>53</v>
          </cell>
          <cell r="G740">
            <v>90</v>
          </cell>
          <cell r="H740">
            <v>0</v>
          </cell>
          <cell r="I740">
            <v>16</v>
          </cell>
          <cell r="J740">
            <v>19</v>
          </cell>
          <cell r="K740">
            <v>55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44</v>
          </cell>
          <cell r="Q740">
            <v>0</v>
          </cell>
          <cell r="R740">
            <v>44</v>
          </cell>
          <cell r="S740">
            <v>143</v>
          </cell>
          <cell r="T740">
            <v>44</v>
          </cell>
        </row>
        <row r="741">
          <cell r="C741" t="str">
            <v>Prairie Ridge CDP, Washington</v>
          </cell>
          <cell r="D741">
            <v>277</v>
          </cell>
          <cell r="E741">
            <v>198</v>
          </cell>
          <cell r="F741">
            <v>162</v>
          </cell>
          <cell r="G741">
            <v>36</v>
          </cell>
          <cell r="H741">
            <v>0</v>
          </cell>
          <cell r="I741">
            <v>8</v>
          </cell>
          <cell r="J741">
            <v>12</v>
          </cell>
          <cell r="K741">
            <v>16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79</v>
          </cell>
          <cell r="Q741">
            <v>67</v>
          </cell>
          <cell r="R741">
            <v>12</v>
          </cell>
          <cell r="S741">
            <v>198</v>
          </cell>
          <cell r="T741">
            <v>79</v>
          </cell>
        </row>
        <row r="742">
          <cell r="C742" t="str">
            <v>Prescott town, Washington</v>
          </cell>
          <cell r="D742">
            <v>9</v>
          </cell>
          <cell r="E742">
            <v>3</v>
          </cell>
          <cell r="F742">
            <v>0</v>
          </cell>
          <cell r="G742">
            <v>3</v>
          </cell>
          <cell r="H742">
            <v>0</v>
          </cell>
          <cell r="I742">
            <v>0</v>
          </cell>
          <cell r="J742">
            <v>0</v>
          </cell>
          <cell r="K742">
            <v>3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6</v>
          </cell>
          <cell r="Q742">
            <v>5</v>
          </cell>
          <cell r="R742">
            <v>1</v>
          </cell>
          <cell r="S742">
            <v>3</v>
          </cell>
          <cell r="T742">
            <v>6</v>
          </cell>
        </row>
        <row r="743">
          <cell r="C743" t="str">
            <v>Priest Point CDP, Washington</v>
          </cell>
          <cell r="D743">
            <v>9</v>
          </cell>
          <cell r="E743">
            <v>4</v>
          </cell>
          <cell r="F743">
            <v>2</v>
          </cell>
          <cell r="G743">
            <v>2</v>
          </cell>
          <cell r="H743">
            <v>0</v>
          </cell>
          <cell r="I743">
            <v>0</v>
          </cell>
          <cell r="J743">
            <v>2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5</v>
          </cell>
          <cell r="Q743">
            <v>3</v>
          </cell>
          <cell r="R743">
            <v>2</v>
          </cell>
          <cell r="S743">
            <v>4</v>
          </cell>
          <cell r="T743">
            <v>5</v>
          </cell>
        </row>
        <row r="744">
          <cell r="C744" t="str">
            <v>Prosser city, Washington</v>
          </cell>
          <cell r="D744">
            <v>522</v>
          </cell>
          <cell r="E744">
            <v>262</v>
          </cell>
          <cell r="F744">
            <v>198</v>
          </cell>
          <cell r="G744">
            <v>64</v>
          </cell>
          <cell r="H744">
            <v>0</v>
          </cell>
          <cell r="I744">
            <v>0</v>
          </cell>
          <cell r="J744">
            <v>23</v>
          </cell>
          <cell r="K744">
            <v>41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260</v>
          </cell>
          <cell r="Q744">
            <v>43</v>
          </cell>
          <cell r="R744">
            <v>217</v>
          </cell>
          <cell r="S744">
            <v>262</v>
          </cell>
          <cell r="T744">
            <v>260</v>
          </cell>
        </row>
        <row r="745">
          <cell r="C745" t="str">
            <v>Pullman city, Washington</v>
          </cell>
          <cell r="D745">
            <v>540</v>
          </cell>
          <cell r="E745">
            <v>392</v>
          </cell>
          <cell r="F745">
            <v>117</v>
          </cell>
          <cell r="G745">
            <v>241</v>
          </cell>
          <cell r="H745">
            <v>7</v>
          </cell>
          <cell r="I745">
            <v>35</v>
          </cell>
          <cell r="J745">
            <v>26</v>
          </cell>
          <cell r="K745">
            <v>173</v>
          </cell>
          <cell r="L745">
            <v>34</v>
          </cell>
          <cell r="M745">
            <v>34</v>
          </cell>
          <cell r="N745">
            <v>0</v>
          </cell>
          <cell r="O745">
            <v>0</v>
          </cell>
          <cell r="P745">
            <v>148</v>
          </cell>
          <cell r="Q745">
            <v>23</v>
          </cell>
          <cell r="R745">
            <v>125</v>
          </cell>
          <cell r="S745">
            <v>358</v>
          </cell>
          <cell r="T745">
            <v>182</v>
          </cell>
        </row>
        <row r="746">
          <cell r="C746" t="str">
            <v>Puyallup city, Washington</v>
          </cell>
          <cell r="D746">
            <v>828</v>
          </cell>
          <cell r="E746">
            <v>687</v>
          </cell>
          <cell r="F746">
            <v>343</v>
          </cell>
          <cell r="G746">
            <v>302</v>
          </cell>
          <cell r="H746">
            <v>16</v>
          </cell>
          <cell r="I746">
            <v>69</v>
          </cell>
          <cell r="J746">
            <v>45</v>
          </cell>
          <cell r="K746">
            <v>172</v>
          </cell>
          <cell r="L746">
            <v>42</v>
          </cell>
          <cell r="M746">
            <v>22</v>
          </cell>
          <cell r="N746">
            <v>0</v>
          </cell>
          <cell r="O746">
            <v>20</v>
          </cell>
          <cell r="P746">
            <v>141</v>
          </cell>
          <cell r="Q746">
            <v>60</v>
          </cell>
          <cell r="R746">
            <v>81</v>
          </cell>
          <cell r="S746">
            <v>645</v>
          </cell>
          <cell r="T746">
            <v>183</v>
          </cell>
        </row>
        <row r="747">
          <cell r="C747" t="str">
            <v>Quilcene CDP, Washington</v>
          </cell>
          <cell r="D747">
            <v>3</v>
          </cell>
          <cell r="E747">
            <v>3</v>
          </cell>
          <cell r="F747">
            <v>0</v>
          </cell>
          <cell r="G747">
            <v>3</v>
          </cell>
          <cell r="H747">
            <v>0</v>
          </cell>
          <cell r="I747">
            <v>0</v>
          </cell>
          <cell r="J747">
            <v>0</v>
          </cell>
          <cell r="K747">
            <v>3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3</v>
          </cell>
          <cell r="T747">
            <v>0</v>
          </cell>
        </row>
        <row r="748">
          <cell r="C748" t="str">
            <v>Quincy city, Washington</v>
          </cell>
          <cell r="D748">
            <v>1615</v>
          </cell>
          <cell r="E748">
            <v>826</v>
          </cell>
          <cell r="F748">
            <v>556</v>
          </cell>
          <cell r="G748">
            <v>264</v>
          </cell>
          <cell r="H748">
            <v>0</v>
          </cell>
          <cell r="I748">
            <v>0</v>
          </cell>
          <cell r="J748">
            <v>124</v>
          </cell>
          <cell r="K748">
            <v>140</v>
          </cell>
          <cell r="L748">
            <v>6</v>
          </cell>
          <cell r="M748">
            <v>0</v>
          </cell>
          <cell r="N748">
            <v>0</v>
          </cell>
          <cell r="O748">
            <v>6</v>
          </cell>
          <cell r="P748">
            <v>789</v>
          </cell>
          <cell r="Q748">
            <v>149</v>
          </cell>
          <cell r="R748">
            <v>640</v>
          </cell>
          <cell r="S748">
            <v>820</v>
          </cell>
          <cell r="T748">
            <v>795</v>
          </cell>
        </row>
        <row r="749">
          <cell r="C749" t="str">
            <v>Rainier town, Washington</v>
          </cell>
          <cell r="D749">
            <v>35</v>
          </cell>
          <cell r="E749">
            <v>35</v>
          </cell>
          <cell r="F749">
            <v>26</v>
          </cell>
          <cell r="G749">
            <v>7</v>
          </cell>
          <cell r="H749">
            <v>0</v>
          </cell>
          <cell r="I749">
            <v>0</v>
          </cell>
          <cell r="J749">
            <v>2</v>
          </cell>
          <cell r="K749">
            <v>5</v>
          </cell>
          <cell r="L749">
            <v>2</v>
          </cell>
          <cell r="M749">
            <v>2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33</v>
          </cell>
          <cell r="T749">
            <v>2</v>
          </cell>
        </row>
        <row r="750">
          <cell r="C750" t="str">
            <v>Ravensdale CDP, Washington</v>
          </cell>
          <cell r="D750">
            <v>6</v>
          </cell>
          <cell r="E750">
            <v>6</v>
          </cell>
          <cell r="F750">
            <v>0</v>
          </cell>
          <cell r="G750">
            <v>6</v>
          </cell>
          <cell r="H750">
            <v>0</v>
          </cell>
          <cell r="I750">
            <v>0</v>
          </cell>
          <cell r="J750">
            <v>0</v>
          </cell>
          <cell r="K750">
            <v>6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6</v>
          </cell>
          <cell r="T750">
            <v>0</v>
          </cell>
        </row>
        <row r="751">
          <cell r="C751" t="str">
            <v>Raymond city, Washington</v>
          </cell>
          <cell r="D751">
            <v>82</v>
          </cell>
          <cell r="E751">
            <v>71</v>
          </cell>
          <cell r="F751">
            <v>52</v>
          </cell>
          <cell r="G751">
            <v>19</v>
          </cell>
          <cell r="H751">
            <v>0</v>
          </cell>
          <cell r="I751">
            <v>10</v>
          </cell>
          <cell r="J751">
            <v>0</v>
          </cell>
          <cell r="K751">
            <v>9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11</v>
          </cell>
          <cell r="Q751">
            <v>0</v>
          </cell>
          <cell r="R751">
            <v>11</v>
          </cell>
          <cell r="S751">
            <v>71</v>
          </cell>
          <cell r="T751">
            <v>11</v>
          </cell>
        </row>
        <row r="752">
          <cell r="C752" t="str">
            <v>Reardan town, Washington</v>
          </cell>
          <cell r="D752">
            <v>12</v>
          </cell>
          <cell r="E752">
            <v>12</v>
          </cell>
          <cell r="F752">
            <v>5</v>
          </cell>
          <cell r="G752">
            <v>7</v>
          </cell>
          <cell r="H752">
            <v>0</v>
          </cell>
          <cell r="I752">
            <v>0</v>
          </cell>
          <cell r="J752">
            <v>4</v>
          </cell>
          <cell r="K752">
            <v>3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12</v>
          </cell>
          <cell r="T752">
            <v>0</v>
          </cell>
        </row>
        <row r="753">
          <cell r="C753" t="str">
            <v>Redmond city, Washington</v>
          </cell>
          <cell r="D753">
            <v>1191</v>
          </cell>
          <cell r="E753">
            <v>486</v>
          </cell>
          <cell r="F753">
            <v>199</v>
          </cell>
          <cell r="G753">
            <v>270</v>
          </cell>
          <cell r="H753">
            <v>0</v>
          </cell>
          <cell r="I753">
            <v>41</v>
          </cell>
          <cell r="J753">
            <v>39</v>
          </cell>
          <cell r="K753">
            <v>190</v>
          </cell>
          <cell r="L753">
            <v>17</v>
          </cell>
          <cell r="M753">
            <v>0</v>
          </cell>
          <cell r="N753">
            <v>0</v>
          </cell>
          <cell r="O753">
            <v>17</v>
          </cell>
          <cell r="P753">
            <v>705</v>
          </cell>
          <cell r="Q753">
            <v>177</v>
          </cell>
          <cell r="R753">
            <v>528</v>
          </cell>
          <cell r="S753">
            <v>469</v>
          </cell>
          <cell r="T753">
            <v>722</v>
          </cell>
        </row>
        <row r="754">
          <cell r="C754" t="str">
            <v>Renton city, Washington</v>
          </cell>
          <cell r="D754">
            <v>1341</v>
          </cell>
          <cell r="E754">
            <v>757</v>
          </cell>
          <cell r="F754">
            <v>422</v>
          </cell>
          <cell r="G754">
            <v>331</v>
          </cell>
          <cell r="H754">
            <v>53</v>
          </cell>
          <cell r="I754">
            <v>4</v>
          </cell>
          <cell r="J754">
            <v>80</v>
          </cell>
          <cell r="K754">
            <v>194</v>
          </cell>
          <cell r="L754">
            <v>4</v>
          </cell>
          <cell r="M754">
            <v>0</v>
          </cell>
          <cell r="N754">
            <v>0</v>
          </cell>
          <cell r="O754">
            <v>4</v>
          </cell>
          <cell r="P754">
            <v>584</v>
          </cell>
          <cell r="Q754">
            <v>121</v>
          </cell>
          <cell r="R754">
            <v>463</v>
          </cell>
          <cell r="S754">
            <v>753</v>
          </cell>
          <cell r="T754">
            <v>588</v>
          </cell>
        </row>
        <row r="755">
          <cell r="C755" t="str">
            <v>Republic city, Washington</v>
          </cell>
          <cell r="D755">
            <v>5</v>
          </cell>
          <cell r="E755">
            <v>2</v>
          </cell>
          <cell r="F755">
            <v>0</v>
          </cell>
          <cell r="G755">
            <v>2</v>
          </cell>
          <cell r="H755">
            <v>0</v>
          </cell>
          <cell r="I755">
            <v>2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3</v>
          </cell>
          <cell r="Q755">
            <v>0</v>
          </cell>
          <cell r="R755">
            <v>3</v>
          </cell>
          <cell r="S755">
            <v>2</v>
          </cell>
          <cell r="T755">
            <v>3</v>
          </cell>
        </row>
        <row r="756">
          <cell r="C756" t="str">
            <v>Richland city, Washington</v>
          </cell>
          <cell r="D756">
            <v>885</v>
          </cell>
          <cell r="E756">
            <v>785</v>
          </cell>
          <cell r="F756">
            <v>459</v>
          </cell>
          <cell r="G756">
            <v>305</v>
          </cell>
          <cell r="H756">
            <v>45</v>
          </cell>
          <cell r="I756">
            <v>30</v>
          </cell>
          <cell r="J756">
            <v>79</v>
          </cell>
          <cell r="K756">
            <v>151</v>
          </cell>
          <cell r="L756">
            <v>21</v>
          </cell>
          <cell r="M756">
            <v>0</v>
          </cell>
          <cell r="N756">
            <v>0</v>
          </cell>
          <cell r="O756">
            <v>21</v>
          </cell>
          <cell r="P756">
            <v>100</v>
          </cell>
          <cell r="Q756">
            <v>59</v>
          </cell>
          <cell r="R756">
            <v>41</v>
          </cell>
          <cell r="S756">
            <v>764</v>
          </cell>
          <cell r="T756">
            <v>121</v>
          </cell>
        </row>
        <row r="757">
          <cell r="C757" t="str">
            <v>Ridgefield city, Washington</v>
          </cell>
          <cell r="D757">
            <v>24</v>
          </cell>
          <cell r="E757">
            <v>17</v>
          </cell>
          <cell r="F757">
            <v>5</v>
          </cell>
          <cell r="G757">
            <v>9</v>
          </cell>
          <cell r="H757">
            <v>0</v>
          </cell>
          <cell r="I757">
            <v>2</v>
          </cell>
          <cell r="J757">
            <v>2</v>
          </cell>
          <cell r="K757">
            <v>5</v>
          </cell>
          <cell r="L757">
            <v>3</v>
          </cell>
          <cell r="M757">
            <v>0</v>
          </cell>
          <cell r="N757">
            <v>0</v>
          </cell>
          <cell r="O757">
            <v>3</v>
          </cell>
          <cell r="P757">
            <v>7</v>
          </cell>
          <cell r="Q757">
            <v>0</v>
          </cell>
          <cell r="R757">
            <v>7</v>
          </cell>
          <cell r="S757">
            <v>14</v>
          </cell>
          <cell r="T757">
            <v>10</v>
          </cell>
        </row>
        <row r="758">
          <cell r="C758" t="str">
            <v>Ritzville city, Washington</v>
          </cell>
          <cell r="D758">
            <v>30</v>
          </cell>
          <cell r="E758">
            <v>20</v>
          </cell>
          <cell r="F758">
            <v>7</v>
          </cell>
          <cell r="G758">
            <v>13</v>
          </cell>
          <cell r="H758">
            <v>0</v>
          </cell>
          <cell r="I758">
            <v>0</v>
          </cell>
          <cell r="J758">
            <v>0</v>
          </cell>
          <cell r="K758">
            <v>13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10</v>
          </cell>
          <cell r="Q758">
            <v>3</v>
          </cell>
          <cell r="R758">
            <v>7</v>
          </cell>
          <cell r="S758">
            <v>20</v>
          </cell>
          <cell r="T758">
            <v>10</v>
          </cell>
        </row>
        <row r="759">
          <cell r="C759" t="str">
            <v>Riverbend CDP, Washington</v>
          </cell>
          <cell r="D759">
            <v>38</v>
          </cell>
          <cell r="E759">
            <v>22</v>
          </cell>
          <cell r="F759">
            <v>0</v>
          </cell>
          <cell r="G759">
            <v>22</v>
          </cell>
          <cell r="H759">
            <v>0</v>
          </cell>
          <cell r="I759">
            <v>0</v>
          </cell>
          <cell r="J759">
            <v>0</v>
          </cell>
          <cell r="K759">
            <v>22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16</v>
          </cell>
          <cell r="Q759">
            <v>16</v>
          </cell>
          <cell r="R759">
            <v>0</v>
          </cell>
          <cell r="S759">
            <v>22</v>
          </cell>
          <cell r="T759">
            <v>16</v>
          </cell>
        </row>
        <row r="760">
          <cell r="C760" t="str">
            <v>River Road CDP, Washington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</row>
        <row r="761">
          <cell r="C761" t="str">
            <v>Riverside town, Washington</v>
          </cell>
          <cell r="D761">
            <v>1</v>
          </cell>
          <cell r="E761">
            <v>1</v>
          </cell>
          <cell r="F761">
            <v>0</v>
          </cell>
          <cell r="G761">
            <v>1</v>
          </cell>
          <cell r="H761">
            <v>0</v>
          </cell>
          <cell r="I761">
            <v>0</v>
          </cell>
          <cell r="J761">
            <v>0</v>
          </cell>
          <cell r="K761">
            <v>1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1</v>
          </cell>
          <cell r="T761">
            <v>0</v>
          </cell>
        </row>
        <row r="762">
          <cell r="C762" t="str">
            <v>Riverton-Boulevard Park CDP, Washington</v>
          </cell>
          <cell r="D762">
            <v>475</v>
          </cell>
          <cell r="E762">
            <v>177</v>
          </cell>
          <cell r="F762">
            <v>74</v>
          </cell>
          <cell r="G762">
            <v>103</v>
          </cell>
          <cell r="H762">
            <v>0</v>
          </cell>
          <cell r="I762">
            <v>0</v>
          </cell>
          <cell r="J762">
            <v>30</v>
          </cell>
          <cell r="K762">
            <v>73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298</v>
          </cell>
          <cell r="Q762">
            <v>57</v>
          </cell>
          <cell r="R762">
            <v>241</v>
          </cell>
          <cell r="S762">
            <v>177</v>
          </cell>
          <cell r="T762">
            <v>298</v>
          </cell>
        </row>
        <row r="763">
          <cell r="C763" t="str">
            <v>Rochester CDP, Washington</v>
          </cell>
          <cell r="D763">
            <v>86</v>
          </cell>
          <cell r="E763">
            <v>41</v>
          </cell>
          <cell r="F763">
            <v>23</v>
          </cell>
          <cell r="G763">
            <v>18</v>
          </cell>
          <cell r="H763">
            <v>0</v>
          </cell>
          <cell r="I763">
            <v>18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45</v>
          </cell>
          <cell r="Q763">
            <v>23</v>
          </cell>
          <cell r="R763">
            <v>22</v>
          </cell>
          <cell r="S763">
            <v>41</v>
          </cell>
          <cell r="T763">
            <v>45</v>
          </cell>
        </row>
        <row r="764">
          <cell r="C764" t="str">
            <v>Rockford town, Washington</v>
          </cell>
          <cell r="D764">
            <v>2</v>
          </cell>
          <cell r="E764">
            <v>2</v>
          </cell>
          <cell r="F764">
            <v>0</v>
          </cell>
          <cell r="G764">
            <v>2</v>
          </cell>
          <cell r="H764">
            <v>0</v>
          </cell>
          <cell r="I764">
            <v>0</v>
          </cell>
          <cell r="J764">
            <v>0</v>
          </cell>
          <cell r="K764">
            <v>2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</v>
          </cell>
          <cell r="T764">
            <v>0</v>
          </cell>
        </row>
        <row r="765">
          <cell r="C765" t="str">
            <v>Rock Island city, Washington</v>
          </cell>
          <cell r="D765">
            <v>71</v>
          </cell>
          <cell r="E765">
            <v>38</v>
          </cell>
          <cell r="F765">
            <v>35</v>
          </cell>
          <cell r="G765">
            <v>3</v>
          </cell>
          <cell r="H765">
            <v>0</v>
          </cell>
          <cell r="I765">
            <v>0</v>
          </cell>
          <cell r="J765">
            <v>0</v>
          </cell>
          <cell r="K765">
            <v>3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33</v>
          </cell>
          <cell r="Q765">
            <v>9</v>
          </cell>
          <cell r="R765">
            <v>24</v>
          </cell>
          <cell r="S765">
            <v>38</v>
          </cell>
          <cell r="T765">
            <v>33</v>
          </cell>
        </row>
        <row r="766">
          <cell r="C766" t="str">
            <v>Rockport CDP, Washington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</row>
        <row r="767">
          <cell r="C767" t="str">
            <v>Ronald CDP, Washington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</row>
        <row r="768">
          <cell r="C768" t="str">
            <v>Roosevelt CDP, Washington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</row>
        <row r="769">
          <cell r="C769" t="str">
            <v>Rosalia town, Washington</v>
          </cell>
          <cell r="D769">
            <v>2</v>
          </cell>
          <cell r="E769">
            <v>2</v>
          </cell>
          <cell r="F769">
            <v>0</v>
          </cell>
          <cell r="G769">
            <v>2</v>
          </cell>
          <cell r="H769">
            <v>0</v>
          </cell>
          <cell r="I769">
            <v>0</v>
          </cell>
          <cell r="J769">
            <v>2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</v>
          </cell>
          <cell r="T769">
            <v>0</v>
          </cell>
        </row>
        <row r="770">
          <cell r="C770" t="str">
            <v>Roslyn city, Washington</v>
          </cell>
          <cell r="D770">
            <v>3</v>
          </cell>
          <cell r="E770">
            <v>1</v>
          </cell>
          <cell r="F770">
            <v>1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</v>
          </cell>
          <cell r="Q770">
            <v>2</v>
          </cell>
          <cell r="R770">
            <v>0</v>
          </cell>
          <cell r="S770">
            <v>1</v>
          </cell>
          <cell r="T770">
            <v>2</v>
          </cell>
        </row>
        <row r="771">
          <cell r="C771" t="str">
            <v>Roy city, Washington</v>
          </cell>
          <cell r="D771">
            <v>5</v>
          </cell>
          <cell r="E771">
            <v>5</v>
          </cell>
          <cell r="F771">
            <v>0</v>
          </cell>
          <cell r="G771">
            <v>5</v>
          </cell>
          <cell r="H771">
            <v>0</v>
          </cell>
          <cell r="I771">
            <v>0</v>
          </cell>
          <cell r="J771">
            <v>0</v>
          </cell>
          <cell r="K771">
            <v>5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5</v>
          </cell>
          <cell r="T771">
            <v>0</v>
          </cell>
        </row>
        <row r="772">
          <cell r="C772" t="str">
            <v>Royal City city, Washington</v>
          </cell>
          <cell r="D772">
            <v>897</v>
          </cell>
          <cell r="E772">
            <v>279</v>
          </cell>
          <cell r="F772">
            <v>221</v>
          </cell>
          <cell r="G772">
            <v>58</v>
          </cell>
          <cell r="H772">
            <v>0</v>
          </cell>
          <cell r="I772">
            <v>10</v>
          </cell>
          <cell r="J772">
            <v>8</v>
          </cell>
          <cell r="K772">
            <v>40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618</v>
          </cell>
          <cell r="Q772">
            <v>95</v>
          </cell>
          <cell r="R772">
            <v>523</v>
          </cell>
          <cell r="S772">
            <v>279</v>
          </cell>
          <cell r="T772">
            <v>618</v>
          </cell>
        </row>
        <row r="773">
          <cell r="C773" t="str">
            <v>Ruston town, Washington</v>
          </cell>
          <cell r="D773">
            <v>21</v>
          </cell>
          <cell r="E773">
            <v>21</v>
          </cell>
          <cell r="F773">
            <v>12</v>
          </cell>
          <cell r="G773">
            <v>9</v>
          </cell>
          <cell r="H773">
            <v>0</v>
          </cell>
          <cell r="I773">
            <v>0</v>
          </cell>
          <cell r="J773">
            <v>0</v>
          </cell>
          <cell r="K773">
            <v>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21</v>
          </cell>
          <cell r="T773">
            <v>0</v>
          </cell>
        </row>
        <row r="774">
          <cell r="C774" t="str">
            <v>St. John town, Washington</v>
          </cell>
          <cell r="D774">
            <v>16</v>
          </cell>
          <cell r="E774">
            <v>16</v>
          </cell>
          <cell r="F774">
            <v>4</v>
          </cell>
          <cell r="G774">
            <v>12</v>
          </cell>
          <cell r="H774">
            <v>0</v>
          </cell>
          <cell r="I774">
            <v>4</v>
          </cell>
          <cell r="J774">
            <v>8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16</v>
          </cell>
          <cell r="T774">
            <v>0</v>
          </cell>
        </row>
        <row r="775">
          <cell r="C775" t="str">
            <v>Salmon Creek CDP, Washington</v>
          </cell>
          <cell r="D775">
            <v>556</v>
          </cell>
          <cell r="E775">
            <v>326</v>
          </cell>
          <cell r="F775">
            <v>116</v>
          </cell>
          <cell r="G775">
            <v>200</v>
          </cell>
          <cell r="H775">
            <v>0</v>
          </cell>
          <cell r="I775">
            <v>0</v>
          </cell>
          <cell r="J775">
            <v>0</v>
          </cell>
          <cell r="K775">
            <v>200</v>
          </cell>
          <cell r="L775">
            <v>10</v>
          </cell>
          <cell r="M775">
            <v>0</v>
          </cell>
          <cell r="N775">
            <v>0</v>
          </cell>
          <cell r="O775">
            <v>10</v>
          </cell>
          <cell r="P775">
            <v>230</v>
          </cell>
          <cell r="Q775">
            <v>34</v>
          </cell>
          <cell r="R775">
            <v>196</v>
          </cell>
          <cell r="S775">
            <v>316</v>
          </cell>
          <cell r="T775">
            <v>240</v>
          </cell>
        </row>
        <row r="776">
          <cell r="C776" t="str">
            <v>Sammamish city, Washington</v>
          </cell>
          <cell r="D776">
            <v>513</v>
          </cell>
          <cell r="E776">
            <v>456</v>
          </cell>
          <cell r="F776">
            <v>212</v>
          </cell>
          <cell r="G776">
            <v>230</v>
          </cell>
          <cell r="H776">
            <v>28</v>
          </cell>
          <cell r="I776">
            <v>22</v>
          </cell>
          <cell r="J776">
            <v>31</v>
          </cell>
          <cell r="K776">
            <v>149</v>
          </cell>
          <cell r="L776">
            <v>14</v>
          </cell>
          <cell r="M776">
            <v>0</v>
          </cell>
          <cell r="N776">
            <v>0</v>
          </cell>
          <cell r="O776">
            <v>14</v>
          </cell>
          <cell r="P776">
            <v>57</v>
          </cell>
          <cell r="Q776">
            <v>48</v>
          </cell>
          <cell r="R776">
            <v>9</v>
          </cell>
          <cell r="S776">
            <v>442</v>
          </cell>
          <cell r="T776">
            <v>71</v>
          </cell>
        </row>
        <row r="777">
          <cell r="C777" t="str">
            <v>Satsop CDP, Washington</v>
          </cell>
          <cell r="D777">
            <v>3</v>
          </cell>
          <cell r="E777">
            <v>3</v>
          </cell>
          <cell r="F777">
            <v>0</v>
          </cell>
          <cell r="G777">
            <v>3</v>
          </cell>
          <cell r="H777">
            <v>0</v>
          </cell>
          <cell r="I777">
            <v>0</v>
          </cell>
          <cell r="J777">
            <v>3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</v>
          </cell>
          <cell r="T777">
            <v>0</v>
          </cell>
        </row>
        <row r="778">
          <cell r="C778" t="str">
            <v>Satus CDP, Washington</v>
          </cell>
          <cell r="D778">
            <v>4</v>
          </cell>
          <cell r="E778">
            <v>4</v>
          </cell>
          <cell r="F778">
            <v>4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4</v>
          </cell>
          <cell r="T778">
            <v>0</v>
          </cell>
        </row>
        <row r="779">
          <cell r="C779" t="str">
            <v>SeaTac city, Washington</v>
          </cell>
          <cell r="D779">
            <v>1478</v>
          </cell>
          <cell r="E779">
            <v>793</v>
          </cell>
          <cell r="F779">
            <v>393</v>
          </cell>
          <cell r="G779">
            <v>396</v>
          </cell>
          <cell r="H779">
            <v>0</v>
          </cell>
          <cell r="I779">
            <v>14</v>
          </cell>
          <cell r="J779">
            <v>22</v>
          </cell>
          <cell r="K779">
            <v>360</v>
          </cell>
          <cell r="L779">
            <v>4</v>
          </cell>
          <cell r="M779">
            <v>0</v>
          </cell>
          <cell r="N779">
            <v>0</v>
          </cell>
          <cell r="O779">
            <v>4</v>
          </cell>
          <cell r="P779">
            <v>685</v>
          </cell>
          <cell r="Q779">
            <v>124</v>
          </cell>
          <cell r="R779">
            <v>561</v>
          </cell>
          <cell r="S779">
            <v>789</v>
          </cell>
          <cell r="T779">
            <v>689</v>
          </cell>
        </row>
        <row r="780">
          <cell r="C780" t="str">
            <v>Seattle city, Washington</v>
          </cell>
          <cell r="D780">
            <v>12348</v>
          </cell>
          <cell r="E780">
            <v>7685</v>
          </cell>
          <cell r="F780">
            <v>2897</v>
          </cell>
          <cell r="G780">
            <v>4365</v>
          </cell>
          <cell r="H780">
            <v>594</v>
          </cell>
          <cell r="I780">
            <v>515</v>
          </cell>
          <cell r="J780">
            <v>865</v>
          </cell>
          <cell r="K780">
            <v>2391</v>
          </cell>
          <cell r="L780">
            <v>423</v>
          </cell>
          <cell r="M780">
            <v>111</v>
          </cell>
          <cell r="N780">
            <v>0</v>
          </cell>
          <cell r="O780">
            <v>312</v>
          </cell>
          <cell r="P780">
            <v>4663</v>
          </cell>
          <cell r="Q780">
            <v>1118</v>
          </cell>
          <cell r="R780">
            <v>3545</v>
          </cell>
          <cell r="S780">
            <v>7262</v>
          </cell>
          <cell r="T780">
            <v>5086</v>
          </cell>
        </row>
        <row r="781">
          <cell r="C781" t="str">
            <v>Seattle Hill-Silver Firs CDP, Washington</v>
          </cell>
          <cell r="D781">
            <v>530</v>
          </cell>
          <cell r="E781">
            <v>439</v>
          </cell>
          <cell r="F781">
            <v>233</v>
          </cell>
          <cell r="G781">
            <v>199</v>
          </cell>
          <cell r="H781">
            <v>9</v>
          </cell>
          <cell r="I781">
            <v>15</v>
          </cell>
          <cell r="J781">
            <v>78</v>
          </cell>
          <cell r="K781">
            <v>97</v>
          </cell>
          <cell r="L781">
            <v>7</v>
          </cell>
          <cell r="M781">
            <v>0</v>
          </cell>
          <cell r="N781">
            <v>0</v>
          </cell>
          <cell r="O781">
            <v>7</v>
          </cell>
          <cell r="P781">
            <v>91</v>
          </cell>
          <cell r="Q781">
            <v>65</v>
          </cell>
          <cell r="R781">
            <v>26</v>
          </cell>
          <cell r="S781">
            <v>432</v>
          </cell>
          <cell r="T781">
            <v>98</v>
          </cell>
        </row>
        <row r="782">
          <cell r="C782" t="str">
            <v>Sedro-Woolley city, Washington</v>
          </cell>
          <cell r="D782">
            <v>346</v>
          </cell>
          <cell r="E782">
            <v>295</v>
          </cell>
          <cell r="F782">
            <v>217</v>
          </cell>
          <cell r="G782">
            <v>78</v>
          </cell>
          <cell r="H782">
            <v>0</v>
          </cell>
          <cell r="I782">
            <v>0</v>
          </cell>
          <cell r="J782">
            <v>9</v>
          </cell>
          <cell r="K782">
            <v>69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51</v>
          </cell>
          <cell r="Q782">
            <v>20</v>
          </cell>
          <cell r="R782">
            <v>31</v>
          </cell>
          <cell r="S782">
            <v>295</v>
          </cell>
          <cell r="T782">
            <v>51</v>
          </cell>
        </row>
        <row r="783">
          <cell r="C783" t="str">
            <v>Selah city, Washington</v>
          </cell>
          <cell r="D783">
            <v>229</v>
          </cell>
          <cell r="E783">
            <v>181</v>
          </cell>
          <cell r="F783">
            <v>109</v>
          </cell>
          <cell r="G783">
            <v>72</v>
          </cell>
          <cell r="H783">
            <v>0</v>
          </cell>
          <cell r="I783">
            <v>15</v>
          </cell>
          <cell r="J783">
            <v>14</v>
          </cell>
          <cell r="K783">
            <v>43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48</v>
          </cell>
          <cell r="Q783">
            <v>9</v>
          </cell>
          <cell r="R783">
            <v>39</v>
          </cell>
          <cell r="S783">
            <v>181</v>
          </cell>
          <cell r="T783">
            <v>48</v>
          </cell>
        </row>
        <row r="784">
          <cell r="C784" t="str">
            <v>Sequim city, Washington</v>
          </cell>
          <cell r="D784">
            <v>92</v>
          </cell>
          <cell r="E784">
            <v>77</v>
          </cell>
          <cell r="F784">
            <v>66</v>
          </cell>
          <cell r="G784">
            <v>11</v>
          </cell>
          <cell r="H784">
            <v>0</v>
          </cell>
          <cell r="I784">
            <v>0</v>
          </cell>
          <cell r="J784">
            <v>11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15</v>
          </cell>
          <cell r="Q784">
            <v>0</v>
          </cell>
          <cell r="R784">
            <v>15</v>
          </cell>
          <cell r="S784">
            <v>77</v>
          </cell>
          <cell r="T784">
            <v>15</v>
          </cell>
        </row>
        <row r="785">
          <cell r="C785" t="str">
            <v>Shaker Church CDP, Washington</v>
          </cell>
          <cell r="D785">
            <v>23</v>
          </cell>
          <cell r="E785">
            <v>17</v>
          </cell>
          <cell r="F785">
            <v>13</v>
          </cell>
          <cell r="G785">
            <v>4</v>
          </cell>
          <cell r="H785">
            <v>0</v>
          </cell>
          <cell r="I785">
            <v>0</v>
          </cell>
          <cell r="J785">
            <v>4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6</v>
          </cell>
          <cell r="Q785">
            <v>3</v>
          </cell>
          <cell r="R785">
            <v>3</v>
          </cell>
          <cell r="S785">
            <v>17</v>
          </cell>
          <cell r="T785">
            <v>6</v>
          </cell>
        </row>
        <row r="786">
          <cell r="C786" t="str">
            <v>Shelton city, Washington</v>
          </cell>
          <cell r="D786">
            <v>400</v>
          </cell>
          <cell r="E786">
            <v>217</v>
          </cell>
          <cell r="F786">
            <v>102</v>
          </cell>
          <cell r="G786">
            <v>94</v>
          </cell>
          <cell r="H786">
            <v>0</v>
          </cell>
          <cell r="I786">
            <v>7</v>
          </cell>
          <cell r="J786">
            <v>40</v>
          </cell>
          <cell r="K786">
            <v>47</v>
          </cell>
          <cell r="L786">
            <v>21</v>
          </cell>
          <cell r="M786">
            <v>0</v>
          </cell>
          <cell r="N786">
            <v>0</v>
          </cell>
          <cell r="O786">
            <v>21</v>
          </cell>
          <cell r="P786">
            <v>183</v>
          </cell>
          <cell r="Q786">
            <v>58</v>
          </cell>
          <cell r="R786">
            <v>125</v>
          </cell>
          <cell r="S786">
            <v>196</v>
          </cell>
          <cell r="T786">
            <v>204</v>
          </cell>
        </row>
        <row r="787">
          <cell r="C787" t="str">
            <v>Shoreline city, Washington</v>
          </cell>
          <cell r="D787">
            <v>685</v>
          </cell>
          <cell r="E787">
            <v>510</v>
          </cell>
          <cell r="F787">
            <v>224</v>
          </cell>
          <cell r="G787">
            <v>252</v>
          </cell>
          <cell r="H787">
            <v>6</v>
          </cell>
          <cell r="I787">
            <v>33</v>
          </cell>
          <cell r="J787">
            <v>19</v>
          </cell>
          <cell r="K787">
            <v>194</v>
          </cell>
          <cell r="L787">
            <v>34</v>
          </cell>
          <cell r="M787">
            <v>0</v>
          </cell>
          <cell r="N787">
            <v>20</v>
          </cell>
          <cell r="O787">
            <v>14</v>
          </cell>
          <cell r="P787">
            <v>175</v>
          </cell>
          <cell r="Q787">
            <v>44</v>
          </cell>
          <cell r="R787">
            <v>131</v>
          </cell>
          <cell r="S787">
            <v>476</v>
          </cell>
          <cell r="T787">
            <v>209</v>
          </cell>
        </row>
        <row r="788">
          <cell r="C788" t="str">
            <v>Silvana CDP, Washington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</row>
        <row r="789">
          <cell r="C789" t="str">
            <v>Silverdale CDP, Washington</v>
          </cell>
          <cell r="D789">
            <v>277</v>
          </cell>
          <cell r="E789">
            <v>237</v>
          </cell>
          <cell r="F789">
            <v>16</v>
          </cell>
          <cell r="G789">
            <v>209</v>
          </cell>
          <cell r="H789">
            <v>56</v>
          </cell>
          <cell r="I789">
            <v>27</v>
          </cell>
          <cell r="J789">
            <v>44</v>
          </cell>
          <cell r="K789">
            <v>82</v>
          </cell>
          <cell r="L789">
            <v>12</v>
          </cell>
          <cell r="M789">
            <v>0</v>
          </cell>
          <cell r="N789">
            <v>0</v>
          </cell>
          <cell r="O789">
            <v>12</v>
          </cell>
          <cell r="P789">
            <v>40</v>
          </cell>
          <cell r="Q789">
            <v>27</v>
          </cell>
          <cell r="R789">
            <v>13</v>
          </cell>
          <cell r="S789">
            <v>225</v>
          </cell>
          <cell r="T789">
            <v>52</v>
          </cell>
        </row>
        <row r="790">
          <cell r="C790" t="str">
            <v>Skokomish CDP, Washington</v>
          </cell>
          <cell r="D790">
            <v>4</v>
          </cell>
          <cell r="E790">
            <v>4</v>
          </cell>
          <cell r="F790">
            <v>0</v>
          </cell>
          <cell r="G790">
            <v>4</v>
          </cell>
          <cell r="H790">
            <v>0</v>
          </cell>
          <cell r="I790">
            <v>0</v>
          </cell>
          <cell r="J790">
            <v>2</v>
          </cell>
          <cell r="K790">
            <v>2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4</v>
          </cell>
          <cell r="T790">
            <v>0</v>
          </cell>
        </row>
        <row r="791">
          <cell r="C791" t="str">
            <v>Skykomish town, Washington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</row>
        <row r="792">
          <cell r="C792" t="str">
            <v>Smokey Point CDP, Washington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</row>
        <row r="793">
          <cell r="C793" t="str">
            <v>Snohomish city, Washington</v>
          </cell>
          <cell r="D793">
            <v>235</v>
          </cell>
          <cell r="E793">
            <v>106</v>
          </cell>
          <cell r="F793">
            <v>31</v>
          </cell>
          <cell r="G793">
            <v>64</v>
          </cell>
          <cell r="H793">
            <v>0</v>
          </cell>
          <cell r="I793">
            <v>0</v>
          </cell>
          <cell r="J793">
            <v>0</v>
          </cell>
          <cell r="K793">
            <v>64</v>
          </cell>
          <cell r="L793">
            <v>11</v>
          </cell>
          <cell r="M793">
            <v>0</v>
          </cell>
          <cell r="N793">
            <v>0</v>
          </cell>
          <cell r="O793">
            <v>11</v>
          </cell>
          <cell r="P793">
            <v>129</v>
          </cell>
          <cell r="Q793">
            <v>21</v>
          </cell>
          <cell r="R793">
            <v>108</v>
          </cell>
          <cell r="S793">
            <v>95</v>
          </cell>
          <cell r="T793">
            <v>140</v>
          </cell>
        </row>
        <row r="794">
          <cell r="C794" t="str">
            <v>Snoqualmie city, Washington</v>
          </cell>
          <cell r="D794">
            <v>40</v>
          </cell>
          <cell r="E794">
            <v>40</v>
          </cell>
          <cell r="F794">
            <v>29</v>
          </cell>
          <cell r="G794">
            <v>11</v>
          </cell>
          <cell r="H794">
            <v>0</v>
          </cell>
          <cell r="I794">
            <v>0</v>
          </cell>
          <cell r="J794">
            <v>4</v>
          </cell>
          <cell r="K794">
            <v>7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40</v>
          </cell>
          <cell r="T794">
            <v>0</v>
          </cell>
        </row>
        <row r="795">
          <cell r="C795" t="str">
            <v>Snoqualmie Pass CDP, Washington</v>
          </cell>
          <cell r="D795">
            <v>2</v>
          </cell>
          <cell r="E795">
            <v>2</v>
          </cell>
          <cell r="F795">
            <v>0</v>
          </cell>
          <cell r="G795">
            <v>2</v>
          </cell>
          <cell r="H795">
            <v>0</v>
          </cell>
          <cell r="I795">
            <v>0</v>
          </cell>
          <cell r="J795">
            <v>0</v>
          </cell>
          <cell r="K795">
            <v>2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2</v>
          </cell>
          <cell r="T795">
            <v>0</v>
          </cell>
        </row>
        <row r="796">
          <cell r="C796" t="str">
            <v>Soap Lake city, Washington</v>
          </cell>
          <cell r="D796">
            <v>67</v>
          </cell>
          <cell r="E796">
            <v>49</v>
          </cell>
          <cell r="F796">
            <v>11</v>
          </cell>
          <cell r="G796">
            <v>38</v>
          </cell>
          <cell r="H796">
            <v>0</v>
          </cell>
          <cell r="I796">
            <v>0</v>
          </cell>
          <cell r="J796">
            <v>8</v>
          </cell>
          <cell r="K796">
            <v>30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18</v>
          </cell>
          <cell r="Q796">
            <v>3</v>
          </cell>
          <cell r="R796">
            <v>15</v>
          </cell>
          <cell r="S796">
            <v>49</v>
          </cell>
          <cell r="T796">
            <v>18</v>
          </cell>
        </row>
        <row r="797">
          <cell r="C797" t="str">
            <v>South Bend city, Washington</v>
          </cell>
          <cell r="D797">
            <v>99</v>
          </cell>
          <cell r="E797">
            <v>50</v>
          </cell>
          <cell r="F797">
            <v>39</v>
          </cell>
          <cell r="G797">
            <v>11</v>
          </cell>
          <cell r="H797">
            <v>0</v>
          </cell>
          <cell r="I797">
            <v>0</v>
          </cell>
          <cell r="J797">
            <v>0</v>
          </cell>
          <cell r="K797">
            <v>11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49</v>
          </cell>
          <cell r="Q797">
            <v>6</v>
          </cell>
          <cell r="R797">
            <v>43</v>
          </cell>
          <cell r="S797">
            <v>50</v>
          </cell>
          <cell r="T797">
            <v>49</v>
          </cell>
        </row>
        <row r="798">
          <cell r="C798" t="str">
            <v>South Cle Elum town, Washington</v>
          </cell>
          <cell r="D798">
            <v>14</v>
          </cell>
          <cell r="E798">
            <v>14</v>
          </cell>
          <cell r="F798">
            <v>14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14</v>
          </cell>
          <cell r="T798">
            <v>0</v>
          </cell>
        </row>
        <row r="799">
          <cell r="C799" t="str">
            <v>South Hill CDP, Washington</v>
          </cell>
          <cell r="D799">
            <v>623</v>
          </cell>
          <cell r="E799">
            <v>545</v>
          </cell>
          <cell r="F799">
            <v>167</v>
          </cell>
          <cell r="G799">
            <v>367</v>
          </cell>
          <cell r="H799">
            <v>7</v>
          </cell>
          <cell r="I799">
            <v>26</v>
          </cell>
          <cell r="J799">
            <v>102</v>
          </cell>
          <cell r="K799">
            <v>232</v>
          </cell>
          <cell r="L799">
            <v>11</v>
          </cell>
          <cell r="M799">
            <v>0</v>
          </cell>
          <cell r="N799">
            <v>0</v>
          </cell>
          <cell r="O799">
            <v>11</v>
          </cell>
          <cell r="P799">
            <v>78</v>
          </cell>
          <cell r="Q799">
            <v>56</v>
          </cell>
          <cell r="R799">
            <v>22</v>
          </cell>
          <cell r="S799">
            <v>534</v>
          </cell>
          <cell r="T799">
            <v>89</v>
          </cell>
        </row>
        <row r="800">
          <cell r="C800" t="str">
            <v>South Prairie town, Washington</v>
          </cell>
          <cell r="D800">
            <v>2</v>
          </cell>
          <cell r="E800">
            <v>2</v>
          </cell>
          <cell r="F800">
            <v>2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2</v>
          </cell>
          <cell r="T800">
            <v>0</v>
          </cell>
        </row>
        <row r="801">
          <cell r="C801" t="str">
            <v>South Wenatchee CDP, Washington</v>
          </cell>
          <cell r="D801">
            <v>212</v>
          </cell>
          <cell r="E801">
            <v>130</v>
          </cell>
          <cell r="F801">
            <v>84</v>
          </cell>
          <cell r="G801">
            <v>46</v>
          </cell>
          <cell r="H801">
            <v>0</v>
          </cell>
          <cell r="I801">
            <v>0</v>
          </cell>
          <cell r="J801">
            <v>8</v>
          </cell>
          <cell r="K801">
            <v>38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82</v>
          </cell>
          <cell r="Q801">
            <v>20</v>
          </cell>
          <cell r="R801">
            <v>62</v>
          </cell>
          <cell r="S801">
            <v>130</v>
          </cell>
          <cell r="T801">
            <v>82</v>
          </cell>
        </row>
        <row r="802">
          <cell r="C802" t="str">
            <v>Spanaway CDP, Washington</v>
          </cell>
          <cell r="D802">
            <v>428</v>
          </cell>
          <cell r="E802">
            <v>352</v>
          </cell>
          <cell r="F802">
            <v>101</v>
          </cell>
          <cell r="G802">
            <v>182</v>
          </cell>
          <cell r="H802">
            <v>0</v>
          </cell>
          <cell r="I802">
            <v>27</v>
          </cell>
          <cell r="J802">
            <v>61</v>
          </cell>
          <cell r="K802">
            <v>94</v>
          </cell>
          <cell r="L802">
            <v>69</v>
          </cell>
          <cell r="M802">
            <v>59</v>
          </cell>
          <cell r="N802">
            <v>0</v>
          </cell>
          <cell r="O802">
            <v>10</v>
          </cell>
          <cell r="P802">
            <v>76</v>
          </cell>
          <cell r="Q802">
            <v>28</v>
          </cell>
          <cell r="R802">
            <v>48</v>
          </cell>
          <cell r="S802">
            <v>283</v>
          </cell>
          <cell r="T802">
            <v>145</v>
          </cell>
        </row>
        <row r="803">
          <cell r="C803" t="str">
            <v>Spangle town, Washington</v>
          </cell>
          <cell r="D803">
            <v>1</v>
          </cell>
          <cell r="E803">
            <v>1</v>
          </cell>
          <cell r="F803">
            <v>0</v>
          </cell>
          <cell r="G803">
            <v>1</v>
          </cell>
          <cell r="H803">
            <v>0</v>
          </cell>
          <cell r="I803">
            <v>0</v>
          </cell>
          <cell r="J803">
            <v>0</v>
          </cell>
          <cell r="K803">
            <v>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1</v>
          </cell>
          <cell r="T803">
            <v>0</v>
          </cell>
        </row>
        <row r="804">
          <cell r="C804" t="str">
            <v>Spokane city, Washington</v>
          </cell>
          <cell r="D804">
            <v>3296</v>
          </cell>
          <cell r="E804">
            <v>2972</v>
          </cell>
          <cell r="F804">
            <v>1212</v>
          </cell>
          <cell r="G804">
            <v>1669</v>
          </cell>
          <cell r="H804">
            <v>92</v>
          </cell>
          <cell r="I804">
            <v>146</v>
          </cell>
          <cell r="J804">
            <v>306</v>
          </cell>
          <cell r="K804">
            <v>1125</v>
          </cell>
          <cell r="L804">
            <v>91</v>
          </cell>
          <cell r="M804">
            <v>60</v>
          </cell>
          <cell r="N804">
            <v>0</v>
          </cell>
          <cell r="O804">
            <v>31</v>
          </cell>
          <cell r="P804">
            <v>324</v>
          </cell>
          <cell r="Q804">
            <v>198</v>
          </cell>
          <cell r="R804">
            <v>126</v>
          </cell>
          <cell r="S804">
            <v>2881</v>
          </cell>
          <cell r="T804">
            <v>415</v>
          </cell>
        </row>
        <row r="805">
          <cell r="C805" t="str">
            <v>Sprague city, Washington</v>
          </cell>
          <cell r="D805">
            <v>11</v>
          </cell>
          <cell r="E805">
            <v>11</v>
          </cell>
          <cell r="F805">
            <v>9</v>
          </cell>
          <cell r="G805">
            <v>1</v>
          </cell>
          <cell r="H805">
            <v>0</v>
          </cell>
          <cell r="I805">
            <v>0</v>
          </cell>
          <cell r="J805">
            <v>0</v>
          </cell>
          <cell r="K805">
            <v>1</v>
          </cell>
          <cell r="L805">
            <v>1</v>
          </cell>
          <cell r="M805">
            <v>1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10</v>
          </cell>
          <cell r="T805">
            <v>1</v>
          </cell>
        </row>
        <row r="806">
          <cell r="C806" t="str">
            <v>Springdale town, Washington</v>
          </cell>
          <cell r="D806">
            <v>2</v>
          </cell>
          <cell r="E806">
            <v>2</v>
          </cell>
          <cell r="F806">
            <v>0</v>
          </cell>
          <cell r="G806">
            <v>2</v>
          </cell>
          <cell r="H806">
            <v>0</v>
          </cell>
          <cell r="I806">
            <v>0</v>
          </cell>
          <cell r="J806">
            <v>0</v>
          </cell>
          <cell r="K806">
            <v>2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2</v>
          </cell>
          <cell r="T806">
            <v>0</v>
          </cell>
        </row>
        <row r="807">
          <cell r="C807" t="str">
            <v>Stanwood city, Washington</v>
          </cell>
          <cell r="D807">
            <v>50</v>
          </cell>
          <cell r="E807">
            <v>9</v>
          </cell>
          <cell r="F807">
            <v>9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41</v>
          </cell>
          <cell r="Q807">
            <v>0</v>
          </cell>
          <cell r="R807">
            <v>41</v>
          </cell>
          <cell r="S807">
            <v>9</v>
          </cell>
          <cell r="T807">
            <v>41</v>
          </cell>
        </row>
        <row r="808">
          <cell r="C808" t="str">
            <v>Starbuck town, Washington</v>
          </cell>
          <cell r="D808">
            <v>3</v>
          </cell>
          <cell r="E808">
            <v>3</v>
          </cell>
          <cell r="F808">
            <v>0</v>
          </cell>
          <cell r="G808">
            <v>3</v>
          </cell>
          <cell r="H808">
            <v>3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3</v>
          </cell>
          <cell r="T808">
            <v>0</v>
          </cell>
        </row>
        <row r="809">
          <cell r="C809" t="str">
            <v>Startup CDP, Washington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</row>
        <row r="810">
          <cell r="C810" t="str">
            <v>Steilacoom town, Washington</v>
          </cell>
          <cell r="D810">
            <v>164</v>
          </cell>
          <cell r="E810">
            <v>141</v>
          </cell>
          <cell r="F810">
            <v>62</v>
          </cell>
          <cell r="G810">
            <v>46</v>
          </cell>
          <cell r="H810">
            <v>7</v>
          </cell>
          <cell r="I810">
            <v>0</v>
          </cell>
          <cell r="J810">
            <v>16</v>
          </cell>
          <cell r="K810">
            <v>23</v>
          </cell>
          <cell r="L810">
            <v>33</v>
          </cell>
          <cell r="M810">
            <v>13</v>
          </cell>
          <cell r="N810">
            <v>0</v>
          </cell>
          <cell r="O810">
            <v>20</v>
          </cell>
          <cell r="P810">
            <v>23</v>
          </cell>
          <cell r="Q810">
            <v>23</v>
          </cell>
          <cell r="R810">
            <v>0</v>
          </cell>
          <cell r="S810">
            <v>108</v>
          </cell>
          <cell r="T810">
            <v>56</v>
          </cell>
        </row>
        <row r="811">
          <cell r="C811" t="str">
            <v>Stevenson city, Washington</v>
          </cell>
          <cell r="D811">
            <v>12</v>
          </cell>
          <cell r="E811">
            <v>12</v>
          </cell>
          <cell r="F811">
            <v>5</v>
          </cell>
          <cell r="G811">
            <v>7</v>
          </cell>
          <cell r="H811">
            <v>0</v>
          </cell>
          <cell r="I811">
            <v>2</v>
          </cell>
          <cell r="J811">
            <v>0</v>
          </cell>
          <cell r="K811">
            <v>5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12</v>
          </cell>
          <cell r="T811">
            <v>0</v>
          </cell>
        </row>
        <row r="812">
          <cell r="C812" t="str">
            <v>Stimson Crossing CDP, Washington</v>
          </cell>
          <cell r="D812">
            <v>9</v>
          </cell>
          <cell r="E812">
            <v>9</v>
          </cell>
          <cell r="F812">
            <v>3</v>
          </cell>
          <cell r="G812">
            <v>6</v>
          </cell>
          <cell r="H812">
            <v>0</v>
          </cell>
          <cell r="I812">
            <v>3</v>
          </cell>
          <cell r="J812">
            <v>0</v>
          </cell>
          <cell r="K812">
            <v>3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9</v>
          </cell>
          <cell r="T812">
            <v>0</v>
          </cell>
        </row>
        <row r="813">
          <cell r="C813" t="str">
            <v>Sudden Valley CDP, Washington</v>
          </cell>
          <cell r="D813">
            <v>54</v>
          </cell>
          <cell r="E813">
            <v>45</v>
          </cell>
          <cell r="F813">
            <v>18</v>
          </cell>
          <cell r="G813">
            <v>27</v>
          </cell>
          <cell r="H813">
            <v>0</v>
          </cell>
          <cell r="I813">
            <v>0</v>
          </cell>
          <cell r="J813">
            <v>0</v>
          </cell>
          <cell r="K813">
            <v>27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9</v>
          </cell>
          <cell r="Q813">
            <v>9</v>
          </cell>
          <cell r="R813">
            <v>0</v>
          </cell>
          <cell r="S813">
            <v>45</v>
          </cell>
          <cell r="T813">
            <v>9</v>
          </cell>
        </row>
        <row r="814">
          <cell r="C814" t="str">
            <v>Sultan city, Washington</v>
          </cell>
          <cell r="D814">
            <v>5</v>
          </cell>
          <cell r="E814">
            <v>5</v>
          </cell>
          <cell r="F814">
            <v>0</v>
          </cell>
          <cell r="G814">
            <v>5</v>
          </cell>
          <cell r="H814">
            <v>0</v>
          </cell>
          <cell r="I814">
            <v>0</v>
          </cell>
          <cell r="J814">
            <v>0</v>
          </cell>
          <cell r="K814">
            <v>5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5</v>
          </cell>
          <cell r="T814">
            <v>0</v>
          </cell>
        </row>
        <row r="815">
          <cell r="C815" t="str">
            <v>Sumas city, Washington</v>
          </cell>
          <cell r="D815">
            <v>13</v>
          </cell>
          <cell r="E815">
            <v>11</v>
          </cell>
          <cell r="F815">
            <v>3</v>
          </cell>
          <cell r="G815">
            <v>8</v>
          </cell>
          <cell r="H815">
            <v>0</v>
          </cell>
          <cell r="I815">
            <v>0</v>
          </cell>
          <cell r="J815">
            <v>0</v>
          </cell>
          <cell r="K815">
            <v>8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2</v>
          </cell>
          <cell r="Q815">
            <v>2</v>
          </cell>
          <cell r="R815">
            <v>0</v>
          </cell>
          <cell r="S815">
            <v>11</v>
          </cell>
          <cell r="T815">
            <v>2</v>
          </cell>
        </row>
        <row r="816">
          <cell r="C816" t="str">
            <v>Summit CDP, Washington</v>
          </cell>
          <cell r="D816">
            <v>61</v>
          </cell>
          <cell r="E816">
            <v>32</v>
          </cell>
          <cell r="F816">
            <v>11</v>
          </cell>
          <cell r="G816">
            <v>18</v>
          </cell>
          <cell r="H816">
            <v>8</v>
          </cell>
          <cell r="I816">
            <v>0</v>
          </cell>
          <cell r="J816">
            <v>10</v>
          </cell>
          <cell r="K816">
            <v>0</v>
          </cell>
          <cell r="L816">
            <v>3</v>
          </cell>
          <cell r="M816">
            <v>0</v>
          </cell>
          <cell r="N816">
            <v>0</v>
          </cell>
          <cell r="O816">
            <v>3</v>
          </cell>
          <cell r="P816">
            <v>29</v>
          </cell>
          <cell r="Q816">
            <v>13</v>
          </cell>
          <cell r="R816">
            <v>16</v>
          </cell>
          <cell r="S816">
            <v>29</v>
          </cell>
          <cell r="T816">
            <v>32</v>
          </cell>
        </row>
        <row r="817">
          <cell r="C817" t="str">
            <v>Summitview CDP, Washington</v>
          </cell>
          <cell r="D817">
            <v>8</v>
          </cell>
          <cell r="E817">
            <v>8</v>
          </cell>
          <cell r="F817">
            <v>8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8</v>
          </cell>
          <cell r="T817">
            <v>0</v>
          </cell>
        </row>
        <row r="818">
          <cell r="C818" t="str">
            <v>Sumner city, Washington</v>
          </cell>
          <cell r="D818">
            <v>214</v>
          </cell>
          <cell r="E818">
            <v>180</v>
          </cell>
          <cell r="F818">
            <v>95</v>
          </cell>
          <cell r="G818">
            <v>85</v>
          </cell>
          <cell r="H818">
            <v>10</v>
          </cell>
          <cell r="I818">
            <v>11</v>
          </cell>
          <cell r="J818">
            <v>16</v>
          </cell>
          <cell r="K818">
            <v>48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34</v>
          </cell>
          <cell r="Q818">
            <v>0</v>
          </cell>
          <cell r="R818">
            <v>34</v>
          </cell>
          <cell r="S818">
            <v>180</v>
          </cell>
          <cell r="T818">
            <v>34</v>
          </cell>
        </row>
        <row r="819">
          <cell r="C819" t="str">
            <v>Sunnyside city, Washington</v>
          </cell>
          <cell r="D819">
            <v>2459</v>
          </cell>
          <cell r="E819">
            <v>1233</v>
          </cell>
          <cell r="F819">
            <v>859</v>
          </cell>
          <cell r="G819">
            <v>346</v>
          </cell>
          <cell r="H819">
            <v>0</v>
          </cell>
          <cell r="I819">
            <v>0</v>
          </cell>
          <cell r="J819">
            <v>159</v>
          </cell>
          <cell r="K819">
            <v>187</v>
          </cell>
          <cell r="L819">
            <v>28</v>
          </cell>
          <cell r="M819">
            <v>0</v>
          </cell>
          <cell r="N819">
            <v>0</v>
          </cell>
          <cell r="O819">
            <v>28</v>
          </cell>
          <cell r="P819">
            <v>1226</v>
          </cell>
          <cell r="Q819">
            <v>295</v>
          </cell>
          <cell r="R819">
            <v>931</v>
          </cell>
          <cell r="S819">
            <v>1205</v>
          </cell>
          <cell r="T819">
            <v>1254</v>
          </cell>
        </row>
        <row r="820">
          <cell r="C820" t="str">
            <v>Sunnyslope CDP, Washington</v>
          </cell>
          <cell r="D820">
            <v>117</v>
          </cell>
          <cell r="E820">
            <v>61</v>
          </cell>
          <cell r="F820">
            <v>35</v>
          </cell>
          <cell r="G820">
            <v>26</v>
          </cell>
          <cell r="H820">
            <v>0</v>
          </cell>
          <cell r="I820">
            <v>0</v>
          </cell>
          <cell r="J820">
            <v>17</v>
          </cell>
          <cell r="K820">
            <v>9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56</v>
          </cell>
          <cell r="Q820">
            <v>12</v>
          </cell>
          <cell r="R820">
            <v>44</v>
          </cell>
          <cell r="S820">
            <v>61</v>
          </cell>
          <cell r="T820">
            <v>56</v>
          </cell>
        </row>
        <row r="821">
          <cell r="C821" t="str">
            <v>Suquamish CDP, Washington</v>
          </cell>
          <cell r="D821">
            <v>45</v>
          </cell>
          <cell r="E821">
            <v>40</v>
          </cell>
          <cell r="F821">
            <v>30</v>
          </cell>
          <cell r="G821">
            <v>10</v>
          </cell>
          <cell r="H821">
            <v>4</v>
          </cell>
          <cell r="I821">
            <v>0</v>
          </cell>
          <cell r="J821">
            <v>0</v>
          </cell>
          <cell r="K821">
            <v>6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5</v>
          </cell>
          <cell r="Q821">
            <v>2</v>
          </cell>
          <cell r="R821">
            <v>3</v>
          </cell>
          <cell r="S821">
            <v>40</v>
          </cell>
          <cell r="T821">
            <v>5</v>
          </cell>
        </row>
        <row r="822">
          <cell r="C822" t="str">
            <v>Tacoma city, Washington</v>
          </cell>
          <cell r="D822">
            <v>5263</v>
          </cell>
          <cell r="E822">
            <v>3622</v>
          </cell>
          <cell r="F822">
            <v>1846</v>
          </cell>
          <cell r="G822">
            <v>1566</v>
          </cell>
          <cell r="H822">
            <v>96</v>
          </cell>
          <cell r="I822">
            <v>100</v>
          </cell>
          <cell r="J822">
            <v>306</v>
          </cell>
          <cell r="K822">
            <v>1064</v>
          </cell>
          <cell r="L822">
            <v>210</v>
          </cell>
          <cell r="M822">
            <v>130</v>
          </cell>
          <cell r="N822">
            <v>0</v>
          </cell>
          <cell r="O822">
            <v>80</v>
          </cell>
          <cell r="P822">
            <v>1641</v>
          </cell>
          <cell r="Q822">
            <v>418</v>
          </cell>
          <cell r="R822">
            <v>1223</v>
          </cell>
          <cell r="S822">
            <v>3412</v>
          </cell>
          <cell r="T822">
            <v>1851</v>
          </cell>
        </row>
        <row r="823">
          <cell r="C823" t="str">
            <v>Taholah CDP, Washington</v>
          </cell>
          <cell r="D823">
            <v>3</v>
          </cell>
          <cell r="E823">
            <v>3</v>
          </cell>
          <cell r="F823">
            <v>3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</v>
          </cell>
          <cell r="T823">
            <v>0</v>
          </cell>
        </row>
        <row r="824">
          <cell r="C824" t="str">
            <v>Tanglewilde-Thompson Place CDP, Washington</v>
          </cell>
          <cell r="D824">
            <v>292</v>
          </cell>
          <cell r="E824">
            <v>227</v>
          </cell>
          <cell r="F824">
            <v>122</v>
          </cell>
          <cell r="G824">
            <v>60</v>
          </cell>
          <cell r="H824">
            <v>20</v>
          </cell>
          <cell r="I824">
            <v>0</v>
          </cell>
          <cell r="J824">
            <v>0</v>
          </cell>
          <cell r="K824">
            <v>40</v>
          </cell>
          <cell r="L824">
            <v>45</v>
          </cell>
          <cell r="M824">
            <v>34</v>
          </cell>
          <cell r="N824">
            <v>0</v>
          </cell>
          <cell r="O824">
            <v>11</v>
          </cell>
          <cell r="P824">
            <v>65</v>
          </cell>
          <cell r="Q824">
            <v>26</v>
          </cell>
          <cell r="R824">
            <v>39</v>
          </cell>
          <cell r="S824">
            <v>182</v>
          </cell>
          <cell r="T824">
            <v>110</v>
          </cell>
        </row>
        <row r="825">
          <cell r="C825" t="str">
            <v>Tanner CDP, Washington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</row>
        <row r="826">
          <cell r="C826" t="str">
            <v>Tekoa city, Washington</v>
          </cell>
          <cell r="D826">
            <v>16</v>
          </cell>
          <cell r="E826">
            <v>11</v>
          </cell>
          <cell r="F826">
            <v>9</v>
          </cell>
          <cell r="G826">
            <v>2</v>
          </cell>
          <cell r="H826">
            <v>0</v>
          </cell>
          <cell r="I826">
            <v>2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5</v>
          </cell>
          <cell r="Q826">
            <v>2</v>
          </cell>
          <cell r="R826">
            <v>3</v>
          </cell>
          <cell r="S826">
            <v>11</v>
          </cell>
          <cell r="T826">
            <v>5</v>
          </cell>
        </row>
        <row r="827">
          <cell r="C827" t="str">
            <v>Tenino city, Washington</v>
          </cell>
          <cell r="D827">
            <v>25</v>
          </cell>
          <cell r="E827">
            <v>15</v>
          </cell>
          <cell r="F827">
            <v>11</v>
          </cell>
          <cell r="G827">
            <v>4</v>
          </cell>
          <cell r="H827">
            <v>0</v>
          </cell>
          <cell r="I827">
            <v>0</v>
          </cell>
          <cell r="J827">
            <v>0</v>
          </cell>
          <cell r="K827">
            <v>4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10</v>
          </cell>
          <cell r="Q827">
            <v>1</v>
          </cell>
          <cell r="R827">
            <v>9</v>
          </cell>
          <cell r="S827">
            <v>15</v>
          </cell>
          <cell r="T827">
            <v>10</v>
          </cell>
        </row>
        <row r="828">
          <cell r="C828" t="str">
            <v>Terrace Heights CDP, Washington</v>
          </cell>
          <cell r="D828">
            <v>224</v>
          </cell>
          <cell r="E828">
            <v>158</v>
          </cell>
          <cell r="F828">
            <v>95</v>
          </cell>
          <cell r="G828">
            <v>63</v>
          </cell>
          <cell r="H828">
            <v>0</v>
          </cell>
          <cell r="I828">
            <v>11</v>
          </cell>
          <cell r="J828">
            <v>0</v>
          </cell>
          <cell r="K828">
            <v>52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66</v>
          </cell>
          <cell r="Q828">
            <v>6</v>
          </cell>
          <cell r="R828">
            <v>60</v>
          </cell>
          <cell r="S828">
            <v>158</v>
          </cell>
          <cell r="T828">
            <v>66</v>
          </cell>
        </row>
        <row r="829">
          <cell r="C829" t="str">
            <v>Thorp CDP, Washington</v>
          </cell>
          <cell r="D829">
            <v>4</v>
          </cell>
          <cell r="E829">
            <v>2</v>
          </cell>
          <cell r="F829">
            <v>2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2</v>
          </cell>
          <cell r="Q829">
            <v>2</v>
          </cell>
          <cell r="R829">
            <v>0</v>
          </cell>
          <cell r="S829">
            <v>2</v>
          </cell>
          <cell r="T829">
            <v>2</v>
          </cell>
        </row>
        <row r="830">
          <cell r="C830" t="str">
            <v>Three Lakes CDP, Washington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</row>
        <row r="831">
          <cell r="C831" t="str">
            <v>Tieton town, Washington</v>
          </cell>
          <cell r="D831">
            <v>70</v>
          </cell>
          <cell r="E831">
            <v>13</v>
          </cell>
          <cell r="F831">
            <v>11</v>
          </cell>
          <cell r="G831">
            <v>2</v>
          </cell>
          <cell r="H831">
            <v>0</v>
          </cell>
          <cell r="I831">
            <v>0</v>
          </cell>
          <cell r="J831">
            <v>0</v>
          </cell>
          <cell r="K831">
            <v>2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57</v>
          </cell>
          <cell r="Q831">
            <v>7</v>
          </cell>
          <cell r="R831">
            <v>50</v>
          </cell>
          <cell r="S831">
            <v>13</v>
          </cell>
          <cell r="T831">
            <v>57</v>
          </cell>
        </row>
        <row r="832">
          <cell r="C832" t="str">
            <v>Tokeland CDP, Washington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</row>
        <row r="833">
          <cell r="C833" t="str">
            <v>Toledo city, Washington</v>
          </cell>
          <cell r="D833">
            <v>9</v>
          </cell>
          <cell r="E833">
            <v>3</v>
          </cell>
          <cell r="F833">
            <v>3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6</v>
          </cell>
          <cell r="Q833">
            <v>0</v>
          </cell>
          <cell r="R833">
            <v>6</v>
          </cell>
          <cell r="S833">
            <v>3</v>
          </cell>
          <cell r="T833">
            <v>6</v>
          </cell>
        </row>
        <row r="834">
          <cell r="C834" t="str">
            <v>Tonasket city, Washington</v>
          </cell>
          <cell r="D834">
            <v>7</v>
          </cell>
          <cell r="E834">
            <v>3</v>
          </cell>
          <cell r="F834">
            <v>3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4</v>
          </cell>
          <cell r="Q834">
            <v>0</v>
          </cell>
          <cell r="R834">
            <v>4</v>
          </cell>
          <cell r="S834">
            <v>3</v>
          </cell>
          <cell r="T834">
            <v>4</v>
          </cell>
        </row>
        <row r="835">
          <cell r="C835" t="str">
            <v>Toppenish city, Washington</v>
          </cell>
          <cell r="D835">
            <v>1395</v>
          </cell>
          <cell r="E835">
            <v>852</v>
          </cell>
          <cell r="F835">
            <v>632</v>
          </cell>
          <cell r="G835">
            <v>213</v>
          </cell>
          <cell r="H835">
            <v>0</v>
          </cell>
          <cell r="I835">
            <v>10</v>
          </cell>
          <cell r="J835">
            <v>117</v>
          </cell>
          <cell r="K835">
            <v>86</v>
          </cell>
          <cell r="L835">
            <v>7</v>
          </cell>
          <cell r="M835">
            <v>0</v>
          </cell>
          <cell r="N835">
            <v>0</v>
          </cell>
          <cell r="O835">
            <v>7</v>
          </cell>
          <cell r="P835">
            <v>543</v>
          </cell>
          <cell r="Q835">
            <v>142</v>
          </cell>
          <cell r="R835">
            <v>401</v>
          </cell>
          <cell r="S835">
            <v>845</v>
          </cell>
          <cell r="T835">
            <v>550</v>
          </cell>
        </row>
        <row r="836">
          <cell r="C836" t="str">
            <v>Touchet CDP, Washington</v>
          </cell>
          <cell r="D836">
            <v>46</v>
          </cell>
          <cell r="E836">
            <v>31</v>
          </cell>
          <cell r="F836">
            <v>28</v>
          </cell>
          <cell r="G836">
            <v>3</v>
          </cell>
          <cell r="H836">
            <v>0</v>
          </cell>
          <cell r="I836">
            <v>0</v>
          </cell>
          <cell r="J836">
            <v>3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15</v>
          </cell>
          <cell r="Q836">
            <v>5</v>
          </cell>
          <cell r="R836">
            <v>10</v>
          </cell>
          <cell r="S836">
            <v>31</v>
          </cell>
          <cell r="T836">
            <v>15</v>
          </cell>
        </row>
        <row r="837">
          <cell r="C837" t="str">
            <v>Town and Country CDP, Washington</v>
          </cell>
          <cell r="D837">
            <v>51</v>
          </cell>
          <cell r="E837">
            <v>37</v>
          </cell>
          <cell r="F837">
            <v>19</v>
          </cell>
          <cell r="G837">
            <v>18</v>
          </cell>
          <cell r="H837">
            <v>0</v>
          </cell>
          <cell r="I837">
            <v>4</v>
          </cell>
          <cell r="J837">
            <v>0</v>
          </cell>
          <cell r="K837">
            <v>14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14</v>
          </cell>
          <cell r="Q837">
            <v>9</v>
          </cell>
          <cell r="R837">
            <v>5</v>
          </cell>
          <cell r="S837">
            <v>37</v>
          </cell>
          <cell r="T837">
            <v>14</v>
          </cell>
        </row>
        <row r="838">
          <cell r="C838" t="str">
            <v>Tracyton CDP, Washington</v>
          </cell>
          <cell r="D838">
            <v>20</v>
          </cell>
          <cell r="E838">
            <v>20</v>
          </cell>
          <cell r="F838">
            <v>10</v>
          </cell>
          <cell r="G838">
            <v>10</v>
          </cell>
          <cell r="H838">
            <v>0</v>
          </cell>
          <cell r="I838">
            <v>0</v>
          </cell>
          <cell r="J838">
            <v>0</v>
          </cell>
          <cell r="K838">
            <v>10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20</v>
          </cell>
          <cell r="T838">
            <v>0</v>
          </cell>
        </row>
        <row r="839">
          <cell r="C839" t="str">
            <v>Trentwood CDP, Washington</v>
          </cell>
          <cell r="D839">
            <v>108</v>
          </cell>
          <cell r="E839">
            <v>101</v>
          </cell>
          <cell r="F839">
            <v>47</v>
          </cell>
          <cell r="G839">
            <v>49</v>
          </cell>
          <cell r="H839">
            <v>0</v>
          </cell>
          <cell r="I839">
            <v>18</v>
          </cell>
          <cell r="J839">
            <v>10</v>
          </cell>
          <cell r="K839">
            <v>21</v>
          </cell>
          <cell r="L839">
            <v>5</v>
          </cell>
          <cell r="M839">
            <v>5</v>
          </cell>
          <cell r="N839">
            <v>0</v>
          </cell>
          <cell r="O839">
            <v>0</v>
          </cell>
          <cell r="P839">
            <v>7</v>
          </cell>
          <cell r="Q839">
            <v>0</v>
          </cell>
          <cell r="R839">
            <v>7</v>
          </cell>
          <cell r="S839">
            <v>96</v>
          </cell>
          <cell r="T839">
            <v>12</v>
          </cell>
        </row>
        <row r="840">
          <cell r="C840" t="str">
            <v>Trout Lake CDP, Washington</v>
          </cell>
          <cell r="D840">
            <v>36</v>
          </cell>
          <cell r="E840">
            <v>36</v>
          </cell>
          <cell r="F840">
            <v>0</v>
          </cell>
          <cell r="G840">
            <v>36</v>
          </cell>
          <cell r="H840">
            <v>7</v>
          </cell>
          <cell r="I840">
            <v>0</v>
          </cell>
          <cell r="J840">
            <v>6</v>
          </cell>
          <cell r="K840">
            <v>23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36</v>
          </cell>
          <cell r="T840">
            <v>0</v>
          </cell>
        </row>
        <row r="841">
          <cell r="C841" t="str">
            <v>Tukwila city, Washington</v>
          </cell>
          <cell r="D841">
            <v>820</v>
          </cell>
          <cell r="E841">
            <v>427</v>
          </cell>
          <cell r="F841">
            <v>147</v>
          </cell>
          <cell r="G841">
            <v>273</v>
          </cell>
          <cell r="H841">
            <v>37</v>
          </cell>
          <cell r="I841">
            <v>60</v>
          </cell>
          <cell r="J841">
            <v>48</v>
          </cell>
          <cell r="K841">
            <v>128</v>
          </cell>
          <cell r="L841">
            <v>7</v>
          </cell>
          <cell r="M841">
            <v>0</v>
          </cell>
          <cell r="N841">
            <v>0</v>
          </cell>
          <cell r="O841">
            <v>7</v>
          </cell>
          <cell r="P841">
            <v>393</v>
          </cell>
          <cell r="Q841">
            <v>88</v>
          </cell>
          <cell r="R841">
            <v>305</v>
          </cell>
          <cell r="S841">
            <v>420</v>
          </cell>
          <cell r="T841">
            <v>400</v>
          </cell>
        </row>
        <row r="842">
          <cell r="C842" t="str">
            <v>Tulalip Bay CDP, Washington</v>
          </cell>
          <cell r="D842">
            <v>51</v>
          </cell>
          <cell r="E842">
            <v>39</v>
          </cell>
          <cell r="F842">
            <v>23</v>
          </cell>
          <cell r="G842">
            <v>16</v>
          </cell>
          <cell r="H842">
            <v>0</v>
          </cell>
          <cell r="I842">
            <v>0</v>
          </cell>
          <cell r="J842">
            <v>5</v>
          </cell>
          <cell r="K842">
            <v>11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12</v>
          </cell>
          <cell r="Q842">
            <v>5</v>
          </cell>
          <cell r="R842">
            <v>7</v>
          </cell>
          <cell r="S842">
            <v>39</v>
          </cell>
          <cell r="T842">
            <v>12</v>
          </cell>
        </row>
        <row r="843">
          <cell r="C843" t="str">
            <v>Tumwater city, Washington</v>
          </cell>
          <cell r="D843">
            <v>216</v>
          </cell>
          <cell r="E843">
            <v>147</v>
          </cell>
          <cell r="F843">
            <v>62</v>
          </cell>
          <cell r="G843">
            <v>77</v>
          </cell>
          <cell r="H843">
            <v>9</v>
          </cell>
          <cell r="I843">
            <v>0</v>
          </cell>
          <cell r="J843">
            <v>7</v>
          </cell>
          <cell r="K843">
            <v>61</v>
          </cell>
          <cell r="L843">
            <v>8</v>
          </cell>
          <cell r="M843">
            <v>0</v>
          </cell>
          <cell r="N843">
            <v>0</v>
          </cell>
          <cell r="O843">
            <v>8</v>
          </cell>
          <cell r="P843">
            <v>69</v>
          </cell>
          <cell r="Q843">
            <v>9</v>
          </cell>
          <cell r="R843">
            <v>60</v>
          </cell>
          <cell r="S843">
            <v>139</v>
          </cell>
          <cell r="T843">
            <v>77</v>
          </cell>
        </row>
        <row r="844">
          <cell r="C844" t="str">
            <v>Twisp town, Washington</v>
          </cell>
          <cell r="D844">
            <v>20</v>
          </cell>
          <cell r="E844">
            <v>9</v>
          </cell>
          <cell r="F844">
            <v>7</v>
          </cell>
          <cell r="G844">
            <v>2</v>
          </cell>
          <cell r="H844">
            <v>0</v>
          </cell>
          <cell r="I844">
            <v>0</v>
          </cell>
          <cell r="J844">
            <v>0</v>
          </cell>
          <cell r="K844">
            <v>2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11</v>
          </cell>
          <cell r="Q844">
            <v>1</v>
          </cell>
          <cell r="R844">
            <v>10</v>
          </cell>
          <cell r="S844">
            <v>9</v>
          </cell>
          <cell r="T844">
            <v>11</v>
          </cell>
        </row>
        <row r="845">
          <cell r="C845" t="str">
            <v>Union Gap city, Washington</v>
          </cell>
          <cell r="D845">
            <v>408</v>
          </cell>
          <cell r="E845">
            <v>257</v>
          </cell>
          <cell r="F845">
            <v>149</v>
          </cell>
          <cell r="G845">
            <v>108</v>
          </cell>
          <cell r="H845">
            <v>0</v>
          </cell>
          <cell r="I845">
            <v>20</v>
          </cell>
          <cell r="J845">
            <v>31</v>
          </cell>
          <cell r="K845">
            <v>57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151</v>
          </cell>
          <cell r="Q845">
            <v>0</v>
          </cell>
          <cell r="R845">
            <v>151</v>
          </cell>
          <cell r="S845">
            <v>257</v>
          </cell>
          <cell r="T845">
            <v>151</v>
          </cell>
        </row>
        <row r="846">
          <cell r="C846" t="str">
            <v>Union Hill-Novelty Hill CDP, Washington</v>
          </cell>
          <cell r="D846">
            <v>153</v>
          </cell>
          <cell r="E846">
            <v>112</v>
          </cell>
          <cell r="F846">
            <v>13</v>
          </cell>
          <cell r="G846">
            <v>91</v>
          </cell>
          <cell r="H846">
            <v>23</v>
          </cell>
          <cell r="I846">
            <v>0</v>
          </cell>
          <cell r="J846">
            <v>0</v>
          </cell>
          <cell r="K846">
            <v>68</v>
          </cell>
          <cell r="L846">
            <v>8</v>
          </cell>
          <cell r="M846">
            <v>0</v>
          </cell>
          <cell r="N846">
            <v>0</v>
          </cell>
          <cell r="O846">
            <v>8</v>
          </cell>
          <cell r="P846">
            <v>41</v>
          </cell>
          <cell r="Q846">
            <v>6</v>
          </cell>
          <cell r="R846">
            <v>35</v>
          </cell>
          <cell r="S846">
            <v>104</v>
          </cell>
          <cell r="T846">
            <v>49</v>
          </cell>
        </row>
        <row r="847">
          <cell r="C847" t="str">
            <v>Uniontown town, Washington</v>
          </cell>
          <cell r="D847">
            <v>2</v>
          </cell>
          <cell r="E847">
            <v>2</v>
          </cell>
          <cell r="F847">
            <v>0</v>
          </cell>
          <cell r="G847">
            <v>2</v>
          </cell>
          <cell r="H847">
            <v>0</v>
          </cell>
          <cell r="I847">
            <v>2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2</v>
          </cell>
          <cell r="T847">
            <v>0</v>
          </cell>
        </row>
        <row r="848">
          <cell r="C848" t="str">
            <v>University Place city, Washington</v>
          </cell>
          <cell r="D848">
            <v>487</v>
          </cell>
          <cell r="E848">
            <v>419</v>
          </cell>
          <cell r="F848">
            <v>212</v>
          </cell>
          <cell r="G848">
            <v>179</v>
          </cell>
          <cell r="H848">
            <v>9</v>
          </cell>
          <cell r="I848">
            <v>23</v>
          </cell>
          <cell r="J848">
            <v>57</v>
          </cell>
          <cell r="K848">
            <v>90</v>
          </cell>
          <cell r="L848">
            <v>28</v>
          </cell>
          <cell r="M848">
            <v>8</v>
          </cell>
          <cell r="N848">
            <v>0</v>
          </cell>
          <cell r="O848">
            <v>20</v>
          </cell>
          <cell r="P848">
            <v>68</v>
          </cell>
          <cell r="Q848">
            <v>29</v>
          </cell>
          <cell r="R848">
            <v>39</v>
          </cell>
          <cell r="S848">
            <v>391</v>
          </cell>
          <cell r="T848">
            <v>96</v>
          </cell>
        </row>
        <row r="849">
          <cell r="C849" t="str">
            <v>Vader city, Washington</v>
          </cell>
          <cell r="D849">
            <v>41</v>
          </cell>
          <cell r="E849">
            <v>24</v>
          </cell>
          <cell r="F849">
            <v>23</v>
          </cell>
          <cell r="G849">
            <v>1</v>
          </cell>
          <cell r="H849">
            <v>0</v>
          </cell>
          <cell r="I849">
            <v>0</v>
          </cell>
          <cell r="J849">
            <v>0</v>
          </cell>
          <cell r="K849">
            <v>1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17</v>
          </cell>
          <cell r="Q849">
            <v>5</v>
          </cell>
          <cell r="R849">
            <v>12</v>
          </cell>
          <cell r="S849">
            <v>24</v>
          </cell>
          <cell r="T849">
            <v>17</v>
          </cell>
        </row>
        <row r="850">
          <cell r="C850" t="str">
            <v>Vancouver city, Washington</v>
          </cell>
          <cell r="D850">
            <v>3507</v>
          </cell>
          <cell r="E850">
            <v>2520</v>
          </cell>
          <cell r="F850">
            <v>728</v>
          </cell>
          <cell r="G850">
            <v>1725</v>
          </cell>
          <cell r="H850">
            <v>46</v>
          </cell>
          <cell r="I850">
            <v>51</v>
          </cell>
          <cell r="J850">
            <v>220</v>
          </cell>
          <cell r="K850">
            <v>1408</v>
          </cell>
          <cell r="L850">
            <v>67</v>
          </cell>
          <cell r="M850">
            <v>18</v>
          </cell>
          <cell r="N850">
            <v>0</v>
          </cell>
          <cell r="O850">
            <v>49</v>
          </cell>
          <cell r="P850">
            <v>987</v>
          </cell>
          <cell r="Q850">
            <v>211</v>
          </cell>
          <cell r="R850">
            <v>776</v>
          </cell>
          <cell r="S850">
            <v>2453</v>
          </cell>
          <cell r="T850">
            <v>1054</v>
          </cell>
        </row>
        <row r="851">
          <cell r="C851" t="str">
            <v>Vantage CDP, Washington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</row>
        <row r="852">
          <cell r="C852" t="str">
            <v>Vashon CDP, Washington</v>
          </cell>
          <cell r="D852">
            <v>116</v>
          </cell>
          <cell r="E852">
            <v>105</v>
          </cell>
          <cell r="F852">
            <v>63</v>
          </cell>
          <cell r="G852">
            <v>42</v>
          </cell>
          <cell r="H852">
            <v>0</v>
          </cell>
          <cell r="I852">
            <v>14</v>
          </cell>
          <cell r="J852">
            <v>14</v>
          </cell>
          <cell r="K852">
            <v>14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11</v>
          </cell>
          <cell r="Q852">
            <v>0</v>
          </cell>
          <cell r="R852">
            <v>11</v>
          </cell>
          <cell r="S852">
            <v>105</v>
          </cell>
          <cell r="T852">
            <v>11</v>
          </cell>
        </row>
        <row r="853">
          <cell r="C853" t="str">
            <v>Venersborg CDP, Washington</v>
          </cell>
          <cell r="D853">
            <v>34</v>
          </cell>
          <cell r="E853">
            <v>15</v>
          </cell>
          <cell r="F853">
            <v>0</v>
          </cell>
          <cell r="G853">
            <v>15</v>
          </cell>
          <cell r="H853">
            <v>0</v>
          </cell>
          <cell r="I853">
            <v>0</v>
          </cell>
          <cell r="J853">
            <v>0</v>
          </cell>
          <cell r="K853">
            <v>15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19</v>
          </cell>
          <cell r="Q853">
            <v>0</v>
          </cell>
          <cell r="R853">
            <v>19</v>
          </cell>
          <cell r="S853">
            <v>15</v>
          </cell>
          <cell r="T853">
            <v>19</v>
          </cell>
        </row>
        <row r="854">
          <cell r="C854" t="str">
            <v>Veradale CDP, Washington</v>
          </cell>
          <cell r="D854">
            <v>61</v>
          </cell>
          <cell r="E854">
            <v>11</v>
          </cell>
          <cell r="F854">
            <v>9</v>
          </cell>
          <cell r="G854">
            <v>2</v>
          </cell>
          <cell r="H854">
            <v>0</v>
          </cell>
          <cell r="I854">
            <v>2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50</v>
          </cell>
          <cell r="Q854">
            <v>9</v>
          </cell>
          <cell r="R854">
            <v>41</v>
          </cell>
          <cell r="S854">
            <v>11</v>
          </cell>
          <cell r="T854">
            <v>50</v>
          </cell>
        </row>
        <row r="855">
          <cell r="C855" t="str">
            <v>Verlot CDP, Washington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</row>
        <row r="856">
          <cell r="C856" t="str">
            <v>Waitsburg city, Washington</v>
          </cell>
          <cell r="D856">
            <v>8</v>
          </cell>
          <cell r="E856">
            <v>8</v>
          </cell>
          <cell r="F856">
            <v>2</v>
          </cell>
          <cell r="G856">
            <v>6</v>
          </cell>
          <cell r="H856">
            <v>0</v>
          </cell>
          <cell r="I856">
            <v>0</v>
          </cell>
          <cell r="J856">
            <v>0</v>
          </cell>
          <cell r="K856">
            <v>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8</v>
          </cell>
          <cell r="T856">
            <v>0</v>
          </cell>
        </row>
        <row r="857">
          <cell r="C857" t="str">
            <v>Walla Walla city, Washington</v>
          </cell>
          <cell r="D857">
            <v>2560</v>
          </cell>
          <cell r="E857">
            <v>1612</v>
          </cell>
          <cell r="F857">
            <v>1003</v>
          </cell>
          <cell r="G857">
            <v>609</v>
          </cell>
          <cell r="H857">
            <v>31</v>
          </cell>
          <cell r="I857">
            <v>21</v>
          </cell>
          <cell r="J857">
            <v>186</v>
          </cell>
          <cell r="K857">
            <v>371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948</v>
          </cell>
          <cell r="Q857">
            <v>246</v>
          </cell>
          <cell r="R857">
            <v>702</v>
          </cell>
          <cell r="S857">
            <v>1612</v>
          </cell>
          <cell r="T857">
            <v>948</v>
          </cell>
        </row>
        <row r="858">
          <cell r="C858" t="str">
            <v>Walla Walla East CDP, Washington</v>
          </cell>
          <cell r="D858">
            <v>21</v>
          </cell>
          <cell r="E858">
            <v>11</v>
          </cell>
          <cell r="F858">
            <v>7</v>
          </cell>
          <cell r="G858">
            <v>4</v>
          </cell>
          <cell r="H858">
            <v>0</v>
          </cell>
          <cell r="I858">
            <v>0</v>
          </cell>
          <cell r="J858">
            <v>4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10</v>
          </cell>
          <cell r="Q858">
            <v>5</v>
          </cell>
          <cell r="R858">
            <v>5</v>
          </cell>
          <cell r="S858">
            <v>11</v>
          </cell>
          <cell r="T858">
            <v>10</v>
          </cell>
        </row>
        <row r="859">
          <cell r="C859" t="str">
            <v>Waller CDP, Washington</v>
          </cell>
          <cell r="D859">
            <v>124</v>
          </cell>
          <cell r="E859">
            <v>102</v>
          </cell>
          <cell r="F859">
            <v>54</v>
          </cell>
          <cell r="G859">
            <v>39</v>
          </cell>
          <cell r="H859">
            <v>5</v>
          </cell>
          <cell r="I859">
            <v>7</v>
          </cell>
          <cell r="J859">
            <v>5</v>
          </cell>
          <cell r="K859">
            <v>22</v>
          </cell>
          <cell r="L859">
            <v>9</v>
          </cell>
          <cell r="M859">
            <v>2</v>
          </cell>
          <cell r="N859">
            <v>0</v>
          </cell>
          <cell r="O859">
            <v>7</v>
          </cell>
          <cell r="P859">
            <v>22</v>
          </cell>
          <cell r="Q859">
            <v>2</v>
          </cell>
          <cell r="R859">
            <v>20</v>
          </cell>
          <cell r="S859">
            <v>93</v>
          </cell>
          <cell r="T859">
            <v>31</v>
          </cell>
        </row>
        <row r="860">
          <cell r="C860" t="str">
            <v>Wallula CDP, Washington</v>
          </cell>
          <cell r="D860">
            <v>40</v>
          </cell>
          <cell r="E860">
            <v>40</v>
          </cell>
          <cell r="F860">
            <v>19</v>
          </cell>
          <cell r="G860">
            <v>21</v>
          </cell>
          <cell r="H860">
            <v>0</v>
          </cell>
          <cell r="I860">
            <v>0</v>
          </cell>
          <cell r="J860">
            <v>21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40</v>
          </cell>
          <cell r="T860">
            <v>0</v>
          </cell>
        </row>
        <row r="861">
          <cell r="C861" t="str">
            <v>Walnut Grove CDP, Washington</v>
          </cell>
          <cell r="D861">
            <v>113</v>
          </cell>
          <cell r="E861">
            <v>106</v>
          </cell>
          <cell r="F861">
            <v>19</v>
          </cell>
          <cell r="G861">
            <v>87</v>
          </cell>
          <cell r="H861">
            <v>0</v>
          </cell>
          <cell r="I861">
            <v>9</v>
          </cell>
          <cell r="J861">
            <v>21</v>
          </cell>
          <cell r="K861">
            <v>57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</v>
          </cell>
          <cell r="Q861">
            <v>7</v>
          </cell>
          <cell r="R861">
            <v>0</v>
          </cell>
          <cell r="S861">
            <v>106</v>
          </cell>
          <cell r="T861">
            <v>7</v>
          </cell>
        </row>
        <row r="862">
          <cell r="C862" t="str">
            <v>Wapato city, Washington</v>
          </cell>
          <cell r="D862">
            <v>608</v>
          </cell>
          <cell r="E862">
            <v>372</v>
          </cell>
          <cell r="F862">
            <v>287</v>
          </cell>
          <cell r="G862">
            <v>76</v>
          </cell>
          <cell r="H862">
            <v>0</v>
          </cell>
          <cell r="I862">
            <v>0</v>
          </cell>
          <cell r="J862">
            <v>17</v>
          </cell>
          <cell r="K862">
            <v>59</v>
          </cell>
          <cell r="L862">
            <v>9</v>
          </cell>
          <cell r="M862">
            <v>0</v>
          </cell>
          <cell r="N862">
            <v>0</v>
          </cell>
          <cell r="O862">
            <v>9</v>
          </cell>
          <cell r="P862">
            <v>236</v>
          </cell>
          <cell r="Q862">
            <v>54</v>
          </cell>
          <cell r="R862">
            <v>182</v>
          </cell>
          <cell r="S862">
            <v>363</v>
          </cell>
          <cell r="T862">
            <v>245</v>
          </cell>
        </row>
        <row r="863">
          <cell r="C863" t="str">
            <v>Warden city, Washington</v>
          </cell>
          <cell r="D863">
            <v>406</v>
          </cell>
          <cell r="E863">
            <v>272</v>
          </cell>
          <cell r="F863">
            <v>188</v>
          </cell>
          <cell r="G863">
            <v>84</v>
          </cell>
          <cell r="H863">
            <v>0</v>
          </cell>
          <cell r="I863">
            <v>0</v>
          </cell>
          <cell r="J863">
            <v>60</v>
          </cell>
          <cell r="K863">
            <v>24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134</v>
          </cell>
          <cell r="Q863">
            <v>58</v>
          </cell>
          <cell r="R863">
            <v>76</v>
          </cell>
          <cell r="S863">
            <v>272</v>
          </cell>
          <cell r="T863">
            <v>134</v>
          </cell>
        </row>
        <row r="864">
          <cell r="C864" t="str">
            <v>Warm Beach CDP, Washington</v>
          </cell>
          <cell r="D864">
            <v>18</v>
          </cell>
          <cell r="E864">
            <v>18</v>
          </cell>
          <cell r="F864">
            <v>18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18</v>
          </cell>
          <cell r="T864">
            <v>0</v>
          </cell>
        </row>
        <row r="865">
          <cell r="C865" t="str">
            <v>Washougal city, Washington</v>
          </cell>
          <cell r="D865">
            <v>112</v>
          </cell>
          <cell r="E865">
            <v>112</v>
          </cell>
          <cell r="F865">
            <v>20</v>
          </cell>
          <cell r="G865">
            <v>92</v>
          </cell>
          <cell r="H865">
            <v>0</v>
          </cell>
          <cell r="I865">
            <v>0</v>
          </cell>
          <cell r="J865">
            <v>20</v>
          </cell>
          <cell r="K865">
            <v>72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112</v>
          </cell>
          <cell r="T865">
            <v>0</v>
          </cell>
        </row>
        <row r="866">
          <cell r="C866" t="str">
            <v>Washtucna town, Washington</v>
          </cell>
          <cell r="D866">
            <v>5</v>
          </cell>
          <cell r="E866">
            <v>5</v>
          </cell>
          <cell r="F866">
            <v>2</v>
          </cell>
          <cell r="G866">
            <v>3</v>
          </cell>
          <cell r="H866">
            <v>0</v>
          </cell>
          <cell r="I866">
            <v>0</v>
          </cell>
          <cell r="J866">
            <v>3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5</v>
          </cell>
          <cell r="T866">
            <v>0</v>
          </cell>
        </row>
        <row r="867">
          <cell r="C867" t="str">
            <v>Waterville town, Washington</v>
          </cell>
          <cell r="D867">
            <v>29</v>
          </cell>
          <cell r="E867">
            <v>15</v>
          </cell>
          <cell r="F867">
            <v>15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14</v>
          </cell>
          <cell r="Q867">
            <v>6</v>
          </cell>
          <cell r="R867">
            <v>8</v>
          </cell>
          <cell r="S867">
            <v>15</v>
          </cell>
          <cell r="T867">
            <v>14</v>
          </cell>
        </row>
        <row r="868">
          <cell r="C868" t="str">
            <v>Waverly town, Washington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</row>
        <row r="869">
          <cell r="C869" t="str">
            <v>Weallup Lake CDP, Washington</v>
          </cell>
          <cell r="D869">
            <v>35</v>
          </cell>
          <cell r="E869">
            <v>23</v>
          </cell>
          <cell r="F869">
            <v>3</v>
          </cell>
          <cell r="G869">
            <v>19</v>
          </cell>
          <cell r="H869">
            <v>0</v>
          </cell>
          <cell r="I869">
            <v>4</v>
          </cell>
          <cell r="J869">
            <v>6</v>
          </cell>
          <cell r="K869">
            <v>9</v>
          </cell>
          <cell r="L869">
            <v>1</v>
          </cell>
          <cell r="M869">
            <v>1</v>
          </cell>
          <cell r="N869">
            <v>0</v>
          </cell>
          <cell r="O869">
            <v>0</v>
          </cell>
          <cell r="P869">
            <v>12</v>
          </cell>
          <cell r="Q869">
            <v>7</v>
          </cell>
          <cell r="R869">
            <v>5</v>
          </cell>
          <cell r="S869">
            <v>22</v>
          </cell>
          <cell r="T869">
            <v>13</v>
          </cell>
        </row>
        <row r="870">
          <cell r="C870" t="str">
            <v>Wenatchee city, Washington</v>
          </cell>
          <cell r="D870">
            <v>1667</v>
          </cell>
          <cell r="E870">
            <v>820</v>
          </cell>
          <cell r="F870">
            <v>586</v>
          </cell>
          <cell r="G870">
            <v>207</v>
          </cell>
          <cell r="H870">
            <v>14</v>
          </cell>
          <cell r="I870">
            <v>27</v>
          </cell>
          <cell r="J870">
            <v>62</v>
          </cell>
          <cell r="K870">
            <v>104</v>
          </cell>
          <cell r="L870">
            <v>27</v>
          </cell>
          <cell r="M870">
            <v>0</v>
          </cell>
          <cell r="N870">
            <v>0</v>
          </cell>
          <cell r="O870">
            <v>27</v>
          </cell>
          <cell r="P870">
            <v>847</v>
          </cell>
          <cell r="Q870">
            <v>196</v>
          </cell>
          <cell r="R870">
            <v>651</v>
          </cell>
          <cell r="S870">
            <v>793</v>
          </cell>
          <cell r="T870">
            <v>874</v>
          </cell>
        </row>
        <row r="871">
          <cell r="C871" t="str">
            <v>West Clarkston-Highland CDP, Washington</v>
          </cell>
          <cell r="D871">
            <v>61</v>
          </cell>
          <cell r="E871">
            <v>55</v>
          </cell>
          <cell r="F871">
            <v>16</v>
          </cell>
          <cell r="G871">
            <v>39</v>
          </cell>
          <cell r="H871">
            <v>0</v>
          </cell>
          <cell r="I871">
            <v>0</v>
          </cell>
          <cell r="J871">
            <v>0</v>
          </cell>
          <cell r="K871">
            <v>39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6</v>
          </cell>
          <cell r="Q871">
            <v>6</v>
          </cell>
          <cell r="R871">
            <v>0</v>
          </cell>
          <cell r="S871">
            <v>55</v>
          </cell>
          <cell r="T871">
            <v>6</v>
          </cell>
        </row>
        <row r="872">
          <cell r="C872" t="str">
            <v>West Lake Sammamish CDP, Washington</v>
          </cell>
          <cell r="D872">
            <v>63</v>
          </cell>
          <cell r="E872">
            <v>38</v>
          </cell>
          <cell r="F872">
            <v>0</v>
          </cell>
          <cell r="G872">
            <v>34</v>
          </cell>
          <cell r="H872">
            <v>0</v>
          </cell>
          <cell r="I872">
            <v>0</v>
          </cell>
          <cell r="J872">
            <v>0</v>
          </cell>
          <cell r="K872">
            <v>34</v>
          </cell>
          <cell r="L872">
            <v>4</v>
          </cell>
          <cell r="M872">
            <v>4</v>
          </cell>
          <cell r="N872">
            <v>0</v>
          </cell>
          <cell r="O872">
            <v>0</v>
          </cell>
          <cell r="P872">
            <v>25</v>
          </cell>
          <cell r="Q872">
            <v>25</v>
          </cell>
          <cell r="R872">
            <v>0</v>
          </cell>
          <cell r="S872">
            <v>34</v>
          </cell>
          <cell r="T872">
            <v>29</v>
          </cell>
        </row>
        <row r="873">
          <cell r="C873" t="str">
            <v>West Lake Stevens CDP, Washington</v>
          </cell>
          <cell r="D873">
            <v>358</v>
          </cell>
          <cell r="E873">
            <v>303</v>
          </cell>
          <cell r="F873">
            <v>155</v>
          </cell>
          <cell r="G873">
            <v>136</v>
          </cell>
          <cell r="H873">
            <v>10</v>
          </cell>
          <cell r="I873">
            <v>15</v>
          </cell>
          <cell r="J873">
            <v>35</v>
          </cell>
          <cell r="K873">
            <v>76</v>
          </cell>
          <cell r="L873">
            <v>12</v>
          </cell>
          <cell r="M873">
            <v>7</v>
          </cell>
          <cell r="N873">
            <v>0</v>
          </cell>
          <cell r="O873">
            <v>5</v>
          </cell>
          <cell r="P873">
            <v>55</v>
          </cell>
          <cell r="Q873">
            <v>46</v>
          </cell>
          <cell r="R873">
            <v>9</v>
          </cell>
          <cell r="S873">
            <v>291</v>
          </cell>
          <cell r="T873">
            <v>67</v>
          </cell>
        </row>
        <row r="874">
          <cell r="C874" t="str">
            <v>West Longview CDP, Washington</v>
          </cell>
          <cell r="D874">
            <v>76</v>
          </cell>
          <cell r="E874">
            <v>76</v>
          </cell>
          <cell r="F874">
            <v>51</v>
          </cell>
          <cell r="G874">
            <v>25</v>
          </cell>
          <cell r="H874">
            <v>0</v>
          </cell>
          <cell r="I874">
            <v>0</v>
          </cell>
          <cell r="J874">
            <v>6</v>
          </cell>
          <cell r="K874">
            <v>19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76</v>
          </cell>
          <cell r="T874">
            <v>0</v>
          </cell>
        </row>
        <row r="875">
          <cell r="C875" t="str">
            <v>West Pasco CDP, Washington</v>
          </cell>
          <cell r="D875">
            <v>245</v>
          </cell>
          <cell r="E875">
            <v>200</v>
          </cell>
          <cell r="F875">
            <v>126</v>
          </cell>
          <cell r="G875">
            <v>74</v>
          </cell>
          <cell r="H875">
            <v>0</v>
          </cell>
          <cell r="I875">
            <v>6</v>
          </cell>
          <cell r="J875">
            <v>26</v>
          </cell>
          <cell r="K875">
            <v>42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45</v>
          </cell>
          <cell r="Q875">
            <v>34</v>
          </cell>
          <cell r="R875">
            <v>11</v>
          </cell>
          <cell r="S875">
            <v>200</v>
          </cell>
          <cell r="T875">
            <v>45</v>
          </cell>
        </row>
        <row r="876">
          <cell r="C876" t="str">
            <v>Westport city, Washington</v>
          </cell>
          <cell r="D876">
            <v>38</v>
          </cell>
          <cell r="E876">
            <v>19</v>
          </cell>
          <cell r="F876">
            <v>8</v>
          </cell>
          <cell r="G876">
            <v>11</v>
          </cell>
          <cell r="H876">
            <v>0</v>
          </cell>
          <cell r="I876">
            <v>0</v>
          </cell>
          <cell r="J876">
            <v>0</v>
          </cell>
          <cell r="K876">
            <v>11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19</v>
          </cell>
          <cell r="Q876">
            <v>9</v>
          </cell>
          <cell r="R876">
            <v>10</v>
          </cell>
          <cell r="S876">
            <v>19</v>
          </cell>
          <cell r="T876">
            <v>19</v>
          </cell>
        </row>
        <row r="877">
          <cell r="C877" t="str">
            <v>West Richland city, Washington</v>
          </cell>
          <cell r="D877">
            <v>266</v>
          </cell>
          <cell r="E877">
            <v>182</v>
          </cell>
          <cell r="F877">
            <v>122</v>
          </cell>
          <cell r="G877">
            <v>60</v>
          </cell>
          <cell r="H877">
            <v>0</v>
          </cell>
          <cell r="I877">
            <v>0</v>
          </cell>
          <cell r="J877">
            <v>8</v>
          </cell>
          <cell r="K877">
            <v>52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84</v>
          </cell>
          <cell r="Q877">
            <v>38</v>
          </cell>
          <cell r="R877">
            <v>46</v>
          </cell>
          <cell r="S877">
            <v>182</v>
          </cell>
          <cell r="T877">
            <v>84</v>
          </cell>
        </row>
        <row r="878">
          <cell r="C878" t="str">
            <v>West Side Highway CDP, Washington</v>
          </cell>
          <cell r="D878">
            <v>5</v>
          </cell>
          <cell r="E878">
            <v>5</v>
          </cell>
          <cell r="F878">
            <v>0</v>
          </cell>
          <cell r="G878">
            <v>5</v>
          </cell>
          <cell r="H878">
            <v>0</v>
          </cell>
          <cell r="I878">
            <v>0</v>
          </cell>
          <cell r="J878">
            <v>0</v>
          </cell>
          <cell r="K878">
            <v>5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5</v>
          </cell>
          <cell r="T878">
            <v>0</v>
          </cell>
        </row>
        <row r="879">
          <cell r="C879" t="str">
            <v>West Valley CDP, Washington</v>
          </cell>
          <cell r="D879">
            <v>366</v>
          </cell>
          <cell r="E879">
            <v>347</v>
          </cell>
          <cell r="F879">
            <v>229</v>
          </cell>
          <cell r="G879">
            <v>79</v>
          </cell>
          <cell r="H879">
            <v>7</v>
          </cell>
          <cell r="I879">
            <v>33</v>
          </cell>
          <cell r="J879">
            <v>0</v>
          </cell>
          <cell r="K879">
            <v>39</v>
          </cell>
          <cell r="L879">
            <v>39</v>
          </cell>
          <cell r="M879">
            <v>13</v>
          </cell>
          <cell r="N879">
            <v>0</v>
          </cell>
          <cell r="O879">
            <v>26</v>
          </cell>
          <cell r="P879">
            <v>19</v>
          </cell>
          <cell r="Q879">
            <v>9</v>
          </cell>
          <cell r="R879">
            <v>10</v>
          </cell>
          <cell r="S879">
            <v>308</v>
          </cell>
          <cell r="T879">
            <v>58</v>
          </cell>
        </row>
        <row r="880">
          <cell r="C880" t="str">
            <v>West Wenatchee CDP, Washington</v>
          </cell>
          <cell r="D880">
            <v>20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20</v>
          </cell>
          <cell r="Q880">
            <v>10</v>
          </cell>
          <cell r="R880">
            <v>10</v>
          </cell>
          <cell r="S880">
            <v>0</v>
          </cell>
          <cell r="T880">
            <v>20</v>
          </cell>
        </row>
        <row r="881">
          <cell r="C881" t="str">
            <v>White Center CDP, Washington</v>
          </cell>
          <cell r="D881">
            <v>829</v>
          </cell>
          <cell r="E881">
            <v>486</v>
          </cell>
          <cell r="F881">
            <v>225</v>
          </cell>
          <cell r="G881">
            <v>199</v>
          </cell>
          <cell r="H881">
            <v>25</v>
          </cell>
          <cell r="I881">
            <v>28</v>
          </cell>
          <cell r="J881">
            <v>28</v>
          </cell>
          <cell r="K881">
            <v>118</v>
          </cell>
          <cell r="L881">
            <v>62</v>
          </cell>
          <cell r="M881">
            <v>48</v>
          </cell>
          <cell r="N881">
            <v>0</v>
          </cell>
          <cell r="O881">
            <v>14</v>
          </cell>
          <cell r="P881">
            <v>343</v>
          </cell>
          <cell r="Q881">
            <v>65</v>
          </cell>
          <cell r="R881">
            <v>278</v>
          </cell>
          <cell r="S881">
            <v>424</v>
          </cell>
          <cell r="T881">
            <v>405</v>
          </cell>
        </row>
        <row r="882">
          <cell r="C882" t="str">
            <v>White Salmon city, Washington</v>
          </cell>
          <cell r="D882">
            <v>48</v>
          </cell>
          <cell r="E882">
            <v>34</v>
          </cell>
          <cell r="F882">
            <v>14</v>
          </cell>
          <cell r="G882">
            <v>20</v>
          </cell>
          <cell r="H882">
            <v>0</v>
          </cell>
          <cell r="I882">
            <v>0</v>
          </cell>
          <cell r="J882">
            <v>0</v>
          </cell>
          <cell r="K882">
            <v>20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14</v>
          </cell>
          <cell r="Q882">
            <v>9</v>
          </cell>
          <cell r="R882">
            <v>5</v>
          </cell>
          <cell r="S882">
            <v>34</v>
          </cell>
          <cell r="T882">
            <v>14</v>
          </cell>
        </row>
        <row r="883">
          <cell r="C883" t="str">
            <v>White Swan CDP, Washington</v>
          </cell>
          <cell r="D883">
            <v>125</v>
          </cell>
          <cell r="E883">
            <v>74</v>
          </cell>
          <cell r="F883">
            <v>58</v>
          </cell>
          <cell r="G883">
            <v>16</v>
          </cell>
          <cell r="H883">
            <v>0</v>
          </cell>
          <cell r="I883">
            <v>0</v>
          </cell>
          <cell r="J883">
            <v>0</v>
          </cell>
          <cell r="K883">
            <v>16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51</v>
          </cell>
          <cell r="Q883">
            <v>0</v>
          </cell>
          <cell r="R883">
            <v>51</v>
          </cell>
          <cell r="S883">
            <v>74</v>
          </cell>
          <cell r="T883">
            <v>51</v>
          </cell>
        </row>
        <row r="884">
          <cell r="C884" t="str">
            <v>Wilbur town, Washington</v>
          </cell>
          <cell r="D884">
            <v>8</v>
          </cell>
          <cell r="E884">
            <v>8</v>
          </cell>
          <cell r="F884">
            <v>0</v>
          </cell>
          <cell r="G884">
            <v>8</v>
          </cell>
          <cell r="H884">
            <v>0</v>
          </cell>
          <cell r="I884">
            <v>0</v>
          </cell>
          <cell r="J884">
            <v>0</v>
          </cell>
          <cell r="K884">
            <v>8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8</v>
          </cell>
          <cell r="T884">
            <v>0</v>
          </cell>
        </row>
        <row r="885">
          <cell r="C885" t="str">
            <v>Wilkeson town, Washington</v>
          </cell>
          <cell r="D885">
            <v>4</v>
          </cell>
          <cell r="E885">
            <v>4</v>
          </cell>
          <cell r="F885">
            <v>0</v>
          </cell>
          <cell r="G885">
            <v>4</v>
          </cell>
          <cell r="H885">
            <v>0</v>
          </cell>
          <cell r="I885">
            <v>0</v>
          </cell>
          <cell r="J885">
            <v>0</v>
          </cell>
          <cell r="K885">
            <v>4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4</v>
          </cell>
          <cell r="T885">
            <v>0</v>
          </cell>
        </row>
        <row r="886">
          <cell r="C886" t="str">
            <v>Wilson Creek town, Washington</v>
          </cell>
          <cell r="D886">
            <v>33</v>
          </cell>
          <cell r="E886">
            <v>33</v>
          </cell>
          <cell r="F886">
            <v>0</v>
          </cell>
          <cell r="G886">
            <v>33</v>
          </cell>
          <cell r="H886">
            <v>0</v>
          </cell>
          <cell r="I886">
            <v>4</v>
          </cell>
          <cell r="J886">
            <v>29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33</v>
          </cell>
          <cell r="T886">
            <v>0</v>
          </cell>
        </row>
        <row r="887">
          <cell r="C887" t="str">
            <v>Winlock city, Washington</v>
          </cell>
          <cell r="D887">
            <v>22</v>
          </cell>
          <cell r="E887">
            <v>17</v>
          </cell>
          <cell r="F887">
            <v>6</v>
          </cell>
          <cell r="G887">
            <v>8</v>
          </cell>
          <cell r="H887">
            <v>0</v>
          </cell>
          <cell r="I887">
            <v>0</v>
          </cell>
          <cell r="J887">
            <v>3</v>
          </cell>
          <cell r="K887">
            <v>5</v>
          </cell>
          <cell r="L887">
            <v>3</v>
          </cell>
          <cell r="M887">
            <v>3</v>
          </cell>
          <cell r="N887">
            <v>0</v>
          </cell>
          <cell r="O887">
            <v>0</v>
          </cell>
          <cell r="P887">
            <v>5</v>
          </cell>
          <cell r="Q887">
            <v>3</v>
          </cell>
          <cell r="R887">
            <v>2</v>
          </cell>
          <cell r="S887">
            <v>14</v>
          </cell>
          <cell r="T887">
            <v>8</v>
          </cell>
        </row>
        <row r="888">
          <cell r="C888" t="str">
            <v>Winthrop town, Washington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</row>
        <row r="889">
          <cell r="C889" t="str">
            <v>Wishram CDP, Washington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</row>
        <row r="890">
          <cell r="C890" t="str">
            <v>Woodinville city, Washington</v>
          </cell>
          <cell r="D890">
            <v>285</v>
          </cell>
          <cell r="E890">
            <v>120</v>
          </cell>
          <cell r="F890">
            <v>81</v>
          </cell>
          <cell r="G890">
            <v>39</v>
          </cell>
          <cell r="H890">
            <v>0</v>
          </cell>
          <cell r="I890">
            <v>0</v>
          </cell>
          <cell r="J890">
            <v>0</v>
          </cell>
          <cell r="K890">
            <v>39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165</v>
          </cell>
          <cell r="Q890">
            <v>23</v>
          </cell>
          <cell r="R890">
            <v>142</v>
          </cell>
          <cell r="S890">
            <v>120</v>
          </cell>
          <cell r="T890">
            <v>165</v>
          </cell>
        </row>
        <row r="891">
          <cell r="C891" t="str">
            <v>Woodland city, Washington</v>
          </cell>
          <cell r="D891">
            <v>134</v>
          </cell>
          <cell r="E891">
            <v>80</v>
          </cell>
          <cell r="F891">
            <v>46</v>
          </cell>
          <cell r="G891">
            <v>34</v>
          </cell>
          <cell r="H891">
            <v>0</v>
          </cell>
          <cell r="I891">
            <v>0</v>
          </cell>
          <cell r="J891">
            <v>0</v>
          </cell>
          <cell r="K891">
            <v>34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54</v>
          </cell>
          <cell r="Q891">
            <v>15</v>
          </cell>
          <cell r="R891">
            <v>39</v>
          </cell>
          <cell r="S891">
            <v>80</v>
          </cell>
          <cell r="T891">
            <v>54</v>
          </cell>
        </row>
        <row r="892">
          <cell r="C892" t="str">
            <v>Woods Creek CDP, Washington</v>
          </cell>
          <cell r="D892">
            <v>146</v>
          </cell>
          <cell r="E892">
            <v>129</v>
          </cell>
          <cell r="F892">
            <v>60</v>
          </cell>
          <cell r="G892">
            <v>69</v>
          </cell>
          <cell r="H892">
            <v>0</v>
          </cell>
          <cell r="I892">
            <v>0</v>
          </cell>
          <cell r="J892">
            <v>12</v>
          </cell>
          <cell r="K892">
            <v>57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17</v>
          </cell>
          <cell r="Q892">
            <v>13</v>
          </cell>
          <cell r="R892">
            <v>4</v>
          </cell>
          <cell r="S892">
            <v>129</v>
          </cell>
          <cell r="T892">
            <v>17</v>
          </cell>
        </row>
        <row r="893">
          <cell r="C893" t="str">
            <v>Woodway city, Washington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</row>
        <row r="894">
          <cell r="C894" t="str">
            <v>Yacolt town, Washington</v>
          </cell>
          <cell r="D894">
            <v>11</v>
          </cell>
          <cell r="E894">
            <v>11</v>
          </cell>
          <cell r="F894">
            <v>0</v>
          </cell>
          <cell r="G894">
            <v>10</v>
          </cell>
          <cell r="H894">
            <v>0</v>
          </cell>
          <cell r="I894">
            <v>0</v>
          </cell>
          <cell r="J894">
            <v>2</v>
          </cell>
          <cell r="K894">
            <v>8</v>
          </cell>
          <cell r="L894">
            <v>1</v>
          </cell>
          <cell r="M894">
            <v>0</v>
          </cell>
          <cell r="N894">
            <v>0</v>
          </cell>
          <cell r="O894">
            <v>1</v>
          </cell>
          <cell r="P894">
            <v>0</v>
          </cell>
          <cell r="Q894">
            <v>0</v>
          </cell>
          <cell r="R894">
            <v>0</v>
          </cell>
          <cell r="S894">
            <v>10</v>
          </cell>
          <cell r="T894">
            <v>1</v>
          </cell>
        </row>
        <row r="895">
          <cell r="C895" t="str">
            <v>Yakima city, Washington</v>
          </cell>
          <cell r="D895">
            <v>6549</v>
          </cell>
          <cell r="E895">
            <v>3515</v>
          </cell>
          <cell r="F895">
            <v>2516</v>
          </cell>
          <cell r="G895">
            <v>966</v>
          </cell>
          <cell r="H895">
            <v>21</v>
          </cell>
          <cell r="I895">
            <v>55</v>
          </cell>
          <cell r="J895">
            <v>278</v>
          </cell>
          <cell r="K895">
            <v>612</v>
          </cell>
          <cell r="L895">
            <v>33</v>
          </cell>
          <cell r="M895">
            <v>29</v>
          </cell>
          <cell r="N895">
            <v>0</v>
          </cell>
          <cell r="O895">
            <v>4</v>
          </cell>
          <cell r="P895">
            <v>3034</v>
          </cell>
          <cell r="Q895">
            <v>485</v>
          </cell>
          <cell r="R895">
            <v>2549</v>
          </cell>
          <cell r="S895">
            <v>3482</v>
          </cell>
          <cell r="T895">
            <v>3067</v>
          </cell>
        </row>
        <row r="896">
          <cell r="C896" t="str">
            <v>Yarrow Point town, Washington</v>
          </cell>
          <cell r="D896">
            <v>11</v>
          </cell>
          <cell r="E896">
            <v>9</v>
          </cell>
          <cell r="F896">
            <v>5</v>
          </cell>
          <cell r="G896">
            <v>4</v>
          </cell>
          <cell r="H896">
            <v>0</v>
          </cell>
          <cell r="I896">
            <v>2</v>
          </cell>
          <cell r="J896">
            <v>0</v>
          </cell>
          <cell r="K896">
            <v>2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2</v>
          </cell>
          <cell r="Q896">
            <v>2</v>
          </cell>
          <cell r="R896">
            <v>0</v>
          </cell>
          <cell r="S896">
            <v>9</v>
          </cell>
          <cell r="T896">
            <v>2</v>
          </cell>
        </row>
        <row r="897">
          <cell r="C897" t="str">
            <v>Yelm city, Washington</v>
          </cell>
          <cell r="D897">
            <v>47</v>
          </cell>
          <cell r="E897">
            <v>29</v>
          </cell>
          <cell r="F897">
            <v>12</v>
          </cell>
          <cell r="G897">
            <v>17</v>
          </cell>
          <cell r="H897">
            <v>0</v>
          </cell>
          <cell r="I897">
            <v>0</v>
          </cell>
          <cell r="J897">
            <v>9</v>
          </cell>
          <cell r="K897">
            <v>8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18</v>
          </cell>
          <cell r="Q897">
            <v>7</v>
          </cell>
          <cell r="R897">
            <v>11</v>
          </cell>
          <cell r="S897">
            <v>29</v>
          </cell>
          <cell r="T897">
            <v>18</v>
          </cell>
        </row>
        <row r="898">
          <cell r="C898" t="str">
            <v>Zillah city, Washington</v>
          </cell>
          <cell r="D898">
            <v>208</v>
          </cell>
          <cell r="E898">
            <v>151</v>
          </cell>
          <cell r="F898">
            <v>119</v>
          </cell>
          <cell r="G898">
            <v>32</v>
          </cell>
          <cell r="H898">
            <v>0</v>
          </cell>
          <cell r="I898">
            <v>0</v>
          </cell>
          <cell r="J898">
            <v>9</v>
          </cell>
          <cell r="K898">
            <v>23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57</v>
          </cell>
          <cell r="Q898">
            <v>14</v>
          </cell>
          <cell r="R898">
            <v>43</v>
          </cell>
          <cell r="S898">
            <v>151</v>
          </cell>
          <cell r="T898">
            <v>57</v>
          </cell>
        </row>
      </sheetData>
      <sheetData sheetId="5">
        <row r="1">
          <cell r="C1" t="str">
            <v>GEO.display-label</v>
          </cell>
          <cell r="D1" t="str">
            <v>VD01</v>
          </cell>
          <cell r="E1" t="str">
            <v>VD02</v>
          </cell>
          <cell r="F1" t="str">
            <v>VD03</v>
          </cell>
          <cell r="G1" t="str">
            <v>VD04</v>
          </cell>
          <cell r="H1" t="str">
            <v>VD05</v>
          </cell>
          <cell r="I1" t="str">
            <v>VD06</v>
          </cell>
          <cell r="J1" t="str">
            <v>VD07</v>
          </cell>
          <cell r="K1" t="str">
            <v>VD08</v>
          </cell>
          <cell r="L1" t="str">
            <v>VD09</v>
          </cell>
          <cell r="M1" t="str">
            <v>VD10</v>
          </cell>
          <cell r="N1" t="str">
            <v>VD11</v>
          </cell>
          <cell r="O1" t="str">
            <v>VD12</v>
          </cell>
          <cell r="P1" t="str">
            <v>VD13</v>
          </cell>
          <cell r="Q1" t="str">
            <v>VD14</v>
          </cell>
          <cell r="R1" t="str">
            <v>VD15</v>
          </cell>
        </row>
        <row r="2">
          <cell r="C2" t="str">
            <v>Geography</v>
          </cell>
          <cell r="D2" t="str">
            <v>Total:</v>
          </cell>
          <cell r="E2" t="str">
            <v>Native:</v>
          </cell>
          <cell r="F2" t="str">
            <v>Native: - Born in state of residence</v>
          </cell>
          <cell r="G2" t="str">
            <v>Native: - Born in other state in the United States:</v>
          </cell>
          <cell r="H2" t="str">
            <v>Native: - Born in other state in the United States: - Northeast</v>
          </cell>
          <cell r="I2" t="str">
            <v>Native: - Born in other state in the United States: - Midwest</v>
          </cell>
          <cell r="J2" t="str">
            <v>Native: - Born in other state in the United States: - South</v>
          </cell>
          <cell r="K2" t="str">
            <v>Native: - Born in other state in the United States: - West</v>
          </cell>
          <cell r="L2" t="str">
            <v>Native: - Born outside the United States:</v>
          </cell>
          <cell r="M2" t="str">
            <v>Native: - Born outside the United States: - Puerto Rico</v>
          </cell>
          <cell r="N2" t="str">
            <v>Native: - Born outside the United States: - U.S. Island Areas</v>
          </cell>
          <cell r="O2" t="str">
            <v>Native: - Born outside the United States: - Born abroad of American parent(s)</v>
          </cell>
          <cell r="P2" t="str">
            <v>Foreign born:</v>
          </cell>
          <cell r="Q2" t="str">
            <v>Foreign born: - Naturalized citizen</v>
          </cell>
          <cell r="R2" t="str">
            <v>Foreign born: - Not a citizen</v>
          </cell>
          <cell r="S2" t="str">
            <v>Born in US</v>
          </cell>
          <cell r="T2" t="str">
            <v>Born outside US</v>
          </cell>
        </row>
        <row r="3">
          <cell r="C3" t="str">
            <v>King County, Washington</v>
          </cell>
          <cell r="D3">
            <v>91538</v>
          </cell>
          <cell r="E3">
            <v>80744</v>
          </cell>
          <cell r="F3">
            <v>37093</v>
          </cell>
          <cell r="G3">
            <v>42556</v>
          </cell>
          <cell r="H3">
            <v>3455</v>
          </cell>
          <cell r="I3">
            <v>8162</v>
          </cell>
          <cell r="J3">
            <v>22829</v>
          </cell>
          <cell r="K3">
            <v>8110</v>
          </cell>
          <cell r="L3">
            <v>1095</v>
          </cell>
          <cell r="M3">
            <v>66</v>
          </cell>
          <cell r="N3">
            <v>60</v>
          </cell>
          <cell r="O3">
            <v>969</v>
          </cell>
          <cell r="P3">
            <v>10794</v>
          </cell>
          <cell r="Q3">
            <v>3414</v>
          </cell>
          <cell r="R3">
            <v>7380</v>
          </cell>
          <cell r="S3">
            <v>79649</v>
          </cell>
          <cell r="T3">
            <v>11889</v>
          </cell>
        </row>
        <row r="4">
          <cell r="C4" t="str">
            <v>Census Tract 1, King County, Washington</v>
          </cell>
          <cell r="D4">
            <v>590</v>
          </cell>
          <cell r="E4">
            <v>373</v>
          </cell>
          <cell r="F4">
            <v>200</v>
          </cell>
          <cell r="G4">
            <v>165</v>
          </cell>
          <cell r="H4">
            <v>16</v>
          </cell>
          <cell r="I4">
            <v>90</v>
          </cell>
          <cell r="J4">
            <v>39</v>
          </cell>
          <cell r="K4">
            <v>20</v>
          </cell>
          <cell r="L4">
            <v>8</v>
          </cell>
          <cell r="M4">
            <v>0</v>
          </cell>
          <cell r="N4">
            <v>0</v>
          </cell>
          <cell r="O4">
            <v>8</v>
          </cell>
          <cell r="P4">
            <v>217</v>
          </cell>
          <cell r="Q4">
            <v>37</v>
          </cell>
          <cell r="R4">
            <v>180</v>
          </cell>
          <cell r="S4">
            <v>365</v>
          </cell>
          <cell r="T4">
            <v>225</v>
          </cell>
        </row>
        <row r="5">
          <cell r="C5" t="str">
            <v>Census Tract 2, King County, Washington</v>
          </cell>
          <cell r="D5">
            <v>350</v>
          </cell>
          <cell r="E5">
            <v>260</v>
          </cell>
          <cell r="F5">
            <v>81</v>
          </cell>
          <cell r="G5">
            <v>179</v>
          </cell>
          <cell r="H5">
            <v>59</v>
          </cell>
          <cell r="I5">
            <v>17</v>
          </cell>
          <cell r="J5">
            <v>54</v>
          </cell>
          <cell r="K5">
            <v>49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90</v>
          </cell>
          <cell r="Q5">
            <v>41</v>
          </cell>
          <cell r="R5">
            <v>49</v>
          </cell>
          <cell r="S5">
            <v>260</v>
          </cell>
          <cell r="T5">
            <v>90</v>
          </cell>
        </row>
        <row r="6">
          <cell r="C6" t="str">
            <v>Census Tract 3, King County, Washington</v>
          </cell>
          <cell r="D6">
            <v>140</v>
          </cell>
          <cell r="E6">
            <v>132</v>
          </cell>
          <cell r="F6">
            <v>75</v>
          </cell>
          <cell r="G6">
            <v>57</v>
          </cell>
          <cell r="H6">
            <v>0</v>
          </cell>
          <cell r="I6">
            <v>21</v>
          </cell>
          <cell r="J6">
            <v>36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8</v>
          </cell>
          <cell r="Q6">
            <v>0</v>
          </cell>
          <cell r="R6">
            <v>8</v>
          </cell>
          <cell r="S6">
            <v>132</v>
          </cell>
          <cell r="T6">
            <v>8</v>
          </cell>
        </row>
        <row r="7">
          <cell r="C7" t="str">
            <v>Census Tract 4.01, King County, Washington</v>
          </cell>
          <cell r="D7">
            <v>141</v>
          </cell>
          <cell r="E7">
            <v>44</v>
          </cell>
          <cell r="F7">
            <v>17</v>
          </cell>
          <cell r="G7">
            <v>27</v>
          </cell>
          <cell r="H7">
            <v>0</v>
          </cell>
          <cell r="I7">
            <v>0</v>
          </cell>
          <cell r="J7">
            <v>12</v>
          </cell>
          <cell r="K7">
            <v>15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97</v>
          </cell>
          <cell r="Q7">
            <v>64</v>
          </cell>
          <cell r="R7">
            <v>33</v>
          </cell>
          <cell r="S7">
            <v>44</v>
          </cell>
          <cell r="T7">
            <v>97</v>
          </cell>
        </row>
        <row r="8">
          <cell r="C8" t="str">
            <v>Census Tract 4.02, King County, Washington</v>
          </cell>
          <cell r="D8">
            <v>191</v>
          </cell>
          <cell r="E8">
            <v>67</v>
          </cell>
          <cell r="F8">
            <v>28</v>
          </cell>
          <cell r="G8">
            <v>39</v>
          </cell>
          <cell r="H8">
            <v>9</v>
          </cell>
          <cell r="I8">
            <v>0</v>
          </cell>
          <cell r="J8">
            <v>0</v>
          </cell>
          <cell r="K8">
            <v>30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124</v>
          </cell>
          <cell r="Q8">
            <v>43</v>
          </cell>
          <cell r="R8">
            <v>81</v>
          </cell>
          <cell r="S8">
            <v>67</v>
          </cell>
          <cell r="T8">
            <v>124</v>
          </cell>
        </row>
        <row r="9">
          <cell r="C9" t="str">
            <v>Census Tract 5, King County, Washington</v>
          </cell>
          <cell r="D9">
            <v>21</v>
          </cell>
          <cell r="E9">
            <v>21</v>
          </cell>
          <cell r="F9">
            <v>8</v>
          </cell>
          <cell r="G9">
            <v>13</v>
          </cell>
          <cell r="H9">
            <v>0</v>
          </cell>
          <cell r="I9">
            <v>0</v>
          </cell>
          <cell r="J9">
            <v>5</v>
          </cell>
          <cell r="K9">
            <v>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21</v>
          </cell>
          <cell r="T9">
            <v>0</v>
          </cell>
        </row>
        <row r="10">
          <cell r="C10" t="str">
            <v>Census Tract 6, King County, Washington</v>
          </cell>
          <cell r="D10">
            <v>281</v>
          </cell>
          <cell r="E10">
            <v>233</v>
          </cell>
          <cell r="F10">
            <v>88</v>
          </cell>
          <cell r="G10">
            <v>145</v>
          </cell>
          <cell r="H10">
            <v>85</v>
          </cell>
          <cell r="I10">
            <v>24</v>
          </cell>
          <cell r="J10">
            <v>24</v>
          </cell>
          <cell r="K10">
            <v>12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48</v>
          </cell>
          <cell r="Q10">
            <v>0</v>
          </cell>
          <cell r="R10">
            <v>48</v>
          </cell>
          <cell r="S10">
            <v>233</v>
          </cell>
          <cell r="T10">
            <v>48</v>
          </cell>
        </row>
        <row r="11">
          <cell r="C11" t="str">
            <v>Census Tract 7, King County, Washington</v>
          </cell>
          <cell r="D11">
            <v>232</v>
          </cell>
          <cell r="E11">
            <v>155</v>
          </cell>
          <cell r="F11">
            <v>63</v>
          </cell>
          <cell r="G11">
            <v>92</v>
          </cell>
          <cell r="H11">
            <v>14</v>
          </cell>
          <cell r="I11">
            <v>28</v>
          </cell>
          <cell r="J11">
            <v>44</v>
          </cell>
          <cell r="K11">
            <v>6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77</v>
          </cell>
          <cell r="Q11">
            <v>18</v>
          </cell>
          <cell r="R11">
            <v>59</v>
          </cell>
          <cell r="S11">
            <v>155</v>
          </cell>
          <cell r="T11">
            <v>77</v>
          </cell>
        </row>
        <row r="12">
          <cell r="C12" t="str">
            <v>Census Tract 8, King County, Washington</v>
          </cell>
          <cell r="D12">
            <v>96</v>
          </cell>
          <cell r="E12">
            <v>83</v>
          </cell>
          <cell r="F12">
            <v>33</v>
          </cell>
          <cell r="G12">
            <v>50</v>
          </cell>
          <cell r="H12">
            <v>7</v>
          </cell>
          <cell r="I12">
            <v>6</v>
          </cell>
          <cell r="J12">
            <v>37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13</v>
          </cell>
          <cell r="Q12">
            <v>13</v>
          </cell>
          <cell r="R12">
            <v>0</v>
          </cell>
          <cell r="S12">
            <v>83</v>
          </cell>
          <cell r="T12">
            <v>13</v>
          </cell>
        </row>
        <row r="13">
          <cell r="C13" t="str">
            <v>Census Tract 9, King County, Washington</v>
          </cell>
          <cell r="D13">
            <v>15</v>
          </cell>
          <cell r="E13">
            <v>15</v>
          </cell>
          <cell r="F13">
            <v>0</v>
          </cell>
          <cell r="G13">
            <v>15</v>
          </cell>
          <cell r="H13">
            <v>7</v>
          </cell>
          <cell r="I13">
            <v>0</v>
          </cell>
          <cell r="J13">
            <v>8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15</v>
          </cell>
          <cell r="T13">
            <v>0</v>
          </cell>
        </row>
        <row r="14">
          <cell r="C14" t="str">
            <v>Census Tract 10, King County, Washington</v>
          </cell>
          <cell r="D14">
            <v>60</v>
          </cell>
          <cell r="E14">
            <v>60</v>
          </cell>
          <cell r="F14">
            <v>19</v>
          </cell>
          <cell r="G14">
            <v>41</v>
          </cell>
          <cell r="H14">
            <v>0</v>
          </cell>
          <cell r="I14">
            <v>0</v>
          </cell>
          <cell r="J14">
            <v>25</v>
          </cell>
          <cell r="K14">
            <v>16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60</v>
          </cell>
          <cell r="T14">
            <v>0</v>
          </cell>
        </row>
        <row r="15">
          <cell r="C15" t="str">
            <v>Census Tract 11, King County, Washington</v>
          </cell>
          <cell r="D15">
            <v>77</v>
          </cell>
          <cell r="E15">
            <v>59</v>
          </cell>
          <cell r="F15">
            <v>27</v>
          </cell>
          <cell r="G15">
            <v>23</v>
          </cell>
          <cell r="H15">
            <v>0</v>
          </cell>
          <cell r="I15">
            <v>0</v>
          </cell>
          <cell r="J15">
            <v>6</v>
          </cell>
          <cell r="K15">
            <v>17</v>
          </cell>
          <cell r="L15">
            <v>9</v>
          </cell>
          <cell r="M15">
            <v>0</v>
          </cell>
          <cell r="N15">
            <v>0</v>
          </cell>
          <cell r="O15">
            <v>9</v>
          </cell>
          <cell r="P15">
            <v>18</v>
          </cell>
          <cell r="Q15">
            <v>8</v>
          </cell>
          <cell r="R15">
            <v>10</v>
          </cell>
          <cell r="S15">
            <v>50</v>
          </cell>
          <cell r="T15">
            <v>27</v>
          </cell>
        </row>
        <row r="16">
          <cell r="C16" t="str">
            <v>Census Tract 12, King County, Washington</v>
          </cell>
          <cell r="D16">
            <v>424</v>
          </cell>
          <cell r="E16">
            <v>234</v>
          </cell>
          <cell r="F16">
            <v>119</v>
          </cell>
          <cell r="G16">
            <v>89</v>
          </cell>
          <cell r="H16">
            <v>0</v>
          </cell>
          <cell r="I16">
            <v>7</v>
          </cell>
          <cell r="J16">
            <v>46</v>
          </cell>
          <cell r="K16">
            <v>36</v>
          </cell>
          <cell r="L16">
            <v>26</v>
          </cell>
          <cell r="M16">
            <v>0</v>
          </cell>
          <cell r="N16">
            <v>0</v>
          </cell>
          <cell r="O16">
            <v>26</v>
          </cell>
          <cell r="P16">
            <v>190</v>
          </cell>
          <cell r="Q16">
            <v>62</v>
          </cell>
          <cell r="R16">
            <v>128</v>
          </cell>
          <cell r="S16">
            <v>208</v>
          </cell>
          <cell r="T16">
            <v>216</v>
          </cell>
        </row>
        <row r="17">
          <cell r="C17" t="str">
            <v>Census Tract 13, King County, Washington</v>
          </cell>
          <cell r="D17">
            <v>188</v>
          </cell>
          <cell r="E17">
            <v>103</v>
          </cell>
          <cell r="F17">
            <v>33</v>
          </cell>
          <cell r="G17">
            <v>60</v>
          </cell>
          <cell r="H17">
            <v>27</v>
          </cell>
          <cell r="I17">
            <v>7</v>
          </cell>
          <cell r="J17">
            <v>16</v>
          </cell>
          <cell r="K17">
            <v>10</v>
          </cell>
          <cell r="L17">
            <v>10</v>
          </cell>
          <cell r="M17">
            <v>0</v>
          </cell>
          <cell r="N17">
            <v>0</v>
          </cell>
          <cell r="O17">
            <v>10</v>
          </cell>
          <cell r="P17">
            <v>85</v>
          </cell>
          <cell r="Q17">
            <v>11</v>
          </cell>
          <cell r="R17">
            <v>74</v>
          </cell>
          <cell r="S17">
            <v>93</v>
          </cell>
          <cell r="T17">
            <v>95</v>
          </cell>
        </row>
        <row r="18">
          <cell r="C18" t="str">
            <v>Census Tract 14, King County, Washington</v>
          </cell>
          <cell r="D18">
            <v>173</v>
          </cell>
          <cell r="E18">
            <v>131</v>
          </cell>
          <cell r="F18">
            <v>63</v>
          </cell>
          <cell r="G18">
            <v>63</v>
          </cell>
          <cell r="H18">
            <v>9</v>
          </cell>
          <cell r="I18">
            <v>0</v>
          </cell>
          <cell r="J18">
            <v>38</v>
          </cell>
          <cell r="K18">
            <v>16</v>
          </cell>
          <cell r="L18">
            <v>5</v>
          </cell>
          <cell r="M18">
            <v>0</v>
          </cell>
          <cell r="N18">
            <v>0</v>
          </cell>
          <cell r="O18">
            <v>5</v>
          </cell>
          <cell r="P18">
            <v>42</v>
          </cell>
          <cell r="Q18">
            <v>0</v>
          </cell>
          <cell r="R18">
            <v>42</v>
          </cell>
          <cell r="S18">
            <v>126</v>
          </cell>
          <cell r="T18">
            <v>47</v>
          </cell>
        </row>
        <row r="19">
          <cell r="C19" t="str">
            <v>Census Tract 15, King County, Washington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 t="str">
            <v>Census Tract 16, King County, Washington</v>
          </cell>
          <cell r="D20">
            <v>57</v>
          </cell>
          <cell r="E20">
            <v>57</v>
          </cell>
          <cell r="F20">
            <v>15</v>
          </cell>
          <cell r="G20">
            <v>42</v>
          </cell>
          <cell r="H20">
            <v>0</v>
          </cell>
          <cell r="I20">
            <v>32</v>
          </cell>
          <cell r="J20">
            <v>10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57</v>
          </cell>
          <cell r="T20">
            <v>0</v>
          </cell>
        </row>
        <row r="21">
          <cell r="C21" t="str">
            <v>Census Tract 17, King County, Washington</v>
          </cell>
          <cell r="D21">
            <v>230</v>
          </cell>
          <cell r="E21">
            <v>171</v>
          </cell>
          <cell r="F21">
            <v>81</v>
          </cell>
          <cell r="G21">
            <v>90</v>
          </cell>
          <cell r="H21">
            <v>21</v>
          </cell>
          <cell r="I21">
            <v>23</v>
          </cell>
          <cell r="J21">
            <v>46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59</v>
          </cell>
          <cell r="Q21">
            <v>21</v>
          </cell>
          <cell r="R21">
            <v>38</v>
          </cell>
          <cell r="S21">
            <v>171</v>
          </cell>
          <cell r="T21">
            <v>59</v>
          </cell>
        </row>
        <row r="22">
          <cell r="C22" t="str">
            <v>Census Tract 18, King County, Washington</v>
          </cell>
          <cell r="D22">
            <v>229</v>
          </cell>
          <cell r="E22">
            <v>118</v>
          </cell>
          <cell r="F22">
            <v>80</v>
          </cell>
          <cell r="G22">
            <v>38</v>
          </cell>
          <cell r="H22">
            <v>0</v>
          </cell>
          <cell r="I22">
            <v>15</v>
          </cell>
          <cell r="J22">
            <v>15</v>
          </cell>
          <cell r="K22">
            <v>8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111</v>
          </cell>
          <cell r="Q22">
            <v>45</v>
          </cell>
          <cell r="R22">
            <v>66</v>
          </cell>
          <cell r="S22">
            <v>118</v>
          </cell>
          <cell r="T22">
            <v>111</v>
          </cell>
        </row>
        <row r="23">
          <cell r="C23" t="str">
            <v>Census Tract 19, King County, Washington</v>
          </cell>
          <cell r="D23">
            <v>52</v>
          </cell>
          <cell r="E23">
            <v>52</v>
          </cell>
          <cell r="F23">
            <v>2</v>
          </cell>
          <cell r="G23">
            <v>50</v>
          </cell>
          <cell r="H23">
            <v>0</v>
          </cell>
          <cell r="I23">
            <v>17</v>
          </cell>
          <cell r="J23">
            <v>33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52</v>
          </cell>
          <cell r="T23">
            <v>0</v>
          </cell>
        </row>
        <row r="24">
          <cell r="C24" t="str">
            <v>Census Tract 20, King County, Washington</v>
          </cell>
          <cell r="D24">
            <v>99</v>
          </cell>
          <cell r="E24">
            <v>83</v>
          </cell>
          <cell r="F24">
            <v>39</v>
          </cell>
          <cell r="G24">
            <v>44</v>
          </cell>
          <cell r="H24">
            <v>0</v>
          </cell>
          <cell r="I24">
            <v>7</v>
          </cell>
          <cell r="J24">
            <v>37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16</v>
          </cell>
          <cell r="Q24">
            <v>0</v>
          </cell>
          <cell r="R24">
            <v>16</v>
          </cell>
          <cell r="S24">
            <v>83</v>
          </cell>
          <cell r="T24">
            <v>16</v>
          </cell>
        </row>
        <row r="25">
          <cell r="C25" t="str">
            <v>Census Tract 21, King County, Washington</v>
          </cell>
          <cell r="D25">
            <v>109</v>
          </cell>
          <cell r="E25">
            <v>80</v>
          </cell>
          <cell r="F25">
            <v>34</v>
          </cell>
          <cell r="G25">
            <v>46</v>
          </cell>
          <cell r="H25">
            <v>10</v>
          </cell>
          <cell r="I25">
            <v>22</v>
          </cell>
          <cell r="J25">
            <v>7</v>
          </cell>
          <cell r="K25">
            <v>7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29</v>
          </cell>
          <cell r="Q25">
            <v>23</v>
          </cell>
          <cell r="R25">
            <v>6</v>
          </cell>
          <cell r="S25">
            <v>80</v>
          </cell>
          <cell r="T25">
            <v>29</v>
          </cell>
        </row>
        <row r="26">
          <cell r="C26" t="str">
            <v>Census Tract 22, King County, Washington</v>
          </cell>
          <cell r="D26">
            <v>13</v>
          </cell>
          <cell r="E26">
            <v>6</v>
          </cell>
          <cell r="F26">
            <v>0</v>
          </cell>
          <cell r="G26">
            <v>6</v>
          </cell>
          <cell r="H26">
            <v>0</v>
          </cell>
          <cell r="I26">
            <v>6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7</v>
          </cell>
          <cell r="Q26">
            <v>7</v>
          </cell>
          <cell r="R26">
            <v>0</v>
          </cell>
          <cell r="S26">
            <v>6</v>
          </cell>
          <cell r="T26">
            <v>7</v>
          </cell>
        </row>
        <row r="27">
          <cell r="C27" t="str">
            <v>Census Tract 24, King County, Washington</v>
          </cell>
          <cell r="D27">
            <v>62</v>
          </cell>
          <cell r="E27">
            <v>26</v>
          </cell>
          <cell r="F27">
            <v>17</v>
          </cell>
          <cell r="G27">
            <v>9</v>
          </cell>
          <cell r="H27">
            <v>0</v>
          </cell>
          <cell r="I27">
            <v>0</v>
          </cell>
          <cell r="J27">
            <v>4</v>
          </cell>
          <cell r="K27">
            <v>5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36</v>
          </cell>
          <cell r="Q27">
            <v>7</v>
          </cell>
          <cell r="R27">
            <v>29</v>
          </cell>
          <cell r="S27">
            <v>26</v>
          </cell>
          <cell r="T27">
            <v>36</v>
          </cell>
        </row>
        <row r="28">
          <cell r="C28" t="str">
            <v>Census Tract 25, King County, Washington</v>
          </cell>
          <cell r="D28">
            <v>36</v>
          </cell>
          <cell r="E28">
            <v>31</v>
          </cell>
          <cell r="F28">
            <v>17</v>
          </cell>
          <cell r="G28">
            <v>14</v>
          </cell>
          <cell r="H28">
            <v>7</v>
          </cell>
          <cell r="I28">
            <v>0</v>
          </cell>
          <cell r="J28">
            <v>0</v>
          </cell>
          <cell r="K28">
            <v>7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5</v>
          </cell>
          <cell r="Q28">
            <v>5</v>
          </cell>
          <cell r="R28">
            <v>0</v>
          </cell>
          <cell r="S28">
            <v>31</v>
          </cell>
          <cell r="T28">
            <v>5</v>
          </cell>
        </row>
        <row r="29">
          <cell r="C29" t="str">
            <v>Census Tract 26, King County, Washington</v>
          </cell>
          <cell r="D29">
            <v>41</v>
          </cell>
          <cell r="E29">
            <v>35</v>
          </cell>
          <cell r="F29">
            <v>14</v>
          </cell>
          <cell r="G29">
            <v>21</v>
          </cell>
          <cell r="H29">
            <v>5</v>
          </cell>
          <cell r="I29">
            <v>12</v>
          </cell>
          <cell r="J29">
            <v>0</v>
          </cell>
          <cell r="K29">
            <v>4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6</v>
          </cell>
          <cell r="Q29">
            <v>0</v>
          </cell>
          <cell r="R29">
            <v>6</v>
          </cell>
          <cell r="S29">
            <v>35</v>
          </cell>
          <cell r="T29">
            <v>6</v>
          </cell>
        </row>
        <row r="30">
          <cell r="C30" t="str">
            <v>Census Tract 27, King County, Washington</v>
          </cell>
          <cell r="D30">
            <v>71</v>
          </cell>
          <cell r="E30">
            <v>71</v>
          </cell>
          <cell r="F30">
            <v>5</v>
          </cell>
          <cell r="G30">
            <v>66</v>
          </cell>
          <cell r="H30">
            <v>10</v>
          </cell>
          <cell r="I30">
            <v>13</v>
          </cell>
          <cell r="J30">
            <v>21</v>
          </cell>
          <cell r="K30">
            <v>22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71</v>
          </cell>
          <cell r="T30">
            <v>0</v>
          </cell>
        </row>
        <row r="31">
          <cell r="C31" t="str">
            <v>Census Tract 28, King County, Washington</v>
          </cell>
          <cell r="D31">
            <v>77</v>
          </cell>
          <cell r="E31">
            <v>69</v>
          </cell>
          <cell r="F31">
            <v>10</v>
          </cell>
          <cell r="G31">
            <v>59</v>
          </cell>
          <cell r="H31">
            <v>0</v>
          </cell>
          <cell r="I31">
            <v>0</v>
          </cell>
          <cell r="J31">
            <v>31</v>
          </cell>
          <cell r="K31">
            <v>28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8</v>
          </cell>
          <cell r="Q31">
            <v>8</v>
          </cell>
          <cell r="R31">
            <v>0</v>
          </cell>
          <cell r="S31">
            <v>69</v>
          </cell>
          <cell r="T31">
            <v>8</v>
          </cell>
        </row>
        <row r="32">
          <cell r="C32" t="str">
            <v>Census Tract 29, King County, Washington</v>
          </cell>
          <cell r="D32">
            <v>25</v>
          </cell>
          <cell r="E32">
            <v>19</v>
          </cell>
          <cell r="F32">
            <v>10</v>
          </cell>
          <cell r="G32">
            <v>9</v>
          </cell>
          <cell r="H32">
            <v>6</v>
          </cell>
          <cell r="I32">
            <v>0</v>
          </cell>
          <cell r="J32">
            <v>0</v>
          </cell>
          <cell r="K32">
            <v>3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6</v>
          </cell>
          <cell r="Q32">
            <v>6</v>
          </cell>
          <cell r="R32">
            <v>0</v>
          </cell>
          <cell r="S32">
            <v>19</v>
          </cell>
          <cell r="T32">
            <v>6</v>
          </cell>
        </row>
        <row r="33">
          <cell r="C33" t="str">
            <v>Census Tract 30, King County, Washington</v>
          </cell>
          <cell r="D33">
            <v>26</v>
          </cell>
          <cell r="E33">
            <v>26</v>
          </cell>
          <cell r="F33">
            <v>0</v>
          </cell>
          <cell r="G33">
            <v>26</v>
          </cell>
          <cell r="H33">
            <v>8</v>
          </cell>
          <cell r="I33">
            <v>8</v>
          </cell>
          <cell r="J33">
            <v>0</v>
          </cell>
          <cell r="K33">
            <v>10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26</v>
          </cell>
          <cell r="T33">
            <v>0</v>
          </cell>
        </row>
        <row r="34">
          <cell r="C34" t="str">
            <v>Census Tract 31, King County, Washington</v>
          </cell>
          <cell r="D34">
            <v>43</v>
          </cell>
          <cell r="E34">
            <v>38</v>
          </cell>
          <cell r="F34">
            <v>12</v>
          </cell>
          <cell r="G34">
            <v>26</v>
          </cell>
          <cell r="H34">
            <v>0</v>
          </cell>
          <cell r="I34">
            <v>14</v>
          </cell>
          <cell r="J34">
            <v>12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5</v>
          </cell>
          <cell r="Q34">
            <v>5</v>
          </cell>
          <cell r="R34">
            <v>0</v>
          </cell>
          <cell r="S34">
            <v>38</v>
          </cell>
          <cell r="T34">
            <v>5</v>
          </cell>
        </row>
        <row r="35">
          <cell r="C35" t="str">
            <v>Census Tract 32, King County, Washington</v>
          </cell>
          <cell r="D35">
            <v>81</v>
          </cell>
          <cell r="E35">
            <v>43</v>
          </cell>
          <cell r="F35">
            <v>33</v>
          </cell>
          <cell r="G35">
            <v>10</v>
          </cell>
          <cell r="H35">
            <v>0</v>
          </cell>
          <cell r="I35">
            <v>10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38</v>
          </cell>
          <cell r="Q35">
            <v>13</v>
          </cell>
          <cell r="R35">
            <v>25</v>
          </cell>
          <cell r="S35">
            <v>43</v>
          </cell>
          <cell r="T35">
            <v>38</v>
          </cell>
        </row>
        <row r="36">
          <cell r="C36" t="str">
            <v>Census Tract 33, King County, Washington</v>
          </cell>
          <cell r="D36">
            <v>79</v>
          </cell>
          <cell r="E36">
            <v>57</v>
          </cell>
          <cell r="F36">
            <v>13</v>
          </cell>
          <cell r="G36">
            <v>44</v>
          </cell>
          <cell r="H36">
            <v>0</v>
          </cell>
          <cell r="I36">
            <v>6</v>
          </cell>
          <cell r="J36">
            <v>38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22</v>
          </cell>
          <cell r="Q36">
            <v>8</v>
          </cell>
          <cell r="R36">
            <v>14</v>
          </cell>
          <cell r="S36">
            <v>57</v>
          </cell>
          <cell r="T36">
            <v>22</v>
          </cell>
        </row>
        <row r="37">
          <cell r="C37" t="str">
            <v>Census Tract 34, King County, Washington</v>
          </cell>
          <cell r="D37">
            <v>89</v>
          </cell>
          <cell r="E37">
            <v>71</v>
          </cell>
          <cell r="F37">
            <v>36</v>
          </cell>
          <cell r="G37">
            <v>35</v>
          </cell>
          <cell r="H37">
            <v>0</v>
          </cell>
          <cell r="I37">
            <v>0</v>
          </cell>
          <cell r="J37">
            <v>12</v>
          </cell>
          <cell r="K37">
            <v>23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18</v>
          </cell>
          <cell r="Q37">
            <v>18</v>
          </cell>
          <cell r="R37">
            <v>0</v>
          </cell>
          <cell r="S37">
            <v>71</v>
          </cell>
          <cell r="T37">
            <v>18</v>
          </cell>
        </row>
        <row r="38">
          <cell r="C38" t="str">
            <v>Census Tract 35, King County, Washington</v>
          </cell>
          <cell r="D38">
            <v>17</v>
          </cell>
          <cell r="E38">
            <v>5</v>
          </cell>
          <cell r="F38">
            <v>0</v>
          </cell>
          <cell r="G38">
            <v>5</v>
          </cell>
          <cell r="H38">
            <v>0</v>
          </cell>
          <cell r="I38">
            <v>0</v>
          </cell>
          <cell r="J38">
            <v>5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12</v>
          </cell>
          <cell r="Q38">
            <v>12</v>
          </cell>
          <cell r="R38">
            <v>0</v>
          </cell>
          <cell r="S38">
            <v>5</v>
          </cell>
          <cell r="T38">
            <v>12</v>
          </cell>
        </row>
        <row r="39">
          <cell r="C39" t="str">
            <v>Census Tract 36, King County, Washington</v>
          </cell>
          <cell r="D39">
            <v>57</v>
          </cell>
          <cell r="E39">
            <v>57</v>
          </cell>
          <cell r="F39">
            <v>0</v>
          </cell>
          <cell r="G39">
            <v>57</v>
          </cell>
          <cell r="H39">
            <v>0</v>
          </cell>
          <cell r="I39">
            <v>0</v>
          </cell>
          <cell r="J39">
            <v>44</v>
          </cell>
          <cell r="K39">
            <v>13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57</v>
          </cell>
          <cell r="T39">
            <v>0</v>
          </cell>
        </row>
        <row r="40">
          <cell r="C40" t="str">
            <v>Census Tract 38, King County, Washington</v>
          </cell>
          <cell r="D40">
            <v>7</v>
          </cell>
          <cell r="E40">
            <v>7</v>
          </cell>
          <cell r="F40">
            <v>0</v>
          </cell>
          <cell r="G40">
            <v>7</v>
          </cell>
          <cell r="H40">
            <v>0</v>
          </cell>
          <cell r="I40">
            <v>0</v>
          </cell>
          <cell r="J40">
            <v>0</v>
          </cell>
          <cell r="K40">
            <v>7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7</v>
          </cell>
          <cell r="T40">
            <v>0</v>
          </cell>
        </row>
        <row r="41">
          <cell r="C41" t="str">
            <v>Census Tract 39, King County, Washington</v>
          </cell>
          <cell r="D41">
            <v>26</v>
          </cell>
          <cell r="E41">
            <v>19</v>
          </cell>
          <cell r="F41">
            <v>6</v>
          </cell>
          <cell r="G41">
            <v>13</v>
          </cell>
          <cell r="H41">
            <v>0</v>
          </cell>
          <cell r="I41">
            <v>0</v>
          </cell>
          <cell r="J41">
            <v>13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7</v>
          </cell>
          <cell r="Q41">
            <v>7</v>
          </cell>
          <cell r="R41">
            <v>0</v>
          </cell>
          <cell r="S41">
            <v>19</v>
          </cell>
          <cell r="T41">
            <v>7</v>
          </cell>
        </row>
        <row r="42">
          <cell r="C42" t="str">
            <v>Census Tract 40, King County, Washington</v>
          </cell>
          <cell r="D42">
            <v>50</v>
          </cell>
          <cell r="E42">
            <v>36</v>
          </cell>
          <cell r="F42">
            <v>18</v>
          </cell>
          <cell r="G42">
            <v>18</v>
          </cell>
          <cell r="H42">
            <v>0</v>
          </cell>
          <cell r="I42">
            <v>0</v>
          </cell>
          <cell r="J42">
            <v>18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14</v>
          </cell>
          <cell r="Q42">
            <v>14</v>
          </cell>
          <cell r="R42">
            <v>0</v>
          </cell>
          <cell r="S42">
            <v>36</v>
          </cell>
          <cell r="T42">
            <v>14</v>
          </cell>
        </row>
        <row r="43">
          <cell r="C43" t="str">
            <v>Census Tract 41, King County, Washington</v>
          </cell>
          <cell r="D43">
            <v>112</v>
          </cell>
          <cell r="E43">
            <v>74</v>
          </cell>
          <cell r="F43">
            <v>48</v>
          </cell>
          <cell r="G43">
            <v>26</v>
          </cell>
          <cell r="H43">
            <v>10</v>
          </cell>
          <cell r="I43">
            <v>0</v>
          </cell>
          <cell r="J43">
            <v>8</v>
          </cell>
          <cell r="K43">
            <v>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38</v>
          </cell>
          <cell r="Q43">
            <v>31</v>
          </cell>
          <cell r="R43">
            <v>7</v>
          </cell>
          <cell r="S43">
            <v>74</v>
          </cell>
          <cell r="T43">
            <v>38</v>
          </cell>
        </row>
        <row r="44">
          <cell r="C44" t="str">
            <v>Census Tract 42, King County, Washington</v>
          </cell>
          <cell r="D44">
            <v>192</v>
          </cell>
          <cell r="E44">
            <v>165</v>
          </cell>
          <cell r="F44">
            <v>15</v>
          </cell>
          <cell r="G44">
            <v>150</v>
          </cell>
          <cell r="H44">
            <v>26</v>
          </cell>
          <cell r="I44">
            <v>53</v>
          </cell>
          <cell r="J44">
            <v>45</v>
          </cell>
          <cell r="K44">
            <v>26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27</v>
          </cell>
          <cell r="Q44">
            <v>13</v>
          </cell>
          <cell r="R44">
            <v>14</v>
          </cell>
          <cell r="S44">
            <v>165</v>
          </cell>
          <cell r="T44">
            <v>27</v>
          </cell>
        </row>
        <row r="45">
          <cell r="C45" t="str">
            <v>Census Tract 43, King County, Washington</v>
          </cell>
          <cell r="D45">
            <v>178</v>
          </cell>
          <cell r="E45">
            <v>163</v>
          </cell>
          <cell r="F45">
            <v>61</v>
          </cell>
          <cell r="G45">
            <v>102</v>
          </cell>
          <cell r="H45">
            <v>10</v>
          </cell>
          <cell r="I45">
            <v>31</v>
          </cell>
          <cell r="J45">
            <v>26</v>
          </cell>
          <cell r="K45">
            <v>35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15</v>
          </cell>
          <cell r="Q45">
            <v>0</v>
          </cell>
          <cell r="R45">
            <v>15</v>
          </cell>
          <cell r="S45">
            <v>163</v>
          </cell>
          <cell r="T45">
            <v>15</v>
          </cell>
        </row>
        <row r="46">
          <cell r="C46" t="str">
            <v>Census Tract 44, King County, Washington</v>
          </cell>
          <cell r="D46">
            <v>51</v>
          </cell>
          <cell r="E46">
            <v>51</v>
          </cell>
          <cell r="F46">
            <v>14</v>
          </cell>
          <cell r="G46">
            <v>37</v>
          </cell>
          <cell r="H46">
            <v>0</v>
          </cell>
          <cell r="I46">
            <v>0</v>
          </cell>
          <cell r="J46">
            <v>37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51</v>
          </cell>
          <cell r="T46">
            <v>0</v>
          </cell>
        </row>
        <row r="47">
          <cell r="C47" t="str">
            <v>Census Tract 45, King County, Washington</v>
          </cell>
          <cell r="D47">
            <v>42</v>
          </cell>
          <cell r="E47">
            <v>18</v>
          </cell>
          <cell r="F47">
            <v>0</v>
          </cell>
          <cell r="G47">
            <v>18</v>
          </cell>
          <cell r="H47">
            <v>0</v>
          </cell>
          <cell r="I47">
            <v>8</v>
          </cell>
          <cell r="J47">
            <v>10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24</v>
          </cell>
          <cell r="Q47">
            <v>6</v>
          </cell>
          <cell r="R47">
            <v>18</v>
          </cell>
          <cell r="S47">
            <v>18</v>
          </cell>
          <cell r="T47">
            <v>24</v>
          </cell>
        </row>
        <row r="48">
          <cell r="C48" t="str">
            <v>Census Tract 46, King County, Washington</v>
          </cell>
          <cell r="D48">
            <v>20</v>
          </cell>
          <cell r="E48">
            <v>20</v>
          </cell>
          <cell r="F48">
            <v>3</v>
          </cell>
          <cell r="G48">
            <v>17</v>
          </cell>
          <cell r="H48">
            <v>11</v>
          </cell>
          <cell r="I48">
            <v>0</v>
          </cell>
          <cell r="J48">
            <v>0</v>
          </cell>
          <cell r="K48">
            <v>6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20</v>
          </cell>
          <cell r="T48">
            <v>0</v>
          </cell>
        </row>
        <row r="49">
          <cell r="C49" t="str">
            <v>Census Tract 47, King County, Washington</v>
          </cell>
          <cell r="D49">
            <v>132</v>
          </cell>
          <cell r="E49">
            <v>86</v>
          </cell>
          <cell r="F49">
            <v>29</v>
          </cell>
          <cell r="G49">
            <v>48</v>
          </cell>
          <cell r="H49">
            <v>0</v>
          </cell>
          <cell r="I49">
            <v>0</v>
          </cell>
          <cell r="J49">
            <v>48</v>
          </cell>
          <cell r="K49">
            <v>0</v>
          </cell>
          <cell r="L49">
            <v>9</v>
          </cell>
          <cell r="M49">
            <v>0</v>
          </cell>
          <cell r="N49">
            <v>0</v>
          </cell>
          <cell r="O49">
            <v>9</v>
          </cell>
          <cell r="P49">
            <v>46</v>
          </cell>
          <cell r="Q49">
            <v>29</v>
          </cell>
          <cell r="R49">
            <v>17</v>
          </cell>
          <cell r="S49">
            <v>77</v>
          </cell>
          <cell r="T49">
            <v>55</v>
          </cell>
        </row>
        <row r="50">
          <cell r="C50" t="str">
            <v>Census Tract 48, King County, Washington</v>
          </cell>
          <cell r="D50">
            <v>74</v>
          </cell>
          <cell r="E50">
            <v>74</v>
          </cell>
          <cell r="F50">
            <v>32</v>
          </cell>
          <cell r="G50">
            <v>28</v>
          </cell>
          <cell r="H50">
            <v>8</v>
          </cell>
          <cell r="I50">
            <v>0</v>
          </cell>
          <cell r="J50">
            <v>20</v>
          </cell>
          <cell r="K50">
            <v>0</v>
          </cell>
          <cell r="L50">
            <v>14</v>
          </cell>
          <cell r="M50">
            <v>0</v>
          </cell>
          <cell r="N50">
            <v>0</v>
          </cell>
          <cell r="O50">
            <v>14</v>
          </cell>
          <cell r="P50">
            <v>0</v>
          </cell>
          <cell r="Q50">
            <v>0</v>
          </cell>
          <cell r="R50">
            <v>0</v>
          </cell>
          <cell r="S50">
            <v>60</v>
          </cell>
          <cell r="T50">
            <v>14</v>
          </cell>
        </row>
        <row r="51">
          <cell r="C51" t="str">
            <v>Census Tract 49, King County, Washington</v>
          </cell>
          <cell r="D51">
            <v>129</v>
          </cell>
          <cell r="E51">
            <v>129</v>
          </cell>
          <cell r="F51">
            <v>42</v>
          </cell>
          <cell r="G51">
            <v>87</v>
          </cell>
          <cell r="H51">
            <v>58</v>
          </cell>
          <cell r="I51">
            <v>0</v>
          </cell>
          <cell r="J51">
            <v>21</v>
          </cell>
          <cell r="K51">
            <v>8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129</v>
          </cell>
          <cell r="T51">
            <v>0</v>
          </cell>
        </row>
        <row r="52">
          <cell r="C52" t="str">
            <v>Census Tract 50, King County, Washington</v>
          </cell>
          <cell r="D52">
            <v>102</v>
          </cell>
          <cell r="E52">
            <v>94</v>
          </cell>
          <cell r="F52">
            <v>49</v>
          </cell>
          <cell r="G52">
            <v>45</v>
          </cell>
          <cell r="H52">
            <v>0</v>
          </cell>
          <cell r="I52">
            <v>20</v>
          </cell>
          <cell r="J52">
            <v>9</v>
          </cell>
          <cell r="K52">
            <v>16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8</v>
          </cell>
          <cell r="Q52">
            <v>8</v>
          </cell>
          <cell r="R52">
            <v>0</v>
          </cell>
          <cell r="S52">
            <v>94</v>
          </cell>
          <cell r="T52">
            <v>8</v>
          </cell>
        </row>
        <row r="53">
          <cell r="C53" t="str">
            <v>Census Tract 51, King County, Washington</v>
          </cell>
          <cell r="D53">
            <v>44</v>
          </cell>
          <cell r="E53">
            <v>44</v>
          </cell>
          <cell r="F53">
            <v>29</v>
          </cell>
          <cell r="G53">
            <v>15</v>
          </cell>
          <cell r="H53">
            <v>0</v>
          </cell>
          <cell r="I53">
            <v>6</v>
          </cell>
          <cell r="J53">
            <v>0</v>
          </cell>
          <cell r="K53">
            <v>9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44</v>
          </cell>
          <cell r="T53">
            <v>0</v>
          </cell>
        </row>
        <row r="54">
          <cell r="C54" t="str">
            <v>Census Tract 52, King County, Washington</v>
          </cell>
          <cell r="D54">
            <v>110</v>
          </cell>
          <cell r="E54">
            <v>96</v>
          </cell>
          <cell r="F54">
            <v>28</v>
          </cell>
          <cell r="G54">
            <v>68</v>
          </cell>
          <cell r="H54">
            <v>0</v>
          </cell>
          <cell r="I54">
            <v>31</v>
          </cell>
          <cell r="J54">
            <v>22</v>
          </cell>
          <cell r="K54">
            <v>15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14</v>
          </cell>
          <cell r="Q54">
            <v>0</v>
          </cell>
          <cell r="R54">
            <v>14</v>
          </cell>
          <cell r="S54">
            <v>96</v>
          </cell>
          <cell r="T54">
            <v>14</v>
          </cell>
        </row>
        <row r="55">
          <cell r="C55" t="str">
            <v>Census Tract 53.01, King County, Washington</v>
          </cell>
          <cell r="D55">
            <v>140</v>
          </cell>
          <cell r="E55">
            <v>140</v>
          </cell>
          <cell r="F55">
            <v>56</v>
          </cell>
          <cell r="G55">
            <v>84</v>
          </cell>
          <cell r="H55">
            <v>13</v>
          </cell>
          <cell r="I55">
            <v>45</v>
          </cell>
          <cell r="J55">
            <v>13</v>
          </cell>
          <cell r="K55">
            <v>13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140</v>
          </cell>
          <cell r="T55">
            <v>0</v>
          </cell>
        </row>
        <row r="56">
          <cell r="C56" t="str">
            <v>Census Tract 53.02, King County, Washington</v>
          </cell>
          <cell r="D56">
            <v>62</v>
          </cell>
          <cell r="E56">
            <v>62</v>
          </cell>
          <cell r="F56">
            <v>35</v>
          </cell>
          <cell r="G56">
            <v>11</v>
          </cell>
          <cell r="H56">
            <v>0</v>
          </cell>
          <cell r="I56">
            <v>0</v>
          </cell>
          <cell r="J56">
            <v>5</v>
          </cell>
          <cell r="K56">
            <v>6</v>
          </cell>
          <cell r="L56">
            <v>16</v>
          </cell>
          <cell r="M56">
            <v>0</v>
          </cell>
          <cell r="N56">
            <v>0</v>
          </cell>
          <cell r="O56">
            <v>16</v>
          </cell>
          <cell r="P56">
            <v>0</v>
          </cell>
          <cell r="Q56">
            <v>0</v>
          </cell>
          <cell r="R56">
            <v>0</v>
          </cell>
          <cell r="S56">
            <v>46</v>
          </cell>
          <cell r="T56">
            <v>16</v>
          </cell>
        </row>
        <row r="57">
          <cell r="C57" t="str">
            <v>Census Tract 54, King County, Washington</v>
          </cell>
          <cell r="D57">
            <v>40</v>
          </cell>
          <cell r="E57">
            <v>40</v>
          </cell>
          <cell r="F57">
            <v>12</v>
          </cell>
          <cell r="G57">
            <v>28</v>
          </cell>
          <cell r="H57">
            <v>0</v>
          </cell>
          <cell r="I57">
            <v>15</v>
          </cell>
          <cell r="J57">
            <v>0</v>
          </cell>
          <cell r="K57">
            <v>13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40</v>
          </cell>
          <cell r="T57">
            <v>0</v>
          </cell>
        </row>
        <row r="58">
          <cell r="C58" t="str">
            <v>Census Tract 56, King County, Washington</v>
          </cell>
          <cell r="D58">
            <v>62</v>
          </cell>
          <cell r="E58">
            <v>56</v>
          </cell>
          <cell r="F58">
            <v>0</v>
          </cell>
          <cell r="G58">
            <v>56</v>
          </cell>
          <cell r="H58">
            <v>0</v>
          </cell>
          <cell r="I58">
            <v>16</v>
          </cell>
          <cell r="J58">
            <v>33</v>
          </cell>
          <cell r="K58">
            <v>7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</v>
          </cell>
          <cell r="Q58">
            <v>0</v>
          </cell>
          <cell r="R58">
            <v>6</v>
          </cell>
          <cell r="S58">
            <v>56</v>
          </cell>
          <cell r="T58">
            <v>6</v>
          </cell>
        </row>
        <row r="59">
          <cell r="C59" t="str">
            <v>Census Tract 57, King County, Washington</v>
          </cell>
          <cell r="D59">
            <v>134</v>
          </cell>
          <cell r="E59">
            <v>105</v>
          </cell>
          <cell r="F59">
            <v>26</v>
          </cell>
          <cell r="G59">
            <v>79</v>
          </cell>
          <cell r="H59">
            <v>12</v>
          </cell>
          <cell r="I59">
            <v>18</v>
          </cell>
          <cell r="J59">
            <v>33</v>
          </cell>
          <cell r="K59">
            <v>16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29</v>
          </cell>
          <cell r="Q59">
            <v>0</v>
          </cell>
          <cell r="R59">
            <v>29</v>
          </cell>
          <cell r="S59">
            <v>105</v>
          </cell>
          <cell r="T59">
            <v>29</v>
          </cell>
        </row>
        <row r="60">
          <cell r="C60" t="str">
            <v>Census Tract 58.01, King County, Washington</v>
          </cell>
          <cell r="D60">
            <v>101</v>
          </cell>
          <cell r="E60">
            <v>91</v>
          </cell>
          <cell r="F60">
            <v>0</v>
          </cell>
          <cell r="G60">
            <v>91</v>
          </cell>
          <cell r="H60">
            <v>10</v>
          </cell>
          <cell r="I60">
            <v>0</v>
          </cell>
          <cell r="J60">
            <v>69</v>
          </cell>
          <cell r="K60">
            <v>12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10</v>
          </cell>
          <cell r="Q60">
            <v>10</v>
          </cell>
          <cell r="R60">
            <v>0</v>
          </cell>
          <cell r="S60">
            <v>91</v>
          </cell>
          <cell r="T60">
            <v>10</v>
          </cell>
        </row>
        <row r="61">
          <cell r="C61" t="str">
            <v>Census Tract 58.02, King County, Washington</v>
          </cell>
          <cell r="D61">
            <v>116</v>
          </cell>
          <cell r="E61">
            <v>102</v>
          </cell>
          <cell r="F61">
            <v>36</v>
          </cell>
          <cell r="G61">
            <v>66</v>
          </cell>
          <cell r="H61">
            <v>24</v>
          </cell>
          <cell r="I61">
            <v>28</v>
          </cell>
          <cell r="J61">
            <v>14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14</v>
          </cell>
          <cell r="Q61">
            <v>0</v>
          </cell>
          <cell r="R61">
            <v>14</v>
          </cell>
          <cell r="S61">
            <v>102</v>
          </cell>
          <cell r="T61">
            <v>14</v>
          </cell>
        </row>
        <row r="62">
          <cell r="C62" t="str">
            <v>Census Tract 59, King County, Washington</v>
          </cell>
          <cell r="D62">
            <v>55</v>
          </cell>
          <cell r="E62">
            <v>55</v>
          </cell>
          <cell r="F62">
            <v>0</v>
          </cell>
          <cell r="G62">
            <v>55</v>
          </cell>
          <cell r="H62">
            <v>9</v>
          </cell>
          <cell r="I62">
            <v>11</v>
          </cell>
          <cell r="J62">
            <v>35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55</v>
          </cell>
          <cell r="T62">
            <v>0</v>
          </cell>
        </row>
        <row r="63">
          <cell r="C63" t="str">
            <v>Census Tract 60, King County, Washington</v>
          </cell>
          <cell r="D63">
            <v>56</v>
          </cell>
          <cell r="E63">
            <v>56</v>
          </cell>
          <cell r="F63">
            <v>26</v>
          </cell>
          <cell r="G63">
            <v>30</v>
          </cell>
          <cell r="H63">
            <v>0</v>
          </cell>
          <cell r="I63">
            <v>16</v>
          </cell>
          <cell r="J63">
            <v>14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56</v>
          </cell>
          <cell r="T63">
            <v>0</v>
          </cell>
        </row>
        <row r="64">
          <cell r="C64" t="str">
            <v>Census Tract 61, King County, Washington</v>
          </cell>
          <cell r="D64">
            <v>59</v>
          </cell>
          <cell r="E64">
            <v>59</v>
          </cell>
          <cell r="F64">
            <v>34</v>
          </cell>
          <cell r="G64">
            <v>25</v>
          </cell>
          <cell r="H64">
            <v>0</v>
          </cell>
          <cell r="I64">
            <v>0</v>
          </cell>
          <cell r="J64">
            <v>25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59</v>
          </cell>
          <cell r="T64">
            <v>0</v>
          </cell>
        </row>
        <row r="65">
          <cell r="C65" t="str">
            <v>Census Tract 62, King County, Washington</v>
          </cell>
          <cell r="D65">
            <v>47</v>
          </cell>
          <cell r="E65">
            <v>47</v>
          </cell>
          <cell r="F65">
            <v>0</v>
          </cell>
          <cell r="G65">
            <v>39</v>
          </cell>
          <cell r="H65">
            <v>7</v>
          </cell>
          <cell r="I65">
            <v>5</v>
          </cell>
          <cell r="J65">
            <v>18</v>
          </cell>
          <cell r="K65">
            <v>9</v>
          </cell>
          <cell r="L65">
            <v>8</v>
          </cell>
          <cell r="M65">
            <v>0</v>
          </cell>
          <cell r="N65">
            <v>0</v>
          </cell>
          <cell r="O65">
            <v>8</v>
          </cell>
          <cell r="P65">
            <v>0</v>
          </cell>
          <cell r="Q65">
            <v>0</v>
          </cell>
          <cell r="R65">
            <v>0</v>
          </cell>
          <cell r="S65">
            <v>39</v>
          </cell>
          <cell r="T65">
            <v>8</v>
          </cell>
        </row>
        <row r="66">
          <cell r="C66" t="str">
            <v>Census Tract 63, King County, Washington</v>
          </cell>
          <cell r="D66">
            <v>67</v>
          </cell>
          <cell r="E66">
            <v>67</v>
          </cell>
          <cell r="F66">
            <v>29</v>
          </cell>
          <cell r="G66">
            <v>38</v>
          </cell>
          <cell r="H66">
            <v>0</v>
          </cell>
          <cell r="I66">
            <v>12</v>
          </cell>
          <cell r="J66">
            <v>26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67</v>
          </cell>
          <cell r="T66">
            <v>0</v>
          </cell>
        </row>
        <row r="67">
          <cell r="C67" t="str">
            <v>Census Tract 64, King County, Washington</v>
          </cell>
          <cell r="D67">
            <v>222</v>
          </cell>
          <cell r="E67">
            <v>198</v>
          </cell>
          <cell r="F67">
            <v>91</v>
          </cell>
          <cell r="G67">
            <v>107</v>
          </cell>
          <cell r="H67">
            <v>8</v>
          </cell>
          <cell r="I67">
            <v>9</v>
          </cell>
          <cell r="J67">
            <v>85</v>
          </cell>
          <cell r="K67">
            <v>5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24</v>
          </cell>
          <cell r="Q67">
            <v>14</v>
          </cell>
          <cell r="R67">
            <v>10</v>
          </cell>
          <cell r="S67">
            <v>198</v>
          </cell>
          <cell r="T67">
            <v>24</v>
          </cell>
        </row>
        <row r="68">
          <cell r="C68" t="str">
            <v>Census Tract 65, King County, Washington</v>
          </cell>
          <cell r="D68">
            <v>56</v>
          </cell>
          <cell r="E68">
            <v>42</v>
          </cell>
          <cell r="F68">
            <v>14</v>
          </cell>
          <cell r="G68">
            <v>28</v>
          </cell>
          <cell r="H68">
            <v>0</v>
          </cell>
          <cell r="I68">
            <v>15</v>
          </cell>
          <cell r="J68">
            <v>13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14</v>
          </cell>
          <cell r="Q68">
            <v>14</v>
          </cell>
          <cell r="R68">
            <v>0</v>
          </cell>
          <cell r="S68">
            <v>42</v>
          </cell>
          <cell r="T68">
            <v>14</v>
          </cell>
        </row>
        <row r="69">
          <cell r="C69" t="str">
            <v>Census Tract 66, King County, Washington</v>
          </cell>
          <cell r="D69">
            <v>71</v>
          </cell>
          <cell r="E69">
            <v>66</v>
          </cell>
          <cell r="F69">
            <v>10</v>
          </cell>
          <cell r="G69">
            <v>47</v>
          </cell>
          <cell r="H69">
            <v>12</v>
          </cell>
          <cell r="I69">
            <v>0</v>
          </cell>
          <cell r="J69">
            <v>13</v>
          </cell>
          <cell r="K69">
            <v>22</v>
          </cell>
          <cell r="L69">
            <v>9</v>
          </cell>
          <cell r="M69">
            <v>0</v>
          </cell>
          <cell r="N69">
            <v>0</v>
          </cell>
          <cell r="O69">
            <v>9</v>
          </cell>
          <cell r="P69">
            <v>5</v>
          </cell>
          <cell r="Q69">
            <v>0</v>
          </cell>
          <cell r="R69">
            <v>5</v>
          </cell>
          <cell r="S69">
            <v>57</v>
          </cell>
          <cell r="T69">
            <v>14</v>
          </cell>
        </row>
        <row r="70">
          <cell r="C70" t="str">
            <v>Census Tract 67, King County, Washington</v>
          </cell>
          <cell r="D70">
            <v>61</v>
          </cell>
          <cell r="E70">
            <v>49</v>
          </cell>
          <cell r="F70">
            <v>24</v>
          </cell>
          <cell r="G70">
            <v>25</v>
          </cell>
          <cell r="H70">
            <v>5</v>
          </cell>
          <cell r="I70">
            <v>7</v>
          </cell>
          <cell r="J70">
            <v>3</v>
          </cell>
          <cell r="K70">
            <v>10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12</v>
          </cell>
          <cell r="Q70">
            <v>12</v>
          </cell>
          <cell r="R70">
            <v>0</v>
          </cell>
          <cell r="S70">
            <v>49</v>
          </cell>
          <cell r="T70">
            <v>12</v>
          </cell>
        </row>
        <row r="71">
          <cell r="C71" t="str">
            <v>Census Tract 68, King County, Washington</v>
          </cell>
          <cell r="D71">
            <v>98</v>
          </cell>
          <cell r="E71">
            <v>70</v>
          </cell>
          <cell r="F71">
            <v>11</v>
          </cell>
          <cell r="G71">
            <v>59</v>
          </cell>
          <cell r="H71">
            <v>18</v>
          </cell>
          <cell r="I71">
            <v>17</v>
          </cell>
          <cell r="J71">
            <v>7</v>
          </cell>
          <cell r="K71">
            <v>17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28</v>
          </cell>
          <cell r="Q71">
            <v>0</v>
          </cell>
          <cell r="R71">
            <v>28</v>
          </cell>
          <cell r="S71">
            <v>70</v>
          </cell>
          <cell r="T71">
            <v>28</v>
          </cell>
        </row>
        <row r="72">
          <cell r="C72" t="str">
            <v>Census Tract 69, King County, Washington</v>
          </cell>
          <cell r="D72">
            <v>45</v>
          </cell>
          <cell r="E72">
            <v>38</v>
          </cell>
          <cell r="F72">
            <v>12</v>
          </cell>
          <cell r="G72">
            <v>26</v>
          </cell>
          <cell r="H72">
            <v>0</v>
          </cell>
          <cell r="I72">
            <v>0</v>
          </cell>
          <cell r="J72">
            <v>26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7</v>
          </cell>
          <cell r="Q72">
            <v>7</v>
          </cell>
          <cell r="R72">
            <v>0</v>
          </cell>
          <cell r="S72">
            <v>38</v>
          </cell>
          <cell r="T72">
            <v>7</v>
          </cell>
        </row>
        <row r="73">
          <cell r="C73" t="str">
            <v>Census Tract 70, King County, Washington</v>
          </cell>
          <cell r="D73">
            <v>143</v>
          </cell>
          <cell r="E73">
            <v>143</v>
          </cell>
          <cell r="F73">
            <v>24</v>
          </cell>
          <cell r="G73">
            <v>119</v>
          </cell>
          <cell r="H73">
            <v>11</v>
          </cell>
          <cell r="I73">
            <v>0</v>
          </cell>
          <cell r="J73">
            <v>87</v>
          </cell>
          <cell r="K73">
            <v>21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143</v>
          </cell>
          <cell r="T73">
            <v>0</v>
          </cell>
        </row>
        <row r="74">
          <cell r="C74" t="str">
            <v>Census Tract 71, King County, Washington</v>
          </cell>
          <cell r="D74">
            <v>85</v>
          </cell>
          <cell r="E74">
            <v>72</v>
          </cell>
          <cell r="F74">
            <v>31</v>
          </cell>
          <cell r="G74">
            <v>41</v>
          </cell>
          <cell r="H74">
            <v>6</v>
          </cell>
          <cell r="I74">
            <v>7</v>
          </cell>
          <cell r="J74">
            <v>19</v>
          </cell>
          <cell r="K74">
            <v>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13</v>
          </cell>
          <cell r="Q74">
            <v>7</v>
          </cell>
          <cell r="R74">
            <v>6</v>
          </cell>
          <cell r="S74">
            <v>72</v>
          </cell>
          <cell r="T74">
            <v>13</v>
          </cell>
        </row>
        <row r="75">
          <cell r="C75" t="str">
            <v>Census Tract 72, King County, Washington</v>
          </cell>
          <cell r="D75">
            <v>82</v>
          </cell>
          <cell r="E75">
            <v>82</v>
          </cell>
          <cell r="F75">
            <v>18</v>
          </cell>
          <cell r="G75">
            <v>64</v>
          </cell>
          <cell r="H75">
            <v>18</v>
          </cell>
          <cell r="I75">
            <v>13</v>
          </cell>
          <cell r="J75">
            <v>0</v>
          </cell>
          <cell r="K75">
            <v>33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82</v>
          </cell>
          <cell r="T75">
            <v>0</v>
          </cell>
        </row>
        <row r="76">
          <cell r="C76" t="str">
            <v>Census Tract 73, King County, Washington</v>
          </cell>
          <cell r="D76">
            <v>422</v>
          </cell>
          <cell r="E76">
            <v>347</v>
          </cell>
          <cell r="F76">
            <v>121</v>
          </cell>
          <cell r="G76">
            <v>226</v>
          </cell>
          <cell r="H76">
            <v>0</v>
          </cell>
          <cell r="I76">
            <v>32</v>
          </cell>
          <cell r="J76">
            <v>159</v>
          </cell>
          <cell r="K76">
            <v>35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75</v>
          </cell>
          <cell r="Q76">
            <v>31</v>
          </cell>
          <cell r="R76">
            <v>44</v>
          </cell>
          <cell r="S76">
            <v>347</v>
          </cell>
          <cell r="T76">
            <v>75</v>
          </cell>
        </row>
        <row r="77">
          <cell r="C77" t="str">
            <v>Census Tract 74, King County, Washington</v>
          </cell>
          <cell r="D77">
            <v>573</v>
          </cell>
          <cell r="E77">
            <v>469</v>
          </cell>
          <cell r="F77">
            <v>130</v>
          </cell>
          <cell r="G77">
            <v>328</v>
          </cell>
          <cell r="H77">
            <v>44</v>
          </cell>
          <cell r="I77">
            <v>37</v>
          </cell>
          <cell r="J77">
            <v>198</v>
          </cell>
          <cell r="K77">
            <v>49</v>
          </cell>
          <cell r="L77">
            <v>11</v>
          </cell>
          <cell r="M77">
            <v>0</v>
          </cell>
          <cell r="N77">
            <v>0</v>
          </cell>
          <cell r="O77">
            <v>11</v>
          </cell>
          <cell r="P77">
            <v>104</v>
          </cell>
          <cell r="Q77">
            <v>50</v>
          </cell>
          <cell r="R77">
            <v>54</v>
          </cell>
          <cell r="S77">
            <v>458</v>
          </cell>
          <cell r="T77">
            <v>115</v>
          </cell>
        </row>
        <row r="78">
          <cell r="C78" t="str">
            <v>Census Tract 75, King County, Washington</v>
          </cell>
          <cell r="D78">
            <v>430</v>
          </cell>
          <cell r="E78">
            <v>324</v>
          </cell>
          <cell r="F78">
            <v>95</v>
          </cell>
          <cell r="G78">
            <v>223</v>
          </cell>
          <cell r="H78">
            <v>8</v>
          </cell>
          <cell r="I78">
            <v>51</v>
          </cell>
          <cell r="J78">
            <v>141</v>
          </cell>
          <cell r="K78">
            <v>23</v>
          </cell>
          <cell r="L78">
            <v>6</v>
          </cell>
          <cell r="M78">
            <v>0</v>
          </cell>
          <cell r="N78">
            <v>0</v>
          </cell>
          <cell r="O78">
            <v>6</v>
          </cell>
          <cell r="P78">
            <v>106</v>
          </cell>
          <cell r="Q78">
            <v>22</v>
          </cell>
          <cell r="R78">
            <v>84</v>
          </cell>
          <cell r="S78">
            <v>318</v>
          </cell>
          <cell r="T78">
            <v>112</v>
          </cell>
        </row>
        <row r="79">
          <cell r="C79" t="str">
            <v>Census Tract 76, King County, Washington</v>
          </cell>
          <cell r="D79">
            <v>490</v>
          </cell>
          <cell r="E79">
            <v>475</v>
          </cell>
          <cell r="F79">
            <v>153</v>
          </cell>
          <cell r="G79">
            <v>322</v>
          </cell>
          <cell r="H79">
            <v>0</v>
          </cell>
          <cell r="I79">
            <v>30</v>
          </cell>
          <cell r="J79">
            <v>267</v>
          </cell>
          <cell r="K79">
            <v>25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15</v>
          </cell>
          <cell r="Q79">
            <v>6</v>
          </cell>
          <cell r="R79">
            <v>9</v>
          </cell>
          <cell r="S79">
            <v>475</v>
          </cell>
          <cell r="T79">
            <v>15</v>
          </cell>
        </row>
        <row r="80">
          <cell r="C80" t="str">
            <v>Census Tract 77, King County, Washington</v>
          </cell>
          <cell r="D80">
            <v>1567</v>
          </cell>
          <cell r="E80">
            <v>1537</v>
          </cell>
          <cell r="F80">
            <v>754</v>
          </cell>
          <cell r="G80">
            <v>783</v>
          </cell>
          <cell r="H80">
            <v>11</v>
          </cell>
          <cell r="I80">
            <v>142</v>
          </cell>
          <cell r="J80">
            <v>506</v>
          </cell>
          <cell r="K80">
            <v>124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30</v>
          </cell>
          <cell r="Q80">
            <v>6</v>
          </cell>
          <cell r="R80">
            <v>24</v>
          </cell>
          <cell r="S80">
            <v>1537</v>
          </cell>
          <cell r="T80">
            <v>30</v>
          </cell>
        </row>
        <row r="81">
          <cell r="C81" t="str">
            <v>Census Tract 78, King County, Washington</v>
          </cell>
          <cell r="D81">
            <v>1008</v>
          </cell>
          <cell r="E81">
            <v>992</v>
          </cell>
          <cell r="F81">
            <v>431</v>
          </cell>
          <cell r="G81">
            <v>540</v>
          </cell>
          <cell r="H81">
            <v>45</v>
          </cell>
          <cell r="I81">
            <v>114</v>
          </cell>
          <cell r="J81">
            <v>335</v>
          </cell>
          <cell r="K81">
            <v>46</v>
          </cell>
          <cell r="L81">
            <v>21</v>
          </cell>
          <cell r="M81">
            <v>0</v>
          </cell>
          <cell r="N81">
            <v>0</v>
          </cell>
          <cell r="O81">
            <v>21</v>
          </cell>
          <cell r="P81">
            <v>16</v>
          </cell>
          <cell r="Q81">
            <v>16</v>
          </cell>
          <cell r="R81">
            <v>0</v>
          </cell>
          <cell r="S81">
            <v>971</v>
          </cell>
          <cell r="T81">
            <v>37</v>
          </cell>
        </row>
        <row r="82">
          <cell r="C82" t="str">
            <v>Census Tract 79, King County, Washington</v>
          </cell>
          <cell r="D82">
            <v>1083</v>
          </cell>
          <cell r="E82">
            <v>926</v>
          </cell>
          <cell r="F82">
            <v>415</v>
          </cell>
          <cell r="G82">
            <v>511</v>
          </cell>
          <cell r="H82">
            <v>0</v>
          </cell>
          <cell r="I82">
            <v>105</v>
          </cell>
          <cell r="J82">
            <v>347</v>
          </cell>
          <cell r="K82">
            <v>59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157</v>
          </cell>
          <cell r="Q82">
            <v>23</v>
          </cell>
          <cell r="R82">
            <v>134</v>
          </cell>
          <cell r="S82">
            <v>926</v>
          </cell>
          <cell r="T82">
            <v>157</v>
          </cell>
        </row>
        <row r="83">
          <cell r="C83" t="str">
            <v>Census Tract 80.01, King County, Washington</v>
          </cell>
          <cell r="D83">
            <v>305</v>
          </cell>
          <cell r="E83">
            <v>283</v>
          </cell>
          <cell r="F83">
            <v>54</v>
          </cell>
          <cell r="G83">
            <v>229</v>
          </cell>
          <cell r="H83">
            <v>31</v>
          </cell>
          <cell r="I83">
            <v>78</v>
          </cell>
          <cell r="J83">
            <v>90</v>
          </cell>
          <cell r="K83">
            <v>30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22</v>
          </cell>
          <cell r="Q83">
            <v>0</v>
          </cell>
          <cell r="R83">
            <v>22</v>
          </cell>
          <cell r="S83">
            <v>283</v>
          </cell>
          <cell r="T83">
            <v>22</v>
          </cell>
        </row>
        <row r="84">
          <cell r="C84" t="str">
            <v>Census Tract 80.02, King County, Washington</v>
          </cell>
          <cell r="D84">
            <v>330</v>
          </cell>
          <cell r="E84">
            <v>307</v>
          </cell>
          <cell r="F84">
            <v>16</v>
          </cell>
          <cell r="G84">
            <v>291</v>
          </cell>
          <cell r="H84">
            <v>42</v>
          </cell>
          <cell r="I84">
            <v>29</v>
          </cell>
          <cell r="J84">
            <v>132</v>
          </cell>
          <cell r="K84">
            <v>88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23</v>
          </cell>
          <cell r="Q84">
            <v>11</v>
          </cell>
          <cell r="R84">
            <v>12</v>
          </cell>
          <cell r="S84">
            <v>307</v>
          </cell>
          <cell r="T84">
            <v>23</v>
          </cell>
        </row>
        <row r="85">
          <cell r="C85" t="str">
            <v>Census Tract 81, King County, Washington</v>
          </cell>
          <cell r="D85">
            <v>412</v>
          </cell>
          <cell r="E85">
            <v>375</v>
          </cell>
          <cell r="F85">
            <v>188</v>
          </cell>
          <cell r="G85">
            <v>187</v>
          </cell>
          <cell r="H85">
            <v>0</v>
          </cell>
          <cell r="I85">
            <v>63</v>
          </cell>
          <cell r="J85">
            <v>50</v>
          </cell>
          <cell r="K85">
            <v>74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37</v>
          </cell>
          <cell r="Q85">
            <v>0</v>
          </cell>
          <cell r="R85">
            <v>37</v>
          </cell>
          <cell r="S85">
            <v>375</v>
          </cell>
          <cell r="T85">
            <v>37</v>
          </cell>
        </row>
        <row r="86">
          <cell r="C86" t="str">
            <v>Census Tract 82, King County, Washington</v>
          </cell>
          <cell r="D86">
            <v>169</v>
          </cell>
          <cell r="E86">
            <v>147</v>
          </cell>
          <cell r="F86">
            <v>15</v>
          </cell>
          <cell r="G86">
            <v>125</v>
          </cell>
          <cell r="H86">
            <v>17</v>
          </cell>
          <cell r="I86">
            <v>0</v>
          </cell>
          <cell r="J86">
            <v>101</v>
          </cell>
          <cell r="K86">
            <v>7</v>
          </cell>
          <cell r="L86">
            <v>7</v>
          </cell>
          <cell r="M86">
            <v>0</v>
          </cell>
          <cell r="N86">
            <v>0</v>
          </cell>
          <cell r="O86">
            <v>7</v>
          </cell>
          <cell r="P86">
            <v>22</v>
          </cell>
          <cell r="Q86">
            <v>0</v>
          </cell>
          <cell r="R86">
            <v>22</v>
          </cell>
          <cell r="S86">
            <v>140</v>
          </cell>
          <cell r="T86">
            <v>29</v>
          </cell>
        </row>
        <row r="87">
          <cell r="C87" t="str">
            <v>Census Tract 83, King County, Washington</v>
          </cell>
          <cell r="D87">
            <v>165</v>
          </cell>
          <cell r="E87">
            <v>131</v>
          </cell>
          <cell r="F87">
            <v>47</v>
          </cell>
          <cell r="G87">
            <v>84</v>
          </cell>
          <cell r="H87">
            <v>14</v>
          </cell>
          <cell r="I87">
            <v>49</v>
          </cell>
          <cell r="J87">
            <v>13</v>
          </cell>
          <cell r="K87">
            <v>8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34</v>
          </cell>
          <cell r="Q87">
            <v>0</v>
          </cell>
          <cell r="R87">
            <v>34</v>
          </cell>
          <cell r="S87">
            <v>131</v>
          </cell>
          <cell r="T87">
            <v>34</v>
          </cell>
        </row>
        <row r="88">
          <cell r="C88" t="str">
            <v>Census Tract 84, King County, Washington</v>
          </cell>
          <cell r="D88">
            <v>439</v>
          </cell>
          <cell r="E88">
            <v>410</v>
          </cell>
          <cell r="F88">
            <v>166</v>
          </cell>
          <cell r="G88">
            <v>244</v>
          </cell>
          <cell r="H88">
            <v>21</v>
          </cell>
          <cell r="I88">
            <v>86</v>
          </cell>
          <cell r="J88">
            <v>69</v>
          </cell>
          <cell r="K88">
            <v>68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29</v>
          </cell>
          <cell r="Q88">
            <v>11</v>
          </cell>
          <cell r="R88">
            <v>18</v>
          </cell>
          <cell r="S88">
            <v>410</v>
          </cell>
          <cell r="T88">
            <v>29</v>
          </cell>
        </row>
        <row r="89">
          <cell r="C89" t="str">
            <v>Census Tract 85, King County, Washington</v>
          </cell>
          <cell r="D89">
            <v>1755</v>
          </cell>
          <cell r="E89">
            <v>1443</v>
          </cell>
          <cell r="F89">
            <v>676</v>
          </cell>
          <cell r="G89">
            <v>753</v>
          </cell>
          <cell r="H89">
            <v>20</v>
          </cell>
          <cell r="I89">
            <v>161</v>
          </cell>
          <cell r="J89">
            <v>226</v>
          </cell>
          <cell r="K89">
            <v>346</v>
          </cell>
          <cell r="L89">
            <v>14</v>
          </cell>
          <cell r="M89">
            <v>0</v>
          </cell>
          <cell r="N89">
            <v>7</v>
          </cell>
          <cell r="O89">
            <v>7</v>
          </cell>
          <cell r="P89">
            <v>312</v>
          </cell>
          <cell r="Q89">
            <v>30</v>
          </cell>
          <cell r="R89">
            <v>282</v>
          </cell>
          <cell r="S89">
            <v>1429</v>
          </cell>
          <cell r="T89">
            <v>326</v>
          </cell>
        </row>
        <row r="90">
          <cell r="C90" t="str">
            <v>Census Tract 86, King County, Washington</v>
          </cell>
          <cell r="D90">
            <v>481</v>
          </cell>
          <cell r="E90">
            <v>409</v>
          </cell>
          <cell r="F90">
            <v>137</v>
          </cell>
          <cell r="G90">
            <v>249</v>
          </cell>
          <cell r="H90">
            <v>23</v>
          </cell>
          <cell r="I90">
            <v>37</v>
          </cell>
          <cell r="J90">
            <v>102</v>
          </cell>
          <cell r="K90">
            <v>87</v>
          </cell>
          <cell r="L90">
            <v>23</v>
          </cell>
          <cell r="M90">
            <v>6</v>
          </cell>
          <cell r="N90">
            <v>0</v>
          </cell>
          <cell r="O90">
            <v>17</v>
          </cell>
          <cell r="P90">
            <v>72</v>
          </cell>
          <cell r="Q90">
            <v>15</v>
          </cell>
          <cell r="R90">
            <v>57</v>
          </cell>
          <cell r="S90">
            <v>386</v>
          </cell>
          <cell r="T90">
            <v>95</v>
          </cell>
        </row>
        <row r="91">
          <cell r="C91" t="str">
            <v>Census Tract 87, King County, Washington</v>
          </cell>
          <cell r="D91">
            <v>1329</v>
          </cell>
          <cell r="E91">
            <v>1286</v>
          </cell>
          <cell r="F91">
            <v>663</v>
          </cell>
          <cell r="G91">
            <v>623</v>
          </cell>
          <cell r="H91">
            <v>30</v>
          </cell>
          <cell r="I91">
            <v>78</v>
          </cell>
          <cell r="J91">
            <v>448</v>
          </cell>
          <cell r="K91">
            <v>67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43</v>
          </cell>
          <cell r="Q91">
            <v>0</v>
          </cell>
          <cell r="R91">
            <v>43</v>
          </cell>
          <cell r="S91">
            <v>1286</v>
          </cell>
          <cell r="T91">
            <v>43</v>
          </cell>
        </row>
        <row r="92">
          <cell r="C92" t="str">
            <v>Census Tract 88, King County, Washington</v>
          </cell>
          <cell r="D92">
            <v>1761</v>
          </cell>
          <cell r="E92">
            <v>1727</v>
          </cell>
          <cell r="F92">
            <v>839</v>
          </cell>
          <cell r="G92">
            <v>871</v>
          </cell>
          <cell r="H92">
            <v>32</v>
          </cell>
          <cell r="I92">
            <v>121</v>
          </cell>
          <cell r="J92">
            <v>599</v>
          </cell>
          <cell r="K92">
            <v>119</v>
          </cell>
          <cell r="L92">
            <v>17</v>
          </cell>
          <cell r="M92">
            <v>0</v>
          </cell>
          <cell r="N92">
            <v>0</v>
          </cell>
          <cell r="O92">
            <v>17</v>
          </cell>
          <cell r="P92">
            <v>34</v>
          </cell>
          <cell r="Q92">
            <v>6</v>
          </cell>
          <cell r="R92">
            <v>28</v>
          </cell>
          <cell r="S92">
            <v>1710</v>
          </cell>
          <cell r="T92">
            <v>51</v>
          </cell>
        </row>
        <row r="93">
          <cell r="C93" t="str">
            <v>Census Tract 89, King County, Washington</v>
          </cell>
          <cell r="D93">
            <v>1818</v>
          </cell>
          <cell r="E93">
            <v>1733</v>
          </cell>
          <cell r="F93">
            <v>924</v>
          </cell>
          <cell r="G93">
            <v>805</v>
          </cell>
          <cell r="H93">
            <v>44</v>
          </cell>
          <cell r="I93">
            <v>124</v>
          </cell>
          <cell r="J93">
            <v>524</v>
          </cell>
          <cell r="K93">
            <v>113</v>
          </cell>
          <cell r="L93">
            <v>4</v>
          </cell>
          <cell r="M93">
            <v>0</v>
          </cell>
          <cell r="N93">
            <v>0</v>
          </cell>
          <cell r="O93">
            <v>4</v>
          </cell>
          <cell r="P93">
            <v>85</v>
          </cell>
          <cell r="Q93">
            <v>36</v>
          </cell>
          <cell r="R93">
            <v>49</v>
          </cell>
          <cell r="S93">
            <v>1729</v>
          </cell>
          <cell r="T93">
            <v>89</v>
          </cell>
        </row>
        <row r="94">
          <cell r="C94" t="str">
            <v>Census Tract 90, King County, Washington</v>
          </cell>
          <cell r="D94">
            <v>641</v>
          </cell>
          <cell r="E94">
            <v>520</v>
          </cell>
          <cell r="F94">
            <v>234</v>
          </cell>
          <cell r="G94">
            <v>281</v>
          </cell>
          <cell r="H94">
            <v>0</v>
          </cell>
          <cell r="I94">
            <v>60</v>
          </cell>
          <cell r="J94">
            <v>184</v>
          </cell>
          <cell r="K94">
            <v>37</v>
          </cell>
          <cell r="L94">
            <v>5</v>
          </cell>
          <cell r="M94">
            <v>0</v>
          </cell>
          <cell r="N94">
            <v>0</v>
          </cell>
          <cell r="O94">
            <v>5</v>
          </cell>
          <cell r="P94">
            <v>121</v>
          </cell>
          <cell r="Q94">
            <v>9</v>
          </cell>
          <cell r="R94">
            <v>112</v>
          </cell>
          <cell r="S94">
            <v>515</v>
          </cell>
          <cell r="T94">
            <v>126</v>
          </cell>
        </row>
        <row r="95">
          <cell r="C95" t="str">
            <v>Census Tract 91, King County, Washington</v>
          </cell>
          <cell r="D95">
            <v>414</v>
          </cell>
          <cell r="E95">
            <v>240</v>
          </cell>
          <cell r="F95">
            <v>99</v>
          </cell>
          <cell r="G95">
            <v>128</v>
          </cell>
          <cell r="H95">
            <v>6</v>
          </cell>
          <cell r="I95">
            <v>32</v>
          </cell>
          <cell r="J95">
            <v>66</v>
          </cell>
          <cell r="K95">
            <v>24</v>
          </cell>
          <cell r="L95">
            <v>13</v>
          </cell>
          <cell r="M95">
            <v>0</v>
          </cell>
          <cell r="N95">
            <v>0</v>
          </cell>
          <cell r="O95">
            <v>13</v>
          </cell>
          <cell r="P95">
            <v>174</v>
          </cell>
          <cell r="Q95">
            <v>96</v>
          </cell>
          <cell r="R95">
            <v>78</v>
          </cell>
          <cell r="S95">
            <v>227</v>
          </cell>
          <cell r="T95">
            <v>187</v>
          </cell>
        </row>
        <row r="96">
          <cell r="C96" t="str">
            <v>Census Tract 92, King County, Washington</v>
          </cell>
          <cell r="D96">
            <v>181</v>
          </cell>
          <cell r="E96">
            <v>177</v>
          </cell>
          <cell r="F96">
            <v>26</v>
          </cell>
          <cell r="G96">
            <v>127</v>
          </cell>
          <cell r="H96">
            <v>12</v>
          </cell>
          <cell r="I96">
            <v>21</v>
          </cell>
          <cell r="J96">
            <v>60</v>
          </cell>
          <cell r="K96">
            <v>34</v>
          </cell>
          <cell r="L96">
            <v>24</v>
          </cell>
          <cell r="M96">
            <v>10</v>
          </cell>
          <cell r="N96">
            <v>0</v>
          </cell>
          <cell r="O96">
            <v>14</v>
          </cell>
          <cell r="P96">
            <v>4</v>
          </cell>
          <cell r="Q96">
            <v>0</v>
          </cell>
          <cell r="R96">
            <v>4</v>
          </cell>
          <cell r="S96">
            <v>153</v>
          </cell>
          <cell r="T96">
            <v>28</v>
          </cell>
        </row>
        <row r="97">
          <cell r="C97" t="str">
            <v>Census Tract 93, King County, Washington</v>
          </cell>
          <cell r="D97">
            <v>333</v>
          </cell>
          <cell r="E97">
            <v>283</v>
          </cell>
          <cell r="F97">
            <v>82</v>
          </cell>
          <cell r="G97">
            <v>201</v>
          </cell>
          <cell r="H97">
            <v>16</v>
          </cell>
          <cell r="I97">
            <v>47</v>
          </cell>
          <cell r="J97">
            <v>118</v>
          </cell>
          <cell r="K97">
            <v>20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50</v>
          </cell>
          <cell r="Q97">
            <v>13</v>
          </cell>
          <cell r="R97">
            <v>37</v>
          </cell>
          <cell r="S97">
            <v>283</v>
          </cell>
          <cell r="T97">
            <v>50</v>
          </cell>
        </row>
        <row r="98">
          <cell r="C98" t="str">
            <v>Census Tract 94, King County, Washington</v>
          </cell>
          <cell r="D98">
            <v>766</v>
          </cell>
          <cell r="E98">
            <v>597</v>
          </cell>
          <cell r="F98">
            <v>246</v>
          </cell>
          <cell r="G98">
            <v>346</v>
          </cell>
          <cell r="H98">
            <v>18</v>
          </cell>
          <cell r="I98">
            <v>73</v>
          </cell>
          <cell r="J98">
            <v>222</v>
          </cell>
          <cell r="K98">
            <v>33</v>
          </cell>
          <cell r="L98">
            <v>5</v>
          </cell>
          <cell r="M98">
            <v>0</v>
          </cell>
          <cell r="N98">
            <v>0</v>
          </cell>
          <cell r="O98">
            <v>5</v>
          </cell>
          <cell r="P98">
            <v>169</v>
          </cell>
          <cell r="Q98">
            <v>109</v>
          </cell>
          <cell r="R98">
            <v>60</v>
          </cell>
          <cell r="S98">
            <v>592</v>
          </cell>
          <cell r="T98">
            <v>174</v>
          </cell>
        </row>
        <row r="99">
          <cell r="C99" t="str">
            <v>Census Tract 95, King County, Washington</v>
          </cell>
          <cell r="D99">
            <v>1350</v>
          </cell>
          <cell r="E99">
            <v>1315</v>
          </cell>
          <cell r="F99">
            <v>708</v>
          </cell>
          <cell r="G99">
            <v>600</v>
          </cell>
          <cell r="H99">
            <v>48</v>
          </cell>
          <cell r="I99">
            <v>40</v>
          </cell>
          <cell r="J99">
            <v>401</v>
          </cell>
          <cell r="K99">
            <v>111</v>
          </cell>
          <cell r="L99">
            <v>7</v>
          </cell>
          <cell r="M99">
            <v>0</v>
          </cell>
          <cell r="N99">
            <v>0</v>
          </cell>
          <cell r="O99">
            <v>7</v>
          </cell>
          <cell r="P99">
            <v>35</v>
          </cell>
          <cell r="Q99">
            <v>29</v>
          </cell>
          <cell r="R99">
            <v>6</v>
          </cell>
          <cell r="S99">
            <v>1308</v>
          </cell>
          <cell r="T99">
            <v>42</v>
          </cell>
        </row>
        <row r="100">
          <cell r="C100" t="str">
            <v>Census Tract 96, King County, Washington</v>
          </cell>
          <cell r="D100">
            <v>55</v>
          </cell>
          <cell r="E100">
            <v>55</v>
          </cell>
          <cell r="F100">
            <v>7</v>
          </cell>
          <cell r="G100">
            <v>48</v>
          </cell>
          <cell r="H100">
            <v>12</v>
          </cell>
          <cell r="I100">
            <v>7</v>
          </cell>
          <cell r="J100">
            <v>20</v>
          </cell>
          <cell r="K100">
            <v>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55</v>
          </cell>
          <cell r="T100">
            <v>0</v>
          </cell>
        </row>
        <row r="101">
          <cell r="C101" t="str">
            <v>Census Tract 97.01, King County, Washington</v>
          </cell>
          <cell r="D101">
            <v>47</v>
          </cell>
          <cell r="E101">
            <v>42</v>
          </cell>
          <cell r="F101">
            <v>26</v>
          </cell>
          <cell r="G101">
            <v>16</v>
          </cell>
          <cell r="H101">
            <v>0</v>
          </cell>
          <cell r="I101">
            <v>0</v>
          </cell>
          <cell r="J101">
            <v>0</v>
          </cell>
          <cell r="K101">
            <v>16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5</v>
          </cell>
          <cell r="Q101">
            <v>5</v>
          </cell>
          <cell r="R101">
            <v>0</v>
          </cell>
          <cell r="S101">
            <v>42</v>
          </cell>
          <cell r="T101">
            <v>5</v>
          </cell>
        </row>
        <row r="102">
          <cell r="C102" t="str">
            <v>Census Tract 97.02, King County, Washington</v>
          </cell>
          <cell r="D102">
            <v>32</v>
          </cell>
          <cell r="E102">
            <v>32</v>
          </cell>
          <cell r="F102">
            <v>20</v>
          </cell>
          <cell r="G102">
            <v>12</v>
          </cell>
          <cell r="H102">
            <v>0</v>
          </cell>
          <cell r="I102">
            <v>0</v>
          </cell>
          <cell r="J102">
            <v>12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32</v>
          </cell>
          <cell r="T102">
            <v>0</v>
          </cell>
        </row>
        <row r="103">
          <cell r="C103" t="str">
            <v>Census Tract 98, King County, Washington</v>
          </cell>
          <cell r="D103">
            <v>195</v>
          </cell>
          <cell r="E103">
            <v>153</v>
          </cell>
          <cell r="F103">
            <v>81</v>
          </cell>
          <cell r="G103">
            <v>72</v>
          </cell>
          <cell r="H103">
            <v>0</v>
          </cell>
          <cell r="I103">
            <v>7</v>
          </cell>
          <cell r="J103">
            <v>65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42</v>
          </cell>
          <cell r="Q103">
            <v>26</v>
          </cell>
          <cell r="R103">
            <v>16</v>
          </cell>
          <cell r="S103">
            <v>153</v>
          </cell>
          <cell r="T103">
            <v>42</v>
          </cell>
        </row>
        <row r="104">
          <cell r="C104" t="str">
            <v>Census Tract 99, King County, Washington</v>
          </cell>
          <cell r="D104">
            <v>338</v>
          </cell>
          <cell r="E104">
            <v>316</v>
          </cell>
          <cell r="F104">
            <v>177</v>
          </cell>
          <cell r="G104">
            <v>139</v>
          </cell>
          <cell r="H104">
            <v>22</v>
          </cell>
          <cell r="I104">
            <v>17</v>
          </cell>
          <cell r="J104">
            <v>58</v>
          </cell>
          <cell r="K104">
            <v>42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22</v>
          </cell>
          <cell r="Q104">
            <v>5</v>
          </cell>
          <cell r="R104">
            <v>17</v>
          </cell>
          <cell r="S104">
            <v>316</v>
          </cell>
          <cell r="T104">
            <v>22</v>
          </cell>
        </row>
        <row r="105">
          <cell r="C105" t="str">
            <v>Census Tract 100, King County, Washington</v>
          </cell>
          <cell r="D105">
            <v>1071</v>
          </cell>
          <cell r="E105">
            <v>909</v>
          </cell>
          <cell r="F105">
            <v>483</v>
          </cell>
          <cell r="G105">
            <v>426</v>
          </cell>
          <cell r="H105">
            <v>32</v>
          </cell>
          <cell r="I105">
            <v>9</v>
          </cell>
          <cell r="J105">
            <v>297</v>
          </cell>
          <cell r="K105">
            <v>88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162</v>
          </cell>
          <cell r="Q105">
            <v>35</v>
          </cell>
          <cell r="R105">
            <v>127</v>
          </cell>
          <cell r="S105">
            <v>909</v>
          </cell>
          <cell r="T105">
            <v>162</v>
          </cell>
        </row>
        <row r="106">
          <cell r="C106" t="str">
            <v>Census Tract 101, King County, Washington</v>
          </cell>
          <cell r="D106">
            <v>1630</v>
          </cell>
          <cell r="E106">
            <v>1384</v>
          </cell>
          <cell r="F106">
            <v>596</v>
          </cell>
          <cell r="G106">
            <v>768</v>
          </cell>
          <cell r="H106">
            <v>117</v>
          </cell>
          <cell r="I106">
            <v>119</v>
          </cell>
          <cell r="J106">
            <v>466</v>
          </cell>
          <cell r="K106">
            <v>66</v>
          </cell>
          <cell r="L106">
            <v>20</v>
          </cell>
          <cell r="M106">
            <v>0</v>
          </cell>
          <cell r="N106">
            <v>0</v>
          </cell>
          <cell r="O106">
            <v>20</v>
          </cell>
          <cell r="P106">
            <v>246</v>
          </cell>
          <cell r="Q106">
            <v>41</v>
          </cell>
          <cell r="R106">
            <v>205</v>
          </cell>
          <cell r="S106">
            <v>1364</v>
          </cell>
          <cell r="T106">
            <v>266</v>
          </cell>
        </row>
        <row r="107">
          <cell r="C107" t="str">
            <v>Census Tract 102, King County, Washington</v>
          </cell>
          <cell r="D107">
            <v>938</v>
          </cell>
          <cell r="E107">
            <v>827</v>
          </cell>
          <cell r="F107">
            <v>442</v>
          </cell>
          <cell r="G107">
            <v>379</v>
          </cell>
          <cell r="H107">
            <v>33</v>
          </cell>
          <cell r="I107">
            <v>30</v>
          </cell>
          <cell r="J107">
            <v>286</v>
          </cell>
          <cell r="K107">
            <v>30</v>
          </cell>
          <cell r="L107">
            <v>6</v>
          </cell>
          <cell r="M107">
            <v>0</v>
          </cell>
          <cell r="N107">
            <v>6</v>
          </cell>
          <cell r="O107">
            <v>0</v>
          </cell>
          <cell r="P107">
            <v>111</v>
          </cell>
          <cell r="Q107">
            <v>84</v>
          </cell>
          <cell r="R107">
            <v>27</v>
          </cell>
          <cell r="S107">
            <v>821</v>
          </cell>
          <cell r="T107">
            <v>117</v>
          </cell>
        </row>
        <row r="108">
          <cell r="C108" t="str">
            <v>Census Tract 103, King County, Washington</v>
          </cell>
          <cell r="D108">
            <v>1970</v>
          </cell>
          <cell r="E108">
            <v>1798</v>
          </cell>
          <cell r="F108">
            <v>1021</v>
          </cell>
          <cell r="G108">
            <v>777</v>
          </cell>
          <cell r="H108">
            <v>37</v>
          </cell>
          <cell r="I108">
            <v>122</v>
          </cell>
          <cell r="J108">
            <v>546</v>
          </cell>
          <cell r="K108">
            <v>72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172</v>
          </cell>
          <cell r="Q108">
            <v>31</v>
          </cell>
          <cell r="R108">
            <v>141</v>
          </cell>
          <cell r="S108">
            <v>1798</v>
          </cell>
          <cell r="T108">
            <v>172</v>
          </cell>
        </row>
        <row r="109">
          <cell r="C109" t="str">
            <v>Census Tract 104, King County, Washington</v>
          </cell>
          <cell r="D109">
            <v>1275</v>
          </cell>
          <cell r="E109">
            <v>1203</v>
          </cell>
          <cell r="F109">
            <v>567</v>
          </cell>
          <cell r="G109">
            <v>636</v>
          </cell>
          <cell r="H109">
            <v>24</v>
          </cell>
          <cell r="I109">
            <v>74</v>
          </cell>
          <cell r="J109">
            <v>407</v>
          </cell>
          <cell r="K109">
            <v>131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72</v>
          </cell>
          <cell r="Q109">
            <v>13</v>
          </cell>
          <cell r="R109">
            <v>59</v>
          </cell>
          <cell r="S109">
            <v>1203</v>
          </cell>
          <cell r="T109">
            <v>72</v>
          </cell>
        </row>
        <row r="110">
          <cell r="C110" t="str">
            <v>Census Tract 105, King County, Washington</v>
          </cell>
          <cell r="D110">
            <v>147</v>
          </cell>
          <cell r="E110">
            <v>124</v>
          </cell>
          <cell r="F110">
            <v>54</v>
          </cell>
          <cell r="G110">
            <v>59</v>
          </cell>
          <cell r="H110">
            <v>0</v>
          </cell>
          <cell r="I110">
            <v>28</v>
          </cell>
          <cell r="J110">
            <v>10</v>
          </cell>
          <cell r="K110">
            <v>21</v>
          </cell>
          <cell r="L110">
            <v>11</v>
          </cell>
          <cell r="M110">
            <v>0</v>
          </cell>
          <cell r="N110">
            <v>0</v>
          </cell>
          <cell r="O110">
            <v>11</v>
          </cell>
          <cell r="P110">
            <v>23</v>
          </cell>
          <cell r="Q110">
            <v>10</v>
          </cell>
          <cell r="R110">
            <v>13</v>
          </cell>
          <cell r="S110">
            <v>113</v>
          </cell>
          <cell r="T110">
            <v>34</v>
          </cell>
        </row>
        <row r="111">
          <cell r="C111" t="str">
            <v>Census Tract 106, King County, Washington</v>
          </cell>
          <cell r="D111">
            <v>204</v>
          </cell>
          <cell r="E111">
            <v>183</v>
          </cell>
          <cell r="F111">
            <v>69</v>
          </cell>
          <cell r="G111">
            <v>114</v>
          </cell>
          <cell r="H111">
            <v>11</v>
          </cell>
          <cell r="I111">
            <v>11</v>
          </cell>
          <cell r="J111">
            <v>92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21</v>
          </cell>
          <cell r="Q111">
            <v>0</v>
          </cell>
          <cell r="R111">
            <v>21</v>
          </cell>
          <cell r="S111">
            <v>183</v>
          </cell>
          <cell r="T111">
            <v>21</v>
          </cell>
        </row>
        <row r="112">
          <cell r="C112" t="str">
            <v>Census Tract 107, King County, Washington</v>
          </cell>
          <cell r="D112">
            <v>1318</v>
          </cell>
          <cell r="E112">
            <v>1153</v>
          </cell>
          <cell r="F112">
            <v>782</v>
          </cell>
          <cell r="G112">
            <v>371</v>
          </cell>
          <cell r="H112">
            <v>22</v>
          </cell>
          <cell r="I112">
            <v>62</v>
          </cell>
          <cell r="J112">
            <v>235</v>
          </cell>
          <cell r="K112">
            <v>52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165</v>
          </cell>
          <cell r="Q112">
            <v>15</v>
          </cell>
          <cell r="R112">
            <v>150</v>
          </cell>
          <cell r="S112">
            <v>1153</v>
          </cell>
          <cell r="T112">
            <v>165</v>
          </cell>
        </row>
        <row r="113">
          <cell r="C113" t="str">
            <v>Census Tract 108, King County, Washington</v>
          </cell>
          <cell r="D113">
            <v>362</v>
          </cell>
          <cell r="E113">
            <v>336</v>
          </cell>
          <cell r="F113">
            <v>203</v>
          </cell>
          <cell r="G113">
            <v>114</v>
          </cell>
          <cell r="H113">
            <v>11</v>
          </cell>
          <cell r="I113">
            <v>13</v>
          </cell>
          <cell r="J113">
            <v>84</v>
          </cell>
          <cell r="K113">
            <v>6</v>
          </cell>
          <cell r="L113">
            <v>19</v>
          </cell>
          <cell r="M113">
            <v>0</v>
          </cell>
          <cell r="N113">
            <v>0</v>
          </cell>
          <cell r="O113">
            <v>19</v>
          </cell>
          <cell r="P113">
            <v>26</v>
          </cell>
          <cell r="Q113">
            <v>4</v>
          </cell>
          <cell r="R113">
            <v>22</v>
          </cell>
          <cell r="S113">
            <v>317</v>
          </cell>
          <cell r="T113">
            <v>45</v>
          </cell>
        </row>
        <row r="114">
          <cell r="C114" t="str">
            <v>Census Tract 109, King County, Washington</v>
          </cell>
          <cell r="D114">
            <v>87</v>
          </cell>
          <cell r="E114">
            <v>70</v>
          </cell>
          <cell r="F114">
            <v>39</v>
          </cell>
          <cell r="G114">
            <v>31</v>
          </cell>
          <cell r="H114">
            <v>4</v>
          </cell>
          <cell r="I114">
            <v>11</v>
          </cell>
          <cell r="J114">
            <v>16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17</v>
          </cell>
          <cell r="Q114">
            <v>5</v>
          </cell>
          <cell r="R114">
            <v>12</v>
          </cell>
          <cell r="S114">
            <v>70</v>
          </cell>
          <cell r="T114">
            <v>17</v>
          </cell>
        </row>
        <row r="115">
          <cell r="C115" t="str">
            <v>Census Tract 110, King County, Washington</v>
          </cell>
          <cell r="D115">
            <v>1408</v>
          </cell>
          <cell r="E115">
            <v>953</v>
          </cell>
          <cell r="F115">
            <v>544</v>
          </cell>
          <cell r="G115">
            <v>391</v>
          </cell>
          <cell r="H115">
            <v>26</v>
          </cell>
          <cell r="I115">
            <v>49</v>
          </cell>
          <cell r="J115">
            <v>308</v>
          </cell>
          <cell r="K115">
            <v>8</v>
          </cell>
          <cell r="L115">
            <v>18</v>
          </cell>
          <cell r="M115">
            <v>0</v>
          </cell>
          <cell r="N115">
            <v>0</v>
          </cell>
          <cell r="O115">
            <v>18</v>
          </cell>
          <cell r="P115">
            <v>455</v>
          </cell>
          <cell r="Q115">
            <v>150</v>
          </cell>
          <cell r="R115">
            <v>305</v>
          </cell>
          <cell r="S115">
            <v>935</v>
          </cell>
          <cell r="T115">
            <v>473</v>
          </cell>
        </row>
        <row r="116">
          <cell r="C116" t="str">
            <v>Census Tract 111.01, King County, Washington</v>
          </cell>
          <cell r="D116">
            <v>1230</v>
          </cell>
          <cell r="E116">
            <v>1059</v>
          </cell>
          <cell r="F116">
            <v>513</v>
          </cell>
          <cell r="G116">
            <v>546</v>
          </cell>
          <cell r="H116">
            <v>32</v>
          </cell>
          <cell r="I116">
            <v>143</v>
          </cell>
          <cell r="J116">
            <v>364</v>
          </cell>
          <cell r="K116">
            <v>7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171</v>
          </cell>
          <cell r="Q116">
            <v>66</v>
          </cell>
          <cell r="R116">
            <v>105</v>
          </cell>
          <cell r="S116">
            <v>1059</v>
          </cell>
          <cell r="T116">
            <v>171</v>
          </cell>
        </row>
        <row r="117">
          <cell r="C117" t="str">
            <v>Census Tract 111.02, King County, Washington</v>
          </cell>
          <cell r="D117">
            <v>609</v>
          </cell>
          <cell r="E117">
            <v>554</v>
          </cell>
          <cell r="F117">
            <v>306</v>
          </cell>
          <cell r="G117">
            <v>242</v>
          </cell>
          <cell r="H117">
            <v>0</v>
          </cell>
          <cell r="I117">
            <v>57</v>
          </cell>
          <cell r="J117">
            <v>142</v>
          </cell>
          <cell r="K117">
            <v>43</v>
          </cell>
          <cell r="L117">
            <v>6</v>
          </cell>
          <cell r="M117">
            <v>6</v>
          </cell>
          <cell r="N117">
            <v>0</v>
          </cell>
          <cell r="O117">
            <v>0</v>
          </cell>
          <cell r="P117">
            <v>55</v>
          </cell>
          <cell r="Q117">
            <v>29</v>
          </cell>
          <cell r="R117">
            <v>26</v>
          </cell>
          <cell r="S117">
            <v>548</v>
          </cell>
          <cell r="T117">
            <v>61</v>
          </cell>
        </row>
        <row r="118">
          <cell r="C118" t="str">
            <v>Census Tract 112, King County, Washington</v>
          </cell>
          <cell r="D118">
            <v>279</v>
          </cell>
          <cell r="E118">
            <v>279</v>
          </cell>
          <cell r="F118">
            <v>105</v>
          </cell>
          <cell r="G118">
            <v>174</v>
          </cell>
          <cell r="H118">
            <v>11</v>
          </cell>
          <cell r="I118">
            <v>34</v>
          </cell>
          <cell r="J118">
            <v>121</v>
          </cell>
          <cell r="K118">
            <v>8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279</v>
          </cell>
          <cell r="T118">
            <v>0</v>
          </cell>
        </row>
        <row r="119">
          <cell r="C119" t="str">
            <v>Census Tract 113, King County, Washington</v>
          </cell>
          <cell r="D119">
            <v>569</v>
          </cell>
          <cell r="E119">
            <v>522</v>
          </cell>
          <cell r="F119">
            <v>291</v>
          </cell>
          <cell r="G119">
            <v>231</v>
          </cell>
          <cell r="H119">
            <v>19</v>
          </cell>
          <cell r="I119">
            <v>21</v>
          </cell>
          <cell r="J119">
            <v>98</v>
          </cell>
          <cell r="K119">
            <v>93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47</v>
          </cell>
          <cell r="Q119">
            <v>6</v>
          </cell>
          <cell r="R119">
            <v>41</v>
          </cell>
          <cell r="S119">
            <v>522</v>
          </cell>
          <cell r="T119">
            <v>47</v>
          </cell>
        </row>
        <row r="120">
          <cell r="C120" t="str">
            <v>Census Tract 114, King County, Washington</v>
          </cell>
          <cell r="D120">
            <v>935</v>
          </cell>
          <cell r="E120">
            <v>822</v>
          </cell>
          <cell r="F120">
            <v>428</v>
          </cell>
          <cell r="G120">
            <v>371</v>
          </cell>
          <cell r="H120">
            <v>38</v>
          </cell>
          <cell r="I120">
            <v>72</v>
          </cell>
          <cell r="J120">
            <v>135</v>
          </cell>
          <cell r="K120">
            <v>126</v>
          </cell>
          <cell r="L120">
            <v>23</v>
          </cell>
          <cell r="M120">
            <v>0</v>
          </cell>
          <cell r="N120">
            <v>0</v>
          </cell>
          <cell r="O120">
            <v>23</v>
          </cell>
          <cell r="P120">
            <v>113</v>
          </cell>
          <cell r="Q120">
            <v>55</v>
          </cell>
          <cell r="R120">
            <v>58</v>
          </cell>
          <cell r="S120">
            <v>799</v>
          </cell>
          <cell r="T120">
            <v>136</v>
          </cell>
        </row>
        <row r="121">
          <cell r="C121" t="str">
            <v>Census Tract 115, King County, Washington</v>
          </cell>
          <cell r="D121">
            <v>157</v>
          </cell>
          <cell r="E121">
            <v>151</v>
          </cell>
          <cell r="F121">
            <v>50</v>
          </cell>
          <cell r="G121">
            <v>101</v>
          </cell>
          <cell r="H121">
            <v>9</v>
          </cell>
          <cell r="I121">
            <v>32</v>
          </cell>
          <cell r="J121">
            <v>24</v>
          </cell>
          <cell r="K121">
            <v>36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6</v>
          </cell>
          <cell r="Q121">
            <v>0</v>
          </cell>
          <cell r="R121">
            <v>6</v>
          </cell>
          <cell r="S121">
            <v>151</v>
          </cell>
          <cell r="T121">
            <v>6</v>
          </cell>
        </row>
        <row r="122">
          <cell r="C122" t="str">
            <v>Census Tract 116, King County, Washington</v>
          </cell>
          <cell r="D122">
            <v>38</v>
          </cell>
          <cell r="E122">
            <v>38</v>
          </cell>
          <cell r="F122">
            <v>8</v>
          </cell>
          <cell r="G122">
            <v>22</v>
          </cell>
          <cell r="H122">
            <v>0</v>
          </cell>
          <cell r="I122">
            <v>8</v>
          </cell>
          <cell r="J122">
            <v>14</v>
          </cell>
          <cell r="K122">
            <v>0</v>
          </cell>
          <cell r="L122">
            <v>8</v>
          </cell>
          <cell r="M122">
            <v>0</v>
          </cell>
          <cell r="N122">
            <v>0</v>
          </cell>
          <cell r="O122">
            <v>8</v>
          </cell>
          <cell r="P122">
            <v>0</v>
          </cell>
          <cell r="Q122">
            <v>0</v>
          </cell>
          <cell r="R122">
            <v>0</v>
          </cell>
          <cell r="S122">
            <v>30</v>
          </cell>
          <cell r="T122">
            <v>8</v>
          </cell>
        </row>
        <row r="123">
          <cell r="C123" t="str">
            <v>Census Tract 117, King County, Washington</v>
          </cell>
          <cell r="D123">
            <v>1323</v>
          </cell>
          <cell r="E123">
            <v>1241</v>
          </cell>
          <cell r="F123">
            <v>627</v>
          </cell>
          <cell r="G123">
            <v>606</v>
          </cell>
          <cell r="H123">
            <v>36</v>
          </cell>
          <cell r="I123">
            <v>174</v>
          </cell>
          <cell r="J123">
            <v>327</v>
          </cell>
          <cell r="K123">
            <v>69</v>
          </cell>
          <cell r="L123">
            <v>8</v>
          </cell>
          <cell r="M123">
            <v>0</v>
          </cell>
          <cell r="N123">
            <v>0</v>
          </cell>
          <cell r="O123">
            <v>8</v>
          </cell>
          <cell r="P123">
            <v>82</v>
          </cell>
          <cell r="Q123">
            <v>16</v>
          </cell>
          <cell r="R123">
            <v>66</v>
          </cell>
          <cell r="S123">
            <v>1233</v>
          </cell>
          <cell r="T123">
            <v>90</v>
          </cell>
        </row>
        <row r="124">
          <cell r="C124" t="str">
            <v>Census Tract 118, King County, Washington</v>
          </cell>
          <cell r="D124">
            <v>2490</v>
          </cell>
          <cell r="E124">
            <v>2346</v>
          </cell>
          <cell r="F124">
            <v>1255</v>
          </cell>
          <cell r="G124">
            <v>1091</v>
          </cell>
          <cell r="H124">
            <v>47</v>
          </cell>
          <cell r="I124">
            <v>122</v>
          </cell>
          <cell r="J124">
            <v>735</v>
          </cell>
          <cell r="K124">
            <v>187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144</v>
          </cell>
          <cell r="Q124">
            <v>34</v>
          </cell>
          <cell r="R124">
            <v>110</v>
          </cell>
          <cell r="S124">
            <v>2346</v>
          </cell>
          <cell r="T124">
            <v>144</v>
          </cell>
        </row>
        <row r="125">
          <cell r="C125" t="str">
            <v>Census Tract 119, King County, Washington</v>
          </cell>
          <cell r="D125">
            <v>2176</v>
          </cell>
          <cell r="E125">
            <v>2103</v>
          </cell>
          <cell r="F125">
            <v>1044</v>
          </cell>
          <cell r="G125">
            <v>991</v>
          </cell>
          <cell r="H125">
            <v>32</v>
          </cell>
          <cell r="I125">
            <v>118</v>
          </cell>
          <cell r="J125">
            <v>689</v>
          </cell>
          <cell r="K125">
            <v>152</v>
          </cell>
          <cell r="L125">
            <v>68</v>
          </cell>
          <cell r="M125">
            <v>0</v>
          </cell>
          <cell r="N125">
            <v>8</v>
          </cell>
          <cell r="O125">
            <v>60</v>
          </cell>
          <cell r="P125">
            <v>73</v>
          </cell>
          <cell r="Q125">
            <v>39</v>
          </cell>
          <cell r="R125">
            <v>34</v>
          </cell>
          <cell r="S125">
            <v>2035</v>
          </cell>
          <cell r="T125">
            <v>141</v>
          </cell>
        </row>
        <row r="126">
          <cell r="C126" t="str">
            <v>Census Tract 120, King County, Washington</v>
          </cell>
          <cell r="D126">
            <v>68</v>
          </cell>
          <cell r="E126">
            <v>68</v>
          </cell>
          <cell r="F126">
            <v>25</v>
          </cell>
          <cell r="G126">
            <v>38</v>
          </cell>
          <cell r="H126">
            <v>9</v>
          </cell>
          <cell r="I126">
            <v>19</v>
          </cell>
          <cell r="J126">
            <v>5</v>
          </cell>
          <cell r="K126">
            <v>5</v>
          </cell>
          <cell r="L126">
            <v>5</v>
          </cell>
          <cell r="M126">
            <v>0</v>
          </cell>
          <cell r="N126">
            <v>0</v>
          </cell>
          <cell r="O126">
            <v>5</v>
          </cell>
          <cell r="P126">
            <v>0</v>
          </cell>
          <cell r="Q126">
            <v>0</v>
          </cell>
          <cell r="R126">
            <v>0</v>
          </cell>
          <cell r="S126">
            <v>63</v>
          </cell>
          <cell r="T126">
            <v>5</v>
          </cell>
        </row>
        <row r="127">
          <cell r="C127" t="str">
            <v>Census Tract 121, King County, Washington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Census Tract 201, King County, Washington</v>
          </cell>
          <cell r="D128">
            <v>5</v>
          </cell>
          <cell r="E128">
            <v>5</v>
          </cell>
          <cell r="F128">
            <v>0</v>
          </cell>
          <cell r="G128">
            <v>5</v>
          </cell>
          <cell r="H128">
            <v>0</v>
          </cell>
          <cell r="I128">
            <v>5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5</v>
          </cell>
          <cell r="T128">
            <v>0</v>
          </cell>
        </row>
        <row r="129">
          <cell r="C129" t="str">
            <v>Census Tract 202, King County, Washington</v>
          </cell>
          <cell r="D129">
            <v>113</v>
          </cell>
          <cell r="E129">
            <v>59</v>
          </cell>
          <cell r="F129">
            <v>30</v>
          </cell>
          <cell r="G129">
            <v>29</v>
          </cell>
          <cell r="H129">
            <v>0</v>
          </cell>
          <cell r="I129">
            <v>16</v>
          </cell>
          <cell r="J129">
            <v>13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54</v>
          </cell>
          <cell r="Q129">
            <v>11</v>
          </cell>
          <cell r="R129">
            <v>43</v>
          </cell>
          <cell r="S129">
            <v>59</v>
          </cell>
          <cell r="T129">
            <v>54</v>
          </cell>
        </row>
        <row r="130">
          <cell r="C130" t="str">
            <v>Census Tract 203, King County, Washington</v>
          </cell>
          <cell r="D130">
            <v>216</v>
          </cell>
          <cell r="E130">
            <v>175</v>
          </cell>
          <cell r="F130">
            <v>93</v>
          </cell>
          <cell r="G130">
            <v>61</v>
          </cell>
          <cell r="H130">
            <v>0</v>
          </cell>
          <cell r="I130">
            <v>0</v>
          </cell>
          <cell r="J130">
            <v>61</v>
          </cell>
          <cell r="K130">
            <v>0</v>
          </cell>
          <cell r="L130">
            <v>21</v>
          </cell>
          <cell r="M130">
            <v>0</v>
          </cell>
          <cell r="N130">
            <v>0</v>
          </cell>
          <cell r="O130">
            <v>21</v>
          </cell>
          <cell r="P130">
            <v>41</v>
          </cell>
          <cell r="Q130">
            <v>13</v>
          </cell>
          <cell r="R130">
            <v>28</v>
          </cell>
          <cell r="S130">
            <v>154</v>
          </cell>
          <cell r="T130">
            <v>62</v>
          </cell>
        </row>
        <row r="131">
          <cell r="C131" t="str">
            <v>Census Tract 204.01, King County, Washington</v>
          </cell>
          <cell r="D131">
            <v>158</v>
          </cell>
          <cell r="E131">
            <v>150</v>
          </cell>
          <cell r="F131">
            <v>55</v>
          </cell>
          <cell r="G131">
            <v>71</v>
          </cell>
          <cell r="H131">
            <v>15</v>
          </cell>
          <cell r="I131">
            <v>0</v>
          </cell>
          <cell r="J131">
            <v>31</v>
          </cell>
          <cell r="K131">
            <v>25</v>
          </cell>
          <cell r="L131">
            <v>24</v>
          </cell>
          <cell r="M131">
            <v>0</v>
          </cell>
          <cell r="N131">
            <v>24</v>
          </cell>
          <cell r="O131">
            <v>0</v>
          </cell>
          <cell r="P131">
            <v>8</v>
          </cell>
          <cell r="Q131">
            <v>0</v>
          </cell>
          <cell r="R131">
            <v>8</v>
          </cell>
          <cell r="S131">
            <v>126</v>
          </cell>
          <cell r="T131">
            <v>32</v>
          </cell>
        </row>
        <row r="132">
          <cell r="C132" t="str">
            <v>Census Tract 204.02, King County, Washington</v>
          </cell>
          <cell r="D132">
            <v>71</v>
          </cell>
          <cell r="E132">
            <v>53</v>
          </cell>
          <cell r="F132">
            <v>0</v>
          </cell>
          <cell r="G132">
            <v>53</v>
          </cell>
          <cell r="H132">
            <v>13</v>
          </cell>
          <cell r="I132">
            <v>17</v>
          </cell>
          <cell r="J132">
            <v>10</v>
          </cell>
          <cell r="K132">
            <v>13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18</v>
          </cell>
          <cell r="Q132">
            <v>0</v>
          </cell>
          <cell r="R132">
            <v>18</v>
          </cell>
          <cell r="S132">
            <v>53</v>
          </cell>
          <cell r="T132">
            <v>18</v>
          </cell>
        </row>
        <row r="133">
          <cell r="C133" t="str">
            <v>Census Tract 205, King County, Washington</v>
          </cell>
          <cell r="D133">
            <v>196</v>
          </cell>
          <cell r="E133">
            <v>141</v>
          </cell>
          <cell r="F133">
            <v>66</v>
          </cell>
          <cell r="G133">
            <v>75</v>
          </cell>
          <cell r="H133">
            <v>15</v>
          </cell>
          <cell r="I133">
            <v>2</v>
          </cell>
          <cell r="J133">
            <v>20</v>
          </cell>
          <cell r="K133">
            <v>38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55</v>
          </cell>
          <cell r="Q133">
            <v>34</v>
          </cell>
          <cell r="R133">
            <v>21</v>
          </cell>
          <cell r="S133">
            <v>141</v>
          </cell>
          <cell r="T133">
            <v>55</v>
          </cell>
        </row>
        <row r="134">
          <cell r="C134" t="str">
            <v>Census Tract 206, King County, Washington</v>
          </cell>
          <cell r="D134">
            <v>69</v>
          </cell>
          <cell r="E134">
            <v>69</v>
          </cell>
          <cell r="F134">
            <v>33</v>
          </cell>
          <cell r="G134">
            <v>36</v>
          </cell>
          <cell r="H134">
            <v>0</v>
          </cell>
          <cell r="I134">
            <v>2</v>
          </cell>
          <cell r="J134">
            <v>34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69</v>
          </cell>
          <cell r="T134">
            <v>0</v>
          </cell>
        </row>
        <row r="135">
          <cell r="C135" t="str">
            <v>Census Tract 207, King County, Washington</v>
          </cell>
          <cell r="D135">
            <v>104</v>
          </cell>
          <cell r="E135">
            <v>69</v>
          </cell>
          <cell r="F135">
            <v>15</v>
          </cell>
          <cell r="G135">
            <v>54</v>
          </cell>
          <cell r="H135">
            <v>0</v>
          </cell>
          <cell r="I135">
            <v>12</v>
          </cell>
          <cell r="J135">
            <v>36</v>
          </cell>
          <cell r="K135">
            <v>6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35</v>
          </cell>
          <cell r="Q135">
            <v>12</v>
          </cell>
          <cell r="R135">
            <v>23</v>
          </cell>
          <cell r="S135">
            <v>69</v>
          </cell>
          <cell r="T135">
            <v>35</v>
          </cell>
        </row>
        <row r="136">
          <cell r="C136" t="str">
            <v>Census Tract 208, King County, Washington</v>
          </cell>
          <cell r="D136">
            <v>54</v>
          </cell>
          <cell r="E136">
            <v>54</v>
          </cell>
          <cell r="F136">
            <v>13</v>
          </cell>
          <cell r="G136">
            <v>41</v>
          </cell>
          <cell r="H136">
            <v>10</v>
          </cell>
          <cell r="I136">
            <v>0</v>
          </cell>
          <cell r="J136">
            <v>6</v>
          </cell>
          <cell r="K136">
            <v>25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54</v>
          </cell>
          <cell r="T136">
            <v>0</v>
          </cell>
        </row>
        <row r="137">
          <cell r="C137" t="str">
            <v>Census Tract 209, King County, Washington</v>
          </cell>
          <cell r="D137">
            <v>83</v>
          </cell>
          <cell r="E137">
            <v>83</v>
          </cell>
          <cell r="F137">
            <v>21</v>
          </cell>
          <cell r="G137">
            <v>62</v>
          </cell>
          <cell r="H137">
            <v>16</v>
          </cell>
          <cell r="I137">
            <v>17</v>
          </cell>
          <cell r="J137">
            <v>29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83</v>
          </cell>
          <cell r="T137">
            <v>0</v>
          </cell>
        </row>
        <row r="138">
          <cell r="C138" t="str">
            <v>Census Tract 210, King County, Washington</v>
          </cell>
          <cell r="D138">
            <v>211</v>
          </cell>
          <cell r="E138">
            <v>192</v>
          </cell>
          <cell r="F138">
            <v>97</v>
          </cell>
          <cell r="G138">
            <v>95</v>
          </cell>
          <cell r="H138">
            <v>53</v>
          </cell>
          <cell r="I138">
            <v>20</v>
          </cell>
          <cell r="J138">
            <v>0</v>
          </cell>
          <cell r="K138">
            <v>22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19</v>
          </cell>
          <cell r="Q138">
            <v>19</v>
          </cell>
          <cell r="R138">
            <v>0</v>
          </cell>
          <cell r="S138">
            <v>192</v>
          </cell>
          <cell r="T138">
            <v>19</v>
          </cell>
        </row>
        <row r="139">
          <cell r="C139" t="str">
            <v>Census Tract 211, King County, Washington</v>
          </cell>
          <cell r="D139">
            <v>194</v>
          </cell>
          <cell r="E139">
            <v>118</v>
          </cell>
          <cell r="F139">
            <v>41</v>
          </cell>
          <cell r="G139">
            <v>77</v>
          </cell>
          <cell r="H139">
            <v>0</v>
          </cell>
          <cell r="I139">
            <v>40</v>
          </cell>
          <cell r="J139">
            <v>19</v>
          </cell>
          <cell r="K139">
            <v>18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76</v>
          </cell>
          <cell r="Q139">
            <v>0</v>
          </cell>
          <cell r="R139">
            <v>76</v>
          </cell>
          <cell r="S139">
            <v>118</v>
          </cell>
          <cell r="T139">
            <v>76</v>
          </cell>
        </row>
        <row r="140">
          <cell r="C140" t="str">
            <v>Census Tract 213, King County, Washington</v>
          </cell>
          <cell r="D140">
            <v>122</v>
          </cell>
          <cell r="E140">
            <v>90</v>
          </cell>
          <cell r="F140">
            <v>23</v>
          </cell>
          <cell r="G140">
            <v>59</v>
          </cell>
          <cell r="H140">
            <v>16</v>
          </cell>
          <cell r="I140">
            <v>16</v>
          </cell>
          <cell r="J140">
            <v>14</v>
          </cell>
          <cell r="K140">
            <v>13</v>
          </cell>
          <cell r="L140">
            <v>8</v>
          </cell>
          <cell r="M140">
            <v>0</v>
          </cell>
          <cell r="N140">
            <v>0</v>
          </cell>
          <cell r="O140">
            <v>8</v>
          </cell>
          <cell r="P140">
            <v>32</v>
          </cell>
          <cell r="Q140">
            <v>0</v>
          </cell>
          <cell r="R140">
            <v>32</v>
          </cell>
          <cell r="S140">
            <v>82</v>
          </cell>
          <cell r="T140">
            <v>40</v>
          </cell>
        </row>
        <row r="141">
          <cell r="C141" t="str">
            <v>Census Tract 214, King County, Washington</v>
          </cell>
          <cell r="D141">
            <v>38</v>
          </cell>
          <cell r="E141">
            <v>33</v>
          </cell>
          <cell r="F141">
            <v>4</v>
          </cell>
          <cell r="G141">
            <v>17</v>
          </cell>
          <cell r="H141">
            <v>12</v>
          </cell>
          <cell r="I141">
            <v>0</v>
          </cell>
          <cell r="J141">
            <v>5</v>
          </cell>
          <cell r="K141">
            <v>0</v>
          </cell>
          <cell r="L141">
            <v>12</v>
          </cell>
          <cell r="M141">
            <v>0</v>
          </cell>
          <cell r="N141">
            <v>0</v>
          </cell>
          <cell r="O141">
            <v>12</v>
          </cell>
          <cell r="P141">
            <v>5</v>
          </cell>
          <cell r="Q141">
            <v>5</v>
          </cell>
          <cell r="R141">
            <v>0</v>
          </cell>
          <cell r="S141">
            <v>21</v>
          </cell>
          <cell r="T141">
            <v>17</v>
          </cell>
        </row>
        <row r="142">
          <cell r="C142" t="str">
            <v>Census Tract 215, King County, Washington</v>
          </cell>
          <cell r="D142">
            <v>15</v>
          </cell>
          <cell r="E142">
            <v>15</v>
          </cell>
          <cell r="F142">
            <v>0</v>
          </cell>
          <cell r="G142">
            <v>15</v>
          </cell>
          <cell r="H142">
            <v>8</v>
          </cell>
          <cell r="I142">
            <v>0</v>
          </cell>
          <cell r="J142">
            <v>7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15</v>
          </cell>
          <cell r="T142">
            <v>0</v>
          </cell>
        </row>
        <row r="143">
          <cell r="C143" t="str">
            <v>Census Tract 216, King County, Washington</v>
          </cell>
          <cell r="D143">
            <v>20</v>
          </cell>
          <cell r="E143">
            <v>12</v>
          </cell>
          <cell r="F143">
            <v>7</v>
          </cell>
          <cell r="G143">
            <v>5</v>
          </cell>
          <cell r="H143">
            <v>0</v>
          </cell>
          <cell r="I143">
            <v>0</v>
          </cell>
          <cell r="J143">
            <v>0</v>
          </cell>
          <cell r="K143">
            <v>5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8</v>
          </cell>
          <cell r="Q143">
            <v>0</v>
          </cell>
          <cell r="R143">
            <v>8</v>
          </cell>
          <cell r="S143">
            <v>12</v>
          </cell>
          <cell r="T143">
            <v>8</v>
          </cell>
        </row>
        <row r="144">
          <cell r="C144" t="str">
            <v>Census Tract 217, King County, Washington</v>
          </cell>
          <cell r="D144">
            <v>57</v>
          </cell>
          <cell r="E144">
            <v>53</v>
          </cell>
          <cell r="F144">
            <v>30</v>
          </cell>
          <cell r="G144">
            <v>23</v>
          </cell>
          <cell r="H144">
            <v>0</v>
          </cell>
          <cell r="I144">
            <v>11</v>
          </cell>
          <cell r="J144">
            <v>7</v>
          </cell>
          <cell r="K144">
            <v>5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4</v>
          </cell>
          <cell r="Q144">
            <v>0</v>
          </cell>
          <cell r="R144">
            <v>4</v>
          </cell>
          <cell r="S144">
            <v>53</v>
          </cell>
          <cell r="T144">
            <v>4</v>
          </cell>
        </row>
        <row r="145">
          <cell r="C145" t="str">
            <v>Census Tract 218.02, King County, Washington</v>
          </cell>
          <cell r="D145">
            <v>41</v>
          </cell>
          <cell r="E145">
            <v>41</v>
          </cell>
          <cell r="F145">
            <v>31</v>
          </cell>
          <cell r="G145">
            <v>10</v>
          </cell>
          <cell r="H145">
            <v>10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41</v>
          </cell>
          <cell r="T145">
            <v>0</v>
          </cell>
        </row>
        <row r="146">
          <cell r="C146" t="str">
            <v>Census Tract 218.03, King County, Washington</v>
          </cell>
          <cell r="D146">
            <v>35</v>
          </cell>
          <cell r="E146">
            <v>35</v>
          </cell>
          <cell r="F146">
            <v>22</v>
          </cell>
          <cell r="G146">
            <v>13</v>
          </cell>
          <cell r="H146">
            <v>0</v>
          </cell>
          <cell r="I146">
            <v>13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35</v>
          </cell>
          <cell r="T146">
            <v>0</v>
          </cell>
        </row>
        <row r="147">
          <cell r="C147" t="str">
            <v>Census Tract 218.04, King County, Washington</v>
          </cell>
          <cell r="D147">
            <v>37</v>
          </cell>
          <cell r="E147">
            <v>22</v>
          </cell>
          <cell r="F147">
            <v>8</v>
          </cell>
          <cell r="G147">
            <v>14</v>
          </cell>
          <cell r="H147">
            <v>0</v>
          </cell>
          <cell r="I147">
            <v>0</v>
          </cell>
          <cell r="J147">
            <v>7</v>
          </cell>
          <cell r="K147">
            <v>7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15</v>
          </cell>
          <cell r="Q147">
            <v>15</v>
          </cell>
          <cell r="R147">
            <v>0</v>
          </cell>
          <cell r="S147">
            <v>22</v>
          </cell>
          <cell r="T147">
            <v>15</v>
          </cell>
        </row>
        <row r="148">
          <cell r="C148" t="str">
            <v>Census Tract 219.03, King County, Washington</v>
          </cell>
          <cell r="D148">
            <v>96</v>
          </cell>
          <cell r="E148">
            <v>96</v>
          </cell>
          <cell r="F148">
            <v>46</v>
          </cell>
          <cell r="G148">
            <v>50</v>
          </cell>
          <cell r="H148">
            <v>0</v>
          </cell>
          <cell r="I148">
            <v>14</v>
          </cell>
          <cell r="J148">
            <v>7</v>
          </cell>
          <cell r="K148">
            <v>29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96</v>
          </cell>
          <cell r="T148">
            <v>0</v>
          </cell>
        </row>
        <row r="149">
          <cell r="C149" t="str">
            <v>Census Tract 219.04, King County, Washington</v>
          </cell>
          <cell r="D149">
            <v>30</v>
          </cell>
          <cell r="E149">
            <v>23</v>
          </cell>
          <cell r="F149">
            <v>0</v>
          </cell>
          <cell r="G149">
            <v>23</v>
          </cell>
          <cell r="H149">
            <v>18</v>
          </cell>
          <cell r="I149">
            <v>0</v>
          </cell>
          <cell r="J149">
            <v>5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7</v>
          </cell>
          <cell r="Q149">
            <v>0</v>
          </cell>
          <cell r="R149">
            <v>7</v>
          </cell>
          <cell r="S149">
            <v>23</v>
          </cell>
          <cell r="T149">
            <v>7</v>
          </cell>
        </row>
        <row r="150">
          <cell r="C150" t="str">
            <v>Census Tract 219.05, King County, Washington</v>
          </cell>
          <cell r="D150">
            <v>58</v>
          </cell>
          <cell r="E150">
            <v>43</v>
          </cell>
          <cell r="F150">
            <v>0</v>
          </cell>
          <cell r="G150">
            <v>43</v>
          </cell>
          <cell r="H150">
            <v>0</v>
          </cell>
          <cell r="I150">
            <v>35</v>
          </cell>
          <cell r="J150">
            <v>0</v>
          </cell>
          <cell r="K150">
            <v>8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15</v>
          </cell>
          <cell r="Q150">
            <v>6</v>
          </cell>
          <cell r="R150">
            <v>9</v>
          </cell>
          <cell r="S150">
            <v>43</v>
          </cell>
          <cell r="T150">
            <v>15</v>
          </cell>
        </row>
        <row r="151">
          <cell r="C151" t="str">
            <v>Census Tract 219.06, King County, Washington</v>
          </cell>
          <cell r="D151">
            <v>36</v>
          </cell>
          <cell r="E151">
            <v>36</v>
          </cell>
          <cell r="F151">
            <v>6</v>
          </cell>
          <cell r="G151">
            <v>30</v>
          </cell>
          <cell r="H151">
            <v>0</v>
          </cell>
          <cell r="I151">
            <v>6</v>
          </cell>
          <cell r="J151">
            <v>10</v>
          </cell>
          <cell r="K151">
            <v>14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36</v>
          </cell>
          <cell r="T151">
            <v>0</v>
          </cell>
        </row>
        <row r="152">
          <cell r="C152" t="str">
            <v>Census Tract 220.01, King County, Washington</v>
          </cell>
          <cell r="D152">
            <v>33</v>
          </cell>
          <cell r="E152">
            <v>33</v>
          </cell>
          <cell r="F152">
            <v>12</v>
          </cell>
          <cell r="G152">
            <v>21</v>
          </cell>
          <cell r="H152">
            <v>0</v>
          </cell>
          <cell r="I152">
            <v>0</v>
          </cell>
          <cell r="J152">
            <v>21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33</v>
          </cell>
          <cell r="T152">
            <v>0</v>
          </cell>
        </row>
        <row r="153">
          <cell r="C153" t="str">
            <v>Census Tract 220.03, King County, Washington</v>
          </cell>
          <cell r="D153">
            <v>64</v>
          </cell>
          <cell r="E153">
            <v>64</v>
          </cell>
          <cell r="F153">
            <v>50</v>
          </cell>
          <cell r="G153">
            <v>14</v>
          </cell>
          <cell r="H153">
            <v>0</v>
          </cell>
          <cell r="I153">
            <v>0</v>
          </cell>
          <cell r="J153">
            <v>9</v>
          </cell>
          <cell r="K153">
            <v>5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64</v>
          </cell>
          <cell r="T153">
            <v>0</v>
          </cell>
        </row>
        <row r="154">
          <cell r="C154" t="str">
            <v>Census Tract 220.05, King County, Washington</v>
          </cell>
          <cell r="D154">
            <v>45</v>
          </cell>
          <cell r="E154">
            <v>45</v>
          </cell>
          <cell r="F154">
            <v>0</v>
          </cell>
          <cell r="G154">
            <v>45</v>
          </cell>
          <cell r="H154">
            <v>18</v>
          </cell>
          <cell r="I154">
            <v>4</v>
          </cell>
          <cell r="J154">
            <v>14</v>
          </cell>
          <cell r="K154">
            <v>9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45</v>
          </cell>
          <cell r="T154">
            <v>0</v>
          </cell>
        </row>
        <row r="155">
          <cell r="C155" t="str">
            <v>Census Tract 220.06, King County, Washington</v>
          </cell>
          <cell r="D155">
            <v>55</v>
          </cell>
          <cell r="E155">
            <v>45</v>
          </cell>
          <cell r="F155">
            <v>13</v>
          </cell>
          <cell r="G155">
            <v>32</v>
          </cell>
          <cell r="H155">
            <v>9</v>
          </cell>
          <cell r="I155">
            <v>12</v>
          </cell>
          <cell r="J155">
            <v>11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10</v>
          </cell>
          <cell r="Q155">
            <v>0</v>
          </cell>
          <cell r="R155">
            <v>10</v>
          </cell>
          <cell r="S155">
            <v>45</v>
          </cell>
          <cell r="T155">
            <v>10</v>
          </cell>
        </row>
        <row r="156">
          <cell r="C156" t="str">
            <v>Census Tract 221.01, King County, Washington</v>
          </cell>
          <cell r="D156">
            <v>58</v>
          </cell>
          <cell r="E156">
            <v>47</v>
          </cell>
          <cell r="F156">
            <v>12</v>
          </cell>
          <cell r="G156">
            <v>35</v>
          </cell>
          <cell r="H156">
            <v>6</v>
          </cell>
          <cell r="I156">
            <v>22</v>
          </cell>
          <cell r="J156">
            <v>7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11</v>
          </cell>
          <cell r="Q156">
            <v>11</v>
          </cell>
          <cell r="R156">
            <v>0</v>
          </cell>
          <cell r="S156">
            <v>47</v>
          </cell>
          <cell r="T156">
            <v>11</v>
          </cell>
        </row>
        <row r="157">
          <cell r="C157" t="str">
            <v>Census Tract 221.02, King County, Washington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C158" t="str">
            <v>Census Tract 222.01, King County, Washington</v>
          </cell>
          <cell r="D158">
            <v>43</v>
          </cell>
          <cell r="E158">
            <v>43</v>
          </cell>
          <cell r="F158">
            <v>22</v>
          </cell>
          <cell r="G158">
            <v>16</v>
          </cell>
          <cell r="H158">
            <v>0</v>
          </cell>
          <cell r="I158">
            <v>0</v>
          </cell>
          <cell r="J158">
            <v>14</v>
          </cell>
          <cell r="K158">
            <v>2</v>
          </cell>
          <cell r="L158">
            <v>5</v>
          </cell>
          <cell r="M158">
            <v>0</v>
          </cell>
          <cell r="N158">
            <v>5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38</v>
          </cell>
          <cell r="T158">
            <v>5</v>
          </cell>
        </row>
        <row r="159">
          <cell r="C159" t="str">
            <v>Census Tract 222.02, King County, Washington</v>
          </cell>
          <cell r="D159">
            <v>32</v>
          </cell>
          <cell r="E159">
            <v>23</v>
          </cell>
          <cell r="F159">
            <v>7</v>
          </cell>
          <cell r="G159">
            <v>16</v>
          </cell>
          <cell r="H159">
            <v>0</v>
          </cell>
          <cell r="I159">
            <v>0</v>
          </cell>
          <cell r="J159">
            <v>16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9</v>
          </cell>
          <cell r="Q159">
            <v>0</v>
          </cell>
          <cell r="R159">
            <v>9</v>
          </cell>
          <cell r="S159">
            <v>23</v>
          </cell>
          <cell r="T159">
            <v>9</v>
          </cell>
        </row>
        <row r="160">
          <cell r="C160" t="str">
            <v>Census Tract 222.03, King County, Washington</v>
          </cell>
          <cell r="D160">
            <v>39</v>
          </cell>
          <cell r="E160">
            <v>39</v>
          </cell>
          <cell r="F160">
            <v>12</v>
          </cell>
          <cell r="G160">
            <v>27</v>
          </cell>
          <cell r="H160">
            <v>0</v>
          </cell>
          <cell r="I160">
            <v>0</v>
          </cell>
          <cell r="J160">
            <v>19</v>
          </cell>
          <cell r="K160">
            <v>8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39</v>
          </cell>
          <cell r="T160">
            <v>0</v>
          </cell>
        </row>
        <row r="161">
          <cell r="C161" t="str">
            <v>Census Tract 223, King County, Washington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C162" t="str">
            <v>Census Tract 224, King County, Washington</v>
          </cell>
          <cell r="D162">
            <v>82</v>
          </cell>
          <cell r="E162">
            <v>82</v>
          </cell>
          <cell r="F162">
            <v>33</v>
          </cell>
          <cell r="G162">
            <v>49</v>
          </cell>
          <cell r="H162">
            <v>0</v>
          </cell>
          <cell r="I162">
            <v>13</v>
          </cell>
          <cell r="J162">
            <v>27</v>
          </cell>
          <cell r="K162">
            <v>9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82</v>
          </cell>
          <cell r="T162">
            <v>0</v>
          </cell>
        </row>
        <row r="163">
          <cell r="C163" t="str">
            <v>Census Tract 225, King County, Washington</v>
          </cell>
          <cell r="D163">
            <v>39</v>
          </cell>
          <cell r="E163">
            <v>32</v>
          </cell>
          <cell r="F163">
            <v>15</v>
          </cell>
          <cell r="G163">
            <v>17</v>
          </cell>
          <cell r="H163">
            <v>8</v>
          </cell>
          <cell r="I163">
            <v>0</v>
          </cell>
          <cell r="J163">
            <v>9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7</v>
          </cell>
          <cell r="Q163">
            <v>0</v>
          </cell>
          <cell r="R163">
            <v>7</v>
          </cell>
          <cell r="S163">
            <v>32</v>
          </cell>
          <cell r="T163">
            <v>7</v>
          </cell>
        </row>
        <row r="164">
          <cell r="C164" t="str">
            <v>Census Tract 226.03, King County, Washington</v>
          </cell>
          <cell r="D164">
            <v>43</v>
          </cell>
          <cell r="E164">
            <v>43</v>
          </cell>
          <cell r="F164">
            <v>14</v>
          </cell>
          <cell r="G164">
            <v>29</v>
          </cell>
          <cell r="H164">
            <v>0</v>
          </cell>
          <cell r="I164">
            <v>15</v>
          </cell>
          <cell r="J164">
            <v>0</v>
          </cell>
          <cell r="K164">
            <v>14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43</v>
          </cell>
          <cell r="T164">
            <v>0</v>
          </cell>
        </row>
        <row r="165">
          <cell r="C165" t="str">
            <v>Census Tract 226.04, King County, Washington</v>
          </cell>
          <cell r="D165">
            <v>77</v>
          </cell>
          <cell r="E165">
            <v>77</v>
          </cell>
          <cell r="F165">
            <v>49</v>
          </cell>
          <cell r="G165">
            <v>28</v>
          </cell>
          <cell r="H165">
            <v>0</v>
          </cell>
          <cell r="I165">
            <v>0</v>
          </cell>
          <cell r="J165">
            <v>28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77</v>
          </cell>
          <cell r="T165">
            <v>0</v>
          </cell>
        </row>
        <row r="166">
          <cell r="C166" t="str">
            <v>Census Tract 226.05, King County, Washington</v>
          </cell>
          <cell r="D166">
            <v>91</v>
          </cell>
          <cell r="E166">
            <v>66</v>
          </cell>
          <cell r="F166">
            <v>9</v>
          </cell>
          <cell r="G166">
            <v>57</v>
          </cell>
          <cell r="H166">
            <v>0</v>
          </cell>
          <cell r="I166">
            <v>39</v>
          </cell>
          <cell r="J166">
            <v>18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25</v>
          </cell>
          <cell r="Q166">
            <v>13</v>
          </cell>
          <cell r="R166">
            <v>12</v>
          </cell>
          <cell r="S166">
            <v>66</v>
          </cell>
          <cell r="T166">
            <v>25</v>
          </cell>
        </row>
        <row r="167">
          <cell r="C167" t="str">
            <v>Census Tract 226.06, King County, Washington</v>
          </cell>
          <cell r="D167">
            <v>46</v>
          </cell>
          <cell r="E167">
            <v>46</v>
          </cell>
          <cell r="F167">
            <v>29</v>
          </cell>
          <cell r="G167">
            <v>17</v>
          </cell>
          <cell r="H167">
            <v>0</v>
          </cell>
          <cell r="I167">
            <v>0</v>
          </cell>
          <cell r="J167">
            <v>17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46</v>
          </cell>
          <cell r="T167">
            <v>0</v>
          </cell>
        </row>
        <row r="168">
          <cell r="C168" t="str">
            <v>Census Tract 227.01, King County, Washington</v>
          </cell>
          <cell r="D168">
            <v>13</v>
          </cell>
          <cell r="E168">
            <v>6</v>
          </cell>
          <cell r="F168">
            <v>0</v>
          </cell>
          <cell r="G168">
            <v>6</v>
          </cell>
          <cell r="H168">
            <v>0</v>
          </cell>
          <cell r="I168">
            <v>0</v>
          </cell>
          <cell r="J168">
            <v>6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7</v>
          </cell>
          <cell r="Q168">
            <v>0</v>
          </cell>
          <cell r="R168">
            <v>7</v>
          </cell>
          <cell r="S168">
            <v>6</v>
          </cell>
          <cell r="T168">
            <v>7</v>
          </cell>
        </row>
        <row r="169">
          <cell r="C169" t="str">
            <v>Census Tract 227.02, King County, Washington</v>
          </cell>
          <cell r="D169">
            <v>41</v>
          </cell>
          <cell r="E169">
            <v>41</v>
          </cell>
          <cell r="F169">
            <v>0</v>
          </cell>
          <cell r="G169">
            <v>41</v>
          </cell>
          <cell r="H169">
            <v>0</v>
          </cell>
          <cell r="I169">
            <v>0</v>
          </cell>
          <cell r="J169">
            <v>41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41</v>
          </cell>
          <cell r="T169">
            <v>0</v>
          </cell>
        </row>
        <row r="170">
          <cell r="C170" t="str">
            <v>Census Tract 227.03, King County, Washington</v>
          </cell>
          <cell r="D170">
            <v>59</v>
          </cell>
          <cell r="E170">
            <v>53</v>
          </cell>
          <cell r="F170">
            <v>23</v>
          </cell>
          <cell r="G170">
            <v>30</v>
          </cell>
          <cell r="H170">
            <v>0</v>
          </cell>
          <cell r="I170">
            <v>12</v>
          </cell>
          <cell r="J170">
            <v>12</v>
          </cell>
          <cell r="K170">
            <v>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6</v>
          </cell>
          <cell r="Q170">
            <v>6</v>
          </cell>
          <cell r="R170">
            <v>0</v>
          </cell>
          <cell r="S170">
            <v>53</v>
          </cell>
          <cell r="T170">
            <v>6</v>
          </cell>
        </row>
        <row r="171">
          <cell r="C171" t="str">
            <v>Census Tract 228.01, King County, Washington</v>
          </cell>
          <cell r="D171">
            <v>142</v>
          </cell>
          <cell r="E171">
            <v>121</v>
          </cell>
          <cell r="F171">
            <v>36</v>
          </cell>
          <cell r="G171">
            <v>85</v>
          </cell>
          <cell r="H171">
            <v>7</v>
          </cell>
          <cell r="I171">
            <v>16</v>
          </cell>
          <cell r="J171">
            <v>41</v>
          </cell>
          <cell r="K171">
            <v>21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21</v>
          </cell>
          <cell r="Q171">
            <v>10</v>
          </cell>
          <cell r="R171">
            <v>11</v>
          </cell>
          <cell r="S171">
            <v>121</v>
          </cell>
          <cell r="T171">
            <v>21</v>
          </cell>
        </row>
        <row r="172">
          <cell r="C172" t="str">
            <v>Census Tract 228.02, King County, Washington</v>
          </cell>
          <cell r="D172">
            <v>43</v>
          </cell>
          <cell r="E172">
            <v>31</v>
          </cell>
          <cell r="F172">
            <v>0</v>
          </cell>
          <cell r="G172">
            <v>31</v>
          </cell>
          <cell r="H172">
            <v>5</v>
          </cell>
          <cell r="I172">
            <v>0</v>
          </cell>
          <cell r="J172">
            <v>26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12</v>
          </cell>
          <cell r="Q172">
            <v>7</v>
          </cell>
          <cell r="R172">
            <v>5</v>
          </cell>
          <cell r="S172">
            <v>31</v>
          </cell>
          <cell r="T172">
            <v>12</v>
          </cell>
        </row>
        <row r="173">
          <cell r="C173" t="str">
            <v>Census Tract 228.03, King County, Washington</v>
          </cell>
          <cell r="D173">
            <v>19</v>
          </cell>
          <cell r="E173">
            <v>19</v>
          </cell>
          <cell r="F173">
            <v>9</v>
          </cell>
          <cell r="G173">
            <v>10</v>
          </cell>
          <cell r="H173">
            <v>0</v>
          </cell>
          <cell r="I173">
            <v>0</v>
          </cell>
          <cell r="J173">
            <v>10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19</v>
          </cell>
          <cell r="T173">
            <v>0</v>
          </cell>
        </row>
        <row r="174">
          <cell r="C174" t="str">
            <v>Census Tract 229.01, King County, Washington</v>
          </cell>
          <cell r="D174">
            <v>40</v>
          </cell>
          <cell r="E174">
            <v>40</v>
          </cell>
          <cell r="F174">
            <v>7</v>
          </cell>
          <cell r="G174">
            <v>33</v>
          </cell>
          <cell r="H174">
            <v>0</v>
          </cell>
          <cell r="I174">
            <v>10</v>
          </cell>
          <cell r="J174">
            <v>12</v>
          </cell>
          <cell r="K174">
            <v>11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40</v>
          </cell>
          <cell r="T174">
            <v>0</v>
          </cell>
        </row>
        <row r="175">
          <cell r="C175" t="str">
            <v>Census Tract 229.02, King County, Washington</v>
          </cell>
          <cell r="D175">
            <v>40</v>
          </cell>
          <cell r="E175">
            <v>32</v>
          </cell>
          <cell r="F175">
            <v>9</v>
          </cell>
          <cell r="G175">
            <v>23</v>
          </cell>
          <cell r="H175">
            <v>6</v>
          </cell>
          <cell r="I175">
            <v>0</v>
          </cell>
          <cell r="J175">
            <v>9</v>
          </cell>
          <cell r="K175">
            <v>8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8</v>
          </cell>
          <cell r="Q175">
            <v>0</v>
          </cell>
          <cell r="R175">
            <v>8</v>
          </cell>
          <cell r="S175">
            <v>32</v>
          </cell>
          <cell r="T175">
            <v>8</v>
          </cell>
        </row>
        <row r="176">
          <cell r="C176" t="str">
            <v>Census Tract 230, King County, Washington</v>
          </cell>
          <cell r="D176">
            <v>67</v>
          </cell>
          <cell r="E176">
            <v>49</v>
          </cell>
          <cell r="F176">
            <v>7</v>
          </cell>
          <cell r="G176">
            <v>31</v>
          </cell>
          <cell r="H176">
            <v>0</v>
          </cell>
          <cell r="I176">
            <v>0</v>
          </cell>
          <cell r="J176">
            <v>20</v>
          </cell>
          <cell r="K176">
            <v>11</v>
          </cell>
          <cell r="L176">
            <v>11</v>
          </cell>
          <cell r="M176">
            <v>0</v>
          </cell>
          <cell r="N176">
            <v>0</v>
          </cell>
          <cell r="O176">
            <v>11</v>
          </cell>
          <cell r="P176">
            <v>18</v>
          </cell>
          <cell r="Q176">
            <v>18</v>
          </cell>
          <cell r="R176">
            <v>0</v>
          </cell>
          <cell r="S176">
            <v>38</v>
          </cell>
          <cell r="T176">
            <v>29</v>
          </cell>
        </row>
        <row r="177">
          <cell r="C177" t="str">
            <v>Census Tract 231, King County, Washington</v>
          </cell>
          <cell r="D177">
            <v>31</v>
          </cell>
          <cell r="E177">
            <v>31</v>
          </cell>
          <cell r="F177">
            <v>20</v>
          </cell>
          <cell r="G177">
            <v>11</v>
          </cell>
          <cell r="H177">
            <v>5</v>
          </cell>
          <cell r="I177">
            <v>0</v>
          </cell>
          <cell r="J177">
            <v>0</v>
          </cell>
          <cell r="K177">
            <v>6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31</v>
          </cell>
          <cell r="T177">
            <v>0</v>
          </cell>
        </row>
        <row r="178">
          <cell r="C178" t="str">
            <v>Census Tract 232.01, King County, Washington</v>
          </cell>
          <cell r="D178">
            <v>152</v>
          </cell>
          <cell r="E178">
            <v>152</v>
          </cell>
          <cell r="F178">
            <v>26</v>
          </cell>
          <cell r="G178">
            <v>126</v>
          </cell>
          <cell r="H178">
            <v>0</v>
          </cell>
          <cell r="I178">
            <v>46</v>
          </cell>
          <cell r="J178">
            <v>57</v>
          </cell>
          <cell r="K178">
            <v>23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152</v>
          </cell>
          <cell r="T178">
            <v>0</v>
          </cell>
        </row>
        <row r="179">
          <cell r="C179" t="str">
            <v>Census Tract 232.02, King County, Washington</v>
          </cell>
          <cell r="D179">
            <v>133</v>
          </cell>
          <cell r="E179">
            <v>113</v>
          </cell>
          <cell r="F179">
            <v>6</v>
          </cell>
          <cell r="G179">
            <v>93</v>
          </cell>
          <cell r="H179">
            <v>0</v>
          </cell>
          <cell r="I179">
            <v>28</v>
          </cell>
          <cell r="J179">
            <v>65</v>
          </cell>
          <cell r="K179">
            <v>0</v>
          </cell>
          <cell r="L179">
            <v>14</v>
          </cell>
          <cell r="M179">
            <v>0</v>
          </cell>
          <cell r="N179">
            <v>0</v>
          </cell>
          <cell r="O179">
            <v>14</v>
          </cell>
          <cell r="P179">
            <v>20</v>
          </cell>
          <cell r="Q179">
            <v>15</v>
          </cell>
          <cell r="R179">
            <v>5</v>
          </cell>
          <cell r="S179">
            <v>99</v>
          </cell>
          <cell r="T179">
            <v>34</v>
          </cell>
        </row>
        <row r="180">
          <cell r="C180" t="str">
            <v>Census Tract 233, King County, Washington</v>
          </cell>
          <cell r="D180">
            <v>62</v>
          </cell>
          <cell r="E180">
            <v>62</v>
          </cell>
          <cell r="F180">
            <v>31</v>
          </cell>
          <cell r="G180">
            <v>31</v>
          </cell>
          <cell r="H180">
            <v>0</v>
          </cell>
          <cell r="I180">
            <v>0</v>
          </cell>
          <cell r="J180">
            <v>14</v>
          </cell>
          <cell r="K180">
            <v>17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62</v>
          </cell>
          <cell r="T180">
            <v>0</v>
          </cell>
        </row>
        <row r="181">
          <cell r="C181" t="str">
            <v>Census Tract 234.01, King County, Washington</v>
          </cell>
          <cell r="D181">
            <v>106</v>
          </cell>
          <cell r="E181">
            <v>62</v>
          </cell>
          <cell r="F181">
            <v>25</v>
          </cell>
          <cell r="G181">
            <v>37</v>
          </cell>
          <cell r="H181">
            <v>0</v>
          </cell>
          <cell r="I181">
            <v>12</v>
          </cell>
          <cell r="J181">
            <v>25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44</v>
          </cell>
          <cell r="Q181">
            <v>14</v>
          </cell>
          <cell r="R181">
            <v>30</v>
          </cell>
          <cell r="S181">
            <v>62</v>
          </cell>
          <cell r="T181">
            <v>44</v>
          </cell>
        </row>
        <row r="182">
          <cell r="C182" t="str">
            <v>Census Tract 234.02, King County, Washington</v>
          </cell>
          <cell r="D182">
            <v>101</v>
          </cell>
          <cell r="E182">
            <v>60</v>
          </cell>
          <cell r="F182">
            <v>15</v>
          </cell>
          <cell r="G182">
            <v>45</v>
          </cell>
          <cell r="H182">
            <v>0</v>
          </cell>
          <cell r="I182">
            <v>16</v>
          </cell>
          <cell r="J182">
            <v>18</v>
          </cell>
          <cell r="K182">
            <v>11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41</v>
          </cell>
          <cell r="Q182">
            <v>0</v>
          </cell>
          <cell r="R182">
            <v>41</v>
          </cell>
          <cell r="S182">
            <v>60</v>
          </cell>
          <cell r="T182">
            <v>41</v>
          </cell>
        </row>
        <row r="183">
          <cell r="C183" t="str">
            <v>Census Tract 235, King County, Washington</v>
          </cell>
          <cell r="D183">
            <v>8</v>
          </cell>
          <cell r="E183">
            <v>8</v>
          </cell>
          <cell r="F183">
            <v>0</v>
          </cell>
          <cell r="G183">
            <v>8</v>
          </cell>
          <cell r="H183">
            <v>0</v>
          </cell>
          <cell r="I183">
            <v>0</v>
          </cell>
          <cell r="J183">
            <v>0</v>
          </cell>
          <cell r="K183">
            <v>8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8</v>
          </cell>
          <cell r="T183">
            <v>0</v>
          </cell>
        </row>
        <row r="184">
          <cell r="C184" t="str">
            <v>Census Tract 236.01, King County, Washington</v>
          </cell>
          <cell r="D184">
            <v>45</v>
          </cell>
          <cell r="E184">
            <v>15</v>
          </cell>
          <cell r="F184">
            <v>0</v>
          </cell>
          <cell r="G184">
            <v>15</v>
          </cell>
          <cell r="H184">
            <v>0</v>
          </cell>
          <cell r="I184">
            <v>0</v>
          </cell>
          <cell r="J184">
            <v>15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30</v>
          </cell>
          <cell r="Q184">
            <v>9</v>
          </cell>
          <cell r="R184">
            <v>21</v>
          </cell>
          <cell r="S184">
            <v>15</v>
          </cell>
          <cell r="T184">
            <v>30</v>
          </cell>
        </row>
        <row r="185">
          <cell r="C185" t="str">
            <v>Census Tract 236.03, King County, Washington</v>
          </cell>
          <cell r="D185">
            <v>199</v>
          </cell>
          <cell r="E185">
            <v>124</v>
          </cell>
          <cell r="F185">
            <v>32</v>
          </cell>
          <cell r="G185">
            <v>81</v>
          </cell>
          <cell r="H185">
            <v>0</v>
          </cell>
          <cell r="I185">
            <v>21</v>
          </cell>
          <cell r="J185">
            <v>38</v>
          </cell>
          <cell r="K185">
            <v>22</v>
          </cell>
          <cell r="L185">
            <v>11</v>
          </cell>
          <cell r="M185">
            <v>0</v>
          </cell>
          <cell r="N185">
            <v>0</v>
          </cell>
          <cell r="O185">
            <v>11</v>
          </cell>
          <cell r="P185">
            <v>75</v>
          </cell>
          <cell r="Q185">
            <v>0</v>
          </cell>
          <cell r="R185">
            <v>75</v>
          </cell>
          <cell r="S185">
            <v>113</v>
          </cell>
          <cell r="T185">
            <v>86</v>
          </cell>
        </row>
        <row r="186">
          <cell r="C186" t="str">
            <v>Census Tract 236.04, King County, Washington</v>
          </cell>
          <cell r="D186">
            <v>183</v>
          </cell>
          <cell r="E186">
            <v>148</v>
          </cell>
          <cell r="F186">
            <v>77</v>
          </cell>
          <cell r="G186">
            <v>71</v>
          </cell>
          <cell r="H186">
            <v>11</v>
          </cell>
          <cell r="I186">
            <v>10</v>
          </cell>
          <cell r="J186">
            <v>37</v>
          </cell>
          <cell r="K186">
            <v>13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35</v>
          </cell>
          <cell r="Q186">
            <v>16</v>
          </cell>
          <cell r="R186">
            <v>19</v>
          </cell>
          <cell r="S186">
            <v>148</v>
          </cell>
          <cell r="T186">
            <v>35</v>
          </cell>
        </row>
        <row r="187">
          <cell r="C187" t="str">
            <v>Census Tract 237, King County, Washington</v>
          </cell>
          <cell r="D187">
            <v>115</v>
          </cell>
          <cell r="E187">
            <v>115</v>
          </cell>
          <cell r="F187">
            <v>49</v>
          </cell>
          <cell r="G187">
            <v>66</v>
          </cell>
          <cell r="H187">
            <v>27</v>
          </cell>
          <cell r="I187">
            <v>0</v>
          </cell>
          <cell r="J187">
            <v>18</v>
          </cell>
          <cell r="K187">
            <v>21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115</v>
          </cell>
          <cell r="T187">
            <v>0</v>
          </cell>
        </row>
        <row r="188">
          <cell r="C188" t="str">
            <v>Census Tract 238.01, King County, Washington</v>
          </cell>
          <cell r="D188">
            <v>57</v>
          </cell>
          <cell r="E188">
            <v>42</v>
          </cell>
          <cell r="F188">
            <v>16</v>
          </cell>
          <cell r="G188">
            <v>26</v>
          </cell>
          <cell r="H188">
            <v>14</v>
          </cell>
          <cell r="I188">
            <v>0</v>
          </cell>
          <cell r="J188">
            <v>5</v>
          </cell>
          <cell r="K188">
            <v>7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15</v>
          </cell>
          <cell r="Q188">
            <v>7</v>
          </cell>
          <cell r="R188">
            <v>8</v>
          </cell>
          <cell r="S188">
            <v>42</v>
          </cell>
          <cell r="T188">
            <v>15</v>
          </cell>
        </row>
        <row r="189">
          <cell r="C189" t="str">
            <v>Census Tract 238.02, King County, Washington</v>
          </cell>
          <cell r="D189">
            <v>34</v>
          </cell>
          <cell r="E189">
            <v>25</v>
          </cell>
          <cell r="F189">
            <v>0</v>
          </cell>
          <cell r="G189">
            <v>25</v>
          </cell>
          <cell r="H189">
            <v>7</v>
          </cell>
          <cell r="I189">
            <v>8</v>
          </cell>
          <cell r="J189">
            <v>10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9</v>
          </cell>
          <cell r="Q189">
            <v>0</v>
          </cell>
          <cell r="R189">
            <v>9</v>
          </cell>
          <cell r="S189">
            <v>25</v>
          </cell>
          <cell r="T189">
            <v>9</v>
          </cell>
        </row>
        <row r="190">
          <cell r="C190" t="str">
            <v>Census Tract 239, King County, Washington</v>
          </cell>
          <cell r="D190">
            <v>105</v>
          </cell>
          <cell r="E190">
            <v>97</v>
          </cell>
          <cell r="F190">
            <v>26</v>
          </cell>
          <cell r="G190">
            <v>71</v>
          </cell>
          <cell r="H190">
            <v>22</v>
          </cell>
          <cell r="I190">
            <v>0</v>
          </cell>
          <cell r="J190">
            <v>49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8</v>
          </cell>
          <cell r="Q190">
            <v>0</v>
          </cell>
          <cell r="R190">
            <v>8</v>
          </cell>
          <cell r="S190">
            <v>97</v>
          </cell>
          <cell r="T190">
            <v>8</v>
          </cell>
        </row>
        <row r="191">
          <cell r="C191" t="str">
            <v>Census Tract 240, King County, Washington</v>
          </cell>
          <cell r="D191">
            <v>27</v>
          </cell>
          <cell r="E191">
            <v>27</v>
          </cell>
          <cell r="F191">
            <v>8</v>
          </cell>
          <cell r="G191">
            <v>19</v>
          </cell>
          <cell r="H191">
            <v>0</v>
          </cell>
          <cell r="I191">
            <v>9</v>
          </cell>
          <cell r="J191">
            <v>10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27</v>
          </cell>
          <cell r="T191">
            <v>0</v>
          </cell>
        </row>
        <row r="192">
          <cell r="C192" t="str">
            <v>Census Tract 241, King County, Washington</v>
          </cell>
          <cell r="D192">
            <v>9</v>
          </cell>
          <cell r="E192">
            <v>9</v>
          </cell>
          <cell r="F192">
            <v>0</v>
          </cell>
          <cell r="G192">
            <v>6</v>
          </cell>
          <cell r="H192">
            <v>0</v>
          </cell>
          <cell r="I192">
            <v>0</v>
          </cell>
          <cell r="J192">
            <v>3</v>
          </cell>
          <cell r="K192">
            <v>3</v>
          </cell>
          <cell r="L192">
            <v>3</v>
          </cell>
          <cell r="M192">
            <v>0</v>
          </cell>
          <cell r="N192">
            <v>0</v>
          </cell>
          <cell r="O192">
            <v>3</v>
          </cell>
          <cell r="P192">
            <v>0</v>
          </cell>
          <cell r="Q192">
            <v>0</v>
          </cell>
          <cell r="R192">
            <v>0</v>
          </cell>
          <cell r="S192">
            <v>6</v>
          </cell>
          <cell r="T192">
            <v>3</v>
          </cell>
        </row>
        <row r="193">
          <cell r="C193" t="str">
            <v>Census Tract 242, King County, Washington</v>
          </cell>
          <cell r="D193">
            <v>11</v>
          </cell>
          <cell r="E193">
            <v>6</v>
          </cell>
          <cell r="F193">
            <v>0</v>
          </cell>
          <cell r="G193">
            <v>3</v>
          </cell>
          <cell r="H193">
            <v>0</v>
          </cell>
          <cell r="I193">
            <v>3</v>
          </cell>
          <cell r="J193">
            <v>0</v>
          </cell>
          <cell r="K193">
            <v>0</v>
          </cell>
          <cell r="L193">
            <v>3</v>
          </cell>
          <cell r="M193">
            <v>0</v>
          </cell>
          <cell r="N193">
            <v>0</v>
          </cell>
          <cell r="O193">
            <v>3</v>
          </cell>
          <cell r="P193">
            <v>5</v>
          </cell>
          <cell r="Q193">
            <v>5</v>
          </cell>
          <cell r="R193">
            <v>0</v>
          </cell>
          <cell r="S193">
            <v>3</v>
          </cell>
          <cell r="T193">
            <v>8</v>
          </cell>
        </row>
        <row r="194">
          <cell r="C194" t="str">
            <v>Census Tract 243, King County, Washington</v>
          </cell>
          <cell r="D194">
            <v>112</v>
          </cell>
          <cell r="E194">
            <v>112</v>
          </cell>
          <cell r="F194">
            <v>29</v>
          </cell>
          <cell r="G194">
            <v>83</v>
          </cell>
          <cell r="H194">
            <v>6</v>
          </cell>
          <cell r="I194">
            <v>24</v>
          </cell>
          <cell r="J194">
            <v>38</v>
          </cell>
          <cell r="K194">
            <v>15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112</v>
          </cell>
          <cell r="T194">
            <v>0</v>
          </cell>
        </row>
        <row r="195">
          <cell r="C195" t="str">
            <v>Census Tract 244, King County, Washington</v>
          </cell>
          <cell r="D195">
            <v>41</v>
          </cell>
          <cell r="E195">
            <v>32</v>
          </cell>
          <cell r="F195">
            <v>5</v>
          </cell>
          <cell r="G195">
            <v>27</v>
          </cell>
          <cell r="H195">
            <v>0</v>
          </cell>
          <cell r="I195">
            <v>7</v>
          </cell>
          <cell r="J195">
            <v>20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9</v>
          </cell>
          <cell r="Q195">
            <v>5</v>
          </cell>
          <cell r="R195">
            <v>4</v>
          </cell>
          <cell r="S195">
            <v>32</v>
          </cell>
          <cell r="T195">
            <v>9</v>
          </cell>
        </row>
        <row r="196">
          <cell r="C196" t="str">
            <v>Census Tract 245, King County, Washington</v>
          </cell>
          <cell r="D196">
            <v>31</v>
          </cell>
          <cell r="E196">
            <v>24</v>
          </cell>
          <cell r="F196">
            <v>0</v>
          </cell>
          <cell r="G196">
            <v>24</v>
          </cell>
          <cell r="H196">
            <v>0</v>
          </cell>
          <cell r="I196">
            <v>0</v>
          </cell>
          <cell r="J196">
            <v>14</v>
          </cell>
          <cell r="K196">
            <v>10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7</v>
          </cell>
          <cell r="Q196">
            <v>7</v>
          </cell>
          <cell r="R196">
            <v>0</v>
          </cell>
          <cell r="S196">
            <v>24</v>
          </cell>
          <cell r="T196">
            <v>7</v>
          </cell>
        </row>
        <row r="197">
          <cell r="C197" t="str">
            <v>Census Tract 246.01, King County, Washington</v>
          </cell>
          <cell r="D197">
            <v>6</v>
          </cell>
          <cell r="E197">
            <v>6</v>
          </cell>
          <cell r="F197">
            <v>0</v>
          </cell>
          <cell r="G197">
            <v>6</v>
          </cell>
          <cell r="H197">
            <v>0</v>
          </cell>
          <cell r="I197">
            <v>0</v>
          </cell>
          <cell r="J197">
            <v>6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0</v>
          </cell>
        </row>
        <row r="198">
          <cell r="C198" t="str">
            <v>Census Tract 246.02, King County, Washington</v>
          </cell>
          <cell r="D198">
            <v>115</v>
          </cell>
          <cell r="E198">
            <v>99</v>
          </cell>
          <cell r="F198">
            <v>26</v>
          </cell>
          <cell r="G198">
            <v>73</v>
          </cell>
          <cell r="H198">
            <v>0</v>
          </cell>
          <cell r="I198">
            <v>5</v>
          </cell>
          <cell r="J198">
            <v>33</v>
          </cell>
          <cell r="K198">
            <v>35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16</v>
          </cell>
          <cell r="Q198">
            <v>16</v>
          </cell>
          <cell r="R198">
            <v>0</v>
          </cell>
          <cell r="S198">
            <v>99</v>
          </cell>
          <cell r="T198">
            <v>16</v>
          </cell>
        </row>
        <row r="199">
          <cell r="C199" t="str">
            <v>Census Tract 247.01, King County, Washington</v>
          </cell>
          <cell r="D199">
            <v>21</v>
          </cell>
          <cell r="E199">
            <v>21</v>
          </cell>
          <cell r="F199">
            <v>5</v>
          </cell>
          <cell r="G199">
            <v>16</v>
          </cell>
          <cell r="H199">
            <v>0</v>
          </cell>
          <cell r="I199">
            <v>7</v>
          </cell>
          <cell r="J199">
            <v>9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21</v>
          </cell>
          <cell r="T199">
            <v>0</v>
          </cell>
        </row>
        <row r="200">
          <cell r="C200" t="str">
            <v>Census Tract 247.02, King County, Washington</v>
          </cell>
          <cell r="D200">
            <v>168</v>
          </cell>
          <cell r="E200">
            <v>161</v>
          </cell>
          <cell r="F200">
            <v>54</v>
          </cell>
          <cell r="G200">
            <v>107</v>
          </cell>
          <cell r="H200">
            <v>11</v>
          </cell>
          <cell r="I200">
            <v>43</v>
          </cell>
          <cell r="J200">
            <v>41</v>
          </cell>
          <cell r="K200">
            <v>12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7</v>
          </cell>
          <cell r="Q200">
            <v>0</v>
          </cell>
          <cell r="R200">
            <v>7</v>
          </cell>
          <cell r="S200">
            <v>161</v>
          </cell>
          <cell r="T200">
            <v>7</v>
          </cell>
        </row>
        <row r="201">
          <cell r="C201" t="str">
            <v>Census Tract 248, King County, Washington</v>
          </cell>
          <cell r="D201">
            <v>100</v>
          </cell>
          <cell r="E201">
            <v>100</v>
          </cell>
          <cell r="F201">
            <v>0</v>
          </cell>
          <cell r="G201">
            <v>100</v>
          </cell>
          <cell r="H201">
            <v>0</v>
          </cell>
          <cell r="I201">
            <v>11</v>
          </cell>
          <cell r="J201">
            <v>62</v>
          </cell>
          <cell r="K201">
            <v>27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100</v>
          </cell>
          <cell r="T201">
            <v>0</v>
          </cell>
        </row>
        <row r="202">
          <cell r="C202" t="str">
            <v>Census Tract 249.01, King County, Washington</v>
          </cell>
          <cell r="D202">
            <v>41</v>
          </cell>
          <cell r="E202">
            <v>41</v>
          </cell>
          <cell r="F202">
            <v>25</v>
          </cell>
          <cell r="G202">
            <v>16</v>
          </cell>
          <cell r="H202">
            <v>0</v>
          </cell>
          <cell r="I202">
            <v>0</v>
          </cell>
          <cell r="J202">
            <v>16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41</v>
          </cell>
          <cell r="T202">
            <v>0</v>
          </cell>
        </row>
        <row r="203">
          <cell r="C203" t="str">
            <v>Census Tract 249.02, King County, Washington</v>
          </cell>
          <cell r="D203">
            <v>34</v>
          </cell>
          <cell r="E203">
            <v>34</v>
          </cell>
          <cell r="F203">
            <v>4</v>
          </cell>
          <cell r="G203">
            <v>30</v>
          </cell>
          <cell r="H203">
            <v>5</v>
          </cell>
          <cell r="I203">
            <v>0</v>
          </cell>
          <cell r="J203">
            <v>14</v>
          </cell>
          <cell r="K203">
            <v>11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34</v>
          </cell>
          <cell r="T203">
            <v>0</v>
          </cell>
        </row>
        <row r="204">
          <cell r="C204" t="str">
            <v>Census Tract 249.03, King County, Washington</v>
          </cell>
          <cell r="D204">
            <v>78</v>
          </cell>
          <cell r="E204">
            <v>76</v>
          </cell>
          <cell r="F204">
            <v>27</v>
          </cell>
          <cell r="G204">
            <v>49</v>
          </cell>
          <cell r="H204">
            <v>10</v>
          </cell>
          <cell r="I204">
            <v>17</v>
          </cell>
          <cell r="J204">
            <v>15</v>
          </cell>
          <cell r="K204">
            <v>7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</v>
          </cell>
          <cell r="Q204">
            <v>2</v>
          </cell>
          <cell r="R204">
            <v>0</v>
          </cell>
          <cell r="S204">
            <v>76</v>
          </cell>
          <cell r="T204">
            <v>2</v>
          </cell>
        </row>
        <row r="205">
          <cell r="C205" t="str">
            <v>Census Tract 250.01, King County, Washington</v>
          </cell>
          <cell r="D205">
            <v>59</v>
          </cell>
          <cell r="E205">
            <v>59</v>
          </cell>
          <cell r="F205">
            <v>6</v>
          </cell>
          <cell r="G205">
            <v>53</v>
          </cell>
          <cell r="H205">
            <v>7</v>
          </cell>
          <cell r="I205">
            <v>21</v>
          </cell>
          <cell r="J205">
            <v>12</v>
          </cell>
          <cell r="K205">
            <v>13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59</v>
          </cell>
          <cell r="T205">
            <v>0</v>
          </cell>
        </row>
        <row r="206">
          <cell r="C206" t="str">
            <v>Census Tract 250.03, King County, Washington</v>
          </cell>
          <cell r="D206">
            <v>28</v>
          </cell>
          <cell r="E206">
            <v>28</v>
          </cell>
          <cell r="F206">
            <v>0</v>
          </cell>
          <cell r="G206">
            <v>28</v>
          </cell>
          <cell r="H206">
            <v>9</v>
          </cell>
          <cell r="I206">
            <v>0</v>
          </cell>
          <cell r="J206">
            <v>0</v>
          </cell>
          <cell r="K206">
            <v>19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28</v>
          </cell>
          <cell r="T206">
            <v>0</v>
          </cell>
        </row>
        <row r="207">
          <cell r="C207" t="str">
            <v>Census Tract 250.04, King County, Washington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C208" t="str">
            <v>Census Tract 251.01, King County, Washington</v>
          </cell>
          <cell r="D208">
            <v>227</v>
          </cell>
          <cell r="E208">
            <v>168</v>
          </cell>
          <cell r="F208">
            <v>87</v>
          </cell>
          <cell r="G208">
            <v>81</v>
          </cell>
          <cell r="H208">
            <v>0</v>
          </cell>
          <cell r="I208">
            <v>11</v>
          </cell>
          <cell r="J208">
            <v>42</v>
          </cell>
          <cell r="K208">
            <v>28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59</v>
          </cell>
          <cell r="Q208">
            <v>0</v>
          </cell>
          <cell r="R208">
            <v>59</v>
          </cell>
          <cell r="S208">
            <v>168</v>
          </cell>
          <cell r="T208">
            <v>59</v>
          </cell>
        </row>
        <row r="209">
          <cell r="C209" t="str">
            <v>Census Tract 251.02, King County, Washington</v>
          </cell>
          <cell r="D209">
            <v>160</v>
          </cell>
          <cell r="E209">
            <v>144</v>
          </cell>
          <cell r="F209">
            <v>31</v>
          </cell>
          <cell r="G209">
            <v>113</v>
          </cell>
          <cell r="H209">
            <v>0</v>
          </cell>
          <cell r="I209">
            <v>61</v>
          </cell>
          <cell r="J209">
            <v>33</v>
          </cell>
          <cell r="K209">
            <v>19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16</v>
          </cell>
          <cell r="Q209">
            <v>16</v>
          </cell>
          <cell r="R209">
            <v>0</v>
          </cell>
          <cell r="S209">
            <v>144</v>
          </cell>
          <cell r="T209">
            <v>16</v>
          </cell>
        </row>
        <row r="210">
          <cell r="C210" t="str">
            <v>Census Tract 252, King County, Washington</v>
          </cell>
          <cell r="D210">
            <v>298</v>
          </cell>
          <cell r="E210">
            <v>298</v>
          </cell>
          <cell r="F210">
            <v>141</v>
          </cell>
          <cell r="G210">
            <v>157</v>
          </cell>
          <cell r="H210">
            <v>0</v>
          </cell>
          <cell r="I210">
            <v>0</v>
          </cell>
          <cell r="J210">
            <v>126</v>
          </cell>
          <cell r="K210">
            <v>31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298</v>
          </cell>
          <cell r="T210">
            <v>0</v>
          </cell>
        </row>
        <row r="211">
          <cell r="C211" t="str">
            <v>Census Tract 253, King County, Washington</v>
          </cell>
          <cell r="D211">
            <v>523</v>
          </cell>
          <cell r="E211">
            <v>523</v>
          </cell>
          <cell r="F211">
            <v>212</v>
          </cell>
          <cell r="G211">
            <v>301</v>
          </cell>
          <cell r="H211">
            <v>28</v>
          </cell>
          <cell r="I211">
            <v>66</v>
          </cell>
          <cell r="J211">
            <v>191</v>
          </cell>
          <cell r="K211">
            <v>16</v>
          </cell>
          <cell r="L211">
            <v>10</v>
          </cell>
          <cell r="M211">
            <v>0</v>
          </cell>
          <cell r="N211">
            <v>10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513</v>
          </cell>
          <cell r="T211">
            <v>10</v>
          </cell>
        </row>
        <row r="212">
          <cell r="C212" t="str">
            <v>Census Tract 254, King County, Washington</v>
          </cell>
          <cell r="D212">
            <v>547</v>
          </cell>
          <cell r="E212">
            <v>457</v>
          </cell>
          <cell r="F212">
            <v>267</v>
          </cell>
          <cell r="G212">
            <v>190</v>
          </cell>
          <cell r="H212">
            <v>23</v>
          </cell>
          <cell r="I212">
            <v>41</v>
          </cell>
          <cell r="J212">
            <v>109</v>
          </cell>
          <cell r="K212">
            <v>17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90</v>
          </cell>
          <cell r="Q212">
            <v>0</v>
          </cell>
          <cell r="R212">
            <v>90</v>
          </cell>
          <cell r="S212">
            <v>457</v>
          </cell>
          <cell r="T212">
            <v>90</v>
          </cell>
        </row>
        <row r="213">
          <cell r="C213" t="str">
            <v>Census Tract 255, King County, Washington</v>
          </cell>
          <cell r="D213">
            <v>222</v>
          </cell>
          <cell r="E213">
            <v>222</v>
          </cell>
          <cell r="F213">
            <v>68</v>
          </cell>
          <cell r="G213">
            <v>145</v>
          </cell>
          <cell r="H213">
            <v>50</v>
          </cell>
          <cell r="I213">
            <v>14</v>
          </cell>
          <cell r="J213">
            <v>53</v>
          </cell>
          <cell r="K213">
            <v>28</v>
          </cell>
          <cell r="L213">
            <v>9</v>
          </cell>
          <cell r="M213">
            <v>0</v>
          </cell>
          <cell r="N213">
            <v>0</v>
          </cell>
          <cell r="O213">
            <v>9</v>
          </cell>
          <cell r="P213">
            <v>0</v>
          </cell>
          <cell r="Q213">
            <v>0</v>
          </cell>
          <cell r="R213">
            <v>0</v>
          </cell>
          <cell r="S213">
            <v>213</v>
          </cell>
          <cell r="T213">
            <v>9</v>
          </cell>
        </row>
        <row r="214">
          <cell r="C214" t="str">
            <v>Census Tract 256, King County, Washington</v>
          </cell>
          <cell r="D214">
            <v>163</v>
          </cell>
          <cell r="E214">
            <v>147</v>
          </cell>
          <cell r="F214">
            <v>36</v>
          </cell>
          <cell r="G214">
            <v>111</v>
          </cell>
          <cell r="H214">
            <v>0</v>
          </cell>
          <cell r="I214">
            <v>26</v>
          </cell>
          <cell r="J214">
            <v>85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16</v>
          </cell>
          <cell r="Q214">
            <v>0</v>
          </cell>
          <cell r="R214">
            <v>16</v>
          </cell>
          <cell r="S214">
            <v>147</v>
          </cell>
          <cell r="T214">
            <v>16</v>
          </cell>
        </row>
        <row r="215">
          <cell r="C215" t="str">
            <v>Census Tract 257.01, King County, Washington</v>
          </cell>
          <cell r="D215">
            <v>405</v>
          </cell>
          <cell r="E215">
            <v>307</v>
          </cell>
          <cell r="F215">
            <v>71</v>
          </cell>
          <cell r="G215">
            <v>236</v>
          </cell>
          <cell r="H215">
            <v>0</v>
          </cell>
          <cell r="I215">
            <v>22</v>
          </cell>
          <cell r="J215">
            <v>111</v>
          </cell>
          <cell r="K215">
            <v>103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98</v>
          </cell>
          <cell r="Q215">
            <v>38</v>
          </cell>
          <cell r="R215">
            <v>60</v>
          </cell>
          <cell r="S215">
            <v>307</v>
          </cell>
          <cell r="T215">
            <v>98</v>
          </cell>
        </row>
        <row r="216">
          <cell r="C216" t="str">
            <v>Census Tract 257.02, King County, Washington</v>
          </cell>
          <cell r="D216">
            <v>259</v>
          </cell>
          <cell r="E216">
            <v>259</v>
          </cell>
          <cell r="F216">
            <v>129</v>
          </cell>
          <cell r="G216">
            <v>130</v>
          </cell>
          <cell r="H216">
            <v>10</v>
          </cell>
          <cell r="I216">
            <v>60</v>
          </cell>
          <cell r="J216">
            <v>46</v>
          </cell>
          <cell r="K216">
            <v>14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259</v>
          </cell>
          <cell r="T216">
            <v>0</v>
          </cell>
        </row>
        <row r="217">
          <cell r="C217" t="str">
            <v>Census Tract 258.01, King County, Washington</v>
          </cell>
          <cell r="D217">
            <v>652</v>
          </cell>
          <cell r="E217">
            <v>599</v>
          </cell>
          <cell r="F217">
            <v>280</v>
          </cell>
          <cell r="G217">
            <v>276</v>
          </cell>
          <cell r="H217">
            <v>36</v>
          </cell>
          <cell r="I217">
            <v>43</v>
          </cell>
          <cell r="J217">
            <v>115</v>
          </cell>
          <cell r="K217">
            <v>82</v>
          </cell>
          <cell r="L217">
            <v>43</v>
          </cell>
          <cell r="M217">
            <v>0</v>
          </cell>
          <cell r="N217">
            <v>0</v>
          </cell>
          <cell r="O217">
            <v>43</v>
          </cell>
          <cell r="P217">
            <v>53</v>
          </cell>
          <cell r="Q217">
            <v>26</v>
          </cell>
          <cell r="R217">
            <v>27</v>
          </cell>
          <cell r="S217">
            <v>556</v>
          </cell>
          <cell r="T217">
            <v>96</v>
          </cell>
        </row>
        <row r="218">
          <cell r="C218" t="str">
            <v>Census Tract 258.03, King County, Washington</v>
          </cell>
          <cell r="D218">
            <v>410</v>
          </cell>
          <cell r="E218">
            <v>385</v>
          </cell>
          <cell r="F218">
            <v>166</v>
          </cell>
          <cell r="G218">
            <v>219</v>
          </cell>
          <cell r="H218">
            <v>17</v>
          </cell>
          <cell r="I218">
            <v>52</v>
          </cell>
          <cell r="J218">
            <v>86</v>
          </cell>
          <cell r="K218">
            <v>64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25</v>
          </cell>
          <cell r="Q218">
            <v>19</v>
          </cell>
          <cell r="R218">
            <v>6</v>
          </cell>
          <cell r="S218">
            <v>385</v>
          </cell>
          <cell r="T218">
            <v>25</v>
          </cell>
        </row>
        <row r="219">
          <cell r="C219" t="str">
            <v>Census Tract 258.04, King County, Washington</v>
          </cell>
          <cell r="D219">
            <v>175</v>
          </cell>
          <cell r="E219">
            <v>165</v>
          </cell>
          <cell r="F219">
            <v>44</v>
          </cell>
          <cell r="G219">
            <v>121</v>
          </cell>
          <cell r="H219">
            <v>12</v>
          </cell>
          <cell r="I219">
            <v>9</v>
          </cell>
          <cell r="J219">
            <v>36</v>
          </cell>
          <cell r="K219">
            <v>64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10</v>
          </cell>
          <cell r="Q219">
            <v>0</v>
          </cell>
          <cell r="R219">
            <v>10</v>
          </cell>
          <cell r="S219">
            <v>165</v>
          </cell>
          <cell r="T219">
            <v>10</v>
          </cell>
        </row>
        <row r="220">
          <cell r="C220" t="str">
            <v>Census Tract 260.01, King County, Washington</v>
          </cell>
          <cell r="D220">
            <v>1109</v>
          </cell>
          <cell r="E220">
            <v>1061</v>
          </cell>
          <cell r="F220">
            <v>519</v>
          </cell>
          <cell r="G220">
            <v>542</v>
          </cell>
          <cell r="H220">
            <v>6</v>
          </cell>
          <cell r="I220">
            <v>78</v>
          </cell>
          <cell r="J220">
            <v>366</v>
          </cell>
          <cell r="K220">
            <v>92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48</v>
          </cell>
          <cell r="Q220">
            <v>16</v>
          </cell>
          <cell r="R220">
            <v>32</v>
          </cell>
          <cell r="S220">
            <v>1061</v>
          </cell>
          <cell r="T220">
            <v>48</v>
          </cell>
        </row>
        <row r="221">
          <cell r="C221" t="str">
            <v>Census Tract 260.02, King County, Washington</v>
          </cell>
          <cell r="D221">
            <v>1332</v>
          </cell>
          <cell r="E221">
            <v>1247</v>
          </cell>
          <cell r="F221">
            <v>578</v>
          </cell>
          <cell r="G221">
            <v>655</v>
          </cell>
          <cell r="H221">
            <v>31</v>
          </cell>
          <cell r="I221">
            <v>128</v>
          </cell>
          <cell r="J221">
            <v>300</v>
          </cell>
          <cell r="K221">
            <v>196</v>
          </cell>
          <cell r="L221">
            <v>14</v>
          </cell>
          <cell r="M221">
            <v>0</v>
          </cell>
          <cell r="N221">
            <v>0</v>
          </cell>
          <cell r="O221">
            <v>14</v>
          </cell>
          <cell r="P221">
            <v>85</v>
          </cell>
          <cell r="Q221">
            <v>24</v>
          </cell>
          <cell r="R221">
            <v>61</v>
          </cell>
          <cell r="S221">
            <v>1233</v>
          </cell>
          <cell r="T221">
            <v>99</v>
          </cell>
        </row>
        <row r="222">
          <cell r="C222" t="str">
            <v>Census Tract 261, King County, Washington</v>
          </cell>
          <cell r="D222">
            <v>1931</v>
          </cell>
          <cell r="E222">
            <v>1860</v>
          </cell>
          <cell r="F222">
            <v>956</v>
          </cell>
          <cell r="G222">
            <v>904</v>
          </cell>
          <cell r="H222">
            <v>17</v>
          </cell>
          <cell r="I222">
            <v>191</v>
          </cell>
          <cell r="J222">
            <v>633</v>
          </cell>
          <cell r="K222">
            <v>63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71</v>
          </cell>
          <cell r="Q222">
            <v>31</v>
          </cell>
          <cell r="R222">
            <v>40</v>
          </cell>
          <cell r="S222">
            <v>1860</v>
          </cell>
          <cell r="T222">
            <v>71</v>
          </cell>
        </row>
        <row r="223">
          <cell r="C223" t="str">
            <v>Census Tract 262, King County, Washington</v>
          </cell>
          <cell r="D223">
            <v>689</v>
          </cell>
          <cell r="E223">
            <v>666</v>
          </cell>
          <cell r="F223">
            <v>300</v>
          </cell>
          <cell r="G223">
            <v>325</v>
          </cell>
          <cell r="H223">
            <v>40</v>
          </cell>
          <cell r="I223">
            <v>74</v>
          </cell>
          <cell r="J223">
            <v>173</v>
          </cell>
          <cell r="K223">
            <v>38</v>
          </cell>
          <cell r="L223">
            <v>41</v>
          </cell>
          <cell r="M223">
            <v>0</v>
          </cell>
          <cell r="N223">
            <v>0</v>
          </cell>
          <cell r="O223">
            <v>41</v>
          </cell>
          <cell r="P223">
            <v>23</v>
          </cell>
          <cell r="Q223">
            <v>11</v>
          </cell>
          <cell r="R223">
            <v>12</v>
          </cell>
          <cell r="S223">
            <v>625</v>
          </cell>
          <cell r="T223">
            <v>64</v>
          </cell>
        </row>
        <row r="224">
          <cell r="C224" t="str">
            <v>Census Tract 263, King County, Washington</v>
          </cell>
          <cell r="D224">
            <v>145</v>
          </cell>
          <cell r="E224">
            <v>145</v>
          </cell>
          <cell r="F224">
            <v>68</v>
          </cell>
          <cell r="G224">
            <v>77</v>
          </cell>
          <cell r="H224">
            <v>18</v>
          </cell>
          <cell r="I224">
            <v>0</v>
          </cell>
          <cell r="J224">
            <v>43</v>
          </cell>
          <cell r="K224">
            <v>16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145</v>
          </cell>
          <cell r="T224">
            <v>0</v>
          </cell>
        </row>
        <row r="225">
          <cell r="C225" t="str">
            <v>Census Tract 264, King County, Washington</v>
          </cell>
          <cell r="D225">
            <v>577</v>
          </cell>
          <cell r="E225">
            <v>510</v>
          </cell>
          <cell r="F225">
            <v>275</v>
          </cell>
          <cell r="G225">
            <v>235</v>
          </cell>
          <cell r="H225">
            <v>21</v>
          </cell>
          <cell r="I225">
            <v>36</v>
          </cell>
          <cell r="J225">
            <v>90</v>
          </cell>
          <cell r="K225">
            <v>88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67</v>
          </cell>
          <cell r="Q225">
            <v>0</v>
          </cell>
          <cell r="R225">
            <v>67</v>
          </cell>
          <cell r="S225">
            <v>510</v>
          </cell>
          <cell r="T225">
            <v>67</v>
          </cell>
        </row>
        <row r="226">
          <cell r="C226" t="str">
            <v>Census Tract 265, King County, Washington</v>
          </cell>
          <cell r="D226">
            <v>275</v>
          </cell>
          <cell r="E226">
            <v>134</v>
          </cell>
          <cell r="F226">
            <v>105</v>
          </cell>
          <cell r="G226">
            <v>26</v>
          </cell>
          <cell r="H226">
            <v>0</v>
          </cell>
          <cell r="I226">
            <v>9</v>
          </cell>
          <cell r="J226">
            <v>17</v>
          </cell>
          <cell r="K226">
            <v>0</v>
          </cell>
          <cell r="L226">
            <v>3</v>
          </cell>
          <cell r="M226">
            <v>0</v>
          </cell>
          <cell r="N226">
            <v>0</v>
          </cell>
          <cell r="O226">
            <v>3</v>
          </cell>
          <cell r="P226">
            <v>141</v>
          </cell>
          <cell r="Q226">
            <v>23</v>
          </cell>
          <cell r="R226">
            <v>118</v>
          </cell>
          <cell r="S226">
            <v>131</v>
          </cell>
          <cell r="T226">
            <v>144</v>
          </cell>
        </row>
        <row r="227">
          <cell r="C227" t="str">
            <v>Census Tract 266, King County, Washington</v>
          </cell>
          <cell r="D227">
            <v>137</v>
          </cell>
          <cell r="E227">
            <v>121</v>
          </cell>
          <cell r="F227">
            <v>74</v>
          </cell>
          <cell r="G227">
            <v>47</v>
          </cell>
          <cell r="H227">
            <v>0</v>
          </cell>
          <cell r="I227">
            <v>10</v>
          </cell>
          <cell r="J227">
            <v>37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16</v>
          </cell>
          <cell r="Q227">
            <v>5</v>
          </cell>
          <cell r="R227">
            <v>11</v>
          </cell>
          <cell r="S227">
            <v>121</v>
          </cell>
          <cell r="T227">
            <v>16</v>
          </cell>
        </row>
        <row r="228">
          <cell r="C228" t="str">
            <v>Census Tract 267, King County, Washington</v>
          </cell>
          <cell r="D228">
            <v>224</v>
          </cell>
          <cell r="E228">
            <v>224</v>
          </cell>
          <cell r="F228">
            <v>182</v>
          </cell>
          <cell r="G228">
            <v>42</v>
          </cell>
          <cell r="H228">
            <v>12</v>
          </cell>
          <cell r="I228">
            <v>0</v>
          </cell>
          <cell r="J228">
            <v>30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224</v>
          </cell>
          <cell r="T228">
            <v>0</v>
          </cell>
        </row>
        <row r="229">
          <cell r="C229" t="str">
            <v>Census Tract 268.01, King County, Washington</v>
          </cell>
          <cell r="D229">
            <v>461</v>
          </cell>
          <cell r="E229">
            <v>413</v>
          </cell>
          <cell r="F229">
            <v>177</v>
          </cell>
          <cell r="G229">
            <v>236</v>
          </cell>
          <cell r="H229">
            <v>7</v>
          </cell>
          <cell r="I229">
            <v>95</v>
          </cell>
          <cell r="J229">
            <v>116</v>
          </cell>
          <cell r="K229">
            <v>18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48</v>
          </cell>
          <cell r="Q229">
            <v>17</v>
          </cell>
          <cell r="R229">
            <v>31</v>
          </cell>
          <cell r="S229">
            <v>413</v>
          </cell>
          <cell r="T229">
            <v>48</v>
          </cell>
        </row>
        <row r="230">
          <cell r="C230" t="str">
            <v>Census Tract 268.02, King County, Washington</v>
          </cell>
          <cell r="D230">
            <v>352</v>
          </cell>
          <cell r="E230">
            <v>285</v>
          </cell>
          <cell r="F230">
            <v>132</v>
          </cell>
          <cell r="G230">
            <v>153</v>
          </cell>
          <cell r="H230">
            <v>12</v>
          </cell>
          <cell r="I230">
            <v>5</v>
          </cell>
          <cell r="J230">
            <v>88</v>
          </cell>
          <cell r="K230">
            <v>48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67</v>
          </cell>
          <cell r="Q230">
            <v>10</v>
          </cell>
          <cell r="R230">
            <v>57</v>
          </cell>
          <cell r="S230">
            <v>285</v>
          </cell>
          <cell r="T230">
            <v>67</v>
          </cell>
        </row>
        <row r="231">
          <cell r="C231" t="str">
            <v>Census Tract 269, King County, Washington</v>
          </cell>
          <cell r="D231">
            <v>70</v>
          </cell>
          <cell r="E231">
            <v>61</v>
          </cell>
          <cell r="F231">
            <v>33</v>
          </cell>
          <cell r="G231">
            <v>28</v>
          </cell>
          <cell r="H231">
            <v>0</v>
          </cell>
          <cell r="I231">
            <v>0</v>
          </cell>
          <cell r="J231">
            <v>28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9</v>
          </cell>
          <cell r="Q231">
            <v>0</v>
          </cell>
          <cell r="R231">
            <v>9</v>
          </cell>
          <cell r="S231">
            <v>61</v>
          </cell>
          <cell r="T231">
            <v>9</v>
          </cell>
        </row>
        <row r="232">
          <cell r="C232" t="str">
            <v>Census Tract 270, King County, Washington</v>
          </cell>
          <cell r="D232">
            <v>46</v>
          </cell>
          <cell r="E232">
            <v>39</v>
          </cell>
          <cell r="F232">
            <v>28</v>
          </cell>
          <cell r="G232">
            <v>5</v>
          </cell>
          <cell r="H232">
            <v>0</v>
          </cell>
          <cell r="I232">
            <v>0</v>
          </cell>
          <cell r="J232">
            <v>0</v>
          </cell>
          <cell r="K232">
            <v>5</v>
          </cell>
          <cell r="L232">
            <v>6</v>
          </cell>
          <cell r="M232">
            <v>0</v>
          </cell>
          <cell r="N232">
            <v>0</v>
          </cell>
          <cell r="O232">
            <v>6</v>
          </cell>
          <cell r="P232">
            <v>7</v>
          </cell>
          <cell r="Q232">
            <v>7</v>
          </cell>
          <cell r="R232">
            <v>0</v>
          </cell>
          <cell r="S232">
            <v>33</v>
          </cell>
          <cell r="T232">
            <v>13</v>
          </cell>
        </row>
        <row r="233">
          <cell r="C233" t="str">
            <v>Census Tract 271, King County, Washington</v>
          </cell>
          <cell r="D233">
            <v>245</v>
          </cell>
          <cell r="E233">
            <v>175</v>
          </cell>
          <cell r="F233">
            <v>45</v>
          </cell>
          <cell r="G233">
            <v>130</v>
          </cell>
          <cell r="H233">
            <v>19</v>
          </cell>
          <cell r="I233">
            <v>41</v>
          </cell>
          <cell r="J233">
            <v>52</v>
          </cell>
          <cell r="K233">
            <v>18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70</v>
          </cell>
          <cell r="Q233">
            <v>33</v>
          </cell>
          <cell r="R233">
            <v>37</v>
          </cell>
          <cell r="S233">
            <v>175</v>
          </cell>
          <cell r="T233">
            <v>70</v>
          </cell>
        </row>
        <row r="234">
          <cell r="C234" t="str">
            <v>Census Tract 272, King County, Washington</v>
          </cell>
          <cell r="D234">
            <v>276</v>
          </cell>
          <cell r="E234">
            <v>169</v>
          </cell>
          <cell r="F234">
            <v>70</v>
          </cell>
          <cell r="G234">
            <v>99</v>
          </cell>
          <cell r="H234">
            <v>0</v>
          </cell>
          <cell r="I234">
            <v>39</v>
          </cell>
          <cell r="J234">
            <v>36</v>
          </cell>
          <cell r="K234">
            <v>24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107</v>
          </cell>
          <cell r="Q234">
            <v>22</v>
          </cell>
          <cell r="R234">
            <v>85</v>
          </cell>
          <cell r="S234">
            <v>169</v>
          </cell>
          <cell r="T234">
            <v>107</v>
          </cell>
        </row>
        <row r="235">
          <cell r="C235" t="str">
            <v>Census Tract 273, King County, Washington</v>
          </cell>
          <cell r="D235">
            <v>497</v>
          </cell>
          <cell r="E235">
            <v>403</v>
          </cell>
          <cell r="F235">
            <v>270</v>
          </cell>
          <cell r="G235">
            <v>133</v>
          </cell>
          <cell r="H235">
            <v>16</v>
          </cell>
          <cell r="I235">
            <v>7</v>
          </cell>
          <cell r="J235">
            <v>70</v>
          </cell>
          <cell r="K235">
            <v>40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94</v>
          </cell>
          <cell r="Q235">
            <v>46</v>
          </cell>
          <cell r="R235">
            <v>48</v>
          </cell>
          <cell r="S235">
            <v>403</v>
          </cell>
          <cell r="T235">
            <v>94</v>
          </cell>
        </row>
        <row r="236">
          <cell r="C236" t="str">
            <v>Census Tract 274, King County, Washington</v>
          </cell>
          <cell r="D236">
            <v>183</v>
          </cell>
          <cell r="E236">
            <v>174</v>
          </cell>
          <cell r="F236">
            <v>128</v>
          </cell>
          <cell r="G236">
            <v>46</v>
          </cell>
          <cell r="H236">
            <v>17</v>
          </cell>
          <cell r="I236">
            <v>3</v>
          </cell>
          <cell r="J236">
            <v>18</v>
          </cell>
          <cell r="K236">
            <v>8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9</v>
          </cell>
          <cell r="Q236">
            <v>9</v>
          </cell>
          <cell r="R236">
            <v>0</v>
          </cell>
          <cell r="S236">
            <v>174</v>
          </cell>
          <cell r="T236">
            <v>9</v>
          </cell>
        </row>
        <row r="237">
          <cell r="C237" t="str">
            <v>Census Tract 275, King County, Washington</v>
          </cell>
          <cell r="D237">
            <v>146</v>
          </cell>
          <cell r="E237">
            <v>116</v>
          </cell>
          <cell r="F237">
            <v>58</v>
          </cell>
          <cell r="G237">
            <v>58</v>
          </cell>
          <cell r="H237">
            <v>6</v>
          </cell>
          <cell r="I237">
            <v>0</v>
          </cell>
          <cell r="J237">
            <v>33</v>
          </cell>
          <cell r="K237">
            <v>19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30</v>
          </cell>
          <cell r="Q237">
            <v>30</v>
          </cell>
          <cell r="R237">
            <v>0</v>
          </cell>
          <cell r="S237">
            <v>116</v>
          </cell>
          <cell r="T237">
            <v>30</v>
          </cell>
        </row>
        <row r="238">
          <cell r="C238" t="str">
            <v>Census Tract 276, King County, Washington</v>
          </cell>
          <cell r="D238">
            <v>575</v>
          </cell>
          <cell r="E238">
            <v>517</v>
          </cell>
          <cell r="F238">
            <v>294</v>
          </cell>
          <cell r="G238">
            <v>223</v>
          </cell>
          <cell r="H238">
            <v>7</v>
          </cell>
          <cell r="I238">
            <v>19</v>
          </cell>
          <cell r="J238">
            <v>87</v>
          </cell>
          <cell r="K238">
            <v>110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58</v>
          </cell>
          <cell r="Q238">
            <v>14</v>
          </cell>
          <cell r="R238">
            <v>44</v>
          </cell>
          <cell r="S238">
            <v>517</v>
          </cell>
          <cell r="T238">
            <v>58</v>
          </cell>
        </row>
        <row r="239">
          <cell r="C239" t="str">
            <v>Census Tract 277.01, King County, Washington</v>
          </cell>
          <cell r="D239">
            <v>10</v>
          </cell>
          <cell r="E239">
            <v>10</v>
          </cell>
          <cell r="F239">
            <v>0</v>
          </cell>
          <cell r="G239">
            <v>10</v>
          </cell>
          <cell r="H239">
            <v>0</v>
          </cell>
          <cell r="I239">
            <v>0</v>
          </cell>
          <cell r="J239">
            <v>10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10</v>
          </cell>
          <cell r="T239">
            <v>0</v>
          </cell>
        </row>
        <row r="240">
          <cell r="C240" t="str">
            <v>Census Tract 277.02, King County, Washington</v>
          </cell>
          <cell r="D240">
            <v>69</v>
          </cell>
          <cell r="E240">
            <v>47</v>
          </cell>
          <cell r="F240">
            <v>0</v>
          </cell>
          <cell r="G240">
            <v>47</v>
          </cell>
          <cell r="H240">
            <v>0</v>
          </cell>
          <cell r="I240">
            <v>13</v>
          </cell>
          <cell r="J240">
            <v>23</v>
          </cell>
          <cell r="K240">
            <v>11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22</v>
          </cell>
          <cell r="Q240">
            <v>0</v>
          </cell>
          <cell r="R240">
            <v>22</v>
          </cell>
          <cell r="S240">
            <v>47</v>
          </cell>
          <cell r="T240">
            <v>22</v>
          </cell>
        </row>
        <row r="241">
          <cell r="C241" t="str">
            <v>Census Tract 278, King County, Washington</v>
          </cell>
          <cell r="D241">
            <v>3</v>
          </cell>
          <cell r="E241">
            <v>3</v>
          </cell>
          <cell r="F241">
            <v>0</v>
          </cell>
          <cell r="G241">
            <v>3</v>
          </cell>
          <cell r="H241">
            <v>3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3</v>
          </cell>
          <cell r="T241">
            <v>0</v>
          </cell>
        </row>
        <row r="242">
          <cell r="C242" t="str">
            <v>Census Tract 279, King County, Washington</v>
          </cell>
          <cell r="D242">
            <v>151</v>
          </cell>
          <cell r="E242">
            <v>127</v>
          </cell>
          <cell r="F242">
            <v>60</v>
          </cell>
          <cell r="G242">
            <v>67</v>
          </cell>
          <cell r="H242">
            <v>8</v>
          </cell>
          <cell r="I242">
            <v>17</v>
          </cell>
          <cell r="J242">
            <v>21</v>
          </cell>
          <cell r="K242">
            <v>21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24</v>
          </cell>
          <cell r="Q242">
            <v>16</v>
          </cell>
          <cell r="R242">
            <v>8</v>
          </cell>
          <cell r="S242">
            <v>127</v>
          </cell>
          <cell r="T242">
            <v>24</v>
          </cell>
        </row>
        <row r="243">
          <cell r="C243" t="str">
            <v>Census Tract 280, King County, Washington</v>
          </cell>
          <cell r="D243">
            <v>228</v>
          </cell>
          <cell r="E243">
            <v>187</v>
          </cell>
          <cell r="F243">
            <v>103</v>
          </cell>
          <cell r="G243">
            <v>84</v>
          </cell>
          <cell r="H243">
            <v>8</v>
          </cell>
          <cell r="I243">
            <v>38</v>
          </cell>
          <cell r="J243">
            <v>31</v>
          </cell>
          <cell r="K243">
            <v>7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41</v>
          </cell>
          <cell r="Q243">
            <v>29</v>
          </cell>
          <cell r="R243">
            <v>12</v>
          </cell>
          <cell r="S243">
            <v>187</v>
          </cell>
          <cell r="T243">
            <v>41</v>
          </cell>
        </row>
        <row r="244">
          <cell r="C244" t="str">
            <v>Census Tract 281, King County, Washington</v>
          </cell>
          <cell r="D244">
            <v>247</v>
          </cell>
          <cell r="E244">
            <v>200</v>
          </cell>
          <cell r="F244">
            <v>107</v>
          </cell>
          <cell r="G244">
            <v>93</v>
          </cell>
          <cell r="H244">
            <v>19</v>
          </cell>
          <cell r="I244">
            <v>16</v>
          </cell>
          <cell r="J244">
            <v>48</v>
          </cell>
          <cell r="K244">
            <v>10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47</v>
          </cell>
          <cell r="Q244">
            <v>6</v>
          </cell>
          <cell r="R244">
            <v>41</v>
          </cell>
          <cell r="S244">
            <v>200</v>
          </cell>
          <cell r="T244">
            <v>47</v>
          </cell>
        </row>
        <row r="245">
          <cell r="C245" t="str">
            <v>Census Tract 282, King County, Washington</v>
          </cell>
          <cell r="D245">
            <v>719</v>
          </cell>
          <cell r="E245">
            <v>583</v>
          </cell>
          <cell r="F245">
            <v>200</v>
          </cell>
          <cell r="G245">
            <v>377</v>
          </cell>
          <cell r="H245">
            <v>35</v>
          </cell>
          <cell r="I245">
            <v>53</v>
          </cell>
          <cell r="J245">
            <v>218</v>
          </cell>
          <cell r="K245">
            <v>71</v>
          </cell>
          <cell r="L245">
            <v>6</v>
          </cell>
          <cell r="M245">
            <v>0</v>
          </cell>
          <cell r="N245">
            <v>0</v>
          </cell>
          <cell r="O245">
            <v>6</v>
          </cell>
          <cell r="P245">
            <v>136</v>
          </cell>
          <cell r="Q245">
            <v>57</v>
          </cell>
          <cell r="R245">
            <v>79</v>
          </cell>
          <cell r="S245">
            <v>577</v>
          </cell>
          <cell r="T245">
            <v>142</v>
          </cell>
        </row>
        <row r="246">
          <cell r="C246" t="str">
            <v>Census Tract 283, King County, Washington</v>
          </cell>
          <cell r="D246">
            <v>135</v>
          </cell>
          <cell r="E246">
            <v>105</v>
          </cell>
          <cell r="F246">
            <v>90</v>
          </cell>
          <cell r="G246">
            <v>15</v>
          </cell>
          <cell r="H246">
            <v>0</v>
          </cell>
          <cell r="I246">
            <v>0</v>
          </cell>
          <cell r="J246">
            <v>15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30</v>
          </cell>
          <cell r="Q246">
            <v>4</v>
          </cell>
          <cell r="R246">
            <v>26</v>
          </cell>
          <cell r="S246">
            <v>105</v>
          </cell>
          <cell r="T246">
            <v>30</v>
          </cell>
        </row>
        <row r="247">
          <cell r="C247" t="str">
            <v>Census Tract 284.02, King County, Washington</v>
          </cell>
          <cell r="D247">
            <v>464</v>
          </cell>
          <cell r="E247">
            <v>278</v>
          </cell>
          <cell r="F247">
            <v>159</v>
          </cell>
          <cell r="G247">
            <v>114</v>
          </cell>
          <cell r="H247">
            <v>35</v>
          </cell>
          <cell r="I247">
            <v>10</v>
          </cell>
          <cell r="J247">
            <v>59</v>
          </cell>
          <cell r="K247">
            <v>10</v>
          </cell>
          <cell r="L247">
            <v>5</v>
          </cell>
          <cell r="M247">
            <v>0</v>
          </cell>
          <cell r="N247">
            <v>0</v>
          </cell>
          <cell r="O247">
            <v>5</v>
          </cell>
          <cell r="P247">
            <v>186</v>
          </cell>
          <cell r="Q247">
            <v>13</v>
          </cell>
          <cell r="R247">
            <v>173</v>
          </cell>
          <cell r="S247">
            <v>273</v>
          </cell>
          <cell r="T247">
            <v>191</v>
          </cell>
        </row>
        <row r="248">
          <cell r="C248" t="str">
            <v>Census Tract 284.03, King County, Washington</v>
          </cell>
          <cell r="D248">
            <v>454</v>
          </cell>
          <cell r="E248">
            <v>224</v>
          </cell>
          <cell r="F248">
            <v>53</v>
          </cell>
          <cell r="G248">
            <v>171</v>
          </cell>
          <cell r="H248">
            <v>0</v>
          </cell>
          <cell r="I248">
            <v>22</v>
          </cell>
          <cell r="J248">
            <v>141</v>
          </cell>
          <cell r="K248">
            <v>8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230</v>
          </cell>
          <cell r="Q248">
            <v>27</v>
          </cell>
          <cell r="R248">
            <v>203</v>
          </cell>
          <cell r="S248">
            <v>224</v>
          </cell>
          <cell r="T248">
            <v>230</v>
          </cell>
        </row>
        <row r="249">
          <cell r="C249" t="str">
            <v>Census Tract 285, King County, Washington</v>
          </cell>
          <cell r="D249">
            <v>177</v>
          </cell>
          <cell r="E249">
            <v>146</v>
          </cell>
          <cell r="F249">
            <v>60</v>
          </cell>
          <cell r="G249">
            <v>86</v>
          </cell>
          <cell r="H249">
            <v>0</v>
          </cell>
          <cell r="I249">
            <v>0</v>
          </cell>
          <cell r="J249">
            <v>72</v>
          </cell>
          <cell r="K249">
            <v>14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31</v>
          </cell>
          <cell r="Q249">
            <v>20</v>
          </cell>
          <cell r="R249">
            <v>11</v>
          </cell>
          <cell r="S249">
            <v>146</v>
          </cell>
          <cell r="T249">
            <v>31</v>
          </cell>
        </row>
        <row r="250">
          <cell r="C250" t="str">
            <v>Census Tract 286, King County, Washington</v>
          </cell>
          <cell r="D250">
            <v>53</v>
          </cell>
          <cell r="E250">
            <v>53</v>
          </cell>
          <cell r="F250">
            <v>23</v>
          </cell>
          <cell r="G250">
            <v>30</v>
          </cell>
          <cell r="H250">
            <v>15</v>
          </cell>
          <cell r="I250">
            <v>6</v>
          </cell>
          <cell r="J250">
            <v>0</v>
          </cell>
          <cell r="K250">
            <v>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53</v>
          </cell>
          <cell r="T250">
            <v>0</v>
          </cell>
        </row>
        <row r="251">
          <cell r="C251" t="str">
            <v>Census Tract 287, King County, Washington</v>
          </cell>
          <cell r="D251">
            <v>210</v>
          </cell>
          <cell r="E251">
            <v>192</v>
          </cell>
          <cell r="F251">
            <v>143</v>
          </cell>
          <cell r="G251">
            <v>49</v>
          </cell>
          <cell r="H251">
            <v>0</v>
          </cell>
          <cell r="I251">
            <v>18</v>
          </cell>
          <cell r="J251">
            <v>24</v>
          </cell>
          <cell r="K251">
            <v>7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18</v>
          </cell>
          <cell r="Q251">
            <v>18</v>
          </cell>
          <cell r="R251">
            <v>0</v>
          </cell>
          <cell r="S251">
            <v>192</v>
          </cell>
          <cell r="T251">
            <v>18</v>
          </cell>
        </row>
        <row r="252">
          <cell r="C252" t="str">
            <v>Census Tract 288.01, King County, Washington</v>
          </cell>
          <cell r="D252">
            <v>203</v>
          </cell>
          <cell r="E252">
            <v>177</v>
          </cell>
          <cell r="F252">
            <v>15</v>
          </cell>
          <cell r="G252">
            <v>162</v>
          </cell>
          <cell r="H252">
            <v>35</v>
          </cell>
          <cell r="I252">
            <v>16</v>
          </cell>
          <cell r="J252">
            <v>28</v>
          </cell>
          <cell r="K252">
            <v>83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26</v>
          </cell>
          <cell r="Q252">
            <v>4</v>
          </cell>
          <cell r="R252">
            <v>22</v>
          </cell>
          <cell r="S252">
            <v>177</v>
          </cell>
          <cell r="T252">
            <v>26</v>
          </cell>
        </row>
        <row r="253">
          <cell r="C253" t="str">
            <v>Census Tract 288.02, King County, Washington</v>
          </cell>
          <cell r="D253">
            <v>842</v>
          </cell>
          <cell r="E253">
            <v>627</v>
          </cell>
          <cell r="F253">
            <v>246</v>
          </cell>
          <cell r="G253">
            <v>349</v>
          </cell>
          <cell r="H253">
            <v>28</v>
          </cell>
          <cell r="I253">
            <v>102</v>
          </cell>
          <cell r="J253">
            <v>158</v>
          </cell>
          <cell r="K253">
            <v>61</v>
          </cell>
          <cell r="L253">
            <v>32</v>
          </cell>
          <cell r="M253">
            <v>0</v>
          </cell>
          <cell r="N253">
            <v>0</v>
          </cell>
          <cell r="O253">
            <v>32</v>
          </cell>
          <cell r="P253">
            <v>215</v>
          </cell>
          <cell r="Q253">
            <v>50</v>
          </cell>
          <cell r="R253">
            <v>165</v>
          </cell>
          <cell r="S253">
            <v>595</v>
          </cell>
          <cell r="T253">
            <v>247</v>
          </cell>
        </row>
        <row r="254">
          <cell r="C254" t="str">
            <v>Census Tract 289.01, King County, Washington</v>
          </cell>
          <cell r="D254">
            <v>53</v>
          </cell>
          <cell r="E254">
            <v>44</v>
          </cell>
          <cell r="F254">
            <v>10</v>
          </cell>
          <cell r="G254">
            <v>34</v>
          </cell>
          <cell r="H254">
            <v>0</v>
          </cell>
          <cell r="I254">
            <v>20</v>
          </cell>
          <cell r="J254">
            <v>14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9</v>
          </cell>
          <cell r="Q254">
            <v>9</v>
          </cell>
          <cell r="R254">
            <v>0</v>
          </cell>
          <cell r="S254">
            <v>44</v>
          </cell>
          <cell r="T254">
            <v>9</v>
          </cell>
        </row>
        <row r="255">
          <cell r="C255" t="str">
            <v>Census Tract 289.02, King County, Washington</v>
          </cell>
          <cell r="D255">
            <v>992</v>
          </cell>
          <cell r="E255">
            <v>979</v>
          </cell>
          <cell r="F255">
            <v>600</v>
          </cell>
          <cell r="G255">
            <v>355</v>
          </cell>
          <cell r="H255">
            <v>11</v>
          </cell>
          <cell r="I255">
            <v>116</v>
          </cell>
          <cell r="J255">
            <v>141</v>
          </cell>
          <cell r="K255">
            <v>87</v>
          </cell>
          <cell r="L255">
            <v>24</v>
          </cell>
          <cell r="M255">
            <v>7</v>
          </cell>
          <cell r="N255">
            <v>0</v>
          </cell>
          <cell r="O255">
            <v>17</v>
          </cell>
          <cell r="P255">
            <v>13</v>
          </cell>
          <cell r="Q255">
            <v>0</v>
          </cell>
          <cell r="R255">
            <v>13</v>
          </cell>
          <cell r="S255">
            <v>955</v>
          </cell>
          <cell r="T255">
            <v>37</v>
          </cell>
        </row>
        <row r="256">
          <cell r="C256" t="str">
            <v>Census Tract 290.01, King County, Washington</v>
          </cell>
          <cell r="D256">
            <v>270</v>
          </cell>
          <cell r="E256">
            <v>262</v>
          </cell>
          <cell r="F256">
            <v>151</v>
          </cell>
          <cell r="G256">
            <v>111</v>
          </cell>
          <cell r="H256">
            <v>0</v>
          </cell>
          <cell r="I256">
            <v>28</v>
          </cell>
          <cell r="J256">
            <v>51</v>
          </cell>
          <cell r="K256">
            <v>32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8</v>
          </cell>
          <cell r="Q256">
            <v>0</v>
          </cell>
          <cell r="R256">
            <v>8</v>
          </cell>
          <cell r="S256">
            <v>262</v>
          </cell>
          <cell r="T256">
            <v>8</v>
          </cell>
        </row>
        <row r="257">
          <cell r="C257" t="str">
            <v>Census Tract 290.03, King County, Washington</v>
          </cell>
          <cell r="D257">
            <v>420</v>
          </cell>
          <cell r="E257">
            <v>357</v>
          </cell>
          <cell r="F257">
            <v>198</v>
          </cell>
          <cell r="G257">
            <v>104</v>
          </cell>
          <cell r="H257">
            <v>0</v>
          </cell>
          <cell r="I257">
            <v>19</v>
          </cell>
          <cell r="J257">
            <v>74</v>
          </cell>
          <cell r="K257">
            <v>11</v>
          </cell>
          <cell r="L257">
            <v>55</v>
          </cell>
          <cell r="M257">
            <v>30</v>
          </cell>
          <cell r="N257">
            <v>0</v>
          </cell>
          <cell r="O257">
            <v>25</v>
          </cell>
          <cell r="P257">
            <v>63</v>
          </cell>
          <cell r="Q257">
            <v>27</v>
          </cell>
          <cell r="R257">
            <v>36</v>
          </cell>
          <cell r="S257">
            <v>302</v>
          </cell>
          <cell r="T257">
            <v>118</v>
          </cell>
        </row>
        <row r="258">
          <cell r="C258" t="str">
            <v>Census Tract 290.04, King County, Washington</v>
          </cell>
          <cell r="D258">
            <v>674</v>
          </cell>
          <cell r="E258">
            <v>674</v>
          </cell>
          <cell r="F258">
            <v>471</v>
          </cell>
          <cell r="G258">
            <v>203</v>
          </cell>
          <cell r="H258">
            <v>15</v>
          </cell>
          <cell r="I258">
            <v>35</v>
          </cell>
          <cell r="J258">
            <v>93</v>
          </cell>
          <cell r="K258">
            <v>60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674</v>
          </cell>
          <cell r="T258">
            <v>0</v>
          </cell>
        </row>
        <row r="259">
          <cell r="C259" t="str">
            <v>Census Tract 291, King County, Washington</v>
          </cell>
          <cell r="D259">
            <v>255</v>
          </cell>
          <cell r="E259">
            <v>178</v>
          </cell>
          <cell r="F259">
            <v>57</v>
          </cell>
          <cell r="G259">
            <v>107</v>
          </cell>
          <cell r="H259">
            <v>0</v>
          </cell>
          <cell r="I259">
            <v>0</v>
          </cell>
          <cell r="J259">
            <v>46</v>
          </cell>
          <cell r="K259">
            <v>61</v>
          </cell>
          <cell r="L259">
            <v>14</v>
          </cell>
          <cell r="M259">
            <v>0</v>
          </cell>
          <cell r="N259">
            <v>0</v>
          </cell>
          <cell r="O259">
            <v>14</v>
          </cell>
          <cell r="P259">
            <v>77</v>
          </cell>
          <cell r="Q259">
            <v>0</v>
          </cell>
          <cell r="R259">
            <v>77</v>
          </cell>
          <cell r="S259">
            <v>164</v>
          </cell>
          <cell r="T259">
            <v>91</v>
          </cell>
        </row>
        <row r="260">
          <cell r="C260" t="str">
            <v>Census Tract 292.01, King County, Washington</v>
          </cell>
          <cell r="D260">
            <v>730</v>
          </cell>
          <cell r="E260">
            <v>633</v>
          </cell>
          <cell r="F260">
            <v>261</v>
          </cell>
          <cell r="G260">
            <v>372</v>
          </cell>
          <cell r="H260">
            <v>0</v>
          </cell>
          <cell r="I260">
            <v>96</v>
          </cell>
          <cell r="J260">
            <v>143</v>
          </cell>
          <cell r="K260">
            <v>133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97</v>
          </cell>
          <cell r="Q260">
            <v>25</v>
          </cell>
          <cell r="R260">
            <v>72</v>
          </cell>
          <cell r="S260">
            <v>633</v>
          </cell>
          <cell r="T260">
            <v>97</v>
          </cell>
        </row>
        <row r="261">
          <cell r="C261" t="str">
            <v>Census Tract 292.03, King County, Washington</v>
          </cell>
          <cell r="D261">
            <v>311</v>
          </cell>
          <cell r="E261">
            <v>311</v>
          </cell>
          <cell r="F261">
            <v>148</v>
          </cell>
          <cell r="G261">
            <v>163</v>
          </cell>
          <cell r="H261">
            <v>16</v>
          </cell>
          <cell r="I261">
            <v>59</v>
          </cell>
          <cell r="J261">
            <v>62</v>
          </cell>
          <cell r="K261">
            <v>26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311</v>
          </cell>
          <cell r="T261">
            <v>0</v>
          </cell>
        </row>
        <row r="262">
          <cell r="C262" t="str">
            <v>Census Tract 292.04, King County, Washington</v>
          </cell>
          <cell r="D262">
            <v>343</v>
          </cell>
          <cell r="E262">
            <v>326</v>
          </cell>
          <cell r="F262">
            <v>212</v>
          </cell>
          <cell r="G262">
            <v>114</v>
          </cell>
          <cell r="H262">
            <v>18</v>
          </cell>
          <cell r="I262">
            <v>25</v>
          </cell>
          <cell r="J262">
            <v>64</v>
          </cell>
          <cell r="K262">
            <v>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17</v>
          </cell>
          <cell r="Q262">
            <v>0</v>
          </cell>
          <cell r="R262">
            <v>17</v>
          </cell>
          <cell r="S262">
            <v>326</v>
          </cell>
          <cell r="T262">
            <v>17</v>
          </cell>
        </row>
        <row r="263">
          <cell r="C263" t="str">
            <v>Census Tract 293.03, King County, Washington</v>
          </cell>
          <cell r="D263">
            <v>472</v>
          </cell>
          <cell r="E263">
            <v>445</v>
          </cell>
          <cell r="F263">
            <v>187</v>
          </cell>
          <cell r="G263">
            <v>233</v>
          </cell>
          <cell r="H263">
            <v>7</v>
          </cell>
          <cell r="I263">
            <v>10</v>
          </cell>
          <cell r="J263">
            <v>96</v>
          </cell>
          <cell r="K263">
            <v>120</v>
          </cell>
          <cell r="L263">
            <v>25</v>
          </cell>
          <cell r="M263">
            <v>0</v>
          </cell>
          <cell r="N263">
            <v>0</v>
          </cell>
          <cell r="O263">
            <v>25</v>
          </cell>
          <cell r="P263">
            <v>27</v>
          </cell>
          <cell r="Q263">
            <v>0</v>
          </cell>
          <cell r="R263">
            <v>27</v>
          </cell>
          <cell r="S263">
            <v>420</v>
          </cell>
          <cell r="T263">
            <v>52</v>
          </cell>
        </row>
        <row r="264">
          <cell r="C264" t="str">
            <v>Census Tract 293.04, King County, Washington</v>
          </cell>
          <cell r="D264">
            <v>198</v>
          </cell>
          <cell r="E264">
            <v>171</v>
          </cell>
          <cell r="F264">
            <v>79</v>
          </cell>
          <cell r="G264">
            <v>92</v>
          </cell>
          <cell r="H264">
            <v>44</v>
          </cell>
          <cell r="I264">
            <v>16</v>
          </cell>
          <cell r="J264">
            <v>32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27</v>
          </cell>
          <cell r="Q264">
            <v>20</v>
          </cell>
          <cell r="R264">
            <v>7</v>
          </cell>
          <cell r="S264">
            <v>171</v>
          </cell>
          <cell r="T264">
            <v>27</v>
          </cell>
        </row>
        <row r="265">
          <cell r="C265" t="str">
            <v>Census Tract 293.05, King County, Washington</v>
          </cell>
          <cell r="D265">
            <v>164</v>
          </cell>
          <cell r="E265">
            <v>164</v>
          </cell>
          <cell r="F265">
            <v>79</v>
          </cell>
          <cell r="G265">
            <v>85</v>
          </cell>
          <cell r="H265">
            <v>0</v>
          </cell>
          <cell r="I265">
            <v>47</v>
          </cell>
          <cell r="J265">
            <v>21</v>
          </cell>
          <cell r="K265">
            <v>17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164</v>
          </cell>
          <cell r="T265">
            <v>0</v>
          </cell>
        </row>
        <row r="266">
          <cell r="C266" t="str">
            <v>Census Tract 293.06, King County, Washington</v>
          </cell>
          <cell r="D266">
            <v>72</v>
          </cell>
          <cell r="E266">
            <v>72</v>
          </cell>
          <cell r="F266">
            <v>54</v>
          </cell>
          <cell r="G266">
            <v>18</v>
          </cell>
          <cell r="H266">
            <v>0</v>
          </cell>
          <cell r="I266">
            <v>10</v>
          </cell>
          <cell r="J266">
            <v>0</v>
          </cell>
          <cell r="K266">
            <v>8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72</v>
          </cell>
          <cell r="T266">
            <v>0</v>
          </cell>
        </row>
        <row r="267">
          <cell r="C267" t="str">
            <v>Census Tract 293.07, King County, Washington</v>
          </cell>
          <cell r="D267">
            <v>101</v>
          </cell>
          <cell r="E267">
            <v>101</v>
          </cell>
          <cell r="F267">
            <v>11</v>
          </cell>
          <cell r="G267">
            <v>90</v>
          </cell>
          <cell r="H267">
            <v>11</v>
          </cell>
          <cell r="I267">
            <v>11</v>
          </cell>
          <cell r="J267">
            <v>60</v>
          </cell>
          <cell r="K267">
            <v>8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101</v>
          </cell>
          <cell r="T267">
            <v>0</v>
          </cell>
        </row>
        <row r="268">
          <cell r="C268" t="str">
            <v>Census Tract 294.03, King County, Washington</v>
          </cell>
          <cell r="D268">
            <v>400</v>
          </cell>
          <cell r="E268">
            <v>362</v>
          </cell>
          <cell r="F268">
            <v>217</v>
          </cell>
          <cell r="G268">
            <v>145</v>
          </cell>
          <cell r="H268">
            <v>39</v>
          </cell>
          <cell r="I268">
            <v>18</v>
          </cell>
          <cell r="J268">
            <v>57</v>
          </cell>
          <cell r="K268">
            <v>31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38</v>
          </cell>
          <cell r="Q268">
            <v>4</v>
          </cell>
          <cell r="R268">
            <v>34</v>
          </cell>
          <cell r="S268">
            <v>362</v>
          </cell>
          <cell r="T268">
            <v>38</v>
          </cell>
        </row>
        <row r="269">
          <cell r="C269" t="str">
            <v>Census Tract 294.05, King County, Washington</v>
          </cell>
          <cell r="D269">
            <v>265</v>
          </cell>
          <cell r="E269">
            <v>238</v>
          </cell>
          <cell r="F269">
            <v>177</v>
          </cell>
          <cell r="G269">
            <v>61</v>
          </cell>
          <cell r="H269">
            <v>34</v>
          </cell>
          <cell r="I269">
            <v>0</v>
          </cell>
          <cell r="J269">
            <v>16</v>
          </cell>
          <cell r="K269">
            <v>11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27</v>
          </cell>
          <cell r="Q269">
            <v>0</v>
          </cell>
          <cell r="R269">
            <v>27</v>
          </cell>
          <cell r="S269">
            <v>238</v>
          </cell>
          <cell r="T269">
            <v>27</v>
          </cell>
        </row>
        <row r="270">
          <cell r="C270" t="str">
            <v>Census Tract 294.06, King County, Washington</v>
          </cell>
          <cell r="D270">
            <v>141</v>
          </cell>
          <cell r="E270">
            <v>76</v>
          </cell>
          <cell r="F270">
            <v>58</v>
          </cell>
          <cell r="G270">
            <v>18</v>
          </cell>
          <cell r="H270">
            <v>7</v>
          </cell>
          <cell r="I270">
            <v>0</v>
          </cell>
          <cell r="J270">
            <v>11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65</v>
          </cell>
          <cell r="Q270">
            <v>55</v>
          </cell>
          <cell r="R270">
            <v>10</v>
          </cell>
          <cell r="S270">
            <v>76</v>
          </cell>
          <cell r="T270">
            <v>65</v>
          </cell>
        </row>
        <row r="271">
          <cell r="C271" t="str">
            <v>Census Tract 294.07, King County, Washington</v>
          </cell>
          <cell r="D271">
            <v>328</v>
          </cell>
          <cell r="E271">
            <v>300</v>
          </cell>
          <cell r="F271">
            <v>90</v>
          </cell>
          <cell r="G271">
            <v>195</v>
          </cell>
          <cell r="H271">
            <v>35</v>
          </cell>
          <cell r="I271">
            <v>41</v>
          </cell>
          <cell r="J271">
            <v>90</v>
          </cell>
          <cell r="K271">
            <v>29</v>
          </cell>
          <cell r="L271">
            <v>15</v>
          </cell>
          <cell r="M271">
            <v>0</v>
          </cell>
          <cell r="N271">
            <v>0</v>
          </cell>
          <cell r="O271">
            <v>15</v>
          </cell>
          <cell r="P271">
            <v>28</v>
          </cell>
          <cell r="Q271">
            <v>0</v>
          </cell>
          <cell r="R271">
            <v>28</v>
          </cell>
          <cell r="S271">
            <v>285</v>
          </cell>
          <cell r="T271">
            <v>43</v>
          </cell>
        </row>
        <row r="272">
          <cell r="C272" t="str">
            <v>Census Tract 294.08, King County, Washington</v>
          </cell>
          <cell r="D272">
            <v>348</v>
          </cell>
          <cell r="E272">
            <v>291</v>
          </cell>
          <cell r="F272">
            <v>171</v>
          </cell>
          <cell r="G272">
            <v>120</v>
          </cell>
          <cell r="H272">
            <v>0</v>
          </cell>
          <cell r="I272">
            <v>0</v>
          </cell>
          <cell r="J272">
            <v>106</v>
          </cell>
          <cell r="K272">
            <v>14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57</v>
          </cell>
          <cell r="Q272">
            <v>0</v>
          </cell>
          <cell r="R272">
            <v>57</v>
          </cell>
          <cell r="S272">
            <v>291</v>
          </cell>
          <cell r="T272">
            <v>57</v>
          </cell>
        </row>
        <row r="273">
          <cell r="C273" t="str">
            <v>Census Tract 295.02, King County, Washington</v>
          </cell>
          <cell r="D273">
            <v>269</v>
          </cell>
          <cell r="E273">
            <v>269</v>
          </cell>
          <cell r="F273">
            <v>134</v>
          </cell>
          <cell r="G273">
            <v>135</v>
          </cell>
          <cell r="H273">
            <v>6</v>
          </cell>
          <cell r="I273">
            <v>7</v>
          </cell>
          <cell r="J273">
            <v>93</v>
          </cell>
          <cell r="K273">
            <v>29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269</v>
          </cell>
          <cell r="T273">
            <v>0</v>
          </cell>
        </row>
        <row r="274">
          <cell r="C274" t="str">
            <v>Census Tract 295.03, King County, Washington</v>
          </cell>
          <cell r="D274">
            <v>916</v>
          </cell>
          <cell r="E274">
            <v>888</v>
          </cell>
          <cell r="F274">
            <v>385</v>
          </cell>
          <cell r="G274">
            <v>503</v>
          </cell>
          <cell r="H274">
            <v>28</v>
          </cell>
          <cell r="I274">
            <v>139</v>
          </cell>
          <cell r="J274">
            <v>233</v>
          </cell>
          <cell r="K274">
            <v>103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28</v>
          </cell>
          <cell r="Q274">
            <v>12</v>
          </cell>
          <cell r="R274">
            <v>16</v>
          </cell>
          <cell r="S274">
            <v>888</v>
          </cell>
          <cell r="T274">
            <v>28</v>
          </cell>
        </row>
        <row r="275">
          <cell r="C275" t="str">
            <v>Census Tract 295.04, King County, Washington</v>
          </cell>
          <cell r="D275">
            <v>400</v>
          </cell>
          <cell r="E275">
            <v>359</v>
          </cell>
          <cell r="F275">
            <v>174</v>
          </cell>
          <cell r="G275">
            <v>185</v>
          </cell>
          <cell r="H275">
            <v>16</v>
          </cell>
          <cell r="I275">
            <v>32</v>
          </cell>
          <cell r="J275">
            <v>122</v>
          </cell>
          <cell r="K275">
            <v>15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41</v>
          </cell>
          <cell r="Q275">
            <v>0</v>
          </cell>
          <cell r="R275">
            <v>41</v>
          </cell>
          <cell r="S275">
            <v>359</v>
          </cell>
          <cell r="T275">
            <v>41</v>
          </cell>
        </row>
        <row r="276">
          <cell r="C276" t="str">
            <v>Census Tract 296.01, King County, Washington</v>
          </cell>
          <cell r="D276">
            <v>631</v>
          </cell>
          <cell r="E276">
            <v>376</v>
          </cell>
          <cell r="F276">
            <v>188</v>
          </cell>
          <cell r="G276">
            <v>188</v>
          </cell>
          <cell r="H276">
            <v>9</v>
          </cell>
          <cell r="I276">
            <v>12</v>
          </cell>
          <cell r="J276">
            <v>106</v>
          </cell>
          <cell r="K276">
            <v>61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255</v>
          </cell>
          <cell r="Q276">
            <v>65</v>
          </cell>
          <cell r="R276">
            <v>190</v>
          </cell>
          <cell r="S276">
            <v>376</v>
          </cell>
          <cell r="T276">
            <v>255</v>
          </cell>
        </row>
        <row r="277">
          <cell r="C277" t="str">
            <v>Census Tract 296.02, King County, Washington</v>
          </cell>
          <cell r="D277">
            <v>52</v>
          </cell>
          <cell r="E277">
            <v>52</v>
          </cell>
          <cell r="F277">
            <v>16</v>
          </cell>
          <cell r="G277">
            <v>36</v>
          </cell>
          <cell r="H277">
            <v>0</v>
          </cell>
          <cell r="I277">
            <v>0</v>
          </cell>
          <cell r="J277">
            <v>0</v>
          </cell>
          <cell r="K277">
            <v>36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52</v>
          </cell>
          <cell r="T277">
            <v>0</v>
          </cell>
        </row>
        <row r="278">
          <cell r="C278" t="str">
            <v>Census Tract 297, King County, Washington</v>
          </cell>
          <cell r="D278">
            <v>426</v>
          </cell>
          <cell r="E278">
            <v>399</v>
          </cell>
          <cell r="F278">
            <v>271</v>
          </cell>
          <cell r="G278">
            <v>128</v>
          </cell>
          <cell r="H278">
            <v>0</v>
          </cell>
          <cell r="I278">
            <v>33</v>
          </cell>
          <cell r="J278">
            <v>58</v>
          </cell>
          <cell r="K278">
            <v>37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27</v>
          </cell>
          <cell r="Q278">
            <v>10</v>
          </cell>
          <cell r="R278">
            <v>17</v>
          </cell>
          <cell r="S278">
            <v>399</v>
          </cell>
          <cell r="T278">
            <v>27</v>
          </cell>
        </row>
        <row r="279">
          <cell r="C279" t="str">
            <v>Census Tract 298.01, King County, Washington</v>
          </cell>
          <cell r="D279">
            <v>445</v>
          </cell>
          <cell r="E279">
            <v>372</v>
          </cell>
          <cell r="F279">
            <v>135</v>
          </cell>
          <cell r="G279">
            <v>237</v>
          </cell>
          <cell r="H279">
            <v>31</v>
          </cell>
          <cell r="I279">
            <v>32</v>
          </cell>
          <cell r="J279">
            <v>118</v>
          </cell>
          <cell r="K279">
            <v>56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73</v>
          </cell>
          <cell r="Q279">
            <v>15</v>
          </cell>
          <cell r="R279">
            <v>58</v>
          </cell>
          <cell r="S279">
            <v>372</v>
          </cell>
          <cell r="T279">
            <v>73</v>
          </cell>
        </row>
        <row r="280">
          <cell r="C280" t="str">
            <v>Census Tract 298.02, King County, Washington</v>
          </cell>
          <cell r="D280">
            <v>298</v>
          </cell>
          <cell r="E280">
            <v>273</v>
          </cell>
          <cell r="F280">
            <v>124</v>
          </cell>
          <cell r="G280">
            <v>127</v>
          </cell>
          <cell r="H280">
            <v>6</v>
          </cell>
          <cell r="I280">
            <v>31</v>
          </cell>
          <cell r="J280">
            <v>39</v>
          </cell>
          <cell r="K280">
            <v>51</v>
          </cell>
          <cell r="L280">
            <v>22</v>
          </cell>
          <cell r="M280">
            <v>0</v>
          </cell>
          <cell r="N280">
            <v>0</v>
          </cell>
          <cell r="O280">
            <v>22</v>
          </cell>
          <cell r="P280">
            <v>25</v>
          </cell>
          <cell r="Q280">
            <v>25</v>
          </cell>
          <cell r="R280">
            <v>0</v>
          </cell>
          <cell r="S280">
            <v>251</v>
          </cell>
          <cell r="T280">
            <v>47</v>
          </cell>
        </row>
        <row r="281">
          <cell r="C281" t="str">
            <v>Census Tract 299.01, King County, Washington</v>
          </cell>
          <cell r="D281">
            <v>201</v>
          </cell>
          <cell r="E281">
            <v>201</v>
          </cell>
          <cell r="F281">
            <v>118</v>
          </cell>
          <cell r="G281">
            <v>83</v>
          </cell>
          <cell r="H281">
            <v>0</v>
          </cell>
          <cell r="I281">
            <v>60</v>
          </cell>
          <cell r="J281">
            <v>23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201</v>
          </cell>
          <cell r="T281">
            <v>0</v>
          </cell>
        </row>
        <row r="282">
          <cell r="C282" t="str">
            <v>Census Tract 299.02, King County, Washington</v>
          </cell>
          <cell r="D282">
            <v>122</v>
          </cell>
          <cell r="E282">
            <v>122</v>
          </cell>
          <cell r="F282">
            <v>55</v>
          </cell>
          <cell r="G282">
            <v>67</v>
          </cell>
          <cell r="H282">
            <v>11</v>
          </cell>
          <cell r="I282">
            <v>0</v>
          </cell>
          <cell r="J282">
            <v>38</v>
          </cell>
          <cell r="K282">
            <v>18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122</v>
          </cell>
          <cell r="T282">
            <v>0</v>
          </cell>
        </row>
        <row r="283">
          <cell r="C283" t="str">
            <v>Census Tract 300.02, King County, Washington</v>
          </cell>
          <cell r="D283">
            <v>565</v>
          </cell>
          <cell r="E283">
            <v>525</v>
          </cell>
          <cell r="F283">
            <v>236</v>
          </cell>
          <cell r="G283">
            <v>277</v>
          </cell>
          <cell r="H283">
            <v>26</v>
          </cell>
          <cell r="I283">
            <v>105</v>
          </cell>
          <cell r="J283">
            <v>90</v>
          </cell>
          <cell r="K283">
            <v>56</v>
          </cell>
          <cell r="L283">
            <v>12</v>
          </cell>
          <cell r="M283">
            <v>0</v>
          </cell>
          <cell r="N283">
            <v>0</v>
          </cell>
          <cell r="O283">
            <v>12</v>
          </cell>
          <cell r="P283">
            <v>40</v>
          </cell>
          <cell r="Q283">
            <v>6</v>
          </cell>
          <cell r="R283">
            <v>34</v>
          </cell>
          <cell r="S283">
            <v>513</v>
          </cell>
          <cell r="T283">
            <v>52</v>
          </cell>
        </row>
        <row r="284">
          <cell r="C284" t="str">
            <v>Census Tract 300.03, King County, Washington</v>
          </cell>
          <cell r="D284">
            <v>398</v>
          </cell>
          <cell r="E284">
            <v>365</v>
          </cell>
          <cell r="F284">
            <v>150</v>
          </cell>
          <cell r="G284">
            <v>215</v>
          </cell>
          <cell r="H284">
            <v>6</v>
          </cell>
          <cell r="I284">
            <v>53</v>
          </cell>
          <cell r="J284">
            <v>112</v>
          </cell>
          <cell r="K284">
            <v>44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33</v>
          </cell>
          <cell r="Q284">
            <v>22</v>
          </cell>
          <cell r="R284">
            <v>11</v>
          </cell>
          <cell r="S284">
            <v>365</v>
          </cell>
          <cell r="T284">
            <v>33</v>
          </cell>
        </row>
        <row r="285">
          <cell r="C285" t="str">
            <v>Census Tract 300.04, King County, Washington</v>
          </cell>
          <cell r="D285">
            <v>990</v>
          </cell>
          <cell r="E285">
            <v>842</v>
          </cell>
          <cell r="F285">
            <v>401</v>
          </cell>
          <cell r="G285">
            <v>441</v>
          </cell>
          <cell r="H285">
            <v>45</v>
          </cell>
          <cell r="I285">
            <v>100</v>
          </cell>
          <cell r="J285">
            <v>224</v>
          </cell>
          <cell r="K285">
            <v>72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148</v>
          </cell>
          <cell r="Q285">
            <v>36</v>
          </cell>
          <cell r="R285">
            <v>112</v>
          </cell>
          <cell r="S285">
            <v>842</v>
          </cell>
          <cell r="T285">
            <v>148</v>
          </cell>
        </row>
        <row r="286">
          <cell r="C286" t="str">
            <v>Census Tract 301, King County, Washington</v>
          </cell>
          <cell r="D286">
            <v>299</v>
          </cell>
          <cell r="E286">
            <v>299</v>
          </cell>
          <cell r="F286">
            <v>96</v>
          </cell>
          <cell r="G286">
            <v>203</v>
          </cell>
          <cell r="H286">
            <v>14</v>
          </cell>
          <cell r="I286">
            <v>43</v>
          </cell>
          <cell r="J286">
            <v>71</v>
          </cell>
          <cell r="K286">
            <v>75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299</v>
          </cell>
          <cell r="T286">
            <v>0</v>
          </cell>
        </row>
        <row r="287">
          <cell r="C287" t="str">
            <v>Census Tract 302.01, King County, Washington</v>
          </cell>
          <cell r="D287">
            <v>321</v>
          </cell>
          <cell r="E287">
            <v>309</v>
          </cell>
          <cell r="F287">
            <v>167</v>
          </cell>
          <cell r="G287">
            <v>116</v>
          </cell>
          <cell r="H287">
            <v>0</v>
          </cell>
          <cell r="I287">
            <v>30</v>
          </cell>
          <cell r="J287">
            <v>56</v>
          </cell>
          <cell r="K287">
            <v>30</v>
          </cell>
          <cell r="L287">
            <v>26</v>
          </cell>
          <cell r="M287">
            <v>0</v>
          </cell>
          <cell r="N287">
            <v>0</v>
          </cell>
          <cell r="O287">
            <v>26</v>
          </cell>
          <cell r="P287">
            <v>12</v>
          </cell>
          <cell r="Q287">
            <v>0</v>
          </cell>
          <cell r="R287">
            <v>12</v>
          </cell>
          <cell r="S287">
            <v>283</v>
          </cell>
          <cell r="T287">
            <v>38</v>
          </cell>
        </row>
        <row r="288">
          <cell r="C288" t="str">
            <v>Census Tract 302.02, King County, Washington</v>
          </cell>
          <cell r="D288">
            <v>556</v>
          </cell>
          <cell r="E288">
            <v>508</v>
          </cell>
          <cell r="F288">
            <v>211</v>
          </cell>
          <cell r="G288">
            <v>297</v>
          </cell>
          <cell r="H288">
            <v>16</v>
          </cell>
          <cell r="I288">
            <v>19</v>
          </cell>
          <cell r="J288">
            <v>163</v>
          </cell>
          <cell r="K288">
            <v>99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48</v>
          </cell>
          <cell r="Q288">
            <v>0</v>
          </cell>
          <cell r="R288">
            <v>48</v>
          </cell>
          <cell r="S288">
            <v>508</v>
          </cell>
          <cell r="T288">
            <v>48</v>
          </cell>
        </row>
        <row r="289">
          <cell r="C289" t="str">
            <v>Census Tract 303.03, King County, Washington</v>
          </cell>
          <cell r="D289">
            <v>703</v>
          </cell>
          <cell r="E289">
            <v>693</v>
          </cell>
          <cell r="F289">
            <v>272</v>
          </cell>
          <cell r="G289">
            <v>421</v>
          </cell>
          <cell r="H289">
            <v>21</v>
          </cell>
          <cell r="I289">
            <v>60</v>
          </cell>
          <cell r="J289">
            <v>304</v>
          </cell>
          <cell r="K289">
            <v>36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10</v>
          </cell>
          <cell r="Q289">
            <v>10</v>
          </cell>
          <cell r="R289">
            <v>0</v>
          </cell>
          <cell r="S289">
            <v>693</v>
          </cell>
          <cell r="T289">
            <v>10</v>
          </cell>
        </row>
        <row r="290">
          <cell r="C290" t="str">
            <v>Census Tract 303.04, King County, Washington</v>
          </cell>
          <cell r="D290">
            <v>105</v>
          </cell>
          <cell r="E290">
            <v>105</v>
          </cell>
          <cell r="F290">
            <v>60</v>
          </cell>
          <cell r="G290">
            <v>45</v>
          </cell>
          <cell r="H290">
            <v>8</v>
          </cell>
          <cell r="I290">
            <v>0</v>
          </cell>
          <cell r="J290">
            <v>24</v>
          </cell>
          <cell r="K290">
            <v>13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105</v>
          </cell>
          <cell r="T290">
            <v>0</v>
          </cell>
        </row>
        <row r="291">
          <cell r="C291" t="str">
            <v>Census Tract 303.05, King County, Washington</v>
          </cell>
          <cell r="D291">
            <v>286</v>
          </cell>
          <cell r="E291">
            <v>286</v>
          </cell>
          <cell r="F291">
            <v>124</v>
          </cell>
          <cell r="G291">
            <v>162</v>
          </cell>
          <cell r="H291">
            <v>0</v>
          </cell>
          <cell r="I291">
            <v>79</v>
          </cell>
          <cell r="J291">
            <v>74</v>
          </cell>
          <cell r="K291">
            <v>9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286</v>
          </cell>
          <cell r="T291">
            <v>0</v>
          </cell>
        </row>
        <row r="292">
          <cell r="C292" t="str">
            <v>Census Tract 303.06, King County, Washington</v>
          </cell>
          <cell r="D292">
            <v>365</v>
          </cell>
          <cell r="E292">
            <v>338</v>
          </cell>
          <cell r="F292">
            <v>157</v>
          </cell>
          <cell r="G292">
            <v>172</v>
          </cell>
          <cell r="H292">
            <v>30</v>
          </cell>
          <cell r="I292">
            <v>27</v>
          </cell>
          <cell r="J292">
            <v>61</v>
          </cell>
          <cell r="K292">
            <v>54</v>
          </cell>
          <cell r="L292">
            <v>9</v>
          </cell>
          <cell r="M292">
            <v>0</v>
          </cell>
          <cell r="N292">
            <v>0</v>
          </cell>
          <cell r="O292">
            <v>9</v>
          </cell>
          <cell r="P292">
            <v>27</v>
          </cell>
          <cell r="Q292">
            <v>13</v>
          </cell>
          <cell r="R292">
            <v>14</v>
          </cell>
          <cell r="S292">
            <v>329</v>
          </cell>
          <cell r="T292">
            <v>36</v>
          </cell>
        </row>
        <row r="293">
          <cell r="C293" t="str">
            <v>Census Tract 303.08, King County, Washington</v>
          </cell>
          <cell r="D293">
            <v>468</v>
          </cell>
          <cell r="E293">
            <v>456</v>
          </cell>
          <cell r="F293">
            <v>135</v>
          </cell>
          <cell r="G293">
            <v>309</v>
          </cell>
          <cell r="H293">
            <v>0</v>
          </cell>
          <cell r="I293">
            <v>50</v>
          </cell>
          <cell r="J293">
            <v>105</v>
          </cell>
          <cell r="K293">
            <v>154</v>
          </cell>
          <cell r="L293">
            <v>12</v>
          </cell>
          <cell r="M293">
            <v>0</v>
          </cell>
          <cell r="N293">
            <v>0</v>
          </cell>
          <cell r="O293">
            <v>12</v>
          </cell>
          <cell r="P293">
            <v>12</v>
          </cell>
          <cell r="Q293">
            <v>12</v>
          </cell>
          <cell r="R293">
            <v>0</v>
          </cell>
          <cell r="S293">
            <v>444</v>
          </cell>
          <cell r="T293">
            <v>24</v>
          </cell>
        </row>
        <row r="294">
          <cell r="C294" t="str">
            <v>Census Tract 303.09, King County, Washington</v>
          </cell>
          <cell r="D294">
            <v>520</v>
          </cell>
          <cell r="E294">
            <v>447</v>
          </cell>
          <cell r="F294">
            <v>209</v>
          </cell>
          <cell r="G294">
            <v>219</v>
          </cell>
          <cell r="H294">
            <v>11</v>
          </cell>
          <cell r="I294">
            <v>24</v>
          </cell>
          <cell r="J294">
            <v>115</v>
          </cell>
          <cell r="K294">
            <v>69</v>
          </cell>
          <cell r="L294">
            <v>19</v>
          </cell>
          <cell r="M294">
            <v>0</v>
          </cell>
          <cell r="N294">
            <v>0</v>
          </cell>
          <cell r="O294">
            <v>19</v>
          </cell>
          <cell r="P294">
            <v>73</v>
          </cell>
          <cell r="Q294">
            <v>33</v>
          </cell>
          <cell r="R294">
            <v>40</v>
          </cell>
          <cell r="S294">
            <v>428</v>
          </cell>
          <cell r="T294">
            <v>92</v>
          </cell>
        </row>
        <row r="295">
          <cell r="C295" t="str">
            <v>Census Tract 303.10, King County, Washington</v>
          </cell>
          <cell r="D295">
            <v>213</v>
          </cell>
          <cell r="E295">
            <v>199</v>
          </cell>
          <cell r="F295">
            <v>63</v>
          </cell>
          <cell r="G295">
            <v>136</v>
          </cell>
          <cell r="H295">
            <v>25</v>
          </cell>
          <cell r="I295">
            <v>20</v>
          </cell>
          <cell r="J295">
            <v>62</v>
          </cell>
          <cell r="K295">
            <v>29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14</v>
          </cell>
          <cell r="Q295">
            <v>6</v>
          </cell>
          <cell r="R295">
            <v>8</v>
          </cell>
          <cell r="S295">
            <v>199</v>
          </cell>
          <cell r="T295">
            <v>14</v>
          </cell>
        </row>
        <row r="296">
          <cell r="C296" t="str">
            <v>Census Tract 303.11, King County, Washington</v>
          </cell>
          <cell r="D296">
            <v>384</v>
          </cell>
          <cell r="E296">
            <v>363</v>
          </cell>
          <cell r="F296">
            <v>160</v>
          </cell>
          <cell r="G296">
            <v>203</v>
          </cell>
          <cell r="H296">
            <v>9</v>
          </cell>
          <cell r="I296">
            <v>61</v>
          </cell>
          <cell r="J296">
            <v>119</v>
          </cell>
          <cell r="K296">
            <v>14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21</v>
          </cell>
          <cell r="Q296">
            <v>12</v>
          </cell>
          <cell r="R296">
            <v>9</v>
          </cell>
          <cell r="S296">
            <v>363</v>
          </cell>
          <cell r="T296">
            <v>21</v>
          </cell>
        </row>
        <row r="297">
          <cell r="C297" t="str">
            <v>Census Tract 303.12, King County, Washington</v>
          </cell>
          <cell r="D297">
            <v>399</v>
          </cell>
          <cell r="E297">
            <v>385</v>
          </cell>
          <cell r="F297">
            <v>89</v>
          </cell>
          <cell r="G297">
            <v>266</v>
          </cell>
          <cell r="H297">
            <v>0</v>
          </cell>
          <cell r="I297">
            <v>36</v>
          </cell>
          <cell r="J297">
            <v>137</v>
          </cell>
          <cell r="K297">
            <v>93</v>
          </cell>
          <cell r="L297">
            <v>30</v>
          </cell>
          <cell r="M297">
            <v>7</v>
          </cell>
          <cell r="N297">
            <v>0</v>
          </cell>
          <cell r="O297">
            <v>23</v>
          </cell>
          <cell r="P297">
            <v>14</v>
          </cell>
          <cell r="Q297">
            <v>0</v>
          </cell>
          <cell r="R297">
            <v>14</v>
          </cell>
          <cell r="S297">
            <v>355</v>
          </cell>
          <cell r="T297">
            <v>44</v>
          </cell>
        </row>
        <row r="298">
          <cell r="C298" t="str">
            <v>Census Tract 304.01, King County, Washington</v>
          </cell>
          <cell r="D298">
            <v>213</v>
          </cell>
          <cell r="E298">
            <v>191</v>
          </cell>
          <cell r="F298">
            <v>45</v>
          </cell>
          <cell r="G298">
            <v>146</v>
          </cell>
          <cell r="H298">
            <v>0</v>
          </cell>
          <cell r="I298">
            <v>23</v>
          </cell>
          <cell r="J298">
            <v>99</v>
          </cell>
          <cell r="K298">
            <v>24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22</v>
          </cell>
          <cell r="Q298">
            <v>22</v>
          </cell>
          <cell r="R298">
            <v>0</v>
          </cell>
          <cell r="S298">
            <v>191</v>
          </cell>
          <cell r="T298">
            <v>22</v>
          </cell>
        </row>
        <row r="299">
          <cell r="C299" t="str">
            <v>Census Tract 304.03, King County, Washington</v>
          </cell>
          <cell r="D299">
            <v>186</v>
          </cell>
          <cell r="E299">
            <v>186</v>
          </cell>
          <cell r="F299">
            <v>51</v>
          </cell>
          <cell r="G299">
            <v>135</v>
          </cell>
          <cell r="H299">
            <v>0</v>
          </cell>
          <cell r="I299">
            <v>46</v>
          </cell>
          <cell r="J299">
            <v>52</v>
          </cell>
          <cell r="K299">
            <v>37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186</v>
          </cell>
          <cell r="T299">
            <v>0</v>
          </cell>
        </row>
        <row r="300">
          <cell r="C300" t="str">
            <v>Census Tract 304.04, King County, Washington</v>
          </cell>
          <cell r="D300">
            <v>61</v>
          </cell>
          <cell r="E300">
            <v>61</v>
          </cell>
          <cell r="F300">
            <v>33</v>
          </cell>
          <cell r="G300">
            <v>28</v>
          </cell>
          <cell r="H300">
            <v>0</v>
          </cell>
          <cell r="I300">
            <v>0</v>
          </cell>
          <cell r="J300">
            <v>28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61</v>
          </cell>
          <cell r="T300">
            <v>0</v>
          </cell>
        </row>
        <row r="301">
          <cell r="C301" t="str">
            <v>Census Tract 305.01, King County, Washington</v>
          </cell>
          <cell r="D301">
            <v>27</v>
          </cell>
          <cell r="E301">
            <v>27</v>
          </cell>
          <cell r="F301">
            <v>8</v>
          </cell>
          <cell r="G301">
            <v>19</v>
          </cell>
          <cell r="H301">
            <v>0</v>
          </cell>
          <cell r="I301">
            <v>19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27</v>
          </cell>
          <cell r="T301">
            <v>0</v>
          </cell>
        </row>
        <row r="302">
          <cell r="C302" t="str">
            <v>Census Tract 305.03, King County, Washington</v>
          </cell>
          <cell r="D302">
            <v>90</v>
          </cell>
          <cell r="E302">
            <v>68</v>
          </cell>
          <cell r="F302">
            <v>40</v>
          </cell>
          <cell r="G302">
            <v>18</v>
          </cell>
          <cell r="H302">
            <v>0</v>
          </cell>
          <cell r="I302">
            <v>18</v>
          </cell>
          <cell r="J302">
            <v>0</v>
          </cell>
          <cell r="K302">
            <v>0</v>
          </cell>
          <cell r="L302">
            <v>10</v>
          </cell>
          <cell r="M302">
            <v>0</v>
          </cell>
          <cell r="N302">
            <v>0</v>
          </cell>
          <cell r="O302">
            <v>10</v>
          </cell>
          <cell r="P302">
            <v>22</v>
          </cell>
          <cell r="Q302">
            <v>22</v>
          </cell>
          <cell r="R302">
            <v>0</v>
          </cell>
          <cell r="S302">
            <v>58</v>
          </cell>
          <cell r="T302">
            <v>32</v>
          </cell>
        </row>
        <row r="303">
          <cell r="C303" t="str">
            <v>Census Tract 305.04, King County, Washington</v>
          </cell>
          <cell r="D303">
            <v>186</v>
          </cell>
          <cell r="E303">
            <v>138</v>
          </cell>
          <cell r="F303">
            <v>34</v>
          </cell>
          <cell r="G303">
            <v>98</v>
          </cell>
          <cell r="H303">
            <v>0</v>
          </cell>
          <cell r="I303">
            <v>22</v>
          </cell>
          <cell r="J303">
            <v>38</v>
          </cell>
          <cell r="K303">
            <v>38</v>
          </cell>
          <cell r="L303">
            <v>6</v>
          </cell>
          <cell r="M303">
            <v>0</v>
          </cell>
          <cell r="N303">
            <v>0</v>
          </cell>
          <cell r="O303">
            <v>6</v>
          </cell>
          <cell r="P303">
            <v>48</v>
          </cell>
          <cell r="Q303">
            <v>34</v>
          </cell>
          <cell r="R303">
            <v>14</v>
          </cell>
          <cell r="S303">
            <v>132</v>
          </cell>
          <cell r="T303">
            <v>54</v>
          </cell>
        </row>
        <row r="304">
          <cell r="C304" t="str">
            <v>Census Tract 306, King County, Washington</v>
          </cell>
          <cell r="D304">
            <v>19</v>
          </cell>
          <cell r="E304">
            <v>19</v>
          </cell>
          <cell r="F304">
            <v>5</v>
          </cell>
          <cell r="G304">
            <v>14</v>
          </cell>
          <cell r="H304">
            <v>0</v>
          </cell>
          <cell r="I304">
            <v>14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19</v>
          </cell>
          <cell r="T304">
            <v>0</v>
          </cell>
        </row>
        <row r="305">
          <cell r="C305" t="str">
            <v>Census Tract 307, King County, Washington</v>
          </cell>
          <cell r="D305">
            <v>83</v>
          </cell>
          <cell r="E305">
            <v>40</v>
          </cell>
          <cell r="F305">
            <v>0</v>
          </cell>
          <cell r="G305">
            <v>40</v>
          </cell>
          <cell r="H305">
            <v>0</v>
          </cell>
          <cell r="I305">
            <v>18</v>
          </cell>
          <cell r="J305">
            <v>10</v>
          </cell>
          <cell r="K305">
            <v>12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43</v>
          </cell>
          <cell r="Q305">
            <v>0</v>
          </cell>
          <cell r="R305">
            <v>43</v>
          </cell>
          <cell r="S305">
            <v>40</v>
          </cell>
          <cell r="T305">
            <v>43</v>
          </cell>
        </row>
        <row r="306">
          <cell r="C306" t="str">
            <v>Census Tract 308.01, King County, Washington</v>
          </cell>
          <cell r="D306">
            <v>272</v>
          </cell>
          <cell r="E306">
            <v>272</v>
          </cell>
          <cell r="F306">
            <v>189</v>
          </cell>
          <cell r="G306">
            <v>83</v>
          </cell>
          <cell r="H306">
            <v>0</v>
          </cell>
          <cell r="I306">
            <v>26</v>
          </cell>
          <cell r="J306">
            <v>57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272</v>
          </cell>
          <cell r="T306">
            <v>0</v>
          </cell>
        </row>
        <row r="307">
          <cell r="C307" t="str">
            <v>Census Tract 308.02, King County, Washington</v>
          </cell>
          <cell r="D307">
            <v>76</v>
          </cell>
          <cell r="E307">
            <v>76</v>
          </cell>
          <cell r="F307">
            <v>33</v>
          </cell>
          <cell r="G307">
            <v>43</v>
          </cell>
          <cell r="H307">
            <v>0</v>
          </cell>
          <cell r="I307">
            <v>11</v>
          </cell>
          <cell r="J307">
            <v>32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76</v>
          </cell>
          <cell r="T307">
            <v>0</v>
          </cell>
        </row>
        <row r="308">
          <cell r="C308" t="str">
            <v>Census Tract 309.01, King County, Washington</v>
          </cell>
          <cell r="D308">
            <v>46</v>
          </cell>
          <cell r="E308">
            <v>46</v>
          </cell>
          <cell r="F308">
            <v>20</v>
          </cell>
          <cell r="G308">
            <v>26</v>
          </cell>
          <cell r="H308">
            <v>10</v>
          </cell>
          <cell r="I308">
            <v>3</v>
          </cell>
          <cell r="J308">
            <v>13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46</v>
          </cell>
          <cell r="T308">
            <v>0</v>
          </cell>
        </row>
        <row r="309">
          <cell r="C309" t="str">
            <v>Census Tract 309.02, King County, Washington</v>
          </cell>
          <cell r="D309">
            <v>58</v>
          </cell>
          <cell r="E309">
            <v>58</v>
          </cell>
          <cell r="F309">
            <v>28</v>
          </cell>
          <cell r="G309">
            <v>30</v>
          </cell>
          <cell r="H309">
            <v>0</v>
          </cell>
          <cell r="I309">
            <v>0</v>
          </cell>
          <cell r="J309">
            <v>26</v>
          </cell>
          <cell r="K309">
            <v>4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58</v>
          </cell>
          <cell r="T309">
            <v>0</v>
          </cell>
        </row>
        <row r="310">
          <cell r="C310" t="str">
            <v>Census Tract 310, King County, Washington</v>
          </cell>
          <cell r="D310">
            <v>98</v>
          </cell>
          <cell r="E310">
            <v>91</v>
          </cell>
          <cell r="F310">
            <v>43</v>
          </cell>
          <cell r="G310">
            <v>48</v>
          </cell>
          <cell r="H310">
            <v>19</v>
          </cell>
          <cell r="I310">
            <v>7</v>
          </cell>
          <cell r="J310">
            <v>22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7</v>
          </cell>
          <cell r="Q310">
            <v>0</v>
          </cell>
          <cell r="R310">
            <v>7</v>
          </cell>
          <cell r="S310">
            <v>91</v>
          </cell>
          <cell r="T310">
            <v>7</v>
          </cell>
        </row>
        <row r="311">
          <cell r="C311" t="str">
            <v>Census Tract 311, King County, Washington</v>
          </cell>
          <cell r="D311">
            <v>158</v>
          </cell>
          <cell r="E311">
            <v>136</v>
          </cell>
          <cell r="F311">
            <v>67</v>
          </cell>
          <cell r="G311">
            <v>63</v>
          </cell>
          <cell r="H311">
            <v>0</v>
          </cell>
          <cell r="I311">
            <v>14</v>
          </cell>
          <cell r="J311">
            <v>35</v>
          </cell>
          <cell r="K311">
            <v>14</v>
          </cell>
          <cell r="L311">
            <v>6</v>
          </cell>
          <cell r="M311">
            <v>0</v>
          </cell>
          <cell r="N311">
            <v>0</v>
          </cell>
          <cell r="O311">
            <v>6</v>
          </cell>
          <cell r="P311">
            <v>22</v>
          </cell>
          <cell r="Q311">
            <v>6</v>
          </cell>
          <cell r="R311">
            <v>16</v>
          </cell>
          <cell r="S311">
            <v>130</v>
          </cell>
          <cell r="T311">
            <v>28</v>
          </cell>
        </row>
        <row r="312">
          <cell r="C312" t="str">
            <v>Census Tract 312.02, King County, Washington</v>
          </cell>
          <cell r="D312">
            <v>34</v>
          </cell>
          <cell r="E312">
            <v>16</v>
          </cell>
          <cell r="F312">
            <v>12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4</v>
          </cell>
          <cell r="M312">
            <v>0</v>
          </cell>
          <cell r="N312">
            <v>0</v>
          </cell>
          <cell r="O312">
            <v>4</v>
          </cell>
          <cell r="P312">
            <v>18</v>
          </cell>
          <cell r="Q312">
            <v>0</v>
          </cell>
          <cell r="R312">
            <v>18</v>
          </cell>
          <cell r="S312">
            <v>12</v>
          </cell>
          <cell r="T312">
            <v>22</v>
          </cell>
        </row>
        <row r="313">
          <cell r="C313" t="str">
            <v>Census Tract 312.04, King County, Washington</v>
          </cell>
          <cell r="D313">
            <v>32</v>
          </cell>
          <cell r="E313">
            <v>32</v>
          </cell>
          <cell r="F313">
            <v>32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32</v>
          </cell>
          <cell r="T313">
            <v>0</v>
          </cell>
        </row>
        <row r="314">
          <cell r="C314" t="str">
            <v>Census Tract 312.05, King County, Washington</v>
          </cell>
          <cell r="D314">
            <v>84</v>
          </cell>
          <cell r="E314">
            <v>78</v>
          </cell>
          <cell r="F314">
            <v>38</v>
          </cell>
          <cell r="G314">
            <v>40</v>
          </cell>
          <cell r="H314">
            <v>0</v>
          </cell>
          <cell r="I314">
            <v>28</v>
          </cell>
          <cell r="J314">
            <v>12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6</v>
          </cell>
          <cell r="Q314">
            <v>6</v>
          </cell>
          <cell r="R314">
            <v>0</v>
          </cell>
          <cell r="S314">
            <v>78</v>
          </cell>
          <cell r="T314">
            <v>6</v>
          </cell>
        </row>
        <row r="315">
          <cell r="C315" t="str">
            <v>Census Tract 312.06, King County, Washington</v>
          </cell>
          <cell r="D315">
            <v>57</v>
          </cell>
          <cell r="E315">
            <v>57</v>
          </cell>
          <cell r="F315">
            <v>19</v>
          </cell>
          <cell r="G315">
            <v>38</v>
          </cell>
          <cell r="H315">
            <v>0</v>
          </cell>
          <cell r="I315">
            <v>28</v>
          </cell>
          <cell r="J315">
            <v>0</v>
          </cell>
          <cell r="K315">
            <v>10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57</v>
          </cell>
          <cell r="T315">
            <v>0</v>
          </cell>
        </row>
        <row r="316">
          <cell r="C316" t="str">
            <v>Census Tract 313.01, King County, Washington</v>
          </cell>
          <cell r="D316">
            <v>21</v>
          </cell>
          <cell r="E316">
            <v>21</v>
          </cell>
          <cell r="F316">
            <v>11</v>
          </cell>
          <cell r="G316">
            <v>10</v>
          </cell>
          <cell r="H316">
            <v>0</v>
          </cell>
          <cell r="I316">
            <v>0</v>
          </cell>
          <cell r="J316">
            <v>0</v>
          </cell>
          <cell r="K316">
            <v>10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21</v>
          </cell>
          <cell r="T316">
            <v>0</v>
          </cell>
        </row>
        <row r="317">
          <cell r="C317" t="str">
            <v>Census Tract 313.02, King County, Washington</v>
          </cell>
          <cell r="D317">
            <v>32</v>
          </cell>
          <cell r="E317">
            <v>32</v>
          </cell>
          <cell r="F317">
            <v>0</v>
          </cell>
          <cell r="G317">
            <v>32</v>
          </cell>
          <cell r="H317">
            <v>0</v>
          </cell>
          <cell r="I317">
            <v>8</v>
          </cell>
          <cell r="J317">
            <v>9</v>
          </cell>
          <cell r="K317">
            <v>15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32</v>
          </cell>
          <cell r="T317">
            <v>0</v>
          </cell>
        </row>
        <row r="318">
          <cell r="C318" t="str">
            <v>Census Tract 314, King County, Washington</v>
          </cell>
          <cell r="D318">
            <v>53</v>
          </cell>
          <cell r="E318">
            <v>53</v>
          </cell>
          <cell r="F318">
            <v>40</v>
          </cell>
          <cell r="G318">
            <v>13</v>
          </cell>
          <cell r="H318">
            <v>0</v>
          </cell>
          <cell r="I318">
            <v>0</v>
          </cell>
          <cell r="J318">
            <v>13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53</v>
          </cell>
          <cell r="T318">
            <v>0</v>
          </cell>
        </row>
        <row r="319">
          <cell r="C319" t="str">
            <v>Census Tract 315.01, King County, Washington</v>
          </cell>
          <cell r="D319">
            <v>17</v>
          </cell>
          <cell r="E319">
            <v>7</v>
          </cell>
          <cell r="F319">
            <v>7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10</v>
          </cell>
          <cell r="Q319">
            <v>10</v>
          </cell>
          <cell r="R319">
            <v>0</v>
          </cell>
          <cell r="S319">
            <v>7</v>
          </cell>
          <cell r="T319">
            <v>10</v>
          </cell>
        </row>
        <row r="320">
          <cell r="C320" t="str">
            <v>Census Tract 315.02, King County, Washington</v>
          </cell>
          <cell r="D320">
            <v>17</v>
          </cell>
          <cell r="E320">
            <v>17</v>
          </cell>
          <cell r="F320">
            <v>0</v>
          </cell>
          <cell r="G320">
            <v>17</v>
          </cell>
          <cell r="H320">
            <v>0</v>
          </cell>
          <cell r="I320">
            <v>17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17</v>
          </cell>
          <cell r="T320">
            <v>0</v>
          </cell>
        </row>
        <row r="321">
          <cell r="C321" t="str">
            <v>Census Tract 316.01, King County, Washington</v>
          </cell>
          <cell r="D321">
            <v>68</v>
          </cell>
          <cell r="E321">
            <v>68</v>
          </cell>
          <cell r="F321">
            <v>12</v>
          </cell>
          <cell r="G321">
            <v>56</v>
          </cell>
          <cell r="H321">
            <v>0</v>
          </cell>
          <cell r="I321">
            <v>0</v>
          </cell>
          <cell r="J321">
            <v>50</v>
          </cell>
          <cell r="K321">
            <v>6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68</v>
          </cell>
          <cell r="T321">
            <v>0</v>
          </cell>
        </row>
        <row r="322">
          <cell r="C322" t="str">
            <v>Census Tract 316.02, King County, Washington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</row>
        <row r="323">
          <cell r="C323" t="str">
            <v>Census Tract 316.03, King County, Washington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C324" t="str">
            <v>Census Tract 317.02, King County, Washington</v>
          </cell>
          <cell r="D324">
            <v>66</v>
          </cell>
          <cell r="E324">
            <v>66</v>
          </cell>
          <cell r="F324">
            <v>41</v>
          </cell>
          <cell r="G324">
            <v>25</v>
          </cell>
          <cell r="H324">
            <v>0</v>
          </cell>
          <cell r="I324">
            <v>0</v>
          </cell>
          <cell r="J324">
            <v>25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66</v>
          </cell>
          <cell r="T324">
            <v>0</v>
          </cell>
        </row>
        <row r="325">
          <cell r="C325" t="str">
            <v>Census Tract 317.03, King County, Washington</v>
          </cell>
          <cell r="D325">
            <v>164</v>
          </cell>
          <cell r="E325">
            <v>141</v>
          </cell>
          <cell r="F325">
            <v>43</v>
          </cell>
          <cell r="G325">
            <v>92</v>
          </cell>
          <cell r="H325">
            <v>8</v>
          </cell>
          <cell r="I325">
            <v>44</v>
          </cell>
          <cell r="J325">
            <v>40</v>
          </cell>
          <cell r="K325">
            <v>0</v>
          </cell>
          <cell r="L325">
            <v>6</v>
          </cell>
          <cell r="M325">
            <v>0</v>
          </cell>
          <cell r="N325">
            <v>0</v>
          </cell>
          <cell r="O325">
            <v>6</v>
          </cell>
          <cell r="P325">
            <v>23</v>
          </cell>
          <cell r="Q325">
            <v>23</v>
          </cell>
          <cell r="R325">
            <v>0</v>
          </cell>
          <cell r="S325">
            <v>135</v>
          </cell>
          <cell r="T325">
            <v>29</v>
          </cell>
        </row>
        <row r="326">
          <cell r="C326" t="str">
            <v>Census Tract 317.04, King County, Washington</v>
          </cell>
          <cell r="D326">
            <v>172</v>
          </cell>
          <cell r="E326">
            <v>172</v>
          </cell>
          <cell r="F326">
            <v>128</v>
          </cell>
          <cell r="G326">
            <v>44</v>
          </cell>
          <cell r="H326">
            <v>18</v>
          </cell>
          <cell r="I326">
            <v>0</v>
          </cell>
          <cell r="J326">
            <v>26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172</v>
          </cell>
          <cell r="T326">
            <v>0</v>
          </cell>
        </row>
        <row r="327">
          <cell r="C327" t="str">
            <v>Census Tract 318, King County, Washington</v>
          </cell>
          <cell r="D327">
            <v>112</v>
          </cell>
          <cell r="E327">
            <v>99</v>
          </cell>
          <cell r="F327">
            <v>64</v>
          </cell>
          <cell r="G327">
            <v>35</v>
          </cell>
          <cell r="H327">
            <v>27</v>
          </cell>
          <cell r="I327">
            <v>0</v>
          </cell>
          <cell r="J327">
            <v>8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13</v>
          </cell>
          <cell r="Q327">
            <v>13</v>
          </cell>
          <cell r="R327">
            <v>0</v>
          </cell>
          <cell r="S327">
            <v>99</v>
          </cell>
          <cell r="T327">
            <v>13</v>
          </cell>
        </row>
        <row r="328">
          <cell r="C328" t="str">
            <v>Census Tract 319.03, King County, Washington</v>
          </cell>
          <cell r="D328">
            <v>199</v>
          </cell>
          <cell r="E328">
            <v>199</v>
          </cell>
          <cell r="F328">
            <v>67</v>
          </cell>
          <cell r="G328">
            <v>119</v>
          </cell>
          <cell r="H328">
            <v>51</v>
          </cell>
          <cell r="I328">
            <v>17</v>
          </cell>
          <cell r="J328">
            <v>43</v>
          </cell>
          <cell r="K328">
            <v>8</v>
          </cell>
          <cell r="L328">
            <v>13</v>
          </cell>
          <cell r="M328">
            <v>0</v>
          </cell>
          <cell r="N328">
            <v>0</v>
          </cell>
          <cell r="O328">
            <v>13</v>
          </cell>
          <cell r="P328">
            <v>0</v>
          </cell>
          <cell r="Q328">
            <v>0</v>
          </cell>
          <cell r="R328">
            <v>0</v>
          </cell>
          <cell r="S328">
            <v>186</v>
          </cell>
          <cell r="T328">
            <v>13</v>
          </cell>
        </row>
        <row r="329">
          <cell r="C329" t="str">
            <v>Census Tract 319.04, King County, Washington</v>
          </cell>
          <cell r="D329">
            <v>89</v>
          </cell>
          <cell r="E329">
            <v>59</v>
          </cell>
          <cell r="F329">
            <v>16</v>
          </cell>
          <cell r="G329">
            <v>43</v>
          </cell>
          <cell r="H329">
            <v>3</v>
          </cell>
          <cell r="I329">
            <v>12</v>
          </cell>
          <cell r="J329">
            <v>17</v>
          </cell>
          <cell r="K329">
            <v>11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30</v>
          </cell>
          <cell r="Q329">
            <v>0</v>
          </cell>
          <cell r="R329">
            <v>30</v>
          </cell>
          <cell r="S329">
            <v>59</v>
          </cell>
          <cell r="T329">
            <v>30</v>
          </cell>
        </row>
        <row r="330">
          <cell r="C330" t="str">
            <v>Census Tract 319.06, King County, Washington</v>
          </cell>
          <cell r="D330">
            <v>23</v>
          </cell>
          <cell r="E330">
            <v>23</v>
          </cell>
          <cell r="F330">
            <v>9</v>
          </cell>
          <cell r="G330">
            <v>14</v>
          </cell>
          <cell r="H330">
            <v>0</v>
          </cell>
          <cell r="I330">
            <v>0</v>
          </cell>
          <cell r="J330">
            <v>14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23</v>
          </cell>
          <cell r="T330">
            <v>0</v>
          </cell>
        </row>
        <row r="331">
          <cell r="C331" t="str">
            <v>Census Tract 319.07, King County, Washington</v>
          </cell>
          <cell r="D331">
            <v>243</v>
          </cell>
          <cell r="E331">
            <v>204</v>
          </cell>
          <cell r="F331">
            <v>96</v>
          </cell>
          <cell r="G331">
            <v>108</v>
          </cell>
          <cell r="H331">
            <v>10</v>
          </cell>
          <cell r="I331">
            <v>17</v>
          </cell>
          <cell r="J331">
            <v>27</v>
          </cell>
          <cell r="K331">
            <v>54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39</v>
          </cell>
          <cell r="Q331">
            <v>27</v>
          </cell>
          <cell r="R331">
            <v>12</v>
          </cell>
          <cell r="S331">
            <v>204</v>
          </cell>
          <cell r="T331">
            <v>39</v>
          </cell>
        </row>
        <row r="332">
          <cell r="C332" t="str">
            <v>Census Tract 319.08, King County, Washington</v>
          </cell>
          <cell r="D332">
            <v>243</v>
          </cell>
          <cell r="E332">
            <v>206</v>
          </cell>
          <cell r="F332">
            <v>93</v>
          </cell>
          <cell r="G332">
            <v>110</v>
          </cell>
          <cell r="H332">
            <v>12</v>
          </cell>
          <cell r="I332">
            <v>34</v>
          </cell>
          <cell r="J332">
            <v>45</v>
          </cell>
          <cell r="K332">
            <v>19</v>
          </cell>
          <cell r="L332">
            <v>3</v>
          </cell>
          <cell r="M332">
            <v>0</v>
          </cell>
          <cell r="N332">
            <v>0</v>
          </cell>
          <cell r="O332">
            <v>3</v>
          </cell>
          <cell r="P332">
            <v>37</v>
          </cell>
          <cell r="Q332">
            <v>37</v>
          </cell>
          <cell r="R332">
            <v>0</v>
          </cell>
          <cell r="S332">
            <v>203</v>
          </cell>
          <cell r="T332">
            <v>40</v>
          </cell>
        </row>
        <row r="333">
          <cell r="C333" t="str">
            <v>Census Tract 319.09, King County, Washington</v>
          </cell>
          <cell r="D333">
            <v>82</v>
          </cell>
          <cell r="E333">
            <v>82</v>
          </cell>
          <cell r="F333">
            <v>47</v>
          </cell>
          <cell r="G333">
            <v>35</v>
          </cell>
          <cell r="H333">
            <v>0</v>
          </cell>
          <cell r="I333">
            <v>9</v>
          </cell>
          <cell r="J333">
            <v>8</v>
          </cell>
          <cell r="K333">
            <v>18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82</v>
          </cell>
          <cell r="T333">
            <v>0</v>
          </cell>
        </row>
        <row r="334">
          <cell r="C334" t="str">
            <v>Census Tract 320.02, King County, Washington</v>
          </cell>
          <cell r="D334">
            <v>26</v>
          </cell>
          <cell r="E334">
            <v>26</v>
          </cell>
          <cell r="F334">
            <v>9</v>
          </cell>
          <cell r="G334">
            <v>12</v>
          </cell>
          <cell r="H334">
            <v>0</v>
          </cell>
          <cell r="I334">
            <v>6</v>
          </cell>
          <cell r="J334">
            <v>6</v>
          </cell>
          <cell r="K334">
            <v>0</v>
          </cell>
          <cell r="L334">
            <v>5</v>
          </cell>
          <cell r="M334">
            <v>0</v>
          </cell>
          <cell r="N334">
            <v>0</v>
          </cell>
          <cell r="O334">
            <v>5</v>
          </cell>
          <cell r="P334">
            <v>0</v>
          </cell>
          <cell r="Q334">
            <v>0</v>
          </cell>
          <cell r="R334">
            <v>0</v>
          </cell>
          <cell r="S334">
            <v>21</v>
          </cell>
          <cell r="T334">
            <v>5</v>
          </cell>
        </row>
        <row r="335">
          <cell r="C335" t="str">
            <v>Census Tract 320.03, King County, Washington</v>
          </cell>
          <cell r="D335">
            <v>9</v>
          </cell>
          <cell r="E335">
            <v>9</v>
          </cell>
          <cell r="F335">
            <v>0</v>
          </cell>
          <cell r="G335">
            <v>9</v>
          </cell>
          <cell r="H335">
            <v>0</v>
          </cell>
          <cell r="I335">
            <v>0</v>
          </cell>
          <cell r="J335">
            <v>9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9</v>
          </cell>
          <cell r="T335">
            <v>0</v>
          </cell>
        </row>
        <row r="336">
          <cell r="C336" t="str">
            <v>Census Tract 320.05, King County, Washington</v>
          </cell>
          <cell r="D336">
            <v>251</v>
          </cell>
          <cell r="E336">
            <v>251</v>
          </cell>
          <cell r="F336">
            <v>87</v>
          </cell>
          <cell r="G336">
            <v>157</v>
          </cell>
          <cell r="H336">
            <v>7</v>
          </cell>
          <cell r="I336">
            <v>93</v>
          </cell>
          <cell r="J336">
            <v>57</v>
          </cell>
          <cell r="K336">
            <v>0</v>
          </cell>
          <cell r="L336">
            <v>7</v>
          </cell>
          <cell r="M336">
            <v>0</v>
          </cell>
          <cell r="N336">
            <v>0</v>
          </cell>
          <cell r="O336">
            <v>7</v>
          </cell>
          <cell r="P336">
            <v>0</v>
          </cell>
          <cell r="Q336">
            <v>0</v>
          </cell>
          <cell r="R336">
            <v>0</v>
          </cell>
          <cell r="S336">
            <v>244</v>
          </cell>
          <cell r="T336">
            <v>7</v>
          </cell>
        </row>
        <row r="337">
          <cell r="C337" t="str">
            <v>Census Tract 320.06, King County, Washington</v>
          </cell>
          <cell r="D337">
            <v>15</v>
          </cell>
          <cell r="E337">
            <v>15</v>
          </cell>
          <cell r="F337">
            <v>0</v>
          </cell>
          <cell r="G337">
            <v>15</v>
          </cell>
          <cell r="H337">
            <v>15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15</v>
          </cell>
          <cell r="T337">
            <v>0</v>
          </cell>
        </row>
        <row r="338">
          <cell r="C338" t="str">
            <v>Census Tract 320.07, King County, Washington</v>
          </cell>
          <cell r="D338">
            <v>18</v>
          </cell>
          <cell r="E338">
            <v>18</v>
          </cell>
          <cell r="F338">
            <v>11</v>
          </cell>
          <cell r="G338">
            <v>7</v>
          </cell>
          <cell r="H338">
            <v>0</v>
          </cell>
          <cell r="I338">
            <v>0</v>
          </cell>
          <cell r="J338">
            <v>7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18</v>
          </cell>
          <cell r="T338">
            <v>0</v>
          </cell>
        </row>
        <row r="339">
          <cell r="C339" t="str">
            <v>Census Tract 320.08, King County, Washington</v>
          </cell>
          <cell r="D339">
            <v>38</v>
          </cell>
          <cell r="E339">
            <v>26</v>
          </cell>
          <cell r="F339">
            <v>6</v>
          </cell>
          <cell r="G339">
            <v>20</v>
          </cell>
          <cell r="H339">
            <v>6</v>
          </cell>
          <cell r="I339">
            <v>0</v>
          </cell>
          <cell r="J339">
            <v>4</v>
          </cell>
          <cell r="K339">
            <v>10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12</v>
          </cell>
          <cell r="Q339">
            <v>12</v>
          </cell>
          <cell r="R339">
            <v>0</v>
          </cell>
          <cell r="S339">
            <v>26</v>
          </cell>
          <cell r="T339">
            <v>12</v>
          </cell>
        </row>
        <row r="340">
          <cell r="C340" t="str">
            <v>Census Tract 320.09, King County, Washington</v>
          </cell>
          <cell r="D340">
            <v>60</v>
          </cell>
          <cell r="E340">
            <v>60</v>
          </cell>
          <cell r="F340">
            <v>28</v>
          </cell>
          <cell r="G340">
            <v>32</v>
          </cell>
          <cell r="H340">
            <v>0</v>
          </cell>
          <cell r="I340">
            <v>12</v>
          </cell>
          <cell r="J340">
            <v>12</v>
          </cell>
          <cell r="K340">
            <v>8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60</v>
          </cell>
          <cell r="T340">
            <v>0</v>
          </cell>
        </row>
        <row r="341">
          <cell r="C341" t="str">
            <v>Census Tract 321.02, King County, Washington</v>
          </cell>
          <cell r="D341">
            <v>50</v>
          </cell>
          <cell r="E341">
            <v>50</v>
          </cell>
          <cell r="F341">
            <v>28</v>
          </cell>
          <cell r="G341">
            <v>22</v>
          </cell>
          <cell r="H341">
            <v>0</v>
          </cell>
          <cell r="I341">
            <v>11</v>
          </cell>
          <cell r="J341">
            <v>7</v>
          </cell>
          <cell r="K341">
            <v>4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50</v>
          </cell>
          <cell r="T341">
            <v>0</v>
          </cell>
        </row>
        <row r="342">
          <cell r="C342" t="str">
            <v>Census Tract 321.03, King County, Washington</v>
          </cell>
          <cell r="D342">
            <v>12</v>
          </cell>
          <cell r="E342">
            <v>5</v>
          </cell>
          <cell r="F342">
            <v>0</v>
          </cell>
          <cell r="G342">
            <v>5</v>
          </cell>
          <cell r="H342">
            <v>5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7</v>
          </cell>
          <cell r="Q342">
            <v>7</v>
          </cell>
          <cell r="R342">
            <v>0</v>
          </cell>
          <cell r="S342">
            <v>5</v>
          </cell>
          <cell r="T342">
            <v>7</v>
          </cell>
        </row>
        <row r="343">
          <cell r="C343" t="str">
            <v>Census Tract 321.04, King County, Washington</v>
          </cell>
          <cell r="D343">
            <v>12</v>
          </cell>
          <cell r="E343">
            <v>12</v>
          </cell>
          <cell r="F343">
            <v>2</v>
          </cell>
          <cell r="G343">
            <v>2</v>
          </cell>
          <cell r="H343">
            <v>0</v>
          </cell>
          <cell r="I343">
            <v>1</v>
          </cell>
          <cell r="J343">
            <v>0</v>
          </cell>
          <cell r="K343">
            <v>1</v>
          </cell>
          <cell r="L343">
            <v>8</v>
          </cell>
          <cell r="M343">
            <v>0</v>
          </cell>
          <cell r="N343">
            <v>0</v>
          </cell>
          <cell r="O343">
            <v>8</v>
          </cell>
          <cell r="P343">
            <v>0</v>
          </cell>
          <cell r="Q343">
            <v>0</v>
          </cell>
          <cell r="R343">
            <v>0</v>
          </cell>
          <cell r="S343">
            <v>4</v>
          </cell>
          <cell r="T343">
            <v>8</v>
          </cell>
        </row>
        <row r="344">
          <cell r="C344" t="str">
            <v>Census Tract 322.03, King County, Washington</v>
          </cell>
          <cell r="D344">
            <v>19</v>
          </cell>
          <cell r="E344">
            <v>19</v>
          </cell>
          <cell r="F344">
            <v>0</v>
          </cell>
          <cell r="G344">
            <v>19</v>
          </cell>
          <cell r="H344">
            <v>10</v>
          </cell>
          <cell r="I344">
            <v>9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19</v>
          </cell>
          <cell r="T344">
            <v>0</v>
          </cell>
        </row>
        <row r="345">
          <cell r="C345" t="str">
            <v>Census Tract 322.07, King County, Washington</v>
          </cell>
          <cell r="D345">
            <v>19</v>
          </cell>
          <cell r="E345">
            <v>19</v>
          </cell>
          <cell r="F345">
            <v>10</v>
          </cell>
          <cell r="G345">
            <v>9</v>
          </cell>
          <cell r="H345">
            <v>0</v>
          </cell>
          <cell r="I345">
            <v>0</v>
          </cell>
          <cell r="J345">
            <v>0</v>
          </cell>
          <cell r="K345">
            <v>9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19</v>
          </cell>
          <cell r="T345">
            <v>0</v>
          </cell>
        </row>
        <row r="346">
          <cell r="C346" t="str">
            <v>Census Tract 322.08, King County, Washington</v>
          </cell>
          <cell r="D346">
            <v>26</v>
          </cell>
          <cell r="E346">
            <v>26</v>
          </cell>
          <cell r="F346">
            <v>7</v>
          </cell>
          <cell r="G346">
            <v>19</v>
          </cell>
          <cell r="H346">
            <v>0</v>
          </cell>
          <cell r="I346">
            <v>0</v>
          </cell>
          <cell r="J346">
            <v>19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26</v>
          </cell>
          <cell r="T346">
            <v>0</v>
          </cell>
        </row>
        <row r="347">
          <cell r="C347" t="str">
            <v>Census Tract 322.09, King County, Washington</v>
          </cell>
          <cell r="D347">
            <v>56</v>
          </cell>
          <cell r="E347">
            <v>46</v>
          </cell>
          <cell r="F347">
            <v>28</v>
          </cell>
          <cell r="G347">
            <v>18</v>
          </cell>
          <cell r="H347">
            <v>12</v>
          </cell>
          <cell r="I347">
            <v>0</v>
          </cell>
          <cell r="J347">
            <v>6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10</v>
          </cell>
          <cell r="Q347">
            <v>0</v>
          </cell>
          <cell r="R347">
            <v>10</v>
          </cell>
          <cell r="S347">
            <v>46</v>
          </cell>
          <cell r="T347">
            <v>10</v>
          </cell>
        </row>
        <row r="348">
          <cell r="C348" t="str">
            <v>Census Tract 322.10, King County, Washington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C349" t="str">
            <v>Census Tract 322.11, King County, Washington</v>
          </cell>
          <cell r="D349">
            <v>29</v>
          </cell>
          <cell r="E349">
            <v>29</v>
          </cell>
          <cell r="F349">
            <v>0</v>
          </cell>
          <cell r="G349">
            <v>29</v>
          </cell>
          <cell r="H349">
            <v>9</v>
          </cell>
          <cell r="I349">
            <v>0</v>
          </cell>
          <cell r="J349">
            <v>12</v>
          </cell>
          <cell r="K349">
            <v>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29</v>
          </cell>
          <cell r="T349">
            <v>0</v>
          </cell>
        </row>
        <row r="350">
          <cell r="C350" t="str">
            <v>Census Tract 322.12, King County, Washington</v>
          </cell>
          <cell r="D350">
            <v>76</v>
          </cell>
          <cell r="E350">
            <v>64</v>
          </cell>
          <cell r="F350">
            <v>7</v>
          </cell>
          <cell r="G350">
            <v>57</v>
          </cell>
          <cell r="H350">
            <v>0</v>
          </cell>
          <cell r="I350">
            <v>7</v>
          </cell>
          <cell r="J350">
            <v>36</v>
          </cell>
          <cell r="K350">
            <v>14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12</v>
          </cell>
          <cell r="Q350">
            <v>0</v>
          </cell>
          <cell r="R350">
            <v>12</v>
          </cell>
          <cell r="S350">
            <v>64</v>
          </cell>
          <cell r="T350">
            <v>12</v>
          </cell>
        </row>
        <row r="351">
          <cell r="C351" t="str">
            <v>Census Tract 323.07, King County, Washington</v>
          </cell>
          <cell r="D351">
            <v>61</v>
          </cell>
          <cell r="E351">
            <v>61</v>
          </cell>
          <cell r="F351">
            <v>27</v>
          </cell>
          <cell r="G351">
            <v>34</v>
          </cell>
          <cell r="H351">
            <v>0</v>
          </cell>
          <cell r="I351">
            <v>9</v>
          </cell>
          <cell r="J351">
            <v>17</v>
          </cell>
          <cell r="K351">
            <v>8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61</v>
          </cell>
          <cell r="T351">
            <v>0</v>
          </cell>
        </row>
        <row r="352">
          <cell r="C352" t="str">
            <v>Census Tract 323.09, King County, Washington</v>
          </cell>
          <cell r="D352">
            <v>56</v>
          </cell>
          <cell r="E352">
            <v>56</v>
          </cell>
          <cell r="F352">
            <v>16</v>
          </cell>
          <cell r="G352">
            <v>40</v>
          </cell>
          <cell r="H352">
            <v>0</v>
          </cell>
          <cell r="I352">
            <v>12</v>
          </cell>
          <cell r="J352">
            <v>13</v>
          </cell>
          <cell r="K352">
            <v>15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56</v>
          </cell>
          <cell r="T352">
            <v>0</v>
          </cell>
        </row>
        <row r="353">
          <cell r="C353" t="str">
            <v>Census Tract 323.11, King County, Washington</v>
          </cell>
          <cell r="D353">
            <v>31</v>
          </cell>
          <cell r="E353">
            <v>23</v>
          </cell>
          <cell r="F353">
            <v>0</v>
          </cell>
          <cell r="G353">
            <v>23</v>
          </cell>
          <cell r="H353">
            <v>0</v>
          </cell>
          <cell r="I353">
            <v>14</v>
          </cell>
          <cell r="J353">
            <v>9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8</v>
          </cell>
          <cell r="Q353">
            <v>8</v>
          </cell>
          <cell r="R353">
            <v>0</v>
          </cell>
          <cell r="S353">
            <v>23</v>
          </cell>
          <cell r="T353">
            <v>8</v>
          </cell>
        </row>
        <row r="354">
          <cell r="C354" t="str">
            <v>Census Tract 323.12, King County, Washington</v>
          </cell>
          <cell r="D354">
            <v>91</v>
          </cell>
          <cell r="E354">
            <v>79</v>
          </cell>
          <cell r="F354">
            <v>58</v>
          </cell>
          <cell r="G354">
            <v>21</v>
          </cell>
          <cell r="H354">
            <v>0</v>
          </cell>
          <cell r="I354">
            <v>0</v>
          </cell>
          <cell r="J354">
            <v>21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12</v>
          </cell>
          <cell r="Q354">
            <v>12</v>
          </cell>
          <cell r="R354">
            <v>0</v>
          </cell>
          <cell r="S354">
            <v>79</v>
          </cell>
          <cell r="T354">
            <v>12</v>
          </cell>
        </row>
        <row r="355">
          <cell r="C355" t="str">
            <v>Census Tract 323.13, King County, Washington</v>
          </cell>
          <cell r="D355">
            <v>29</v>
          </cell>
          <cell r="E355">
            <v>29</v>
          </cell>
          <cell r="F355">
            <v>17</v>
          </cell>
          <cell r="G355">
            <v>12</v>
          </cell>
          <cell r="H355">
            <v>0</v>
          </cell>
          <cell r="I355">
            <v>0</v>
          </cell>
          <cell r="J355">
            <v>12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29</v>
          </cell>
          <cell r="T355">
            <v>0</v>
          </cell>
        </row>
        <row r="356">
          <cell r="C356" t="str">
            <v>Census Tract 323.14, King County, Washington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</row>
        <row r="357">
          <cell r="C357" t="str">
            <v>Census Tract 323.15, King County, Washington</v>
          </cell>
          <cell r="D357">
            <v>71</v>
          </cell>
          <cell r="E357">
            <v>71</v>
          </cell>
          <cell r="F357">
            <v>34</v>
          </cell>
          <cell r="G357">
            <v>37</v>
          </cell>
          <cell r="H357">
            <v>10</v>
          </cell>
          <cell r="I357">
            <v>0</v>
          </cell>
          <cell r="J357">
            <v>27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71</v>
          </cell>
          <cell r="T357">
            <v>0</v>
          </cell>
        </row>
        <row r="358">
          <cell r="C358" t="str">
            <v>Census Tract 323.16, King County, Washington</v>
          </cell>
          <cell r="D358">
            <v>16</v>
          </cell>
          <cell r="E358">
            <v>16</v>
          </cell>
          <cell r="F358">
            <v>16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16</v>
          </cell>
          <cell r="T358">
            <v>0</v>
          </cell>
        </row>
        <row r="359">
          <cell r="C359" t="str">
            <v>Census Tract 323.17, King County, Washington</v>
          </cell>
          <cell r="D359">
            <v>59</v>
          </cell>
          <cell r="E359">
            <v>59</v>
          </cell>
          <cell r="F359">
            <v>40</v>
          </cell>
          <cell r="G359">
            <v>8</v>
          </cell>
          <cell r="H359">
            <v>0</v>
          </cell>
          <cell r="I359">
            <v>0</v>
          </cell>
          <cell r="J359">
            <v>8</v>
          </cell>
          <cell r="K359">
            <v>0</v>
          </cell>
          <cell r="L359">
            <v>11</v>
          </cell>
          <cell r="M359">
            <v>0</v>
          </cell>
          <cell r="N359">
            <v>0</v>
          </cell>
          <cell r="O359">
            <v>11</v>
          </cell>
          <cell r="P359">
            <v>0</v>
          </cell>
          <cell r="Q359">
            <v>0</v>
          </cell>
          <cell r="R359">
            <v>0</v>
          </cell>
          <cell r="S359">
            <v>48</v>
          </cell>
          <cell r="T359">
            <v>11</v>
          </cell>
        </row>
        <row r="360">
          <cell r="C360" t="str">
            <v>Census Tract 323.18, King County, Washington</v>
          </cell>
          <cell r="D360">
            <v>38</v>
          </cell>
          <cell r="E360">
            <v>38</v>
          </cell>
          <cell r="F360">
            <v>0</v>
          </cell>
          <cell r="G360">
            <v>38</v>
          </cell>
          <cell r="H360">
            <v>0</v>
          </cell>
          <cell r="I360">
            <v>11</v>
          </cell>
          <cell r="J360">
            <v>0</v>
          </cell>
          <cell r="K360">
            <v>27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38</v>
          </cell>
          <cell r="T360">
            <v>0</v>
          </cell>
        </row>
        <row r="361">
          <cell r="C361" t="str">
            <v>Census Tract 323.19, King County, Washington</v>
          </cell>
          <cell r="D361">
            <v>11</v>
          </cell>
          <cell r="E361">
            <v>11</v>
          </cell>
          <cell r="F361">
            <v>0</v>
          </cell>
          <cell r="G361">
            <v>11</v>
          </cell>
          <cell r="H361">
            <v>11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11</v>
          </cell>
          <cell r="T361">
            <v>0</v>
          </cell>
        </row>
        <row r="362">
          <cell r="C362" t="str">
            <v>Census Tract 323.20, King County, Washington</v>
          </cell>
          <cell r="D362">
            <v>51</v>
          </cell>
          <cell r="E362">
            <v>46</v>
          </cell>
          <cell r="F362">
            <v>15</v>
          </cell>
          <cell r="G362">
            <v>31</v>
          </cell>
          <cell r="H362">
            <v>0</v>
          </cell>
          <cell r="I362">
            <v>10</v>
          </cell>
          <cell r="J362">
            <v>14</v>
          </cell>
          <cell r="K362">
            <v>7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5</v>
          </cell>
          <cell r="Q362">
            <v>0</v>
          </cell>
          <cell r="R362">
            <v>5</v>
          </cell>
          <cell r="S362">
            <v>46</v>
          </cell>
          <cell r="T362">
            <v>5</v>
          </cell>
        </row>
        <row r="363">
          <cell r="C363" t="str">
            <v>Census Tract 323.21, King County, Washington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</row>
        <row r="364">
          <cell r="C364" t="str">
            <v>Census Tract 323.22, King County, Washington</v>
          </cell>
          <cell r="D364">
            <v>26</v>
          </cell>
          <cell r="E364">
            <v>26</v>
          </cell>
          <cell r="F364">
            <v>0</v>
          </cell>
          <cell r="G364">
            <v>26</v>
          </cell>
          <cell r="H364">
            <v>0</v>
          </cell>
          <cell r="I364">
            <v>0</v>
          </cell>
          <cell r="J364">
            <v>18</v>
          </cell>
          <cell r="K364">
            <v>8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26</v>
          </cell>
          <cell r="T364">
            <v>0</v>
          </cell>
        </row>
        <row r="365">
          <cell r="C365" t="str">
            <v>Census Tract 323.23, King County, Washington</v>
          </cell>
          <cell r="D365">
            <v>90</v>
          </cell>
          <cell r="E365">
            <v>78</v>
          </cell>
          <cell r="F365">
            <v>46</v>
          </cell>
          <cell r="G365">
            <v>32</v>
          </cell>
          <cell r="H365">
            <v>8</v>
          </cell>
          <cell r="I365">
            <v>24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12</v>
          </cell>
          <cell r="Q365">
            <v>0</v>
          </cell>
          <cell r="R365">
            <v>12</v>
          </cell>
          <cell r="S365">
            <v>78</v>
          </cell>
          <cell r="T365">
            <v>12</v>
          </cell>
        </row>
        <row r="366">
          <cell r="C366" t="str">
            <v>Census Tract 323.24, King County, Washington</v>
          </cell>
          <cell r="D366">
            <v>71</v>
          </cell>
          <cell r="E366">
            <v>71</v>
          </cell>
          <cell r="F366">
            <v>17</v>
          </cell>
          <cell r="G366">
            <v>54</v>
          </cell>
          <cell r="H366">
            <v>0</v>
          </cell>
          <cell r="I366">
            <v>7</v>
          </cell>
          <cell r="J366">
            <v>36</v>
          </cell>
          <cell r="K366">
            <v>11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71</v>
          </cell>
          <cell r="T366">
            <v>0</v>
          </cell>
        </row>
        <row r="367">
          <cell r="C367" t="str">
            <v>Census Tract 323.25, King County, Washington</v>
          </cell>
          <cell r="D367">
            <v>105</v>
          </cell>
          <cell r="E367">
            <v>105</v>
          </cell>
          <cell r="F367">
            <v>43</v>
          </cell>
          <cell r="G367">
            <v>62</v>
          </cell>
          <cell r="H367">
            <v>11</v>
          </cell>
          <cell r="I367">
            <v>0</v>
          </cell>
          <cell r="J367">
            <v>23</v>
          </cell>
          <cell r="K367">
            <v>28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105</v>
          </cell>
          <cell r="T367">
            <v>0</v>
          </cell>
        </row>
        <row r="368">
          <cell r="C368" t="str">
            <v>Census Tract 324.01, King County, Washington</v>
          </cell>
          <cell r="D368">
            <v>62</v>
          </cell>
          <cell r="E368">
            <v>62</v>
          </cell>
          <cell r="F368">
            <v>0</v>
          </cell>
          <cell r="G368">
            <v>62</v>
          </cell>
          <cell r="H368">
            <v>0</v>
          </cell>
          <cell r="I368">
            <v>32</v>
          </cell>
          <cell r="J368">
            <v>30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62</v>
          </cell>
          <cell r="T368">
            <v>0</v>
          </cell>
        </row>
        <row r="369">
          <cell r="C369" t="str">
            <v>Census Tract 324.02, King County, Washington</v>
          </cell>
          <cell r="D369">
            <v>76</v>
          </cell>
          <cell r="E369">
            <v>76</v>
          </cell>
          <cell r="F369">
            <v>36</v>
          </cell>
          <cell r="G369">
            <v>40</v>
          </cell>
          <cell r="H369">
            <v>14</v>
          </cell>
          <cell r="I369">
            <v>0</v>
          </cell>
          <cell r="J369">
            <v>26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76</v>
          </cell>
          <cell r="T369">
            <v>0</v>
          </cell>
        </row>
        <row r="370">
          <cell r="C370" t="str">
            <v>Census Tract 325, King County, Washington</v>
          </cell>
          <cell r="D370">
            <v>11</v>
          </cell>
          <cell r="E370">
            <v>8</v>
          </cell>
          <cell r="F370">
            <v>3</v>
          </cell>
          <cell r="G370">
            <v>5</v>
          </cell>
          <cell r="H370">
            <v>0</v>
          </cell>
          <cell r="I370">
            <v>0</v>
          </cell>
          <cell r="J370">
            <v>5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3</v>
          </cell>
          <cell r="Q370">
            <v>0</v>
          </cell>
          <cell r="R370">
            <v>3</v>
          </cell>
          <cell r="S370">
            <v>8</v>
          </cell>
          <cell r="T370">
            <v>3</v>
          </cell>
        </row>
        <row r="371">
          <cell r="C371" t="str">
            <v>Census Tract 326.01, King County, Washington</v>
          </cell>
          <cell r="D371">
            <v>31</v>
          </cell>
          <cell r="E371">
            <v>25</v>
          </cell>
          <cell r="F371">
            <v>11</v>
          </cell>
          <cell r="G371">
            <v>14</v>
          </cell>
          <cell r="H371">
            <v>0</v>
          </cell>
          <cell r="I371">
            <v>0</v>
          </cell>
          <cell r="J371">
            <v>14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6</v>
          </cell>
          <cell r="Q371">
            <v>6</v>
          </cell>
          <cell r="R371">
            <v>0</v>
          </cell>
          <cell r="S371">
            <v>25</v>
          </cell>
          <cell r="T371">
            <v>6</v>
          </cell>
        </row>
        <row r="372">
          <cell r="C372" t="str">
            <v>Census Tract 326.02, King County, Washington</v>
          </cell>
          <cell r="D372">
            <v>37</v>
          </cell>
          <cell r="E372">
            <v>37</v>
          </cell>
          <cell r="F372">
            <v>31</v>
          </cell>
          <cell r="G372">
            <v>6</v>
          </cell>
          <cell r="H372">
            <v>0</v>
          </cell>
          <cell r="I372">
            <v>6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37</v>
          </cell>
          <cell r="T372">
            <v>0</v>
          </cell>
        </row>
        <row r="373">
          <cell r="C373" t="str">
            <v>Census Tract 327.02, King County, Washington</v>
          </cell>
          <cell r="D373">
            <v>27</v>
          </cell>
          <cell r="E373">
            <v>27</v>
          </cell>
          <cell r="F373">
            <v>0</v>
          </cell>
          <cell r="G373">
            <v>27</v>
          </cell>
          <cell r="H373">
            <v>12</v>
          </cell>
          <cell r="I373">
            <v>4</v>
          </cell>
          <cell r="J373">
            <v>11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27</v>
          </cell>
          <cell r="T373">
            <v>0</v>
          </cell>
        </row>
        <row r="374">
          <cell r="C374" t="str">
            <v>Census Tract 327.03, King County, Washington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</row>
        <row r="375">
          <cell r="C375" t="str">
            <v>Census Tract 327.04, King County, Washington</v>
          </cell>
          <cell r="D375">
            <v>46</v>
          </cell>
          <cell r="E375">
            <v>46</v>
          </cell>
          <cell r="F375">
            <v>7</v>
          </cell>
          <cell r="G375">
            <v>30</v>
          </cell>
          <cell r="H375">
            <v>0</v>
          </cell>
          <cell r="I375">
            <v>10</v>
          </cell>
          <cell r="J375">
            <v>13</v>
          </cell>
          <cell r="K375">
            <v>7</v>
          </cell>
          <cell r="L375">
            <v>9</v>
          </cell>
          <cell r="M375">
            <v>0</v>
          </cell>
          <cell r="N375">
            <v>0</v>
          </cell>
          <cell r="O375">
            <v>9</v>
          </cell>
          <cell r="P375">
            <v>0</v>
          </cell>
          <cell r="Q375">
            <v>0</v>
          </cell>
          <cell r="R375">
            <v>0</v>
          </cell>
          <cell r="S375">
            <v>37</v>
          </cell>
          <cell r="T375">
            <v>9</v>
          </cell>
        </row>
        <row r="376">
          <cell r="C376" t="str">
            <v>Census Tract 328, King County, Washington</v>
          </cell>
          <cell r="D376">
            <v>2</v>
          </cell>
          <cell r="E376">
            <v>2</v>
          </cell>
          <cell r="F376">
            <v>0</v>
          </cell>
          <cell r="G376">
            <v>2</v>
          </cell>
          <cell r="H376">
            <v>0</v>
          </cell>
          <cell r="I376">
            <v>0</v>
          </cell>
          <cell r="J376">
            <v>0</v>
          </cell>
          <cell r="K376">
            <v>2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</v>
          </cell>
          <cell r="T376">
            <v>0</v>
          </cell>
        </row>
        <row r="377">
          <cell r="C377" t="str">
            <v>Aberdeen city, Washington</v>
          </cell>
          <cell r="D377">
            <v>66</v>
          </cell>
          <cell r="E377">
            <v>50</v>
          </cell>
          <cell r="F377">
            <v>6</v>
          </cell>
          <cell r="G377">
            <v>44</v>
          </cell>
          <cell r="H377">
            <v>0</v>
          </cell>
          <cell r="I377">
            <v>5</v>
          </cell>
          <cell r="J377">
            <v>34</v>
          </cell>
          <cell r="K377">
            <v>5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16</v>
          </cell>
          <cell r="Q377">
            <v>6</v>
          </cell>
          <cell r="R377">
            <v>10</v>
          </cell>
          <cell r="S377">
            <v>50</v>
          </cell>
          <cell r="T377">
            <v>16</v>
          </cell>
        </row>
        <row r="378">
          <cell r="C378" t="str">
            <v>Aberdeen Gardens CDP, Washington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</row>
        <row r="379">
          <cell r="C379" t="str">
            <v>Acme CDP, Washington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</row>
        <row r="380">
          <cell r="C380" t="str">
            <v>Ahtanum CDP, Washington</v>
          </cell>
          <cell r="D380">
            <v>26</v>
          </cell>
          <cell r="E380">
            <v>26</v>
          </cell>
          <cell r="F380">
            <v>0</v>
          </cell>
          <cell r="G380">
            <v>26</v>
          </cell>
          <cell r="H380">
            <v>8</v>
          </cell>
          <cell r="I380">
            <v>0</v>
          </cell>
          <cell r="J380">
            <v>7</v>
          </cell>
          <cell r="K380">
            <v>11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26</v>
          </cell>
          <cell r="T380">
            <v>0</v>
          </cell>
        </row>
        <row r="381">
          <cell r="C381" t="str">
            <v>Airway Heights city, Washington</v>
          </cell>
          <cell r="D381">
            <v>470</v>
          </cell>
          <cell r="E381">
            <v>455</v>
          </cell>
          <cell r="F381">
            <v>104</v>
          </cell>
          <cell r="G381">
            <v>351</v>
          </cell>
          <cell r="H381">
            <v>30</v>
          </cell>
          <cell r="I381">
            <v>26</v>
          </cell>
          <cell r="J381">
            <v>195</v>
          </cell>
          <cell r="K381">
            <v>100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15</v>
          </cell>
          <cell r="Q381">
            <v>5</v>
          </cell>
          <cell r="R381">
            <v>10</v>
          </cell>
          <cell r="S381">
            <v>455</v>
          </cell>
          <cell r="T381">
            <v>15</v>
          </cell>
        </row>
        <row r="382">
          <cell r="C382" t="str">
            <v>Albion town, Washington</v>
          </cell>
          <cell r="D382">
            <v>2</v>
          </cell>
          <cell r="E382">
            <v>2</v>
          </cell>
          <cell r="F382">
            <v>0</v>
          </cell>
          <cell r="G382">
            <v>2</v>
          </cell>
          <cell r="H382">
            <v>0</v>
          </cell>
          <cell r="I382">
            <v>0</v>
          </cell>
          <cell r="J382">
            <v>2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</v>
          </cell>
          <cell r="T382">
            <v>0</v>
          </cell>
        </row>
        <row r="383">
          <cell r="C383" t="str">
            <v>Alderwood Manor CDP, Washington</v>
          </cell>
          <cell r="D383">
            <v>172</v>
          </cell>
          <cell r="E383">
            <v>163</v>
          </cell>
          <cell r="F383">
            <v>34</v>
          </cell>
          <cell r="G383">
            <v>129</v>
          </cell>
          <cell r="H383">
            <v>37</v>
          </cell>
          <cell r="I383">
            <v>23</v>
          </cell>
          <cell r="J383">
            <v>43</v>
          </cell>
          <cell r="K383">
            <v>26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9</v>
          </cell>
          <cell r="Q383">
            <v>9</v>
          </cell>
          <cell r="R383">
            <v>0</v>
          </cell>
          <cell r="S383">
            <v>163</v>
          </cell>
          <cell r="T383">
            <v>9</v>
          </cell>
        </row>
        <row r="384">
          <cell r="C384" t="str">
            <v>Alger CDP, Washington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</row>
        <row r="385">
          <cell r="C385" t="str">
            <v>Algona city, Washington</v>
          </cell>
          <cell r="D385">
            <v>61</v>
          </cell>
          <cell r="E385">
            <v>61</v>
          </cell>
          <cell r="F385">
            <v>22</v>
          </cell>
          <cell r="G385">
            <v>39</v>
          </cell>
          <cell r="H385">
            <v>10</v>
          </cell>
          <cell r="I385">
            <v>3</v>
          </cell>
          <cell r="J385">
            <v>26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61</v>
          </cell>
          <cell r="T385">
            <v>0</v>
          </cell>
        </row>
        <row r="386">
          <cell r="C386" t="str">
            <v>Allyn-Grapeview CDP, Washington</v>
          </cell>
          <cell r="D386">
            <v>12</v>
          </cell>
          <cell r="E386">
            <v>12</v>
          </cell>
          <cell r="F386">
            <v>0</v>
          </cell>
          <cell r="G386">
            <v>12</v>
          </cell>
          <cell r="H386">
            <v>0</v>
          </cell>
          <cell r="I386">
            <v>2</v>
          </cell>
          <cell r="J386">
            <v>10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12</v>
          </cell>
          <cell r="T386">
            <v>0</v>
          </cell>
        </row>
        <row r="387">
          <cell r="C387" t="str">
            <v>Almira town, Washington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</row>
        <row r="388">
          <cell r="C388" t="str">
            <v>Amboy CDP, Washington</v>
          </cell>
          <cell r="D388">
            <v>5</v>
          </cell>
          <cell r="E388">
            <v>5</v>
          </cell>
          <cell r="F388">
            <v>3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2</v>
          </cell>
          <cell r="M388">
            <v>0</v>
          </cell>
          <cell r="N388">
            <v>0</v>
          </cell>
          <cell r="O388">
            <v>2</v>
          </cell>
          <cell r="P388">
            <v>0</v>
          </cell>
          <cell r="Q388">
            <v>0</v>
          </cell>
          <cell r="R388">
            <v>0</v>
          </cell>
          <cell r="S388">
            <v>3</v>
          </cell>
          <cell r="T388">
            <v>2</v>
          </cell>
        </row>
        <row r="389">
          <cell r="C389" t="str">
            <v>Ames Lake CDP, Washington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</row>
        <row r="390">
          <cell r="C390" t="str">
            <v>Anacortes city, Washington</v>
          </cell>
          <cell r="D390">
            <v>26</v>
          </cell>
          <cell r="E390">
            <v>26</v>
          </cell>
          <cell r="F390">
            <v>9</v>
          </cell>
          <cell r="G390">
            <v>17</v>
          </cell>
          <cell r="H390">
            <v>0</v>
          </cell>
          <cell r="I390">
            <v>0</v>
          </cell>
          <cell r="J390">
            <v>6</v>
          </cell>
          <cell r="K390">
            <v>11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26</v>
          </cell>
          <cell r="T390">
            <v>0</v>
          </cell>
        </row>
        <row r="391">
          <cell r="C391" t="str">
            <v>Arlington city, Washington</v>
          </cell>
          <cell r="D391">
            <v>122</v>
          </cell>
          <cell r="E391">
            <v>122</v>
          </cell>
          <cell r="F391">
            <v>43</v>
          </cell>
          <cell r="G391">
            <v>79</v>
          </cell>
          <cell r="H391">
            <v>0</v>
          </cell>
          <cell r="I391">
            <v>8</v>
          </cell>
          <cell r="J391">
            <v>29</v>
          </cell>
          <cell r="K391">
            <v>42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122</v>
          </cell>
          <cell r="T391">
            <v>0</v>
          </cell>
        </row>
        <row r="392">
          <cell r="C392" t="str">
            <v>Arlington Heights CDP, Washington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</row>
        <row r="393">
          <cell r="C393" t="str">
            <v>Artondale CDP, Washington</v>
          </cell>
          <cell r="D393">
            <v>69</v>
          </cell>
          <cell r="E393">
            <v>69</v>
          </cell>
          <cell r="F393">
            <v>30</v>
          </cell>
          <cell r="G393">
            <v>39</v>
          </cell>
          <cell r="H393">
            <v>0</v>
          </cell>
          <cell r="I393">
            <v>0</v>
          </cell>
          <cell r="J393">
            <v>33</v>
          </cell>
          <cell r="K393">
            <v>6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69</v>
          </cell>
          <cell r="T393">
            <v>0</v>
          </cell>
        </row>
        <row r="394">
          <cell r="C394" t="str">
            <v>Ashford CDP, Washington</v>
          </cell>
          <cell r="D394">
            <v>10</v>
          </cell>
          <cell r="E394">
            <v>10</v>
          </cell>
          <cell r="F394">
            <v>10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10</v>
          </cell>
          <cell r="T394">
            <v>0</v>
          </cell>
        </row>
        <row r="395">
          <cell r="C395" t="str">
            <v>Asotin city, Washington</v>
          </cell>
          <cell r="D395">
            <v>2</v>
          </cell>
          <cell r="E395">
            <v>2</v>
          </cell>
          <cell r="F395">
            <v>0</v>
          </cell>
          <cell r="G395">
            <v>2</v>
          </cell>
          <cell r="H395">
            <v>0</v>
          </cell>
          <cell r="I395">
            <v>0</v>
          </cell>
          <cell r="J395">
            <v>0</v>
          </cell>
          <cell r="K395">
            <v>2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</v>
          </cell>
          <cell r="T395">
            <v>0</v>
          </cell>
        </row>
        <row r="396">
          <cell r="C396" t="str">
            <v>Auburn city, Washington</v>
          </cell>
          <cell r="D396">
            <v>1064</v>
          </cell>
          <cell r="E396">
            <v>904</v>
          </cell>
          <cell r="F396">
            <v>423</v>
          </cell>
          <cell r="G396">
            <v>455</v>
          </cell>
          <cell r="H396">
            <v>30</v>
          </cell>
          <cell r="I396">
            <v>149</v>
          </cell>
          <cell r="J396">
            <v>194</v>
          </cell>
          <cell r="K396">
            <v>82</v>
          </cell>
          <cell r="L396">
            <v>26</v>
          </cell>
          <cell r="M396">
            <v>0</v>
          </cell>
          <cell r="N396">
            <v>0</v>
          </cell>
          <cell r="O396">
            <v>26</v>
          </cell>
          <cell r="P396">
            <v>160</v>
          </cell>
          <cell r="Q396">
            <v>62</v>
          </cell>
          <cell r="R396">
            <v>98</v>
          </cell>
          <cell r="S396">
            <v>878</v>
          </cell>
          <cell r="T396">
            <v>186</v>
          </cell>
        </row>
        <row r="397">
          <cell r="C397" t="str">
            <v>Ault Field CDP, Washington</v>
          </cell>
          <cell r="D397">
            <v>182</v>
          </cell>
          <cell r="E397">
            <v>146</v>
          </cell>
          <cell r="F397">
            <v>11</v>
          </cell>
          <cell r="G397">
            <v>127</v>
          </cell>
          <cell r="H397">
            <v>30</v>
          </cell>
          <cell r="I397">
            <v>22</v>
          </cell>
          <cell r="J397">
            <v>52</v>
          </cell>
          <cell r="K397">
            <v>23</v>
          </cell>
          <cell r="L397">
            <v>8</v>
          </cell>
          <cell r="M397">
            <v>0</v>
          </cell>
          <cell r="N397">
            <v>8</v>
          </cell>
          <cell r="O397">
            <v>0</v>
          </cell>
          <cell r="P397">
            <v>36</v>
          </cell>
          <cell r="Q397">
            <v>13</v>
          </cell>
          <cell r="R397">
            <v>23</v>
          </cell>
          <cell r="S397">
            <v>138</v>
          </cell>
          <cell r="T397">
            <v>44</v>
          </cell>
        </row>
        <row r="398">
          <cell r="C398" t="str">
            <v>Bainbridge Island city, Washington</v>
          </cell>
          <cell r="D398">
            <v>77</v>
          </cell>
          <cell r="E398">
            <v>77</v>
          </cell>
          <cell r="F398">
            <v>58</v>
          </cell>
          <cell r="G398">
            <v>19</v>
          </cell>
          <cell r="H398">
            <v>0</v>
          </cell>
          <cell r="I398">
            <v>12</v>
          </cell>
          <cell r="J398">
            <v>0</v>
          </cell>
          <cell r="K398">
            <v>7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77</v>
          </cell>
          <cell r="T398">
            <v>0</v>
          </cell>
        </row>
        <row r="399">
          <cell r="C399" t="str">
            <v>Bangor Trident Base CDP, Washington</v>
          </cell>
          <cell r="D399">
            <v>540</v>
          </cell>
          <cell r="E399">
            <v>518</v>
          </cell>
          <cell r="F399">
            <v>17</v>
          </cell>
          <cell r="G399">
            <v>501</v>
          </cell>
          <cell r="H399">
            <v>80</v>
          </cell>
          <cell r="I399">
            <v>76</v>
          </cell>
          <cell r="J399">
            <v>232</v>
          </cell>
          <cell r="K399">
            <v>113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22</v>
          </cell>
          <cell r="Q399">
            <v>16</v>
          </cell>
          <cell r="R399">
            <v>6</v>
          </cell>
          <cell r="S399">
            <v>518</v>
          </cell>
          <cell r="T399">
            <v>22</v>
          </cell>
        </row>
        <row r="400">
          <cell r="C400" t="str">
            <v>Banks Lake South CDP, Washington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C401" t="str">
            <v>Barberton CDP, Washington</v>
          </cell>
          <cell r="D401">
            <v>21</v>
          </cell>
          <cell r="E401">
            <v>21</v>
          </cell>
          <cell r="F401">
            <v>0</v>
          </cell>
          <cell r="G401">
            <v>21</v>
          </cell>
          <cell r="H401">
            <v>0</v>
          </cell>
          <cell r="I401">
            <v>0</v>
          </cell>
          <cell r="J401">
            <v>6</v>
          </cell>
          <cell r="K401">
            <v>15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21</v>
          </cell>
          <cell r="T401">
            <v>0</v>
          </cell>
        </row>
        <row r="402">
          <cell r="C402" t="str">
            <v>Baring CDP, Washington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</row>
        <row r="403">
          <cell r="C403" t="str">
            <v>Basin City CDP, Washington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</row>
        <row r="404">
          <cell r="C404" t="str">
            <v>Battle Ground city, Washington</v>
          </cell>
          <cell r="D404">
            <v>15</v>
          </cell>
          <cell r="E404">
            <v>15</v>
          </cell>
          <cell r="F404">
            <v>0</v>
          </cell>
          <cell r="G404">
            <v>15</v>
          </cell>
          <cell r="H404">
            <v>0</v>
          </cell>
          <cell r="I404">
            <v>5</v>
          </cell>
          <cell r="J404">
            <v>0</v>
          </cell>
          <cell r="K404">
            <v>10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15</v>
          </cell>
          <cell r="T404">
            <v>0</v>
          </cell>
        </row>
        <row r="405">
          <cell r="C405" t="str">
            <v>Bay Center CDP, Washington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</row>
        <row r="406">
          <cell r="C406" t="str">
            <v>Bay View CDP, Washington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</row>
        <row r="407">
          <cell r="C407" t="str">
            <v>Beaux Arts Village town, Washington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</row>
        <row r="408">
          <cell r="C408" t="str">
            <v>Bellevue city, Washington</v>
          </cell>
          <cell r="D408">
            <v>1936</v>
          </cell>
          <cell r="E408">
            <v>1618</v>
          </cell>
          <cell r="F408">
            <v>474</v>
          </cell>
          <cell r="G408">
            <v>1108</v>
          </cell>
          <cell r="H408">
            <v>119</v>
          </cell>
          <cell r="I408">
            <v>222</v>
          </cell>
          <cell r="J408">
            <v>549</v>
          </cell>
          <cell r="K408">
            <v>218</v>
          </cell>
          <cell r="L408">
            <v>36</v>
          </cell>
          <cell r="M408">
            <v>0</v>
          </cell>
          <cell r="N408">
            <v>0</v>
          </cell>
          <cell r="O408">
            <v>36</v>
          </cell>
          <cell r="P408">
            <v>318</v>
          </cell>
          <cell r="Q408">
            <v>91</v>
          </cell>
          <cell r="R408">
            <v>227</v>
          </cell>
          <cell r="S408">
            <v>1582</v>
          </cell>
          <cell r="T408">
            <v>354</v>
          </cell>
        </row>
        <row r="409">
          <cell r="C409" t="str">
            <v>Bell Hill CDP, Washington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</row>
        <row r="410">
          <cell r="C410" t="str">
            <v>Bellingham city, Washington</v>
          </cell>
          <cell r="D410">
            <v>532</v>
          </cell>
          <cell r="E410">
            <v>525</v>
          </cell>
          <cell r="F410">
            <v>149</v>
          </cell>
          <cell r="G410">
            <v>376</v>
          </cell>
          <cell r="H410">
            <v>62</v>
          </cell>
          <cell r="I410">
            <v>87</v>
          </cell>
          <cell r="J410">
            <v>115</v>
          </cell>
          <cell r="K410">
            <v>112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7</v>
          </cell>
          <cell r="Q410">
            <v>0</v>
          </cell>
          <cell r="R410">
            <v>7</v>
          </cell>
          <cell r="S410">
            <v>525</v>
          </cell>
          <cell r="T410">
            <v>7</v>
          </cell>
        </row>
        <row r="411">
          <cell r="C411" t="str">
            <v>Benton City city, Washington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C412" t="str">
            <v>Bickleton CDP, Washington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C413" t="str">
            <v>Big Lake CDP, Washington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</row>
        <row r="414">
          <cell r="C414" t="str">
            <v>Bingen city, Washington</v>
          </cell>
          <cell r="D414">
            <v>2</v>
          </cell>
          <cell r="E414">
            <v>2</v>
          </cell>
          <cell r="F414">
            <v>0</v>
          </cell>
          <cell r="G414">
            <v>2</v>
          </cell>
          <cell r="H414">
            <v>0</v>
          </cell>
          <cell r="I414">
            <v>0</v>
          </cell>
          <cell r="J414">
            <v>0</v>
          </cell>
          <cell r="K414">
            <v>2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</v>
          </cell>
          <cell r="T414">
            <v>0</v>
          </cell>
        </row>
        <row r="415">
          <cell r="C415" t="str">
            <v>Birch Bay CDP, Washington</v>
          </cell>
          <cell r="D415">
            <v>119</v>
          </cell>
          <cell r="E415">
            <v>119</v>
          </cell>
          <cell r="F415">
            <v>53</v>
          </cell>
          <cell r="G415">
            <v>66</v>
          </cell>
          <cell r="H415">
            <v>21</v>
          </cell>
          <cell r="I415">
            <v>14</v>
          </cell>
          <cell r="J415">
            <v>31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119</v>
          </cell>
          <cell r="T415">
            <v>0</v>
          </cell>
        </row>
        <row r="416">
          <cell r="C416" t="str">
            <v>Black Diamond city, Washington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</row>
        <row r="417">
          <cell r="C417" t="str">
            <v>Blaine city, Washington</v>
          </cell>
          <cell r="D417">
            <v>129</v>
          </cell>
          <cell r="E417">
            <v>114</v>
          </cell>
          <cell r="F417">
            <v>45</v>
          </cell>
          <cell r="G417">
            <v>61</v>
          </cell>
          <cell r="H417">
            <v>20</v>
          </cell>
          <cell r="I417">
            <v>8</v>
          </cell>
          <cell r="J417">
            <v>33</v>
          </cell>
          <cell r="K417">
            <v>0</v>
          </cell>
          <cell r="L417">
            <v>8</v>
          </cell>
          <cell r="M417">
            <v>0</v>
          </cell>
          <cell r="N417">
            <v>0</v>
          </cell>
          <cell r="O417">
            <v>8</v>
          </cell>
          <cell r="P417">
            <v>15</v>
          </cell>
          <cell r="Q417">
            <v>15</v>
          </cell>
          <cell r="R417">
            <v>0</v>
          </cell>
          <cell r="S417">
            <v>106</v>
          </cell>
          <cell r="T417">
            <v>23</v>
          </cell>
        </row>
        <row r="418">
          <cell r="C418" t="str">
            <v>Blyn CDP, Washington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</row>
        <row r="419">
          <cell r="C419" t="str">
            <v>Bonney Lake city, Washington</v>
          </cell>
          <cell r="D419">
            <v>18</v>
          </cell>
          <cell r="E419">
            <v>18</v>
          </cell>
          <cell r="F419">
            <v>0</v>
          </cell>
          <cell r="G419">
            <v>18</v>
          </cell>
          <cell r="H419">
            <v>8</v>
          </cell>
          <cell r="I419">
            <v>0</v>
          </cell>
          <cell r="J419">
            <v>10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18</v>
          </cell>
          <cell r="T419">
            <v>0</v>
          </cell>
        </row>
        <row r="420">
          <cell r="C420" t="str">
            <v>Bothell city, Washington</v>
          </cell>
          <cell r="D420">
            <v>249</v>
          </cell>
          <cell r="E420">
            <v>219</v>
          </cell>
          <cell r="F420">
            <v>79</v>
          </cell>
          <cell r="G420">
            <v>140</v>
          </cell>
          <cell r="H420">
            <v>10</v>
          </cell>
          <cell r="I420">
            <v>48</v>
          </cell>
          <cell r="J420">
            <v>14</v>
          </cell>
          <cell r="K420">
            <v>68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30</v>
          </cell>
          <cell r="Q420">
            <v>21</v>
          </cell>
          <cell r="R420">
            <v>9</v>
          </cell>
          <cell r="S420">
            <v>219</v>
          </cell>
          <cell r="T420">
            <v>30</v>
          </cell>
        </row>
        <row r="421">
          <cell r="C421" t="str">
            <v>Brady CDP, Washington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</row>
        <row r="422">
          <cell r="C422" t="str">
            <v>Bremerton city, Washington</v>
          </cell>
          <cell r="D422">
            <v>2614</v>
          </cell>
          <cell r="E422">
            <v>2537</v>
          </cell>
          <cell r="F422">
            <v>554</v>
          </cell>
          <cell r="G422">
            <v>1888</v>
          </cell>
          <cell r="H422">
            <v>123</v>
          </cell>
          <cell r="I422">
            <v>323</v>
          </cell>
          <cell r="J422">
            <v>964</v>
          </cell>
          <cell r="K422">
            <v>478</v>
          </cell>
          <cell r="L422">
            <v>95</v>
          </cell>
          <cell r="M422">
            <v>6</v>
          </cell>
          <cell r="N422">
            <v>7</v>
          </cell>
          <cell r="O422">
            <v>82</v>
          </cell>
          <cell r="P422">
            <v>77</v>
          </cell>
          <cell r="Q422">
            <v>33</v>
          </cell>
          <cell r="R422">
            <v>44</v>
          </cell>
          <cell r="S422">
            <v>2442</v>
          </cell>
          <cell r="T422">
            <v>172</v>
          </cell>
        </row>
        <row r="423">
          <cell r="C423" t="str">
            <v>Brewster city, Washington</v>
          </cell>
          <cell r="D423">
            <v>20</v>
          </cell>
          <cell r="E423">
            <v>2</v>
          </cell>
          <cell r="F423">
            <v>2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18</v>
          </cell>
          <cell r="Q423">
            <v>0</v>
          </cell>
          <cell r="R423">
            <v>18</v>
          </cell>
          <cell r="S423">
            <v>2</v>
          </cell>
          <cell r="T423">
            <v>18</v>
          </cell>
        </row>
        <row r="424">
          <cell r="C424" t="str">
            <v>Bridgeport city, Washington</v>
          </cell>
          <cell r="D424">
            <v>7</v>
          </cell>
          <cell r="E424">
            <v>1</v>
          </cell>
          <cell r="F424">
            <v>1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6</v>
          </cell>
          <cell r="Q424">
            <v>4</v>
          </cell>
          <cell r="R424">
            <v>2</v>
          </cell>
          <cell r="S424">
            <v>1</v>
          </cell>
          <cell r="T424">
            <v>6</v>
          </cell>
        </row>
        <row r="425">
          <cell r="C425" t="str">
            <v>Brier city, Washington</v>
          </cell>
          <cell r="D425">
            <v>82</v>
          </cell>
          <cell r="E425">
            <v>82</v>
          </cell>
          <cell r="F425">
            <v>19</v>
          </cell>
          <cell r="G425">
            <v>63</v>
          </cell>
          <cell r="H425">
            <v>12</v>
          </cell>
          <cell r="I425">
            <v>0</v>
          </cell>
          <cell r="J425">
            <v>51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82</v>
          </cell>
          <cell r="T425">
            <v>0</v>
          </cell>
        </row>
        <row r="426">
          <cell r="C426" t="str">
            <v>Brinnon CDP, Washington</v>
          </cell>
          <cell r="D426">
            <v>2</v>
          </cell>
          <cell r="E426">
            <v>2</v>
          </cell>
          <cell r="F426">
            <v>0</v>
          </cell>
          <cell r="G426">
            <v>2</v>
          </cell>
          <cell r="H426">
            <v>0</v>
          </cell>
          <cell r="I426">
            <v>2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</v>
          </cell>
          <cell r="T426">
            <v>0</v>
          </cell>
        </row>
        <row r="427">
          <cell r="C427" t="str">
            <v>Brush Prairie CDP, Washington</v>
          </cell>
          <cell r="D427">
            <v>9</v>
          </cell>
          <cell r="E427">
            <v>9</v>
          </cell>
          <cell r="F427">
            <v>0</v>
          </cell>
          <cell r="G427">
            <v>9</v>
          </cell>
          <cell r="H427">
            <v>0</v>
          </cell>
          <cell r="I427">
            <v>2</v>
          </cell>
          <cell r="J427">
            <v>7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9</v>
          </cell>
          <cell r="T427">
            <v>0</v>
          </cell>
        </row>
        <row r="428">
          <cell r="C428" t="str">
            <v>Bryn Mawr-Skyway CDP, Washington</v>
          </cell>
          <cell r="D428">
            <v>3561</v>
          </cell>
          <cell r="E428">
            <v>3442</v>
          </cell>
          <cell r="F428">
            <v>1675</v>
          </cell>
          <cell r="G428">
            <v>1753</v>
          </cell>
          <cell r="H428">
            <v>30</v>
          </cell>
          <cell r="I428">
            <v>346</v>
          </cell>
          <cell r="J428">
            <v>1144</v>
          </cell>
          <cell r="K428">
            <v>233</v>
          </cell>
          <cell r="L428">
            <v>14</v>
          </cell>
          <cell r="M428">
            <v>0</v>
          </cell>
          <cell r="N428">
            <v>0</v>
          </cell>
          <cell r="O428">
            <v>14</v>
          </cell>
          <cell r="P428">
            <v>119</v>
          </cell>
          <cell r="Q428">
            <v>47</v>
          </cell>
          <cell r="R428">
            <v>72</v>
          </cell>
          <cell r="S428">
            <v>3428</v>
          </cell>
          <cell r="T428">
            <v>133</v>
          </cell>
        </row>
        <row r="429">
          <cell r="C429" t="str">
            <v>Buckley city, Washington</v>
          </cell>
          <cell r="D429">
            <v>44</v>
          </cell>
          <cell r="E429">
            <v>44</v>
          </cell>
          <cell r="F429">
            <v>19</v>
          </cell>
          <cell r="G429">
            <v>25</v>
          </cell>
          <cell r="H429">
            <v>0</v>
          </cell>
          <cell r="I429">
            <v>0</v>
          </cell>
          <cell r="J429">
            <v>17</v>
          </cell>
          <cell r="K429">
            <v>8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44</v>
          </cell>
          <cell r="T429">
            <v>0</v>
          </cell>
        </row>
        <row r="430">
          <cell r="C430" t="str">
            <v>Bucoda town, Washington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C431" t="str">
            <v>Burbank CDP, Washington</v>
          </cell>
          <cell r="D431">
            <v>16</v>
          </cell>
          <cell r="E431">
            <v>16</v>
          </cell>
          <cell r="F431">
            <v>16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16</v>
          </cell>
          <cell r="T431">
            <v>0</v>
          </cell>
        </row>
        <row r="432">
          <cell r="C432" t="str">
            <v>Burien city, Washington</v>
          </cell>
          <cell r="D432">
            <v>1610</v>
          </cell>
          <cell r="E432">
            <v>1417</v>
          </cell>
          <cell r="F432">
            <v>827</v>
          </cell>
          <cell r="G432">
            <v>590</v>
          </cell>
          <cell r="H432">
            <v>43</v>
          </cell>
          <cell r="I432">
            <v>77</v>
          </cell>
          <cell r="J432">
            <v>291</v>
          </cell>
          <cell r="K432">
            <v>179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193</v>
          </cell>
          <cell r="Q432">
            <v>118</v>
          </cell>
          <cell r="R432">
            <v>75</v>
          </cell>
          <cell r="S432">
            <v>1417</v>
          </cell>
          <cell r="T432">
            <v>193</v>
          </cell>
        </row>
        <row r="433">
          <cell r="C433" t="str">
            <v>Burlington city, Washington</v>
          </cell>
          <cell r="D433">
            <v>68</v>
          </cell>
          <cell r="E433">
            <v>68</v>
          </cell>
          <cell r="F433">
            <v>0</v>
          </cell>
          <cell r="G433">
            <v>60</v>
          </cell>
          <cell r="H433">
            <v>28</v>
          </cell>
          <cell r="I433">
            <v>0</v>
          </cell>
          <cell r="J433">
            <v>20</v>
          </cell>
          <cell r="K433">
            <v>12</v>
          </cell>
          <cell r="L433">
            <v>8</v>
          </cell>
          <cell r="M433">
            <v>0</v>
          </cell>
          <cell r="N433">
            <v>0</v>
          </cell>
          <cell r="O433">
            <v>8</v>
          </cell>
          <cell r="P433">
            <v>0</v>
          </cell>
          <cell r="Q433">
            <v>0</v>
          </cell>
          <cell r="R433">
            <v>0</v>
          </cell>
          <cell r="S433">
            <v>60</v>
          </cell>
          <cell r="T433">
            <v>8</v>
          </cell>
        </row>
        <row r="434">
          <cell r="C434" t="str">
            <v>Camano CDP, Washington</v>
          </cell>
          <cell r="D434">
            <v>61</v>
          </cell>
          <cell r="E434">
            <v>61</v>
          </cell>
          <cell r="F434">
            <v>45</v>
          </cell>
          <cell r="G434">
            <v>16</v>
          </cell>
          <cell r="H434">
            <v>10</v>
          </cell>
          <cell r="I434">
            <v>6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61</v>
          </cell>
          <cell r="T434">
            <v>0</v>
          </cell>
        </row>
        <row r="435">
          <cell r="C435" t="str">
            <v>Camas city, Washington</v>
          </cell>
          <cell r="D435">
            <v>56</v>
          </cell>
          <cell r="E435">
            <v>51</v>
          </cell>
          <cell r="F435">
            <v>0</v>
          </cell>
          <cell r="G435">
            <v>51</v>
          </cell>
          <cell r="H435">
            <v>0</v>
          </cell>
          <cell r="I435">
            <v>7</v>
          </cell>
          <cell r="J435">
            <v>15</v>
          </cell>
          <cell r="K435">
            <v>29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5</v>
          </cell>
          <cell r="Q435">
            <v>0</v>
          </cell>
          <cell r="R435">
            <v>5</v>
          </cell>
          <cell r="S435">
            <v>51</v>
          </cell>
          <cell r="T435">
            <v>5</v>
          </cell>
        </row>
        <row r="436">
          <cell r="C436" t="str">
            <v>Carbonado town, Washington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C437" t="str">
            <v>Carlsborg CDP, Washington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C438" t="str">
            <v>Carnation city, Washington</v>
          </cell>
          <cell r="D438">
            <v>11</v>
          </cell>
          <cell r="E438">
            <v>8</v>
          </cell>
          <cell r="F438">
            <v>3</v>
          </cell>
          <cell r="G438">
            <v>5</v>
          </cell>
          <cell r="H438">
            <v>0</v>
          </cell>
          <cell r="I438">
            <v>0</v>
          </cell>
          <cell r="J438">
            <v>5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3</v>
          </cell>
          <cell r="Q438">
            <v>0</v>
          </cell>
          <cell r="R438">
            <v>3</v>
          </cell>
          <cell r="S438">
            <v>8</v>
          </cell>
          <cell r="T438">
            <v>3</v>
          </cell>
        </row>
        <row r="439">
          <cell r="C439" t="str">
            <v>Carson River Valley CDP, Washington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C440" t="str">
            <v>Cascade-Fairwood CDP, Washington</v>
          </cell>
          <cell r="D440">
            <v>2029</v>
          </cell>
          <cell r="E440">
            <v>1844</v>
          </cell>
          <cell r="F440">
            <v>849</v>
          </cell>
          <cell r="G440">
            <v>924</v>
          </cell>
          <cell r="H440">
            <v>112</v>
          </cell>
          <cell r="I440">
            <v>201</v>
          </cell>
          <cell r="J440">
            <v>323</v>
          </cell>
          <cell r="K440">
            <v>288</v>
          </cell>
          <cell r="L440">
            <v>71</v>
          </cell>
          <cell r="M440">
            <v>0</v>
          </cell>
          <cell r="N440">
            <v>0</v>
          </cell>
          <cell r="O440">
            <v>71</v>
          </cell>
          <cell r="P440">
            <v>185</v>
          </cell>
          <cell r="Q440">
            <v>110</v>
          </cell>
          <cell r="R440">
            <v>75</v>
          </cell>
          <cell r="S440">
            <v>1773</v>
          </cell>
          <cell r="T440">
            <v>256</v>
          </cell>
        </row>
        <row r="441">
          <cell r="C441" t="str">
            <v>Cascade Valley CDP, Washington</v>
          </cell>
          <cell r="D441">
            <v>110</v>
          </cell>
          <cell r="E441">
            <v>78</v>
          </cell>
          <cell r="F441">
            <v>35</v>
          </cell>
          <cell r="G441">
            <v>43</v>
          </cell>
          <cell r="H441">
            <v>0</v>
          </cell>
          <cell r="I441">
            <v>0</v>
          </cell>
          <cell r="J441">
            <v>22</v>
          </cell>
          <cell r="K441">
            <v>21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32</v>
          </cell>
          <cell r="Q441">
            <v>6</v>
          </cell>
          <cell r="R441">
            <v>26</v>
          </cell>
          <cell r="S441">
            <v>78</v>
          </cell>
          <cell r="T441">
            <v>32</v>
          </cell>
        </row>
        <row r="442">
          <cell r="C442" t="str">
            <v>Cashmere city, Washington</v>
          </cell>
          <cell r="D442">
            <v>14</v>
          </cell>
          <cell r="E442">
            <v>9</v>
          </cell>
          <cell r="F442">
            <v>9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5</v>
          </cell>
          <cell r="Q442">
            <v>0</v>
          </cell>
          <cell r="R442">
            <v>5</v>
          </cell>
          <cell r="S442">
            <v>9</v>
          </cell>
          <cell r="T442">
            <v>5</v>
          </cell>
        </row>
        <row r="443">
          <cell r="C443" t="str">
            <v>Castle Rock city, Washington</v>
          </cell>
          <cell r="D443">
            <v>23</v>
          </cell>
          <cell r="E443">
            <v>23</v>
          </cell>
          <cell r="F443">
            <v>2</v>
          </cell>
          <cell r="G443">
            <v>21</v>
          </cell>
          <cell r="H443">
            <v>11</v>
          </cell>
          <cell r="I443">
            <v>0</v>
          </cell>
          <cell r="J443">
            <v>0</v>
          </cell>
          <cell r="K443">
            <v>10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23</v>
          </cell>
          <cell r="T443">
            <v>0</v>
          </cell>
        </row>
        <row r="444">
          <cell r="C444" t="str">
            <v>Cathan CDP, Washington</v>
          </cell>
          <cell r="D444">
            <v>1</v>
          </cell>
          <cell r="E444">
            <v>1</v>
          </cell>
          <cell r="F444">
            <v>1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</v>
          </cell>
          <cell r="T444">
            <v>0</v>
          </cell>
        </row>
        <row r="445">
          <cell r="C445" t="str">
            <v>Cathcart CDP, Washington</v>
          </cell>
          <cell r="D445">
            <v>8</v>
          </cell>
          <cell r="E445">
            <v>8</v>
          </cell>
          <cell r="F445">
            <v>0</v>
          </cell>
          <cell r="G445">
            <v>8</v>
          </cell>
          <cell r="H445">
            <v>0</v>
          </cell>
          <cell r="I445">
            <v>0</v>
          </cell>
          <cell r="J445">
            <v>0</v>
          </cell>
          <cell r="K445">
            <v>8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8</v>
          </cell>
          <cell r="T445">
            <v>0</v>
          </cell>
        </row>
        <row r="446">
          <cell r="C446" t="str">
            <v>Cathlamet town, Washington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C447" t="str">
            <v>Centerville CDP, Washington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C448" t="str">
            <v>Centralia city, Washington</v>
          </cell>
          <cell r="D448">
            <v>55</v>
          </cell>
          <cell r="E448">
            <v>55</v>
          </cell>
          <cell r="F448">
            <v>24</v>
          </cell>
          <cell r="G448">
            <v>31</v>
          </cell>
          <cell r="H448">
            <v>0</v>
          </cell>
          <cell r="I448">
            <v>8</v>
          </cell>
          <cell r="J448">
            <v>12</v>
          </cell>
          <cell r="K448">
            <v>11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55</v>
          </cell>
          <cell r="T448">
            <v>0</v>
          </cell>
        </row>
        <row r="449">
          <cell r="C449" t="str">
            <v>Central Park CDP, Washington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C450" t="str">
            <v>Chehalis city, Washington</v>
          </cell>
          <cell r="D450">
            <v>94</v>
          </cell>
          <cell r="E450">
            <v>90</v>
          </cell>
          <cell r="F450">
            <v>61</v>
          </cell>
          <cell r="G450">
            <v>29</v>
          </cell>
          <cell r="H450">
            <v>0</v>
          </cell>
          <cell r="I450">
            <v>8</v>
          </cell>
          <cell r="J450">
            <v>7</v>
          </cell>
          <cell r="K450">
            <v>14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4</v>
          </cell>
          <cell r="Q450">
            <v>0</v>
          </cell>
          <cell r="R450">
            <v>4</v>
          </cell>
          <cell r="S450">
            <v>90</v>
          </cell>
          <cell r="T450">
            <v>4</v>
          </cell>
        </row>
        <row r="451">
          <cell r="C451" t="str">
            <v>Chehalis Village CDP, Washington</v>
          </cell>
          <cell r="D451">
            <v>2</v>
          </cell>
          <cell r="E451">
            <v>2</v>
          </cell>
          <cell r="F451">
            <v>0</v>
          </cell>
          <cell r="G451">
            <v>2</v>
          </cell>
          <cell r="H451">
            <v>0</v>
          </cell>
          <cell r="I451">
            <v>0</v>
          </cell>
          <cell r="J451">
            <v>0</v>
          </cell>
          <cell r="K451">
            <v>2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</v>
          </cell>
          <cell r="T451">
            <v>0</v>
          </cell>
        </row>
        <row r="452">
          <cell r="C452" t="str">
            <v>Chelan city, Washington</v>
          </cell>
          <cell r="D452">
            <v>9</v>
          </cell>
          <cell r="E452">
            <v>9</v>
          </cell>
          <cell r="F452">
            <v>9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9</v>
          </cell>
          <cell r="T452">
            <v>0</v>
          </cell>
        </row>
        <row r="453">
          <cell r="C453" t="str">
            <v>Cheney city, Washington</v>
          </cell>
          <cell r="D453">
            <v>187</v>
          </cell>
          <cell r="E453">
            <v>187</v>
          </cell>
          <cell r="F453">
            <v>77</v>
          </cell>
          <cell r="G453">
            <v>110</v>
          </cell>
          <cell r="H453">
            <v>0</v>
          </cell>
          <cell r="I453">
            <v>0</v>
          </cell>
          <cell r="J453">
            <v>58</v>
          </cell>
          <cell r="K453">
            <v>52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187</v>
          </cell>
          <cell r="T453">
            <v>0</v>
          </cell>
        </row>
        <row r="454">
          <cell r="C454" t="str">
            <v>Cherry Grove CDP, Washington</v>
          </cell>
          <cell r="D454">
            <v>6</v>
          </cell>
          <cell r="E454">
            <v>6</v>
          </cell>
          <cell r="F454">
            <v>0</v>
          </cell>
          <cell r="G454">
            <v>6</v>
          </cell>
          <cell r="H454">
            <v>0</v>
          </cell>
          <cell r="I454">
            <v>0</v>
          </cell>
          <cell r="J454">
            <v>0</v>
          </cell>
          <cell r="K454">
            <v>6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6</v>
          </cell>
          <cell r="T454">
            <v>0</v>
          </cell>
        </row>
        <row r="455">
          <cell r="C455" t="str">
            <v>Chewelah city, Washington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C456" t="str">
            <v>Chinook CDP, Washington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C457" t="str">
            <v>Clarkston city, Washington</v>
          </cell>
          <cell r="D457">
            <v>6</v>
          </cell>
          <cell r="E457">
            <v>6</v>
          </cell>
          <cell r="F457">
            <v>0</v>
          </cell>
          <cell r="G457">
            <v>6</v>
          </cell>
          <cell r="H457">
            <v>0</v>
          </cell>
          <cell r="I457">
            <v>6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6</v>
          </cell>
          <cell r="T457">
            <v>0</v>
          </cell>
        </row>
        <row r="458">
          <cell r="C458" t="str">
            <v>Clarkston Heights-Vineland CDP, Washington</v>
          </cell>
          <cell r="D458">
            <v>13</v>
          </cell>
          <cell r="E458">
            <v>13</v>
          </cell>
          <cell r="F458">
            <v>3</v>
          </cell>
          <cell r="G458">
            <v>10</v>
          </cell>
          <cell r="H458">
            <v>0</v>
          </cell>
          <cell r="I458">
            <v>0</v>
          </cell>
          <cell r="J458">
            <v>0</v>
          </cell>
          <cell r="K458">
            <v>10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13</v>
          </cell>
          <cell r="T458">
            <v>0</v>
          </cell>
        </row>
        <row r="459">
          <cell r="C459" t="str">
            <v>Clear Lake CDP, Washington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C460" t="str">
            <v>Cle Elum city, Washington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C461" t="str">
            <v>Clinton CDP, Washington</v>
          </cell>
          <cell r="D461">
            <v>9</v>
          </cell>
          <cell r="E461">
            <v>9</v>
          </cell>
          <cell r="F461">
            <v>4</v>
          </cell>
          <cell r="G461">
            <v>5</v>
          </cell>
          <cell r="H461">
            <v>0</v>
          </cell>
          <cell r="I461">
            <v>0</v>
          </cell>
          <cell r="J461">
            <v>5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9</v>
          </cell>
          <cell r="T461">
            <v>0</v>
          </cell>
        </row>
        <row r="462">
          <cell r="C462" t="str">
            <v>Clyde Hill city, Washington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C463" t="str">
            <v>Cohassett Beach CDP, Washington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C464" t="str">
            <v>Colfax city, Washington</v>
          </cell>
          <cell r="D464">
            <v>3</v>
          </cell>
          <cell r="E464">
            <v>3</v>
          </cell>
          <cell r="F464">
            <v>0</v>
          </cell>
          <cell r="G464">
            <v>3</v>
          </cell>
          <cell r="H464">
            <v>0</v>
          </cell>
          <cell r="I464">
            <v>0</v>
          </cell>
          <cell r="J464">
            <v>3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3</v>
          </cell>
          <cell r="T464">
            <v>0</v>
          </cell>
        </row>
        <row r="465">
          <cell r="C465" t="str">
            <v>College Place city, Washington</v>
          </cell>
          <cell r="D465">
            <v>156</v>
          </cell>
          <cell r="E465">
            <v>101</v>
          </cell>
          <cell r="F465">
            <v>65</v>
          </cell>
          <cell r="G465">
            <v>25</v>
          </cell>
          <cell r="H465">
            <v>0</v>
          </cell>
          <cell r="I465">
            <v>16</v>
          </cell>
          <cell r="J465">
            <v>9</v>
          </cell>
          <cell r="K465">
            <v>0</v>
          </cell>
          <cell r="L465">
            <v>11</v>
          </cell>
          <cell r="M465">
            <v>0</v>
          </cell>
          <cell r="N465">
            <v>0</v>
          </cell>
          <cell r="O465">
            <v>11</v>
          </cell>
          <cell r="P465">
            <v>55</v>
          </cell>
          <cell r="Q465">
            <v>6</v>
          </cell>
          <cell r="R465">
            <v>49</v>
          </cell>
          <cell r="S465">
            <v>90</v>
          </cell>
          <cell r="T465">
            <v>66</v>
          </cell>
        </row>
        <row r="466">
          <cell r="C466" t="str">
            <v>Colton town, Washington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</row>
        <row r="467">
          <cell r="C467" t="str">
            <v>Colville city, Washington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</row>
        <row r="468">
          <cell r="C468" t="str">
            <v>Conconully town, Washington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</row>
        <row r="469">
          <cell r="C469" t="str">
            <v>Concrete town, Washington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</row>
        <row r="470">
          <cell r="C470" t="str">
            <v>Connell city, Washington</v>
          </cell>
          <cell r="D470">
            <v>91</v>
          </cell>
          <cell r="E470">
            <v>86</v>
          </cell>
          <cell r="F470">
            <v>47</v>
          </cell>
          <cell r="G470">
            <v>39</v>
          </cell>
          <cell r="H470">
            <v>4</v>
          </cell>
          <cell r="I470">
            <v>0</v>
          </cell>
          <cell r="J470">
            <v>25</v>
          </cell>
          <cell r="K470">
            <v>10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5</v>
          </cell>
          <cell r="Q470">
            <v>0</v>
          </cell>
          <cell r="R470">
            <v>5</v>
          </cell>
          <cell r="S470">
            <v>86</v>
          </cell>
          <cell r="T470">
            <v>5</v>
          </cell>
        </row>
        <row r="471">
          <cell r="C471" t="str">
            <v>Conway CDP, Washington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C472" t="str">
            <v>Copalis Beach CDP, Washington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C473" t="str">
            <v>Cosmopolis city, Washington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</row>
        <row r="474">
          <cell r="C474" t="str">
            <v>Cottage Lake CDP, Washington</v>
          </cell>
          <cell r="D474">
            <v>194</v>
          </cell>
          <cell r="E474">
            <v>181</v>
          </cell>
          <cell r="F474">
            <v>77</v>
          </cell>
          <cell r="G474">
            <v>104</v>
          </cell>
          <cell r="H474">
            <v>0</v>
          </cell>
          <cell r="I474">
            <v>33</v>
          </cell>
          <cell r="J474">
            <v>55</v>
          </cell>
          <cell r="K474">
            <v>16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13</v>
          </cell>
          <cell r="Q474">
            <v>8</v>
          </cell>
          <cell r="R474">
            <v>5</v>
          </cell>
          <cell r="S474">
            <v>181</v>
          </cell>
          <cell r="T474">
            <v>13</v>
          </cell>
        </row>
        <row r="475">
          <cell r="C475" t="str">
            <v>Coulee City town, Washington</v>
          </cell>
          <cell r="D475">
            <v>5</v>
          </cell>
          <cell r="E475">
            <v>5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3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5</v>
          </cell>
          <cell r="T475">
            <v>0</v>
          </cell>
        </row>
        <row r="476">
          <cell r="C476" t="str">
            <v>Coulee Dam town, Washington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</row>
        <row r="477">
          <cell r="C477" t="str">
            <v>Country Homes CDP, Washington</v>
          </cell>
          <cell r="D477">
            <v>24</v>
          </cell>
          <cell r="E477">
            <v>24</v>
          </cell>
          <cell r="F477">
            <v>24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24</v>
          </cell>
          <cell r="T477">
            <v>0</v>
          </cell>
        </row>
        <row r="478">
          <cell r="C478" t="str">
            <v>Coupeville town, Washington</v>
          </cell>
          <cell r="D478">
            <v>27</v>
          </cell>
          <cell r="E478">
            <v>27</v>
          </cell>
          <cell r="F478">
            <v>14</v>
          </cell>
          <cell r="G478">
            <v>12</v>
          </cell>
          <cell r="H478">
            <v>0</v>
          </cell>
          <cell r="I478">
            <v>0</v>
          </cell>
          <cell r="J478">
            <v>12</v>
          </cell>
          <cell r="K478">
            <v>0</v>
          </cell>
          <cell r="L478">
            <v>1</v>
          </cell>
          <cell r="M478">
            <v>0</v>
          </cell>
          <cell r="N478">
            <v>0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26</v>
          </cell>
          <cell r="T478">
            <v>1</v>
          </cell>
        </row>
        <row r="479">
          <cell r="C479" t="str">
            <v>Covington city, Washington</v>
          </cell>
          <cell r="D479">
            <v>304</v>
          </cell>
          <cell r="E479">
            <v>304</v>
          </cell>
          <cell r="F479">
            <v>139</v>
          </cell>
          <cell r="G479">
            <v>158</v>
          </cell>
          <cell r="H479">
            <v>7</v>
          </cell>
          <cell r="I479">
            <v>85</v>
          </cell>
          <cell r="J479">
            <v>66</v>
          </cell>
          <cell r="K479">
            <v>0</v>
          </cell>
          <cell r="L479">
            <v>7</v>
          </cell>
          <cell r="M479">
            <v>0</v>
          </cell>
          <cell r="N479">
            <v>0</v>
          </cell>
          <cell r="O479">
            <v>7</v>
          </cell>
          <cell r="P479">
            <v>0</v>
          </cell>
          <cell r="Q479">
            <v>0</v>
          </cell>
          <cell r="R479">
            <v>0</v>
          </cell>
          <cell r="S479">
            <v>297</v>
          </cell>
          <cell r="T479">
            <v>7</v>
          </cell>
        </row>
        <row r="480">
          <cell r="C480" t="str">
            <v>Creston town, Washington</v>
          </cell>
          <cell r="D480">
            <v>4</v>
          </cell>
          <cell r="E480">
            <v>4</v>
          </cell>
          <cell r="F480">
            <v>4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4</v>
          </cell>
          <cell r="T480">
            <v>0</v>
          </cell>
        </row>
        <row r="481">
          <cell r="C481" t="str">
            <v>Cusick town, Washington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C482" t="str">
            <v>Custer CDP, Washington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C483" t="str">
            <v>Dallesport CDP, Washington</v>
          </cell>
          <cell r="D483">
            <v>4</v>
          </cell>
          <cell r="E483">
            <v>4</v>
          </cell>
          <cell r="F483">
            <v>0</v>
          </cell>
          <cell r="G483">
            <v>4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4</v>
          </cell>
          <cell r="T483">
            <v>0</v>
          </cell>
        </row>
        <row r="484">
          <cell r="C484" t="str">
            <v>Darrington town, Washington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</row>
        <row r="485">
          <cell r="C485" t="str">
            <v>Davenport city, Washington</v>
          </cell>
          <cell r="D485">
            <v>4</v>
          </cell>
          <cell r="E485">
            <v>4</v>
          </cell>
          <cell r="F485">
            <v>0</v>
          </cell>
          <cell r="G485">
            <v>4</v>
          </cell>
          <cell r="H485">
            <v>0</v>
          </cell>
          <cell r="I485">
            <v>1</v>
          </cell>
          <cell r="J485">
            <v>3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4</v>
          </cell>
          <cell r="T485">
            <v>0</v>
          </cell>
        </row>
        <row r="486">
          <cell r="C486" t="str">
            <v>Dayton city, Washington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</row>
        <row r="487">
          <cell r="C487" t="str">
            <v>Deer Park city, Washington</v>
          </cell>
          <cell r="D487">
            <v>4</v>
          </cell>
          <cell r="E487">
            <v>4</v>
          </cell>
          <cell r="F487">
            <v>1</v>
          </cell>
          <cell r="G487">
            <v>3</v>
          </cell>
          <cell r="H487">
            <v>0</v>
          </cell>
          <cell r="I487">
            <v>0</v>
          </cell>
          <cell r="J487">
            <v>0</v>
          </cell>
          <cell r="K487">
            <v>3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4</v>
          </cell>
          <cell r="T487">
            <v>0</v>
          </cell>
        </row>
        <row r="488">
          <cell r="C488" t="str">
            <v>Deming CDP, Washington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</row>
        <row r="489">
          <cell r="C489" t="str">
            <v>Desert Aire CDP, Washington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</row>
        <row r="490">
          <cell r="C490" t="str">
            <v>Des Moines city, Washington</v>
          </cell>
          <cell r="D490">
            <v>2164</v>
          </cell>
          <cell r="E490">
            <v>2027</v>
          </cell>
          <cell r="F490">
            <v>1210</v>
          </cell>
          <cell r="G490">
            <v>738</v>
          </cell>
          <cell r="H490">
            <v>11</v>
          </cell>
          <cell r="I490">
            <v>216</v>
          </cell>
          <cell r="J490">
            <v>348</v>
          </cell>
          <cell r="K490">
            <v>163</v>
          </cell>
          <cell r="L490">
            <v>79</v>
          </cell>
          <cell r="M490">
            <v>37</v>
          </cell>
          <cell r="N490">
            <v>0</v>
          </cell>
          <cell r="O490">
            <v>42</v>
          </cell>
          <cell r="P490">
            <v>137</v>
          </cell>
          <cell r="Q490">
            <v>69</v>
          </cell>
          <cell r="R490">
            <v>68</v>
          </cell>
          <cell r="S490">
            <v>1948</v>
          </cell>
          <cell r="T490">
            <v>216</v>
          </cell>
        </row>
        <row r="491">
          <cell r="C491" t="str">
            <v>Dishman CDP, Washington</v>
          </cell>
          <cell r="D491">
            <v>46</v>
          </cell>
          <cell r="E491">
            <v>46</v>
          </cell>
          <cell r="F491">
            <v>11</v>
          </cell>
          <cell r="G491">
            <v>35</v>
          </cell>
          <cell r="H491">
            <v>0</v>
          </cell>
          <cell r="I491">
            <v>0</v>
          </cell>
          <cell r="J491">
            <v>15</v>
          </cell>
          <cell r="K491">
            <v>20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46</v>
          </cell>
          <cell r="T491">
            <v>0</v>
          </cell>
        </row>
        <row r="492">
          <cell r="C492" t="str">
            <v>Dixie CDP, Washington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</row>
        <row r="493">
          <cell r="C493" t="str">
            <v>Dollar Corner CDP, Washington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</row>
        <row r="494">
          <cell r="C494" t="str">
            <v>DuPont city, Washington</v>
          </cell>
          <cell r="D494">
            <v>207</v>
          </cell>
          <cell r="E494">
            <v>207</v>
          </cell>
          <cell r="F494">
            <v>41</v>
          </cell>
          <cell r="G494">
            <v>153</v>
          </cell>
          <cell r="H494">
            <v>17</v>
          </cell>
          <cell r="I494">
            <v>35</v>
          </cell>
          <cell r="J494">
            <v>98</v>
          </cell>
          <cell r="K494">
            <v>3</v>
          </cell>
          <cell r="L494">
            <v>13</v>
          </cell>
          <cell r="M494">
            <v>0</v>
          </cell>
          <cell r="N494">
            <v>0</v>
          </cell>
          <cell r="O494">
            <v>13</v>
          </cell>
          <cell r="P494">
            <v>0</v>
          </cell>
          <cell r="Q494">
            <v>0</v>
          </cell>
          <cell r="R494">
            <v>0</v>
          </cell>
          <cell r="S494">
            <v>194</v>
          </cell>
          <cell r="T494">
            <v>13</v>
          </cell>
        </row>
        <row r="495">
          <cell r="C495" t="str">
            <v>Duvall city, Washington</v>
          </cell>
          <cell r="D495">
            <v>138</v>
          </cell>
          <cell r="E495">
            <v>138</v>
          </cell>
          <cell r="F495">
            <v>36</v>
          </cell>
          <cell r="G495">
            <v>102</v>
          </cell>
          <cell r="H495">
            <v>14</v>
          </cell>
          <cell r="I495">
            <v>32</v>
          </cell>
          <cell r="J495">
            <v>56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138</v>
          </cell>
          <cell r="T495">
            <v>0</v>
          </cell>
        </row>
        <row r="496">
          <cell r="C496" t="str">
            <v>East Cathlamet CDP, Washington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</row>
        <row r="497">
          <cell r="C497" t="str">
            <v>Eastgate CDP, Washington</v>
          </cell>
          <cell r="D497">
            <v>59</v>
          </cell>
          <cell r="E497">
            <v>59</v>
          </cell>
          <cell r="F497">
            <v>0</v>
          </cell>
          <cell r="G497">
            <v>59</v>
          </cell>
          <cell r="H497">
            <v>5</v>
          </cell>
          <cell r="I497">
            <v>11</v>
          </cell>
          <cell r="J497">
            <v>43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59</v>
          </cell>
          <cell r="T497">
            <v>0</v>
          </cell>
        </row>
        <row r="498">
          <cell r="C498" t="str">
            <v>East Hill-Meridian CDP, Washington</v>
          </cell>
          <cell r="D498">
            <v>1325</v>
          </cell>
          <cell r="E498">
            <v>1143</v>
          </cell>
          <cell r="F498">
            <v>643</v>
          </cell>
          <cell r="G498">
            <v>492</v>
          </cell>
          <cell r="H498">
            <v>126</v>
          </cell>
          <cell r="I498">
            <v>105</v>
          </cell>
          <cell r="J498">
            <v>166</v>
          </cell>
          <cell r="K498">
            <v>95</v>
          </cell>
          <cell r="L498">
            <v>8</v>
          </cell>
          <cell r="M498">
            <v>0</v>
          </cell>
          <cell r="N498">
            <v>0</v>
          </cell>
          <cell r="O498">
            <v>8</v>
          </cell>
          <cell r="P498">
            <v>182</v>
          </cell>
          <cell r="Q498">
            <v>72</v>
          </cell>
          <cell r="R498">
            <v>110</v>
          </cell>
          <cell r="S498">
            <v>1135</v>
          </cell>
          <cell r="T498">
            <v>190</v>
          </cell>
        </row>
        <row r="499">
          <cell r="C499" t="str">
            <v>Easton CDP, Washington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</row>
        <row r="500">
          <cell r="C500" t="str">
            <v>East Port Orchard CDP, Washington</v>
          </cell>
          <cell r="D500">
            <v>193</v>
          </cell>
          <cell r="E500">
            <v>193</v>
          </cell>
          <cell r="F500">
            <v>60</v>
          </cell>
          <cell r="G500">
            <v>133</v>
          </cell>
          <cell r="H500">
            <v>0</v>
          </cell>
          <cell r="I500">
            <v>60</v>
          </cell>
          <cell r="J500">
            <v>64</v>
          </cell>
          <cell r="K500">
            <v>9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193</v>
          </cell>
          <cell r="T500">
            <v>0</v>
          </cell>
        </row>
        <row r="501">
          <cell r="C501" t="str">
            <v>East Renton Highlands CDP, Washington</v>
          </cell>
          <cell r="D501">
            <v>249</v>
          </cell>
          <cell r="E501">
            <v>203</v>
          </cell>
          <cell r="F501">
            <v>49</v>
          </cell>
          <cell r="G501">
            <v>141</v>
          </cell>
          <cell r="H501">
            <v>3</v>
          </cell>
          <cell r="I501">
            <v>29</v>
          </cell>
          <cell r="J501">
            <v>71</v>
          </cell>
          <cell r="K501">
            <v>38</v>
          </cell>
          <cell r="L501">
            <v>13</v>
          </cell>
          <cell r="M501">
            <v>0</v>
          </cell>
          <cell r="N501">
            <v>0</v>
          </cell>
          <cell r="O501">
            <v>13</v>
          </cell>
          <cell r="P501">
            <v>46</v>
          </cell>
          <cell r="Q501">
            <v>16</v>
          </cell>
          <cell r="R501">
            <v>30</v>
          </cell>
          <cell r="S501">
            <v>190</v>
          </cell>
          <cell r="T501">
            <v>59</v>
          </cell>
        </row>
        <row r="502">
          <cell r="C502" t="str">
            <v>East Wenatchee city, Washington</v>
          </cell>
          <cell r="D502">
            <v>16</v>
          </cell>
          <cell r="E502">
            <v>16</v>
          </cell>
          <cell r="F502">
            <v>0</v>
          </cell>
          <cell r="G502">
            <v>16</v>
          </cell>
          <cell r="H502">
            <v>0</v>
          </cell>
          <cell r="I502">
            <v>0</v>
          </cell>
          <cell r="J502">
            <v>0</v>
          </cell>
          <cell r="K502">
            <v>16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16</v>
          </cell>
          <cell r="T502">
            <v>0</v>
          </cell>
        </row>
        <row r="503">
          <cell r="C503" t="str">
            <v>East Wenatchee Bench CDP, Washington</v>
          </cell>
          <cell r="D503">
            <v>75</v>
          </cell>
          <cell r="E503">
            <v>52</v>
          </cell>
          <cell r="F503">
            <v>45</v>
          </cell>
          <cell r="G503">
            <v>7</v>
          </cell>
          <cell r="H503">
            <v>0</v>
          </cell>
          <cell r="I503">
            <v>0</v>
          </cell>
          <cell r="J503">
            <v>0</v>
          </cell>
          <cell r="K503">
            <v>7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23</v>
          </cell>
          <cell r="Q503">
            <v>7</v>
          </cell>
          <cell r="R503">
            <v>16</v>
          </cell>
          <cell r="S503">
            <v>52</v>
          </cell>
          <cell r="T503">
            <v>23</v>
          </cell>
        </row>
        <row r="504">
          <cell r="C504" t="str">
            <v>Eatonville town, Washington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</row>
        <row r="505">
          <cell r="C505" t="str">
            <v>Echo Lake CDP, Washington</v>
          </cell>
          <cell r="D505">
            <v>6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6</v>
          </cell>
          <cell r="Q505">
            <v>0</v>
          </cell>
          <cell r="R505">
            <v>6</v>
          </cell>
          <cell r="S505">
            <v>0</v>
          </cell>
          <cell r="T505">
            <v>6</v>
          </cell>
        </row>
        <row r="506">
          <cell r="C506" t="str">
            <v>Edgewood city, Washington</v>
          </cell>
          <cell r="D506">
            <v>50</v>
          </cell>
          <cell r="E506">
            <v>50</v>
          </cell>
          <cell r="F506">
            <v>19</v>
          </cell>
          <cell r="G506">
            <v>31</v>
          </cell>
          <cell r="H506">
            <v>0</v>
          </cell>
          <cell r="I506">
            <v>0</v>
          </cell>
          <cell r="J506">
            <v>13</v>
          </cell>
          <cell r="K506">
            <v>18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50</v>
          </cell>
          <cell r="T506">
            <v>0</v>
          </cell>
        </row>
        <row r="507">
          <cell r="C507" t="str">
            <v>Edison CDP, Washington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</row>
        <row r="508">
          <cell r="C508" t="str">
            <v>Edmonds city, Washington</v>
          </cell>
          <cell r="D508">
            <v>389</v>
          </cell>
          <cell r="E508">
            <v>304</v>
          </cell>
          <cell r="F508">
            <v>72</v>
          </cell>
          <cell r="G508">
            <v>227</v>
          </cell>
          <cell r="H508">
            <v>102</v>
          </cell>
          <cell r="I508">
            <v>28</v>
          </cell>
          <cell r="J508">
            <v>54</v>
          </cell>
          <cell r="K508">
            <v>43</v>
          </cell>
          <cell r="L508">
            <v>5</v>
          </cell>
          <cell r="M508">
            <v>0</v>
          </cell>
          <cell r="N508">
            <v>0</v>
          </cell>
          <cell r="O508">
            <v>5</v>
          </cell>
          <cell r="P508">
            <v>85</v>
          </cell>
          <cell r="Q508">
            <v>49</v>
          </cell>
          <cell r="R508">
            <v>36</v>
          </cell>
          <cell r="S508">
            <v>299</v>
          </cell>
          <cell r="T508">
            <v>90</v>
          </cell>
        </row>
        <row r="509">
          <cell r="C509" t="str">
            <v>Elbe CDP, Washington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</row>
        <row r="510">
          <cell r="C510" t="str">
            <v>Electric City town, Washington</v>
          </cell>
          <cell r="D510">
            <v>3</v>
          </cell>
          <cell r="E510">
            <v>3</v>
          </cell>
          <cell r="F510">
            <v>3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</v>
          </cell>
          <cell r="T510">
            <v>0</v>
          </cell>
        </row>
        <row r="511">
          <cell r="C511" t="str">
            <v>Elk Plain CDP, Washington</v>
          </cell>
          <cell r="D511">
            <v>862</v>
          </cell>
          <cell r="E511">
            <v>855</v>
          </cell>
          <cell r="F511">
            <v>211</v>
          </cell>
          <cell r="G511">
            <v>555</v>
          </cell>
          <cell r="H511">
            <v>44</v>
          </cell>
          <cell r="I511">
            <v>112</v>
          </cell>
          <cell r="J511">
            <v>263</v>
          </cell>
          <cell r="K511">
            <v>136</v>
          </cell>
          <cell r="L511">
            <v>89</v>
          </cell>
          <cell r="M511">
            <v>0</v>
          </cell>
          <cell r="N511">
            <v>0</v>
          </cell>
          <cell r="O511">
            <v>89</v>
          </cell>
          <cell r="P511">
            <v>7</v>
          </cell>
          <cell r="Q511">
            <v>7</v>
          </cell>
          <cell r="R511">
            <v>0</v>
          </cell>
          <cell r="S511">
            <v>766</v>
          </cell>
          <cell r="T511">
            <v>96</v>
          </cell>
        </row>
        <row r="512">
          <cell r="C512" t="str">
            <v>Ellensburg city, Washington</v>
          </cell>
          <cell r="D512">
            <v>218</v>
          </cell>
          <cell r="E512">
            <v>218</v>
          </cell>
          <cell r="F512">
            <v>96</v>
          </cell>
          <cell r="G512">
            <v>118</v>
          </cell>
          <cell r="H512">
            <v>10</v>
          </cell>
          <cell r="I512">
            <v>48</v>
          </cell>
          <cell r="J512">
            <v>31</v>
          </cell>
          <cell r="K512">
            <v>29</v>
          </cell>
          <cell r="L512">
            <v>4</v>
          </cell>
          <cell r="M512">
            <v>0</v>
          </cell>
          <cell r="N512">
            <v>0</v>
          </cell>
          <cell r="O512">
            <v>4</v>
          </cell>
          <cell r="P512">
            <v>0</v>
          </cell>
          <cell r="Q512">
            <v>0</v>
          </cell>
          <cell r="R512">
            <v>0</v>
          </cell>
          <cell r="S512">
            <v>214</v>
          </cell>
          <cell r="T512">
            <v>4</v>
          </cell>
        </row>
        <row r="513">
          <cell r="C513" t="str">
            <v>Elma city, Washington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</row>
        <row r="514">
          <cell r="C514" t="str">
            <v>Elmer City town, Washington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</row>
        <row r="515">
          <cell r="C515" t="str">
            <v>Endicott town, Washington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</row>
        <row r="516">
          <cell r="C516" t="str">
            <v>Entiat city, Washington</v>
          </cell>
          <cell r="D516">
            <v>3</v>
          </cell>
          <cell r="E516">
            <v>1</v>
          </cell>
          <cell r="F516">
            <v>0</v>
          </cell>
          <cell r="G516">
            <v>1</v>
          </cell>
          <cell r="H516">
            <v>0</v>
          </cell>
          <cell r="I516">
            <v>0</v>
          </cell>
          <cell r="J516">
            <v>0</v>
          </cell>
          <cell r="K516">
            <v>1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2</v>
          </cell>
          <cell r="Q516">
            <v>0</v>
          </cell>
          <cell r="R516">
            <v>2</v>
          </cell>
          <cell r="S516">
            <v>1</v>
          </cell>
          <cell r="T516">
            <v>2</v>
          </cell>
        </row>
        <row r="517">
          <cell r="C517" t="str">
            <v>Enumclaw city, Washington</v>
          </cell>
          <cell r="D517">
            <v>85</v>
          </cell>
          <cell r="E517">
            <v>85</v>
          </cell>
          <cell r="F517">
            <v>40</v>
          </cell>
          <cell r="G517">
            <v>45</v>
          </cell>
          <cell r="H517">
            <v>0</v>
          </cell>
          <cell r="I517">
            <v>8</v>
          </cell>
          <cell r="J517">
            <v>22</v>
          </cell>
          <cell r="K517">
            <v>15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85</v>
          </cell>
          <cell r="T517">
            <v>0</v>
          </cell>
        </row>
        <row r="518">
          <cell r="C518" t="str">
            <v>Ephrata city, Washington</v>
          </cell>
          <cell r="D518">
            <v>20</v>
          </cell>
          <cell r="E518">
            <v>20</v>
          </cell>
          <cell r="F518">
            <v>11</v>
          </cell>
          <cell r="G518">
            <v>9</v>
          </cell>
          <cell r="H518">
            <v>0</v>
          </cell>
          <cell r="I518">
            <v>0</v>
          </cell>
          <cell r="J518">
            <v>0</v>
          </cell>
          <cell r="K518">
            <v>9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20</v>
          </cell>
          <cell r="T518">
            <v>0</v>
          </cell>
        </row>
        <row r="519">
          <cell r="C519" t="str">
            <v>Erlands Point-Kitsap Lake CDP, Washington</v>
          </cell>
          <cell r="D519">
            <v>13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13</v>
          </cell>
          <cell r="Q519">
            <v>13</v>
          </cell>
          <cell r="R519">
            <v>0</v>
          </cell>
          <cell r="S519">
            <v>0</v>
          </cell>
          <cell r="T519">
            <v>13</v>
          </cell>
        </row>
        <row r="520">
          <cell r="C520" t="str">
            <v>Eschbach CDP, Washington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</row>
        <row r="521">
          <cell r="C521" t="str">
            <v>Esperance CDP, Washington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</row>
        <row r="522">
          <cell r="C522" t="str">
            <v>Everett city, Washington</v>
          </cell>
          <cell r="D522">
            <v>2867</v>
          </cell>
          <cell r="E522">
            <v>2629</v>
          </cell>
          <cell r="F522">
            <v>669</v>
          </cell>
          <cell r="G522">
            <v>1881</v>
          </cell>
          <cell r="H522">
            <v>174</v>
          </cell>
          <cell r="I522">
            <v>497</v>
          </cell>
          <cell r="J522">
            <v>789</v>
          </cell>
          <cell r="K522">
            <v>421</v>
          </cell>
          <cell r="L522">
            <v>79</v>
          </cell>
          <cell r="M522">
            <v>0</v>
          </cell>
          <cell r="N522">
            <v>15</v>
          </cell>
          <cell r="O522">
            <v>64</v>
          </cell>
          <cell r="P522">
            <v>238</v>
          </cell>
          <cell r="Q522">
            <v>77</v>
          </cell>
          <cell r="R522">
            <v>161</v>
          </cell>
          <cell r="S522">
            <v>2550</v>
          </cell>
          <cell r="T522">
            <v>317</v>
          </cell>
        </row>
        <row r="523">
          <cell r="C523" t="str">
            <v>Everson city, Washington</v>
          </cell>
          <cell r="D523">
            <v>17</v>
          </cell>
          <cell r="E523">
            <v>17</v>
          </cell>
          <cell r="F523">
            <v>1</v>
          </cell>
          <cell r="G523">
            <v>14</v>
          </cell>
          <cell r="H523">
            <v>0</v>
          </cell>
          <cell r="I523">
            <v>3</v>
          </cell>
          <cell r="J523">
            <v>3</v>
          </cell>
          <cell r="K523">
            <v>8</v>
          </cell>
          <cell r="L523">
            <v>2</v>
          </cell>
          <cell r="M523">
            <v>0</v>
          </cell>
          <cell r="N523">
            <v>0</v>
          </cell>
          <cell r="O523">
            <v>2</v>
          </cell>
          <cell r="P523">
            <v>0</v>
          </cell>
          <cell r="Q523">
            <v>0</v>
          </cell>
          <cell r="R523">
            <v>0</v>
          </cell>
          <cell r="S523">
            <v>15</v>
          </cell>
          <cell r="T523">
            <v>2</v>
          </cell>
        </row>
        <row r="524">
          <cell r="C524" t="str">
            <v>Fairchild AFB CDP, Washington</v>
          </cell>
          <cell r="D524">
            <v>339</v>
          </cell>
          <cell r="E524">
            <v>326</v>
          </cell>
          <cell r="F524">
            <v>31</v>
          </cell>
          <cell r="G524">
            <v>270</v>
          </cell>
          <cell r="H524">
            <v>44</v>
          </cell>
          <cell r="I524">
            <v>46</v>
          </cell>
          <cell r="J524">
            <v>130</v>
          </cell>
          <cell r="K524">
            <v>50</v>
          </cell>
          <cell r="L524">
            <v>25</v>
          </cell>
          <cell r="M524">
            <v>0</v>
          </cell>
          <cell r="N524">
            <v>0</v>
          </cell>
          <cell r="O524">
            <v>25</v>
          </cell>
          <cell r="P524">
            <v>13</v>
          </cell>
          <cell r="Q524">
            <v>8</v>
          </cell>
          <cell r="R524">
            <v>5</v>
          </cell>
          <cell r="S524">
            <v>301</v>
          </cell>
          <cell r="T524">
            <v>38</v>
          </cell>
        </row>
        <row r="525">
          <cell r="C525" t="str">
            <v>Fairfield town, Washington</v>
          </cell>
          <cell r="D525">
            <v>1</v>
          </cell>
          <cell r="E525">
            <v>1</v>
          </cell>
          <cell r="F525">
            <v>0</v>
          </cell>
          <cell r="G525">
            <v>1</v>
          </cell>
          <cell r="H525">
            <v>0</v>
          </cell>
          <cell r="I525">
            <v>0</v>
          </cell>
          <cell r="J525">
            <v>1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</v>
          </cell>
          <cell r="T525">
            <v>0</v>
          </cell>
        </row>
        <row r="526">
          <cell r="C526" t="str">
            <v>Fairwood CDP, Washington</v>
          </cell>
          <cell r="D526">
            <v>32</v>
          </cell>
          <cell r="E526">
            <v>32</v>
          </cell>
          <cell r="F526">
            <v>6</v>
          </cell>
          <cell r="G526">
            <v>26</v>
          </cell>
          <cell r="H526">
            <v>0</v>
          </cell>
          <cell r="I526">
            <v>0</v>
          </cell>
          <cell r="J526">
            <v>16</v>
          </cell>
          <cell r="K526">
            <v>10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32</v>
          </cell>
          <cell r="T526">
            <v>0</v>
          </cell>
        </row>
        <row r="527">
          <cell r="C527" t="str">
            <v>Fall City CDP, Washington</v>
          </cell>
          <cell r="D527">
            <v>20</v>
          </cell>
          <cell r="E527">
            <v>14</v>
          </cell>
          <cell r="F527">
            <v>0</v>
          </cell>
          <cell r="G527">
            <v>14</v>
          </cell>
          <cell r="H527">
            <v>0</v>
          </cell>
          <cell r="I527">
            <v>0</v>
          </cell>
          <cell r="J527">
            <v>14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</v>
          </cell>
          <cell r="Q527">
            <v>6</v>
          </cell>
          <cell r="R527">
            <v>0</v>
          </cell>
          <cell r="S527">
            <v>14</v>
          </cell>
          <cell r="T527">
            <v>6</v>
          </cell>
        </row>
        <row r="528">
          <cell r="C528" t="str">
            <v>Farmington town, Washington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</row>
        <row r="529">
          <cell r="C529" t="str">
            <v>Federal Way city, Washington</v>
          </cell>
          <cell r="D529">
            <v>6240</v>
          </cell>
          <cell r="E529">
            <v>5814</v>
          </cell>
          <cell r="F529">
            <v>2387</v>
          </cell>
          <cell r="G529">
            <v>3319</v>
          </cell>
          <cell r="H529">
            <v>205</v>
          </cell>
          <cell r="I529">
            <v>675</v>
          </cell>
          <cell r="J529">
            <v>1627</v>
          </cell>
          <cell r="K529">
            <v>812</v>
          </cell>
          <cell r="L529">
            <v>108</v>
          </cell>
          <cell r="M529">
            <v>7</v>
          </cell>
          <cell r="N529">
            <v>0</v>
          </cell>
          <cell r="O529">
            <v>101</v>
          </cell>
          <cell r="P529">
            <v>426</v>
          </cell>
          <cell r="Q529">
            <v>135</v>
          </cell>
          <cell r="R529">
            <v>291</v>
          </cell>
          <cell r="S529">
            <v>5706</v>
          </cell>
          <cell r="T529">
            <v>534</v>
          </cell>
        </row>
        <row r="530">
          <cell r="C530" t="str">
            <v>Felida CDP, Washington</v>
          </cell>
          <cell r="D530">
            <v>36</v>
          </cell>
          <cell r="E530">
            <v>28</v>
          </cell>
          <cell r="F530">
            <v>0</v>
          </cell>
          <cell r="G530">
            <v>28</v>
          </cell>
          <cell r="H530">
            <v>0</v>
          </cell>
          <cell r="I530">
            <v>0</v>
          </cell>
          <cell r="J530">
            <v>9</v>
          </cell>
          <cell r="K530">
            <v>19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8</v>
          </cell>
          <cell r="Q530">
            <v>8</v>
          </cell>
          <cell r="R530">
            <v>0</v>
          </cell>
          <cell r="S530">
            <v>28</v>
          </cell>
          <cell r="T530">
            <v>8</v>
          </cell>
        </row>
        <row r="531">
          <cell r="C531" t="str">
            <v>Ferndale city, Washington</v>
          </cell>
          <cell r="D531">
            <v>6</v>
          </cell>
          <cell r="E531">
            <v>6</v>
          </cell>
          <cell r="F531">
            <v>0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6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6</v>
          </cell>
          <cell r="T531">
            <v>0</v>
          </cell>
        </row>
        <row r="532">
          <cell r="C532" t="str">
            <v>Fife city, Washington</v>
          </cell>
          <cell r="D532">
            <v>272</v>
          </cell>
          <cell r="E532">
            <v>267</v>
          </cell>
          <cell r="F532">
            <v>101</v>
          </cell>
          <cell r="G532">
            <v>162</v>
          </cell>
          <cell r="H532">
            <v>9</v>
          </cell>
          <cell r="I532">
            <v>20</v>
          </cell>
          <cell r="J532">
            <v>104</v>
          </cell>
          <cell r="K532">
            <v>29</v>
          </cell>
          <cell r="L532">
            <v>4</v>
          </cell>
          <cell r="M532">
            <v>0</v>
          </cell>
          <cell r="N532">
            <v>0</v>
          </cell>
          <cell r="O532">
            <v>4</v>
          </cell>
          <cell r="P532">
            <v>5</v>
          </cell>
          <cell r="Q532">
            <v>2</v>
          </cell>
          <cell r="R532">
            <v>3</v>
          </cell>
          <cell r="S532">
            <v>263</v>
          </cell>
          <cell r="T532">
            <v>9</v>
          </cell>
        </row>
        <row r="533">
          <cell r="C533" t="str">
            <v>Finley CDP, Washington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</row>
        <row r="534">
          <cell r="C534" t="str">
            <v>Fircrest city, Washington</v>
          </cell>
          <cell r="D534">
            <v>229</v>
          </cell>
          <cell r="E534">
            <v>229</v>
          </cell>
          <cell r="F534">
            <v>84</v>
          </cell>
          <cell r="G534">
            <v>145</v>
          </cell>
          <cell r="H534">
            <v>0</v>
          </cell>
          <cell r="I534">
            <v>0</v>
          </cell>
          <cell r="J534">
            <v>145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229</v>
          </cell>
          <cell r="T534">
            <v>0</v>
          </cell>
        </row>
        <row r="535">
          <cell r="C535" t="str">
            <v>Five Corners CDP, Washington</v>
          </cell>
          <cell r="D535">
            <v>289</v>
          </cell>
          <cell r="E535">
            <v>254</v>
          </cell>
          <cell r="F535">
            <v>74</v>
          </cell>
          <cell r="G535">
            <v>161</v>
          </cell>
          <cell r="H535">
            <v>30</v>
          </cell>
          <cell r="I535">
            <v>0</v>
          </cell>
          <cell r="J535">
            <v>32</v>
          </cell>
          <cell r="K535">
            <v>99</v>
          </cell>
          <cell r="L535">
            <v>19</v>
          </cell>
          <cell r="M535">
            <v>0</v>
          </cell>
          <cell r="N535">
            <v>0</v>
          </cell>
          <cell r="O535">
            <v>19</v>
          </cell>
          <cell r="P535">
            <v>35</v>
          </cell>
          <cell r="Q535">
            <v>30</v>
          </cell>
          <cell r="R535">
            <v>5</v>
          </cell>
          <cell r="S535">
            <v>235</v>
          </cell>
          <cell r="T535">
            <v>54</v>
          </cell>
        </row>
        <row r="536">
          <cell r="C536" t="str">
            <v>Fords Prairie CDP, Washington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</row>
        <row r="537">
          <cell r="C537" t="str">
            <v>Forks city, Washington</v>
          </cell>
          <cell r="D537">
            <v>12</v>
          </cell>
          <cell r="E537">
            <v>12</v>
          </cell>
          <cell r="F537">
            <v>12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12</v>
          </cell>
          <cell r="T537">
            <v>0</v>
          </cell>
        </row>
        <row r="538">
          <cell r="C538" t="str">
            <v>Fort Lewis CDP, Washington</v>
          </cell>
          <cell r="D538">
            <v>3864</v>
          </cell>
          <cell r="E538">
            <v>3687</v>
          </cell>
          <cell r="F538">
            <v>346</v>
          </cell>
          <cell r="G538">
            <v>3076</v>
          </cell>
          <cell r="H538">
            <v>287</v>
          </cell>
          <cell r="I538">
            <v>451</v>
          </cell>
          <cell r="J538">
            <v>1991</v>
          </cell>
          <cell r="K538">
            <v>347</v>
          </cell>
          <cell r="L538">
            <v>265</v>
          </cell>
          <cell r="M538">
            <v>12</v>
          </cell>
          <cell r="N538">
            <v>7</v>
          </cell>
          <cell r="O538">
            <v>246</v>
          </cell>
          <cell r="P538">
            <v>177</v>
          </cell>
          <cell r="Q538">
            <v>75</v>
          </cell>
          <cell r="R538">
            <v>102</v>
          </cell>
          <cell r="S538">
            <v>3422</v>
          </cell>
          <cell r="T538">
            <v>442</v>
          </cell>
        </row>
        <row r="539">
          <cell r="C539" t="str">
            <v>Fox Island CDP, Washington</v>
          </cell>
          <cell r="D539">
            <v>53</v>
          </cell>
          <cell r="E539">
            <v>53</v>
          </cell>
          <cell r="F539">
            <v>35</v>
          </cell>
          <cell r="G539">
            <v>18</v>
          </cell>
          <cell r="H539">
            <v>9</v>
          </cell>
          <cell r="I539">
            <v>0</v>
          </cell>
          <cell r="J539">
            <v>0</v>
          </cell>
          <cell r="K539">
            <v>9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53</v>
          </cell>
          <cell r="T539">
            <v>0</v>
          </cell>
        </row>
        <row r="540">
          <cell r="C540" t="str">
            <v>Frederickson CDP, Washington</v>
          </cell>
          <cell r="D540">
            <v>217</v>
          </cell>
          <cell r="E540">
            <v>217</v>
          </cell>
          <cell r="F540">
            <v>71</v>
          </cell>
          <cell r="G540">
            <v>133</v>
          </cell>
          <cell r="H540">
            <v>0</v>
          </cell>
          <cell r="I540">
            <v>42</v>
          </cell>
          <cell r="J540">
            <v>81</v>
          </cell>
          <cell r="K540">
            <v>10</v>
          </cell>
          <cell r="L540">
            <v>13</v>
          </cell>
          <cell r="M540">
            <v>0</v>
          </cell>
          <cell r="N540">
            <v>0</v>
          </cell>
          <cell r="O540">
            <v>13</v>
          </cell>
          <cell r="P540">
            <v>0</v>
          </cell>
          <cell r="Q540">
            <v>0</v>
          </cell>
          <cell r="R540">
            <v>0</v>
          </cell>
          <cell r="S540">
            <v>204</v>
          </cell>
          <cell r="T540">
            <v>13</v>
          </cell>
        </row>
        <row r="541">
          <cell r="C541" t="str">
            <v>Freeland CDP, Washington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C542" t="str">
            <v>Friday Harbor town, Washington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</row>
        <row r="543">
          <cell r="C543" t="str">
            <v>Garfield town, Washington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</row>
        <row r="544">
          <cell r="C544" t="str">
            <v>Garrett CDP, Washington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</row>
        <row r="545">
          <cell r="C545" t="str">
            <v>Geneva CDP, Washington</v>
          </cell>
          <cell r="D545">
            <v>10</v>
          </cell>
          <cell r="E545">
            <v>10</v>
          </cell>
          <cell r="F545">
            <v>0</v>
          </cell>
          <cell r="G545">
            <v>10</v>
          </cell>
          <cell r="H545">
            <v>0</v>
          </cell>
          <cell r="I545">
            <v>0</v>
          </cell>
          <cell r="J545">
            <v>0</v>
          </cell>
          <cell r="K545">
            <v>10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10</v>
          </cell>
          <cell r="T545">
            <v>0</v>
          </cell>
        </row>
        <row r="546">
          <cell r="C546" t="str">
            <v>George city, Washington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</row>
        <row r="547">
          <cell r="C547" t="str">
            <v>Gig Harbor city, Washington</v>
          </cell>
          <cell r="D547">
            <v>104</v>
          </cell>
          <cell r="E547">
            <v>104</v>
          </cell>
          <cell r="F547">
            <v>49</v>
          </cell>
          <cell r="G547">
            <v>44</v>
          </cell>
          <cell r="H547">
            <v>0</v>
          </cell>
          <cell r="I547">
            <v>16</v>
          </cell>
          <cell r="J547">
            <v>28</v>
          </cell>
          <cell r="K547">
            <v>0</v>
          </cell>
          <cell r="L547">
            <v>11</v>
          </cell>
          <cell r="M547">
            <v>0</v>
          </cell>
          <cell r="N547">
            <v>0</v>
          </cell>
          <cell r="O547">
            <v>11</v>
          </cell>
          <cell r="P547">
            <v>0</v>
          </cell>
          <cell r="Q547">
            <v>0</v>
          </cell>
          <cell r="R547">
            <v>0</v>
          </cell>
          <cell r="S547">
            <v>93</v>
          </cell>
          <cell r="T547">
            <v>11</v>
          </cell>
        </row>
        <row r="548">
          <cell r="C548" t="str">
            <v>Glacier CDP, Washington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</row>
        <row r="549">
          <cell r="C549" t="str">
            <v>Gleed CDP, Washington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</row>
        <row r="550">
          <cell r="C550" t="str">
            <v>Gold Bar city, Washington</v>
          </cell>
          <cell r="D550">
            <v>2</v>
          </cell>
          <cell r="E550">
            <v>2</v>
          </cell>
          <cell r="F550">
            <v>0</v>
          </cell>
          <cell r="G550">
            <v>2</v>
          </cell>
          <cell r="H550">
            <v>0</v>
          </cell>
          <cell r="I550">
            <v>2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</v>
          </cell>
          <cell r="T550">
            <v>0</v>
          </cell>
        </row>
        <row r="551">
          <cell r="C551" t="str">
            <v>Goldendale city, Washington</v>
          </cell>
          <cell r="D551">
            <v>10</v>
          </cell>
          <cell r="E551">
            <v>10</v>
          </cell>
          <cell r="F551">
            <v>0</v>
          </cell>
          <cell r="G551">
            <v>10</v>
          </cell>
          <cell r="H551">
            <v>0</v>
          </cell>
          <cell r="I551">
            <v>0</v>
          </cell>
          <cell r="J551">
            <v>10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10</v>
          </cell>
          <cell r="T551">
            <v>0</v>
          </cell>
        </row>
        <row r="552">
          <cell r="C552" t="str">
            <v>Graham CDP, Washington</v>
          </cell>
          <cell r="D552">
            <v>221</v>
          </cell>
          <cell r="E552">
            <v>221</v>
          </cell>
          <cell r="F552">
            <v>79</v>
          </cell>
          <cell r="G552">
            <v>134</v>
          </cell>
          <cell r="H552">
            <v>31</v>
          </cell>
          <cell r="I552">
            <v>23</v>
          </cell>
          <cell r="J552">
            <v>73</v>
          </cell>
          <cell r="K552">
            <v>7</v>
          </cell>
          <cell r="L552">
            <v>8</v>
          </cell>
          <cell r="M552">
            <v>0</v>
          </cell>
          <cell r="N552">
            <v>0</v>
          </cell>
          <cell r="O552">
            <v>8</v>
          </cell>
          <cell r="P552">
            <v>0</v>
          </cell>
          <cell r="Q552">
            <v>0</v>
          </cell>
          <cell r="R552">
            <v>0</v>
          </cell>
          <cell r="S552">
            <v>213</v>
          </cell>
          <cell r="T552">
            <v>8</v>
          </cell>
        </row>
        <row r="553">
          <cell r="C553" t="str">
            <v>Grand Coulee city, Washington</v>
          </cell>
          <cell r="D553">
            <v>11</v>
          </cell>
          <cell r="E553">
            <v>11</v>
          </cell>
          <cell r="F553">
            <v>7</v>
          </cell>
          <cell r="G553">
            <v>4</v>
          </cell>
          <cell r="H553">
            <v>0</v>
          </cell>
          <cell r="I553">
            <v>0</v>
          </cell>
          <cell r="J553">
            <v>4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11</v>
          </cell>
          <cell r="T553">
            <v>0</v>
          </cell>
        </row>
        <row r="554">
          <cell r="C554" t="str">
            <v>Grand Mound CDP, Washington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C555" t="str">
            <v>Grandview city, Washington</v>
          </cell>
          <cell r="D555">
            <v>37</v>
          </cell>
          <cell r="E555">
            <v>15</v>
          </cell>
          <cell r="F555">
            <v>7</v>
          </cell>
          <cell r="G555">
            <v>8</v>
          </cell>
          <cell r="H555">
            <v>0</v>
          </cell>
          <cell r="I555">
            <v>0</v>
          </cell>
          <cell r="J555">
            <v>0</v>
          </cell>
          <cell r="K555">
            <v>8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22</v>
          </cell>
          <cell r="Q555">
            <v>22</v>
          </cell>
          <cell r="R555">
            <v>0</v>
          </cell>
          <cell r="S555">
            <v>15</v>
          </cell>
          <cell r="T555">
            <v>22</v>
          </cell>
        </row>
        <row r="556">
          <cell r="C556" t="str">
            <v>Granger town, Washington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</row>
        <row r="557">
          <cell r="C557" t="str">
            <v>Granite Falls city, Washington</v>
          </cell>
          <cell r="D557">
            <v>10</v>
          </cell>
          <cell r="E557">
            <v>10</v>
          </cell>
          <cell r="F557">
            <v>5</v>
          </cell>
          <cell r="G557">
            <v>5</v>
          </cell>
          <cell r="H557">
            <v>0</v>
          </cell>
          <cell r="I557">
            <v>0</v>
          </cell>
          <cell r="J557">
            <v>5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10</v>
          </cell>
          <cell r="T557">
            <v>0</v>
          </cell>
        </row>
        <row r="558">
          <cell r="C558" t="str">
            <v>Grayland CDP, Washington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</row>
        <row r="559">
          <cell r="C559" t="str">
            <v>Green Acres CDP, Washington</v>
          </cell>
          <cell r="D559">
            <v>23</v>
          </cell>
          <cell r="E559">
            <v>23</v>
          </cell>
          <cell r="F559">
            <v>0</v>
          </cell>
          <cell r="G559">
            <v>23</v>
          </cell>
          <cell r="H559">
            <v>0</v>
          </cell>
          <cell r="I559">
            <v>9</v>
          </cell>
          <cell r="J559">
            <v>7</v>
          </cell>
          <cell r="K559">
            <v>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23</v>
          </cell>
          <cell r="T559">
            <v>0</v>
          </cell>
        </row>
        <row r="560">
          <cell r="C560" t="str">
            <v>Greenwater CDP, Washington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</row>
        <row r="561">
          <cell r="C561" t="str">
            <v>Hamilton town, Washington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</row>
        <row r="562">
          <cell r="C562" t="str">
            <v>Harrah town, Washington</v>
          </cell>
          <cell r="D562">
            <v>4</v>
          </cell>
          <cell r="E562">
            <v>4</v>
          </cell>
          <cell r="F562">
            <v>0</v>
          </cell>
          <cell r="G562">
            <v>4</v>
          </cell>
          <cell r="H562">
            <v>0</v>
          </cell>
          <cell r="I562">
            <v>4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4</v>
          </cell>
          <cell r="T562">
            <v>0</v>
          </cell>
        </row>
        <row r="563">
          <cell r="C563" t="str">
            <v>Harrington city, Washington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C564" t="str">
            <v>Hartline town, Washington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</row>
        <row r="565">
          <cell r="C565" t="str">
            <v>Hatton town, Washington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</row>
        <row r="566">
          <cell r="C566" t="str">
            <v>Hazel Dell North CDP, Washington</v>
          </cell>
          <cell r="D566">
            <v>137</v>
          </cell>
          <cell r="E566">
            <v>137</v>
          </cell>
          <cell r="F566">
            <v>15</v>
          </cell>
          <cell r="G566">
            <v>122</v>
          </cell>
          <cell r="H566">
            <v>0</v>
          </cell>
          <cell r="I566">
            <v>26</v>
          </cell>
          <cell r="J566">
            <v>10</v>
          </cell>
          <cell r="K566">
            <v>86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137</v>
          </cell>
          <cell r="T566">
            <v>0</v>
          </cell>
        </row>
        <row r="567">
          <cell r="C567" t="str">
            <v>Hazel Dell South CDP, Washington</v>
          </cell>
          <cell r="D567">
            <v>218</v>
          </cell>
          <cell r="E567">
            <v>218</v>
          </cell>
          <cell r="F567">
            <v>18</v>
          </cell>
          <cell r="G567">
            <v>200</v>
          </cell>
          <cell r="H567">
            <v>0</v>
          </cell>
          <cell r="I567">
            <v>28</v>
          </cell>
          <cell r="J567">
            <v>52</v>
          </cell>
          <cell r="K567">
            <v>120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218</v>
          </cell>
          <cell r="T567">
            <v>0</v>
          </cell>
        </row>
        <row r="568">
          <cell r="C568" t="str">
            <v>Highland CDP, Washington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C569" t="str">
            <v>Hobart CDP, Washington</v>
          </cell>
          <cell r="D569">
            <v>35</v>
          </cell>
          <cell r="E569">
            <v>35</v>
          </cell>
          <cell r="F569">
            <v>9</v>
          </cell>
          <cell r="G569">
            <v>21</v>
          </cell>
          <cell r="H569">
            <v>0</v>
          </cell>
          <cell r="I569">
            <v>6</v>
          </cell>
          <cell r="J569">
            <v>15</v>
          </cell>
          <cell r="K569">
            <v>0</v>
          </cell>
          <cell r="L569">
            <v>5</v>
          </cell>
          <cell r="M569">
            <v>0</v>
          </cell>
          <cell r="N569">
            <v>0</v>
          </cell>
          <cell r="O569">
            <v>5</v>
          </cell>
          <cell r="P569">
            <v>0</v>
          </cell>
          <cell r="Q569">
            <v>0</v>
          </cell>
          <cell r="R569">
            <v>0</v>
          </cell>
          <cell r="S569">
            <v>30</v>
          </cell>
          <cell r="T569">
            <v>5</v>
          </cell>
        </row>
        <row r="570">
          <cell r="C570" t="str">
            <v>Hockinson CDP, Washington</v>
          </cell>
          <cell r="D570">
            <v>12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12</v>
          </cell>
          <cell r="Q570">
            <v>0</v>
          </cell>
          <cell r="R570">
            <v>12</v>
          </cell>
          <cell r="S570">
            <v>0</v>
          </cell>
          <cell r="T570">
            <v>12</v>
          </cell>
        </row>
        <row r="571">
          <cell r="C571" t="str">
            <v>Hoquiam city, Washington</v>
          </cell>
          <cell r="D571">
            <v>38</v>
          </cell>
          <cell r="E571">
            <v>38</v>
          </cell>
          <cell r="F571">
            <v>17</v>
          </cell>
          <cell r="G571">
            <v>21</v>
          </cell>
          <cell r="H571">
            <v>4</v>
          </cell>
          <cell r="I571">
            <v>7</v>
          </cell>
          <cell r="J571">
            <v>5</v>
          </cell>
          <cell r="K571">
            <v>5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38</v>
          </cell>
          <cell r="T571">
            <v>0</v>
          </cell>
        </row>
        <row r="572">
          <cell r="C572" t="str">
            <v>Humptulips CDP, Washington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</row>
        <row r="573">
          <cell r="C573" t="str">
            <v>Hunts Point town, Washington</v>
          </cell>
          <cell r="D573">
            <v>3</v>
          </cell>
          <cell r="E573">
            <v>3</v>
          </cell>
          <cell r="F573">
            <v>0</v>
          </cell>
          <cell r="G573">
            <v>3</v>
          </cell>
          <cell r="H573">
            <v>0</v>
          </cell>
          <cell r="I573">
            <v>0</v>
          </cell>
          <cell r="J573">
            <v>0</v>
          </cell>
          <cell r="K573">
            <v>3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3</v>
          </cell>
          <cell r="T573">
            <v>0</v>
          </cell>
        </row>
        <row r="574">
          <cell r="C574" t="str">
            <v>Ilwaco city, Washington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C575" t="str">
            <v>Inchelium CDP, Washington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C576" t="str">
            <v>Index town, Washington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</row>
        <row r="577">
          <cell r="C577" t="str">
            <v>Indianola CDP, Washington</v>
          </cell>
          <cell r="D577">
            <v>13</v>
          </cell>
          <cell r="E577">
            <v>13</v>
          </cell>
          <cell r="F577">
            <v>7</v>
          </cell>
          <cell r="G577">
            <v>6</v>
          </cell>
          <cell r="H577">
            <v>0</v>
          </cell>
          <cell r="I577">
            <v>0</v>
          </cell>
          <cell r="J577">
            <v>0</v>
          </cell>
          <cell r="K577">
            <v>6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13</v>
          </cell>
          <cell r="T577">
            <v>0</v>
          </cell>
        </row>
        <row r="578">
          <cell r="C578" t="str">
            <v>Inglewood-Finn Hill CDP, Washington</v>
          </cell>
          <cell r="D578">
            <v>189</v>
          </cell>
          <cell r="E578">
            <v>189</v>
          </cell>
          <cell r="F578">
            <v>90</v>
          </cell>
          <cell r="G578">
            <v>94</v>
          </cell>
          <cell r="H578">
            <v>0</v>
          </cell>
          <cell r="I578">
            <v>0</v>
          </cell>
          <cell r="J578">
            <v>79</v>
          </cell>
          <cell r="K578">
            <v>15</v>
          </cell>
          <cell r="L578">
            <v>5</v>
          </cell>
          <cell r="M578">
            <v>0</v>
          </cell>
          <cell r="N578">
            <v>5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184</v>
          </cell>
          <cell r="T578">
            <v>5</v>
          </cell>
        </row>
        <row r="579">
          <cell r="C579" t="str">
            <v>Ione town, Washington</v>
          </cell>
          <cell r="D579">
            <v>4</v>
          </cell>
          <cell r="E579">
            <v>4</v>
          </cell>
          <cell r="F579">
            <v>0</v>
          </cell>
          <cell r="G579">
            <v>4</v>
          </cell>
          <cell r="H579">
            <v>0</v>
          </cell>
          <cell r="I579">
            <v>0</v>
          </cell>
          <cell r="J579">
            <v>0</v>
          </cell>
          <cell r="K579">
            <v>4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4</v>
          </cell>
          <cell r="T579">
            <v>0</v>
          </cell>
        </row>
        <row r="580">
          <cell r="C580" t="str">
            <v>Issaquah city, Washington</v>
          </cell>
          <cell r="D580">
            <v>49</v>
          </cell>
          <cell r="E580">
            <v>42</v>
          </cell>
          <cell r="F580">
            <v>8</v>
          </cell>
          <cell r="G580">
            <v>26</v>
          </cell>
          <cell r="H580">
            <v>5</v>
          </cell>
          <cell r="I580">
            <v>1</v>
          </cell>
          <cell r="J580">
            <v>0</v>
          </cell>
          <cell r="K580">
            <v>20</v>
          </cell>
          <cell r="L580">
            <v>8</v>
          </cell>
          <cell r="M580">
            <v>0</v>
          </cell>
          <cell r="N580">
            <v>0</v>
          </cell>
          <cell r="O580">
            <v>8</v>
          </cell>
          <cell r="P580">
            <v>7</v>
          </cell>
          <cell r="Q580">
            <v>7</v>
          </cell>
          <cell r="R580">
            <v>0</v>
          </cell>
          <cell r="S580">
            <v>34</v>
          </cell>
          <cell r="T580">
            <v>15</v>
          </cell>
        </row>
        <row r="581">
          <cell r="C581" t="str">
            <v>John Sam Lake CDP, Washington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C582" t="str">
            <v>Jordan Road-Canyon Creek CDP, Washington</v>
          </cell>
          <cell r="D582">
            <v>28</v>
          </cell>
          <cell r="E582">
            <v>28</v>
          </cell>
          <cell r="F582">
            <v>4</v>
          </cell>
          <cell r="G582">
            <v>24</v>
          </cell>
          <cell r="H582">
            <v>0</v>
          </cell>
          <cell r="I582">
            <v>0</v>
          </cell>
          <cell r="J582">
            <v>24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</v>
          </cell>
          <cell r="T582">
            <v>0</v>
          </cell>
        </row>
        <row r="583">
          <cell r="C583" t="str">
            <v>Junction City CDP, Washington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</row>
        <row r="584">
          <cell r="C584" t="str">
            <v>Kahlotus city, Washington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</row>
        <row r="585">
          <cell r="C585" t="str">
            <v>Kalama city, Washington</v>
          </cell>
          <cell r="D585">
            <v>22</v>
          </cell>
          <cell r="E585">
            <v>22</v>
          </cell>
          <cell r="F585">
            <v>0</v>
          </cell>
          <cell r="G585">
            <v>22</v>
          </cell>
          <cell r="H585">
            <v>13</v>
          </cell>
          <cell r="I585">
            <v>0</v>
          </cell>
          <cell r="J585">
            <v>2</v>
          </cell>
          <cell r="K585">
            <v>7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22</v>
          </cell>
          <cell r="T585">
            <v>0</v>
          </cell>
        </row>
        <row r="586">
          <cell r="C586" t="str">
            <v>Kelso city, Washington</v>
          </cell>
          <cell r="D586">
            <v>59</v>
          </cell>
          <cell r="E586">
            <v>59</v>
          </cell>
          <cell r="F586">
            <v>9</v>
          </cell>
          <cell r="G586">
            <v>50</v>
          </cell>
          <cell r="H586">
            <v>6</v>
          </cell>
          <cell r="I586">
            <v>5</v>
          </cell>
          <cell r="J586">
            <v>19</v>
          </cell>
          <cell r="K586">
            <v>20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59</v>
          </cell>
          <cell r="T586">
            <v>0</v>
          </cell>
        </row>
        <row r="587">
          <cell r="C587" t="str">
            <v>Kendall CDP, Washington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</row>
        <row r="588">
          <cell r="C588" t="str">
            <v>Kenmore city, Washington</v>
          </cell>
          <cell r="D588">
            <v>140</v>
          </cell>
          <cell r="E588">
            <v>117</v>
          </cell>
          <cell r="F588">
            <v>49</v>
          </cell>
          <cell r="G588">
            <v>68</v>
          </cell>
          <cell r="H588">
            <v>6</v>
          </cell>
          <cell r="I588">
            <v>33</v>
          </cell>
          <cell r="J588">
            <v>19</v>
          </cell>
          <cell r="K588">
            <v>10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23</v>
          </cell>
          <cell r="Q588">
            <v>11</v>
          </cell>
          <cell r="R588">
            <v>12</v>
          </cell>
          <cell r="S588">
            <v>117</v>
          </cell>
          <cell r="T588">
            <v>23</v>
          </cell>
        </row>
        <row r="589">
          <cell r="C589" t="str">
            <v>Kennewick city, Washington</v>
          </cell>
          <cell r="D589">
            <v>668</v>
          </cell>
          <cell r="E589">
            <v>609</v>
          </cell>
          <cell r="F589">
            <v>268</v>
          </cell>
          <cell r="G589">
            <v>337</v>
          </cell>
          <cell r="H589">
            <v>25</v>
          </cell>
          <cell r="I589">
            <v>28</v>
          </cell>
          <cell r="J589">
            <v>211</v>
          </cell>
          <cell r="K589">
            <v>73</v>
          </cell>
          <cell r="L589">
            <v>4</v>
          </cell>
          <cell r="M589">
            <v>0</v>
          </cell>
          <cell r="N589">
            <v>0</v>
          </cell>
          <cell r="O589">
            <v>4</v>
          </cell>
          <cell r="P589">
            <v>59</v>
          </cell>
          <cell r="Q589">
            <v>13</v>
          </cell>
          <cell r="R589">
            <v>46</v>
          </cell>
          <cell r="S589">
            <v>605</v>
          </cell>
          <cell r="T589">
            <v>63</v>
          </cell>
        </row>
        <row r="590">
          <cell r="C590" t="str">
            <v>Kent city, Washington</v>
          </cell>
          <cell r="D590">
            <v>6386</v>
          </cell>
          <cell r="E590">
            <v>5702</v>
          </cell>
          <cell r="F590">
            <v>2868</v>
          </cell>
          <cell r="G590">
            <v>2807</v>
          </cell>
          <cell r="H590">
            <v>179</v>
          </cell>
          <cell r="I590">
            <v>553</v>
          </cell>
          <cell r="J590">
            <v>1427</v>
          </cell>
          <cell r="K590">
            <v>648</v>
          </cell>
          <cell r="L590">
            <v>27</v>
          </cell>
          <cell r="M590">
            <v>0</v>
          </cell>
          <cell r="N590">
            <v>0</v>
          </cell>
          <cell r="O590">
            <v>27</v>
          </cell>
          <cell r="P590">
            <v>684</v>
          </cell>
          <cell r="Q590">
            <v>150</v>
          </cell>
          <cell r="R590">
            <v>534</v>
          </cell>
          <cell r="S590">
            <v>5675</v>
          </cell>
          <cell r="T590">
            <v>711</v>
          </cell>
        </row>
        <row r="591">
          <cell r="C591" t="str">
            <v>Kettle Falls city, Washington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</row>
        <row r="592">
          <cell r="C592" t="str">
            <v>Kingsgate CDP, Washington</v>
          </cell>
          <cell r="D592">
            <v>60</v>
          </cell>
          <cell r="E592">
            <v>53</v>
          </cell>
          <cell r="F592">
            <v>5</v>
          </cell>
          <cell r="G592">
            <v>48</v>
          </cell>
          <cell r="H592">
            <v>18</v>
          </cell>
          <cell r="I592">
            <v>7</v>
          </cell>
          <cell r="J592">
            <v>16</v>
          </cell>
          <cell r="K592">
            <v>7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7</v>
          </cell>
          <cell r="Q592">
            <v>0</v>
          </cell>
          <cell r="R592">
            <v>7</v>
          </cell>
          <cell r="S592">
            <v>53</v>
          </cell>
          <cell r="T592">
            <v>7</v>
          </cell>
        </row>
        <row r="593">
          <cell r="C593" t="str">
            <v>Kingston CDP, Washington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</row>
        <row r="594">
          <cell r="C594" t="str">
            <v>Kirkland city, Washington</v>
          </cell>
          <cell r="D594">
            <v>558</v>
          </cell>
          <cell r="E594">
            <v>519</v>
          </cell>
          <cell r="F594">
            <v>195</v>
          </cell>
          <cell r="G594">
            <v>324</v>
          </cell>
          <cell r="H594">
            <v>35</v>
          </cell>
          <cell r="I594">
            <v>63</v>
          </cell>
          <cell r="J594">
            <v>166</v>
          </cell>
          <cell r="K594">
            <v>60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39</v>
          </cell>
          <cell r="Q594">
            <v>6</v>
          </cell>
          <cell r="R594">
            <v>33</v>
          </cell>
          <cell r="S594">
            <v>519</v>
          </cell>
          <cell r="T594">
            <v>39</v>
          </cell>
        </row>
        <row r="595">
          <cell r="C595" t="str">
            <v>Kittitas city, Washington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</row>
        <row r="596">
          <cell r="C596" t="str">
            <v>Klickitat CDP, Washington</v>
          </cell>
          <cell r="D596">
            <v>12</v>
          </cell>
          <cell r="E596">
            <v>7</v>
          </cell>
          <cell r="F596">
            <v>0</v>
          </cell>
          <cell r="G596">
            <v>7</v>
          </cell>
          <cell r="H596">
            <v>0</v>
          </cell>
          <cell r="I596">
            <v>0</v>
          </cell>
          <cell r="J596">
            <v>3</v>
          </cell>
          <cell r="K596">
            <v>4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5</v>
          </cell>
          <cell r="Q596">
            <v>5</v>
          </cell>
          <cell r="R596">
            <v>0</v>
          </cell>
          <cell r="S596">
            <v>7</v>
          </cell>
          <cell r="T596">
            <v>5</v>
          </cell>
        </row>
        <row r="597">
          <cell r="C597" t="str">
            <v>Krupp town, Washington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</row>
        <row r="598">
          <cell r="C598" t="str">
            <v>La Center city, Washington</v>
          </cell>
          <cell r="D598">
            <v>7</v>
          </cell>
          <cell r="E598">
            <v>7</v>
          </cell>
          <cell r="F598">
            <v>1</v>
          </cell>
          <cell r="G598">
            <v>6</v>
          </cell>
          <cell r="H598">
            <v>0</v>
          </cell>
          <cell r="I598">
            <v>3</v>
          </cell>
          <cell r="J598">
            <v>0</v>
          </cell>
          <cell r="K598">
            <v>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7</v>
          </cell>
          <cell r="T598">
            <v>0</v>
          </cell>
        </row>
        <row r="599">
          <cell r="C599" t="str">
            <v>Lacey city, Washington</v>
          </cell>
          <cell r="D599">
            <v>1297</v>
          </cell>
          <cell r="E599">
            <v>1255</v>
          </cell>
          <cell r="F599">
            <v>275</v>
          </cell>
          <cell r="G599">
            <v>921</v>
          </cell>
          <cell r="H599">
            <v>37</v>
          </cell>
          <cell r="I599">
            <v>151</v>
          </cell>
          <cell r="J599">
            <v>624</v>
          </cell>
          <cell r="K599">
            <v>109</v>
          </cell>
          <cell r="L599">
            <v>59</v>
          </cell>
          <cell r="M599">
            <v>0</v>
          </cell>
          <cell r="N599">
            <v>0</v>
          </cell>
          <cell r="O599">
            <v>59</v>
          </cell>
          <cell r="P599">
            <v>42</v>
          </cell>
          <cell r="Q599">
            <v>23</v>
          </cell>
          <cell r="R599">
            <v>19</v>
          </cell>
          <cell r="S599">
            <v>1196</v>
          </cell>
          <cell r="T599">
            <v>101</v>
          </cell>
        </row>
        <row r="600">
          <cell r="C600" t="str">
            <v>La Conner town, Washington</v>
          </cell>
          <cell r="D600">
            <v>25</v>
          </cell>
          <cell r="E600">
            <v>25</v>
          </cell>
          <cell r="F600">
            <v>7</v>
          </cell>
          <cell r="G600">
            <v>18</v>
          </cell>
          <cell r="H600">
            <v>7</v>
          </cell>
          <cell r="I600">
            <v>0</v>
          </cell>
          <cell r="J600">
            <v>11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25</v>
          </cell>
          <cell r="T600">
            <v>0</v>
          </cell>
        </row>
        <row r="601">
          <cell r="C601" t="str">
            <v>La Crosse town, Washington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</row>
        <row r="602">
          <cell r="C602" t="str">
            <v>Lake Bosworth CDP, Washington</v>
          </cell>
          <cell r="D602">
            <v>5</v>
          </cell>
          <cell r="E602">
            <v>5</v>
          </cell>
          <cell r="F602">
            <v>5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5</v>
          </cell>
          <cell r="T602">
            <v>0</v>
          </cell>
        </row>
        <row r="603">
          <cell r="C603" t="str">
            <v>Lake Cavanaugh CDP, Washington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</row>
        <row r="604">
          <cell r="C604" t="str">
            <v>Lake Forest Park city, Washington</v>
          </cell>
          <cell r="D604">
            <v>200</v>
          </cell>
          <cell r="E604">
            <v>153</v>
          </cell>
          <cell r="F604">
            <v>7</v>
          </cell>
          <cell r="G604">
            <v>126</v>
          </cell>
          <cell r="H604">
            <v>49</v>
          </cell>
          <cell r="I604">
            <v>33</v>
          </cell>
          <cell r="J604">
            <v>31</v>
          </cell>
          <cell r="K604">
            <v>13</v>
          </cell>
          <cell r="L604">
            <v>20</v>
          </cell>
          <cell r="M604">
            <v>0</v>
          </cell>
          <cell r="N604">
            <v>0</v>
          </cell>
          <cell r="O604">
            <v>20</v>
          </cell>
          <cell r="P604">
            <v>47</v>
          </cell>
          <cell r="Q604">
            <v>5</v>
          </cell>
          <cell r="R604">
            <v>42</v>
          </cell>
          <cell r="S604">
            <v>133</v>
          </cell>
          <cell r="T604">
            <v>67</v>
          </cell>
        </row>
        <row r="605">
          <cell r="C605" t="str">
            <v>Lake Goodwin CDP, Washington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</row>
        <row r="606">
          <cell r="C606" t="str">
            <v>Lake Ketchum CDP, Washington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</row>
        <row r="607">
          <cell r="C607" t="str">
            <v>Lakeland North CDP, Washington</v>
          </cell>
          <cell r="D607">
            <v>595</v>
          </cell>
          <cell r="E607">
            <v>570</v>
          </cell>
          <cell r="F607">
            <v>307</v>
          </cell>
          <cell r="G607">
            <v>253</v>
          </cell>
          <cell r="H607">
            <v>6</v>
          </cell>
          <cell r="I607">
            <v>91</v>
          </cell>
          <cell r="J607">
            <v>96</v>
          </cell>
          <cell r="K607">
            <v>60</v>
          </cell>
          <cell r="L607">
            <v>10</v>
          </cell>
          <cell r="M607">
            <v>0</v>
          </cell>
          <cell r="N607">
            <v>0</v>
          </cell>
          <cell r="O607">
            <v>10</v>
          </cell>
          <cell r="P607">
            <v>25</v>
          </cell>
          <cell r="Q607">
            <v>25</v>
          </cell>
          <cell r="R607">
            <v>0</v>
          </cell>
          <cell r="S607">
            <v>560</v>
          </cell>
          <cell r="T607">
            <v>35</v>
          </cell>
        </row>
        <row r="608">
          <cell r="C608" t="str">
            <v>Lakeland South CDP, Washington</v>
          </cell>
          <cell r="D608">
            <v>435</v>
          </cell>
          <cell r="E608">
            <v>413</v>
          </cell>
          <cell r="F608">
            <v>119</v>
          </cell>
          <cell r="G608">
            <v>294</v>
          </cell>
          <cell r="H608">
            <v>0</v>
          </cell>
          <cell r="I608">
            <v>69</v>
          </cell>
          <cell r="J608">
            <v>179</v>
          </cell>
          <cell r="K608">
            <v>46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22</v>
          </cell>
          <cell r="Q608">
            <v>22</v>
          </cell>
          <cell r="R608">
            <v>0</v>
          </cell>
          <cell r="S608">
            <v>413</v>
          </cell>
          <cell r="T608">
            <v>22</v>
          </cell>
        </row>
        <row r="609">
          <cell r="C609" t="str">
            <v>Lake McMurray CDP, Washington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</row>
        <row r="610">
          <cell r="C610" t="str">
            <v>Lake Marcel-Stillwater CDP, Washington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</row>
        <row r="611">
          <cell r="C611" t="str">
            <v>Lake Morton-Berrydale CDP, Washington</v>
          </cell>
          <cell r="D611">
            <v>115</v>
          </cell>
          <cell r="E611">
            <v>115</v>
          </cell>
          <cell r="F611">
            <v>44</v>
          </cell>
          <cell r="G611">
            <v>71</v>
          </cell>
          <cell r="H611">
            <v>15</v>
          </cell>
          <cell r="I611">
            <v>0</v>
          </cell>
          <cell r="J611">
            <v>50</v>
          </cell>
          <cell r="K611">
            <v>6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115</v>
          </cell>
          <cell r="T611">
            <v>0</v>
          </cell>
        </row>
        <row r="612">
          <cell r="C612" t="str">
            <v>Lake Roesiger CDP, Washington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</row>
        <row r="613">
          <cell r="C613" t="str">
            <v>Lake Shore CDP, Washington</v>
          </cell>
          <cell r="D613">
            <v>73</v>
          </cell>
          <cell r="E613">
            <v>62</v>
          </cell>
          <cell r="F613">
            <v>22</v>
          </cell>
          <cell r="G613">
            <v>35</v>
          </cell>
          <cell r="H613">
            <v>0</v>
          </cell>
          <cell r="I613">
            <v>5</v>
          </cell>
          <cell r="J613">
            <v>0</v>
          </cell>
          <cell r="K613">
            <v>30</v>
          </cell>
          <cell r="L613">
            <v>5</v>
          </cell>
          <cell r="M613">
            <v>0</v>
          </cell>
          <cell r="N613">
            <v>0</v>
          </cell>
          <cell r="O613">
            <v>5</v>
          </cell>
          <cell r="P613">
            <v>11</v>
          </cell>
          <cell r="Q613">
            <v>11</v>
          </cell>
          <cell r="R613">
            <v>0</v>
          </cell>
          <cell r="S613">
            <v>57</v>
          </cell>
          <cell r="T613">
            <v>16</v>
          </cell>
        </row>
        <row r="614">
          <cell r="C614" t="str">
            <v>Lake Stevens city, Washington</v>
          </cell>
          <cell r="D614">
            <v>48</v>
          </cell>
          <cell r="E614">
            <v>48</v>
          </cell>
          <cell r="F614">
            <v>0</v>
          </cell>
          <cell r="G614">
            <v>48</v>
          </cell>
          <cell r="H614">
            <v>0</v>
          </cell>
          <cell r="I614">
            <v>10</v>
          </cell>
          <cell r="J614">
            <v>24</v>
          </cell>
          <cell r="K614">
            <v>14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48</v>
          </cell>
          <cell r="T614">
            <v>0</v>
          </cell>
        </row>
        <row r="615">
          <cell r="C615" t="str">
            <v>Lakeview CDP, Washington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</row>
        <row r="616">
          <cell r="C616" t="str">
            <v>Lakewood city, Washington</v>
          </cell>
          <cell r="D616">
            <v>7433</v>
          </cell>
          <cell r="E616">
            <v>7181</v>
          </cell>
          <cell r="F616">
            <v>1999</v>
          </cell>
          <cell r="G616">
            <v>4874</v>
          </cell>
          <cell r="H616">
            <v>608</v>
          </cell>
          <cell r="I616">
            <v>692</v>
          </cell>
          <cell r="J616">
            <v>2634</v>
          </cell>
          <cell r="K616">
            <v>940</v>
          </cell>
          <cell r="L616">
            <v>308</v>
          </cell>
          <cell r="M616">
            <v>20</v>
          </cell>
          <cell r="N616">
            <v>0</v>
          </cell>
          <cell r="O616">
            <v>288</v>
          </cell>
          <cell r="P616">
            <v>252</v>
          </cell>
          <cell r="Q616">
            <v>194</v>
          </cell>
          <cell r="R616">
            <v>58</v>
          </cell>
          <cell r="S616">
            <v>6873</v>
          </cell>
          <cell r="T616">
            <v>560</v>
          </cell>
        </row>
        <row r="617">
          <cell r="C617" t="str">
            <v>Lamont town, Washington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</row>
        <row r="618">
          <cell r="C618" t="str">
            <v>Langley city, Washington</v>
          </cell>
          <cell r="D618">
            <v>2</v>
          </cell>
          <cell r="E618">
            <v>2</v>
          </cell>
          <cell r="F618">
            <v>2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</v>
          </cell>
          <cell r="T618">
            <v>0</v>
          </cell>
        </row>
        <row r="619">
          <cell r="C619" t="str">
            <v>Latah town, Washington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</row>
        <row r="620">
          <cell r="C620" t="str">
            <v>Lea Hill CDP, Washington</v>
          </cell>
          <cell r="D620">
            <v>159</v>
          </cell>
          <cell r="E620">
            <v>153</v>
          </cell>
          <cell r="F620">
            <v>67</v>
          </cell>
          <cell r="G620">
            <v>86</v>
          </cell>
          <cell r="H620">
            <v>0</v>
          </cell>
          <cell r="I620">
            <v>56</v>
          </cell>
          <cell r="J620">
            <v>12</v>
          </cell>
          <cell r="K620">
            <v>18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6</v>
          </cell>
          <cell r="Q620">
            <v>6</v>
          </cell>
          <cell r="R620">
            <v>0</v>
          </cell>
          <cell r="S620">
            <v>153</v>
          </cell>
          <cell r="T620">
            <v>6</v>
          </cell>
        </row>
        <row r="621">
          <cell r="C621" t="str">
            <v>Leavenworth city, Washington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</row>
        <row r="622">
          <cell r="C622" t="str">
            <v>Lebam CDP, Washington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</row>
        <row r="623">
          <cell r="C623" t="str">
            <v>Lewisville CDP, Washington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</row>
        <row r="624">
          <cell r="C624" t="str">
            <v>Liberty Lake CDP, Washington</v>
          </cell>
          <cell r="D624">
            <v>13</v>
          </cell>
          <cell r="E624">
            <v>13</v>
          </cell>
          <cell r="F624">
            <v>8</v>
          </cell>
          <cell r="G624">
            <v>5</v>
          </cell>
          <cell r="H624">
            <v>0</v>
          </cell>
          <cell r="I624">
            <v>0</v>
          </cell>
          <cell r="J624">
            <v>0</v>
          </cell>
          <cell r="K624">
            <v>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13</v>
          </cell>
          <cell r="T624">
            <v>0</v>
          </cell>
        </row>
        <row r="625">
          <cell r="C625" t="str">
            <v>Lind town, Washington</v>
          </cell>
          <cell r="D625">
            <v>2</v>
          </cell>
          <cell r="E625">
            <v>2</v>
          </cell>
          <cell r="F625">
            <v>2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</v>
          </cell>
          <cell r="T625">
            <v>0</v>
          </cell>
        </row>
        <row r="626">
          <cell r="C626" t="str">
            <v>Lochsloy CDP, Washington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</row>
        <row r="627">
          <cell r="C627" t="str">
            <v>Long Beach city, Washington</v>
          </cell>
          <cell r="D627">
            <v>2</v>
          </cell>
          <cell r="E627">
            <v>2</v>
          </cell>
          <cell r="F627">
            <v>2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</v>
          </cell>
          <cell r="T627">
            <v>0</v>
          </cell>
        </row>
        <row r="628">
          <cell r="C628" t="str">
            <v>Longview city, Washington</v>
          </cell>
          <cell r="D628">
            <v>228</v>
          </cell>
          <cell r="E628">
            <v>204</v>
          </cell>
          <cell r="F628">
            <v>131</v>
          </cell>
          <cell r="G628">
            <v>73</v>
          </cell>
          <cell r="H628">
            <v>6</v>
          </cell>
          <cell r="I628">
            <v>28</v>
          </cell>
          <cell r="J628">
            <v>21</v>
          </cell>
          <cell r="K628">
            <v>18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24</v>
          </cell>
          <cell r="Q628">
            <v>10</v>
          </cell>
          <cell r="R628">
            <v>14</v>
          </cell>
          <cell r="S628">
            <v>204</v>
          </cell>
          <cell r="T628">
            <v>24</v>
          </cell>
        </row>
        <row r="629">
          <cell r="C629" t="str">
            <v>Longview Heights CDP, Washington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</row>
        <row r="630">
          <cell r="C630" t="str">
            <v>Lyle CDP, Washington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</row>
        <row r="631">
          <cell r="C631" t="str">
            <v>Lyman town, Washington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</row>
        <row r="632">
          <cell r="C632" t="str">
            <v>Lynden city, Washington</v>
          </cell>
          <cell r="D632">
            <v>5</v>
          </cell>
          <cell r="E632">
            <v>5</v>
          </cell>
          <cell r="F632">
            <v>0</v>
          </cell>
          <cell r="G632">
            <v>5</v>
          </cell>
          <cell r="H632">
            <v>0</v>
          </cell>
          <cell r="I632">
            <v>0</v>
          </cell>
          <cell r="J632">
            <v>5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5</v>
          </cell>
          <cell r="T632">
            <v>0</v>
          </cell>
        </row>
        <row r="633">
          <cell r="C633" t="str">
            <v>Lynnwood city, Washington</v>
          </cell>
          <cell r="D633">
            <v>1194</v>
          </cell>
          <cell r="E633">
            <v>924</v>
          </cell>
          <cell r="F633">
            <v>338</v>
          </cell>
          <cell r="G633">
            <v>586</v>
          </cell>
          <cell r="H633">
            <v>70</v>
          </cell>
          <cell r="I633">
            <v>63</v>
          </cell>
          <cell r="J633">
            <v>212</v>
          </cell>
          <cell r="K633">
            <v>241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270</v>
          </cell>
          <cell r="Q633">
            <v>107</v>
          </cell>
          <cell r="R633">
            <v>163</v>
          </cell>
          <cell r="S633">
            <v>924</v>
          </cell>
          <cell r="T633">
            <v>270</v>
          </cell>
        </row>
        <row r="634">
          <cell r="C634" t="str">
            <v>Mabton city, Washington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</row>
        <row r="635">
          <cell r="C635" t="str">
            <v>McChord AFB CDP, Washington</v>
          </cell>
          <cell r="D635">
            <v>279</v>
          </cell>
          <cell r="E635">
            <v>279</v>
          </cell>
          <cell r="F635">
            <v>34</v>
          </cell>
          <cell r="G635">
            <v>218</v>
          </cell>
          <cell r="H635">
            <v>39</v>
          </cell>
          <cell r="I635">
            <v>31</v>
          </cell>
          <cell r="J635">
            <v>86</v>
          </cell>
          <cell r="K635">
            <v>62</v>
          </cell>
          <cell r="L635">
            <v>27</v>
          </cell>
          <cell r="M635">
            <v>0</v>
          </cell>
          <cell r="N635">
            <v>0</v>
          </cell>
          <cell r="O635">
            <v>27</v>
          </cell>
          <cell r="P635">
            <v>0</v>
          </cell>
          <cell r="Q635">
            <v>0</v>
          </cell>
          <cell r="R635">
            <v>0</v>
          </cell>
          <cell r="S635">
            <v>252</v>
          </cell>
          <cell r="T635">
            <v>27</v>
          </cell>
        </row>
        <row r="636">
          <cell r="C636" t="str">
            <v>McCleary city, Washington</v>
          </cell>
          <cell r="D636">
            <v>6</v>
          </cell>
          <cell r="E636">
            <v>6</v>
          </cell>
          <cell r="F636">
            <v>0</v>
          </cell>
          <cell r="G636">
            <v>6</v>
          </cell>
          <cell r="H636">
            <v>0</v>
          </cell>
          <cell r="I636">
            <v>4</v>
          </cell>
          <cell r="J636">
            <v>0</v>
          </cell>
          <cell r="K636">
            <v>2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6</v>
          </cell>
          <cell r="T636">
            <v>0</v>
          </cell>
        </row>
        <row r="637">
          <cell r="C637" t="str">
            <v>Machias CDP, Washington</v>
          </cell>
          <cell r="D637">
            <v>29</v>
          </cell>
          <cell r="E637">
            <v>29</v>
          </cell>
          <cell r="F637">
            <v>0</v>
          </cell>
          <cell r="G637">
            <v>29</v>
          </cell>
          <cell r="H637">
            <v>0</v>
          </cell>
          <cell r="I637">
            <v>0</v>
          </cell>
          <cell r="J637">
            <v>5</v>
          </cell>
          <cell r="K637">
            <v>24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29</v>
          </cell>
          <cell r="T637">
            <v>0</v>
          </cell>
        </row>
        <row r="638">
          <cell r="C638" t="str">
            <v>Malden town, Washington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</row>
        <row r="639">
          <cell r="C639" t="str">
            <v>Malone-Porter CDP, Washington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</row>
        <row r="640">
          <cell r="C640" t="str">
            <v>Maltby CDP, Washington</v>
          </cell>
          <cell r="D640">
            <v>51</v>
          </cell>
          <cell r="E640">
            <v>51</v>
          </cell>
          <cell r="F640">
            <v>19</v>
          </cell>
          <cell r="G640">
            <v>32</v>
          </cell>
          <cell r="H640">
            <v>2</v>
          </cell>
          <cell r="I640">
            <v>4</v>
          </cell>
          <cell r="J640">
            <v>13</v>
          </cell>
          <cell r="K640">
            <v>13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51</v>
          </cell>
          <cell r="T640">
            <v>0</v>
          </cell>
        </row>
        <row r="641">
          <cell r="C641" t="str">
            <v>Manchester CDP, Washington</v>
          </cell>
          <cell r="D641">
            <v>43</v>
          </cell>
          <cell r="E641">
            <v>30</v>
          </cell>
          <cell r="F641">
            <v>0</v>
          </cell>
          <cell r="G641">
            <v>30</v>
          </cell>
          <cell r="H641">
            <v>0</v>
          </cell>
          <cell r="I641">
            <v>0</v>
          </cell>
          <cell r="J641">
            <v>30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13</v>
          </cell>
          <cell r="Q641">
            <v>0</v>
          </cell>
          <cell r="R641">
            <v>13</v>
          </cell>
          <cell r="S641">
            <v>30</v>
          </cell>
          <cell r="T641">
            <v>13</v>
          </cell>
        </row>
        <row r="642">
          <cell r="C642" t="str">
            <v>Mansfield town, Washington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</row>
        <row r="643">
          <cell r="C643" t="str">
            <v>Maple Falls CDP, Washington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</row>
        <row r="644">
          <cell r="C644" t="str">
            <v>Maple Heights-Lake Desire CDP, Washington</v>
          </cell>
          <cell r="D644">
            <v>23</v>
          </cell>
          <cell r="E644">
            <v>23</v>
          </cell>
          <cell r="F644">
            <v>9</v>
          </cell>
          <cell r="G644">
            <v>14</v>
          </cell>
          <cell r="H644">
            <v>0</v>
          </cell>
          <cell r="I644">
            <v>0</v>
          </cell>
          <cell r="J644">
            <v>14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23</v>
          </cell>
          <cell r="T644">
            <v>0</v>
          </cell>
        </row>
        <row r="645">
          <cell r="C645" t="str">
            <v>Maple Valley city, Washington</v>
          </cell>
          <cell r="D645">
            <v>98</v>
          </cell>
          <cell r="E645">
            <v>86</v>
          </cell>
          <cell r="F645">
            <v>34</v>
          </cell>
          <cell r="G645">
            <v>52</v>
          </cell>
          <cell r="H645">
            <v>6</v>
          </cell>
          <cell r="I645">
            <v>12</v>
          </cell>
          <cell r="J645">
            <v>16</v>
          </cell>
          <cell r="K645">
            <v>18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12</v>
          </cell>
          <cell r="Q645">
            <v>12</v>
          </cell>
          <cell r="R645">
            <v>0</v>
          </cell>
          <cell r="S645">
            <v>86</v>
          </cell>
          <cell r="T645">
            <v>12</v>
          </cell>
        </row>
        <row r="646">
          <cell r="C646" t="str">
            <v>Marblemount CDP, Washington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</row>
        <row r="647">
          <cell r="C647" t="str">
            <v>Marcus town, Washington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</row>
        <row r="648">
          <cell r="C648" t="str">
            <v>Marietta-Alderwood CDP, Washington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</row>
        <row r="649">
          <cell r="C649" t="str">
            <v>Markham CDP, Washington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</row>
        <row r="650">
          <cell r="C650" t="str">
            <v>Marrowstone CDP, Washington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</row>
        <row r="651">
          <cell r="C651" t="str">
            <v>Martha Lake CDP, Washington</v>
          </cell>
          <cell r="D651">
            <v>190</v>
          </cell>
          <cell r="E651">
            <v>163</v>
          </cell>
          <cell r="F651">
            <v>39</v>
          </cell>
          <cell r="G651">
            <v>119</v>
          </cell>
          <cell r="H651">
            <v>26</v>
          </cell>
          <cell r="I651">
            <v>9</v>
          </cell>
          <cell r="J651">
            <v>27</v>
          </cell>
          <cell r="K651">
            <v>57</v>
          </cell>
          <cell r="L651">
            <v>5</v>
          </cell>
          <cell r="M651">
            <v>0</v>
          </cell>
          <cell r="N651">
            <v>0</v>
          </cell>
          <cell r="O651">
            <v>5</v>
          </cell>
          <cell r="P651">
            <v>27</v>
          </cell>
          <cell r="Q651">
            <v>7</v>
          </cell>
          <cell r="R651">
            <v>20</v>
          </cell>
          <cell r="S651">
            <v>158</v>
          </cell>
          <cell r="T651">
            <v>32</v>
          </cell>
        </row>
        <row r="652">
          <cell r="C652" t="str">
            <v>Maryhill CDP, Washington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</row>
        <row r="653">
          <cell r="C653" t="str">
            <v>Marysville city, Washington</v>
          </cell>
          <cell r="D653">
            <v>264</v>
          </cell>
          <cell r="E653">
            <v>221</v>
          </cell>
          <cell r="F653">
            <v>48</v>
          </cell>
          <cell r="G653">
            <v>173</v>
          </cell>
          <cell r="H653">
            <v>21</v>
          </cell>
          <cell r="I653">
            <v>16</v>
          </cell>
          <cell r="J653">
            <v>60</v>
          </cell>
          <cell r="K653">
            <v>76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43</v>
          </cell>
          <cell r="Q653">
            <v>0</v>
          </cell>
          <cell r="R653">
            <v>43</v>
          </cell>
          <cell r="S653">
            <v>221</v>
          </cell>
          <cell r="T653">
            <v>43</v>
          </cell>
        </row>
        <row r="654">
          <cell r="C654" t="str">
            <v>Mattawa town, Washington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</row>
        <row r="655">
          <cell r="C655" t="str">
            <v>May Creek CDP, Washington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</row>
        <row r="656">
          <cell r="C656" t="str">
            <v>Meadow Glade CDP, Washington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</row>
        <row r="657">
          <cell r="C657" t="str">
            <v>Medical Lake city, Washington</v>
          </cell>
          <cell r="D657">
            <v>217</v>
          </cell>
          <cell r="E657">
            <v>217</v>
          </cell>
          <cell r="F657">
            <v>69</v>
          </cell>
          <cell r="G657">
            <v>136</v>
          </cell>
          <cell r="H657">
            <v>8</v>
          </cell>
          <cell r="I657">
            <v>73</v>
          </cell>
          <cell r="J657">
            <v>26</v>
          </cell>
          <cell r="K657">
            <v>29</v>
          </cell>
          <cell r="L657">
            <v>12</v>
          </cell>
          <cell r="M657">
            <v>0</v>
          </cell>
          <cell r="N657">
            <v>7</v>
          </cell>
          <cell r="O657">
            <v>5</v>
          </cell>
          <cell r="P657">
            <v>0</v>
          </cell>
          <cell r="Q657">
            <v>0</v>
          </cell>
          <cell r="R657">
            <v>0</v>
          </cell>
          <cell r="S657">
            <v>205</v>
          </cell>
          <cell r="T657">
            <v>12</v>
          </cell>
        </row>
        <row r="658">
          <cell r="C658" t="str">
            <v>Medina city, Washington</v>
          </cell>
          <cell r="D658">
            <v>11</v>
          </cell>
          <cell r="E658">
            <v>6</v>
          </cell>
          <cell r="F658">
            <v>0</v>
          </cell>
          <cell r="G658">
            <v>3</v>
          </cell>
          <cell r="H658">
            <v>0</v>
          </cell>
          <cell r="I658">
            <v>3</v>
          </cell>
          <cell r="J658">
            <v>0</v>
          </cell>
          <cell r="K658">
            <v>0</v>
          </cell>
          <cell r="L658">
            <v>3</v>
          </cell>
          <cell r="M658">
            <v>0</v>
          </cell>
          <cell r="N658">
            <v>0</v>
          </cell>
          <cell r="O658">
            <v>3</v>
          </cell>
          <cell r="P658">
            <v>5</v>
          </cell>
          <cell r="Q658">
            <v>5</v>
          </cell>
          <cell r="R658">
            <v>0</v>
          </cell>
          <cell r="S658">
            <v>3</v>
          </cell>
          <cell r="T658">
            <v>8</v>
          </cell>
        </row>
        <row r="659">
          <cell r="C659" t="str">
            <v>Mercer Island city, Washington</v>
          </cell>
          <cell r="D659">
            <v>305</v>
          </cell>
          <cell r="E659">
            <v>273</v>
          </cell>
          <cell r="F659">
            <v>60</v>
          </cell>
          <cell r="G659">
            <v>213</v>
          </cell>
          <cell r="H659">
            <v>6</v>
          </cell>
          <cell r="I659">
            <v>36</v>
          </cell>
          <cell r="J659">
            <v>111</v>
          </cell>
          <cell r="K659">
            <v>60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32</v>
          </cell>
          <cell r="Q659">
            <v>28</v>
          </cell>
          <cell r="R659">
            <v>4</v>
          </cell>
          <cell r="S659">
            <v>273</v>
          </cell>
          <cell r="T659">
            <v>32</v>
          </cell>
        </row>
        <row r="660">
          <cell r="C660" t="str">
            <v>Mesa city, Washington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</row>
        <row r="661">
          <cell r="C661" t="str">
            <v>Metaline town, Washington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</row>
        <row r="662">
          <cell r="C662" t="str">
            <v>Metaline Falls town, Washington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</row>
        <row r="663">
          <cell r="C663" t="str">
            <v>Midland CDP, Washington</v>
          </cell>
          <cell r="D663">
            <v>511</v>
          </cell>
          <cell r="E663">
            <v>508</v>
          </cell>
          <cell r="F663">
            <v>158</v>
          </cell>
          <cell r="G663">
            <v>350</v>
          </cell>
          <cell r="H663">
            <v>26</v>
          </cell>
          <cell r="I663">
            <v>92</v>
          </cell>
          <cell r="J663">
            <v>166</v>
          </cell>
          <cell r="K663">
            <v>66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3</v>
          </cell>
          <cell r="Q663">
            <v>3</v>
          </cell>
          <cell r="R663">
            <v>0</v>
          </cell>
          <cell r="S663">
            <v>508</v>
          </cell>
          <cell r="T663">
            <v>3</v>
          </cell>
        </row>
        <row r="664">
          <cell r="C664" t="str">
            <v>Mill Creek city, Washington</v>
          </cell>
          <cell r="D664">
            <v>115</v>
          </cell>
          <cell r="E664">
            <v>115</v>
          </cell>
          <cell r="F664">
            <v>30</v>
          </cell>
          <cell r="G664">
            <v>85</v>
          </cell>
          <cell r="H664">
            <v>14</v>
          </cell>
          <cell r="I664">
            <v>15</v>
          </cell>
          <cell r="J664">
            <v>24</v>
          </cell>
          <cell r="K664">
            <v>32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115</v>
          </cell>
          <cell r="T664">
            <v>0</v>
          </cell>
        </row>
        <row r="665">
          <cell r="C665" t="str">
            <v>Mill Plain CDP, Washington</v>
          </cell>
          <cell r="D665">
            <v>135</v>
          </cell>
          <cell r="E665">
            <v>115</v>
          </cell>
          <cell r="F665">
            <v>19</v>
          </cell>
          <cell r="G665">
            <v>96</v>
          </cell>
          <cell r="H665">
            <v>12</v>
          </cell>
          <cell r="I665">
            <v>14</v>
          </cell>
          <cell r="J665">
            <v>23</v>
          </cell>
          <cell r="K665">
            <v>47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20</v>
          </cell>
          <cell r="Q665">
            <v>0</v>
          </cell>
          <cell r="R665">
            <v>20</v>
          </cell>
          <cell r="S665">
            <v>115</v>
          </cell>
          <cell r="T665">
            <v>20</v>
          </cell>
        </row>
        <row r="666">
          <cell r="C666" t="str">
            <v>Millwood town, Washington</v>
          </cell>
          <cell r="D666">
            <v>10</v>
          </cell>
          <cell r="E666">
            <v>10</v>
          </cell>
          <cell r="F666">
            <v>5</v>
          </cell>
          <cell r="G666">
            <v>5</v>
          </cell>
          <cell r="H666">
            <v>0</v>
          </cell>
          <cell r="I666">
            <v>0</v>
          </cell>
          <cell r="J666">
            <v>5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10</v>
          </cell>
          <cell r="T666">
            <v>0</v>
          </cell>
        </row>
        <row r="667">
          <cell r="C667" t="str">
            <v>Milton city, Washington</v>
          </cell>
          <cell r="D667">
            <v>54</v>
          </cell>
          <cell r="E667">
            <v>50</v>
          </cell>
          <cell r="F667">
            <v>28</v>
          </cell>
          <cell r="G667">
            <v>21</v>
          </cell>
          <cell r="H667">
            <v>0</v>
          </cell>
          <cell r="I667">
            <v>3</v>
          </cell>
          <cell r="J667">
            <v>10</v>
          </cell>
          <cell r="K667">
            <v>8</v>
          </cell>
          <cell r="L667">
            <v>1</v>
          </cell>
          <cell r="M667">
            <v>0</v>
          </cell>
          <cell r="N667">
            <v>0</v>
          </cell>
          <cell r="O667">
            <v>1</v>
          </cell>
          <cell r="P667">
            <v>4</v>
          </cell>
          <cell r="Q667">
            <v>0</v>
          </cell>
          <cell r="R667">
            <v>4</v>
          </cell>
          <cell r="S667">
            <v>49</v>
          </cell>
          <cell r="T667">
            <v>5</v>
          </cell>
        </row>
        <row r="668">
          <cell r="C668" t="str">
            <v>Minnehaha CDP, Washington</v>
          </cell>
          <cell r="D668">
            <v>87</v>
          </cell>
          <cell r="E668">
            <v>87</v>
          </cell>
          <cell r="F668">
            <v>8</v>
          </cell>
          <cell r="G668">
            <v>79</v>
          </cell>
          <cell r="H668">
            <v>26</v>
          </cell>
          <cell r="I668">
            <v>10</v>
          </cell>
          <cell r="J668">
            <v>25</v>
          </cell>
          <cell r="K668">
            <v>18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87</v>
          </cell>
          <cell r="T668">
            <v>0</v>
          </cell>
        </row>
        <row r="669">
          <cell r="C669" t="str">
            <v>Mirrormont CDP, Washington</v>
          </cell>
          <cell r="D669">
            <v>33</v>
          </cell>
          <cell r="E669">
            <v>33</v>
          </cell>
          <cell r="F669">
            <v>22</v>
          </cell>
          <cell r="G669">
            <v>11</v>
          </cell>
          <cell r="H669">
            <v>0</v>
          </cell>
          <cell r="I669">
            <v>11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33</v>
          </cell>
          <cell r="T669">
            <v>0</v>
          </cell>
        </row>
        <row r="670">
          <cell r="C670" t="str">
            <v>Moclips CDP, Washington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</row>
        <row r="671">
          <cell r="C671" t="str">
            <v>Monroe city, Washington</v>
          </cell>
          <cell r="D671">
            <v>457</v>
          </cell>
          <cell r="E671">
            <v>457</v>
          </cell>
          <cell r="F671">
            <v>196</v>
          </cell>
          <cell r="G671">
            <v>253</v>
          </cell>
          <cell r="H671">
            <v>0</v>
          </cell>
          <cell r="I671">
            <v>158</v>
          </cell>
          <cell r="J671">
            <v>10</v>
          </cell>
          <cell r="K671">
            <v>85</v>
          </cell>
          <cell r="L671">
            <v>8</v>
          </cell>
          <cell r="M671">
            <v>0</v>
          </cell>
          <cell r="N671">
            <v>0</v>
          </cell>
          <cell r="O671">
            <v>8</v>
          </cell>
          <cell r="P671">
            <v>0</v>
          </cell>
          <cell r="Q671">
            <v>0</v>
          </cell>
          <cell r="R671">
            <v>0</v>
          </cell>
          <cell r="S671">
            <v>449</v>
          </cell>
          <cell r="T671">
            <v>8</v>
          </cell>
        </row>
        <row r="672">
          <cell r="C672" t="str">
            <v>Montesano city, Washington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</row>
        <row r="673">
          <cell r="C673" t="str">
            <v>Morton city, Washington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</row>
        <row r="674">
          <cell r="C674" t="str">
            <v>Moses Lake city, Washington</v>
          </cell>
          <cell r="D674">
            <v>256</v>
          </cell>
          <cell r="E674">
            <v>220</v>
          </cell>
          <cell r="F674">
            <v>117</v>
          </cell>
          <cell r="G674">
            <v>103</v>
          </cell>
          <cell r="H674">
            <v>4</v>
          </cell>
          <cell r="I674">
            <v>10</v>
          </cell>
          <cell r="J674">
            <v>75</v>
          </cell>
          <cell r="K674">
            <v>14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36</v>
          </cell>
          <cell r="Q674">
            <v>24</v>
          </cell>
          <cell r="R674">
            <v>12</v>
          </cell>
          <cell r="S674">
            <v>220</v>
          </cell>
          <cell r="T674">
            <v>36</v>
          </cell>
        </row>
        <row r="675">
          <cell r="C675" t="str">
            <v>Moses Lake North CDP, Washington</v>
          </cell>
          <cell r="D675">
            <v>119</v>
          </cell>
          <cell r="E675">
            <v>119</v>
          </cell>
          <cell r="F675">
            <v>44</v>
          </cell>
          <cell r="G675">
            <v>75</v>
          </cell>
          <cell r="H675">
            <v>0</v>
          </cell>
          <cell r="I675">
            <v>25</v>
          </cell>
          <cell r="J675">
            <v>41</v>
          </cell>
          <cell r="K675">
            <v>9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119</v>
          </cell>
          <cell r="T675">
            <v>0</v>
          </cell>
        </row>
        <row r="676">
          <cell r="C676" t="str">
            <v>Mossyrock city, Washington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</row>
        <row r="677">
          <cell r="C677" t="str">
            <v>Mountlake Terrace city, Washington</v>
          </cell>
          <cell r="D677">
            <v>455</v>
          </cell>
          <cell r="E677">
            <v>265</v>
          </cell>
          <cell r="F677">
            <v>91</v>
          </cell>
          <cell r="G677">
            <v>174</v>
          </cell>
          <cell r="H677">
            <v>24</v>
          </cell>
          <cell r="I677">
            <v>32</v>
          </cell>
          <cell r="J677">
            <v>80</v>
          </cell>
          <cell r="K677">
            <v>38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190</v>
          </cell>
          <cell r="Q677">
            <v>117</v>
          </cell>
          <cell r="R677">
            <v>73</v>
          </cell>
          <cell r="S677">
            <v>265</v>
          </cell>
          <cell r="T677">
            <v>190</v>
          </cell>
        </row>
        <row r="678">
          <cell r="C678" t="str">
            <v>Mount Vernon city, Washington</v>
          </cell>
          <cell r="D678">
            <v>97</v>
          </cell>
          <cell r="E678">
            <v>90</v>
          </cell>
          <cell r="F678">
            <v>47</v>
          </cell>
          <cell r="G678">
            <v>43</v>
          </cell>
          <cell r="H678">
            <v>12</v>
          </cell>
          <cell r="I678">
            <v>0</v>
          </cell>
          <cell r="J678">
            <v>20</v>
          </cell>
          <cell r="K678">
            <v>11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7</v>
          </cell>
          <cell r="Q678">
            <v>0</v>
          </cell>
          <cell r="R678">
            <v>7</v>
          </cell>
          <cell r="S678">
            <v>90</v>
          </cell>
          <cell r="T678">
            <v>7</v>
          </cell>
        </row>
        <row r="679">
          <cell r="C679" t="str">
            <v>Mount Vista CDP, Washington</v>
          </cell>
          <cell r="D679">
            <v>90</v>
          </cell>
          <cell r="E679">
            <v>81</v>
          </cell>
          <cell r="F679">
            <v>9</v>
          </cell>
          <cell r="G679">
            <v>72</v>
          </cell>
          <cell r="H679">
            <v>0</v>
          </cell>
          <cell r="I679">
            <v>0</v>
          </cell>
          <cell r="J679">
            <v>27</v>
          </cell>
          <cell r="K679">
            <v>45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9</v>
          </cell>
          <cell r="Q679">
            <v>9</v>
          </cell>
          <cell r="R679">
            <v>0</v>
          </cell>
          <cell r="S679">
            <v>81</v>
          </cell>
          <cell r="T679">
            <v>9</v>
          </cell>
        </row>
        <row r="680">
          <cell r="C680" t="str">
            <v>Moxee city, Washington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</row>
        <row r="681">
          <cell r="C681" t="str">
            <v>Mukilteo city, Washington</v>
          </cell>
          <cell r="D681">
            <v>333</v>
          </cell>
          <cell r="E681">
            <v>305</v>
          </cell>
          <cell r="F681">
            <v>59</v>
          </cell>
          <cell r="G681">
            <v>233</v>
          </cell>
          <cell r="H681">
            <v>18</v>
          </cell>
          <cell r="I681">
            <v>28</v>
          </cell>
          <cell r="J681">
            <v>99</v>
          </cell>
          <cell r="K681">
            <v>88</v>
          </cell>
          <cell r="L681">
            <v>13</v>
          </cell>
          <cell r="M681">
            <v>0</v>
          </cell>
          <cell r="N681">
            <v>0</v>
          </cell>
          <cell r="O681">
            <v>13</v>
          </cell>
          <cell r="P681">
            <v>28</v>
          </cell>
          <cell r="Q681">
            <v>11</v>
          </cell>
          <cell r="R681">
            <v>17</v>
          </cell>
          <cell r="S681">
            <v>292</v>
          </cell>
          <cell r="T681">
            <v>41</v>
          </cell>
        </row>
        <row r="682">
          <cell r="C682" t="str">
            <v>Naches town, Washington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</row>
        <row r="683">
          <cell r="C683" t="str">
            <v>Napavine city, Washington</v>
          </cell>
          <cell r="D683">
            <v>2</v>
          </cell>
          <cell r="E683">
            <v>2</v>
          </cell>
          <cell r="F683">
            <v>2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</v>
          </cell>
          <cell r="T683">
            <v>0</v>
          </cell>
        </row>
        <row r="684">
          <cell r="C684" t="str">
            <v>Naselle CDP, Washington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</row>
        <row r="685">
          <cell r="C685" t="str">
            <v>Navy Yard City CDP, Washington</v>
          </cell>
          <cell r="D685">
            <v>156</v>
          </cell>
          <cell r="E685">
            <v>156</v>
          </cell>
          <cell r="F685">
            <v>58</v>
          </cell>
          <cell r="G685">
            <v>98</v>
          </cell>
          <cell r="H685">
            <v>0</v>
          </cell>
          <cell r="I685">
            <v>12</v>
          </cell>
          <cell r="J685">
            <v>39</v>
          </cell>
          <cell r="K685">
            <v>47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156</v>
          </cell>
          <cell r="T685">
            <v>0</v>
          </cell>
        </row>
        <row r="686">
          <cell r="C686" t="str">
            <v>Neah Bay CDP, Washington</v>
          </cell>
          <cell r="D686">
            <v>2</v>
          </cell>
          <cell r="E686">
            <v>2</v>
          </cell>
          <cell r="F686">
            <v>0</v>
          </cell>
          <cell r="G686">
            <v>2</v>
          </cell>
          <cell r="H686">
            <v>0</v>
          </cell>
          <cell r="I686">
            <v>0</v>
          </cell>
          <cell r="J686">
            <v>2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</v>
          </cell>
          <cell r="T686">
            <v>0</v>
          </cell>
        </row>
        <row r="687">
          <cell r="C687" t="str">
            <v>Neilton CDP, Washington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</row>
        <row r="688">
          <cell r="C688" t="str">
            <v>Nespelem town, Washington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</row>
        <row r="689">
          <cell r="C689" t="str">
            <v>Nespelem Community CDP, Washington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</row>
        <row r="690">
          <cell r="C690" t="str">
            <v>Newcastle city, Washington</v>
          </cell>
          <cell r="D690">
            <v>72</v>
          </cell>
          <cell r="E690">
            <v>65</v>
          </cell>
          <cell r="F690">
            <v>28</v>
          </cell>
          <cell r="G690">
            <v>37</v>
          </cell>
          <cell r="H690">
            <v>11</v>
          </cell>
          <cell r="I690">
            <v>22</v>
          </cell>
          <cell r="J690">
            <v>4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7</v>
          </cell>
          <cell r="Q690">
            <v>0</v>
          </cell>
          <cell r="R690">
            <v>7</v>
          </cell>
          <cell r="S690">
            <v>65</v>
          </cell>
          <cell r="T690">
            <v>7</v>
          </cell>
        </row>
        <row r="691">
          <cell r="C691" t="str">
            <v>Newport city, Washington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</row>
        <row r="692">
          <cell r="C692" t="str">
            <v>Nisqually Indian Community CDP, Washington</v>
          </cell>
          <cell r="D692">
            <v>5</v>
          </cell>
          <cell r="E692">
            <v>5</v>
          </cell>
          <cell r="F692">
            <v>0</v>
          </cell>
          <cell r="G692">
            <v>5</v>
          </cell>
          <cell r="H692">
            <v>3</v>
          </cell>
          <cell r="I692">
            <v>0</v>
          </cell>
          <cell r="J692">
            <v>2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5</v>
          </cell>
          <cell r="T692">
            <v>0</v>
          </cell>
        </row>
        <row r="693">
          <cell r="C693" t="str">
            <v>Nooksack city, Washington</v>
          </cell>
          <cell r="D693">
            <v>3</v>
          </cell>
          <cell r="E693">
            <v>3</v>
          </cell>
          <cell r="F693">
            <v>0</v>
          </cell>
          <cell r="G693">
            <v>3</v>
          </cell>
          <cell r="H693">
            <v>0</v>
          </cell>
          <cell r="I693">
            <v>0</v>
          </cell>
          <cell r="J693">
            <v>3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</v>
          </cell>
          <cell r="T693">
            <v>0</v>
          </cell>
        </row>
        <row r="694">
          <cell r="C694" t="str">
            <v>Normandy Park city, Washington</v>
          </cell>
          <cell r="D694">
            <v>53</v>
          </cell>
          <cell r="E694">
            <v>53</v>
          </cell>
          <cell r="F694">
            <v>23</v>
          </cell>
          <cell r="G694">
            <v>30</v>
          </cell>
          <cell r="H694">
            <v>15</v>
          </cell>
          <cell r="I694">
            <v>6</v>
          </cell>
          <cell r="J694">
            <v>0</v>
          </cell>
          <cell r="K694">
            <v>9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53</v>
          </cell>
          <cell r="T694">
            <v>0</v>
          </cell>
        </row>
        <row r="695">
          <cell r="C695" t="str">
            <v>North Bend city, Washington</v>
          </cell>
          <cell r="D695">
            <v>36</v>
          </cell>
          <cell r="E695">
            <v>36</v>
          </cell>
          <cell r="F695">
            <v>7</v>
          </cell>
          <cell r="G695">
            <v>20</v>
          </cell>
          <cell r="H695">
            <v>0</v>
          </cell>
          <cell r="I695">
            <v>0</v>
          </cell>
          <cell r="J695">
            <v>13</v>
          </cell>
          <cell r="K695">
            <v>7</v>
          </cell>
          <cell r="L695">
            <v>9</v>
          </cell>
          <cell r="M695">
            <v>0</v>
          </cell>
          <cell r="N695">
            <v>0</v>
          </cell>
          <cell r="O695">
            <v>9</v>
          </cell>
          <cell r="P695">
            <v>0</v>
          </cell>
          <cell r="Q695">
            <v>0</v>
          </cell>
          <cell r="R695">
            <v>0</v>
          </cell>
          <cell r="S695">
            <v>27</v>
          </cell>
          <cell r="T695">
            <v>9</v>
          </cell>
        </row>
        <row r="696">
          <cell r="C696" t="str">
            <v>North Bonneville city, Washington</v>
          </cell>
          <cell r="D696">
            <v>5</v>
          </cell>
          <cell r="E696">
            <v>5</v>
          </cell>
          <cell r="F696">
            <v>0</v>
          </cell>
          <cell r="G696">
            <v>5</v>
          </cell>
          <cell r="H696">
            <v>2</v>
          </cell>
          <cell r="I696">
            <v>0</v>
          </cell>
          <cell r="J696">
            <v>3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5</v>
          </cell>
          <cell r="T696">
            <v>0</v>
          </cell>
        </row>
        <row r="697">
          <cell r="C697" t="str">
            <v>North Creek CDP, Washington</v>
          </cell>
          <cell r="D697">
            <v>251</v>
          </cell>
          <cell r="E697">
            <v>185</v>
          </cell>
          <cell r="F697">
            <v>34</v>
          </cell>
          <cell r="G697">
            <v>144</v>
          </cell>
          <cell r="H697">
            <v>25</v>
          </cell>
          <cell r="I697">
            <v>47</v>
          </cell>
          <cell r="J697">
            <v>14</v>
          </cell>
          <cell r="K697">
            <v>58</v>
          </cell>
          <cell r="L697">
            <v>7</v>
          </cell>
          <cell r="M697">
            <v>0</v>
          </cell>
          <cell r="N697">
            <v>7</v>
          </cell>
          <cell r="O697">
            <v>0</v>
          </cell>
          <cell r="P697">
            <v>66</v>
          </cell>
          <cell r="Q697">
            <v>23</v>
          </cell>
          <cell r="R697">
            <v>43</v>
          </cell>
          <cell r="S697">
            <v>178</v>
          </cell>
          <cell r="T697">
            <v>73</v>
          </cell>
        </row>
        <row r="698">
          <cell r="C698" t="str">
            <v>North Marysville CDP, Washington</v>
          </cell>
          <cell r="D698">
            <v>163</v>
          </cell>
          <cell r="E698">
            <v>149</v>
          </cell>
          <cell r="F698">
            <v>27</v>
          </cell>
          <cell r="G698">
            <v>122</v>
          </cell>
          <cell r="H698">
            <v>0</v>
          </cell>
          <cell r="I698">
            <v>5</v>
          </cell>
          <cell r="J698">
            <v>101</v>
          </cell>
          <cell r="K698">
            <v>16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14</v>
          </cell>
          <cell r="Q698">
            <v>14</v>
          </cell>
          <cell r="R698">
            <v>0</v>
          </cell>
          <cell r="S698">
            <v>149</v>
          </cell>
          <cell r="T698">
            <v>14</v>
          </cell>
        </row>
        <row r="699">
          <cell r="C699" t="str">
            <v>North Omak CDP, Washington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</row>
        <row r="700">
          <cell r="C700" t="str">
            <v>Northport town, Washington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</row>
        <row r="701">
          <cell r="C701" t="str">
            <v>North Stanwood CDP, Washington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</row>
        <row r="702">
          <cell r="C702" t="str">
            <v>North Sultan CDP, Washington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</row>
        <row r="703">
          <cell r="C703" t="str">
            <v>Northwest Snohomish CDP, Washington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</row>
        <row r="704">
          <cell r="C704" t="str">
            <v>North Yelm CDP, Washington</v>
          </cell>
          <cell r="D704">
            <v>22</v>
          </cell>
          <cell r="E704">
            <v>22</v>
          </cell>
          <cell r="F704">
            <v>6</v>
          </cell>
          <cell r="G704">
            <v>16</v>
          </cell>
          <cell r="H704">
            <v>13</v>
          </cell>
          <cell r="I704">
            <v>3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22</v>
          </cell>
          <cell r="T704">
            <v>0</v>
          </cell>
        </row>
        <row r="705">
          <cell r="C705" t="str">
            <v>Oakesdale town, Washington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</row>
        <row r="706">
          <cell r="C706" t="str">
            <v>Oak Harbor city, Washington</v>
          </cell>
          <cell r="D706">
            <v>1201</v>
          </cell>
          <cell r="E706">
            <v>1164</v>
          </cell>
          <cell r="F706">
            <v>151</v>
          </cell>
          <cell r="G706">
            <v>1004</v>
          </cell>
          <cell r="H706">
            <v>113</v>
          </cell>
          <cell r="I706">
            <v>123</v>
          </cell>
          <cell r="J706">
            <v>558</v>
          </cell>
          <cell r="K706">
            <v>210</v>
          </cell>
          <cell r="L706">
            <v>9</v>
          </cell>
          <cell r="M706">
            <v>0</v>
          </cell>
          <cell r="N706">
            <v>0</v>
          </cell>
          <cell r="O706">
            <v>9</v>
          </cell>
          <cell r="P706">
            <v>37</v>
          </cell>
          <cell r="Q706">
            <v>31</v>
          </cell>
          <cell r="R706">
            <v>6</v>
          </cell>
          <cell r="S706">
            <v>1155</v>
          </cell>
          <cell r="T706">
            <v>46</v>
          </cell>
        </row>
        <row r="707">
          <cell r="C707" t="str">
            <v>Oakville city, Washington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</row>
        <row r="708">
          <cell r="C708" t="str">
            <v>Ocean City CDP, Washington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</row>
        <row r="709">
          <cell r="C709" t="str">
            <v>Ocean Park CDP, Washington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</row>
        <row r="710">
          <cell r="C710" t="str">
            <v>Ocean Shores city, Washington</v>
          </cell>
          <cell r="D710">
            <v>23</v>
          </cell>
          <cell r="E710">
            <v>23</v>
          </cell>
          <cell r="F710">
            <v>5</v>
          </cell>
          <cell r="G710">
            <v>18</v>
          </cell>
          <cell r="H710">
            <v>0</v>
          </cell>
          <cell r="I710">
            <v>9</v>
          </cell>
          <cell r="J710">
            <v>9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23</v>
          </cell>
          <cell r="T710">
            <v>0</v>
          </cell>
        </row>
        <row r="711">
          <cell r="C711" t="str">
            <v>Odessa town, Washington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</row>
        <row r="712">
          <cell r="C712" t="str">
            <v>Okanogan city, Washington</v>
          </cell>
          <cell r="D712">
            <v>9</v>
          </cell>
          <cell r="E712">
            <v>9</v>
          </cell>
          <cell r="F712">
            <v>0</v>
          </cell>
          <cell r="G712">
            <v>9</v>
          </cell>
          <cell r="H712">
            <v>0</v>
          </cell>
          <cell r="I712">
            <v>0</v>
          </cell>
          <cell r="J712">
            <v>0</v>
          </cell>
          <cell r="K712">
            <v>9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9</v>
          </cell>
          <cell r="T712">
            <v>0</v>
          </cell>
        </row>
        <row r="713">
          <cell r="C713" t="str">
            <v>Olympia city, Washington</v>
          </cell>
          <cell r="D713">
            <v>811</v>
          </cell>
          <cell r="E713">
            <v>787</v>
          </cell>
          <cell r="F713">
            <v>203</v>
          </cell>
          <cell r="G713">
            <v>543</v>
          </cell>
          <cell r="H713">
            <v>46</v>
          </cell>
          <cell r="I713">
            <v>139</v>
          </cell>
          <cell r="J713">
            <v>207</v>
          </cell>
          <cell r="K713">
            <v>151</v>
          </cell>
          <cell r="L713">
            <v>41</v>
          </cell>
          <cell r="M713">
            <v>0</v>
          </cell>
          <cell r="N713">
            <v>0</v>
          </cell>
          <cell r="O713">
            <v>41</v>
          </cell>
          <cell r="P713">
            <v>24</v>
          </cell>
          <cell r="Q713">
            <v>15</v>
          </cell>
          <cell r="R713">
            <v>9</v>
          </cell>
          <cell r="S713">
            <v>746</v>
          </cell>
          <cell r="T713">
            <v>65</v>
          </cell>
        </row>
        <row r="714">
          <cell r="C714" t="str">
            <v>Omak city, Washington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</row>
        <row r="715">
          <cell r="C715" t="str">
            <v>Opportunity CDP, Washington</v>
          </cell>
          <cell r="D715">
            <v>245</v>
          </cell>
          <cell r="E715">
            <v>239</v>
          </cell>
          <cell r="F715">
            <v>72</v>
          </cell>
          <cell r="G715">
            <v>167</v>
          </cell>
          <cell r="H715">
            <v>20</v>
          </cell>
          <cell r="I715">
            <v>37</v>
          </cell>
          <cell r="J715">
            <v>72</v>
          </cell>
          <cell r="K715">
            <v>38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6</v>
          </cell>
          <cell r="Q715">
            <v>0</v>
          </cell>
          <cell r="R715">
            <v>6</v>
          </cell>
          <cell r="S715">
            <v>239</v>
          </cell>
          <cell r="T715">
            <v>6</v>
          </cell>
        </row>
        <row r="716">
          <cell r="C716" t="str">
            <v>Orchards CDP, Washington</v>
          </cell>
          <cell r="D716">
            <v>123</v>
          </cell>
          <cell r="E716">
            <v>112</v>
          </cell>
          <cell r="F716">
            <v>13</v>
          </cell>
          <cell r="G716">
            <v>99</v>
          </cell>
          <cell r="H716">
            <v>6</v>
          </cell>
          <cell r="I716">
            <v>5</v>
          </cell>
          <cell r="J716">
            <v>24</v>
          </cell>
          <cell r="K716">
            <v>64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11</v>
          </cell>
          <cell r="Q716">
            <v>6</v>
          </cell>
          <cell r="R716">
            <v>5</v>
          </cell>
          <cell r="S716">
            <v>112</v>
          </cell>
          <cell r="T716">
            <v>11</v>
          </cell>
        </row>
        <row r="717">
          <cell r="C717" t="str">
            <v>Oroville city, Washington</v>
          </cell>
          <cell r="D717">
            <v>4</v>
          </cell>
          <cell r="E717">
            <v>3</v>
          </cell>
          <cell r="F717">
            <v>1</v>
          </cell>
          <cell r="G717">
            <v>2</v>
          </cell>
          <cell r="H717">
            <v>0</v>
          </cell>
          <cell r="I717">
            <v>0</v>
          </cell>
          <cell r="J717">
            <v>0</v>
          </cell>
          <cell r="K717">
            <v>2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1</v>
          </cell>
          <cell r="Q717">
            <v>1</v>
          </cell>
          <cell r="R717">
            <v>0</v>
          </cell>
          <cell r="S717">
            <v>3</v>
          </cell>
          <cell r="T717">
            <v>1</v>
          </cell>
        </row>
        <row r="718">
          <cell r="C718" t="str">
            <v>Orting city, Washington</v>
          </cell>
          <cell r="D718">
            <v>16</v>
          </cell>
          <cell r="E718">
            <v>16</v>
          </cell>
          <cell r="F718">
            <v>0</v>
          </cell>
          <cell r="G718">
            <v>16</v>
          </cell>
          <cell r="H718">
            <v>0</v>
          </cell>
          <cell r="I718">
            <v>0</v>
          </cell>
          <cell r="J718">
            <v>16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16</v>
          </cell>
          <cell r="T718">
            <v>0</v>
          </cell>
        </row>
        <row r="719">
          <cell r="C719" t="str">
            <v>Oso CDP, Washington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</row>
        <row r="720">
          <cell r="C720" t="str">
            <v>Othello city, Washington</v>
          </cell>
          <cell r="D720">
            <v>43</v>
          </cell>
          <cell r="E720">
            <v>8</v>
          </cell>
          <cell r="F720">
            <v>0</v>
          </cell>
          <cell r="G720">
            <v>8</v>
          </cell>
          <cell r="H720">
            <v>0</v>
          </cell>
          <cell r="I720">
            <v>0</v>
          </cell>
          <cell r="J720">
            <v>8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35</v>
          </cell>
          <cell r="Q720">
            <v>0</v>
          </cell>
          <cell r="R720">
            <v>35</v>
          </cell>
          <cell r="S720">
            <v>8</v>
          </cell>
          <cell r="T720">
            <v>35</v>
          </cell>
        </row>
        <row r="721">
          <cell r="C721" t="str">
            <v>Otis Orchards-East Farms CDP, Washington</v>
          </cell>
          <cell r="D721">
            <v>25</v>
          </cell>
          <cell r="E721">
            <v>25</v>
          </cell>
          <cell r="F721">
            <v>21</v>
          </cell>
          <cell r="G721">
            <v>4</v>
          </cell>
          <cell r="H721">
            <v>0</v>
          </cell>
          <cell r="I721">
            <v>4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25</v>
          </cell>
          <cell r="T721">
            <v>0</v>
          </cell>
        </row>
        <row r="722">
          <cell r="C722" t="str">
            <v>Oyehut-Hogans Corner CDP, Washington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</row>
        <row r="723">
          <cell r="C723" t="str">
            <v>Pacific city, Washington</v>
          </cell>
          <cell r="D723">
            <v>43</v>
          </cell>
          <cell r="E723">
            <v>43</v>
          </cell>
          <cell r="F723">
            <v>26</v>
          </cell>
          <cell r="G723">
            <v>17</v>
          </cell>
          <cell r="H723">
            <v>0</v>
          </cell>
          <cell r="I723">
            <v>0</v>
          </cell>
          <cell r="J723">
            <v>13</v>
          </cell>
          <cell r="K723">
            <v>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43</v>
          </cell>
          <cell r="T723">
            <v>0</v>
          </cell>
        </row>
        <row r="724">
          <cell r="C724" t="str">
            <v>Paine Field-Lake Stickney CDP, Washington</v>
          </cell>
          <cell r="D724">
            <v>930</v>
          </cell>
          <cell r="E724">
            <v>806</v>
          </cell>
          <cell r="F724">
            <v>241</v>
          </cell>
          <cell r="G724">
            <v>565</v>
          </cell>
          <cell r="H724">
            <v>48</v>
          </cell>
          <cell r="I724">
            <v>46</v>
          </cell>
          <cell r="J724">
            <v>245</v>
          </cell>
          <cell r="K724">
            <v>226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124</v>
          </cell>
          <cell r="Q724">
            <v>11</v>
          </cell>
          <cell r="R724">
            <v>113</v>
          </cell>
          <cell r="S724">
            <v>806</v>
          </cell>
          <cell r="T724">
            <v>124</v>
          </cell>
        </row>
        <row r="725">
          <cell r="C725" t="str">
            <v>Palouse city, Washington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</row>
        <row r="726">
          <cell r="C726" t="str">
            <v>Parkland CDP, Washington</v>
          </cell>
          <cell r="D726">
            <v>1692</v>
          </cell>
          <cell r="E726">
            <v>1605</v>
          </cell>
          <cell r="F726">
            <v>469</v>
          </cell>
          <cell r="G726">
            <v>1063</v>
          </cell>
          <cell r="H726">
            <v>129</v>
          </cell>
          <cell r="I726">
            <v>222</v>
          </cell>
          <cell r="J726">
            <v>614</v>
          </cell>
          <cell r="K726">
            <v>98</v>
          </cell>
          <cell r="L726">
            <v>73</v>
          </cell>
          <cell r="M726">
            <v>0</v>
          </cell>
          <cell r="N726">
            <v>12</v>
          </cell>
          <cell r="O726">
            <v>61</v>
          </cell>
          <cell r="P726">
            <v>87</v>
          </cell>
          <cell r="Q726">
            <v>38</v>
          </cell>
          <cell r="R726">
            <v>49</v>
          </cell>
          <cell r="S726">
            <v>1532</v>
          </cell>
          <cell r="T726">
            <v>160</v>
          </cell>
        </row>
        <row r="727">
          <cell r="C727" t="str">
            <v>Parkwood CDP, Washington</v>
          </cell>
          <cell r="D727">
            <v>84</v>
          </cell>
          <cell r="E727">
            <v>73</v>
          </cell>
          <cell r="F727">
            <v>18</v>
          </cell>
          <cell r="G727">
            <v>55</v>
          </cell>
          <cell r="H727">
            <v>18</v>
          </cell>
          <cell r="I727">
            <v>12</v>
          </cell>
          <cell r="J727">
            <v>25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11</v>
          </cell>
          <cell r="Q727">
            <v>4</v>
          </cell>
          <cell r="R727">
            <v>7</v>
          </cell>
          <cell r="S727">
            <v>73</v>
          </cell>
          <cell r="T727">
            <v>11</v>
          </cell>
        </row>
        <row r="728">
          <cell r="C728" t="str">
            <v>Pasco city, Washington</v>
          </cell>
          <cell r="D728">
            <v>887</v>
          </cell>
          <cell r="E728">
            <v>877</v>
          </cell>
          <cell r="F728">
            <v>426</v>
          </cell>
          <cell r="G728">
            <v>446</v>
          </cell>
          <cell r="H728">
            <v>7</v>
          </cell>
          <cell r="I728">
            <v>47</v>
          </cell>
          <cell r="J728">
            <v>250</v>
          </cell>
          <cell r="K728">
            <v>142</v>
          </cell>
          <cell r="L728">
            <v>5</v>
          </cell>
          <cell r="M728">
            <v>0</v>
          </cell>
          <cell r="N728">
            <v>0</v>
          </cell>
          <cell r="O728">
            <v>5</v>
          </cell>
          <cell r="P728">
            <v>10</v>
          </cell>
          <cell r="Q728">
            <v>0</v>
          </cell>
          <cell r="R728">
            <v>10</v>
          </cell>
          <cell r="S728">
            <v>872</v>
          </cell>
          <cell r="T728">
            <v>15</v>
          </cell>
        </row>
        <row r="729">
          <cell r="C729" t="str">
            <v>Pateros city, Washington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</row>
        <row r="730">
          <cell r="C730" t="str">
            <v>Peaceful Valley CDP, Washington</v>
          </cell>
          <cell r="D730">
            <v>7</v>
          </cell>
          <cell r="E730">
            <v>7</v>
          </cell>
          <cell r="F730">
            <v>0</v>
          </cell>
          <cell r="G730">
            <v>7</v>
          </cell>
          <cell r="H730">
            <v>0</v>
          </cell>
          <cell r="I730">
            <v>0</v>
          </cell>
          <cell r="J730">
            <v>0</v>
          </cell>
          <cell r="K730">
            <v>7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7</v>
          </cell>
          <cell r="T730">
            <v>0</v>
          </cell>
        </row>
        <row r="731">
          <cell r="C731" t="str">
            <v>Pe Ell town, Washington</v>
          </cell>
          <cell r="D731">
            <v>4</v>
          </cell>
          <cell r="E731">
            <v>4</v>
          </cell>
          <cell r="F731">
            <v>0</v>
          </cell>
          <cell r="G731">
            <v>4</v>
          </cell>
          <cell r="H731">
            <v>0</v>
          </cell>
          <cell r="I731">
            <v>0</v>
          </cell>
          <cell r="J731">
            <v>2</v>
          </cell>
          <cell r="K731">
            <v>2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4</v>
          </cell>
          <cell r="T731">
            <v>0</v>
          </cell>
        </row>
        <row r="732">
          <cell r="C732" t="str">
            <v>Picnic Point-North Lynnwood CDP, Washington</v>
          </cell>
          <cell r="D732">
            <v>471</v>
          </cell>
          <cell r="E732">
            <v>393</v>
          </cell>
          <cell r="F732">
            <v>138</v>
          </cell>
          <cell r="G732">
            <v>255</v>
          </cell>
          <cell r="H732">
            <v>44</v>
          </cell>
          <cell r="I732">
            <v>23</v>
          </cell>
          <cell r="J732">
            <v>110</v>
          </cell>
          <cell r="K732">
            <v>78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78</v>
          </cell>
          <cell r="Q732">
            <v>42</v>
          </cell>
          <cell r="R732">
            <v>36</v>
          </cell>
          <cell r="S732">
            <v>393</v>
          </cell>
          <cell r="T732">
            <v>78</v>
          </cell>
        </row>
        <row r="733">
          <cell r="C733" t="str">
            <v>Pomeroy city, Washington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</row>
        <row r="734">
          <cell r="C734" t="str">
            <v>Port Angeles city, Washington</v>
          </cell>
          <cell r="D734">
            <v>104</v>
          </cell>
          <cell r="E734">
            <v>99</v>
          </cell>
          <cell r="F734">
            <v>57</v>
          </cell>
          <cell r="G734">
            <v>42</v>
          </cell>
          <cell r="H734">
            <v>37</v>
          </cell>
          <cell r="I734">
            <v>5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5</v>
          </cell>
          <cell r="Q734">
            <v>0</v>
          </cell>
          <cell r="R734">
            <v>5</v>
          </cell>
          <cell r="S734">
            <v>99</v>
          </cell>
          <cell r="T734">
            <v>5</v>
          </cell>
        </row>
        <row r="735">
          <cell r="C735" t="str">
            <v>Port Angeles East CDP, Washington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</row>
        <row r="736">
          <cell r="C736" t="str">
            <v>Port Hadlock-Irondale CDP, Washington</v>
          </cell>
          <cell r="D736">
            <v>6</v>
          </cell>
          <cell r="E736">
            <v>6</v>
          </cell>
          <cell r="F736">
            <v>0</v>
          </cell>
          <cell r="G736">
            <v>6</v>
          </cell>
          <cell r="H736">
            <v>0</v>
          </cell>
          <cell r="I736">
            <v>0</v>
          </cell>
          <cell r="J736">
            <v>0</v>
          </cell>
          <cell r="K736">
            <v>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6</v>
          </cell>
          <cell r="T736">
            <v>0</v>
          </cell>
        </row>
        <row r="737">
          <cell r="C737" t="str">
            <v>Port Ludlow CDP, Washington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</row>
        <row r="738">
          <cell r="C738" t="str">
            <v>Port Orchard city, Washington</v>
          </cell>
          <cell r="D738">
            <v>336</v>
          </cell>
          <cell r="E738">
            <v>336</v>
          </cell>
          <cell r="F738">
            <v>223</v>
          </cell>
          <cell r="G738">
            <v>113</v>
          </cell>
          <cell r="H738">
            <v>0</v>
          </cell>
          <cell r="I738">
            <v>4</v>
          </cell>
          <cell r="J738">
            <v>56</v>
          </cell>
          <cell r="K738">
            <v>53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336</v>
          </cell>
          <cell r="T738">
            <v>0</v>
          </cell>
        </row>
        <row r="739">
          <cell r="C739" t="str">
            <v>Port Townsend city, Washington</v>
          </cell>
          <cell r="D739">
            <v>39</v>
          </cell>
          <cell r="E739">
            <v>39</v>
          </cell>
          <cell r="F739">
            <v>10</v>
          </cell>
          <cell r="G739">
            <v>29</v>
          </cell>
          <cell r="H739">
            <v>15</v>
          </cell>
          <cell r="I739">
            <v>0</v>
          </cell>
          <cell r="J739">
            <v>14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39</v>
          </cell>
          <cell r="T739">
            <v>0</v>
          </cell>
        </row>
        <row r="740">
          <cell r="C740" t="str">
            <v>Poulsbo city, Washington</v>
          </cell>
          <cell r="D740">
            <v>22</v>
          </cell>
          <cell r="E740">
            <v>22</v>
          </cell>
          <cell r="F740">
            <v>0</v>
          </cell>
          <cell r="G740">
            <v>22</v>
          </cell>
          <cell r="H740">
            <v>22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22</v>
          </cell>
          <cell r="T740">
            <v>0</v>
          </cell>
        </row>
        <row r="741">
          <cell r="C741" t="str">
            <v>Prairie Ridge CDP, Washington</v>
          </cell>
          <cell r="D741">
            <v>73</v>
          </cell>
          <cell r="E741">
            <v>73</v>
          </cell>
          <cell r="F741">
            <v>13</v>
          </cell>
          <cell r="G741">
            <v>60</v>
          </cell>
          <cell r="H741">
            <v>10</v>
          </cell>
          <cell r="I741">
            <v>42</v>
          </cell>
          <cell r="J741">
            <v>8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73</v>
          </cell>
          <cell r="T741">
            <v>0</v>
          </cell>
        </row>
        <row r="742">
          <cell r="C742" t="str">
            <v>Prescott town, Washington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</row>
        <row r="743">
          <cell r="C743" t="str">
            <v>Priest Point CDP, Washington</v>
          </cell>
          <cell r="D743">
            <v>5</v>
          </cell>
          <cell r="E743">
            <v>5</v>
          </cell>
          <cell r="F743">
            <v>3</v>
          </cell>
          <cell r="G743">
            <v>2</v>
          </cell>
          <cell r="H743">
            <v>0</v>
          </cell>
          <cell r="I743">
            <v>0</v>
          </cell>
          <cell r="J743">
            <v>2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5</v>
          </cell>
          <cell r="T743">
            <v>0</v>
          </cell>
        </row>
        <row r="744">
          <cell r="C744" t="str">
            <v>Prosser city, Washington</v>
          </cell>
          <cell r="D744">
            <v>31</v>
          </cell>
          <cell r="E744">
            <v>31</v>
          </cell>
          <cell r="F744">
            <v>17</v>
          </cell>
          <cell r="G744">
            <v>14</v>
          </cell>
          <cell r="H744">
            <v>0</v>
          </cell>
          <cell r="I744">
            <v>0</v>
          </cell>
          <cell r="J744">
            <v>0</v>
          </cell>
          <cell r="K744">
            <v>14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31</v>
          </cell>
          <cell r="T744">
            <v>0</v>
          </cell>
        </row>
        <row r="745">
          <cell r="C745" t="str">
            <v>Pullman city, Washington</v>
          </cell>
          <cell r="D745">
            <v>607</v>
          </cell>
          <cell r="E745">
            <v>449</v>
          </cell>
          <cell r="F745">
            <v>161</v>
          </cell>
          <cell r="G745">
            <v>288</v>
          </cell>
          <cell r="H745">
            <v>36</v>
          </cell>
          <cell r="I745">
            <v>53</v>
          </cell>
          <cell r="J745">
            <v>137</v>
          </cell>
          <cell r="K745">
            <v>62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158</v>
          </cell>
          <cell r="Q745">
            <v>12</v>
          </cell>
          <cell r="R745">
            <v>146</v>
          </cell>
          <cell r="S745">
            <v>449</v>
          </cell>
          <cell r="T745">
            <v>158</v>
          </cell>
        </row>
        <row r="746">
          <cell r="C746" t="str">
            <v>Puyallup city, Washington</v>
          </cell>
          <cell r="D746">
            <v>427</v>
          </cell>
          <cell r="E746">
            <v>411</v>
          </cell>
          <cell r="F746">
            <v>157</v>
          </cell>
          <cell r="G746">
            <v>248</v>
          </cell>
          <cell r="H746">
            <v>16</v>
          </cell>
          <cell r="I746">
            <v>31</v>
          </cell>
          <cell r="J746">
            <v>143</v>
          </cell>
          <cell r="K746">
            <v>58</v>
          </cell>
          <cell r="L746">
            <v>6</v>
          </cell>
          <cell r="M746">
            <v>0</v>
          </cell>
          <cell r="N746">
            <v>0</v>
          </cell>
          <cell r="O746">
            <v>6</v>
          </cell>
          <cell r="P746">
            <v>16</v>
          </cell>
          <cell r="Q746">
            <v>8</v>
          </cell>
          <cell r="R746">
            <v>8</v>
          </cell>
          <cell r="S746">
            <v>405</v>
          </cell>
          <cell r="T746">
            <v>22</v>
          </cell>
        </row>
        <row r="747">
          <cell r="C747" t="str">
            <v>Quilcene CDP, Washington</v>
          </cell>
          <cell r="D747">
            <v>5</v>
          </cell>
          <cell r="E747">
            <v>5</v>
          </cell>
          <cell r="F747">
            <v>5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5</v>
          </cell>
          <cell r="T747">
            <v>0</v>
          </cell>
        </row>
        <row r="748">
          <cell r="C748" t="str">
            <v>Quincy city, Washington</v>
          </cell>
          <cell r="D748">
            <v>18</v>
          </cell>
          <cell r="E748">
            <v>14</v>
          </cell>
          <cell r="F748">
            <v>10</v>
          </cell>
          <cell r="G748">
            <v>4</v>
          </cell>
          <cell r="H748">
            <v>0</v>
          </cell>
          <cell r="I748">
            <v>0</v>
          </cell>
          <cell r="J748">
            <v>4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4</v>
          </cell>
          <cell r="Q748">
            <v>0</v>
          </cell>
          <cell r="R748">
            <v>4</v>
          </cell>
          <cell r="S748">
            <v>14</v>
          </cell>
          <cell r="T748">
            <v>4</v>
          </cell>
        </row>
        <row r="749">
          <cell r="C749" t="str">
            <v>Rainier town, Washington</v>
          </cell>
          <cell r="D749">
            <v>10</v>
          </cell>
          <cell r="E749">
            <v>10</v>
          </cell>
          <cell r="F749">
            <v>4</v>
          </cell>
          <cell r="G749">
            <v>6</v>
          </cell>
          <cell r="H749">
            <v>0</v>
          </cell>
          <cell r="I749">
            <v>0</v>
          </cell>
          <cell r="J749">
            <v>3</v>
          </cell>
          <cell r="K749">
            <v>3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10</v>
          </cell>
          <cell r="T749">
            <v>0</v>
          </cell>
        </row>
        <row r="750">
          <cell r="C750" t="str">
            <v>Ravensdale CDP, Washington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</row>
        <row r="751">
          <cell r="C751" t="str">
            <v>Raymond city, Washington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</row>
        <row r="752">
          <cell r="C752" t="str">
            <v>Reardan town, Washington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</row>
        <row r="753">
          <cell r="C753" t="str">
            <v>Redmond city, Washington</v>
          </cell>
          <cell r="D753">
            <v>555</v>
          </cell>
          <cell r="E753">
            <v>498</v>
          </cell>
          <cell r="F753">
            <v>178</v>
          </cell>
          <cell r="G753">
            <v>320</v>
          </cell>
          <cell r="H753">
            <v>30</v>
          </cell>
          <cell r="I753">
            <v>82</v>
          </cell>
          <cell r="J753">
            <v>146</v>
          </cell>
          <cell r="K753">
            <v>62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57</v>
          </cell>
          <cell r="Q753">
            <v>20</v>
          </cell>
          <cell r="R753">
            <v>37</v>
          </cell>
          <cell r="S753">
            <v>498</v>
          </cell>
          <cell r="T753">
            <v>57</v>
          </cell>
        </row>
        <row r="754">
          <cell r="C754" t="str">
            <v>Renton city, Washington</v>
          </cell>
          <cell r="D754">
            <v>4018</v>
          </cell>
          <cell r="E754">
            <v>3637</v>
          </cell>
          <cell r="F754">
            <v>1563</v>
          </cell>
          <cell r="G754">
            <v>2055</v>
          </cell>
          <cell r="H754">
            <v>161</v>
          </cell>
          <cell r="I754">
            <v>354</v>
          </cell>
          <cell r="J754">
            <v>1040</v>
          </cell>
          <cell r="K754">
            <v>500</v>
          </cell>
          <cell r="L754">
            <v>19</v>
          </cell>
          <cell r="M754">
            <v>0</v>
          </cell>
          <cell r="N754">
            <v>10</v>
          </cell>
          <cell r="O754">
            <v>9</v>
          </cell>
          <cell r="P754">
            <v>381</v>
          </cell>
          <cell r="Q754">
            <v>81</v>
          </cell>
          <cell r="R754">
            <v>300</v>
          </cell>
          <cell r="S754">
            <v>3618</v>
          </cell>
          <cell r="T754">
            <v>400</v>
          </cell>
        </row>
        <row r="755">
          <cell r="C755" t="str">
            <v>Republic city, Washington</v>
          </cell>
          <cell r="D755">
            <v>25</v>
          </cell>
          <cell r="E755">
            <v>25</v>
          </cell>
          <cell r="F755">
            <v>4</v>
          </cell>
          <cell r="G755">
            <v>21</v>
          </cell>
          <cell r="H755">
            <v>0</v>
          </cell>
          <cell r="I755">
            <v>6</v>
          </cell>
          <cell r="J755">
            <v>15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25</v>
          </cell>
          <cell r="T755">
            <v>0</v>
          </cell>
        </row>
        <row r="756">
          <cell r="C756" t="str">
            <v>Richland city, Washington</v>
          </cell>
          <cell r="D756">
            <v>430</v>
          </cell>
          <cell r="E756">
            <v>414</v>
          </cell>
          <cell r="F756">
            <v>199</v>
          </cell>
          <cell r="G756">
            <v>215</v>
          </cell>
          <cell r="H756">
            <v>19</v>
          </cell>
          <cell r="I756">
            <v>51</v>
          </cell>
          <cell r="J756">
            <v>85</v>
          </cell>
          <cell r="K756">
            <v>60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16</v>
          </cell>
          <cell r="Q756">
            <v>6</v>
          </cell>
          <cell r="R756">
            <v>10</v>
          </cell>
          <cell r="S756">
            <v>414</v>
          </cell>
          <cell r="T756">
            <v>16</v>
          </cell>
        </row>
        <row r="757">
          <cell r="C757" t="str">
            <v>Ridgefield city, Washington</v>
          </cell>
          <cell r="D757">
            <v>18</v>
          </cell>
          <cell r="E757">
            <v>10</v>
          </cell>
          <cell r="F757">
            <v>4</v>
          </cell>
          <cell r="G757">
            <v>6</v>
          </cell>
          <cell r="H757">
            <v>0</v>
          </cell>
          <cell r="I757">
            <v>0</v>
          </cell>
          <cell r="J757">
            <v>2</v>
          </cell>
          <cell r="K757">
            <v>4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</v>
          </cell>
          <cell r="Q757">
            <v>0</v>
          </cell>
          <cell r="R757">
            <v>8</v>
          </cell>
          <cell r="S757">
            <v>10</v>
          </cell>
          <cell r="T757">
            <v>8</v>
          </cell>
        </row>
        <row r="758">
          <cell r="C758" t="str">
            <v>Ritzville city, Washington</v>
          </cell>
          <cell r="D758">
            <v>3</v>
          </cell>
          <cell r="E758">
            <v>3</v>
          </cell>
          <cell r="F758">
            <v>3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3</v>
          </cell>
          <cell r="T758">
            <v>0</v>
          </cell>
        </row>
        <row r="759">
          <cell r="C759" t="str">
            <v>Riverbend CDP, Washington</v>
          </cell>
          <cell r="D759">
            <v>12</v>
          </cell>
          <cell r="E759">
            <v>12</v>
          </cell>
          <cell r="F759">
            <v>0</v>
          </cell>
          <cell r="G759">
            <v>12</v>
          </cell>
          <cell r="H759">
            <v>12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12</v>
          </cell>
          <cell r="T759">
            <v>0</v>
          </cell>
        </row>
        <row r="760">
          <cell r="C760" t="str">
            <v>River Road CDP, Washington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</row>
        <row r="761">
          <cell r="C761" t="str">
            <v>Riverside town, Washington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</row>
        <row r="762">
          <cell r="C762" t="str">
            <v>Riverton-Boulevard Park CDP, Washington</v>
          </cell>
          <cell r="D762">
            <v>845</v>
          </cell>
          <cell r="E762">
            <v>708</v>
          </cell>
          <cell r="F762">
            <v>338</v>
          </cell>
          <cell r="G762">
            <v>370</v>
          </cell>
          <cell r="H762">
            <v>40</v>
          </cell>
          <cell r="I762">
            <v>77</v>
          </cell>
          <cell r="J762">
            <v>142</v>
          </cell>
          <cell r="K762">
            <v>111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137</v>
          </cell>
          <cell r="Q762">
            <v>33</v>
          </cell>
          <cell r="R762">
            <v>104</v>
          </cell>
          <cell r="S762">
            <v>708</v>
          </cell>
          <cell r="T762">
            <v>137</v>
          </cell>
        </row>
        <row r="763">
          <cell r="C763" t="str">
            <v>Rochester CDP, Washington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</row>
        <row r="764">
          <cell r="C764" t="str">
            <v>Rockford town, Washington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</row>
        <row r="765">
          <cell r="C765" t="str">
            <v>Rock Island city, Washington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</row>
        <row r="766">
          <cell r="C766" t="str">
            <v>Rockport CDP, Washington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</row>
        <row r="767">
          <cell r="C767" t="str">
            <v>Ronald CDP, Washington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</row>
        <row r="768">
          <cell r="C768" t="str">
            <v>Roosevelt CDP, Washington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</row>
        <row r="769">
          <cell r="C769" t="str">
            <v>Rosalia town, Washington</v>
          </cell>
          <cell r="D769">
            <v>4</v>
          </cell>
          <cell r="E769">
            <v>4</v>
          </cell>
          <cell r="F769">
            <v>0</v>
          </cell>
          <cell r="G769">
            <v>4</v>
          </cell>
          <cell r="H769">
            <v>0</v>
          </cell>
          <cell r="I769">
            <v>0</v>
          </cell>
          <cell r="J769">
            <v>0</v>
          </cell>
          <cell r="K769">
            <v>4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4</v>
          </cell>
          <cell r="T769">
            <v>0</v>
          </cell>
        </row>
        <row r="770">
          <cell r="C770" t="str">
            <v>Roslyn city, Washington</v>
          </cell>
          <cell r="D770">
            <v>21</v>
          </cell>
          <cell r="E770">
            <v>21</v>
          </cell>
          <cell r="F770">
            <v>11</v>
          </cell>
          <cell r="G770">
            <v>10</v>
          </cell>
          <cell r="H770">
            <v>0</v>
          </cell>
          <cell r="I770">
            <v>0</v>
          </cell>
          <cell r="J770">
            <v>4</v>
          </cell>
          <cell r="K770">
            <v>6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21</v>
          </cell>
          <cell r="T770">
            <v>0</v>
          </cell>
        </row>
        <row r="771">
          <cell r="C771" t="str">
            <v>Roy city, Washington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</row>
        <row r="772">
          <cell r="C772" t="str">
            <v>Royal City city, Washington</v>
          </cell>
          <cell r="D772">
            <v>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4</v>
          </cell>
          <cell r="Q772">
            <v>0</v>
          </cell>
          <cell r="R772">
            <v>4</v>
          </cell>
          <cell r="S772">
            <v>0</v>
          </cell>
          <cell r="T772">
            <v>4</v>
          </cell>
        </row>
        <row r="773">
          <cell r="C773" t="str">
            <v>Ruston town, Washington</v>
          </cell>
          <cell r="D773">
            <v>15</v>
          </cell>
          <cell r="E773">
            <v>15</v>
          </cell>
          <cell r="F773">
            <v>12</v>
          </cell>
          <cell r="G773">
            <v>3</v>
          </cell>
          <cell r="H773">
            <v>0</v>
          </cell>
          <cell r="I773">
            <v>1</v>
          </cell>
          <cell r="J773">
            <v>2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15</v>
          </cell>
          <cell r="T773">
            <v>0</v>
          </cell>
        </row>
        <row r="774">
          <cell r="C774" t="str">
            <v>St. John town, Washington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</row>
        <row r="775">
          <cell r="C775" t="str">
            <v>Salmon Creek CDP, Washington</v>
          </cell>
          <cell r="D775">
            <v>215</v>
          </cell>
          <cell r="E775">
            <v>200</v>
          </cell>
          <cell r="F775">
            <v>60</v>
          </cell>
          <cell r="G775">
            <v>125</v>
          </cell>
          <cell r="H775">
            <v>27</v>
          </cell>
          <cell r="I775">
            <v>6</v>
          </cell>
          <cell r="J775">
            <v>44</v>
          </cell>
          <cell r="K775">
            <v>48</v>
          </cell>
          <cell r="L775">
            <v>15</v>
          </cell>
          <cell r="M775">
            <v>0</v>
          </cell>
          <cell r="N775">
            <v>0</v>
          </cell>
          <cell r="O775">
            <v>15</v>
          </cell>
          <cell r="P775">
            <v>15</v>
          </cell>
          <cell r="Q775">
            <v>0</v>
          </cell>
          <cell r="R775">
            <v>15</v>
          </cell>
          <cell r="S775">
            <v>185</v>
          </cell>
          <cell r="T775">
            <v>30</v>
          </cell>
        </row>
        <row r="776">
          <cell r="C776" t="str">
            <v>Sammamish city, Washington</v>
          </cell>
          <cell r="D776">
            <v>194</v>
          </cell>
          <cell r="E776">
            <v>184</v>
          </cell>
          <cell r="F776">
            <v>73</v>
          </cell>
          <cell r="G776">
            <v>100</v>
          </cell>
          <cell r="H776">
            <v>19</v>
          </cell>
          <cell r="I776">
            <v>20</v>
          </cell>
          <cell r="J776">
            <v>25</v>
          </cell>
          <cell r="K776">
            <v>36</v>
          </cell>
          <cell r="L776">
            <v>11</v>
          </cell>
          <cell r="M776">
            <v>0</v>
          </cell>
          <cell r="N776">
            <v>0</v>
          </cell>
          <cell r="O776">
            <v>11</v>
          </cell>
          <cell r="P776">
            <v>10</v>
          </cell>
          <cell r="Q776">
            <v>0</v>
          </cell>
          <cell r="R776">
            <v>10</v>
          </cell>
          <cell r="S776">
            <v>173</v>
          </cell>
          <cell r="T776">
            <v>21</v>
          </cell>
        </row>
        <row r="777">
          <cell r="C777" t="str">
            <v>Satsop CDP, Washington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</row>
        <row r="778">
          <cell r="C778" t="str">
            <v>Satus CDP, Washington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</row>
        <row r="779">
          <cell r="C779" t="str">
            <v>SeaTac city, Washington</v>
          </cell>
          <cell r="D779">
            <v>2388</v>
          </cell>
          <cell r="E779">
            <v>1676</v>
          </cell>
          <cell r="F779">
            <v>694</v>
          </cell>
          <cell r="G779">
            <v>945</v>
          </cell>
          <cell r="H779">
            <v>123</v>
          </cell>
          <cell r="I779">
            <v>166</v>
          </cell>
          <cell r="J779">
            <v>460</v>
          </cell>
          <cell r="K779">
            <v>196</v>
          </cell>
          <cell r="L779">
            <v>37</v>
          </cell>
          <cell r="M779">
            <v>0</v>
          </cell>
          <cell r="N779">
            <v>0</v>
          </cell>
          <cell r="O779">
            <v>37</v>
          </cell>
          <cell r="P779">
            <v>712</v>
          </cell>
          <cell r="Q779">
            <v>116</v>
          </cell>
          <cell r="R779">
            <v>596</v>
          </cell>
          <cell r="S779">
            <v>1639</v>
          </cell>
          <cell r="T779">
            <v>749</v>
          </cell>
        </row>
        <row r="780">
          <cell r="C780" t="str">
            <v>Seattle city, Washington</v>
          </cell>
          <cell r="D780">
            <v>46716</v>
          </cell>
          <cell r="E780">
            <v>40975</v>
          </cell>
          <cell r="F780">
            <v>19117</v>
          </cell>
          <cell r="G780">
            <v>21395</v>
          </cell>
          <cell r="H780">
            <v>1642</v>
          </cell>
          <cell r="I780">
            <v>3737</v>
          </cell>
          <cell r="J780">
            <v>12434</v>
          </cell>
          <cell r="K780">
            <v>3582</v>
          </cell>
          <cell r="L780">
            <v>463</v>
          </cell>
          <cell r="M780">
            <v>22</v>
          </cell>
          <cell r="N780">
            <v>21</v>
          </cell>
          <cell r="O780">
            <v>420</v>
          </cell>
          <cell r="P780">
            <v>5741</v>
          </cell>
          <cell r="Q780">
            <v>1835</v>
          </cell>
          <cell r="R780">
            <v>3906</v>
          </cell>
          <cell r="S780">
            <v>40512</v>
          </cell>
          <cell r="T780">
            <v>6204</v>
          </cell>
        </row>
        <row r="781">
          <cell r="C781" t="str">
            <v>Seattle Hill-Silver Firs CDP, Washington</v>
          </cell>
          <cell r="D781">
            <v>310</v>
          </cell>
          <cell r="E781">
            <v>256</v>
          </cell>
          <cell r="F781">
            <v>102</v>
          </cell>
          <cell r="G781">
            <v>154</v>
          </cell>
          <cell r="H781">
            <v>31</v>
          </cell>
          <cell r="I781">
            <v>29</v>
          </cell>
          <cell r="J781">
            <v>79</v>
          </cell>
          <cell r="K781">
            <v>15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54</v>
          </cell>
          <cell r="Q781">
            <v>44</v>
          </cell>
          <cell r="R781">
            <v>10</v>
          </cell>
          <cell r="S781">
            <v>256</v>
          </cell>
          <cell r="T781">
            <v>54</v>
          </cell>
        </row>
        <row r="782">
          <cell r="C782" t="str">
            <v>Sedro-Woolley city, Washington</v>
          </cell>
          <cell r="D782">
            <v>17</v>
          </cell>
          <cell r="E782">
            <v>17</v>
          </cell>
          <cell r="F782">
            <v>5</v>
          </cell>
          <cell r="G782">
            <v>12</v>
          </cell>
          <cell r="H782">
            <v>0</v>
          </cell>
          <cell r="I782">
            <v>0</v>
          </cell>
          <cell r="J782">
            <v>12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17</v>
          </cell>
          <cell r="T782">
            <v>0</v>
          </cell>
        </row>
        <row r="783">
          <cell r="C783" t="str">
            <v>Selah city, Washington</v>
          </cell>
          <cell r="D783">
            <v>27</v>
          </cell>
          <cell r="E783">
            <v>15</v>
          </cell>
          <cell r="F783">
            <v>0</v>
          </cell>
          <cell r="G783">
            <v>15</v>
          </cell>
          <cell r="H783">
            <v>15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12</v>
          </cell>
          <cell r="Q783">
            <v>0</v>
          </cell>
          <cell r="R783">
            <v>12</v>
          </cell>
          <cell r="S783">
            <v>15</v>
          </cell>
          <cell r="T783">
            <v>12</v>
          </cell>
        </row>
        <row r="784">
          <cell r="C784" t="str">
            <v>Sequim city, Washington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</row>
        <row r="785">
          <cell r="C785" t="str">
            <v>Shaker Church CDP, Washington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</row>
        <row r="786">
          <cell r="C786" t="str">
            <v>Shelton city, Washington</v>
          </cell>
          <cell r="D786">
            <v>14</v>
          </cell>
          <cell r="E786">
            <v>8</v>
          </cell>
          <cell r="F786">
            <v>0</v>
          </cell>
          <cell r="G786">
            <v>8</v>
          </cell>
          <cell r="H786">
            <v>0</v>
          </cell>
          <cell r="I786">
            <v>0</v>
          </cell>
          <cell r="J786">
            <v>8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6</v>
          </cell>
          <cell r="Q786">
            <v>6</v>
          </cell>
          <cell r="R786">
            <v>0</v>
          </cell>
          <cell r="S786">
            <v>8</v>
          </cell>
          <cell r="T786">
            <v>6</v>
          </cell>
        </row>
        <row r="787">
          <cell r="C787" t="str">
            <v>Shoreline city, Washington</v>
          </cell>
          <cell r="D787">
            <v>1444</v>
          </cell>
          <cell r="E787">
            <v>1148</v>
          </cell>
          <cell r="F787">
            <v>484</v>
          </cell>
          <cell r="G787">
            <v>619</v>
          </cell>
          <cell r="H787">
            <v>109</v>
          </cell>
          <cell r="I787">
            <v>114</v>
          </cell>
          <cell r="J787">
            <v>249</v>
          </cell>
          <cell r="K787">
            <v>147</v>
          </cell>
          <cell r="L787">
            <v>45</v>
          </cell>
          <cell r="M787">
            <v>0</v>
          </cell>
          <cell r="N787">
            <v>24</v>
          </cell>
          <cell r="O787">
            <v>21</v>
          </cell>
          <cell r="P787">
            <v>296</v>
          </cell>
          <cell r="Q787">
            <v>89</v>
          </cell>
          <cell r="R787">
            <v>207</v>
          </cell>
          <cell r="S787">
            <v>1103</v>
          </cell>
          <cell r="T787">
            <v>341</v>
          </cell>
        </row>
        <row r="788">
          <cell r="C788" t="str">
            <v>Silvana CDP, Washington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</row>
        <row r="789">
          <cell r="C789" t="str">
            <v>Silverdale CDP, Washington</v>
          </cell>
          <cell r="D789">
            <v>523</v>
          </cell>
          <cell r="E789">
            <v>480</v>
          </cell>
          <cell r="F789">
            <v>60</v>
          </cell>
          <cell r="G789">
            <v>416</v>
          </cell>
          <cell r="H789">
            <v>87</v>
          </cell>
          <cell r="I789">
            <v>74</v>
          </cell>
          <cell r="J789">
            <v>215</v>
          </cell>
          <cell r="K789">
            <v>40</v>
          </cell>
          <cell r="L789">
            <v>4</v>
          </cell>
          <cell r="M789">
            <v>0</v>
          </cell>
          <cell r="N789">
            <v>4</v>
          </cell>
          <cell r="O789">
            <v>0</v>
          </cell>
          <cell r="P789">
            <v>43</v>
          </cell>
          <cell r="Q789">
            <v>36</v>
          </cell>
          <cell r="R789">
            <v>7</v>
          </cell>
          <cell r="S789">
            <v>476</v>
          </cell>
          <cell r="T789">
            <v>47</v>
          </cell>
        </row>
        <row r="790">
          <cell r="C790" t="str">
            <v>Skokomish CDP, Washington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</row>
        <row r="791">
          <cell r="C791" t="str">
            <v>Skykomish town, Washington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</row>
        <row r="792">
          <cell r="C792" t="str">
            <v>Smokey Point CDP, Washington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</row>
        <row r="793">
          <cell r="C793" t="str">
            <v>Snohomish city, Washington</v>
          </cell>
          <cell r="D793">
            <v>28</v>
          </cell>
          <cell r="E793">
            <v>28</v>
          </cell>
          <cell r="F793">
            <v>0</v>
          </cell>
          <cell r="G793">
            <v>23</v>
          </cell>
          <cell r="H793">
            <v>0</v>
          </cell>
          <cell r="I793">
            <v>4</v>
          </cell>
          <cell r="J793">
            <v>0</v>
          </cell>
          <cell r="K793">
            <v>19</v>
          </cell>
          <cell r="L793">
            <v>5</v>
          </cell>
          <cell r="M793">
            <v>0</v>
          </cell>
          <cell r="N793">
            <v>0</v>
          </cell>
          <cell r="O793">
            <v>5</v>
          </cell>
          <cell r="P793">
            <v>0</v>
          </cell>
          <cell r="Q793">
            <v>0</v>
          </cell>
          <cell r="R793">
            <v>0</v>
          </cell>
          <cell r="S793">
            <v>23</v>
          </cell>
          <cell r="T793">
            <v>5</v>
          </cell>
        </row>
        <row r="794">
          <cell r="C794" t="str">
            <v>Snoqualmie city, Washington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</row>
        <row r="795">
          <cell r="C795" t="str">
            <v>Snoqualmie Pass CDP, Washington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</row>
        <row r="796">
          <cell r="C796" t="str">
            <v>Soap Lake city, Washington</v>
          </cell>
          <cell r="D796">
            <v>15</v>
          </cell>
          <cell r="E796">
            <v>2</v>
          </cell>
          <cell r="F796">
            <v>2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13</v>
          </cell>
          <cell r="Q796">
            <v>5</v>
          </cell>
          <cell r="R796">
            <v>8</v>
          </cell>
          <cell r="S796">
            <v>2</v>
          </cell>
          <cell r="T796">
            <v>13</v>
          </cell>
        </row>
        <row r="797">
          <cell r="C797" t="str">
            <v>South Bend city, Washington</v>
          </cell>
          <cell r="D797">
            <v>6</v>
          </cell>
          <cell r="E797">
            <v>3</v>
          </cell>
          <cell r="F797">
            <v>3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3</v>
          </cell>
          <cell r="Q797">
            <v>0</v>
          </cell>
          <cell r="R797">
            <v>3</v>
          </cell>
          <cell r="S797">
            <v>3</v>
          </cell>
          <cell r="T797">
            <v>3</v>
          </cell>
        </row>
        <row r="798">
          <cell r="C798" t="str">
            <v>South Cle Elum town, Washington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</row>
        <row r="799">
          <cell r="C799" t="str">
            <v>South Hill CDP, Washington</v>
          </cell>
          <cell r="D799">
            <v>744</v>
          </cell>
          <cell r="E799">
            <v>713</v>
          </cell>
          <cell r="F799">
            <v>163</v>
          </cell>
          <cell r="G799">
            <v>512</v>
          </cell>
          <cell r="H799">
            <v>59</v>
          </cell>
          <cell r="I799">
            <v>67</v>
          </cell>
          <cell r="J799">
            <v>266</v>
          </cell>
          <cell r="K799">
            <v>120</v>
          </cell>
          <cell r="L799">
            <v>38</v>
          </cell>
          <cell r="M799">
            <v>0</v>
          </cell>
          <cell r="N799">
            <v>0</v>
          </cell>
          <cell r="O799">
            <v>38</v>
          </cell>
          <cell r="P799">
            <v>31</v>
          </cell>
          <cell r="Q799">
            <v>23</v>
          </cell>
          <cell r="R799">
            <v>8</v>
          </cell>
          <cell r="S799">
            <v>675</v>
          </cell>
          <cell r="T799">
            <v>69</v>
          </cell>
        </row>
        <row r="800">
          <cell r="C800" t="str">
            <v>South Prairie town, Washington</v>
          </cell>
          <cell r="D800">
            <v>2</v>
          </cell>
          <cell r="E800">
            <v>2</v>
          </cell>
          <cell r="F800">
            <v>2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2</v>
          </cell>
          <cell r="T800">
            <v>0</v>
          </cell>
        </row>
        <row r="801">
          <cell r="C801" t="str">
            <v>South Wenatchee CDP, Washington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</row>
        <row r="802">
          <cell r="C802" t="str">
            <v>Spanaway CDP, Washington</v>
          </cell>
          <cell r="D802">
            <v>2099</v>
          </cell>
          <cell r="E802">
            <v>2070</v>
          </cell>
          <cell r="F802">
            <v>744</v>
          </cell>
          <cell r="G802">
            <v>1259</v>
          </cell>
          <cell r="H802">
            <v>181</v>
          </cell>
          <cell r="I802">
            <v>202</v>
          </cell>
          <cell r="J802">
            <v>666</v>
          </cell>
          <cell r="K802">
            <v>210</v>
          </cell>
          <cell r="L802">
            <v>67</v>
          </cell>
          <cell r="M802">
            <v>0</v>
          </cell>
          <cell r="N802">
            <v>0</v>
          </cell>
          <cell r="O802">
            <v>67</v>
          </cell>
          <cell r="P802">
            <v>29</v>
          </cell>
          <cell r="Q802">
            <v>29</v>
          </cell>
          <cell r="R802">
            <v>0</v>
          </cell>
          <cell r="S802">
            <v>2003</v>
          </cell>
          <cell r="T802">
            <v>96</v>
          </cell>
        </row>
        <row r="803">
          <cell r="C803" t="str">
            <v>Spangle town, Washington</v>
          </cell>
          <cell r="D803">
            <v>3</v>
          </cell>
          <cell r="E803">
            <v>3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3</v>
          </cell>
          <cell r="M803">
            <v>0</v>
          </cell>
          <cell r="N803">
            <v>0</v>
          </cell>
          <cell r="O803">
            <v>3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3</v>
          </cell>
        </row>
        <row r="804">
          <cell r="C804" t="str">
            <v>Spokane city, Washington</v>
          </cell>
          <cell r="D804">
            <v>3877</v>
          </cell>
          <cell r="E804">
            <v>3696</v>
          </cell>
          <cell r="F804">
            <v>1697</v>
          </cell>
          <cell r="G804">
            <v>1957</v>
          </cell>
          <cell r="H804">
            <v>193</v>
          </cell>
          <cell r="I804">
            <v>334</v>
          </cell>
          <cell r="J804">
            <v>864</v>
          </cell>
          <cell r="K804">
            <v>566</v>
          </cell>
          <cell r="L804">
            <v>42</v>
          </cell>
          <cell r="M804">
            <v>8</v>
          </cell>
          <cell r="N804">
            <v>5</v>
          </cell>
          <cell r="O804">
            <v>29</v>
          </cell>
          <cell r="P804">
            <v>181</v>
          </cell>
          <cell r="Q804">
            <v>93</v>
          </cell>
          <cell r="R804">
            <v>88</v>
          </cell>
          <cell r="S804">
            <v>3654</v>
          </cell>
          <cell r="T804">
            <v>223</v>
          </cell>
        </row>
        <row r="805">
          <cell r="C805" t="str">
            <v>Sprague city, Washington</v>
          </cell>
          <cell r="D805">
            <v>1</v>
          </cell>
          <cell r="E805">
            <v>1</v>
          </cell>
          <cell r="F805">
            <v>0</v>
          </cell>
          <cell r="G805">
            <v>1</v>
          </cell>
          <cell r="H805">
            <v>0</v>
          </cell>
          <cell r="I805">
            <v>0</v>
          </cell>
          <cell r="J805">
            <v>0</v>
          </cell>
          <cell r="K805">
            <v>1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1</v>
          </cell>
          <cell r="T805">
            <v>0</v>
          </cell>
        </row>
        <row r="806">
          <cell r="C806" t="str">
            <v>Springdale town, Washington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</row>
        <row r="807">
          <cell r="C807" t="str">
            <v>Stanwood city, Washington</v>
          </cell>
          <cell r="D807">
            <v>20</v>
          </cell>
          <cell r="E807">
            <v>20</v>
          </cell>
          <cell r="F807">
            <v>11</v>
          </cell>
          <cell r="G807">
            <v>9</v>
          </cell>
          <cell r="H807">
            <v>0</v>
          </cell>
          <cell r="I807">
            <v>0</v>
          </cell>
          <cell r="J807">
            <v>9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20</v>
          </cell>
          <cell r="T807">
            <v>0</v>
          </cell>
        </row>
        <row r="808">
          <cell r="C808" t="str">
            <v>Starbuck town, Washington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</row>
        <row r="809">
          <cell r="C809" t="str">
            <v>Startup CDP, Washington</v>
          </cell>
          <cell r="D809">
            <v>8</v>
          </cell>
          <cell r="E809">
            <v>8</v>
          </cell>
          <cell r="F809">
            <v>8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8</v>
          </cell>
          <cell r="T809">
            <v>0</v>
          </cell>
        </row>
        <row r="810">
          <cell r="C810" t="str">
            <v>Steilacoom town, Washington</v>
          </cell>
          <cell r="D810">
            <v>353</v>
          </cell>
          <cell r="E810">
            <v>353</v>
          </cell>
          <cell r="F810">
            <v>68</v>
          </cell>
          <cell r="G810">
            <v>256</v>
          </cell>
          <cell r="H810">
            <v>12</v>
          </cell>
          <cell r="I810">
            <v>58</v>
          </cell>
          <cell r="J810">
            <v>113</v>
          </cell>
          <cell r="K810">
            <v>73</v>
          </cell>
          <cell r="L810">
            <v>29</v>
          </cell>
          <cell r="M810">
            <v>0</v>
          </cell>
          <cell r="N810">
            <v>0</v>
          </cell>
          <cell r="O810">
            <v>29</v>
          </cell>
          <cell r="P810">
            <v>0</v>
          </cell>
          <cell r="Q810">
            <v>0</v>
          </cell>
          <cell r="R810">
            <v>0</v>
          </cell>
          <cell r="S810">
            <v>324</v>
          </cell>
          <cell r="T810">
            <v>29</v>
          </cell>
        </row>
        <row r="811">
          <cell r="C811" t="str">
            <v>Stevenson city, Washington</v>
          </cell>
          <cell r="D811">
            <v>2</v>
          </cell>
          <cell r="E811">
            <v>2</v>
          </cell>
          <cell r="F811">
            <v>0</v>
          </cell>
          <cell r="G811">
            <v>2</v>
          </cell>
          <cell r="H811">
            <v>0</v>
          </cell>
          <cell r="I811">
            <v>0</v>
          </cell>
          <cell r="J811">
            <v>2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2</v>
          </cell>
          <cell r="T811">
            <v>0</v>
          </cell>
        </row>
        <row r="812">
          <cell r="C812" t="str">
            <v>Stimson Crossing CDP, Washington</v>
          </cell>
          <cell r="D812">
            <v>9</v>
          </cell>
          <cell r="E812">
            <v>9</v>
          </cell>
          <cell r="F812">
            <v>5</v>
          </cell>
          <cell r="G812">
            <v>4</v>
          </cell>
          <cell r="H812">
            <v>0</v>
          </cell>
          <cell r="I812">
            <v>4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9</v>
          </cell>
          <cell r="T812">
            <v>0</v>
          </cell>
        </row>
        <row r="813">
          <cell r="C813" t="str">
            <v>Sudden Valley CDP, Washington</v>
          </cell>
          <cell r="D813">
            <v>82</v>
          </cell>
          <cell r="E813">
            <v>82</v>
          </cell>
          <cell r="F813">
            <v>0</v>
          </cell>
          <cell r="G813">
            <v>82</v>
          </cell>
          <cell r="H813">
            <v>4</v>
          </cell>
          <cell r="I813">
            <v>0</v>
          </cell>
          <cell r="J813">
            <v>16</v>
          </cell>
          <cell r="K813">
            <v>62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82</v>
          </cell>
          <cell r="T813">
            <v>0</v>
          </cell>
        </row>
        <row r="814">
          <cell r="C814" t="str">
            <v>Sultan city, Washington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</row>
        <row r="815">
          <cell r="C815" t="str">
            <v>Sumas city, Washington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</row>
        <row r="816">
          <cell r="C816" t="str">
            <v>Summit CDP, Washington</v>
          </cell>
          <cell r="D816">
            <v>219</v>
          </cell>
          <cell r="E816">
            <v>189</v>
          </cell>
          <cell r="F816">
            <v>101</v>
          </cell>
          <cell r="G816">
            <v>80</v>
          </cell>
          <cell r="H816">
            <v>0</v>
          </cell>
          <cell r="I816">
            <v>0</v>
          </cell>
          <cell r="J816">
            <v>80</v>
          </cell>
          <cell r="K816">
            <v>0</v>
          </cell>
          <cell r="L816">
            <v>8</v>
          </cell>
          <cell r="M816">
            <v>8</v>
          </cell>
          <cell r="N816">
            <v>0</v>
          </cell>
          <cell r="O816">
            <v>0</v>
          </cell>
          <cell r="P816">
            <v>30</v>
          </cell>
          <cell r="Q816">
            <v>0</v>
          </cell>
          <cell r="R816">
            <v>30</v>
          </cell>
          <cell r="S816">
            <v>181</v>
          </cell>
          <cell r="T816">
            <v>38</v>
          </cell>
        </row>
        <row r="817">
          <cell r="C817" t="str">
            <v>Summitview CDP, Washington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</row>
        <row r="818">
          <cell r="C818" t="str">
            <v>Sumner city, Washington</v>
          </cell>
          <cell r="D818">
            <v>89</v>
          </cell>
          <cell r="E818">
            <v>89</v>
          </cell>
          <cell r="F818">
            <v>52</v>
          </cell>
          <cell r="G818">
            <v>31</v>
          </cell>
          <cell r="H818">
            <v>23</v>
          </cell>
          <cell r="I818">
            <v>0</v>
          </cell>
          <cell r="J818">
            <v>8</v>
          </cell>
          <cell r="K818">
            <v>0</v>
          </cell>
          <cell r="L818">
            <v>6</v>
          </cell>
          <cell r="M818">
            <v>0</v>
          </cell>
          <cell r="N818">
            <v>0</v>
          </cell>
          <cell r="O818">
            <v>6</v>
          </cell>
          <cell r="P818">
            <v>0</v>
          </cell>
          <cell r="Q818">
            <v>0</v>
          </cell>
          <cell r="R818">
            <v>0</v>
          </cell>
          <cell r="S818">
            <v>83</v>
          </cell>
          <cell r="T818">
            <v>6</v>
          </cell>
        </row>
        <row r="819">
          <cell r="C819" t="str">
            <v>Sunnyside city, Washington</v>
          </cell>
          <cell r="D819">
            <v>56</v>
          </cell>
          <cell r="E819">
            <v>56</v>
          </cell>
          <cell r="F819">
            <v>35</v>
          </cell>
          <cell r="G819">
            <v>21</v>
          </cell>
          <cell r="H819">
            <v>0</v>
          </cell>
          <cell r="I819">
            <v>0</v>
          </cell>
          <cell r="J819">
            <v>13</v>
          </cell>
          <cell r="K819">
            <v>8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56</v>
          </cell>
          <cell r="T819">
            <v>0</v>
          </cell>
        </row>
        <row r="820">
          <cell r="C820" t="str">
            <v>Sunnyslope CDP, Washington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</row>
        <row r="821">
          <cell r="C821" t="str">
            <v>Suquamish CDP, Washington</v>
          </cell>
          <cell r="D821">
            <v>7</v>
          </cell>
          <cell r="E821">
            <v>7</v>
          </cell>
          <cell r="F821">
            <v>0</v>
          </cell>
          <cell r="G821">
            <v>7</v>
          </cell>
          <cell r="H821">
            <v>2</v>
          </cell>
          <cell r="I821">
            <v>0</v>
          </cell>
          <cell r="J821">
            <v>4</v>
          </cell>
          <cell r="K821">
            <v>1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7</v>
          </cell>
          <cell r="T821">
            <v>0</v>
          </cell>
        </row>
        <row r="822">
          <cell r="C822" t="str">
            <v>Tacoma city, Washington</v>
          </cell>
          <cell r="D822">
            <v>21667</v>
          </cell>
          <cell r="E822">
            <v>21071</v>
          </cell>
          <cell r="F822">
            <v>8939</v>
          </cell>
          <cell r="G822">
            <v>11547</v>
          </cell>
          <cell r="H822">
            <v>918</v>
          </cell>
          <cell r="I822">
            <v>2005</v>
          </cell>
          <cell r="J822">
            <v>6609</v>
          </cell>
          <cell r="K822">
            <v>2015</v>
          </cell>
          <cell r="L822">
            <v>585</v>
          </cell>
          <cell r="M822">
            <v>14</v>
          </cell>
          <cell r="N822">
            <v>152</v>
          </cell>
          <cell r="O822">
            <v>419</v>
          </cell>
          <cell r="P822">
            <v>596</v>
          </cell>
          <cell r="Q822">
            <v>234</v>
          </cell>
          <cell r="R822">
            <v>362</v>
          </cell>
          <cell r="S822">
            <v>20486</v>
          </cell>
          <cell r="T822">
            <v>1181</v>
          </cell>
        </row>
        <row r="823">
          <cell r="C823" t="str">
            <v>Taholah CDP, Washington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</row>
        <row r="824">
          <cell r="C824" t="str">
            <v>Tanglewilde-Thompson Place CDP, Washington</v>
          </cell>
          <cell r="D824">
            <v>395</v>
          </cell>
          <cell r="E824">
            <v>367</v>
          </cell>
          <cell r="F824">
            <v>92</v>
          </cell>
          <cell r="G824">
            <v>253</v>
          </cell>
          <cell r="H824">
            <v>24</v>
          </cell>
          <cell r="I824">
            <v>20</v>
          </cell>
          <cell r="J824">
            <v>209</v>
          </cell>
          <cell r="K824">
            <v>0</v>
          </cell>
          <cell r="L824">
            <v>22</v>
          </cell>
          <cell r="M824">
            <v>0</v>
          </cell>
          <cell r="N824">
            <v>0</v>
          </cell>
          <cell r="O824">
            <v>22</v>
          </cell>
          <cell r="P824">
            <v>28</v>
          </cell>
          <cell r="Q824">
            <v>0</v>
          </cell>
          <cell r="R824">
            <v>28</v>
          </cell>
          <cell r="S824">
            <v>345</v>
          </cell>
          <cell r="T824">
            <v>50</v>
          </cell>
        </row>
        <row r="825">
          <cell r="C825" t="str">
            <v>Tanner CDP, Washington</v>
          </cell>
          <cell r="D825">
            <v>21</v>
          </cell>
          <cell r="E825">
            <v>21</v>
          </cell>
          <cell r="F825">
            <v>0</v>
          </cell>
          <cell r="G825">
            <v>21</v>
          </cell>
          <cell r="H825">
            <v>0</v>
          </cell>
          <cell r="I825">
            <v>10</v>
          </cell>
          <cell r="J825">
            <v>11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21</v>
          </cell>
          <cell r="T825">
            <v>0</v>
          </cell>
        </row>
        <row r="826">
          <cell r="C826" t="str">
            <v>Tekoa city, Washington</v>
          </cell>
          <cell r="D826">
            <v>2</v>
          </cell>
          <cell r="E826">
            <v>2</v>
          </cell>
          <cell r="F826">
            <v>2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2</v>
          </cell>
          <cell r="T826">
            <v>0</v>
          </cell>
        </row>
        <row r="827">
          <cell r="C827" t="str">
            <v>Tenino city, Washington</v>
          </cell>
          <cell r="D827">
            <v>9</v>
          </cell>
          <cell r="E827">
            <v>8</v>
          </cell>
          <cell r="F827">
            <v>8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1</v>
          </cell>
          <cell r="Q827">
            <v>0</v>
          </cell>
          <cell r="R827">
            <v>1</v>
          </cell>
          <cell r="S827">
            <v>8</v>
          </cell>
          <cell r="T827">
            <v>1</v>
          </cell>
        </row>
        <row r="828">
          <cell r="C828" t="str">
            <v>Terrace Heights CDP, Washington</v>
          </cell>
          <cell r="D828">
            <v>148</v>
          </cell>
          <cell r="E828">
            <v>148</v>
          </cell>
          <cell r="F828">
            <v>111</v>
          </cell>
          <cell r="G828">
            <v>37</v>
          </cell>
          <cell r="H828">
            <v>0</v>
          </cell>
          <cell r="I828">
            <v>0</v>
          </cell>
          <cell r="J828">
            <v>22</v>
          </cell>
          <cell r="K828">
            <v>15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148</v>
          </cell>
          <cell r="T828">
            <v>0</v>
          </cell>
        </row>
        <row r="829">
          <cell r="C829" t="str">
            <v>Thorp CDP, Washington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</row>
        <row r="830">
          <cell r="C830" t="str">
            <v>Three Lakes CDP, Washington</v>
          </cell>
          <cell r="D830">
            <v>5</v>
          </cell>
          <cell r="E830">
            <v>5</v>
          </cell>
          <cell r="F830">
            <v>0</v>
          </cell>
          <cell r="G830">
            <v>5</v>
          </cell>
          <cell r="H830">
            <v>0</v>
          </cell>
          <cell r="I830">
            <v>0</v>
          </cell>
          <cell r="J830">
            <v>5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5</v>
          </cell>
          <cell r="T830">
            <v>0</v>
          </cell>
        </row>
        <row r="831">
          <cell r="C831" t="str">
            <v>Tieton town, Washington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</row>
        <row r="832">
          <cell r="C832" t="str">
            <v>Tokeland CDP, Washington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</row>
        <row r="833">
          <cell r="C833" t="str">
            <v>Toledo city, Washington</v>
          </cell>
          <cell r="D833">
            <v>9</v>
          </cell>
          <cell r="E833">
            <v>7</v>
          </cell>
          <cell r="F833">
            <v>0</v>
          </cell>
          <cell r="G833">
            <v>7</v>
          </cell>
          <cell r="H833">
            <v>0</v>
          </cell>
          <cell r="I833">
            <v>0</v>
          </cell>
          <cell r="J833">
            <v>7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2</v>
          </cell>
          <cell r="Q833">
            <v>2</v>
          </cell>
          <cell r="R833">
            <v>0</v>
          </cell>
          <cell r="S833">
            <v>7</v>
          </cell>
          <cell r="T833">
            <v>2</v>
          </cell>
        </row>
        <row r="834">
          <cell r="C834" t="str">
            <v>Tonasket city, Washington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</row>
        <row r="835">
          <cell r="C835" t="str">
            <v>Toppenish city, Washington</v>
          </cell>
          <cell r="D835">
            <v>44</v>
          </cell>
          <cell r="E835">
            <v>44</v>
          </cell>
          <cell r="F835">
            <v>26</v>
          </cell>
          <cell r="G835">
            <v>18</v>
          </cell>
          <cell r="H835">
            <v>0</v>
          </cell>
          <cell r="I835">
            <v>0</v>
          </cell>
          <cell r="J835">
            <v>9</v>
          </cell>
          <cell r="K835">
            <v>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44</v>
          </cell>
          <cell r="T835">
            <v>0</v>
          </cell>
        </row>
        <row r="836">
          <cell r="C836" t="str">
            <v>Touchet CDP, Washington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</row>
        <row r="837">
          <cell r="C837" t="str">
            <v>Town and Country CDP, Washington</v>
          </cell>
          <cell r="D837">
            <v>21</v>
          </cell>
          <cell r="E837">
            <v>21</v>
          </cell>
          <cell r="F837">
            <v>13</v>
          </cell>
          <cell r="G837">
            <v>8</v>
          </cell>
          <cell r="H837">
            <v>0</v>
          </cell>
          <cell r="I837">
            <v>0</v>
          </cell>
          <cell r="J837">
            <v>8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21</v>
          </cell>
          <cell r="T837">
            <v>0</v>
          </cell>
        </row>
        <row r="838">
          <cell r="C838" t="str">
            <v>Tracyton CDP, Washington</v>
          </cell>
          <cell r="D838">
            <v>136</v>
          </cell>
          <cell r="E838">
            <v>136</v>
          </cell>
          <cell r="F838">
            <v>33</v>
          </cell>
          <cell r="G838">
            <v>78</v>
          </cell>
          <cell r="H838">
            <v>23</v>
          </cell>
          <cell r="I838">
            <v>0</v>
          </cell>
          <cell r="J838">
            <v>43</v>
          </cell>
          <cell r="K838">
            <v>12</v>
          </cell>
          <cell r="L838">
            <v>25</v>
          </cell>
          <cell r="M838">
            <v>0</v>
          </cell>
          <cell r="N838">
            <v>25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111</v>
          </cell>
          <cell r="T838">
            <v>25</v>
          </cell>
        </row>
        <row r="839">
          <cell r="C839" t="str">
            <v>Trentwood CDP, Washington</v>
          </cell>
          <cell r="D839">
            <v>27</v>
          </cell>
          <cell r="E839">
            <v>27</v>
          </cell>
          <cell r="F839">
            <v>0</v>
          </cell>
          <cell r="G839">
            <v>23</v>
          </cell>
          <cell r="H839">
            <v>4</v>
          </cell>
          <cell r="I839">
            <v>0</v>
          </cell>
          <cell r="J839">
            <v>5</v>
          </cell>
          <cell r="K839">
            <v>14</v>
          </cell>
          <cell r="L839">
            <v>4</v>
          </cell>
          <cell r="M839">
            <v>0</v>
          </cell>
          <cell r="N839">
            <v>0</v>
          </cell>
          <cell r="O839">
            <v>4</v>
          </cell>
          <cell r="P839">
            <v>0</v>
          </cell>
          <cell r="Q839">
            <v>0</v>
          </cell>
          <cell r="R839">
            <v>0</v>
          </cell>
          <cell r="S839">
            <v>23</v>
          </cell>
          <cell r="T839">
            <v>4</v>
          </cell>
        </row>
        <row r="840">
          <cell r="C840" t="str">
            <v>Trout Lake CDP, Washington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</row>
        <row r="841">
          <cell r="C841" t="str">
            <v>Tukwila city, Washington</v>
          </cell>
          <cell r="D841">
            <v>2310</v>
          </cell>
          <cell r="E841">
            <v>1928</v>
          </cell>
          <cell r="F841">
            <v>893</v>
          </cell>
          <cell r="G841">
            <v>988</v>
          </cell>
          <cell r="H841">
            <v>103</v>
          </cell>
          <cell r="I841">
            <v>173</v>
          </cell>
          <cell r="J841">
            <v>547</v>
          </cell>
          <cell r="K841">
            <v>165</v>
          </cell>
          <cell r="L841">
            <v>47</v>
          </cell>
          <cell r="M841">
            <v>0</v>
          </cell>
          <cell r="N841">
            <v>0</v>
          </cell>
          <cell r="O841">
            <v>47</v>
          </cell>
          <cell r="P841">
            <v>382</v>
          </cell>
          <cell r="Q841">
            <v>124</v>
          </cell>
          <cell r="R841">
            <v>258</v>
          </cell>
          <cell r="S841">
            <v>1881</v>
          </cell>
          <cell r="T841">
            <v>429</v>
          </cell>
        </row>
        <row r="842">
          <cell r="C842" t="str">
            <v>Tulalip Bay CDP, Washington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</row>
        <row r="843">
          <cell r="C843" t="str">
            <v>Tumwater city, Washington</v>
          </cell>
          <cell r="D843">
            <v>104</v>
          </cell>
          <cell r="E843">
            <v>95</v>
          </cell>
          <cell r="F843">
            <v>39</v>
          </cell>
          <cell r="G843">
            <v>56</v>
          </cell>
          <cell r="H843">
            <v>6</v>
          </cell>
          <cell r="I843">
            <v>0</v>
          </cell>
          <cell r="J843">
            <v>44</v>
          </cell>
          <cell r="K843">
            <v>6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9</v>
          </cell>
          <cell r="Q843">
            <v>9</v>
          </cell>
          <cell r="R843">
            <v>0</v>
          </cell>
          <cell r="S843">
            <v>95</v>
          </cell>
          <cell r="T843">
            <v>9</v>
          </cell>
        </row>
        <row r="844">
          <cell r="C844" t="str">
            <v>Twisp town, Washington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</row>
        <row r="845">
          <cell r="C845" t="str">
            <v>Union Gap city, Washington</v>
          </cell>
          <cell r="D845">
            <v>28</v>
          </cell>
          <cell r="E845">
            <v>28</v>
          </cell>
          <cell r="F845">
            <v>21</v>
          </cell>
          <cell r="G845">
            <v>7</v>
          </cell>
          <cell r="H845">
            <v>0</v>
          </cell>
          <cell r="I845">
            <v>7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28</v>
          </cell>
          <cell r="T845">
            <v>0</v>
          </cell>
        </row>
        <row r="846">
          <cell r="C846" t="str">
            <v>Union Hill-Novelty Hill CDP, Washington</v>
          </cell>
          <cell r="D846">
            <v>127</v>
          </cell>
          <cell r="E846">
            <v>115</v>
          </cell>
          <cell r="F846">
            <v>68</v>
          </cell>
          <cell r="G846">
            <v>47</v>
          </cell>
          <cell r="H846">
            <v>10</v>
          </cell>
          <cell r="I846">
            <v>0</v>
          </cell>
          <cell r="J846">
            <v>37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12</v>
          </cell>
          <cell r="Q846">
            <v>12</v>
          </cell>
          <cell r="R846">
            <v>0</v>
          </cell>
          <cell r="S846">
            <v>115</v>
          </cell>
          <cell r="T846">
            <v>12</v>
          </cell>
        </row>
        <row r="847">
          <cell r="C847" t="str">
            <v>Uniontown town, Washington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</row>
        <row r="848">
          <cell r="C848" t="str">
            <v>University Place city, Washington</v>
          </cell>
          <cell r="D848">
            <v>2597</v>
          </cell>
          <cell r="E848">
            <v>2497</v>
          </cell>
          <cell r="F848">
            <v>844</v>
          </cell>
          <cell r="G848">
            <v>1615</v>
          </cell>
          <cell r="H848">
            <v>176</v>
          </cell>
          <cell r="I848">
            <v>319</v>
          </cell>
          <cell r="J848">
            <v>770</v>
          </cell>
          <cell r="K848">
            <v>350</v>
          </cell>
          <cell r="L848">
            <v>38</v>
          </cell>
          <cell r="M848">
            <v>0</v>
          </cell>
          <cell r="N848">
            <v>0</v>
          </cell>
          <cell r="O848">
            <v>38</v>
          </cell>
          <cell r="P848">
            <v>100</v>
          </cell>
          <cell r="Q848">
            <v>66</v>
          </cell>
          <cell r="R848">
            <v>34</v>
          </cell>
          <cell r="S848">
            <v>2459</v>
          </cell>
          <cell r="T848">
            <v>138</v>
          </cell>
        </row>
        <row r="849">
          <cell r="C849" t="str">
            <v>Vader city, Washington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</row>
        <row r="850">
          <cell r="C850" t="str">
            <v>Vancouver city, Washington</v>
          </cell>
          <cell r="D850">
            <v>3272</v>
          </cell>
          <cell r="E850">
            <v>3018</v>
          </cell>
          <cell r="F850">
            <v>605</v>
          </cell>
          <cell r="G850">
            <v>2364</v>
          </cell>
          <cell r="H850">
            <v>119</v>
          </cell>
          <cell r="I850">
            <v>276</v>
          </cell>
          <cell r="J850">
            <v>731</v>
          </cell>
          <cell r="K850">
            <v>1238</v>
          </cell>
          <cell r="L850">
            <v>49</v>
          </cell>
          <cell r="M850">
            <v>0</v>
          </cell>
          <cell r="N850">
            <v>0</v>
          </cell>
          <cell r="O850">
            <v>49</v>
          </cell>
          <cell r="P850">
            <v>254</v>
          </cell>
          <cell r="Q850">
            <v>105</v>
          </cell>
          <cell r="R850">
            <v>149</v>
          </cell>
          <cell r="S850">
            <v>2969</v>
          </cell>
          <cell r="T850">
            <v>303</v>
          </cell>
        </row>
        <row r="851">
          <cell r="C851" t="str">
            <v>Vantage CDP, Washington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</row>
        <row r="852">
          <cell r="C852" t="str">
            <v>Vashon CDP, Washington</v>
          </cell>
          <cell r="D852">
            <v>79</v>
          </cell>
          <cell r="E852">
            <v>57</v>
          </cell>
          <cell r="F852">
            <v>0</v>
          </cell>
          <cell r="G852">
            <v>57</v>
          </cell>
          <cell r="H852">
            <v>0</v>
          </cell>
          <cell r="I852">
            <v>13</v>
          </cell>
          <cell r="J852">
            <v>33</v>
          </cell>
          <cell r="K852">
            <v>11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22</v>
          </cell>
          <cell r="Q852">
            <v>0</v>
          </cell>
          <cell r="R852">
            <v>22</v>
          </cell>
          <cell r="S852">
            <v>57</v>
          </cell>
          <cell r="T852">
            <v>22</v>
          </cell>
        </row>
        <row r="853">
          <cell r="C853" t="str">
            <v>Venersborg CDP, Washington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</row>
        <row r="854">
          <cell r="C854" t="str">
            <v>Veradale CDP, Washington</v>
          </cell>
          <cell r="D854">
            <v>64</v>
          </cell>
          <cell r="E854">
            <v>64</v>
          </cell>
          <cell r="F854">
            <v>13</v>
          </cell>
          <cell r="G854">
            <v>37</v>
          </cell>
          <cell r="H854">
            <v>0</v>
          </cell>
          <cell r="I854">
            <v>14</v>
          </cell>
          <cell r="J854">
            <v>16</v>
          </cell>
          <cell r="K854">
            <v>7</v>
          </cell>
          <cell r="L854">
            <v>14</v>
          </cell>
          <cell r="M854">
            <v>0</v>
          </cell>
          <cell r="N854">
            <v>0</v>
          </cell>
          <cell r="O854">
            <v>14</v>
          </cell>
          <cell r="P854">
            <v>0</v>
          </cell>
          <cell r="Q854">
            <v>0</v>
          </cell>
          <cell r="R854">
            <v>0</v>
          </cell>
          <cell r="S854">
            <v>50</v>
          </cell>
          <cell r="T854">
            <v>14</v>
          </cell>
        </row>
        <row r="855">
          <cell r="C855" t="str">
            <v>Verlot CDP, Washington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</row>
        <row r="856">
          <cell r="C856" t="str">
            <v>Waitsburg city, Washington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</row>
        <row r="857">
          <cell r="C857" t="str">
            <v>Walla Walla city, Washington</v>
          </cell>
          <cell r="D857">
            <v>694</v>
          </cell>
          <cell r="E857">
            <v>676</v>
          </cell>
          <cell r="F857">
            <v>332</v>
          </cell>
          <cell r="G857">
            <v>344</v>
          </cell>
          <cell r="H857">
            <v>28</v>
          </cell>
          <cell r="I857">
            <v>18</v>
          </cell>
          <cell r="J857">
            <v>169</v>
          </cell>
          <cell r="K857">
            <v>129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18</v>
          </cell>
          <cell r="Q857">
            <v>10</v>
          </cell>
          <cell r="R857">
            <v>8</v>
          </cell>
          <cell r="S857">
            <v>676</v>
          </cell>
          <cell r="T857">
            <v>18</v>
          </cell>
        </row>
        <row r="858">
          <cell r="C858" t="str">
            <v>Walla Walla East CDP, Washington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</row>
        <row r="859">
          <cell r="C859" t="str">
            <v>Waller CDP, Washington</v>
          </cell>
          <cell r="D859">
            <v>238</v>
          </cell>
          <cell r="E859">
            <v>233</v>
          </cell>
          <cell r="F859">
            <v>102</v>
          </cell>
          <cell r="G859">
            <v>124</v>
          </cell>
          <cell r="H859">
            <v>3</v>
          </cell>
          <cell r="I859">
            <v>17</v>
          </cell>
          <cell r="J859">
            <v>95</v>
          </cell>
          <cell r="K859">
            <v>9</v>
          </cell>
          <cell r="L859">
            <v>7</v>
          </cell>
          <cell r="M859">
            <v>0</v>
          </cell>
          <cell r="N859">
            <v>0</v>
          </cell>
          <cell r="O859">
            <v>7</v>
          </cell>
          <cell r="P859">
            <v>5</v>
          </cell>
          <cell r="Q859">
            <v>5</v>
          </cell>
          <cell r="R859">
            <v>0</v>
          </cell>
          <cell r="S859">
            <v>226</v>
          </cell>
          <cell r="T859">
            <v>12</v>
          </cell>
        </row>
        <row r="860">
          <cell r="C860" t="str">
            <v>Wallula CDP, Washington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</row>
        <row r="861">
          <cell r="C861" t="str">
            <v>Walnut Grove CDP, Washington</v>
          </cell>
          <cell r="D861">
            <v>78</v>
          </cell>
          <cell r="E861">
            <v>78</v>
          </cell>
          <cell r="F861">
            <v>34</v>
          </cell>
          <cell r="G861">
            <v>44</v>
          </cell>
          <cell r="H861">
            <v>0</v>
          </cell>
          <cell r="I861">
            <v>0</v>
          </cell>
          <cell r="J861">
            <v>0</v>
          </cell>
          <cell r="K861">
            <v>44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78</v>
          </cell>
          <cell r="T861">
            <v>0</v>
          </cell>
        </row>
        <row r="862">
          <cell r="C862" t="str">
            <v>Wapato city, Washington</v>
          </cell>
          <cell r="D862">
            <v>13</v>
          </cell>
          <cell r="E862">
            <v>13</v>
          </cell>
          <cell r="F862">
            <v>0</v>
          </cell>
          <cell r="G862">
            <v>13</v>
          </cell>
          <cell r="H862">
            <v>0</v>
          </cell>
          <cell r="I862">
            <v>0</v>
          </cell>
          <cell r="J862">
            <v>13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13</v>
          </cell>
          <cell r="T862">
            <v>0</v>
          </cell>
        </row>
        <row r="863">
          <cell r="C863" t="str">
            <v>Warden city, Washington</v>
          </cell>
          <cell r="D863">
            <v>6</v>
          </cell>
          <cell r="E863">
            <v>6</v>
          </cell>
          <cell r="F863">
            <v>4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2</v>
          </cell>
          <cell r="M863">
            <v>0</v>
          </cell>
          <cell r="N863">
            <v>0</v>
          </cell>
          <cell r="O863">
            <v>2</v>
          </cell>
          <cell r="P863">
            <v>0</v>
          </cell>
          <cell r="Q863">
            <v>0</v>
          </cell>
          <cell r="R863">
            <v>0</v>
          </cell>
          <cell r="S863">
            <v>4</v>
          </cell>
          <cell r="T863">
            <v>2</v>
          </cell>
        </row>
        <row r="864">
          <cell r="C864" t="str">
            <v>Warm Beach CDP, Washington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</row>
        <row r="865">
          <cell r="C865" t="str">
            <v>Washougal city, Washington</v>
          </cell>
          <cell r="D865">
            <v>44</v>
          </cell>
          <cell r="E865">
            <v>44</v>
          </cell>
          <cell r="F865">
            <v>6</v>
          </cell>
          <cell r="G865">
            <v>38</v>
          </cell>
          <cell r="H865">
            <v>0</v>
          </cell>
          <cell r="I865">
            <v>17</v>
          </cell>
          <cell r="J865">
            <v>0</v>
          </cell>
          <cell r="K865">
            <v>21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44</v>
          </cell>
          <cell r="T865">
            <v>0</v>
          </cell>
        </row>
        <row r="866">
          <cell r="C866" t="str">
            <v>Washtucna town, Washington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</row>
        <row r="867">
          <cell r="C867" t="str">
            <v>Waterville town, Washington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</row>
        <row r="868">
          <cell r="C868" t="str">
            <v>Waverly town, Washington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</row>
        <row r="869">
          <cell r="C869" t="str">
            <v>Weallup Lake CDP, Washington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</row>
        <row r="870">
          <cell r="C870" t="str">
            <v>Wenatchee city, Washington</v>
          </cell>
          <cell r="D870">
            <v>137</v>
          </cell>
          <cell r="E870">
            <v>47</v>
          </cell>
          <cell r="F870">
            <v>37</v>
          </cell>
          <cell r="G870">
            <v>10</v>
          </cell>
          <cell r="H870">
            <v>0</v>
          </cell>
          <cell r="I870">
            <v>0</v>
          </cell>
          <cell r="J870">
            <v>10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90</v>
          </cell>
          <cell r="Q870">
            <v>0</v>
          </cell>
          <cell r="R870">
            <v>90</v>
          </cell>
          <cell r="S870">
            <v>47</v>
          </cell>
          <cell r="T870">
            <v>90</v>
          </cell>
        </row>
        <row r="871">
          <cell r="C871" t="str">
            <v>West Clarkston-Highland CDP, Washington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</row>
        <row r="872">
          <cell r="C872" t="str">
            <v>West Lake Sammamish CDP, Washington</v>
          </cell>
          <cell r="D872">
            <v>11</v>
          </cell>
          <cell r="E872">
            <v>11</v>
          </cell>
          <cell r="F872">
            <v>0</v>
          </cell>
          <cell r="G872">
            <v>11</v>
          </cell>
          <cell r="H872">
            <v>0</v>
          </cell>
          <cell r="I872">
            <v>0</v>
          </cell>
          <cell r="J872">
            <v>0</v>
          </cell>
          <cell r="K872">
            <v>11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11</v>
          </cell>
          <cell r="T872">
            <v>0</v>
          </cell>
        </row>
        <row r="873">
          <cell r="C873" t="str">
            <v>West Lake Stevens CDP, Washington</v>
          </cell>
          <cell r="D873">
            <v>168</v>
          </cell>
          <cell r="E873">
            <v>163</v>
          </cell>
          <cell r="F873">
            <v>49</v>
          </cell>
          <cell r="G873">
            <v>110</v>
          </cell>
          <cell r="H873">
            <v>18</v>
          </cell>
          <cell r="I873">
            <v>0</v>
          </cell>
          <cell r="J873">
            <v>84</v>
          </cell>
          <cell r="K873">
            <v>8</v>
          </cell>
          <cell r="L873">
            <v>4</v>
          </cell>
          <cell r="M873">
            <v>0</v>
          </cell>
          <cell r="N873">
            <v>0</v>
          </cell>
          <cell r="O873">
            <v>4</v>
          </cell>
          <cell r="P873">
            <v>5</v>
          </cell>
          <cell r="Q873">
            <v>0</v>
          </cell>
          <cell r="R873">
            <v>5</v>
          </cell>
          <cell r="S873">
            <v>159</v>
          </cell>
          <cell r="T873">
            <v>9</v>
          </cell>
        </row>
        <row r="874">
          <cell r="C874" t="str">
            <v>West Longview CDP, Washington</v>
          </cell>
          <cell r="D874">
            <v>9</v>
          </cell>
          <cell r="E874">
            <v>9</v>
          </cell>
          <cell r="F874">
            <v>9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9</v>
          </cell>
          <cell r="T874">
            <v>0</v>
          </cell>
        </row>
        <row r="875">
          <cell r="C875" t="str">
            <v>West Pasco CDP, Washington</v>
          </cell>
          <cell r="D875">
            <v>30</v>
          </cell>
          <cell r="E875">
            <v>23</v>
          </cell>
          <cell r="F875">
            <v>0</v>
          </cell>
          <cell r="G875">
            <v>23</v>
          </cell>
          <cell r="H875">
            <v>0</v>
          </cell>
          <cell r="I875">
            <v>0</v>
          </cell>
          <cell r="J875">
            <v>23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7</v>
          </cell>
          <cell r="Q875">
            <v>0</v>
          </cell>
          <cell r="R875">
            <v>7</v>
          </cell>
          <cell r="S875">
            <v>23</v>
          </cell>
          <cell r="T875">
            <v>7</v>
          </cell>
        </row>
        <row r="876">
          <cell r="C876" t="str">
            <v>Westport city, Washington</v>
          </cell>
          <cell r="D876">
            <v>7</v>
          </cell>
          <cell r="E876">
            <v>7</v>
          </cell>
          <cell r="F876">
            <v>3</v>
          </cell>
          <cell r="G876">
            <v>4</v>
          </cell>
          <cell r="H876">
            <v>0</v>
          </cell>
          <cell r="I876">
            <v>0</v>
          </cell>
          <cell r="J876">
            <v>4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7</v>
          </cell>
          <cell r="T876">
            <v>0</v>
          </cell>
        </row>
        <row r="877">
          <cell r="C877" t="str">
            <v>West Richland city, Washington</v>
          </cell>
          <cell r="D877">
            <v>35</v>
          </cell>
          <cell r="E877">
            <v>35</v>
          </cell>
          <cell r="F877">
            <v>12</v>
          </cell>
          <cell r="G877">
            <v>23</v>
          </cell>
          <cell r="H877">
            <v>0</v>
          </cell>
          <cell r="I877">
            <v>0</v>
          </cell>
          <cell r="J877">
            <v>15</v>
          </cell>
          <cell r="K877">
            <v>8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35</v>
          </cell>
          <cell r="T877">
            <v>0</v>
          </cell>
        </row>
        <row r="878">
          <cell r="C878" t="str">
            <v>West Side Highway CDP, Washington</v>
          </cell>
          <cell r="D878">
            <v>31</v>
          </cell>
          <cell r="E878">
            <v>31</v>
          </cell>
          <cell r="F878">
            <v>0</v>
          </cell>
          <cell r="G878">
            <v>31</v>
          </cell>
          <cell r="H878">
            <v>0</v>
          </cell>
          <cell r="I878">
            <v>20</v>
          </cell>
          <cell r="J878">
            <v>0</v>
          </cell>
          <cell r="K878">
            <v>11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31</v>
          </cell>
          <cell r="T878">
            <v>0</v>
          </cell>
        </row>
        <row r="879">
          <cell r="C879" t="str">
            <v>West Valley CDP, Washington</v>
          </cell>
          <cell r="D879">
            <v>65</v>
          </cell>
          <cell r="E879">
            <v>65</v>
          </cell>
          <cell r="F879">
            <v>56</v>
          </cell>
          <cell r="G879">
            <v>9</v>
          </cell>
          <cell r="H879">
            <v>0</v>
          </cell>
          <cell r="I879">
            <v>4</v>
          </cell>
          <cell r="J879">
            <v>0</v>
          </cell>
          <cell r="K879">
            <v>5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65</v>
          </cell>
          <cell r="T879">
            <v>0</v>
          </cell>
        </row>
        <row r="880">
          <cell r="C880" t="str">
            <v>West Wenatchee CDP, Washington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</row>
        <row r="881">
          <cell r="C881" t="str">
            <v>White Center CDP, Washington</v>
          </cell>
          <cell r="D881">
            <v>1395</v>
          </cell>
          <cell r="E881">
            <v>1107</v>
          </cell>
          <cell r="F881">
            <v>589</v>
          </cell>
          <cell r="G881">
            <v>509</v>
          </cell>
          <cell r="H881">
            <v>37</v>
          </cell>
          <cell r="I881">
            <v>119</v>
          </cell>
          <cell r="J881">
            <v>287</v>
          </cell>
          <cell r="K881">
            <v>66</v>
          </cell>
          <cell r="L881">
            <v>9</v>
          </cell>
          <cell r="M881">
            <v>0</v>
          </cell>
          <cell r="N881">
            <v>0</v>
          </cell>
          <cell r="O881">
            <v>9</v>
          </cell>
          <cell r="P881">
            <v>288</v>
          </cell>
          <cell r="Q881">
            <v>62</v>
          </cell>
          <cell r="R881">
            <v>226</v>
          </cell>
          <cell r="S881">
            <v>1098</v>
          </cell>
          <cell r="T881">
            <v>297</v>
          </cell>
        </row>
        <row r="882">
          <cell r="C882" t="str">
            <v>White Salmon city, Washington</v>
          </cell>
          <cell r="D882">
            <v>14</v>
          </cell>
          <cell r="E882">
            <v>10</v>
          </cell>
          <cell r="F882">
            <v>3</v>
          </cell>
          <cell r="G882">
            <v>7</v>
          </cell>
          <cell r="H882">
            <v>0</v>
          </cell>
          <cell r="I882">
            <v>1</v>
          </cell>
          <cell r="J882">
            <v>0</v>
          </cell>
          <cell r="K882">
            <v>6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4</v>
          </cell>
          <cell r="Q882">
            <v>0</v>
          </cell>
          <cell r="R882">
            <v>4</v>
          </cell>
          <cell r="S882">
            <v>10</v>
          </cell>
          <cell r="T882">
            <v>4</v>
          </cell>
        </row>
        <row r="883">
          <cell r="C883" t="str">
            <v>White Swan CDP, Washington</v>
          </cell>
          <cell r="D883">
            <v>20</v>
          </cell>
          <cell r="E883">
            <v>20</v>
          </cell>
          <cell r="F883">
            <v>15</v>
          </cell>
          <cell r="G883">
            <v>5</v>
          </cell>
          <cell r="H883">
            <v>0</v>
          </cell>
          <cell r="I883">
            <v>5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20</v>
          </cell>
          <cell r="T883">
            <v>0</v>
          </cell>
        </row>
        <row r="884">
          <cell r="C884" t="str">
            <v>Wilbur town, Washington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</row>
        <row r="885">
          <cell r="C885" t="str">
            <v>Wilkeson town, Washington</v>
          </cell>
          <cell r="D885">
            <v>2</v>
          </cell>
          <cell r="E885">
            <v>2</v>
          </cell>
          <cell r="F885">
            <v>0</v>
          </cell>
          <cell r="G885">
            <v>2</v>
          </cell>
          <cell r="H885">
            <v>0</v>
          </cell>
          <cell r="I885">
            <v>0</v>
          </cell>
          <cell r="J885">
            <v>2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2</v>
          </cell>
          <cell r="T885">
            <v>0</v>
          </cell>
        </row>
        <row r="886">
          <cell r="C886" t="str">
            <v>Wilson Creek town, Washington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</row>
        <row r="887">
          <cell r="C887" t="str">
            <v>Winlock city, Washington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</row>
        <row r="888">
          <cell r="C888" t="str">
            <v>Winthrop town, Washington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</row>
        <row r="889">
          <cell r="C889" t="str">
            <v>Wishram CDP, Washington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</row>
        <row r="890">
          <cell r="C890" t="str">
            <v>Woodinville city, Washington</v>
          </cell>
          <cell r="D890">
            <v>101</v>
          </cell>
          <cell r="E890">
            <v>101</v>
          </cell>
          <cell r="F890">
            <v>43</v>
          </cell>
          <cell r="G890">
            <v>58</v>
          </cell>
          <cell r="H890">
            <v>11</v>
          </cell>
          <cell r="I890">
            <v>6</v>
          </cell>
          <cell r="J890">
            <v>20</v>
          </cell>
          <cell r="K890">
            <v>21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101</v>
          </cell>
          <cell r="T890">
            <v>0</v>
          </cell>
        </row>
        <row r="891">
          <cell r="C891" t="str">
            <v>Woodland city, Washington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</row>
        <row r="892">
          <cell r="C892" t="str">
            <v>Woods Creek CDP, Washington</v>
          </cell>
          <cell r="D892">
            <v>17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17</v>
          </cell>
          <cell r="Q892">
            <v>17</v>
          </cell>
          <cell r="R892">
            <v>0</v>
          </cell>
          <cell r="S892">
            <v>0</v>
          </cell>
          <cell r="T892">
            <v>17</v>
          </cell>
        </row>
        <row r="893">
          <cell r="C893" t="str">
            <v>Woodway city, Washington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</row>
        <row r="894">
          <cell r="C894" t="str">
            <v>Yacolt town, Washington</v>
          </cell>
          <cell r="D894">
            <v>5</v>
          </cell>
          <cell r="E894">
            <v>5</v>
          </cell>
          <cell r="F894">
            <v>4</v>
          </cell>
          <cell r="G894">
            <v>1</v>
          </cell>
          <cell r="H894">
            <v>0</v>
          </cell>
          <cell r="I894">
            <v>0</v>
          </cell>
          <cell r="J894">
            <v>0</v>
          </cell>
          <cell r="K894">
            <v>1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5</v>
          </cell>
          <cell r="T894">
            <v>0</v>
          </cell>
        </row>
        <row r="895">
          <cell r="C895" t="str">
            <v>Yakima city, Washington</v>
          </cell>
          <cell r="D895">
            <v>1287</v>
          </cell>
          <cell r="E895">
            <v>1258</v>
          </cell>
          <cell r="F895">
            <v>742</v>
          </cell>
          <cell r="G895">
            <v>504</v>
          </cell>
          <cell r="H895">
            <v>49</v>
          </cell>
          <cell r="I895">
            <v>42</v>
          </cell>
          <cell r="J895">
            <v>250</v>
          </cell>
          <cell r="K895">
            <v>163</v>
          </cell>
          <cell r="L895">
            <v>12</v>
          </cell>
          <cell r="M895">
            <v>0</v>
          </cell>
          <cell r="N895">
            <v>0</v>
          </cell>
          <cell r="O895">
            <v>12</v>
          </cell>
          <cell r="P895">
            <v>29</v>
          </cell>
          <cell r="Q895">
            <v>20</v>
          </cell>
          <cell r="R895">
            <v>9</v>
          </cell>
          <cell r="S895">
            <v>1246</v>
          </cell>
          <cell r="T895">
            <v>41</v>
          </cell>
        </row>
        <row r="896">
          <cell r="C896" t="str">
            <v>Yarrow Point town, Washington</v>
          </cell>
          <cell r="D896">
            <v>6</v>
          </cell>
          <cell r="E896">
            <v>6</v>
          </cell>
          <cell r="F896">
            <v>0</v>
          </cell>
          <cell r="G896">
            <v>3</v>
          </cell>
          <cell r="H896">
            <v>0</v>
          </cell>
          <cell r="I896">
            <v>0</v>
          </cell>
          <cell r="J896">
            <v>3</v>
          </cell>
          <cell r="K896">
            <v>0</v>
          </cell>
          <cell r="L896">
            <v>3</v>
          </cell>
          <cell r="M896">
            <v>0</v>
          </cell>
          <cell r="N896">
            <v>0</v>
          </cell>
          <cell r="O896">
            <v>3</v>
          </cell>
          <cell r="P896">
            <v>0</v>
          </cell>
          <cell r="Q896">
            <v>0</v>
          </cell>
          <cell r="R896">
            <v>0</v>
          </cell>
          <cell r="S896">
            <v>3</v>
          </cell>
          <cell r="T896">
            <v>3</v>
          </cell>
        </row>
        <row r="897">
          <cell r="C897" t="str">
            <v>Yelm city, Washington</v>
          </cell>
          <cell r="D897">
            <v>69</v>
          </cell>
          <cell r="E897">
            <v>69</v>
          </cell>
          <cell r="F897">
            <v>11</v>
          </cell>
          <cell r="G897">
            <v>38</v>
          </cell>
          <cell r="H897">
            <v>14</v>
          </cell>
          <cell r="I897">
            <v>9</v>
          </cell>
          <cell r="J897">
            <v>15</v>
          </cell>
          <cell r="K897">
            <v>0</v>
          </cell>
          <cell r="L897">
            <v>20</v>
          </cell>
          <cell r="M897">
            <v>0</v>
          </cell>
          <cell r="N897">
            <v>0</v>
          </cell>
          <cell r="O897">
            <v>20</v>
          </cell>
          <cell r="P897">
            <v>0</v>
          </cell>
          <cell r="Q897">
            <v>0</v>
          </cell>
          <cell r="R897">
            <v>0</v>
          </cell>
          <cell r="S897">
            <v>49</v>
          </cell>
          <cell r="T897">
            <v>20</v>
          </cell>
        </row>
        <row r="898">
          <cell r="C898" t="str">
            <v>Zillah city, Washington</v>
          </cell>
          <cell r="D898">
            <v>13</v>
          </cell>
          <cell r="E898">
            <v>13</v>
          </cell>
          <cell r="F898">
            <v>8</v>
          </cell>
          <cell r="G898">
            <v>5</v>
          </cell>
          <cell r="H898">
            <v>0</v>
          </cell>
          <cell r="I898">
            <v>0</v>
          </cell>
          <cell r="J898">
            <v>0</v>
          </cell>
          <cell r="K898">
            <v>5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13</v>
          </cell>
          <cell r="T898">
            <v>0</v>
          </cell>
        </row>
      </sheetData>
      <sheetData sheetId="6">
        <row r="1">
          <cell r="C1" t="str">
            <v>GEO.display-label</v>
          </cell>
          <cell r="D1" t="str">
            <v>VD01</v>
          </cell>
          <cell r="E1" t="str">
            <v>VD02</v>
          </cell>
          <cell r="F1" t="str">
            <v>VD03</v>
          </cell>
          <cell r="G1" t="str">
            <v>VD04</v>
          </cell>
          <cell r="H1" t="str">
            <v>VD05</v>
          </cell>
          <cell r="I1" t="str">
            <v>VD06</v>
          </cell>
          <cell r="J1" t="str">
            <v>VD07</v>
          </cell>
          <cell r="K1" t="str">
            <v>VD08</v>
          </cell>
          <cell r="L1" t="str">
            <v>VD09</v>
          </cell>
          <cell r="M1" t="str">
            <v>VD10</v>
          </cell>
          <cell r="N1" t="str">
            <v>VD11</v>
          </cell>
          <cell r="O1" t="str">
            <v>VD12</v>
          </cell>
          <cell r="P1" t="str">
            <v>VD13</v>
          </cell>
          <cell r="Q1" t="str">
            <v>VD14</v>
          </cell>
          <cell r="R1" t="str">
            <v>VD15</v>
          </cell>
        </row>
        <row r="2">
          <cell r="C2" t="str">
            <v>Geography</v>
          </cell>
          <cell r="D2" t="str">
            <v>Total:</v>
          </cell>
          <cell r="E2" t="str">
            <v>Native:</v>
          </cell>
          <cell r="F2" t="str">
            <v>Native: - Born in state of residence</v>
          </cell>
          <cell r="G2" t="str">
            <v>Native: - Born in other state in the United States:</v>
          </cell>
          <cell r="H2" t="str">
            <v>Native: - Born in other state in the United States: - Northeast</v>
          </cell>
          <cell r="I2" t="str">
            <v>Native: - Born in other state in the United States: - Midwest</v>
          </cell>
          <cell r="J2" t="str">
            <v>Native: - Born in other state in the United States: - South</v>
          </cell>
          <cell r="K2" t="str">
            <v>Native: - Born in other state in the United States: - West</v>
          </cell>
          <cell r="L2" t="str">
            <v>Native: - Born outside the United States:</v>
          </cell>
          <cell r="M2" t="str">
            <v>Native: - Born outside the United States: - Puerto Rico</v>
          </cell>
          <cell r="N2" t="str">
            <v>Native: - Born outside the United States: - U.S. Island Areas</v>
          </cell>
          <cell r="O2" t="str">
            <v>Native: - Born outside the United States: - Born abroad of American parent(s)</v>
          </cell>
          <cell r="P2" t="str">
            <v>Foreign born:</v>
          </cell>
          <cell r="Q2" t="str">
            <v>Foreign born: - Naturalized citizen</v>
          </cell>
          <cell r="R2" t="str">
            <v>Foreign born: - Not a citizen</v>
          </cell>
          <cell r="S2" t="str">
            <v>Born in US</v>
          </cell>
          <cell r="T2" t="str">
            <v>Born outside US</v>
          </cell>
        </row>
        <row r="3">
          <cell r="C3" t="str">
            <v>King County, Washington</v>
          </cell>
          <cell r="D3">
            <v>15728</v>
          </cell>
          <cell r="E3">
            <v>14857</v>
          </cell>
          <cell r="F3">
            <v>8139</v>
          </cell>
          <cell r="G3">
            <v>6513</v>
          </cell>
          <cell r="H3">
            <v>263</v>
          </cell>
          <cell r="I3">
            <v>1303</v>
          </cell>
          <cell r="J3">
            <v>794</v>
          </cell>
          <cell r="K3">
            <v>4153</v>
          </cell>
          <cell r="L3">
            <v>205</v>
          </cell>
          <cell r="M3">
            <v>14</v>
          </cell>
          <cell r="N3">
            <v>0</v>
          </cell>
          <cell r="O3">
            <v>191</v>
          </cell>
          <cell r="P3">
            <v>871</v>
          </cell>
          <cell r="Q3">
            <v>338</v>
          </cell>
          <cell r="R3">
            <v>533</v>
          </cell>
          <cell r="S3">
            <v>14652</v>
          </cell>
          <cell r="T3">
            <v>1076</v>
          </cell>
        </row>
        <row r="4">
          <cell r="C4" t="str">
            <v>Census Tract 1, King County, Washington</v>
          </cell>
          <cell r="D4">
            <v>82</v>
          </cell>
          <cell r="E4">
            <v>82</v>
          </cell>
          <cell r="F4">
            <v>39</v>
          </cell>
          <cell r="G4">
            <v>43</v>
          </cell>
          <cell r="H4">
            <v>0</v>
          </cell>
          <cell r="I4">
            <v>21</v>
          </cell>
          <cell r="J4">
            <v>0</v>
          </cell>
          <cell r="K4">
            <v>22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82</v>
          </cell>
          <cell r="T4">
            <v>0</v>
          </cell>
        </row>
        <row r="5">
          <cell r="C5" t="str">
            <v>Census Tract 2, King County, Washington</v>
          </cell>
          <cell r="D5">
            <v>43</v>
          </cell>
          <cell r="E5">
            <v>43</v>
          </cell>
          <cell r="F5">
            <v>5</v>
          </cell>
          <cell r="G5">
            <v>38</v>
          </cell>
          <cell r="H5">
            <v>0</v>
          </cell>
          <cell r="I5">
            <v>0</v>
          </cell>
          <cell r="J5">
            <v>0</v>
          </cell>
          <cell r="K5">
            <v>38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43</v>
          </cell>
          <cell r="T5">
            <v>0</v>
          </cell>
        </row>
        <row r="6">
          <cell r="C6" t="str">
            <v>Census Tract 3, King County, Washington</v>
          </cell>
          <cell r="D6">
            <v>14</v>
          </cell>
          <cell r="E6">
            <v>14</v>
          </cell>
          <cell r="F6">
            <v>0</v>
          </cell>
          <cell r="G6">
            <v>14</v>
          </cell>
          <cell r="H6">
            <v>0</v>
          </cell>
          <cell r="I6">
            <v>0</v>
          </cell>
          <cell r="J6">
            <v>0</v>
          </cell>
          <cell r="K6">
            <v>14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14</v>
          </cell>
          <cell r="T6">
            <v>0</v>
          </cell>
        </row>
        <row r="7">
          <cell r="C7" t="str">
            <v>Census Tract 4.01, King County, Washington</v>
          </cell>
          <cell r="D7">
            <v>5</v>
          </cell>
          <cell r="E7">
            <v>5</v>
          </cell>
          <cell r="F7">
            <v>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5</v>
          </cell>
          <cell r="T7">
            <v>0</v>
          </cell>
        </row>
        <row r="8">
          <cell r="C8" t="str">
            <v>Census Tract 4.02, King County, Washington</v>
          </cell>
          <cell r="D8">
            <v>67</v>
          </cell>
          <cell r="E8">
            <v>67</v>
          </cell>
          <cell r="F8">
            <v>16</v>
          </cell>
          <cell r="G8">
            <v>51</v>
          </cell>
          <cell r="H8">
            <v>0</v>
          </cell>
          <cell r="I8">
            <v>9</v>
          </cell>
          <cell r="J8">
            <v>0</v>
          </cell>
          <cell r="K8">
            <v>42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67</v>
          </cell>
          <cell r="T8">
            <v>0</v>
          </cell>
        </row>
        <row r="9">
          <cell r="C9" t="str">
            <v>Census Tract 5, King County, Washington</v>
          </cell>
          <cell r="D9">
            <v>18</v>
          </cell>
          <cell r="E9">
            <v>18</v>
          </cell>
          <cell r="F9">
            <v>0</v>
          </cell>
          <cell r="G9">
            <v>18</v>
          </cell>
          <cell r="H9">
            <v>0</v>
          </cell>
          <cell r="I9">
            <v>13</v>
          </cell>
          <cell r="J9">
            <v>0</v>
          </cell>
          <cell r="K9">
            <v>5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18</v>
          </cell>
          <cell r="T9">
            <v>0</v>
          </cell>
        </row>
        <row r="10">
          <cell r="C10" t="str">
            <v>Census Tract 6, King County, Washington</v>
          </cell>
          <cell r="D10">
            <v>58</v>
          </cell>
          <cell r="E10">
            <v>38</v>
          </cell>
          <cell r="F10">
            <v>30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8</v>
          </cell>
          <cell r="M10">
            <v>0</v>
          </cell>
          <cell r="N10">
            <v>0</v>
          </cell>
          <cell r="O10">
            <v>8</v>
          </cell>
          <cell r="P10">
            <v>20</v>
          </cell>
          <cell r="Q10">
            <v>0</v>
          </cell>
          <cell r="R10">
            <v>20</v>
          </cell>
          <cell r="S10">
            <v>30</v>
          </cell>
          <cell r="T10">
            <v>28</v>
          </cell>
        </row>
        <row r="11">
          <cell r="C11" t="str">
            <v>Census Tract 7, King County, Washington</v>
          </cell>
          <cell r="D11">
            <v>45</v>
          </cell>
          <cell r="E11">
            <v>38</v>
          </cell>
          <cell r="F11">
            <v>28</v>
          </cell>
          <cell r="G11">
            <v>10</v>
          </cell>
          <cell r="H11">
            <v>0</v>
          </cell>
          <cell r="I11">
            <v>0</v>
          </cell>
          <cell r="J11">
            <v>0</v>
          </cell>
          <cell r="K11">
            <v>10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7</v>
          </cell>
          <cell r="Q11">
            <v>7</v>
          </cell>
          <cell r="R11">
            <v>0</v>
          </cell>
          <cell r="S11">
            <v>38</v>
          </cell>
          <cell r="T11">
            <v>7</v>
          </cell>
        </row>
        <row r="12">
          <cell r="C12" t="str">
            <v>Census Tract 8, King County, Washington</v>
          </cell>
          <cell r="D12">
            <v>22</v>
          </cell>
          <cell r="E12">
            <v>22</v>
          </cell>
          <cell r="F12">
            <v>17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5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22</v>
          </cell>
          <cell r="T12">
            <v>0</v>
          </cell>
        </row>
        <row r="13">
          <cell r="C13" t="str">
            <v>Census Tract 9, King County, Washington</v>
          </cell>
          <cell r="D13">
            <v>12</v>
          </cell>
          <cell r="E13">
            <v>12</v>
          </cell>
          <cell r="F13">
            <v>4</v>
          </cell>
          <cell r="G13">
            <v>8</v>
          </cell>
          <cell r="H13">
            <v>0</v>
          </cell>
          <cell r="I13">
            <v>8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12</v>
          </cell>
          <cell r="T13">
            <v>0</v>
          </cell>
        </row>
        <row r="14">
          <cell r="C14" t="str">
            <v>Census Tract 10, King County, Washington</v>
          </cell>
          <cell r="D14">
            <v>23</v>
          </cell>
          <cell r="E14">
            <v>23</v>
          </cell>
          <cell r="F14">
            <v>7</v>
          </cell>
          <cell r="G14">
            <v>16</v>
          </cell>
          <cell r="H14">
            <v>16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23</v>
          </cell>
          <cell r="T14">
            <v>0</v>
          </cell>
        </row>
        <row r="15">
          <cell r="C15" t="str">
            <v>Census Tract 11, King County, Washington</v>
          </cell>
          <cell r="D15">
            <v>5</v>
          </cell>
          <cell r="E15">
            <v>5</v>
          </cell>
          <cell r="F15">
            <v>5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5</v>
          </cell>
          <cell r="T15">
            <v>0</v>
          </cell>
        </row>
        <row r="16">
          <cell r="C16" t="str">
            <v>Census Tract 12, King County, Washington</v>
          </cell>
          <cell r="D16">
            <v>58</v>
          </cell>
          <cell r="E16">
            <v>58</v>
          </cell>
          <cell r="F16">
            <v>35</v>
          </cell>
          <cell r="G16">
            <v>23</v>
          </cell>
          <cell r="H16">
            <v>0</v>
          </cell>
          <cell r="I16">
            <v>0</v>
          </cell>
          <cell r="J16">
            <v>0</v>
          </cell>
          <cell r="K16">
            <v>23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58</v>
          </cell>
          <cell r="T16">
            <v>0</v>
          </cell>
        </row>
        <row r="17">
          <cell r="C17" t="str">
            <v>Census Tract 13, King County, Washington</v>
          </cell>
          <cell r="D17">
            <v>39</v>
          </cell>
          <cell r="E17">
            <v>39</v>
          </cell>
          <cell r="F17">
            <v>29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39</v>
          </cell>
          <cell r="T17">
            <v>0</v>
          </cell>
        </row>
        <row r="18">
          <cell r="C18" t="str">
            <v>Census Tract 14, King County, Washington</v>
          </cell>
          <cell r="D18">
            <v>18</v>
          </cell>
          <cell r="E18">
            <v>18</v>
          </cell>
          <cell r="F18">
            <v>0</v>
          </cell>
          <cell r="G18">
            <v>18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18</v>
          </cell>
          <cell r="T18">
            <v>0</v>
          </cell>
        </row>
        <row r="19">
          <cell r="C19" t="str">
            <v>Census Tract 15, King County, Washington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 t="str">
            <v>Census Tract 16, King County, Washington</v>
          </cell>
          <cell r="D20">
            <v>8</v>
          </cell>
          <cell r="E20">
            <v>8</v>
          </cell>
          <cell r="F20">
            <v>0</v>
          </cell>
          <cell r="G20">
            <v>8</v>
          </cell>
          <cell r="H20">
            <v>0</v>
          </cell>
          <cell r="I20">
            <v>0</v>
          </cell>
          <cell r="J20">
            <v>0</v>
          </cell>
          <cell r="K20">
            <v>8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8</v>
          </cell>
          <cell r="T20">
            <v>0</v>
          </cell>
        </row>
        <row r="21">
          <cell r="C21" t="str">
            <v>Census Tract 17, King County, Washington</v>
          </cell>
          <cell r="D21">
            <v>97</v>
          </cell>
          <cell r="E21">
            <v>81</v>
          </cell>
          <cell r="F21">
            <v>35</v>
          </cell>
          <cell r="G21">
            <v>46</v>
          </cell>
          <cell r="H21">
            <v>0</v>
          </cell>
          <cell r="I21">
            <v>0</v>
          </cell>
          <cell r="J21">
            <v>0</v>
          </cell>
          <cell r="K21">
            <v>46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16</v>
          </cell>
          <cell r="Q21">
            <v>7</v>
          </cell>
          <cell r="R21">
            <v>9</v>
          </cell>
          <cell r="S21">
            <v>81</v>
          </cell>
          <cell r="T21">
            <v>16</v>
          </cell>
        </row>
        <row r="22">
          <cell r="C22" t="str">
            <v>Census Tract 18, King County, Washington</v>
          </cell>
          <cell r="D22">
            <v>39</v>
          </cell>
          <cell r="E22">
            <v>34</v>
          </cell>
          <cell r="F22">
            <v>14</v>
          </cell>
          <cell r="G22">
            <v>20</v>
          </cell>
          <cell r="H22">
            <v>4</v>
          </cell>
          <cell r="I22">
            <v>0</v>
          </cell>
          <cell r="J22">
            <v>0</v>
          </cell>
          <cell r="K22">
            <v>16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5</v>
          </cell>
          <cell r="Q22">
            <v>5</v>
          </cell>
          <cell r="R22">
            <v>0</v>
          </cell>
          <cell r="S22">
            <v>34</v>
          </cell>
          <cell r="T22">
            <v>5</v>
          </cell>
        </row>
        <row r="23">
          <cell r="C23" t="str">
            <v>Census Tract 19, King County, Washington</v>
          </cell>
          <cell r="D23">
            <v>13</v>
          </cell>
          <cell r="E23">
            <v>13</v>
          </cell>
          <cell r="F23">
            <v>13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</row>
        <row r="24">
          <cell r="C24" t="str">
            <v>Census Tract 20, King County, Washington</v>
          </cell>
          <cell r="D24">
            <v>5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5</v>
          </cell>
          <cell r="Q24">
            <v>5</v>
          </cell>
          <cell r="R24">
            <v>0</v>
          </cell>
          <cell r="S24">
            <v>0</v>
          </cell>
          <cell r="T24">
            <v>5</v>
          </cell>
        </row>
        <row r="25">
          <cell r="C25" t="str">
            <v>Census Tract 21, King County, Washington</v>
          </cell>
          <cell r="D25">
            <v>11</v>
          </cell>
          <cell r="E25">
            <v>11</v>
          </cell>
          <cell r="F25">
            <v>11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11</v>
          </cell>
          <cell r="T25">
            <v>0</v>
          </cell>
        </row>
        <row r="26">
          <cell r="C26" t="str">
            <v>Census Tract 22, King County, Washington</v>
          </cell>
          <cell r="D26">
            <v>17</v>
          </cell>
          <cell r="E26">
            <v>7</v>
          </cell>
          <cell r="F26">
            <v>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10</v>
          </cell>
          <cell r="Q26">
            <v>0</v>
          </cell>
          <cell r="R26">
            <v>10</v>
          </cell>
          <cell r="S26">
            <v>7</v>
          </cell>
          <cell r="T26">
            <v>10</v>
          </cell>
        </row>
        <row r="27">
          <cell r="C27" t="str">
            <v>Census Tract 24, King County, Washington</v>
          </cell>
          <cell r="D27">
            <v>12</v>
          </cell>
          <cell r="E27">
            <v>12</v>
          </cell>
          <cell r="F27">
            <v>0</v>
          </cell>
          <cell r="G27">
            <v>12</v>
          </cell>
          <cell r="H27">
            <v>0</v>
          </cell>
          <cell r="I27">
            <v>7</v>
          </cell>
          <cell r="J27">
            <v>0</v>
          </cell>
          <cell r="K27">
            <v>5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12</v>
          </cell>
          <cell r="T27">
            <v>0</v>
          </cell>
        </row>
        <row r="28">
          <cell r="C28" t="str">
            <v>Census Tract 25, King County, Washington</v>
          </cell>
          <cell r="D28">
            <v>20</v>
          </cell>
          <cell r="E28">
            <v>20</v>
          </cell>
          <cell r="F28">
            <v>6</v>
          </cell>
          <cell r="G28">
            <v>14</v>
          </cell>
          <cell r="H28">
            <v>0</v>
          </cell>
          <cell r="I28">
            <v>0</v>
          </cell>
          <cell r="J28">
            <v>0</v>
          </cell>
          <cell r="K28">
            <v>14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20</v>
          </cell>
          <cell r="T28">
            <v>0</v>
          </cell>
        </row>
        <row r="29">
          <cell r="C29" t="str">
            <v>Census Tract 26, King County, Washington</v>
          </cell>
          <cell r="D29">
            <v>42</v>
          </cell>
          <cell r="E29">
            <v>42</v>
          </cell>
          <cell r="F29">
            <v>10</v>
          </cell>
          <cell r="G29">
            <v>32</v>
          </cell>
          <cell r="H29">
            <v>0</v>
          </cell>
          <cell r="I29">
            <v>0</v>
          </cell>
          <cell r="J29">
            <v>0</v>
          </cell>
          <cell r="K29">
            <v>32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42</v>
          </cell>
          <cell r="T29">
            <v>0</v>
          </cell>
        </row>
        <row r="30">
          <cell r="C30" t="str">
            <v>Census Tract 27, King County, Washington</v>
          </cell>
          <cell r="D30">
            <v>93</v>
          </cell>
          <cell r="E30">
            <v>93</v>
          </cell>
          <cell r="F30">
            <v>75</v>
          </cell>
          <cell r="G30">
            <v>18</v>
          </cell>
          <cell r="H30">
            <v>0</v>
          </cell>
          <cell r="I30">
            <v>9</v>
          </cell>
          <cell r="J30">
            <v>9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93</v>
          </cell>
          <cell r="T30">
            <v>0</v>
          </cell>
        </row>
        <row r="31">
          <cell r="C31" t="str">
            <v>Census Tract 28, King County, Washington</v>
          </cell>
          <cell r="D31">
            <v>10</v>
          </cell>
          <cell r="E31">
            <v>10</v>
          </cell>
          <cell r="F31">
            <v>5</v>
          </cell>
          <cell r="G31">
            <v>5</v>
          </cell>
          <cell r="H31">
            <v>0</v>
          </cell>
          <cell r="I31">
            <v>0</v>
          </cell>
          <cell r="J31">
            <v>0</v>
          </cell>
          <cell r="K31">
            <v>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10</v>
          </cell>
          <cell r="T31">
            <v>0</v>
          </cell>
        </row>
        <row r="32">
          <cell r="C32" t="str">
            <v>Census Tract 29, King County, Washington</v>
          </cell>
          <cell r="D32">
            <v>13</v>
          </cell>
          <cell r="E32">
            <v>13</v>
          </cell>
          <cell r="F32">
            <v>0</v>
          </cell>
          <cell r="G32">
            <v>13</v>
          </cell>
          <cell r="H32">
            <v>0</v>
          </cell>
          <cell r="I32">
            <v>7</v>
          </cell>
          <cell r="J32">
            <v>6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13</v>
          </cell>
          <cell r="T32">
            <v>0</v>
          </cell>
        </row>
        <row r="33">
          <cell r="C33" t="str">
            <v>Census Tract 30, King County, Washington</v>
          </cell>
          <cell r="D33">
            <v>72</v>
          </cell>
          <cell r="E33">
            <v>72</v>
          </cell>
          <cell r="F33">
            <v>30</v>
          </cell>
          <cell r="G33">
            <v>42</v>
          </cell>
          <cell r="H33">
            <v>0</v>
          </cell>
          <cell r="I33">
            <v>0</v>
          </cell>
          <cell r="J33">
            <v>0</v>
          </cell>
          <cell r="K33">
            <v>42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72</v>
          </cell>
          <cell r="T33">
            <v>0</v>
          </cell>
        </row>
        <row r="34">
          <cell r="C34" t="str">
            <v>Census Tract 31, King County, Washington</v>
          </cell>
          <cell r="D34">
            <v>77</v>
          </cell>
          <cell r="E34">
            <v>77</v>
          </cell>
          <cell r="F34">
            <v>52</v>
          </cell>
          <cell r="G34">
            <v>25</v>
          </cell>
          <cell r="H34">
            <v>0</v>
          </cell>
          <cell r="I34">
            <v>10</v>
          </cell>
          <cell r="J34">
            <v>7</v>
          </cell>
          <cell r="K34">
            <v>8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77</v>
          </cell>
          <cell r="T34">
            <v>0</v>
          </cell>
        </row>
        <row r="35">
          <cell r="C35" t="str">
            <v>Census Tract 32, King County, Washington</v>
          </cell>
          <cell r="D35">
            <v>45</v>
          </cell>
          <cell r="E35">
            <v>45</v>
          </cell>
          <cell r="F35">
            <v>41</v>
          </cell>
          <cell r="G35">
            <v>4</v>
          </cell>
          <cell r="H35">
            <v>0</v>
          </cell>
          <cell r="I35">
            <v>0</v>
          </cell>
          <cell r="J35">
            <v>0</v>
          </cell>
          <cell r="K35">
            <v>4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45</v>
          </cell>
          <cell r="T35">
            <v>0</v>
          </cell>
        </row>
        <row r="36">
          <cell r="C36" t="str">
            <v>Census Tract 33, King County, Washington</v>
          </cell>
          <cell r="D36">
            <v>114</v>
          </cell>
          <cell r="E36">
            <v>107</v>
          </cell>
          <cell r="F36">
            <v>35</v>
          </cell>
          <cell r="G36">
            <v>72</v>
          </cell>
          <cell r="H36">
            <v>0</v>
          </cell>
          <cell r="I36">
            <v>22</v>
          </cell>
          <cell r="J36">
            <v>0</v>
          </cell>
          <cell r="K36">
            <v>50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7</v>
          </cell>
          <cell r="Q36">
            <v>7</v>
          </cell>
          <cell r="R36">
            <v>0</v>
          </cell>
          <cell r="S36">
            <v>107</v>
          </cell>
          <cell r="T36">
            <v>7</v>
          </cell>
        </row>
        <row r="37">
          <cell r="C37" t="str">
            <v>Census Tract 34, King County, Washington</v>
          </cell>
          <cell r="D37">
            <v>28</v>
          </cell>
          <cell r="E37">
            <v>21</v>
          </cell>
          <cell r="F37">
            <v>14</v>
          </cell>
          <cell r="G37">
            <v>7</v>
          </cell>
          <cell r="H37">
            <v>0</v>
          </cell>
          <cell r="I37">
            <v>0</v>
          </cell>
          <cell r="J37">
            <v>0</v>
          </cell>
          <cell r="K37">
            <v>7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7</v>
          </cell>
          <cell r="Q37">
            <v>0</v>
          </cell>
          <cell r="R37">
            <v>7</v>
          </cell>
          <cell r="S37">
            <v>21</v>
          </cell>
          <cell r="T37">
            <v>7</v>
          </cell>
        </row>
        <row r="38">
          <cell r="C38" t="str">
            <v>Census Tract 35, King County, Washington</v>
          </cell>
          <cell r="D38">
            <v>17</v>
          </cell>
          <cell r="E38">
            <v>17</v>
          </cell>
          <cell r="F38">
            <v>4</v>
          </cell>
          <cell r="G38">
            <v>13</v>
          </cell>
          <cell r="H38">
            <v>0</v>
          </cell>
          <cell r="I38">
            <v>5</v>
          </cell>
          <cell r="J38">
            <v>8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17</v>
          </cell>
          <cell r="T38">
            <v>0</v>
          </cell>
        </row>
        <row r="39">
          <cell r="C39" t="str">
            <v>Census Tract 36, King County, Washington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C40" t="str">
            <v>Census Tract 38, King County, Washington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C41" t="str">
            <v>Census Tract 39, King County, Washington</v>
          </cell>
          <cell r="D41">
            <v>20</v>
          </cell>
          <cell r="E41">
            <v>20</v>
          </cell>
          <cell r="F41">
            <v>7</v>
          </cell>
          <cell r="G41">
            <v>13</v>
          </cell>
          <cell r="H41">
            <v>0</v>
          </cell>
          <cell r="I41">
            <v>0</v>
          </cell>
          <cell r="J41">
            <v>0</v>
          </cell>
          <cell r="K41">
            <v>13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20</v>
          </cell>
          <cell r="T41">
            <v>0</v>
          </cell>
        </row>
        <row r="42">
          <cell r="C42" t="str">
            <v>Census Tract 40, King County, Washington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C43" t="str">
            <v>Census Tract 41, King County, Washington</v>
          </cell>
          <cell r="D43">
            <v>40</v>
          </cell>
          <cell r="E43">
            <v>40</v>
          </cell>
          <cell r="F43">
            <v>33</v>
          </cell>
          <cell r="G43">
            <v>7</v>
          </cell>
          <cell r="H43">
            <v>0</v>
          </cell>
          <cell r="I43">
            <v>7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40</v>
          </cell>
          <cell r="T43">
            <v>0</v>
          </cell>
        </row>
        <row r="44">
          <cell r="C44" t="str">
            <v>Census Tract 42, King County, Washington</v>
          </cell>
          <cell r="D44">
            <v>4</v>
          </cell>
          <cell r="E44">
            <v>4</v>
          </cell>
          <cell r="F44">
            <v>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</v>
          </cell>
          <cell r="T44">
            <v>0</v>
          </cell>
        </row>
        <row r="45">
          <cell r="C45" t="str">
            <v>Census Tract 43, King County, Washington</v>
          </cell>
          <cell r="D45">
            <v>8</v>
          </cell>
          <cell r="E45">
            <v>8</v>
          </cell>
          <cell r="F45">
            <v>0</v>
          </cell>
          <cell r="G45">
            <v>8</v>
          </cell>
          <cell r="H45">
            <v>0</v>
          </cell>
          <cell r="I45">
            <v>0</v>
          </cell>
          <cell r="J45">
            <v>0</v>
          </cell>
          <cell r="K45">
            <v>8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8</v>
          </cell>
          <cell r="T45">
            <v>0</v>
          </cell>
        </row>
        <row r="46">
          <cell r="C46" t="str">
            <v>Census Tract 44, King County, Washington</v>
          </cell>
          <cell r="D46">
            <v>15</v>
          </cell>
          <cell r="E46">
            <v>15</v>
          </cell>
          <cell r="F46">
            <v>10</v>
          </cell>
          <cell r="G46">
            <v>5</v>
          </cell>
          <cell r="H46">
            <v>0</v>
          </cell>
          <cell r="I46">
            <v>5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15</v>
          </cell>
          <cell r="T46">
            <v>0</v>
          </cell>
        </row>
        <row r="47">
          <cell r="C47" t="str">
            <v>Census Tract 45, King County, Washington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C48" t="str">
            <v>Census Tract 46, King County, Washington</v>
          </cell>
          <cell r="D48">
            <v>6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6</v>
          </cell>
          <cell r="Q48">
            <v>6</v>
          </cell>
          <cell r="R48">
            <v>0</v>
          </cell>
          <cell r="S48">
            <v>0</v>
          </cell>
          <cell r="T48">
            <v>6</v>
          </cell>
        </row>
        <row r="49">
          <cell r="C49" t="str">
            <v>Census Tract 47, King County, Washington</v>
          </cell>
          <cell r="D49">
            <v>33</v>
          </cell>
          <cell r="E49">
            <v>33</v>
          </cell>
          <cell r="F49">
            <v>12</v>
          </cell>
          <cell r="G49">
            <v>21</v>
          </cell>
          <cell r="H49">
            <v>10</v>
          </cell>
          <cell r="I49">
            <v>0</v>
          </cell>
          <cell r="J49">
            <v>0</v>
          </cell>
          <cell r="K49">
            <v>11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33</v>
          </cell>
          <cell r="T49">
            <v>0</v>
          </cell>
        </row>
        <row r="50">
          <cell r="C50" t="str">
            <v>Census Tract 48, King County, Washington</v>
          </cell>
          <cell r="D50">
            <v>49</v>
          </cell>
          <cell r="E50">
            <v>49</v>
          </cell>
          <cell r="F50">
            <v>21</v>
          </cell>
          <cell r="G50">
            <v>28</v>
          </cell>
          <cell r="H50">
            <v>0</v>
          </cell>
          <cell r="I50">
            <v>13</v>
          </cell>
          <cell r="J50">
            <v>0</v>
          </cell>
          <cell r="K50">
            <v>15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49</v>
          </cell>
          <cell r="T50">
            <v>0</v>
          </cell>
        </row>
        <row r="51">
          <cell r="C51" t="str">
            <v>Census Tract 49, King County, Washington</v>
          </cell>
          <cell r="D51">
            <v>51</v>
          </cell>
          <cell r="E51">
            <v>51</v>
          </cell>
          <cell r="F51">
            <v>31</v>
          </cell>
          <cell r="G51">
            <v>14</v>
          </cell>
          <cell r="H51">
            <v>0</v>
          </cell>
          <cell r="I51">
            <v>8</v>
          </cell>
          <cell r="J51">
            <v>0</v>
          </cell>
          <cell r="K51">
            <v>6</v>
          </cell>
          <cell r="L51">
            <v>6</v>
          </cell>
          <cell r="M51">
            <v>0</v>
          </cell>
          <cell r="N51">
            <v>0</v>
          </cell>
          <cell r="O51">
            <v>6</v>
          </cell>
          <cell r="P51">
            <v>0</v>
          </cell>
          <cell r="Q51">
            <v>0</v>
          </cell>
          <cell r="R51">
            <v>0</v>
          </cell>
          <cell r="S51">
            <v>45</v>
          </cell>
          <cell r="T51">
            <v>6</v>
          </cell>
        </row>
        <row r="52">
          <cell r="C52" t="str">
            <v>Census Tract 50, King County, Washington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C53" t="str">
            <v>Census Tract 51, King County, Washington</v>
          </cell>
          <cell r="D53">
            <v>9</v>
          </cell>
          <cell r="E53">
            <v>9</v>
          </cell>
          <cell r="F53">
            <v>4</v>
          </cell>
          <cell r="G53">
            <v>5</v>
          </cell>
          <cell r="H53">
            <v>0</v>
          </cell>
          <cell r="I53">
            <v>0</v>
          </cell>
          <cell r="J53">
            <v>0</v>
          </cell>
          <cell r="K53">
            <v>5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9</v>
          </cell>
          <cell r="T53">
            <v>0</v>
          </cell>
        </row>
        <row r="54">
          <cell r="C54" t="str">
            <v>Census Tract 52, King County, Washington</v>
          </cell>
          <cell r="D54">
            <v>88</v>
          </cell>
          <cell r="E54">
            <v>88</v>
          </cell>
          <cell r="F54">
            <v>64</v>
          </cell>
          <cell r="G54">
            <v>24</v>
          </cell>
          <cell r="H54">
            <v>0</v>
          </cell>
          <cell r="I54">
            <v>0</v>
          </cell>
          <cell r="J54">
            <v>0</v>
          </cell>
          <cell r="K54">
            <v>24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88</v>
          </cell>
          <cell r="T54">
            <v>0</v>
          </cell>
        </row>
        <row r="55">
          <cell r="C55" t="str">
            <v>Census Tract 53.01, King County, Washington</v>
          </cell>
          <cell r="D55">
            <v>35</v>
          </cell>
          <cell r="E55">
            <v>35</v>
          </cell>
          <cell r="F55">
            <v>26</v>
          </cell>
          <cell r="G55">
            <v>9</v>
          </cell>
          <cell r="H55">
            <v>0</v>
          </cell>
          <cell r="I55">
            <v>0</v>
          </cell>
          <cell r="J55">
            <v>0</v>
          </cell>
          <cell r="K55">
            <v>9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35</v>
          </cell>
          <cell r="T55">
            <v>0</v>
          </cell>
        </row>
        <row r="56">
          <cell r="C56" t="str">
            <v>Census Tract 53.02, King County, Washington</v>
          </cell>
          <cell r="D56">
            <v>62</v>
          </cell>
          <cell r="E56">
            <v>62</v>
          </cell>
          <cell r="F56">
            <v>46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16</v>
          </cell>
          <cell r="M56">
            <v>0</v>
          </cell>
          <cell r="N56">
            <v>0</v>
          </cell>
          <cell r="O56">
            <v>16</v>
          </cell>
          <cell r="P56">
            <v>0</v>
          </cell>
          <cell r="Q56">
            <v>0</v>
          </cell>
          <cell r="R56">
            <v>0</v>
          </cell>
          <cell r="S56">
            <v>46</v>
          </cell>
          <cell r="T56">
            <v>16</v>
          </cell>
        </row>
        <row r="57">
          <cell r="C57" t="str">
            <v>Census Tract 54, King County, Washington</v>
          </cell>
          <cell r="D57">
            <v>12</v>
          </cell>
          <cell r="E57">
            <v>12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12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12</v>
          </cell>
          <cell r="T57">
            <v>0</v>
          </cell>
        </row>
        <row r="58">
          <cell r="C58" t="str">
            <v>Census Tract 56, King County, Washington</v>
          </cell>
          <cell r="D58">
            <v>22</v>
          </cell>
          <cell r="E58">
            <v>22</v>
          </cell>
          <cell r="F58">
            <v>4</v>
          </cell>
          <cell r="G58">
            <v>18</v>
          </cell>
          <cell r="H58">
            <v>0</v>
          </cell>
          <cell r="I58">
            <v>6</v>
          </cell>
          <cell r="J58">
            <v>0</v>
          </cell>
          <cell r="K58">
            <v>12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22</v>
          </cell>
          <cell r="T58">
            <v>0</v>
          </cell>
        </row>
        <row r="59">
          <cell r="C59" t="str">
            <v>Census Tract 57, King County, Washington</v>
          </cell>
          <cell r="D59">
            <v>62</v>
          </cell>
          <cell r="E59">
            <v>51</v>
          </cell>
          <cell r="F59">
            <v>51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11</v>
          </cell>
          <cell r="Q59">
            <v>11</v>
          </cell>
          <cell r="R59">
            <v>0</v>
          </cell>
          <cell r="S59">
            <v>51</v>
          </cell>
          <cell r="T59">
            <v>11</v>
          </cell>
        </row>
        <row r="60">
          <cell r="C60" t="str">
            <v>Census Tract 58.01, King County, Washington</v>
          </cell>
          <cell r="D60">
            <v>7</v>
          </cell>
          <cell r="E60">
            <v>7</v>
          </cell>
          <cell r="F60">
            <v>0</v>
          </cell>
          <cell r="G60">
            <v>7</v>
          </cell>
          <cell r="H60">
            <v>0</v>
          </cell>
          <cell r="I60">
            <v>7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7</v>
          </cell>
          <cell r="T60">
            <v>0</v>
          </cell>
        </row>
        <row r="61">
          <cell r="C61" t="str">
            <v>Census Tract 58.02, King County, Washington</v>
          </cell>
          <cell r="D61">
            <v>33</v>
          </cell>
          <cell r="E61">
            <v>33</v>
          </cell>
          <cell r="F61">
            <v>11</v>
          </cell>
          <cell r="G61">
            <v>22</v>
          </cell>
          <cell r="H61">
            <v>0</v>
          </cell>
          <cell r="I61">
            <v>0</v>
          </cell>
          <cell r="J61">
            <v>0</v>
          </cell>
          <cell r="K61">
            <v>22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33</v>
          </cell>
          <cell r="T61">
            <v>0</v>
          </cell>
        </row>
        <row r="62">
          <cell r="C62" t="str">
            <v>Census Tract 59, King County, Washington</v>
          </cell>
          <cell r="D62">
            <v>37</v>
          </cell>
          <cell r="E62">
            <v>37</v>
          </cell>
          <cell r="F62">
            <v>10</v>
          </cell>
          <cell r="G62">
            <v>27</v>
          </cell>
          <cell r="H62">
            <v>0</v>
          </cell>
          <cell r="I62">
            <v>5</v>
          </cell>
          <cell r="J62">
            <v>0</v>
          </cell>
          <cell r="K62">
            <v>22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37</v>
          </cell>
          <cell r="T62">
            <v>0</v>
          </cell>
        </row>
        <row r="63">
          <cell r="C63" t="str">
            <v>Census Tract 60, King County, Washington</v>
          </cell>
          <cell r="D63">
            <v>85</v>
          </cell>
          <cell r="E63">
            <v>78</v>
          </cell>
          <cell r="F63">
            <v>32</v>
          </cell>
          <cell r="G63">
            <v>46</v>
          </cell>
          <cell r="H63">
            <v>0</v>
          </cell>
          <cell r="I63">
            <v>5</v>
          </cell>
          <cell r="J63">
            <v>11</v>
          </cell>
          <cell r="K63">
            <v>30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7</v>
          </cell>
          <cell r="Q63">
            <v>0</v>
          </cell>
          <cell r="R63">
            <v>7</v>
          </cell>
          <cell r="S63">
            <v>78</v>
          </cell>
          <cell r="T63">
            <v>7</v>
          </cell>
        </row>
        <row r="64">
          <cell r="C64" t="str">
            <v>Census Tract 61, King County, Washington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C65" t="str">
            <v>Census Tract 62, King County, Washington</v>
          </cell>
          <cell r="D65">
            <v>10</v>
          </cell>
          <cell r="E65">
            <v>10</v>
          </cell>
          <cell r="F65">
            <v>10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10</v>
          </cell>
          <cell r="T65">
            <v>0</v>
          </cell>
        </row>
        <row r="66">
          <cell r="C66" t="str">
            <v>Census Tract 63, King County, Washington</v>
          </cell>
          <cell r="D66">
            <v>14</v>
          </cell>
          <cell r="E66">
            <v>14</v>
          </cell>
          <cell r="F66">
            <v>8</v>
          </cell>
          <cell r="G66">
            <v>6</v>
          </cell>
          <cell r="H66">
            <v>0</v>
          </cell>
          <cell r="I66">
            <v>0</v>
          </cell>
          <cell r="J66">
            <v>0</v>
          </cell>
          <cell r="K66">
            <v>6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14</v>
          </cell>
          <cell r="T66">
            <v>0</v>
          </cell>
        </row>
        <row r="67">
          <cell r="C67" t="str">
            <v>Census Tract 64, King County, Washington</v>
          </cell>
          <cell r="D67">
            <v>18</v>
          </cell>
          <cell r="E67">
            <v>18</v>
          </cell>
          <cell r="F67">
            <v>7</v>
          </cell>
          <cell r="G67">
            <v>11</v>
          </cell>
          <cell r="H67">
            <v>5</v>
          </cell>
          <cell r="I67">
            <v>6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18</v>
          </cell>
          <cell r="T67">
            <v>0</v>
          </cell>
        </row>
        <row r="68">
          <cell r="C68" t="str">
            <v>Census Tract 65, King County, Washington</v>
          </cell>
          <cell r="D68">
            <v>21</v>
          </cell>
          <cell r="E68">
            <v>21</v>
          </cell>
          <cell r="F68">
            <v>0</v>
          </cell>
          <cell r="G68">
            <v>21</v>
          </cell>
          <cell r="H68">
            <v>0</v>
          </cell>
          <cell r="I68">
            <v>0</v>
          </cell>
          <cell r="J68">
            <v>0</v>
          </cell>
          <cell r="K68">
            <v>21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21</v>
          </cell>
          <cell r="T68">
            <v>0</v>
          </cell>
        </row>
        <row r="69">
          <cell r="C69" t="str">
            <v>Census Tract 66, King County, Washington</v>
          </cell>
          <cell r="D69">
            <v>12</v>
          </cell>
          <cell r="E69">
            <v>12</v>
          </cell>
          <cell r="F69">
            <v>6</v>
          </cell>
          <cell r="G69">
            <v>6</v>
          </cell>
          <cell r="H69">
            <v>0</v>
          </cell>
          <cell r="I69">
            <v>0</v>
          </cell>
          <cell r="J69">
            <v>6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12</v>
          </cell>
          <cell r="T69">
            <v>0</v>
          </cell>
        </row>
        <row r="70">
          <cell r="C70" t="str">
            <v>Census Tract 67, King County, Washington</v>
          </cell>
          <cell r="D70">
            <v>36</v>
          </cell>
          <cell r="E70">
            <v>36</v>
          </cell>
          <cell r="F70">
            <v>20</v>
          </cell>
          <cell r="G70">
            <v>16</v>
          </cell>
          <cell r="H70">
            <v>0</v>
          </cell>
          <cell r="I70">
            <v>0</v>
          </cell>
          <cell r="J70">
            <v>4</v>
          </cell>
          <cell r="K70">
            <v>12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36</v>
          </cell>
          <cell r="T70">
            <v>0</v>
          </cell>
        </row>
        <row r="71">
          <cell r="C71" t="str">
            <v>Census Tract 68, King County, Washington</v>
          </cell>
          <cell r="D71">
            <v>11</v>
          </cell>
          <cell r="E71">
            <v>11</v>
          </cell>
          <cell r="F71">
            <v>6</v>
          </cell>
          <cell r="G71">
            <v>5</v>
          </cell>
          <cell r="H71">
            <v>0</v>
          </cell>
          <cell r="I71">
            <v>0</v>
          </cell>
          <cell r="J71">
            <v>0</v>
          </cell>
          <cell r="K71">
            <v>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11</v>
          </cell>
          <cell r="T71">
            <v>0</v>
          </cell>
        </row>
        <row r="72">
          <cell r="C72" t="str">
            <v>Census Tract 69, King County, Washington</v>
          </cell>
          <cell r="D72">
            <v>23</v>
          </cell>
          <cell r="E72">
            <v>23</v>
          </cell>
          <cell r="F72">
            <v>6</v>
          </cell>
          <cell r="G72">
            <v>17</v>
          </cell>
          <cell r="H72">
            <v>0</v>
          </cell>
          <cell r="I72">
            <v>17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23</v>
          </cell>
          <cell r="T72">
            <v>0</v>
          </cell>
        </row>
        <row r="73">
          <cell r="C73" t="str">
            <v>Census Tract 70, King County, Washington</v>
          </cell>
          <cell r="D73">
            <v>10</v>
          </cell>
          <cell r="E73">
            <v>10</v>
          </cell>
          <cell r="F73">
            <v>0</v>
          </cell>
          <cell r="G73">
            <v>10</v>
          </cell>
          <cell r="H73">
            <v>0</v>
          </cell>
          <cell r="I73">
            <v>0</v>
          </cell>
          <cell r="J73">
            <v>0</v>
          </cell>
          <cell r="K73">
            <v>10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10</v>
          </cell>
          <cell r="T73">
            <v>0</v>
          </cell>
        </row>
        <row r="74">
          <cell r="C74" t="str">
            <v>Census Tract 71, King County, Washington</v>
          </cell>
          <cell r="D74">
            <v>28</v>
          </cell>
          <cell r="E74">
            <v>28</v>
          </cell>
          <cell r="F74">
            <v>10</v>
          </cell>
          <cell r="G74">
            <v>18</v>
          </cell>
          <cell r="H74">
            <v>0</v>
          </cell>
          <cell r="I74">
            <v>0</v>
          </cell>
          <cell r="J74">
            <v>12</v>
          </cell>
          <cell r="K74">
            <v>6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28</v>
          </cell>
          <cell r="T74">
            <v>0</v>
          </cell>
        </row>
        <row r="75">
          <cell r="C75" t="str">
            <v>Census Tract 72, King County, Washington</v>
          </cell>
          <cell r="D75">
            <v>66</v>
          </cell>
          <cell r="E75">
            <v>58</v>
          </cell>
          <cell r="F75">
            <v>29</v>
          </cell>
          <cell r="G75">
            <v>20</v>
          </cell>
          <cell r="H75">
            <v>0</v>
          </cell>
          <cell r="I75">
            <v>0</v>
          </cell>
          <cell r="J75">
            <v>0</v>
          </cell>
          <cell r="K75">
            <v>20</v>
          </cell>
          <cell r="L75">
            <v>9</v>
          </cell>
          <cell r="M75">
            <v>0</v>
          </cell>
          <cell r="N75">
            <v>0</v>
          </cell>
          <cell r="O75">
            <v>9</v>
          </cell>
          <cell r="P75">
            <v>8</v>
          </cell>
          <cell r="Q75">
            <v>0</v>
          </cell>
          <cell r="R75">
            <v>8</v>
          </cell>
          <cell r="S75">
            <v>49</v>
          </cell>
          <cell r="T75">
            <v>17</v>
          </cell>
        </row>
        <row r="76">
          <cell r="C76" t="str">
            <v>Census Tract 73, King County, Washington</v>
          </cell>
          <cell r="D76">
            <v>83</v>
          </cell>
          <cell r="E76">
            <v>72</v>
          </cell>
          <cell r="F76">
            <v>28</v>
          </cell>
          <cell r="G76">
            <v>44</v>
          </cell>
          <cell r="H76">
            <v>0</v>
          </cell>
          <cell r="I76">
            <v>10</v>
          </cell>
          <cell r="J76">
            <v>0</v>
          </cell>
          <cell r="K76">
            <v>34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11</v>
          </cell>
          <cell r="Q76">
            <v>11</v>
          </cell>
          <cell r="R76">
            <v>0</v>
          </cell>
          <cell r="S76">
            <v>72</v>
          </cell>
          <cell r="T76">
            <v>11</v>
          </cell>
        </row>
        <row r="77">
          <cell r="C77" t="str">
            <v>Census Tract 74, King County, Washington</v>
          </cell>
          <cell r="D77">
            <v>74</v>
          </cell>
          <cell r="E77">
            <v>60</v>
          </cell>
          <cell r="F77">
            <v>15</v>
          </cell>
          <cell r="G77">
            <v>45</v>
          </cell>
          <cell r="H77">
            <v>0</v>
          </cell>
          <cell r="I77">
            <v>19</v>
          </cell>
          <cell r="J77">
            <v>9</v>
          </cell>
          <cell r="K77">
            <v>17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14</v>
          </cell>
          <cell r="Q77">
            <v>0</v>
          </cell>
          <cell r="R77">
            <v>14</v>
          </cell>
          <cell r="S77">
            <v>60</v>
          </cell>
          <cell r="T77">
            <v>14</v>
          </cell>
        </row>
        <row r="78">
          <cell r="C78" t="str">
            <v>Census Tract 75, King County, Washington</v>
          </cell>
          <cell r="D78">
            <v>61</v>
          </cell>
          <cell r="E78">
            <v>61</v>
          </cell>
          <cell r="F78">
            <v>27</v>
          </cell>
          <cell r="G78">
            <v>27</v>
          </cell>
          <cell r="H78">
            <v>9</v>
          </cell>
          <cell r="I78">
            <v>8</v>
          </cell>
          <cell r="J78">
            <v>0</v>
          </cell>
          <cell r="K78">
            <v>10</v>
          </cell>
          <cell r="L78">
            <v>7</v>
          </cell>
          <cell r="M78">
            <v>0</v>
          </cell>
          <cell r="N78">
            <v>0</v>
          </cell>
          <cell r="O78">
            <v>7</v>
          </cell>
          <cell r="P78">
            <v>0</v>
          </cell>
          <cell r="Q78">
            <v>0</v>
          </cell>
          <cell r="R78">
            <v>0</v>
          </cell>
          <cell r="S78">
            <v>54</v>
          </cell>
          <cell r="T78">
            <v>7</v>
          </cell>
        </row>
        <row r="79">
          <cell r="C79" t="str">
            <v>Census Tract 76, King County, Washington</v>
          </cell>
          <cell r="D79">
            <v>25</v>
          </cell>
          <cell r="E79">
            <v>25</v>
          </cell>
          <cell r="F79">
            <v>11</v>
          </cell>
          <cell r="G79">
            <v>14</v>
          </cell>
          <cell r="H79">
            <v>0</v>
          </cell>
          <cell r="I79">
            <v>0</v>
          </cell>
          <cell r="J79">
            <v>0</v>
          </cell>
          <cell r="K79">
            <v>14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25</v>
          </cell>
          <cell r="T79">
            <v>0</v>
          </cell>
        </row>
        <row r="80">
          <cell r="C80" t="str">
            <v>Census Tract 77, King County, Washington</v>
          </cell>
          <cell r="D80">
            <v>31</v>
          </cell>
          <cell r="E80">
            <v>31</v>
          </cell>
          <cell r="F80">
            <v>6</v>
          </cell>
          <cell r="G80">
            <v>25</v>
          </cell>
          <cell r="H80">
            <v>0</v>
          </cell>
          <cell r="I80">
            <v>0</v>
          </cell>
          <cell r="J80">
            <v>0</v>
          </cell>
          <cell r="K80">
            <v>25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31</v>
          </cell>
          <cell r="T80">
            <v>0</v>
          </cell>
        </row>
        <row r="81">
          <cell r="C81" t="str">
            <v>Census Tract 78, King County, Washington</v>
          </cell>
          <cell r="D81">
            <v>105</v>
          </cell>
          <cell r="E81">
            <v>97</v>
          </cell>
          <cell r="F81">
            <v>60</v>
          </cell>
          <cell r="G81">
            <v>37</v>
          </cell>
          <cell r="H81">
            <v>3</v>
          </cell>
          <cell r="I81">
            <v>7</v>
          </cell>
          <cell r="J81">
            <v>0</v>
          </cell>
          <cell r="K81">
            <v>27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8</v>
          </cell>
          <cell r="Q81">
            <v>0</v>
          </cell>
          <cell r="R81">
            <v>8</v>
          </cell>
          <cell r="S81">
            <v>97</v>
          </cell>
          <cell r="T81">
            <v>8</v>
          </cell>
        </row>
        <row r="82">
          <cell r="C82" t="str">
            <v>Census Tract 79, King County, Washington</v>
          </cell>
          <cell r="D82">
            <v>37</v>
          </cell>
          <cell r="E82">
            <v>31</v>
          </cell>
          <cell r="F82">
            <v>24</v>
          </cell>
          <cell r="G82">
            <v>7</v>
          </cell>
          <cell r="H82">
            <v>0</v>
          </cell>
          <cell r="I82">
            <v>0</v>
          </cell>
          <cell r="J82">
            <v>0</v>
          </cell>
          <cell r="K82">
            <v>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6</v>
          </cell>
          <cell r="Q82">
            <v>6</v>
          </cell>
          <cell r="R82">
            <v>0</v>
          </cell>
          <cell r="S82">
            <v>31</v>
          </cell>
          <cell r="T82">
            <v>6</v>
          </cell>
        </row>
        <row r="83">
          <cell r="C83" t="str">
            <v>Census Tract 80.01, King County, Washington</v>
          </cell>
          <cell r="D83">
            <v>86</v>
          </cell>
          <cell r="E83">
            <v>73</v>
          </cell>
          <cell r="F83">
            <v>27</v>
          </cell>
          <cell r="G83">
            <v>46</v>
          </cell>
          <cell r="H83">
            <v>0</v>
          </cell>
          <cell r="I83">
            <v>19</v>
          </cell>
          <cell r="J83">
            <v>16</v>
          </cell>
          <cell r="K83">
            <v>11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13</v>
          </cell>
          <cell r="Q83">
            <v>7</v>
          </cell>
          <cell r="R83">
            <v>6</v>
          </cell>
          <cell r="S83">
            <v>73</v>
          </cell>
          <cell r="T83">
            <v>13</v>
          </cell>
        </row>
        <row r="84">
          <cell r="C84" t="str">
            <v>Census Tract 80.02, King County, Washington</v>
          </cell>
          <cell r="D84">
            <v>61</v>
          </cell>
          <cell r="E84">
            <v>61</v>
          </cell>
          <cell r="F84">
            <v>25</v>
          </cell>
          <cell r="G84">
            <v>36</v>
          </cell>
          <cell r="H84">
            <v>0</v>
          </cell>
          <cell r="I84">
            <v>0</v>
          </cell>
          <cell r="J84">
            <v>20</v>
          </cell>
          <cell r="K84">
            <v>16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61</v>
          </cell>
          <cell r="T84">
            <v>0</v>
          </cell>
        </row>
        <row r="85">
          <cell r="C85" t="str">
            <v>Census Tract 81, King County, Washington</v>
          </cell>
          <cell r="D85">
            <v>71</v>
          </cell>
          <cell r="E85">
            <v>53</v>
          </cell>
          <cell r="F85">
            <v>0</v>
          </cell>
          <cell r="G85">
            <v>53</v>
          </cell>
          <cell r="H85">
            <v>0</v>
          </cell>
          <cell r="I85">
            <v>14</v>
          </cell>
          <cell r="J85">
            <v>7</v>
          </cell>
          <cell r="K85">
            <v>32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18</v>
          </cell>
          <cell r="Q85">
            <v>18</v>
          </cell>
          <cell r="R85">
            <v>0</v>
          </cell>
          <cell r="S85">
            <v>53</v>
          </cell>
          <cell r="T85">
            <v>18</v>
          </cell>
        </row>
        <row r="86">
          <cell r="C86" t="str">
            <v>Census Tract 82, King County, Washington</v>
          </cell>
          <cell r="D86">
            <v>34</v>
          </cell>
          <cell r="E86">
            <v>34</v>
          </cell>
          <cell r="F86">
            <v>16</v>
          </cell>
          <cell r="G86">
            <v>18</v>
          </cell>
          <cell r="H86">
            <v>0</v>
          </cell>
          <cell r="I86">
            <v>11</v>
          </cell>
          <cell r="J86">
            <v>0</v>
          </cell>
          <cell r="K86">
            <v>7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34</v>
          </cell>
          <cell r="T86">
            <v>0</v>
          </cell>
        </row>
        <row r="87">
          <cell r="C87" t="str">
            <v>Census Tract 83, King County, Washington</v>
          </cell>
          <cell r="D87">
            <v>7</v>
          </cell>
          <cell r="E87">
            <v>7</v>
          </cell>
          <cell r="F87">
            <v>0</v>
          </cell>
          <cell r="G87">
            <v>7</v>
          </cell>
          <cell r="H87">
            <v>0</v>
          </cell>
          <cell r="I87">
            <v>0</v>
          </cell>
          <cell r="J87">
            <v>0</v>
          </cell>
          <cell r="K87">
            <v>7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7</v>
          </cell>
          <cell r="T87">
            <v>0</v>
          </cell>
        </row>
        <row r="88">
          <cell r="C88" t="str">
            <v>Census Tract 84, King County, Washington</v>
          </cell>
          <cell r="D88">
            <v>85</v>
          </cell>
          <cell r="E88">
            <v>85</v>
          </cell>
          <cell r="F88">
            <v>14</v>
          </cell>
          <cell r="G88">
            <v>71</v>
          </cell>
          <cell r="H88">
            <v>11</v>
          </cell>
          <cell r="I88">
            <v>6</v>
          </cell>
          <cell r="J88">
            <v>0</v>
          </cell>
          <cell r="K88">
            <v>54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85</v>
          </cell>
          <cell r="T88">
            <v>0</v>
          </cell>
        </row>
        <row r="89">
          <cell r="C89" t="str">
            <v>Census Tract 85, King County, Washington</v>
          </cell>
          <cell r="D89">
            <v>156</v>
          </cell>
          <cell r="E89">
            <v>156</v>
          </cell>
          <cell r="F89">
            <v>101</v>
          </cell>
          <cell r="G89">
            <v>55</v>
          </cell>
          <cell r="H89">
            <v>0</v>
          </cell>
          <cell r="I89">
            <v>10</v>
          </cell>
          <cell r="J89">
            <v>12</v>
          </cell>
          <cell r="K89">
            <v>33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156</v>
          </cell>
          <cell r="T89">
            <v>0</v>
          </cell>
        </row>
        <row r="90">
          <cell r="C90" t="str">
            <v>Census Tract 86, King County, Washington</v>
          </cell>
          <cell r="D90">
            <v>117</v>
          </cell>
          <cell r="E90">
            <v>117</v>
          </cell>
          <cell r="F90">
            <v>67</v>
          </cell>
          <cell r="G90">
            <v>50</v>
          </cell>
          <cell r="H90">
            <v>10</v>
          </cell>
          <cell r="I90">
            <v>15</v>
          </cell>
          <cell r="J90">
            <v>7</v>
          </cell>
          <cell r="K90">
            <v>18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117</v>
          </cell>
          <cell r="T90">
            <v>0</v>
          </cell>
        </row>
        <row r="91">
          <cell r="C91" t="str">
            <v>Census Tract 87, King County, Washington</v>
          </cell>
          <cell r="D91">
            <v>144</v>
          </cell>
          <cell r="E91">
            <v>144</v>
          </cell>
          <cell r="F91">
            <v>131</v>
          </cell>
          <cell r="G91">
            <v>13</v>
          </cell>
          <cell r="H91">
            <v>0</v>
          </cell>
          <cell r="I91">
            <v>0</v>
          </cell>
          <cell r="J91">
            <v>13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144</v>
          </cell>
          <cell r="T91">
            <v>0</v>
          </cell>
        </row>
        <row r="92">
          <cell r="C92" t="str">
            <v>Census Tract 88, King County, Washington</v>
          </cell>
          <cell r="D92">
            <v>11</v>
          </cell>
          <cell r="E92">
            <v>8</v>
          </cell>
          <cell r="F92">
            <v>8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3</v>
          </cell>
          <cell r="Q92">
            <v>3</v>
          </cell>
          <cell r="R92">
            <v>0</v>
          </cell>
          <cell r="S92">
            <v>8</v>
          </cell>
          <cell r="T92">
            <v>3</v>
          </cell>
        </row>
        <row r="93">
          <cell r="C93" t="str">
            <v>Census Tract 89, King County, Washington</v>
          </cell>
          <cell r="D93">
            <v>53</v>
          </cell>
          <cell r="E93">
            <v>53</v>
          </cell>
          <cell r="F93">
            <v>40</v>
          </cell>
          <cell r="G93">
            <v>13</v>
          </cell>
          <cell r="H93">
            <v>0</v>
          </cell>
          <cell r="I93">
            <v>0</v>
          </cell>
          <cell r="J93">
            <v>0</v>
          </cell>
          <cell r="K93">
            <v>13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53</v>
          </cell>
          <cell r="T93">
            <v>0</v>
          </cell>
        </row>
        <row r="94">
          <cell r="C94" t="str">
            <v>Census Tract 90, King County, Washington</v>
          </cell>
          <cell r="D94">
            <v>10</v>
          </cell>
          <cell r="E94">
            <v>3</v>
          </cell>
          <cell r="F94">
            <v>3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7</v>
          </cell>
          <cell r="Q94">
            <v>7</v>
          </cell>
          <cell r="R94">
            <v>0</v>
          </cell>
          <cell r="S94">
            <v>3</v>
          </cell>
          <cell r="T94">
            <v>7</v>
          </cell>
        </row>
        <row r="95">
          <cell r="C95" t="str">
            <v>Census Tract 91, King County, Washington</v>
          </cell>
          <cell r="D95">
            <v>13</v>
          </cell>
          <cell r="E95">
            <v>13</v>
          </cell>
          <cell r="F95">
            <v>0</v>
          </cell>
          <cell r="G95">
            <v>13</v>
          </cell>
          <cell r="H95">
            <v>0</v>
          </cell>
          <cell r="I95">
            <v>5</v>
          </cell>
          <cell r="J95">
            <v>8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13</v>
          </cell>
          <cell r="T95">
            <v>0</v>
          </cell>
        </row>
        <row r="96">
          <cell r="C96" t="str">
            <v>Census Tract 92, King County, Washington</v>
          </cell>
          <cell r="D96">
            <v>75</v>
          </cell>
          <cell r="E96">
            <v>65</v>
          </cell>
          <cell r="F96">
            <v>24</v>
          </cell>
          <cell r="G96">
            <v>41</v>
          </cell>
          <cell r="H96">
            <v>0</v>
          </cell>
          <cell r="I96">
            <v>11</v>
          </cell>
          <cell r="J96">
            <v>0</v>
          </cell>
          <cell r="K96">
            <v>30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10</v>
          </cell>
          <cell r="Q96">
            <v>6</v>
          </cell>
          <cell r="R96">
            <v>4</v>
          </cell>
          <cell r="S96">
            <v>65</v>
          </cell>
          <cell r="T96">
            <v>10</v>
          </cell>
        </row>
        <row r="97">
          <cell r="C97" t="str">
            <v>Census Tract 93, King County, Washington</v>
          </cell>
          <cell r="D97">
            <v>64</v>
          </cell>
          <cell r="E97">
            <v>64</v>
          </cell>
          <cell r="F97">
            <v>22</v>
          </cell>
          <cell r="G97">
            <v>42</v>
          </cell>
          <cell r="H97">
            <v>0</v>
          </cell>
          <cell r="I97">
            <v>37</v>
          </cell>
          <cell r="J97">
            <v>0</v>
          </cell>
          <cell r="K97">
            <v>5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64</v>
          </cell>
          <cell r="T97">
            <v>0</v>
          </cell>
        </row>
        <row r="98">
          <cell r="C98" t="str">
            <v>Census Tract 94, King County, Washington</v>
          </cell>
          <cell r="D98">
            <v>94</v>
          </cell>
          <cell r="E98">
            <v>88</v>
          </cell>
          <cell r="F98">
            <v>38</v>
          </cell>
          <cell r="G98">
            <v>50</v>
          </cell>
          <cell r="H98">
            <v>0</v>
          </cell>
          <cell r="I98">
            <v>9</v>
          </cell>
          <cell r="J98">
            <v>15</v>
          </cell>
          <cell r="K98">
            <v>26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6</v>
          </cell>
          <cell r="Q98">
            <v>6</v>
          </cell>
          <cell r="R98">
            <v>0</v>
          </cell>
          <cell r="S98">
            <v>88</v>
          </cell>
          <cell r="T98">
            <v>6</v>
          </cell>
        </row>
        <row r="99">
          <cell r="C99" t="str">
            <v>Census Tract 95, King County, Washington</v>
          </cell>
          <cell r="D99">
            <v>73</v>
          </cell>
          <cell r="E99">
            <v>73</v>
          </cell>
          <cell r="F99">
            <v>35</v>
          </cell>
          <cell r="G99">
            <v>38</v>
          </cell>
          <cell r="H99">
            <v>0</v>
          </cell>
          <cell r="I99">
            <v>11</v>
          </cell>
          <cell r="J99">
            <v>8</v>
          </cell>
          <cell r="K99">
            <v>19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73</v>
          </cell>
          <cell r="T99">
            <v>0</v>
          </cell>
        </row>
        <row r="100">
          <cell r="C100" t="str">
            <v>Census Tract 96, King County, Washington</v>
          </cell>
          <cell r="D100">
            <v>29</v>
          </cell>
          <cell r="E100">
            <v>29</v>
          </cell>
          <cell r="F100">
            <v>0</v>
          </cell>
          <cell r="G100">
            <v>29</v>
          </cell>
          <cell r="H100">
            <v>0</v>
          </cell>
          <cell r="I100">
            <v>9</v>
          </cell>
          <cell r="J100">
            <v>0</v>
          </cell>
          <cell r="K100">
            <v>20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29</v>
          </cell>
          <cell r="T100">
            <v>0</v>
          </cell>
        </row>
        <row r="101">
          <cell r="C101" t="str">
            <v>Census Tract 97.01, King County, Washington</v>
          </cell>
          <cell r="D101">
            <v>59</v>
          </cell>
          <cell r="E101">
            <v>59</v>
          </cell>
          <cell r="F101">
            <v>35</v>
          </cell>
          <cell r="G101">
            <v>24</v>
          </cell>
          <cell r="H101">
            <v>0</v>
          </cell>
          <cell r="I101">
            <v>8</v>
          </cell>
          <cell r="J101">
            <v>5</v>
          </cell>
          <cell r="K101">
            <v>11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59</v>
          </cell>
          <cell r="T101">
            <v>0</v>
          </cell>
        </row>
        <row r="102">
          <cell r="C102" t="str">
            <v>Census Tract 97.02, King County, Washington</v>
          </cell>
          <cell r="D102">
            <v>83</v>
          </cell>
          <cell r="E102">
            <v>74</v>
          </cell>
          <cell r="F102">
            <v>49</v>
          </cell>
          <cell r="G102">
            <v>25</v>
          </cell>
          <cell r="H102">
            <v>0</v>
          </cell>
          <cell r="I102">
            <v>6</v>
          </cell>
          <cell r="J102">
            <v>0</v>
          </cell>
          <cell r="K102">
            <v>19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9</v>
          </cell>
          <cell r="Q102">
            <v>0</v>
          </cell>
          <cell r="R102">
            <v>9</v>
          </cell>
          <cell r="S102">
            <v>74</v>
          </cell>
          <cell r="T102">
            <v>9</v>
          </cell>
        </row>
        <row r="103">
          <cell r="C103" t="str">
            <v>Census Tract 98, King County, Washington</v>
          </cell>
          <cell r="D103">
            <v>66</v>
          </cell>
          <cell r="E103">
            <v>66</v>
          </cell>
          <cell r="F103">
            <v>43</v>
          </cell>
          <cell r="G103">
            <v>23</v>
          </cell>
          <cell r="H103">
            <v>0</v>
          </cell>
          <cell r="I103">
            <v>0</v>
          </cell>
          <cell r="J103">
            <v>0</v>
          </cell>
          <cell r="K103">
            <v>23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66</v>
          </cell>
          <cell r="T103">
            <v>0</v>
          </cell>
        </row>
        <row r="104">
          <cell r="C104" t="str">
            <v>Census Tract 99, King County, Washington</v>
          </cell>
          <cell r="D104">
            <v>57</v>
          </cell>
          <cell r="E104">
            <v>57</v>
          </cell>
          <cell r="F104">
            <v>0</v>
          </cell>
          <cell r="G104">
            <v>57</v>
          </cell>
          <cell r="H104">
            <v>5</v>
          </cell>
          <cell r="I104">
            <v>0</v>
          </cell>
          <cell r="J104">
            <v>0</v>
          </cell>
          <cell r="K104">
            <v>52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57</v>
          </cell>
          <cell r="T104">
            <v>0</v>
          </cell>
        </row>
        <row r="105">
          <cell r="C105" t="str">
            <v>Census Tract 100, King County, Washington</v>
          </cell>
          <cell r="D105">
            <v>186</v>
          </cell>
          <cell r="E105">
            <v>71</v>
          </cell>
          <cell r="F105">
            <v>39</v>
          </cell>
          <cell r="G105">
            <v>12</v>
          </cell>
          <cell r="H105">
            <v>0</v>
          </cell>
          <cell r="I105">
            <v>0</v>
          </cell>
          <cell r="J105">
            <v>0</v>
          </cell>
          <cell r="K105">
            <v>12</v>
          </cell>
          <cell r="L105">
            <v>20</v>
          </cell>
          <cell r="M105">
            <v>0</v>
          </cell>
          <cell r="N105">
            <v>0</v>
          </cell>
          <cell r="O105">
            <v>20</v>
          </cell>
          <cell r="P105">
            <v>115</v>
          </cell>
          <cell r="Q105">
            <v>0</v>
          </cell>
          <cell r="R105">
            <v>115</v>
          </cell>
          <cell r="S105">
            <v>51</v>
          </cell>
          <cell r="T105">
            <v>135</v>
          </cell>
        </row>
        <row r="106">
          <cell r="C106" t="str">
            <v>Census Tract 101, King County, Washington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C107" t="str">
            <v>Census Tract 102, King County, Washington</v>
          </cell>
          <cell r="D107">
            <v>7</v>
          </cell>
          <cell r="E107">
            <v>7</v>
          </cell>
          <cell r="F107">
            <v>7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7</v>
          </cell>
          <cell r="T107">
            <v>0</v>
          </cell>
        </row>
        <row r="108">
          <cell r="C108" t="str">
            <v>Census Tract 103, King County, Washington</v>
          </cell>
          <cell r="D108">
            <v>34</v>
          </cell>
          <cell r="E108">
            <v>34</v>
          </cell>
          <cell r="F108">
            <v>23</v>
          </cell>
          <cell r="G108">
            <v>11</v>
          </cell>
          <cell r="H108">
            <v>0</v>
          </cell>
          <cell r="I108">
            <v>3</v>
          </cell>
          <cell r="J108">
            <v>0</v>
          </cell>
          <cell r="K108">
            <v>8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34</v>
          </cell>
          <cell r="T108">
            <v>0</v>
          </cell>
        </row>
        <row r="109">
          <cell r="C109" t="str">
            <v>Census Tract 104, King County, Washington</v>
          </cell>
          <cell r="D109">
            <v>16</v>
          </cell>
          <cell r="E109">
            <v>16</v>
          </cell>
          <cell r="F109">
            <v>16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16</v>
          </cell>
          <cell r="T109">
            <v>0</v>
          </cell>
        </row>
        <row r="110">
          <cell r="C110" t="str">
            <v>Census Tract 105, King County, Washington</v>
          </cell>
          <cell r="D110">
            <v>38</v>
          </cell>
          <cell r="E110">
            <v>38</v>
          </cell>
          <cell r="F110">
            <v>24</v>
          </cell>
          <cell r="G110">
            <v>14</v>
          </cell>
          <cell r="H110">
            <v>0</v>
          </cell>
          <cell r="I110">
            <v>0</v>
          </cell>
          <cell r="J110">
            <v>0</v>
          </cell>
          <cell r="K110">
            <v>14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38</v>
          </cell>
          <cell r="T110">
            <v>0</v>
          </cell>
        </row>
        <row r="111">
          <cell r="C111" t="str">
            <v>Census Tract 106, King County, Washington</v>
          </cell>
          <cell r="D111">
            <v>115</v>
          </cell>
          <cell r="E111">
            <v>94</v>
          </cell>
          <cell r="F111">
            <v>23</v>
          </cell>
          <cell r="G111">
            <v>71</v>
          </cell>
          <cell r="H111">
            <v>0</v>
          </cell>
          <cell r="I111">
            <v>0</v>
          </cell>
          <cell r="J111">
            <v>0</v>
          </cell>
          <cell r="K111">
            <v>71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21</v>
          </cell>
          <cell r="Q111">
            <v>14</v>
          </cell>
          <cell r="R111">
            <v>7</v>
          </cell>
          <cell r="S111">
            <v>94</v>
          </cell>
          <cell r="T111">
            <v>21</v>
          </cell>
        </row>
        <row r="112">
          <cell r="C112" t="str">
            <v>Census Tract 107, King County, Washington</v>
          </cell>
          <cell r="D112">
            <v>315</v>
          </cell>
          <cell r="E112">
            <v>268</v>
          </cell>
          <cell r="F112">
            <v>110</v>
          </cell>
          <cell r="G112">
            <v>158</v>
          </cell>
          <cell r="H112">
            <v>0</v>
          </cell>
          <cell r="I112">
            <v>0</v>
          </cell>
          <cell r="J112">
            <v>9</v>
          </cell>
          <cell r="K112">
            <v>149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47</v>
          </cell>
          <cell r="Q112">
            <v>6</v>
          </cell>
          <cell r="R112">
            <v>41</v>
          </cell>
          <cell r="S112">
            <v>268</v>
          </cell>
          <cell r="T112">
            <v>47</v>
          </cell>
        </row>
        <row r="113">
          <cell r="C113" t="str">
            <v>Census Tract 108, King County, Washington</v>
          </cell>
          <cell r="D113">
            <v>73</v>
          </cell>
          <cell r="E113">
            <v>73</v>
          </cell>
          <cell r="F113">
            <v>50</v>
          </cell>
          <cell r="G113">
            <v>23</v>
          </cell>
          <cell r="H113">
            <v>0</v>
          </cell>
          <cell r="I113">
            <v>4</v>
          </cell>
          <cell r="J113">
            <v>6</v>
          </cell>
          <cell r="K113">
            <v>13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73</v>
          </cell>
          <cell r="T113">
            <v>0</v>
          </cell>
        </row>
        <row r="114">
          <cell r="C114" t="str">
            <v>Census Tract 109, King County, Washington</v>
          </cell>
          <cell r="D114">
            <v>80</v>
          </cell>
          <cell r="E114">
            <v>52</v>
          </cell>
          <cell r="F114">
            <v>38</v>
          </cell>
          <cell r="G114">
            <v>14</v>
          </cell>
          <cell r="H114">
            <v>0</v>
          </cell>
          <cell r="I114">
            <v>0</v>
          </cell>
          <cell r="J114">
            <v>0</v>
          </cell>
          <cell r="K114">
            <v>14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28</v>
          </cell>
          <cell r="Q114">
            <v>28</v>
          </cell>
          <cell r="R114">
            <v>0</v>
          </cell>
          <cell r="S114">
            <v>52</v>
          </cell>
          <cell r="T114">
            <v>28</v>
          </cell>
        </row>
        <row r="115">
          <cell r="C115" t="str">
            <v>Census Tract 110, King County, Washington</v>
          </cell>
          <cell r="D115">
            <v>181</v>
          </cell>
          <cell r="E115">
            <v>181</v>
          </cell>
          <cell r="F115">
            <v>119</v>
          </cell>
          <cell r="G115">
            <v>62</v>
          </cell>
          <cell r="H115">
            <v>0</v>
          </cell>
          <cell r="I115">
            <v>0</v>
          </cell>
          <cell r="J115">
            <v>0</v>
          </cell>
          <cell r="K115">
            <v>62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181</v>
          </cell>
          <cell r="T115">
            <v>0</v>
          </cell>
        </row>
        <row r="116">
          <cell r="C116" t="str">
            <v>Census Tract 111.01, King County, Washington</v>
          </cell>
          <cell r="D116">
            <v>53</v>
          </cell>
          <cell r="E116">
            <v>44</v>
          </cell>
          <cell r="F116">
            <v>20</v>
          </cell>
          <cell r="G116">
            <v>24</v>
          </cell>
          <cell r="H116">
            <v>8</v>
          </cell>
          <cell r="I116">
            <v>6</v>
          </cell>
          <cell r="J116">
            <v>0</v>
          </cell>
          <cell r="K116">
            <v>10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</v>
          </cell>
          <cell r="Q116">
            <v>9</v>
          </cell>
          <cell r="R116">
            <v>0</v>
          </cell>
          <cell r="S116">
            <v>44</v>
          </cell>
          <cell r="T116">
            <v>9</v>
          </cell>
        </row>
        <row r="117">
          <cell r="C117" t="str">
            <v>Census Tract 111.02, King County, Washington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C118" t="str">
            <v>Census Tract 112, King County, Washington</v>
          </cell>
          <cell r="D118">
            <v>125</v>
          </cell>
          <cell r="E118">
            <v>125</v>
          </cell>
          <cell r="F118">
            <v>94</v>
          </cell>
          <cell r="G118">
            <v>31</v>
          </cell>
          <cell r="H118">
            <v>0</v>
          </cell>
          <cell r="I118">
            <v>13</v>
          </cell>
          <cell r="J118">
            <v>0</v>
          </cell>
          <cell r="K118">
            <v>18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125</v>
          </cell>
          <cell r="T118">
            <v>0</v>
          </cell>
        </row>
        <row r="119">
          <cell r="C119" t="str">
            <v>Census Tract 113, King County, Washington</v>
          </cell>
          <cell r="D119">
            <v>20</v>
          </cell>
          <cell r="E119">
            <v>20</v>
          </cell>
          <cell r="F119">
            <v>0</v>
          </cell>
          <cell r="G119">
            <v>20</v>
          </cell>
          <cell r="H119">
            <v>10</v>
          </cell>
          <cell r="I119">
            <v>0</v>
          </cell>
          <cell r="J119">
            <v>0</v>
          </cell>
          <cell r="K119">
            <v>10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20</v>
          </cell>
          <cell r="T119">
            <v>0</v>
          </cell>
        </row>
        <row r="120">
          <cell r="C120" t="str">
            <v>Census Tract 114, King County, Washington</v>
          </cell>
          <cell r="D120">
            <v>104</v>
          </cell>
          <cell r="E120">
            <v>104</v>
          </cell>
          <cell r="F120">
            <v>76</v>
          </cell>
          <cell r="G120">
            <v>28</v>
          </cell>
          <cell r="H120">
            <v>0</v>
          </cell>
          <cell r="I120">
            <v>10</v>
          </cell>
          <cell r="J120">
            <v>7</v>
          </cell>
          <cell r="K120">
            <v>11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104</v>
          </cell>
          <cell r="T120">
            <v>0</v>
          </cell>
        </row>
        <row r="121">
          <cell r="C121" t="str">
            <v>Census Tract 115, King County, Washington</v>
          </cell>
          <cell r="D121">
            <v>19</v>
          </cell>
          <cell r="E121">
            <v>19</v>
          </cell>
          <cell r="F121">
            <v>8</v>
          </cell>
          <cell r="G121">
            <v>11</v>
          </cell>
          <cell r="H121">
            <v>0</v>
          </cell>
          <cell r="I121">
            <v>4</v>
          </cell>
          <cell r="J121">
            <v>0</v>
          </cell>
          <cell r="K121">
            <v>7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19</v>
          </cell>
          <cell r="T121">
            <v>0</v>
          </cell>
        </row>
        <row r="122">
          <cell r="C122" t="str">
            <v>Census Tract 116, King County, Washington</v>
          </cell>
          <cell r="D122">
            <v>39</v>
          </cell>
          <cell r="E122">
            <v>39</v>
          </cell>
          <cell r="F122">
            <v>28</v>
          </cell>
          <cell r="G122">
            <v>11</v>
          </cell>
          <cell r="H122">
            <v>0</v>
          </cell>
          <cell r="I122">
            <v>0</v>
          </cell>
          <cell r="J122">
            <v>0</v>
          </cell>
          <cell r="K122">
            <v>11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39</v>
          </cell>
          <cell r="T122">
            <v>0</v>
          </cell>
        </row>
        <row r="123">
          <cell r="C123" t="str">
            <v>Census Tract 117, King County, Washington</v>
          </cell>
          <cell r="D123">
            <v>4</v>
          </cell>
          <cell r="E123">
            <v>4</v>
          </cell>
          <cell r="F123">
            <v>0</v>
          </cell>
          <cell r="G123">
            <v>4</v>
          </cell>
          <cell r="H123">
            <v>0</v>
          </cell>
          <cell r="I123">
            <v>0</v>
          </cell>
          <cell r="J123">
            <v>0</v>
          </cell>
          <cell r="K123">
            <v>4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</v>
          </cell>
          <cell r="T123">
            <v>0</v>
          </cell>
        </row>
        <row r="124">
          <cell r="C124" t="str">
            <v>Census Tract 118, King County, Washington</v>
          </cell>
          <cell r="D124">
            <v>98</v>
          </cell>
          <cell r="E124">
            <v>98</v>
          </cell>
          <cell r="F124">
            <v>43</v>
          </cell>
          <cell r="G124">
            <v>55</v>
          </cell>
          <cell r="H124">
            <v>0</v>
          </cell>
          <cell r="I124">
            <v>20</v>
          </cell>
          <cell r="J124">
            <v>0</v>
          </cell>
          <cell r="K124">
            <v>35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98</v>
          </cell>
          <cell r="T124">
            <v>0</v>
          </cell>
        </row>
        <row r="125">
          <cell r="C125" t="str">
            <v>Census Tract 119, King County, Washington</v>
          </cell>
          <cell r="D125">
            <v>26</v>
          </cell>
          <cell r="E125">
            <v>26</v>
          </cell>
          <cell r="F125">
            <v>0</v>
          </cell>
          <cell r="G125">
            <v>26</v>
          </cell>
          <cell r="H125">
            <v>0</v>
          </cell>
          <cell r="I125">
            <v>0</v>
          </cell>
          <cell r="J125">
            <v>0</v>
          </cell>
          <cell r="K125">
            <v>26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26</v>
          </cell>
          <cell r="T125">
            <v>0</v>
          </cell>
        </row>
        <row r="126">
          <cell r="C126" t="str">
            <v>Census Tract 120, King County, Washington</v>
          </cell>
          <cell r="D126">
            <v>21</v>
          </cell>
          <cell r="E126">
            <v>21</v>
          </cell>
          <cell r="F126">
            <v>7</v>
          </cell>
          <cell r="G126">
            <v>14</v>
          </cell>
          <cell r="H126">
            <v>0</v>
          </cell>
          <cell r="I126">
            <v>0</v>
          </cell>
          <cell r="J126">
            <v>0</v>
          </cell>
          <cell r="K126">
            <v>14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21</v>
          </cell>
          <cell r="T126">
            <v>0</v>
          </cell>
        </row>
        <row r="127">
          <cell r="C127" t="str">
            <v>Census Tract 121, King County, Washington</v>
          </cell>
          <cell r="D127">
            <v>58</v>
          </cell>
          <cell r="E127">
            <v>42</v>
          </cell>
          <cell r="F127">
            <v>16</v>
          </cell>
          <cell r="G127">
            <v>26</v>
          </cell>
          <cell r="H127">
            <v>0</v>
          </cell>
          <cell r="I127">
            <v>0</v>
          </cell>
          <cell r="J127">
            <v>0</v>
          </cell>
          <cell r="K127">
            <v>26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16</v>
          </cell>
          <cell r="Q127">
            <v>8</v>
          </cell>
          <cell r="R127">
            <v>8</v>
          </cell>
          <cell r="S127">
            <v>42</v>
          </cell>
          <cell r="T127">
            <v>16</v>
          </cell>
        </row>
        <row r="128">
          <cell r="C128" t="str">
            <v>Census Tract 201, King County, Washington</v>
          </cell>
          <cell r="D128">
            <v>12</v>
          </cell>
          <cell r="E128">
            <v>12</v>
          </cell>
          <cell r="F128">
            <v>12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12</v>
          </cell>
          <cell r="T128">
            <v>0</v>
          </cell>
        </row>
        <row r="129">
          <cell r="C129" t="str">
            <v>Census Tract 202, King County, Washington</v>
          </cell>
          <cell r="D129">
            <v>50</v>
          </cell>
          <cell r="E129">
            <v>50</v>
          </cell>
          <cell r="F129">
            <v>17</v>
          </cell>
          <cell r="G129">
            <v>33</v>
          </cell>
          <cell r="H129">
            <v>7</v>
          </cell>
          <cell r="I129">
            <v>0</v>
          </cell>
          <cell r="J129">
            <v>0</v>
          </cell>
          <cell r="K129">
            <v>26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50</v>
          </cell>
          <cell r="T129">
            <v>0</v>
          </cell>
        </row>
        <row r="130">
          <cell r="C130" t="str">
            <v>Census Tract 203, King County, Washington</v>
          </cell>
          <cell r="D130">
            <v>32</v>
          </cell>
          <cell r="E130">
            <v>32</v>
          </cell>
          <cell r="F130">
            <v>13</v>
          </cell>
          <cell r="G130">
            <v>19</v>
          </cell>
          <cell r="H130">
            <v>0</v>
          </cell>
          <cell r="I130">
            <v>0</v>
          </cell>
          <cell r="J130">
            <v>0</v>
          </cell>
          <cell r="K130">
            <v>19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32</v>
          </cell>
          <cell r="T130">
            <v>0</v>
          </cell>
        </row>
        <row r="131">
          <cell r="C131" t="str">
            <v>Census Tract 204.01, King County, Washington</v>
          </cell>
          <cell r="D131">
            <v>126</v>
          </cell>
          <cell r="E131">
            <v>102</v>
          </cell>
          <cell r="F131">
            <v>61</v>
          </cell>
          <cell r="G131">
            <v>41</v>
          </cell>
          <cell r="H131">
            <v>0</v>
          </cell>
          <cell r="I131">
            <v>12</v>
          </cell>
          <cell r="J131">
            <v>10</v>
          </cell>
          <cell r="K131">
            <v>19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24</v>
          </cell>
          <cell r="Q131">
            <v>0</v>
          </cell>
          <cell r="R131">
            <v>24</v>
          </cell>
          <cell r="S131">
            <v>102</v>
          </cell>
          <cell r="T131">
            <v>24</v>
          </cell>
        </row>
        <row r="132">
          <cell r="C132" t="str">
            <v>Census Tract 204.02, King County, Washington</v>
          </cell>
          <cell r="D132">
            <v>6</v>
          </cell>
          <cell r="E132">
            <v>6</v>
          </cell>
          <cell r="F132">
            <v>6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6</v>
          </cell>
          <cell r="T132">
            <v>0</v>
          </cell>
        </row>
        <row r="133">
          <cell r="C133" t="str">
            <v>Census Tract 205, King County, Washington</v>
          </cell>
          <cell r="D133">
            <v>71</v>
          </cell>
          <cell r="E133">
            <v>71</v>
          </cell>
          <cell r="F133">
            <v>46</v>
          </cell>
          <cell r="G133">
            <v>25</v>
          </cell>
          <cell r="H133">
            <v>13</v>
          </cell>
          <cell r="I133">
            <v>0</v>
          </cell>
          <cell r="J133">
            <v>0</v>
          </cell>
          <cell r="K133">
            <v>12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71</v>
          </cell>
          <cell r="T133">
            <v>0</v>
          </cell>
        </row>
        <row r="134">
          <cell r="C134" t="str">
            <v>Census Tract 206, King County, Washington</v>
          </cell>
          <cell r="D134">
            <v>26</v>
          </cell>
          <cell r="E134">
            <v>26</v>
          </cell>
          <cell r="F134">
            <v>3</v>
          </cell>
          <cell r="G134">
            <v>23</v>
          </cell>
          <cell r="H134">
            <v>0</v>
          </cell>
          <cell r="I134">
            <v>0</v>
          </cell>
          <cell r="J134">
            <v>7</v>
          </cell>
          <cell r="K134">
            <v>16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26</v>
          </cell>
          <cell r="T134">
            <v>0</v>
          </cell>
        </row>
        <row r="135">
          <cell r="C135" t="str">
            <v>Census Tract 207, King County, Washington</v>
          </cell>
          <cell r="D135">
            <v>46</v>
          </cell>
          <cell r="E135">
            <v>42</v>
          </cell>
          <cell r="F135">
            <v>42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4</v>
          </cell>
          <cell r="Q135">
            <v>0</v>
          </cell>
          <cell r="R135">
            <v>4</v>
          </cell>
          <cell r="S135">
            <v>42</v>
          </cell>
          <cell r="T135">
            <v>4</v>
          </cell>
        </row>
        <row r="136">
          <cell r="C136" t="str">
            <v>Census Tract 208, King County, Washington</v>
          </cell>
          <cell r="D136">
            <v>9</v>
          </cell>
          <cell r="E136">
            <v>9</v>
          </cell>
          <cell r="F136">
            <v>4</v>
          </cell>
          <cell r="G136">
            <v>5</v>
          </cell>
          <cell r="H136">
            <v>0</v>
          </cell>
          <cell r="I136">
            <v>0</v>
          </cell>
          <cell r="J136">
            <v>0</v>
          </cell>
          <cell r="K136">
            <v>5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9</v>
          </cell>
          <cell r="T136">
            <v>0</v>
          </cell>
        </row>
        <row r="137">
          <cell r="C137" t="str">
            <v>Census Tract 209, King County, Washington</v>
          </cell>
          <cell r="D137">
            <v>42</v>
          </cell>
          <cell r="E137">
            <v>42</v>
          </cell>
          <cell r="F137">
            <v>14</v>
          </cell>
          <cell r="G137">
            <v>28</v>
          </cell>
          <cell r="H137">
            <v>0</v>
          </cell>
          <cell r="I137">
            <v>0</v>
          </cell>
          <cell r="J137">
            <v>0</v>
          </cell>
          <cell r="K137">
            <v>28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42</v>
          </cell>
          <cell r="T137">
            <v>0</v>
          </cell>
        </row>
        <row r="138">
          <cell r="C138" t="str">
            <v>Census Tract 210, King County, Washington</v>
          </cell>
          <cell r="D138">
            <v>103</v>
          </cell>
          <cell r="E138">
            <v>103</v>
          </cell>
          <cell r="F138">
            <v>95</v>
          </cell>
          <cell r="G138">
            <v>8</v>
          </cell>
          <cell r="H138">
            <v>0</v>
          </cell>
          <cell r="I138">
            <v>0</v>
          </cell>
          <cell r="J138">
            <v>0</v>
          </cell>
          <cell r="K138">
            <v>8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103</v>
          </cell>
          <cell r="T138">
            <v>0</v>
          </cell>
        </row>
        <row r="139">
          <cell r="C139" t="str">
            <v>Census Tract 211, King County, Washington</v>
          </cell>
          <cell r="D139">
            <v>15</v>
          </cell>
          <cell r="E139">
            <v>15</v>
          </cell>
          <cell r="F139">
            <v>9</v>
          </cell>
          <cell r="G139">
            <v>6</v>
          </cell>
          <cell r="H139">
            <v>0</v>
          </cell>
          <cell r="I139">
            <v>0</v>
          </cell>
          <cell r="J139">
            <v>0</v>
          </cell>
          <cell r="K139">
            <v>6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15</v>
          </cell>
          <cell r="T139">
            <v>0</v>
          </cell>
        </row>
        <row r="140">
          <cell r="C140" t="str">
            <v>Census Tract 213, King County, Washington</v>
          </cell>
          <cell r="D140">
            <v>22</v>
          </cell>
          <cell r="E140">
            <v>15</v>
          </cell>
          <cell r="F140">
            <v>7</v>
          </cell>
          <cell r="G140">
            <v>8</v>
          </cell>
          <cell r="H140">
            <v>0</v>
          </cell>
          <cell r="I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7</v>
          </cell>
          <cell r="Q140">
            <v>0</v>
          </cell>
          <cell r="R140">
            <v>7</v>
          </cell>
          <cell r="S140">
            <v>15</v>
          </cell>
          <cell r="T140">
            <v>7</v>
          </cell>
        </row>
        <row r="141">
          <cell r="C141" t="str">
            <v>Census Tract 214, King County, Washington</v>
          </cell>
          <cell r="D141">
            <v>35</v>
          </cell>
          <cell r="E141">
            <v>35</v>
          </cell>
          <cell r="F141">
            <v>7</v>
          </cell>
          <cell r="G141">
            <v>28</v>
          </cell>
          <cell r="H141">
            <v>0</v>
          </cell>
          <cell r="I141">
            <v>0</v>
          </cell>
          <cell r="J141">
            <v>0</v>
          </cell>
          <cell r="K141">
            <v>28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35</v>
          </cell>
          <cell r="T141">
            <v>0</v>
          </cell>
        </row>
        <row r="142">
          <cell r="C142" t="str">
            <v>Census Tract 215, King County, Washington</v>
          </cell>
          <cell r="D142">
            <v>12</v>
          </cell>
          <cell r="E142">
            <v>9</v>
          </cell>
          <cell r="F142">
            <v>9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3</v>
          </cell>
          <cell r="Q142">
            <v>3</v>
          </cell>
          <cell r="R142">
            <v>0</v>
          </cell>
          <cell r="S142">
            <v>9</v>
          </cell>
          <cell r="T142">
            <v>3</v>
          </cell>
        </row>
        <row r="143">
          <cell r="C143" t="str">
            <v>Census Tract 216, King County, Washington</v>
          </cell>
          <cell r="D143">
            <v>106</v>
          </cell>
          <cell r="E143">
            <v>106</v>
          </cell>
          <cell r="F143">
            <v>21</v>
          </cell>
          <cell r="G143">
            <v>85</v>
          </cell>
          <cell r="H143">
            <v>0</v>
          </cell>
          <cell r="I143">
            <v>41</v>
          </cell>
          <cell r="J143">
            <v>0</v>
          </cell>
          <cell r="K143">
            <v>44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106</v>
          </cell>
          <cell r="T143">
            <v>0</v>
          </cell>
        </row>
        <row r="144">
          <cell r="C144" t="str">
            <v>Census Tract 217, King County, Washington</v>
          </cell>
          <cell r="D144">
            <v>62</v>
          </cell>
          <cell r="E144">
            <v>62</v>
          </cell>
          <cell r="F144">
            <v>23</v>
          </cell>
          <cell r="G144">
            <v>39</v>
          </cell>
          <cell r="H144">
            <v>0</v>
          </cell>
          <cell r="I144">
            <v>0</v>
          </cell>
          <cell r="J144">
            <v>0</v>
          </cell>
          <cell r="K144">
            <v>39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62</v>
          </cell>
          <cell r="T144">
            <v>0</v>
          </cell>
        </row>
        <row r="145">
          <cell r="C145" t="str">
            <v>Census Tract 218.02, King County, Washington</v>
          </cell>
          <cell r="D145">
            <v>17</v>
          </cell>
          <cell r="E145">
            <v>17</v>
          </cell>
          <cell r="F145">
            <v>3</v>
          </cell>
          <cell r="G145">
            <v>14</v>
          </cell>
          <cell r="H145">
            <v>0</v>
          </cell>
          <cell r="I145">
            <v>0</v>
          </cell>
          <cell r="J145">
            <v>0</v>
          </cell>
          <cell r="K145">
            <v>14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17</v>
          </cell>
          <cell r="T145">
            <v>0</v>
          </cell>
        </row>
        <row r="146">
          <cell r="C146" t="str">
            <v>Census Tract 218.03, King County, Washington</v>
          </cell>
          <cell r="D146">
            <v>20</v>
          </cell>
          <cell r="E146">
            <v>10</v>
          </cell>
          <cell r="F146">
            <v>0</v>
          </cell>
          <cell r="G146">
            <v>10</v>
          </cell>
          <cell r="H146">
            <v>0</v>
          </cell>
          <cell r="I146">
            <v>10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10</v>
          </cell>
          <cell r="Q146">
            <v>10</v>
          </cell>
          <cell r="R146">
            <v>0</v>
          </cell>
          <cell r="S146">
            <v>10</v>
          </cell>
          <cell r="T146">
            <v>10</v>
          </cell>
        </row>
        <row r="147">
          <cell r="C147" t="str">
            <v>Census Tract 218.04, King County, Washington</v>
          </cell>
          <cell r="D147">
            <v>60</v>
          </cell>
          <cell r="E147">
            <v>60</v>
          </cell>
          <cell r="F147">
            <v>27</v>
          </cell>
          <cell r="G147">
            <v>33</v>
          </cell>
          <cell r="H147">
            <v>0</v>
          </cell>
          <cell r="I147">
            <v>11</v>
          </cell>
          <cell r="J147">
            <v>0</v>
          </cell>
          <cell r="K147">
            <v>22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60</v>
          </cell>
          <cell r="T147">
            <v>0</v>
          </cell>
        </row>
        <row r="148">
          <cell r="C148" t="str">
            <v>Census Tract 219.03, King County, Washington</v>
          </cell>
          <cell r="D148">
            <v>17</v>
          </cell>
          <cell r="E148">
            <v>17</v>
          </cell>
          <cell r="F148">
            <v>7</v>
          </cell>
          <cell r="G148">
            <v>10</v>
          </cell>
          <cell r="H148">
            <v>0</v>
          </cell>
          <cell r="I148">
            <v>0</v>
          </cell>
          <cell r="J148">
            <v>0</v>
          </cell>
          <cell r="K148">
            <v>10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17</v>
          </cell>
          <cell r="T148">
            <v>0</v>
          </cell>
        </row>
        <row r="149">
          <cell r="C149" t="str">
            <v>Census Tract 219.04, King County, Washington</v>
          </cell>
          <cell r="D149">
            <v>17</v>
          </cell>
          <cell r="E149">
            <v>17</v>
          </cell>
          <cell r="F149">
            <v>12</v>
          </cell>
          <cell r="G149">
            <v>5</v>
          </cell>
          <cell r="H149">
            <v>0</v>
          </cell>
          <cell r="I149">
            <v>5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17</v>
          </cell>
          <cell r="T149">
            <v>0</v>
          </cell>
        </row>
        <row r="150">
          <cell r="C150" t="str">
            <v>Census Tract 219.05, King County, Washington</v>
          </cell>
          <cell r="D150">
            <v>28</v>
          </cell>
          <cell r="E150">
            <v>28</v>
          </cell>
          <cell r="F150">
            <v>13</v>
          </cell>
          <cell r="G150">
            <v>15</v>
          </cell>
          <cell r="H150">
            <v>0</v>
          </cell>
          <cell r="I150">
            <v>0</v>
          </cell>
          <cell r="J150">
            <v>0</v>
          </cell>
          <cell r="K150">
            <v>15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28</v>
          </cell>
          <cell r="T150">
            <v>0</v>
          </cell>
        </row>
        <row r="151">
          <cell r="C151" t="str">
            <v>Census Tract 219.06, King County, Washington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C152" t="str">
            <v>Census Tract 220.01, King County, Washington</v>
          </cell>
          <cell r="D152">
            <v>14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14</v>
          </cell>
          <cell r="Q152">
            <v>0</v>
          </cell>
          <cell r="R152">
            <v>14</v>
          </cell>
          <cell r="S152">
            <v>0</v>
          </cell>
          <cell r="T152">
            <v>14</v>
          </cell>
        </row>
        <row r="153">
          <cell r="C153" t="str">
            <v>Census Tract 220.03, King County, Washington</v>
          </cell>
          <cell r="D153">
            <v>38</v>
          </cell>
          <cell r="E153">
            <v>38</v>
          </cell>
          <cell r="F153">
            <v>32</v>
          </cell>
          <cell r="G153">
            <v>6</v>
          </cell>
          <cell r="H153">
            <v>0</v>
          </cell>
          <cell r="I153">
            <v>0</v>
          </cell>
          <cell r="J153">
            <v>0</v>
          </cell>
          <cell r="K153">
            <v>6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38</v>
          </cell>
          <cell r="T153">
            <v>0</v>
          </cell>
        </row>
        <row r="154">
          <cell r="C154" t="str">
            <v>Census Tract 220.05, King County, Washington</v>
          </cell>
          <cell r="D154">
            <v>24</v>
          </cell>
          <cell r="E154">
            <v>15</v>
          </cell>
          <cell r="F154">
            <v>15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9</v>
          </cell>
          <cell r="Q154">
            <v>0</v>
          </cell>
          <cell r="R154">
            <v>9</v>
          </cell>
          <cell r="S154">
            <v>15</v>
          </cell>
          <cell r="T154">
            <v>9</v>
          </cell>
        </row>
        <row r="155">
          <cell r="C155" t="str">
            <v>Census Tract 220.06, King County, Washington</v>
          </cell>
          <cell r="D155">
            <v>24</v>
          </cell>
          <cell r="E155">
            <v>24</v>
          </cell>
          <cell r="F155">
            <v>15</v>
          </cell>
          <cell r="G155">
            <v>9</v>
          </cell>
          <cell r="H155">
            <v>0</v>
          </cell>
          <cell r="I155">
            <v>0</v>
          </cell>
          <cell r="J155">
            <v>0</v>
          </cell>
          <cell r="K155">
            <v>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24</v>
          </cell>
          <cell r="T155">
            <v>0</v>
          </cell>
        </row>
        <row r="156">
          <cell r="C156" t="str">
            <v>Census Tract 221.01, King County, Washington</v>
          </cell>
          <cell r="D156">
            <v>21</v>
          </cell>
          <cell r="E156">
            <v>21</v>
          </cell>
          <cell r="F156">
            <v>21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21</v>
          </cell>
          <cell r="T156">
            <v>0</v>
          </cell>
        </row>
        <row r="157">
          <cell r="C157" t="str">
            <v>Census Tract 221.02, King County, Washington</v>
          </cell>
          <cell r="D157">
            <v>45</v>
          </cell>
          <cell r="E157">
            <v>45</v>
          </cell>
          <cell r="F157">
            <v>25</v>
          </cell>
          <cell r="G157">
            <v>20</v>
          </cell>
          <cell r="H157">
            <v>0</v>
          </cell>
          <cell r="I157">
            <v>0</v>
          </cell>
          <cell r="J157">
            <v>0</v>
          </cell>
          <cell r="K157">
            <v>20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45</v>
          </cell>
          <cell r="T157">
            <v>0</v>
          </cell>
        </row>
        <row r="158">
          <cell r="C158" t="str">
            <v>Census Tract 222.01, King County, Washington</v>
          </cell>
          <cell r="D158">
            <v>45</v>
          </cell>
          <cell r="E158">
            <v>45</v>
          </cell>
          <cell r="F158">
            <v>29</v>
          </cell>
          <cell r="G158">
            <v>16</v>
          </cell>
          <cell r="H158">
            <v>0</v>
          </cell>
          <cell r="I158">
            <v>0</v>
          </cell>
          <cell r="J158">
            <v>0</v>
          </cell>
          <cell r="K158">
            <v>16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45</v>
          </cell>
          <cell r="T158">
            <v>0</v>
          </cell>
        </row>
        <row r="159">
          <cell r="C159" t="str">
            <v>Census Tract 222.02, King County, Washington</v>
          </cell>
          <cell r="D159">
            <v>26</v>
          </cell>
          <cell r="E159">
            <v>26</v>
          </cell>
          <cell r="F159">
            <v>26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26</v>
          </cell>
          <cell r="T159">
            <v>0</v>
          </cell>
        </row>
        <row r="160">
          <cell r="C160" t="str">
            <v>Census Tract 222.03, King County, Washington</v>
          </cell>
          <cell r="D160">
            <v>71</v>
          </cell>
          <cell r="E160">
            <v>64</v>
          </cell>
          <cell r="F160">
            <v>44</v>
          </cell>
          <cell r="G160">
            <v>20</v>
          </cell>
          <cell r="H160">
            <v>0</v>
          </cell>
          <cell r="I160">
            <v>7</v>
          </cell>
          <cell r="J160">
            <v>0</v>
          </cell>
          <cell r="K160">
            <v>13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7</v>
          </cell>
          <cell r="Q160">
            <v>0</v>
          </cell>
          <cell r="R160">
            <v>7</v>
          </cell>
          <cell r="S160">
            <v>64</v>
          </cell>
          <cell r="T160">
            <v>7</v>
          </cell>
        </row>
        <row r="161">
          <cell r="C161" t="str">
            <v>Census Tract 223, King County, Washington</v>
          </cell>
          <cell r="D161">
            <v>41</v>
          </cell>
          <cell r="E161">
            <v>41</v>
          </cell>
          <cell r="F161">
            <v>41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41</v>
          </cell>
          <cell r="T161">
            <v>0</v>
          </cell>
        </row>
        <row r="162">
          <cell r="C162" t="str">
            <v>Census Tract 224, King County, Washington</v>
          </cell>
          <cell r="D162">
            <v>25</v>
          </cell>
          <cell r="E162">
            <v>25</v>
          </cell>
          <cell r="F162">
            <v>18</v>
          </cell>
          <cell r="G162">
            <v>7</v>
          </cell>
          <cell r="H162">
            <v>0</v>
          </cell>
          <cell r="I162">
            <v>0</v>
          </cell>
          <cell r="J162">
            <v>0</v>
          </cell>
          <cell r="K162">
            <v>7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25</v>
          </cell>
          <cell r="T162">
            <v>0</v>
          </cell>
        </row>
        <row r="163">
          <cell r="C163" t="str">
            <v>Census Tract 225, King County, Washington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C164" t="str">
            <v>Census Tract 226.03, King County, Washington</v>
          </cell>
          <cell r="D164">
            <v>23</v>
          </cell>
          <cell r="E164">
            <v>23</v>
          </cell>
          <cell r="F164">
            <v>0</v>
          </cell>
          <cell r="G164">
            <v>23</v>
          </cell>
          <cell r="H164">
            <v>0</v>
          </cell>
          <cell r="I164">
            <v>0</v>
          </cell>
          <cell r="J164">
            <v>12</v>
          </cell>
          <cell r="K164">
            <v>11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23</v>
          </cell>
          <cell r="T164">
            <v>0</v>
          </cell>
        </row>
        <row r="165">
          <cell r="C165" t="str">
            <v>Census Tract 226.04, King County, Washington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C166" t="str">
            <v>Census Tract 226.05, King County, Washington</v>
          </cell>
          <cell r="D166">
            <v>15</v>
          </cell>
          <cell r="E166">
            <v>15</v>
          </cell>
          <cell r="F166">
            <v>0</v>
          </cell>
          <cell r="G166">
            <v>15</v>
          </cell>
          <cell r="H166">
            <v>0</v>
          </cell>
          <cell r="I166">
            <v>0</v>
          </cell>
          <cell r="J166">
            <v>0</v>
          </cell>
          <cell r="K166">
            <v>15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15</v>
          </cell>
          <cell r="T166">
            <v>0</v>
          </cell>
        </row>
        <row r="167">
          <cell r="C167" t="str">
            <v>Census Tract 226.06, King County, Washington</v>
          </cell>
          <cell r="D167">
            <v>21</v>
          </cell>
          <cell r="E167">
            <v>21</v>
          </cell>
          <cell r="F167">
            <v>0</v>
          </cell>
          <cell r="G167">
            <v>21</v>
          </cell>
          <cell r="H167">
            <v>0</v>
          </cell>
          <cell r="I167">
            <v>13</v>
          </cell>
          <cell r="J167">
            <v>8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21</v>
          </cell>
          <cell r="T167">
            <v>0</v>
          </cell>
        </row>
        <row r="168">
          <cell r="C168" t="str">
            <v>Census Tract 227.01, King County, Washington</v>
          </cell>
          <cell r="D168">
            <v>38</v>
          </cell>
          <cell r="E168">
            <v>38</v>
          </cell>
          <cell r="F168">
            <v>30</v>
          </cell>
          <cell r="G168">
            <v>8</v>
          </cell>
          <cell r="H168">
            <v>0</v>
          </cell>
          <cell r="I168">
            <v>0</v>
          </cell>
          <cell r="J168">
            <v>0</v>
          </cell>
          <cell r="K168">
            <v>8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38</v>
          </cell>
          <cell r="T168">
            <v>0</v>
          </cell>
        </row>
        <row r="169">
          <cell r="C169" t="str">
            <v>Census Tract 227.02, King County, Washington</v>
          </cell>
          <cell r="D169">
            <v>9</v>
          </cell>
          <cell r="E169">
            <v>9</v>
          </cell>
          <cell r="F169">
            <v>0</v>
          </cell>
          <cell r="G169">
            <v>9</v>
          </cell>
          <cell r="H169">
            <v>0</v>
          </cell>
          <cell r="I169">
            <v>0</v>
          </cell>
          <cell r="J169">
            <v>9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9</v>
          </cell>
          <cell r="T169">
            <v>0</v>
          </cell>
        </row>
        <row r="170">
          <cell r="C170" t="str">
            <v>Census Tract 227.03, King County, Washington</v>
          </cell>
          <cell r="D170">
            <v>52</v>
          </cell>
          <cell r="E170">
            <v>52</v>
          </cell>
          <cell r="F170">
            <v>33</v>
          </cell>
          <cell r="G170">
            <v>19</v>
          </cell>
          <cell r="H170">
            <v>0</v>
          </cell>
          <cell r="I170">
            <v>0</v>
          </cell>
          <cell r="J170">
            <v>0</v>
          </cell>
          <cell r="K170">
            <v>19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52</v>
          </cell>
          <cell r="T170">
            <v>0</v>
          </cell>
        </row>
        <row r="171">
          <cell r="C171" t="str">
            <v>Census Tract 228.01, King County, Washington</v>
          </cell>
          <cell r="D171">
            <v>24</v>
          </cell>
          <cell r="E171">
            <v>13</v>
          </cell>
          <cell r="F171">
            <v>13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11</v>
          </cell>
          <cell r="Q171">
            <v>0</v>
          </cell>
          <cell r="R171">
            <v>11</v>
          </cell>
          <cell r="S171">
            <v>13</v>
          </cell>
          <cell r="T171">
            <v>11</v>
          </cell>
        </row>
        <row r="172">
          <cell r="C172" t="str">
            <v>Census Tract 228.02, King County, Washington</v>
          </cell>
          <cell r="D172">
            <v>17</v>
          </cell>
          <cell r="E172">
            <v>17</v>
          </cell>
          <cell r="F172">
            <v>7</v>
          </cell>
          <cell r="G172">
            <v>10</v>
          </cell>
          <cell r="H172">
            <v>0</v>
          </cell>
          <cell r="I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17</v>
          </cell>
          <cell r="T172">
            <v>0</v>
          </cell>
        </row>
        <row r="173">
          <cell r="C173" t="str">
            <v>Census Tract 228.03, King County, Washington</v>
          </cell>
          <cell r="D173">
            <v>31</v>
          </cell>
          <cell r="E173">
            <v>31</v>
          </cell>
          <cell r="F173">
            <v>12</v>
          </cell>
          <cell r="G173">
            <v>19</v>
          </cell>
          <cell r="H173">
            <v>0</v>
          </cell>
          <cell r="I173">
            <v>15</v>
          </cell>
          <cell r="J173">
            <v>0</v>
          </cell>
          <cell r="K173">
            <v>4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31</v>
          </cell>
          <cell r="T173">
            <v>0</v>
          </cell>
        </row>
        <row r="174">
          <cell r="C174" t="str">
            <v>Census Tract 229.01, King County, Washington</v>
          </cell>
          <cell r="D174">
            <v>62</v>
          </cell>
          <cell r="E174">
            <v>62</v>
          </cell>
          <cell r="F174">
            <v>52</v>
          </cell>
          <cell r="G174">
            <v>10</v>
          </cell>
          <cell r="H174">
            <v>0</v>
          </cell>
          <cell r="I174">
            <v>0</v>
          </cell>
          <cell r="J174">
            <v>10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62</v>
          </cell>
          <cell r="T174">
            <v>0</v>
          </cell>
        </row>
        <row r="175">
          <cell r="C175" t="str">
            <v>Census Tract 229.02, King County, Washington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C176" t="str">
            <v>Census Tract 230, King County, Washington</v>
          </cell>
          <cell r="D176">
            <v>36</v>
          </cell>
          <cell r="E176">
            <v>36</v>
          </cell>
          <cell r="F176">
            <v>18</v>
          </cell>
          <cell r="G176">
            <v>18</v>
          </cell>
          <cell r="H176">
            <v>0</v>
          </cell>
          <cell r="I176">
            <v>0</v>
          </cell>
          <cell r="J176">
            <v>7</v>
          </cell>
          <cell r="K176">
            <v>11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36</v>
          </cell>
          <cell r="T176">
            <v>0</v>
          </cell>
        </row>
        <row r="177">
          <cell r="C177" t="str">
            <v>Census Tract 231, King County, Washington</v>
          </cell>
          <cell r="D177">
            <v>6</v>
          </cell>
          <cell r="E177">
            <v>6</v>
          </cell>
          <cell r="F177">
            <v>0</v>
          </cell>
          <cell r="G177">
            <v>6</v>
          </cell>
          <cell r="H177">
            <v>0</v>
          </cell>
          <cell r="I177">
            <v>0</v>
          </cell>
          <cell r="J177">
            <v>0</v>
          </cell>
          <cell r="K177">
            <v>6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6</v>
          </cell>
          <cell r="T177">
            <v>0</v>
          </cell>
        </row>
        <row r="178">
          <cell r="C178" t="str">
            <v>Census Tract 232.01, King County, Washington</v>
          </cell>
          <cell r="D178">
            <v>115</v>
          </cell>
          <cell r="E178">
            <v>115</v>
          </cell>
          <cell r="F178">
            <v>0</v>
          </cell>
          <cell r="G178">
            <v>98</v>
          </cell>
          <cell r="H178">
            <v>0</v>
          </cell>
          <cell r="I178">
            <v>0</v>
          </cell>
          <cell r="J178">
            <v>98</v>
          </cell>
          <cell r="K178">
            <v>0</v>
          </cell>
          <cell r="L178">
            <v>17</v>
          </cell>
          <cell r="M178">
            <v>0</v>
          </cell>
          <cell r="N178">
            <v>0</v>
          </cell>
          <cell r="O178">
            <v>17</v>
          </cell>
          <cell r="P178">
            <v>0</v>
          </cell>
          <cell r="Q178">
            <v>0</v>
          </cell>
          <cell r="R178">
            <v>0</v>
          </cell>
          <cell r="S178">
            <v>98</v>
          </cell>
          <cell r="T178">
            <v>17</v>
          </cell>
        </row>
        <row r="179">
          <cell r="C179" t="str">
            <v>Census Tract 232.02, King County, Washington</v>
          </cell>
          <cell r="D179">
            <v>25</v>
          </cell>
          <cell r="E179">
            <v>25</v>
          </cell>
          <cell r="F179">
            <v>0</v>
          </cell>
          <cell r="G179">
            <v>25</v>
          </cell>
          <cell r="H179">
            <v>0</v>
          </cell>
          <cell r="I179">
            <v>5</v>
          </cell>
          <cell r="J179">
            <v>10</v>
          </cell>
          <cell r="K179">
            <v>10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25</v>
          </cell>
          <cell r="T179">
            <v>0</v>
          </cell>
        </row>
        <row r="180">
          <cell r="C180" t="str">
            <v>Census Tract 233, King County, Washington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C181" t="str">
            <v>Census Tract 234.01, King County, Washington</v>
          </cell>
          <cell r="D181">
            <v>3</v>
          </cell>
          <cell r="E181">
            <v>3</v>
          </cell>
          <cell r="F181">
            <v>3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3</v>
          </cell>
          <cell r="T181">
            <v>0</v>
          </cell>
        </row>
        <row r="182">
          <cell r="C182" t="str">
            <v>Census Tract 234.02, King County, Washington</v>
          </cell>
          <cell r="D182">
            <v>50</v>
          </cell>
          <cell r="E182">
            <v>50</v>
          </cell>
          <cell r="F182">
            <v>31</v>
          </cell>
          <cell r="G182">
            <v>19</v>
          </cell>
          <cell r="H182">
            <v>0</v>
          </cell>
          <cell r="I182">
            <v>0</v>
          </cell>
          <cell r="J182">
            <v>0</v>
          </cell>
          <cell r="K182">
            <v>19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50</v>
          </cell>
          <cell r="T182">
            <v>0</v>
          </cell>
        </row>
        <row r="183">
          <cell r="C183" t="str">
            <v>Census Tract 235, King County, Washington</v>
          </cell>
          <cell r="D183">
            <v>24</v>
          </cell>
          <cell r="E183">
            <v>24</v>
          </cell>
          <cell r="F183">
            <v>0</v>
          </cell>
          <cell r="G183">
            <v>24</v>
          </cell>
          <cell r="H183">
            <v>0</v>
          </cell>
          <cell r="I183">
            <v>0</v>
          </cell>
          <cell r="J183">
            <v>0</v>
          </cell>
          <cell r="K183">
            <v>24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24</v>
          </cell>
          <cell r="T183">
            <v>0</v>
          </cell>
        </row>
        <row r="184">
          <cell r="C184" t="str">
            <v>Census Tract 236.01, King County, Washington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C185" t="str">
            <v>Census Tract 236.03, King County, Washington</v>
          </cell>
          <cell r="D185">
            <v>21</v>
          </cell>
          <cell r="E185">
            <v>21</v>
          </cell>
          <cell r="F185">
            <v>0</v>
          </cell>
          <cell r="G185">
            <v>21</v>
          </cell>
          <cell r="H185">
            <v>0</v>
          </cell>
          <cell r="I185">
            <v>0</v>
          </cell>
          <cell r="J185">
            <v>21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21</v>
          </cell>
          <cell r="T185">
            <v>0</v>
          </cell>
        </row>
        <row r="186">
          <cell r="C186" t="str">
            <v>Census Tract 236.04, King County, Washington</v>
          </cell>
          <cell r="D186">
            <v>64</v>
          </cell>
          <cell r="E186">
            <v>64</v>
          </cell>
          <cell r="F186">
            <v>43</v>
          </cell>
          <cell r="G186">
            <v>21</v>
          </cell>
          <cell r="H186">
            <v>0</v>
          </cell>
          <cell r="I186">
            <v>7</v>
          </cell>
          <cell r="J186">
            <v>0</v>
          </cell>
          <cell r="K186">
            <v>14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64</v>
          </cell>
          <cell r="T186">
            <v>0</v>
          </cell>
        </row>
        <row r="187">
          <cell r="C187" t="str">
            <v>Census Tract 237, King County, Washington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C188" t="str">
            <v>Census Tract 238.01, King County, Washington</v>
          </cell>
          <cell r="D188">
            <v>36</v>
          </cell>
          <cell r="E188">
            <v>36</v>
          </cell>
          <cell r="F188">
            <v>19</v>
          </cell>
          <cell r="G188">
            <v>17</v>
          </cell>
          <cell r="H188">
            <v>17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36</v>
          </cell>
          <cell r="T188">
            <v>0</v>
          </cell>
        </row>
        <row r="189">
          <cell r="C189" t="str">
            <v>Census Tract 238.02, King County, Washington</v>
          </cell>
          <cell r="D189">
            <v>10</v>
          </cell>
          <cell r="E189">
            <v>10</v>
          </cell>
          <cell r="F189">
            <v>3</v>
          </cell>
          <cell r="G189">
            <v>7</v>
          </cell>
          <cell r="H189">
            <v>0</v>
          </cell>
          <cell r="I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10</v>
          </cell>
          <cell r="T189">
            <v>0</v>
          </cell>
        </row>
        <row r="190">
          <cell r="C190" t="str">
            <v>Census Tract 239, King County, Washington</v>
          </cell>
          <cell r="D190">
            <v>58</v>
          </cell>
          <cell r="E190">
            <v>58</v>
          </cell>
          <cell r="F190">
            <v>32</v>
          </cell>
          <cell r="G190">
            <v>26</v>
          </cell>
          <cell r="H190">
            <v>0</v>
          </cell>
          <cell r="I190">
            <v>0</v>
          </cell>
          <cell r="J190">
            <v>0</v>
          </cell>
          <cell r="K190">
            <v>26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58</v>
          </cell>
          <cell r="T190">
            <v>0</v>
          </cell>
        </row>
        <row r="191">
          <cell r="C191" t="str">
            <v>Census Tract 240, King County, Washington</v>
          </cell>
          <cell r="D191">
            <v>30</v>
          </cell>
          <cell r="E191">
            <v>30</v>
          </cell>
          <cell r="F191">
            <v>6</v>
          </cell>
          <cell r="G191">
            <v>24</v>
          </cell>
          <cell r="H191">
            <v>0</v>
          </cell>
          <cell r="I191">
            <v>0</v>
          </cell>
          <cell r="J191">
            <v>0</v>
          </cell>
          <cell r="K191">
            <v>24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30</v>
          </cell>
          <cell r="T191">
            <v>0</v>
          </cell>
        </row>
        <row r="192">
          <cell r="C192" t="str">
            <v>Census Tract 241, King County, Washington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C193" t="str">
            <v>Census Tract 242, King County, Washington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C194" t="str">
            <v>Census Tract 243, King County, Washington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 t="str">
            <v>Census Tract 244, King County, Washington</v>
          </cell>
          <cell r="D195">
            <v>4</v>
          </cell>
          <cell r="E195">
            <v>4</v>
          </cell>
          <cell r="F195">
            <v>4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4</v>
          </cell>
          <cell r="T195">
            <v>0</v>
          </cell>
        </row>
        <row r="196">
          <cell r="C196" t="str">
            <v>Census Tract 245, King County, Washington</v>
          </cell>
          <cell r="D196">
            <v>35</v>
          </cell>
          <cell r="E196">
            <v>35</v>
          </cell>
          <cell r="F196">
            <v>17</v>
          </cell>
          <cell r="G196">
            <v>18</v>
          </cell>
          <cell r="H196">
            <v>0</v>
          </cell>
          <cell r="I196">
            <v>0</v>
          </cell>
          <cell r="J196">
            <v>0</v>
          </cell>
          <cell r="K196">
            <v>18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35</v>
          </cell>
          <cell r="T196">
            <v>0</v>
          </cell>
        </row>
        <row r="197">
          <cell r="C197" t="str">
            <v>Census Tract 246.01, King County, Washington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C198" t="str">
            <v>Census Tract 246.02, King County, Washington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C199" t="str">
            <v>Census Tract 247.01, King County, Washington</v>
          </cell>
          <cell r="D199">
            <v>9</v>
          </cell>
          <cell r="E199">
            <v>9</v>
          </cell>
          <cell r="F199">
            <v>9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9</v>
          </cell>
          <cell r="T199">
            <v>0</v>
          </cell>
        </row>
        <row r="200">
          <cell r="C200" t="str">
            <v>Census Tract 247.02, King County, Washington</v>
          </cell>
          <cell r="D200">
            <v>39</v>
          </cell>
          <cell r="E200">
            <v>39</v>
          </cell>
          <cell r="F200">
            <v>30</v>
          </cell>
          <cell r="G200">
            <v>9</v>
          </cell>
          <cell r="H200">
            <v>0</v>
          </cell>
          <cell r="I200">
            <v>9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39</v>
          </cell>
          <cell r="T200">
            <v>0</v>
          </cell>
        </row>
        <row r="201">
          <cell r="C201" t="str">
            <v>Census Tract 248, King County, Washington</v>
          </cell>
          <cell r="D201">
            <v>15</v>
          </cell>
          <cell r="E201">
            <v>15</v>
          </cell>
          <cell r="F201">
            <v>6</v>
          </cell>
          <cell r="G201">
            <v>9</v>
          </cell>
          <cell r="H201">
            <v>0</v>
          </cell>
          <cell r="I201">
            <v>0</v>
          </cell>
          <cell r="J201">
            <v>0</v>
          </cell>
          <cell r="K201">
            <v>9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15</v>
          </cell>
          <cell r="T201">
            <v>0</v>
          </cell>
        </row>
        <row r="202">
          <cell r="C202" t="str">
            <v>Census Tract 249.01, King County, Washington</v>
          </cell>
          <cell r="D202">
            <v>22</v>
          </cell>
          <cell r="E202">
            <v>16</v>
          </cell>
          <cell r="F202">
            <v>0</v>
          </cell>
          <cell r="G202">
            <v>16</v>
          </cell>
          <cell r="H202">
            <v>0</v>
          </cell>
          <cell r="I202">
            <v>9</v>
          </cell>
          <cell r="J202">
            <v>7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6</v>
          </cell>
          <cell r="Q202">
            <v>0</v>
          </cell>
          <cell r="R202">
            <v>6</v>
          </cell>
          <cell r="S202">
            <v>16</v>
          </cell>
          <cell r="T202">
            <v>6</v>
          </cell>
        </row>
        <row r="203">
          <cell r="C203" t="str">
            <v>Census Tract 249.02, King County, Washington</v>
          </cell>
          <cell r="D203">
            <v>9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9</v>
          </cell>
          <cell r="Q203">
            <v>9</v>
          </cell>
          <cell r="R203">
            <v>0</v>
          </cell>
          <cell r="S203">
            <v>0</v>
          </cell>
          <cell r="T203">
            <v>9</v>
          </cell>
        </row>
        <row r="204">
          <cell r="C204" t="str">
            <v>Census Tract 249.03, King County, Washington</v>
          </cell>
          <cell r="D204">
            <v>7</v>
          </cell>
          <cell r="E204">
            <v>7</v>
          </cell>
          <cell r="F204">
            <v>0</v>
          </cell>
          <cell r="G204">
            <v>7</v>
          </cell>
          <cell r="H204">
            <v>0</v>
          </cell>
          <cell r="I204">
            <v>7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7</v>
          </cell>
          <cell r="T204">
            <v>0</v>
          </cell>
        </row>
        <row r="205">
          <cell r="C205" t="str">
            <v>Census Tract 250.01, King County, Washington</v>
          </cell>
          <cell r="D205">
            <v>6</v>
          </cell>
          <cell r="E205">
            <v>6</v>
          </cell>
          <cell r="F205">
            <v>6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0</v>
          </cell>
        </row>
        <row r="206">
          <cell r="C206" t="str">
            <v>Census Tract 250.03, King County, Washington</v>
          </cell>
          <cell r="D206">
            <v>11</v>
          </cell>
          <cell r="E206">
            <v>11</v>
          </cell>
          <cell r="F206">
            <v>11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11</v>
          </cell>
          <cell r="T206">
            <v>0</v>
          </cell>
        </row>
        <row r="207">
          <cell r="C207" t="str">
            <v>Census Tract 250.04, King County, Washington</v>
          </cell>
          <cell r="D207">
            <v>49</v>
          </cell>
          <cell r="E207">
            <v>49</v>
          </cell>
          <cell r="F207">
            <v>31</v>
          </cell>
          <cell r="G207">
            <v>18</v>
          </cell>
          <cell r="H207">
            <v>0</v>
          </cell>
          <cell r="I207">
            <v>12</v>
          </cell>
          <cell r="J207">
            <v>0</v>
          </cell>
          <cell r="K207">
            <v>6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49</v>
          </cell>
          <cell r="T207">
            <v>0</v>
          </cell>
        </row>
        <row r="208">
          <cell r="C208" t="str">
            <v>Census Tract 251.01, King County, Washington</v>
          </cell>
          <cell r="D208">
            <v>11</v>
          </cell>
          <cell r="E208">
            <v>11</v>
          </cell>
          <cell r="F208">
            <v>0</v>
          </cell>
          <cell r="G208">
            <v>11</v>
          </cell>
          <cell r="H208">
            <v>0</v>
          </cell>
          <cell r="I208">
            <v>0</v>
          </cell>
          <cell r="J208">
            <v>11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11</v>
          </cell>
          <cell r="T208">
            <v>0</v>
          </cell>
        </row>
        <row r="209">
          <cell r="C209" t="str">
            <v>Census Tract 251.02, King County, Washington</v>
          </cell>
          <cell r="D209">
            <v>12</v>
          </cell>
          <cell r="E209">
            <v>12</v>
          </cell>
          <cell r="F209">
            <v>12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12</v>
          </cell>
          <cell r="T209">
            <v>0</v>
          </cell>
        </row>
        <row r="210">
          <cell r="C210" t="str">
            <v>Census Tract 252, King County, Washington</v>
          </cell>
          <cell r="D210">
            <v>9</v>
          </cell>
          <cell r="E210">
            <v>9</v>
          </cell>
          <cell r="F210">
            <v>0</v>
          </cell>
          <cell r="G210">
            <v>9</v>
          </cell>
          <cell r="H210">
            <v>0</v>
          </cell>
          <cell r="I210">
            <v>9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9</v>
          </cell>
          <cell r="T210">
            <v>0</v>
          </cell>
        </row>
        <row r="211">
          <cell r="C211" t="str">
            <v>Census Tract 253, King County, Washington</v>
          </cell>
          <cell r="D211">
            <v>74</v>
          </cell>
          <cell r="E211">
            <v>63</v>
          </cell>
          <cell r="F211">
            <v>27</v>
          </cell>
          <cell r="G211">
            <v>36</v>
          </cell>
          <cell r="H211">
            <v>0</v>
          </cell>
          <cell r="I211">
            <v>0</v>
          </cell>
          <cell r="J211">
            <v>0</v>
          </cell>
          <cell r="K211">
            <v>36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</v>
          </cell>
          <cell r="Q211">
            <v>11</v>
          </cell>
          <cell r="R211">
            <v>0</v>
          </cell>
          <cell r="S211">
            <v>63</v>
          </cell>
          <cell r="T211">
            <v>11</v>
          </cell>
        </row>
        <row r="212">
          <cell r="C212" t="str">
            <v>Census Tract 254, King County, Washington</v>
          </cell>
          <cell r="D212">
            <v>55</v>
          </cell>
          <cell r="E212">
            <v>55</v>
          </cell>
          <cell r="F212">
            <v>30</v>
          </cell>
          <cell r="G212">
            <v>25</v>
          </cell>
          <cell r="H212">
            <v>13</v>
          </cell>
          <cell r="I212">
            <v>0</v>
          </cell>
          <cell r="J212">
            <v>12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55</v>
          </cell>
          <cell r="T212">
            <v>0</v>
          </cell>
        </row>
        <row r="213">
          <cell r="C213" t="str">
            <v>Census Tract 255, King County, Washington</v>
          </cell>
          <cell r="D213">
            <v>43</v>
          </cell>
          <cell r="E213">
            <v>43</v>
          </cell>
          <cell r="F213">
            <v>22</v>
          </cell>
          <cell r="G213">
            <v>21</v>
          </cell>
          <cell r="H213">
            <v>0</v>
          </cell>
          <cell r="I213">
            <v>0</v>
          </cell>
          <cell r="J213">
            <v>0</v>
          </cell>
          <cell r="K213">
            <v>21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43</v>
          </cell>
          <cell r="T213">
            <v>0</v>
          </cell>
        </row>
        <row r="214">
          <cell r="C214" t="str">
            <v>Census Tract 256, King County, Washington</v>
          </cell>
          <cell r="D214">
            <v>38</v>
          </cell>
          <cell r="E214">
            <v>38</v>
          </cell>
          <cell r="F214">
            <v>17</v>
          </cell>
          <cell r="G214">
            <v>9</v>
          </cell>
          <cell r="H214">
            <v>0</v>
          </cell>
          <cell r="I214">
            <v>0</v>
          </cell>
          <cell r="J214">
            <v>0</v>
          </cell>
          <cell r="K214">
            <v>9</v>
          </cell>
          <cell r="L214">
            <v>12</v>
          </cell>
          <cell r="M214">
            <v>0</v>
          </cell>
          <cell r="N214">
            <v>0</v>
          </cell>
          <cell r="O214">
            <v>12</v>
          </cell>
          <cell r="P214">
            <v>0</v>
          </cell>
          <cell r="Q214">
            <v>0</v>
          </cell>
          <cell r="R214">
            <v>0</v>
          </cell>
          <cell r="S214">
            <v>26</v>
          </cell>
          <cell r="T214">
            <v>12</v>
          </cell>
        </row>
        <row r="215">
          <cell r="C215" t="str">
            <v>Census Tract 257.01, King County, Washington</v>
          </cell>
          <cell r="D215">
            <v>15</v>
          </cell>
          <cell r="E215">
            <v>15</v>
          </cell>
          <cell r="F215">
            <v>0</v>
          </cell>
          <cell r="G215">
            <v>15</v>
          </cell>
          <cell r="H215">
            <v>0</v>
          </cell>
          <cell r="I215">
            <v>0</v>
          </cell>
          <cell r="J215">
            <v>0</v>
          </cell>
          <cell r="K215">
            <v>15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15</v>
          </cell>
          <cell r="T215">
            <v>0</v>
          </cell>
        </row>
        <row r="216">
          <cell r="C216" t="str">
            <v>Census Tract 257.02, King County, Washington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C217" t="str">
            <v>Census Tract 258.01, King County, Washington</v>
          </cell>
          <cell r="D217">
            <v>28</v>
          </cell>
          <cell r="E217">
            <v>28</v>
          </cell>
          <cell r="F217">
            <v>13</v>
          </cell>
          <cell r="G217">
            <v>15</v>
          </cell>
          <cell r="H217">
            <v>0</v>
          </cell>
          <cell r="I217">
            <v>8</v>
          </cell>
          <cell r="J217">
            <v>0</v>
          </cell>
          <cell r="K217">
            <v>7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28</v>
          </cell>
          <cell r="T217">
            <v>0</v>
          </cell>
        </row>
        <row r="218">
          <cell r="C218" t="str">
            <v>Census Tract 258.03, King County, Washington</v>
          </cell>
          <cell r="D218">
            <v>54</v>
          </cell>
          <cell r="E218">
            <v>54</v>
          </cell>
          <cell r="F218">
            <v>54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54</v>
          </cell>
          <cell r="T218">
            <v>0</v>
          </cell>
        </row>
        <row r="219">
          <cell r="C219" t="str">
            <v>Census Tract 258.04, King County, Washington</v>
          </cell>
          <cell r="D219">
            <v>17</v>
          </cell>
          <cell r="E219">
            <v>17</v>
          </cell>
          <cell r="F219">
            <v>11</v>
          </cell>
          <cell r="G219">
            <v>6</v>
          </cell>
          <cell r="H219">
            <v>6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17</v>
          </cell>
          <cell r="T219">
            <v>0</v>
          </cell>
        </row>
        <row r="220">
          <cell r="C220" t="str">
            <v>Census Tract 260.01, King County, Washington</v>
          </cell>
          <cell r="D220">
            <v>40</v>
          </cell>
          <cell r="E220">
            <v>40</v>
          </cell>
          <cell r="F220">
            <v>29</v>
          </cell>
          <cell r="G220">
            <v>11</v>
          </cell>
          <cell r="H220">
            <v>0</v>
          </cell>
          <cell r="I220">
            <v>11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40</v>
          </cell>
          <cell r="T220">
            <v>0</v>
          </cell>
        </row>
        <row r="221">
          <cell r="C221" t="str">
            <v>Census Tract 260.02, King County, Washington</v>
          </cell>
          <cell r="D221">
            <v>68</v>
          </cell>
          <cell r="E221">
            <v>68</v>
          </cell>
          <cell r="F221">
            <v>46</v>
          </cell>
          <cell r="G221">
            <v>10</v>
          </cell>
          <cell r="H221">
            <v>0</v>
          </cell>
          <cell r="I221">
            <v>4</v>
          </cell>
          <cell r="J221">
            <v>0</v>
          </cell>
          <cell r="K221">
            <v>6</v>
          </cell>
          <cell r="L221">
            <v>12</v>
          </cell>
          <cell r="M221">
            <v>0</v>
          </cell>
          <cell r="N221">
            <v>0</v>
          </cell>
          <cell r="O221">
            <v>12</v>
          </cell>
          <cell r="P221">
            <v>0</v>
          </cell>
          <cell r="Q221">
            <v>0</v>
          </cell>
          <cell r="R221">
            <v>0</v>
          </cell>
          <cell r="S221">
            <v>56</v>
          </cell>
          <cell r="T221">
            <v>12</v>
          </cell>
        </row>
        <row r="222">
          <cell r="C222" t="str">
            <v>Census Tract 261, King County, Washington</v>
          </cell>
          <cell r="D222">
            <v>21</v>
          </cell>
          <cell r="E222">
            <v>14</v>
          </cell>
          <cell r="F222">
            <v>14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7</v>
          </cell>
          <cell r="Q222">
            <v>7</v>
          </cell>
          <cell r="R222">
            <v>0</v>
          </cell>
          <cell r="S222">
            <v>14</v>
          </cell>
          <cell r="T222">
            <v>7</v>
          </cell>
        </row>
        <row r="223">
          <cell r="C223" t="str">
            <v>Census Tract 262, King County, Washington</v>
          </cell>
          <cell r="D223">
            <v>37</v>
          </cell>
          <cell r="E223">
            <v>13</v>
          </cell>
          <cell r="F223">
            <v>0</v>
          </cell>
          <cell r="G223">
            <v>13</v>
          </cell>
          <cell r="H223">
            <v>0</v>
          </cell>
          <cell r="I223">
            <v>0</v>
          </cell>
          <cell r="J223">
            <v>0</v>
          </cell>
          <cell r="K223">
            <v>13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24</v>
          </cell>
          <cell r="Q223">
            <v>24</v>
          </cell>
          <cell r="R223">
            <v>0</v>
          </cell>
          <cell r="S223">
            <v>13</v>
          </cell>
          <cell r="T223">
            <v>24</v>
          </cell>
        </row>
        <row r="224">
          <cell r="C224" t="str">
            <v>Census Tract 263, King County, Washington</v>
          </cell>
          <cell r="D224">
            <v>4</v>
          </cell>
          <cell r="E224">
            <v>4</v>
          </cell>
          <cell r="F224">
            <v>4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4</v>
          </cell>
          <cell r="T224">
            <v>0</v>
          </cell>
        </row>
        <row r="225">
          <cell r="C225" t="str">
            <v>Census Tract 264, King County, Washington</v>
          </cell>
          <cell r="D225">
            <v>10</v>
          </cell>
          <cell r="E225">
            <v>10</v>
          </cell>
          <cell r="F225">
            <v>0</v>
          </cell>
          <cell r="G225">
            <v>10</v>
          </cell>
          <cell r="H225">
            <v>0</v>
          </cell>
          <cell r="I225">
            <v>0</v>
          </cell>
          <cell r="J225">
            <v>0</v>
          </cell>
          <cell r="K225">
            <v>10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10</v>
          </cell>
          <cell r="T225">
            <v>0</v>
          </cell>
        </row>
        <row r="226">
          <cell r="C226" t="str">
            <v>Census Tract 265, King County, Washington</v>
          </cell>
          <cell r="D226">
            <v>60</v>
          </cell>
          <cell r="E226">
            <v>60</v>
          </cell>
          <cell r="F226">
            <v>11</v>
          </cell>
          <cell r="G226">
            <v>49</v>
          </cell>
          <cell r="H226">
            <v>0</v>
          </cell>
          <cell r="I226">
            <v>7</v>
          </cell>
          <cell r="J226">
            <v>22</v>
          </cell>
          <cell r="K226">
            <v>20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60</v>
          </cell>
          <cell r="T226">
            <v>0</v>
          </cell>
        </row>
        <row r="227">
          <cell r="C227" t="str">
            <v>Census Tract 266, King County, Washington</v>
          </cell>
          <cell r="D227">
            <v>59</v>
          </cell>
          <cell r="E227">
            <v>59</v>
          </cell>
          <cell r="F227">
            <v>14</v>
          </cell>
          <cell r="G227">
            <v>45</v>
          </cell>
          <cell r="H227">
            <v>0</v>
          </cell>
          <cell r="I227">
            <v>17</v>
          </cell>
          <cell r="J227">
            <v>0</v>
          </cell>
          <cell r="K227">
            <v>28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59</v>
          </cell>
          <cell r="T227">
            <v>0</v>
          </cell>
        </row>
        <row r="228">
          <cell r="C228" t="str">
            <v>Census Tract 267, King County, Washington</v>
          </cell>
          <cell r="D228">
            <v>6</v>
          </cell>
          <cell r="E228">
            <v>6</v>
          </cell>
          <cell r="F228">
            <v>0</v>
          </cell>
          <cell r="G228">
            <v>6</v>
          </cell>
          <cell r="H228">
            <v>6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</row>
        <row r="229">
          <cell r="C229" t="str">
            <v>Census Tract 268.01, King County, Washington</v>
          </cell>
          <cell r="D229">
            <v>69</v>
          </cell>
          <cell r="E229">
            <v>69</v>
          </cell>
          <cell r="F229">
            <v>56</v>
          </cell>
          <cell r="G229">
            <v>13</v>
          </cell>
          <cell r="H229">
            <v>0</v>
          </cell>
          <cell r="I229">
            <v>0</v>
          </cell>
          <cell r="J229">
            <v>0</v>
          </cell>
          <cell r="K229">
            <v>13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69</v>
          </cell>
          <cell r="T229">
            <v>0</v>
          </cell>
        </row>
        <row r="230">
          <cell r="C230" t="str">
            <v>Census Tract 268.02, King County, Washington</v>
          </cell>
          <cell r="D230">
            <v>95</v>
          </cell>
          <cell r="E230">
            <v>87</v>
          </cell>
          <cell r="F230">
            <v>34</v>
          </cell>
          <cell r="G230">
            <v>53</v>
          </cell>
          <cell r="H230">
            <v>18</v>
          </cell>
          <cell r="I230">
            <v>0</v>
          </cell>
          <cell r="J230">
            <v>14</v>
          </cell>
          <cell r="K230">
            <v>21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8</v>
          </cell>
          <cell r="Q230">
            <v>0</v>
          </cell>
          <cell r="R230">
            <v>8</v>
          </cell>
          <cell r="S230">
            <v>87</v>
          </cell>
          <cell r="T230">
            <v>8</v>
          </cell>
        </row>
        <row r="231">
          <cell r="C231" t="str">
            <v>Census Tract 269, King County, Washington</v>
          </cell>
          <cell r="D231">
            <v>10</v>
          </cell>
          <cell r="E231">
            <v>10</v>
          </cell>
          <cell r="F231">
            <v>0</v>
          </cell>
          <cell r="G231">
            <v>10</v>
          </cell>
          <cell r="H231">
            <v>0</v>
          </cell>
          <cell r="I231">
            <v>0</v>
          </cell>
          <cell r="J231">
            <v>0</v>
          </cell>
          <cell r="K231">
            <v>10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10</v>
          </cell>
          <cell r="T231">
            <v>0</v>
          </cell>
        </row>
        <row r="232">
          <cell r="C232" t="str">
            <v>Census Tract 270, King County, Washington</v>
          </cell>
          <cell r="D232">
            <v>67</v>
          </cell>
          <cell r="E232">
            <v>58</v>
          </cell>
          <cell r="F232">
            <v>42</v>
          </cell>
          <cell r="G232">
            <v>16</v>
          </cell>
          <cell r="H232">
            <v>0</v>
          </cell>
          <cell r="I232">
            <v>0</v>
          </cell>
          <cell r="J232">
            <v>0</v>
          </cell>
          <cell r="K232">
            <v>16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9</v>
          </cell>
          <cell r="Q232">
            <v>9</v>
          </cell>
          <cell r="R232">
            <v>0</v>
          </cell>
          <cell r="S232">
            <v>58</v>
          </cell>
          <cell r="T232">
            <v>9</v>
          </cell>
        </row>
        <row r="233">
          <cell r="C233" t="str">
            <v>Census Tract 271, King County, Washington</v>
          </cell>
          <cell r="D233">
            <v>10</v>
          </cell>
          <cell r="E233">
            <v>8</v>
          </cell>
          <cell r="F233">
            <v>8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2</v>
          </cell>
          <cell r="Q233">
            <v>0</v>
          </cell>
          <cell r="R233">
            <v>2</v>
          </cell>
          <cell r="S233">
            <v>8</v>
          </cell>
          <cell r="T233">
            <v>2</v>
          </cell>
        </row>
        <row r="234">
          <cell r="C234" t="str">
            <v>Census Tract 272, King County, Washington</v>
          </cell>
          <cell r="D234">
            <v>9</v>
          </cell>
          <cell r="E234">
            <v>5</v>
          </cell>
          <cell r="F234">
            <v>5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4</v>
          </cell>
          <cell r="Q234">
            <v>0</v>
          </cell>
          <cell r="R234">
            <v>4</v>
          </cell>
          <cell r="S234">
            <v>5</v>
          </cell>
          <cell r="T234">
            <v>4</v>
          </cell>
        </row>
        <row r="235">
          <cell r="C235" t="str">
            <v>Census Tract 273, King County, Washington</v>
          </cell>
          <cell r="D235">
            <v>124</v>
          </cell>
          <cell r="E235">
            <v>124</v>
          </cell>
          <cell r="F235">
            <v>81</v>
          </cell>
          <cell r="G235">
            <v>29</v>
          </cell>
          <cell r="H235">
            <v>0</v>
          </cell>
          <cell r="I235">
            <v>4</v>
          </cell>
          <cell r="J235">
            <v>0</v>
          </cell>
          <cell r="K235">
            <v>25</v>
          </cell>
          <cell r="L235">
            <v>14</v>
          </cell>
          <cell r="M235">
            <v>14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110</v>
          </cell>
          <cell r="T235">
            <v>14</v>
          </cell>
        </row>
        <row r="236">
          <cell r="C236" t="str">
            <v>Census Tract 274, King County, Washington</v>
          </cell>
          <cell r="D236">
            <v>8</v>
          </cell>
          <cell r="E236">
            <v>8</v>
          </cell>
          <cell r="F236">
            <v>4</v>
          </cell>
          <cell r="G236">
            <v>4</v>
          </cell>
          <cell r="H236">
            <v>0</v>
          </cell>
          <cell r="I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8</v>
          </cell>
          <cell r="T236">
            <v>0</v>
          </cell>
        </row>
        <row r="237">
          <cell r="C237" t="str">
            <v>Census Tract 275, King County, Washington</v>
          </cell>
          <cell r="D237">
            <v>141</v>
          </cell>
          <cell r="E237">
            <v>141</v>
          </cell>
          <cell r="F237">
            <v>118</v>
          </cell>
          <cell r="G237">
            <v>23</v>
          </cell>
          <cell r="H237">
            <v>0</v>
          </cell>
          <cell r="I237">
            <v>9</v>
          </cell>
          <cell r="J237">
            <v>0</v>
          </cell>
          <cell r="K237">
            <v>14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141</v>
          </cell>
          <cell r="T237">
            <v>0</v>
          </cell>
        </row>
        <row r="238">
          <cell r="C238" t="str">
            <v>Census Tract 276, King County, Washington</v>
          </cell>
          <cell r="D238">
            <v>70</v>
          </cell>
          <cell r="E238">
            <v>70</v>
          </cell>
          <cell r="F238">
            <v>61</v>
          </cell>
          <cell r="G238">
            <v>9</v>
          </cell>
          <cell r="H238">
            <v>0</v>
          </cell>
          <cell r="I238">
            <v>0</v>
          </cell>
          <cell r="J238">
            <v>9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70</v>
          </cell>
          <cell r="T238">
            <v>0</v>
          </cell>
        </row>
        <row r="239">
          <cell r="C239" t="str">
            <v>Census Tract 277.01, King County, Washington</v>
          </cell>
          <cell r="D239">
            <v>33</v>
          </cell>
          <cell r="E239">
            <v>33</v>
          </cell>
          <cell r="F239">
            <v>17</v>
          </cell>
          <cell r="G239">
            <v>16</v>
          </cell>
          <cell r="H239">
            <v>0</v>
          </cell>
          <cell r="I239">
            <v>0</v>
          </cell>
          <cell r="J239">
            <v>0</v>
          </cell>
          <cell r="K239">
            <v>16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33</v>
          </cell>
          <cell r="T239">
            <v>0</v>
          </cell>
        </row>
        <row r="240">
          <cell r="C240" t="str">
            <v>Census Tract 277.02, King County, Washington</v>
          </cell>
          <cell r="D240">
            <v>25</v>
          </cell>
          <cell r="E240">
            <v>25</v>
          </cell>
          <cell r="F240">
            <v>0</v>
          </cell>
          <cell r="G240">
            <v>25</v>
          </cell>
          <cell r="H240">
            <v>0</v>
          </cell>
          <cell r="I240">
            <v>10</v>
          </cell>
          <cell r="J240">
            <v>6</v>
          </cell>
          <cell r="K240">
            <v>9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25</v>
          </cell>
          <cell r="T240">
            <v>0</v>
          </cell>
        </row>
        <row r="241">
          <cell r="C241" t="str">
            <v>Census Tract 278, King County, Washington</v>
          </cell>
          <cell r="D241">
            <v>69</v>
          </cell>
          <cell r="E241">
            <v>69</v>
          </cell>
          <cell r="F241">
            <v>43</v>
          </cell>
          <cell r="G241">
            <v>26</v>
          </cell>
          <cell r="H241">
            <v>4</v>
          </cell>
          <cell r="I241">
            <v>11</v>
          </cell>
          <cell r="J241">
            <v>0</v>
          </cell>
          <cell r="K241">
            <v>11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69</v>
          </cell>
          <cell r="T241">
            <v>0</v>
          </cell>
        </row>
        <row r="242">
          <cell r="C242" t="str">
            <v>Census Tract 279, King County, Washington</v>
          </cell>
          <cell r="D242">
            <v>101</v>
          </cell>
          <cell r="E242">
            <v>101</v>
          </cell>
          <cell r="F242">
            <v>65</v>
          </cell>
          <cell r="G242">
            <v>36</v>
          </cell>
          <cell r="H242">
            <v>0</v>
          </cell>
          <cell r="I242">
            <v>17</v>
          </cell>
          <cell r="J242">
            <v>0</v>
          </cell>
          <cell r="K242">
            <v>19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101</v>
          </cell>
          <cell r="T242">
            <v>0</v>
          </cell>
        </row>
        <row r="243">
          <cell r="C243" t="str">
            <v>Census Tract 280, King County, Washington</v>
          </cell>
          <cell r="D243">
            <v>49</v>
          </cell>
          <cell r="E243">
            <v>49</v>
          </cell>
          <cell r="F243">
            <v>43</v>
          </cell>
          <cell r="G243">
            <v>6</v>
          </cell>
          <cell r="H243">
            <v>0</v>
          </cell>
          <cell r="I243">
            <v>0</v>
          </cell>
          <cell r="J243">
            <v>0</v>
          </cell>
          <cell r="K243">
            <v>6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49</v>
          </cell>
          <cell r="T243">
            <v>0</v>
          </cell>
        </row>
        <row r="244">
          <cell r="C244" t="str">
            <v>Census Tract 281, King County, Washington</v>
          </cell>
          <cell r="D244">
            <v>14</v>
          </cell>
          <cell r="E244">
            <v>6</v>
          </cell>
          <cell r="F244">
            <v>6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8</v>
          </cell>
          <cell r="Q244">
            <v>0</v>
          </cell>
          <cell r="R244">
            <v>8</v>
          </cell>
          <cell r="S244">
            <v>6</v>
          </cell>
          <cell r="T244">
            <v>8</v>
          </cell>
        </row>
        <row r="245">
          <cell r="C245" t="str">
            <v>Census Tract 282, King County, Washington</v>
          </cell>
          <cell r="D245">
            <v>90</v>
          </cell>
          <cell r="E245">
            <v>90</v>
          </cell>
          <cell r="F245">
            <v>26</v>
          </cell>
          <cell r="G245">
            <v>64</v>
          </cell>
          <cell r="H245">
            <v>0</v>
          </cell>
          <cell r="I245">
            <v>33</v>
          </cell>
          <cell r="J245">
            <v>18</v>
          </cell>
          <cell r="K245">
            <v>13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90</v>
          </cell>
          <cell r="T245">
            <v>0</v>
          </cell>
        </row>
        <row r="246">
          <cell r="C246" t="str">
            <v>Census Tract 283, King County, Washington</v>
          </cell>
          <cell r="D246">
            <v>30</v>
          </cell>
          <cell r="E246">
            <v>30</v>
          </cell>
          <cell r="F246">
            <v>23</v>
          </cell>
          <cell r="G246">
            <v>7</v>
          </cell>
          <cell r="H246">
            <v>0</v>
          </cell>
          <cell r="I246">
            <v>0</v>
          </cell>
          <cell r="J246">
            <v>0</v>
          </cell>
          <cell r="K246">
            <v>7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30</v>
          </cell>
          <cell r="T246">
            <v>0</v>
          </cell>
        </row>
        <row r="247">
          <cell r="C247" t="str">
            <v>Census Tract 284.02, King County, Washington</v>
          </cell>
          <cell r="D247">
            <v>44</v>
          </cell>
          <cell r="E247">
            <v>28</v>
          </cell>
          <cell r="F247">
            <v>19</v>
          </cell>
          <cell r="G247">
            <v>9</v>
          </cell>
          <cell r="H247">
            <v>0</v>
          </cell>
          <cell r="I247">
            <v>0</v>
          </cell>
          <cell r="J247">
            <v>0</v>
          </cell>
          <cell r="K247">
            <v>9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16</v>
          </cell>
          <cell r="Q247">
            <v>0</v>
          </cell>
          <cell r="R247">
            <v>16</v>
          </cell>
          <cell r="S247">
            <v>28</v>
          </cell>
          <cell r="T247">
            <v>16</v>
          </cell>
        </row>
        <row r="248">
          <cell r="C248" t="str">
            <v>Census Tract 284.03, King County, Washington</v>
          </cell>
          <cell r="D248">
            <v>26</v>
          </cell>
          <cell r="E248">
            <v>26</v>
          </cell>
          <cell r="F248">
            <v>26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26</v>
          </cell>
          <cell r="T248">
            <v>0</v>
          </cell>
        </row>
        <row r="249">
          <cell r="C249" t="str">
            <v>Census Tract 285, King County, Washington</v>
          </cell>
          <cell r="D249">
            <v>7</v>
          </cell>
          <cell r="E249">
            <v>7</v>
          </cell>
          <cell r="F249">
            <v>7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7</v>
          </cell>
          <cell r="T249">
            <v>0</v>
          </cell>
        </row>
        <row r="250">
          <cell r="C250" t="str">
            <v>Census Tract 286, King County, Washington</v>
          </cell>
          <cell r="D250">
            <v>19</v>
          </cell>
          <cell r="E250">
            <v>19</v>
          </cell>
          <cell r="F250">
            <v>4</v>
          </cell>
          <cell r="G250">
            <v>15</v>
          </cell>
          <cell r="H250">
            <v>0</v>
          </cell>
          <cell r="I250">
            <v>0</v>
          </cell>
          <cell r="J250">
            <v>5</v>
          </cell>
          <cell r="K250">
            <v>10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19</v>
          </cell>
          <cell r="T250">
            <v>0</v>
          </cell>
        </row>
        <row r="251">
          <cell r="C251" t="str">
            <v>Census Tract 287, King County, Washington</v>
          </cell>
          <cell r="D251">
            <v>87</v>
          </cell>
          <cell r="E251">
            <v>81</v>
          </cell>
          <cell r="F251">
            <v>45</v>
          </cell>
          <cell r="G251">
            <v>36</v>
          </cell>
          <cell r="H251">
            <v>0</v>
          </cell>
          <cell r="I251">
            <v>13</v>
          </cell>
          <cell r="J251">
            <v>0</v>
          </cell>
          <cell r="K251">
            <v>23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6</v>
          </cell>
          <cell r="Q251">
            <v>0</v>
          </cell>
          <cell r="R251">
            <v>6</v>
          </cell>
          <cell r="S251">
            <v>81</v>
          </cell>
          <cell r="T251">
            <v>6</v>
          </cell>
        </row>
        <row r="252">
          <cell r="C252" t="str">
            <v>Census Tract 288.01, King County, Washington</v>
          </cell>
          <cell r="D252">
            <v>63</v>
          </cell>
          <cell r="E252">
            <v>59</v>
          </cell>
          <cell r="F252">
            <v>8</v>
          </cell>
          <cell r="G252">
            <v>51</v>
          </cell>
          <cell r="H252">
            <v>0</v>
          </cell>
          <cell r="I252">
            <v>8</v>
          </cell>
          <cell r="J252">
            <v>0</v>
          </cell>
          <cell r="K252">
            <v>43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4</v>
          </cell>
          <cell r="Q252">
            <v>0</v>
          </cell>
          <cell r="R252">
            <v>4</v>
          </cell>
          <cell r="S252">
            <v>59</v>
          </cell>
          <cell r="T252">
            <v>4</v>
          </cell>
        </row>
        <row r="253">
          <cell r="C253" t="str">
            <v>Census Tract 288.02, King County, Washington</v>
          </cell>
          <cell r="D253">
            <v>81</v>
          </cell>
          <cell r="E253">
            <v>81</v>
          </cell>
          <cell r="F253">
            <v>16</v>
          </cell>
          <cell r="G253">
            <v>65</v>
          </cell>
          <cell r="H253">
            <v>0</v>
          </cell>
          <cell r="I253">
            <v>7</v>
          </cell>
          <cell r="J253">
            <v>7</v>
          </cell>
          <cell r="K253">
            <v>51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81</v>
          </cell>
          <cell r="T253">
            <v>0</v>
          </cell>
        </row>
        <row r="254">
          <cell r="C254" t="str">
            <v>Census Tract 289.01, King County, Washington</v>
          </cell>
          <cell r="D254">
            <v>29</v>
          </cell>
          <cell r="E254">
            <v>29</v>
          </cell>
          <cell r="F254">
            <v>21</v>
          </cell>
          <cell r="G254">
            <v>8</v>
          </cell>
          <cell r="H254">
            <v>0</v>
          </cell>
          <cell r="I254">
            <v>8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29</v>
          </cell>
          <cell r="T254">
            <v>0</v>
          </cell>
        </row>
        <row r="255">
          <cell r="C255" t="str">
            <v>Census Tract 289.02, King County, Washington</v>
          </cell>
          <cell r="D255">
            <v>45</v>
          </cell>
          <cell r="E255">
            <v>35</v>
          </cell>
          <cell r="F255">
            <v>9</v>
          </cell>
          <cell r="G255">
            <v>13</v>
          </cell>
          <cell r="H255">
            <v>0</v>
          </cell>
          <cell r="I255">
            <v>0</v>
          </cell>
          <cell r="J255">
            <v>0</v>
          </cell>
          <cell r="K255">
            <v>13</v>
          </cell>
          <cell r="L255">
            <v>13</v>
          </cell>
          <cell r="M255">
            <v>0</v>
          </cell>
          <cell r="N255">
            <v>0</v>
          </cell>
          <cell r="O255">
            <v>13</v>
          </cell>
          <cell r="P255">
            <v>10</v>
          </cell>
          <cell r="Q255">
            <v>0</v>
          </cell>
          <cell r="R255">
            <v>10</v>
          </cell>
          <cell r="S255">
            <v>22</v>
          </cell>
          <cell r="T255">
            <v>23</v>
          </cell>
        </row>
        <row r="256">
          <cell r="C256" t="str">
            <v>Census Tract 290.01, King County, Washington</v>
          </cell>
          <cell r="D256">
            <v>7</v>
          </cell>
          <cell r="E256">
            <v>7</v>
          </cell>
          <cell r="F256">
            <v>7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7</v>
          </cell>
          <cell r="T256">
            <v>0</v>
          </cell>
        </row>
        <row r="257">
          <cell r="C257" t="str">
            <v>Census Tract 290.03, King County, Washington</v>
          </cell>
          <cell r="D257">
            <v>25</v>
          </cell>
          <cell r="E257">
            <v>25</v>
          </cell>
          <cell r="F257">
            <v>20</v>
          </cell>
          <cell r="G257">
            <v>5</v>
          </cell>
          <cell r="H257">
            <v>0</v>
          </cell>
          <cell r="I257">
            <v>0</v>
          </cell>
          <cell r="J257">
            <v>0</v>
          </cell>
          <cell r="K257">
            <v>5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25</v>
          </cell>
          <cell r="T257">
            <v>0</v>
          </cell>
        </row>
        <row r="258">
          <cell r="C258" t="str">
            <v>Census Tract 290.04, King County, Washington</v>
          </cell>
          <cell r="D258">
            <v>30</v>
          </cell>
          <cell r="E258">
            <v>12</v>
          </cell>
          <cell r="F258">
            <v>12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18</v>
          </cell>
          <cell r="Q258">
            <v>9</v>
          </cell>
          <cell r="R258">
            <v>9</v>
          </cell>
          <cell r="S258">
            <v>12</v>
          </cell>
          <cell r="T258">
            <v>18</v>
          </cell>
        </row>
        <row r="259">
          <cell r="C259" t="str">
            <v>Census Tract 291, King County, Washington</v>
          </cell>
          <cell r="D259">
            <v>37</v>
          </cell>
          <cell r="E259">
            <v>37</v>
          </cell>
          <cell r="F259">
            <v>24</v>
          </cell>
          <cell r="G259">
            <v>13</v>
          </cell>
          <cell r="H259">
            <v>0</v>
          </cell>
          <cell r="I259">
            <v>7</v>
          </cell>
          <cell r="J259">
            <v>0</v>
          </cell>
          <cell r="K259">
            <v>6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37</v>
          </cell>
          <cell r="T259">
            <v>0</v>
          </cell>
        </row>
        <row r="260">
          <cell r="C260" t="str">
            <v>Census Tract 292.01, King County, Washington</v>
          </cell>
          <cell r="D260">
            <v>36</v>
          </cell>
          <cell r="E260">
            <v>36</v>
          </cell>
          <cell r="F260">
            <v>31</v>
          </cell>
          <cell r="G260">
            <v>5</v>
          </cell>
          <cell r="H260">
            <v>0</v>
          </cell>
          <cell r="I260">
            <v>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36</v>
          </cell>
          <cell r="T260">
            <v>0</v>
          </cell>
        </row>
        <row r="261">
          <cell r="C261" t="str">
            <v>Census Tract 292.03, King County, Washington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</row>
        <row r="262">
          <cell r="C262" t="str">
            <v>Census Tract 292.04, King County, Washington</v>
          </cell>
          <cell r="D262">
            <v>35</v>
          </cell>
          <cell r="E262">
            <v>35</v>
          </cell>
          <cell r="F262">
            <v>10</v>
          </cell>
          <cell r="G262">
            <v>25</v>
          </cell>
          <cell r="H262">
            <v>0</v>
          </cell>
          <cell r="I262">
            <v>18</v>
          </cell>
          <cell r="J262">
            <v>0</v>
          </cell>
          <cell r="K262">
            <v>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35</v>
          </cell>
          <cell r="T262">
            <v>0</v>
          </cell>
        </row>
        <row r="263">
          <cell r="C263" t="str">
            <v>Census Tract 293.03, King County, Washington</v>
          </cell>
          <cell r="D263">
            <v>34</v>
          </cell>
          <cell r="E263">
            <v>34</v>
          </cell>
          <cell r="F263">
            <v>19</v>
          </cell>
          <cell r="G263">
            <v>15</v>
          </cell>
          <cell r="H263">
            <v>0</v>
          </cell>
          <cell r="I263">
            <v>0</v>
          </cell>
          <cell r="J263">
            <v>0</v>
          </cell>
          <cell r="K263">
            <v>15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34</v>
          </cell>
          <cell r="T263">
            <v>0</v>
          </cell>
        </row>
        <row r="264">
          <cell r="C264" t="str">
            <v>Census Tract 293.04, King County, Washington</v>
          </cell>
          <cell r="D264">
            <v>57</v>
          </cell>
          <cell r="E264">
            <v>57</v>
          </cell>
          <cell r="F264">
            <v>26</v>
          </cell>
          <cell r="G264">
            <v>31</v>
          </cell>
          <cell r="H264">
            <v>0</v>
          </cell>
          <cell r="I264">
            <v>9</v>
          </cell>
          <cell r="J264">
            <v>0</v>
          </cell>
          <cell r="K264">
            <v>22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57</v>
          </cell>
          <cell r="T264">
            <v>0</v>
          </cell>
        </row>
        <row r="265">
          <cell r="C265" t="str">
            <v>Census Tract 293.05, King County, Washington</v>
          </cell>
          <cell r="D265">
            <v>15</v>
          </cell>
          <cell r="E265">
            <v>15</v>
          </cell>
          <cell r="F265">
            <v>0</v>
          </cell>
          <cell r="G265">
            <v>15</v>
          </cell>
          <cell r="H265">
            <v>0</v>
          </cell>
          <cell r="I265">
            <v>15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15</v>
          </cell>
          <cell r="T265">
            <v>0</v>
          </cell>
        </row>
        <row r="266">
          <cell r="C266" t="str">
            <v>Census Tract 293.06, King County, Washington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</row>
        <row r="267">
          <cell r="C267" t="str">
            <v>Census Tract 293.07, King County, Washington</v>
          </cell>
          <cell r="D267">
            <v>17</v>
          </cell>
          <cell r="E267">
            <v>17</v>
          </cell>
          <cell r="F267">
            <v>17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17</v>
          </cell>
          <cell r="T267">
            <v>0</v>
          </cell>
        </row>
        <row r="268">
          <cell r="C268" t="str">
            <v>Census Tract 294.03, King County, Washington</v>
          </cell>
          <cell r="D268">
            <v>39</v>
          </cell>
          <cell r="E268">
            <v>39</v>
          </cell>
          <cell r="F268">
            <v>23</v>
          </cell>
          <cell r="G268">
            <v>16</v>
          </cell>
          <cell r="H268">
            <v>0</v>
          </cell>
          <cell r="I268">
            <v>6</v>
          </cell>
          <cell r="J268">
            <v>10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39</v>
          </cell>
          <cell r="T268">
            <v>0</v>
          </cell>
        </row>
        <row r="269">
          <cell r="C269" t="str">
            <v>Census Tract 294.05, King County, Washington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C270" t="str">
            <v>Census Tract 294.06, King County, Washington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C271" t="str">
            <v>Census Tract 294.07, King County, Washington</v>
          </cell>
          <cell r="D271">
            <v>25</v>
          </cell>
          <cell r="E271">
            <v>25</v>
          </cell>
          <cell r="F271">
            <v>9</v>
          </cell>
          <cell r="G271">
            <v>16</v>
          </cell>
          <cell r="H271">
            <v>0</v>
          </cell>
          <cell r="I271">
            <v>0</v>
          </cell>
          <cell r="J271">
            <v>16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25</v>
          </cell>
          <cell r="T271">
            <v>0</v>
          </cell>
        </row>
        <row r="272">
          <cell r="C272" t="str">
            <v>Census Tract 294.08, King County, Washington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C273" t="str">
            <v>Census Tract 295.02, King County, Washington</v>
          </cell>
          <cell r="D273">
            <v>6</v>
          </cell>
          <cell r="E273">
            <v>6</v>
          </cell>
          <cell r="F273">
            <v>0</v>
          </cell>
          <cell r="G273">
            <v>6</v>
          </cell>
          <cell r="H273">
            <v>0</v>
          </cell>
          <cell r="I273">
            <v>0</v>
          </cell>
          <cell r="J273">
            <v>0</v>
          </cell>
          <cell r="K273">
            <v>6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6</v>
          </cell>
          <cell r="T273">
            <v>0</v>
          </cell>
        </row>
        <row r="274">
          <cell r="C274" t="str">
            <v>Census Tract 295.03, King County, Washington</v>
          </cell>
          <cell r="D274">
            <v>162</v>
          </cell>
          <cell r="E274">
            <v>132</v>
          </cell>
          <cell r="F274">
            <v>65</v>
          </cell>
          <cell r="G274">
            <v>67</v>
          </cell>
          <cell r="H274">
            <v>10</v>
          </cell>
          <cell r="I274">
            <v>0</v>
          </cell>
          <cell r="J274">
            <v>0</v>
          </cell>
          <cell r="K274">
            <v>57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30</v>
          </cell>
          <cell r="Q274">
            <v>0</v>
          </cell>
          <cell r="R274">
            <v>30</v>
          </cell>
          <cell r="S274">
            <v>132</v>
          </cell>
          <cell r="T274">
            <v>30</v>
          </cell>
        </row>
        <row r="275">
          <cell r="C275" t="str">
            <v>Census Tract 295.04, King County, Washington</v>
          </cell>
          <cell r="D275">
            <v>153</v>
          </cell>
          <cell r="E275">
            <v>146</v>
          </cell>
          <cell r="F275">
            <v>92</v>
          </cell>
          <cell r="G275">
            <v>54</v>
          </cell>
          <cell r="H275">
            <v>0</v>
          </cell>
          <cell r="I275">
            <v>26</v>
          </cell>
          <cell r="J275">
            <v>0</v>
          </cell>
          <cell r="K275">
            <v>28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7</v>
          </cell>
          <cell r="Q275">
            <v>0</v>
          </cell>
          <cell r="R275">
            <v>7</v>
          </cell>
          <cell r="S275">
            <v>146</v>
          </cell>
          <cell r="T275">
            <v>7</v>
          </cell>
        </row>
        <row r="276">
          <cell r="C276" t="str">
            <v>Census Tract 296.01, King County, Washington</v>
          </cell>
          <cell r="D276">
            <v>76</v>
          </cell>
          <cell r="E276">
            <v>76</v>
          </cell>
          <cell r="F276">
            <v>58</v>
          </cell>
          <cell r="G276">
            <v>18</v>
          </cell>
          <cell r="H276">
            <v>0</v>
          </cell>
          <cell r="I276">
            <v>0</v>
          </cell>
          <cell r="J276">
            <v>0</v>
          </cell>
          <cell r="K276">
            <v>18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76</v>
          </cell>
          <cell r="T276">
            <v>0</v>
          </cell>
        </row>
        <row r="277">
          <cell r="C277" t="str">
            <v>Census Tract 296.02, King County, Washington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C278" t="str">
            <v>Census Tract 297, King County, Washington</v>
          </cell>
          <cell r="D278">
            <v>163</v>
          </cell>
          <cell r="E278">
            <v>163</v>
          </cell>
          <cell r="F278">
            <v>67</v>
          </cell>
          <cell r="G278">
            <v>96</v>
          </cell>
          <cell r="H278">
            <v>0</v>
          </cell>
          <cell r="I278">
            <v>56</v>
          </cell>
          <cell r="J278">
            <v>0</v>
          </cell>
          <cell r="K278">
            <v>40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163</v>
          </cell>
          <cell r="T278">
            <v>0</v>
          </cell>
        </row>
        <row r="279">
          <cell r="C279" t="str">
            <v>Census Tract 298.01, King County, Washington</v>
          </cell>
          <cell r="D279">
            <v>54</v>
          </cell>
          <cell r="E279">
            <v>54</v>
          </cell>
          <cell r="F279">
            <v>30</v>
          </cell>
          <cell r="G279">
            <v>18</v>
          </cell>
          <cell r="H279">
            <v>0</v>
          </cell>
          <cell r="I279">
            <v>0</v>
          </cell>
          <cell r="J279">
            <v>0</v>
          </cell>
          <cell r="K279">
            <v>18</v>
          </cell>
          <cell r="L279">
            <v>6</v>
          </cell>
          <cell r="M279">
            <v>0</v>
          </cell>
          <cell r="N279">
            <v>0</v>
          </cell>
          <cell r="O279">
            <v>6</v>
          </cell>
          <cell r="P279">
            <v>0</v>
          </cell>
          <cell r="Q279">
            <v>0</v>
          </cell>
          <cell r="R279">
            <v>0</v>
          </cell>
          <cell r="S279">
            <v>48</v>
          </cell>
          <cell r="T279">
            <v>6</v>
          </cell>
        </row>
        <row r="280">
          <cell r="C280" t="str">
            <v>Census Tract 298.02, King County, Washington</v>
          </cell>
          <cell r="D280">
            <v>26</v>
          </cell>
          <cell r="E280">
            <v>26</v>
          </cell>
          <cell r="F280">
            <v>5</v>
          </cell>
          <cell r="G280">
            <v>21</v>
          </cell>
          <cell r="H280">
            <v>0</v>
          </cell>
          <cell r="I280">
            <v>0</v>
          </cell>
          <cell r="J280">
            <v>7</v>
          </cell>
          <cell r="K280">
            <v>14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26</v>
          </cell>
          <cell r="T280">
            <v>0</v>
          </cell>
        </row>
        <row r="281">
          <cell r="C281" t="str">
            <v>Census Tract 299.01, King County, Washington</v>
          </cell>
          <cell r="D281">
            <v>27</v>
          </cell>
          <cell r="E281">
            <v>27</v>
          </cell>
          <cell r="F281">
            <v>0</v>
          </cell>
          <cell r="G281">
            <v>27</v>
          </cell>
          <cell r="H281">
            <v>0</v>
          </cell>
          <cell r="I281">
            <v>0</v>
          </cell>
          <cell r="J281">
            <v>0</v>
          </cell>
          <cell r="K281">
            <v>27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27</v>
          </cell>
          <cell r="T281">
            <v>0</v>
          </cell>
        </row>
        <row r="282">
          <cell r="C282" t="str">
            <v>Census Tract 299.02, King County, Washington</v>
          </cell>
          <cell r="D282">
            <v>83</v>
          </cell>
          <cell r="E282">
            <v>83</v>
          </cell>
          <cell r="F282">
            <v>27</v>
          </cell>
          <cell r="G282">
            <v>56</v>
          </cell>
          <cell r="H282">
            <v>0</v>
          </cell>
          <cell r="I282">
            <v>0</v>
          </cell>
          <cell r="J282">
            <v>0</v>
          </cell>
          <cell r="K282">
            <v>56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83</v>
          </cell>
          <cell r="T282">
            <v>0</v>
          </cell>
        </row>
        <row r="283">
          <cell r="C283" t="str">
            <v>Census Tract 300.02, King County, Washington</v>
          </cell>
          <cell r="D283">
            <v>134</v>
          </cell>
          <cell r="E283">
            <v>127</v>
          </cell>
          <cell r="F283">
            <v>94</v>
          </cell>
          <cell r="G283">
            <v>33</v>
          </cell>
          <cell r="H283">
            <v>9</v>
          </cell>
          <cell r="I283">
            <v>0</v>
          </cell>
          <cell r="J283">
            <v>0</v>
          </cell>
          <cell r="K283">
            <v>24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7</v>
          </cell>
          <cell r="Q283">
            <v>7</v>
          </cell>
          <cell r="R283">
            <v>0</v>
          </cell>
          <cell r="S283">
            <v>127</v>
          </cell>
          <cell r="T283">
            <v>7</v>
          </cell>
        </row>
        <row r="284">
          <cell r="C284" t="str">
            <v>Census Tract 300.03, King County, Washington</v>
          </cell>
          <cell r="D284">
            <v>49</v>
          </cell>
          <cell r="E284">
            <v>44</v>
          </cell>
          <cell r="F284">
            <v>8</v>
          </cell>
          <cell r="G284">
            <v>36</v>
          </cell>
          <cell r="H284">
            <v>0</v>
          </cell>
          <cell r="I284">
            <v>0</v>
          </cell>
          <cell r="J284">
            <v>0</v>
          </cell>
          <cell r="K284">
            <v>36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5</v>
          </cell>
          <cell r="Q284">
            <v>0</v>
          </cell>
          <cell r="R284">
            <v>5</v>
          </cell>
          <cell r="S284">
            <v>44</v>
          </cell>
          <cell r="T284">
            <v>5</v>
          </cell>
        </row>
        <row r="285">
          <cell r="C285" t="str">
            <v>Census Tract 300.04, King County, Washington</v>
          </cell>
          <cell r="D285">
            <v>56</v>
          </cell>
          <cell r="E285">
            <v>56</v>
          </cell>
          <cell r="F285">
            <v>28</v>
          </cell>
          <cell r="G285">
            <v>28</v>
          </cell>
          <cell r="H285">
            <v>0</v>
          </cell>
          <cell r="I285">
            <v>0</v>
          </cell>
          <cell r="J285">
            <v>0</v>
          </cell>
          <cell r="K285">
            <v>28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56</v>
          </cell>
          <cell r="T285">
            <v>0</v>
          </cell>
        </row>
        <row r="286">
          <cell r="C286" t="str">
            <v>Census Tract 301, King County, Washington</v>
          </cell>
          <cell r="D286">
            <v>61</v>
          </cell>
          <cell r="E286">
            <v>61</v>
          </cell>
          <cell r="F286">
            <v>30</v>
          </cell>
          <cell r="G286">
            <v>31</v>
          </cell>
          <cell r="H286">
            <v>12</v>
          </cell>
          <cell r="I286">
            <v>0</v>
          </cell>
          <cell r="J286">
            <v>0</v>
          </cell>
          <cell r="K286">
            <v>19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61</v>
          </cell>
          <cell r="T286">
            <v>0</v>
          </cell>
        </row>
        <row r="287">
          <cell r="C287" t="str">
            <v>Census Tract 302.01, King County, Washington</v>
          </cell>
          <cell r="D287">
            <v>93</v>
          </cell>
          <cell r="E287">
            <v>93</v>
          </cell>
          <cell r="F287">
            <v>63</v>
          </cell>
          <cell r="G287">
            <v>30</v>
          </cell>
          <cell r="H287">
            <v>0</v>
          </cell>
          <cell r="I287">
            <v>0</v>
          </cell>
          <cell r="J287">
            <v>0</v>
          </cell>
          <cell r="K287">
            <v>30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93</v>
          </cell>
          <cell r="T287">
            <v>0</v>
          </cell>
        </row>
        <row r="288">
          <cell r="C288" t="str">
            <v>Census Tract 302.02, King County, Washington</v>
          </cell>
          <cell r="D288">
            <v>68</v>
          </cell>
          <cell r="E288">
            <v>68</v>
          </cell>
          <cell r="F288">
            <v>48</v>
          </cell>
          <cell r="G288">
            <v>20</v>
          </cell>
          <cell r="H288">
            <v>8</v>
          </cell>
          <cell r="I288">
            <v>12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68</v>
          </cell>
          <cell r="T288">
            <v>0</v>
          </cell>
        </row>
        <row r="289">
          <cell r="C289" t="str">
            <v>Census Tract 303.03, King County, Washington</v>
          </cell>
          <cell r="D289">
            <v>38</v>
          </cell>
          <cell r="E289">
            <v>38</v>
          </cell>
          <cell r="F289">
            <v>25</v>
          </cell>
          <cell r="G289">
            <v>4</v>
          </cell>
          <cell r="H289">
            <v>0</v>
          </cell>
          <cell r="I289">
            <v>4</v>
          </cell>
          <cell r="J289">
            <v>0</v>
          </cell>
          <cell r="K289">
            <v>0</v>
          </cell>
          <cell r="L289">
            <v>9</v>
          </cell>
          <cell r="M289">
            <v>0</v>
          </cell>
          <cell r="N289">
            <v>0</v>
          </cell>
          <cell r="O289">
            <v>9</v>
          </cell>
          <cell r="P289">
            <v>0</v>
          </cell>
          <cell r="Q289">
            <v>0</v>
          </cell>
          <cell r="R289">
            <v>0</v>
          </cell>
          <cell r="S289">
            <v>29</v>
          </cell>
          <cell r="T289">
            <v>9</v>
          </cell>
        </row>
        <row r="290">
          <cell r="C290" t="str">
            <v>Census Tract 303.04, King County, Washington</v>
          </cell>
          <cell r="D290">
            <v>19</v>
          </cell>
          <cell r="E290">
            <v>19</v>
          </cell>
          <cell r="F290">
            <v>19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19</v>
          </cell>
          <cell r="T290">
            <v>0</v>
          </cell>
        </row>
        <row r="291">
          <cell r="C291" t="str">
            <v>Census Tract 303.05, King County, Washington</v>
          </cell>
          <cell r="D291">
            <v>6</v>
          </cell>
          <cell r="E291">
            <v>6</v>
          </cell>
          <cell r="F291">
            <v>6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6</v>
          </cell>
          <cell r="T291">
            <v>0</v>
          </cell>
        </row>
        <row r="292">
          <cell r="C292" t="str">
            <v>Census Tract 303.06, King County, Washington</v>
          </cell>
          <cell r="D292">
            <v>14</v>
          </cell>
          <cell r="E292">
            <v>14</v>
          </cell>
          <cell r="F292">
            <v>6</v>
          </cell>
          <cell r="G292">
            <v>8</v>
          </cell>
          <cell r="H292">
            <v>0</v>
          </cell>
          <cell r="I292">
            <v>8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</row>
        <row r="293">
          <cell r="C293" t="str">
            <v>Census Tract 303.08, King County, Washington</v>
          </cell>
          <cell r="D293">
            <v>56</v>
          </cell>
          <cell r="E293">
            <v>56</v>
          </cell>
          <cell r="F293">
            <v>21</v>
          </cell>
          <cell r="G293">
            <v>35</v>
          </cell>
          <cell r="H293">
            <v>0</v>
          </cell>
          <cell r="I293">
            <v>7</v>
          </cell>
          <cell r="J293">
            <v>6</v>
          </cell>
          <cell r="K293">
            <v>22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56</v>
          </cell>
          <cell r="T293">
            <v>0</v>
          </cell>
        </row>
        <row r="294">
          <cell r="C294" t="str">
            <v>Census Tract 303.09, King County, Washington</v>
          </cell>
          <cell r="D294">
            <v>19</v>
          </cell>
          <cell r="E294">
            <v>19</v>
          </cell>
          <cell r="F294">
            <v>0</v>
          </cell>
          <cell r="G294">
            <v>19</v>
          </cell>
          <cell r="H294">
            <v>0</v>
          </cell>
          <cell r="I294">
            <v>10</v>
          </cell>
          <cell r="J294">
            <v>0</v>
          </cell>
          <cell r="K294">
            <v>9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19</v>
          </cell>
          <cell r="T294">
            <v>0</v>
          </cell>
        </row>
        <row r="295">
          <cell r="C295" t="str">
            <v>Census Tract 303.10, King County, Washington</v>
          </cell>
          <cell r="D295">
            <v>7</v>
          </cell>
          <cell r="E295">
            <v>7</v>
          </cell>
          <cell r="F295">
            <v>3</v>
          </cell>
          <cell r="G295">
            <v>4</v>
          </cell>
          <cell r="H295">
            <v>0</v>
          </cell>
          <cell r="I295">
            <v>0</v>
          </cell>
          <cell r="J295">
            <v>4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7</v>
          </cell>
          <cell r="T295">
            <v>0</v>
          </cell>
        </row>
        <row r="296">
          <cell r="C296" t="str">
            <v>Census Tract 303.11, King County, Washington</v>
          </cell>
          <cell r="D296">
            <v>65</v>
          </cell>
          <cell r="E296">
            <v>53</v>
          </cell>
          <cell r="F296">
            <v>27</v>
          </cell>
          <cell r="G296">
            <v>26</v>
          </cell>
          <cell r="H296">
            <v>0</v>
          </cell>
          <cell r="I296">
            <v>0</v>
          </cell>
          <cell r="J296">
            <v>0</v>
          </cell>
          <cell r="K296">
            <v>26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12</v>
          </cell>
          <cell r="Q296">
            <v>12</v>
          </cell>
          <cell r="R296">
            <v>0</v>
          </cell>
          <cell r="S296">
            <v>53</v>
          </cell>
          <cell r="T296">
            <v>12</v>
          </cell>
        </row>
        <row r="297">
          <cell r="C297" t="str">
            <v>Census Tract 303.12, King County, Washington</v>
          </cell>
          <cell r="D297">
            <v>65</v>
          </cell>
          <cell r="E297">
            <v>65</v>
          </cell>
          <cell r="F297">
            <v>0</v>
          </cell>
          <cell r="G297">
            <v>52</v>
          </cell>
          <cell r="H297">
            <v>0</v>
          </cell>
          <cell r="I297">
            <v>9</v>
          </cell>
          <cell r="J297">
            <v>30</v>
          </cell>
          <cell r="K297">
            <v>13</v>
          </cell>
          <cell r="L297">
            <v>13</v>
          </cell>
          <cell r="M297">
            <v>0</v>
          </cell>
          <cell r="N297">
            <v>0</v>
          </cell>
          <cell r="O297">
            <v>13</v>
          </cell>
          <cell r="P297">
            <v>0</v>
          </cell>
          <cell r="Q297">
            <v>0</v>
          </cell>
          <cell r="R297">
            <v>0</v>
          </cell>
          <cell r="S297">
            <v>52</v>
          </cell>
          <cell r="T297">
            <v>13</v>
          </cell>
        </row>
        <row r="298">
          <cell r="C298" t="str">
            <v>Census Tract 304.01, King County, Washington</v>
          </cell>
          <cell r="D298">
            <v>83</v>
          </cell>
          <cell r="E298">
            <v>40</v>
          </cell>
          <cell r="F298">
            <v>8</v>
          </cell>
          <cell r="G298">
            <v>32</v>
          </cell>
          <cell r="H298">
            <v>0</v>
          </cell>
          <cell r="I298">
            <v>4</v>
          </cell>
          <cell r="J298">
            <v>13</v>
          </cell>
          <cell r="K298">
            <v>15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43</v>
          </cell>
          <cell r="Q298">
            <v>28</v>
          </cell>
          <cell r="R298">
            <v>15</v>
          </cell>
          <cell r="S298">
            <v>40</v>
          </cell>
          <cell r="T298">
            <v>43</v>
          </cell>
        </row>
        <row r="299">
          <cell r="C299" t="str">
            <v>Census Tract 304.03, King County, Washington</v>
          </cell>
          <cell r="D299">
            <v>35</v>
          </cell>
          <cell r="E299">
            <v>35</v>
          </cell>
          <cell r="F299">
            <v>35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35</v>
          </cell>
          <cell r="T299">
            <v>0</v>
          </cell>
        </row>
        <row r="300">
          <cell r="C300" t="str">
            <v>Census Tract 304.04, King County, Washington</v>
          </cell>
          <cell r="D300">
            <v>8</v>
          </cell>
          <cell r="E300">
            <v>8</v>
          </cell>
          <cell r="F300">
            <v>0</v>
          </cell>
          <cell r="G300">
            <v>8</v>
          </cell>
          <cell r="H300">
            <v>0</v>
          </cell>
          <cell r="I300">
            <v>0</v>
          </cell>
          <cell r="J300">
            <v>0</v>
          </cell>
          <cell r="K300">
            <v>8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8</v>
          </cell>
          <cell r="T300">
            <v>0</v>
          </cell>
        </row>
        <row r="301">
          <cell r="C301" t="str">
            <v>Census Tract 305.01, King County, Washington</v>
          </cell>
          <cell r="D301">
            <v>41</v>
          </cell>
          <cell r="E301">
            <v>41</v>
          </cell>
          <cell r="F301">
            <v>16</v>
          </cell>
          <cell r="G301">
            <v>25</v>
          </cell>
          <cell r="H301">
            <v>0</v>
          </cell>
          <cell r="I301">
            <v>0</v>
          </cell>
          <cell r="J301">
            <v>0</v>
          </cell>
          <cell r="K301">
            <v>25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41</v>
          </cell>
          <cell r="T301">
            <v>0</v>
          </cell>
        </row>
        <row r="302">
          <cell r="C302" t="str">
            <v>Census Tract 305.03, King County, Washington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</row>
        <row r="303">
          <cell r="C303" t="str">
            <v>Census Tract 305.04, King County, Washington</v>
          </cell>
          <cell r="D303">
            <v>69</v>
          </cell>
          <cell r="E303">
            <v>69</v>
          </cell>
          <cell r="F303">
            <v>59</v>
          </cell>
          <cell r="G303">
            <v>10</v>
          </cell>
          <cell r="H303">
            <v>0</v>
          </cell>
          <cell r="I303">
            <v>10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69</v>
          </cell>
          <cell r="T303">
            <v>0</v>
          </cell>
        </row>
        <row r="304">
          <cell r="C304" t="str">
            <v>Census Tract 306, King County, Washington</v>
          </cell>
          <cell r="D304">
            <v>106</v>
          </cell>
          <cell r="E304">
            <v>101</v>
          </cell>
          <cell r="F304">
            <v>6</v>
          </cell>
          <cell r="G304">
            <v>77</v>
          </cell>
          <cell r="H304">
            <v>0</v>
          </cell>
          <cell r="I304">
            <v>13</v>
          </cell>
          <cell r="J304">
            <v>31</v>
          </cell>
          <cell r="K304">
            <v>33</v>
          </cell>
          <cell r="L304">
            <v>18</v>
          </cell>
          <cell r="M304">
            <v>0</v>
          </cell>
          <cell r="N304">
            <v>0</v>
          </cell>
          <cell r="O304">
            <v>18</v>
          </cell>
          <cell r="P304">
            <v>5</v>
          </cell>
          <cell r="Q304">
            <v>0</v>
          </cell>
          <cell r="R304">
            <v>5</v>
          </cell>
          <cell r="S304">
            <v>83</v>
          </cell>
          <cell r="T304">
            <v>23</v>
          </cell>
        </row>
        <row r="305">
          <cell r="C305" t="str">
            <v>Census Tract 307, King County, Washington</v>
          </cell>
          <cell r="D305">
            <v>103</v>
          </cell>
          <cell r="E305">
            <v>103</v>
          </cell>
          <cell r="F305">
            <v>60</v>
          </cell>
          <cell r="G305">
            <v>43</v>
          </cell>
          <cell r="H305">
            <v>0</v>
          </cell>
          <cell r="I305">
            <v>15</v>
          </cell>
          <cell r="J305">
            <v>0</v>
          </cell>
          <cell r="K305">
            <v>28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103</v>
          </cell>
          <cell r="T305">
            <v>0</v>
          </cell>
        </row>
        <row r="306">
          <cell r="C306" t="str">
            <v>Census Tract 308.01, King County, Washington</v>
          </cell>
          <cell r="D306">
            <v>149</v>
          </cell>
          <cell r="E306">
            <v>149</v>
          </cell>
          <cell r="F306">
            <v>71</v>
          </cell>
          <cell r="G306">
            <v>78</v>
          </cell>
          <cell r="H306">
            <v>6</v>
          </cell>
          <cell r="I306">
            <v>54</v>
          </cell>
          <cell r="J306">
            <v>5</v>
          </cell>
          <cell r="K306">
            <v>13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149</v>
          </cell>
          <cell r="T306">
            <v>0</v>
          </cell>
        </row>
        <row r="307">
          <cell r="C307" t="str">
            <v>Census Tract 308.02, King County, Washington</v>
          </cell>
          <cell r="D307">
            <v>73</v>
          </cell>
          <cell r="E307">
            <v>73</v>
          </cell>
          <cell r="F307">
            <v>65</v>
          </cell>
          <cell r="G307">
            <v>8</v>
          </cell>
          <cell r="H307">
            <v>0</v>
          </cell>
          <cell r="I307">
            <v>0</v>
          </cell>
          <cell r="J307">
            <v>8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73</v>
          </cell>
          <cell r="T307">
            <v>0</v>
          </cell>
        </row>
        <row r="308">
          <cell r="C308" t="str">
            <v>Census Tract 309.01, King County, Washington</v>
          </cell>
          <cell r="D308">
            <v>35</v>
          </cell>
          <cell r="E308">
            <v>35</v>
          </cell>
          <cell r="F308">
            <v>32</v>
          </cell>
          <cell r="G308">
            <v>3</v>
          </cell>
          <cell r="H308">
            <v>0</v>
          </cell>
          <cell r="I308">
            <v>0</v>
          </cell>
          <cell r="J308">
            <v>3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35</v>
          </cell>
          <cell r="T308">
            <v>0</v>
          </cell>
        </row>
        <row r="309">
          <cell r="C309" t="str">
            <v>Census Tract 309.02, King County, Washington</v>
          </cell>
          <cell r="D309">
            <v>123</v>
          </cell>
          <cell r="E309">
            <v>123</v>
          </cell>
          <cell r="F309">
            <v>96</v>
          </cell>
          <cell r="G309">
            <v>27</v>
          </cell>
          <cell r="H309">
            <v>0</v>
          </cell>
          <cell r="I309">
            <v>4</v>
          </cell>
          <cell r="J309">
            <v>0</v>
          </cell>
          <cell r="K309">
            <v>23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123</v>
          </cell>
          <cell r="T309">
            <v>0</v>
          </cell>
        </row>
        <row r="310">
          <cell r="C310" t="str">
            <v>Census Tract 310, King County, Washington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</row>
        <row r="311">
          <cell r="C311" t="str">
            <v>Census Tract 311, King County, Washington</v>
          </cell>
          <cell r="D311">
            <v>305</v>
          </cell>
          <cell r="E311">
            <v>303</v>
          </cell>
          <cell r="F311">
            <v>240</v>
          </cell>
          <cell r="G311">
            <v>56</v>
          </cell>
          <cell r="H311">
            <v>0</v>
          </cell>
          <cell r="I311">
            <v>7</v>
          </cell>
          <cell r="J311">
            <v>2</v>
          </cell>
          <cell r="K311">
            <v>47</v>
          </cell>
          <cell r="L311">
            <v>7</v>
          </cell>
          <cell r="M311">
            <v>0</v>
          </cell>
          <cell r="N311">
            <v>0</v>
          </cell>
          <cell r="O311">
            <v>7</v>
          </cell>
          <cell r="P311">
            <v>2</v>
          </cell>
          <cell r="Q311">
            <v>0</v>
          </cell>
          <cell r="R311">
            <v>2</v>
          </cell>
          <cell r="S311">
            <v>296</v>
          </cell>
          <cell r="T311">
            <v>9</v>
          </cell>
        </row>
        <row r="312">
          <cell r="C312" t="str">
            <v>Census Tract 312.02, King County, Washington</v>
          </cell>
          <cell r="D312">
            <v>869</v>
          </cell>
          <cell r="E312">
            <v>867</v>
          </cell>
          <cell r="F312">
            <v>835</v>
          </cell>
          <cell r="G312">
            <v>32</v>
          </cell>
          <cell r="H312">
            <v>0</v>
          </cell>
          <cell r="I312">
            <v>4</v>
          </cell>
          <cell r="J312">
            <v>0</v>
          </cell>
          <cell r="K312">
            <v>28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</v>
          </cell>
          <cell r="Q312">
            <v>0</v>
          </cell>
          <cell r="R312">
            <v>2</v>
          </cell>
          <cell r="S312">
            <v>867</v>
          </cell>
          <cell r="T312">
            <v>2</v>
          </cell>
        </row>
        <row r="313">
          <cell r="C313" t="str">
            <v>Census Tract 312.04, King County, Washington</v>
          </cell>
          <cell r="D313">
            <v>31</v>
          </cell>
          <cell r="E313">
            <v>22</v>
          </cell>
          <cell r="F313">
            <v>0</v>
          </cell>
          <cell r="G313">
            <v>22</v>
          </cell>
          <cell r="H313">
            <v>0</v>
          </cell>
          <cell r="I313">
            <v>0</v>
          </cell>
          <cell r="J313">
            <v>11</v>
          </cell>
          <cell r="K313">
            <v>11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9</v>
          </cell>
          <cell r="Q313">
            <v>9</v>
          </cell>
          <cell r="R313">
            <v>0</v>
          </cell>
          <cell r="S313">
            <v>22</v>
          </cell>
          <cell r="T313">
            <v>9</v>
          </cell>
        </row>
        <row r="314">
          <cell r="C314" t="str">
            <v>Census Tract 312.05, King County, Washington</v>
          </cell>
          <cell r="D314">
            <v>46</v>
          </cell>
          <cell r="E314">
            <v>46</v>
          </cell>
          <cell r="F314">
            <v>24</v>
          </cell>
          <cell r="G314">
            <v>22</v>
          </cell>
          <cell r="H314">
            <v>0</v>
          </cell>
          <cell r="I314">
            <v>14</v>
          </cell>
          <cell r="J314">
            <v>0</v>
          </cell>
          <cell r="K314">
            <v>8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46</v>
          </cell>
          <cell r="T314">
            <v>0</v>
          </cell>
        </row>
        <row r="315">
          <cell r="C315" t="str">
            <v>Census Tract 312.06, King County, Washington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</row>
        <row r="316">
          <cell r="C316" t="str">
            <v>Census Tract 313.01, King County, Washington</v>
          </cell>
          <cell r="D316">
            <v>9</v>
          </cell>
          <cell r="E316">
            <v>9</v>
          </cell>
          <cell r="F316">
            <v>9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9</v>
          </cell>
          <cell r="T316">
            <v>0</v>
          </cell>
        </row>
        <row r="317">
          <cell r="C317" t="str">
            <v>Census Tract 313.02, King County, Washington</v>
          </cell>
          <cell r="D317">
            <v>54</v>
          </cell>
          <cell r="E317">
            <v>54</v>
          </cell>
          <cell r="F317">
            <v>54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54</v>
          </cell>
          <cell r="T317">
            <v>0</v>
          </cell>
        </row>
        <row r="318">
          <cell r="C318" t="str">
            <v>Census Tract 314, King County, Washington</v>
          </cell>
          <cell r="D318">
            <v>37</v>
          </cell>
          <cell r="E318">
            <v>37</v>
          </cell>
          <cell r="F318">
            <v>12</v>
          </cell>
          <cell r="G318">
            <v>25</v>
          </cell>
          <cell r="H318">
            <v>0</v>
          </cell>
          <cell r="I318">
            <v>14</v>
          </cell>
          <cell r="J318">
            <v>0</v>
          </cell>
          <cell r="K318">
            <v>11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37</v>
          </cell>
          <cell r="T318">
            <v>0</v>
          </cell>
        </row>
        <row r="319">
          <cell r="C319" t="str">
            <v>Census Tract 315.01, King County, Washington</v>
          </cell>
          <cell r="D319">
            <v>38</v>
          </cell>
          <cell r="E319">
            <v>38</v>
          </cell>
          <cell r="F319">
            <v>21</v>
          </cell>
          <cell r="G319">
            <v>9</v>
          </cell>
          <cell r="H319">
            <v>0</v>
          </cell>
          <cell r="I319">
            <v>0</v>
          </cell>
          <cell r="J319">
            <v>0</v>
          </cell>
          <cell r="K319">
            <v>9</v>
          </cell>
          <cell r="L319">
            <v>8</v>
          </cell>
          <cell r="M319">
            <v>0</v>
          </cell>
          <cell r="N319">
            <v>0</v>
          </cell>
          <cell r="O319">
            <v>8</v>
          </cell>
          <cell r="P319">
            <v>0</v>
          </cell>
          <cell r="Q319">
            <v>0</v>
          </cell>
          <cell r="R319">
            <v>0</v>
          </cell>
          <cell r="S319">
            <v>30</v>
          </cell>
          <cell r="T319">
            <v>8</v>
          </cell>
        </row>
        <row r="320">
          <cell r="C320" t="str">
            <v>Census Tract 315.02, King County, Washington</v>
          </cell>
          <cell r="D320">
            <v>41</v>
          </cell>
          <cell r="E320">
            <v>41</v>
          </cell>
          <cell r="F320">
            <v>9</v>
          </cell>
          <cell r="G320">
            <v>32</v>
          </cell>
          <cell r="H320">
            <v>0</v>
          </cell>
          <cell r="I320">
            <v>0</v>
          </cell>
          <cell r="J320">
            <v>0</v>
          </cell>
          <cell r="K320">
            <v>32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41</v>
          </cell>
          <cell r="T320">
            <v>0</v>
          </cell>
        </row>
        <row r="321">
          <cell r="C321" t="str">
            <v>Census Tract 316.01, King County, Washington</v>
          </cell>
          <cell r="D321">
            <v>7</v>
          </cell>
          <cell r="E321">
            <v>7</v>
          </cell>
          <cell r="F321">
            <v>0</v>
          </cell>
          <cell r="G321">
            <v>7</v>
          </cell>
          <cell r="H321">
            <v>0</v>
          </cell>
          <cell r="I321">
            <v>0</v>
          </cell>
          <cell r="J321">
            <v>0</v>
          </cell>
          <cell r="K321">
            <v>7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7</v>
          </cell>
          <cell r="T321">
            <v>0</v>
          </cell>
        </row>
        <row r="322">
          <cell r="C322" t="str">
            <v>Census Tract 316.02, King County, Washington</v>
          </cell>
          <cell r="D322">
            <v>49</v>
          </cell>
          <cell r="E322">
            <v>49</v>
          </cell>
          <cell r="F322">
            <v>12</v>
          </cell>
          <cell r="G322">
            <v>37</v>
          </cell>
          <cell r="H322">
            <v>18</v>
          </cell>
          <cell r="I322">
            <v>7</v>
          </cell>
          <cell r="J322">
            <v>0</v>
          </cell>
          <cell r="K322">
            <v>12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49</v>
          </cell>
          <cell r="T322">
            <v>0</v>
          </cell>
        </row>
        <row r="323">
          <cell r="C323" t="str">
            <v>Census Tract 316.03, King County, Washington</v>
          </cell>
          <cell r="D323">
            <v>125</v>
          </cell>
          <cell r="E323">
            <v>117</v>
          </cell>
          <cell r="F323">
            <v>48</v>
          </cell>
          <cell r="G323">
            <v>69</v>
          </cell>
          <cell r="H323">
            <v>0</v>
          </cell>
          <cell r="I323">
            <v>22</v>
          </cell>
          <cell r="J323">
            <v>18</v>
          </cell>
          <cell r="K323">
            <v>29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</v>
          </cell>
          <cell r="Q323">
            <v>0</v>
          </cell>
          <cell r="R323">
            <v>8</v>
          </cell>
          <cell r="S323">
            <v>117</v>
          </cell>
          <cell r="T323">
            <v>8</v>
          </cell>
        </row>
        <row r="324">
          <cell r="C324" t="str">
            <v>Census Tract 317.02, King County, Washington</v>
          </cell>
          <cell r="D324">
            <v>17</v>
          </cell>
          <cell r="E324">
            <v>9</v>
          </cell>
          <cell r="F324">
            <v>9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8</v>
          </cell>
          <cell r="Q324">
            <v>8</v>
          </cell>
          <cell r="R324">
            <v>0</v>
          </cell>
          <cell r="S324">
            <v>9</v>
          </cell>
          <cell r="T324">
            <v>8</v>
          </cell>
        </row>
        <row r="325">
          <cell r="C325" t="str">
            <v>Census Tract 317.03, King County, Washington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</row>
        <row r="326">
          <cell r="C326" t="str">
            <v>Census Tract 317.04, King County, Washington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</row>
        <row r="327">
          <cell r="C327" t="str">
            <v>Census Tract 318, King County, Washington</v>
          </cell>
          <cell r="D327">
            <v>8</v>
          </cell>
          <cell r="E327">
            <v>8</v>
          </cell>
          <cell r="F327">
            <v>0</v>
          </cell>
          <cell r="G327">
            <v>8</v>
          </cell>
          <cell r="H327">
            <v>0</v>
          </cell>
          <cell r="I327">
            <v>0</v>
          </cell>
          <cell r="J327">
            <v>0</v>
          </cell>
          <cell r="K327">
            <v>8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8</v>
          </cell>
          <cell r="T327">
            <v>0</v>
          </cell>
        </row>
        <row r="328">
          <cell r="C328" t="str">
            <v>Census Tract 319.03, King County, Washington</v>
          </cell>
          <cell r="D328">
            <v>162</v>
          </cell>
          <cell r="E328">
            <v>162</v>
          </cell>
          <cell r="F328">
            <v>77</v>
          </cell>
          <cell r="G328">
            <v>85</v>
          </cell>
          <cell r="H328">
            <v>0</v>
          </cell>
          <cell r="I328">
            <v>7</v>
          </cell>
          <cell r="J328">
            <v>20</v>
          </cell>
          <cell r="K328">
            <v>58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162</v>
          </cell>
          <cell r="T328">
            <v>0</v>
          </cell>
        </row>
        <row r="329">
          <cell r="C329" t="str">
            <v>Census Tract 319.04, King County, Washington</v>
          </cell>
          <cell r="D329">
            <v>6</v>
          </cell>
          <cell r="E329">
            <v>6</v>
          </cell>
          <cell r="F329">
            <v>6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6</v>
          </cell>
          <cell r="T329">
            <v>0</v>
          </cell>
        </row>
        <row r="330">
          <cell r="C330" t="str">
            <v>Census Tract 319.06, King County, Washington</v>
          </cell>
          <cell r="D330">
            <v>32</v>
          </cell>
          <cell r="E330">
            <v>32</v>
          </cell>
          <cell r="F330">
            <v>28</v>
          </cell>
          <cell r="G330">
            <v>4</v>
          </cell>
          <cell r="H330">
            <v>0</v>
          </cell>
          <cell r="I330">
            <v>0</v>
          </cell>
          <cell r="J330">
            <v>0</v>
          </cell>
          <cell r="K330">
            <v>4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32</v>
          </cell>
          <cell r="T330">
            <v>0</v>
          </cell>
        </row>
        <row r="331">
          <cell r="C331" t="str">
            <v>Census Tract 319.07, King County, Washington</v>
          </cell>
          <cell r="D331">
            <v>32</v>
          </cell>
          <cell r="E331">
            <v>21</v>
          </cell>
          <cell r="F331">
            <v>0</v>
          </cell>
          <cell r="G331">
            <v>21</v>
          </cell>
          <cell r="H331">
            <v>0</v>
          </cell>
          <cell r="I331">
            <v>0</v>
          </cell>
          <cell r="J331">
            <v>8</v>
          </cell>
          <cell r="K331">
            <v>13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11</v>
          </cell>
          <cell r="Q331">
            <v>11</v>
          </cell>
          <cell r="R331">
            <v>0</v>
          </cell>
          <cell r="S331">
            <v>21</v>
          </cell>
          <cell r="T331">
            <v>11</v>
          </cell>
        </row>
        <row r="332">
          <cell r="C332" t="str">
            <v>Census Tract 319.08, King County, Washington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C333" t="str">
            <v>Census Tract 319.09, King County, Washington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C334" t="str">
            <v>Census Tract 320.02, King County, Washington</v>
          </cell>
          <cell r="D334">
            <v>24</v>
          </cell>
          <cell r="E334">
            <v>24</v>
          </cell>
          <cell r="F334">
            <v>24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24</v>
          </cell>
          <cell r="T334">
            <v>0</v>
          </cell>
        </row>
        <row r="335">
          <cell r="C335" t="str">
            <v>Census Tract 320.03, King County, Washington</v>
          </cell>
          <cell r="D335">
            <v>29</v>
          </cell>
          <cell r="E335">
            <v>26</v>
          </cell>
          <cell r="F335">
            <v>4</v>
          </cell>
          <cell r="G335">
            <v>22</v>
          </cell>
          <cell r="H335">
            <v>0</v>
          </cell>
          <cell r="I335">
            <v>0</v>
          </cell>
          <cell r="J335">
            <v>0</v>
          </cell>
          <cell r="K335">
            <v>22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3</v>
          </cell>
          <cell r="Q335">
            <v>3</v>
          </cell>
          <cell r="R335">
            <v>0</v>
          </cell>
          <cell r="S335">
            <v>26</v>
          </cell>
          <cell r="T335">
            <v>3</v>
          </cell>
        </row>
        <row r="336">
          <cell r="C336" t="str">
            <v>Census Tract 320.05, King County, Washington</v>
          </cell>
          <cell r="D336">
            <v>45</v>
          </cell>
          <cell r="E336">
            <v>45</v>
          </cell>
          <cell r="F336">
            <v>6</v>
          </cell>
          <cell r="G336">
            <v>39</v>
          </cell>
          <cell r="H336">
            <v>0</v>
          </cell>
          <cell r="I336">
            <v>28</v>
          </cell>
          <cell r="J336">
            <v>0</v>
          </cell>
          <cell r="K336">
            <v>11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45</v>
          </cell>
          <cell r="T336">
            <v>0</v>
          </cell>
        </row>
        <row r="337">
          <cell r="C337" t="str">
            <v>Census Tract 320.06, King County, Washington</v>
          </cell>
          <cell r="D337">
            <v>11</v>
          </cell>
          <cell r="E337">
            <v>11</v>
          </cell>
          <cell r="F337">
            <v>6</v>
          </cell>
          <cell r="G337">
            <v>5</v>
          </cell>
          <cell r="H337">
            <v>0</v>
          </cell>
          <cell r="I337">
            <v>0</v>
          </cell>
          <cell r="J337">
            <v>0</v>
          </cell>
          <cell r="K337">
            <v>5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11</v>
          </cell>
          <cell r="T337">
            <v>0</v>
          </cell>
        </row>
        <row r="338">
          <cell r="C338" t="str">
            <v>Census Tract 320.07, King County, Washington</v>
          </cell>
          <cell r="D338">
            <v>24</v>
          </cell>
          <cell r="E338">
            <v>24</v>
          </cell>
          <cell r="F338">
            <v>6</v>
          </cell>
          <cell r="G338">
            <v>18</v>
          </cell>
          <cell r="H338">
            <v>0</v>
          </cell>
          <cell r="I338">
            <v>0</v>
          </cell>
          <cell r="J338">
            <v>13</v>
          </cell>
          <cell r="K338">
            <v>5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24</v>
          </cell>
          <cell r="T338">
            <v>0</v>
          </cell>
        </row>
        <row r="339">
          <cell r="C339" t="str">
            <v>Census Tract 320.08, King County, Washington</v>
          </cell>
          <cell r="D339">
            <v>24</v>
          </cell>
          <cell r="E339">
            <v>24</v>
          </cell>
          <cell r="F339">
            <v>15</v>
          </cell>
          <cell r="G339">
            <v>9</v>
          </cell>
          <cell r="H339">
            <v>0</v>
          </cell>
          <cell r="I339">
            <v>0</v>
          </cell>
          <cell r="J339">
            <v>0</v>
          </cell>
          <cell r="K339">
            <v>9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24</v>
          </cell>
          <cell r="T339">
            <v>0</v>
          </cell>
        </row>
        <row r="340">
          <cell r="C340" t="str">
            <v>Census Tract 320.09, King County, Washington</v>
          </cell>
          <cell r="D340">
            <v>34</v>
          </cell>
          <cell r="E340">
            <v>11</v>
          </cell>
          <cell r="F340">
            <v>11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23</v>
          </cell>
          <cell r="Q340">
            <v>0</v>
          </cell>
          <cell r="R340">
            <v>23</v>
          </cell>
          <cell r="S340">
            <v>11</v>
          </cell>
          <cell r="T340">
            <v>23</v>
          </cell>
        </row>
        <row r="341">
          <cell r="C341" t="str">
            <v>Census Tract 321.02, King County, Washington</v>
          </cell>
          <cell r="D341">
            <v>26</v>
          </cell>
          <cell r="E341">
            <v>26</v>
          </cell>
          <cell r="F341">
            <v>10</v>
          </cell>
          <cell r="G341">
            <v>16</v>
          </cell>
          <cell r="H341">
            <v>0</v>
          </cell>
          <cell r="I341">
            <v>4</v>
          </cell>
          <cell r="J341">
            <v>0</v>
          </cell>
          <cell r="K341">
            <v>12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26</v>
          </cell>
          <cell r="T341">
            <v>0</v>
          </cell>
        </row>
        <row r="342">
          <cell r="C342" t="str">
            <v>Census Tract 321.03, King County, Washington</v>
          </cell>
          <cell r="D342">
            <v>70</v>
          </cell>
          <cell r="E342">
            <v>70</v>
          </cell>
          <cell r="F342">
            <v>18</v>
          </cell>
          <cell r="G342">
            <v>52</v>
          </cell>
          <cell r="H342">
            <v>0</v>
          </cell>
          <cell r="I342">
            <v>26</v>
          </cell>
          <cell r="J342">
            <v>0</v>
          </cell>
          <cell r="K342">
            <v>26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70</v>
          </cell>
          <cell r="T342">
            <v>0</v>
          </cell>
        </row>
        <row r="343">
          <cell r="C343" t="str">
            <v>Census Tract 321.04, King County, Washington</v>
          </cell>
          <cell r="D343">
            <v>14</v>
          </cell>
          <cell r="E343">
            <v>14</v>
          </cell>
          <cell r="F343">
            <v>9</v>
          </cell>
          <cell r="G343">
            <v>5</v>
          </cell>
          <cell r="H343">
            <v>0</v>
          </cell>
          <cell r="I343">
            <v>0</v>
          </cell>
          <cell r="J343">
            <v>0</v>
          </cell>
          <cell r="K343">
            <v>5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14</v>
          </cell>
          <cell r="T343">
            <v>0</v>
          </cell>
        </row>
        <row r="344">
          <cell r="C344" t="str">
            <v>Census Tract 322.03, King County, Washington</v>
          </cell>
          <cell r="D344">
            <v>77</v>
          </cell>
          <cell r="E344">
            <v>77</v>
          </cell>
          <cell r="F344">
            <v>26</v>
          </cell>
          <cell r="G344">
            <v>51</v>
          </cell>
          <cell r="H344">
            <v>0</v>
          </cell>
          <cell r="I344">
            <v>0</v>
          </cell>
          <cell r="J344">
            <v>0</v>
          </cell>
          <cell r="K344">
            <v>51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77</v>
          </cell>
          <cell r="T344">
            <v>0</v>
          </cell>
        </row>
        <row r="345">
          <cell r="C345" t="str">
            <v>Census Tract 322.07, King County, Washington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C346" t="str">
            <v>Census Tract 322.08, King County, Washington</v>
          </cell>
          <cell r="D346">
            <v>21</v>
          </cell>
          <cell r="E346">
            <v>21</v>
          </cell>
          <cell r="F346">
            <v>7</v>
          </cell>
          <cell r="G346">
            <v>14</v>
          </cell>
          <cell r="H346">
            <v>0</v>
          </cell>
          <cell r="I346">
            <v>0</v>
          </cell>
          <cell r="J346">
            <v>0</v>
          </cell>
          <cell r="K346">
            <v>14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21</v>
          </cell>
          <cell r="T346">
            <v>0</v>
          </cell>
        </row>
        <row r="347">
          <cell r="C347" t="str">
            <v>Census Tract 322.09, King County, Washington</v>
          </cell>
          <cell r="D347">
            <v>30</v>
          </cell>
          <cell r="E347">
            <v>30</v>
          </cell>
          <cell r="F347">
            <v>20</v>
          </cell>
          <cell r="G347">
            <v>10</v>
          </cell>
          <cell r="H347">
            <v>0</v>
          </cell>
          <cell r="I347">
            <v>10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30</v>
          </cell>
          <cell r="T347">
            <v>0</v>
          </cell>
        </row>
        <row r="348">
          <cell r="C348" t="str">
            <v>Census Tract 322.10, King County, Washington</v>
          </cell>
          <cell r="D348">
            <v>11</v>
          </cell>
          <cell r="E348">
            <v>11</v>
          </cell>
          <cell r="F348">
            <v>11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11</v>
          </cell>
          <cell r="T348">
            <v>0</v>
          </cell>
        </row>
        <row r="349">
          <cell r="C349" t="str">
            <v>Census Tract 322.11, King County, Washington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</row>
        <row r="350">
          <cell r="C350" t="str">
            <v>Census Tract 322.12, King County, Washington</v>
          </cell>
          <cell r="D350">
            <v>41</v>
          </cell>
          <cell r="E350">
            <v>41</v>
          </cell>
          <cell r="F350">
            <v>7</v>
          </cell>
          <cell r="G350">
            <v>34</v>
          </cell>
          <cell r="H350">
            <v>0</v>
          </cell>
          <cell r="I350">
            <v>0</v>
          </cell>
          <cell r="J350">
            <v>5</v>
          </cell>
          <cell r="K350">
            <v>29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41</v>
          </cell>
          <cell r="T350">
            <v>0</v>
          </cell>
        </row>
        <row r="351">
          <cell r="C351" t="str">
            <v>Census Tract 323.07, King County, Washington</v>
          </cell>
          <cell r="D351">
            <v>48</v>
          </cell>
          <cell r="E351">
            <v>48</v>
          </cell>
          <cell r="F351">
            <v>19</v>
          </cell>
          <cell r="G351">
            <v>29</v>
          </cell>
          <cell r="H351">
            <v>0</v>
          </cell>
          <cell r="I351">
            <v>0</v>
          </cell>
          <cell r="J351">
            <v>11</v>
          </cell>
          <cell r="K351">
            <v>18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48</v>
          </cell>
          <cell r="T351">
            <v>0</v>
          </cell>
        </row>
        <row r="352">
          <cell r="C352" t="str">
            <v>Census Tract 323.09, King County, Washington</v>
          </cell>
          <cell r="D352">
            <v>9</v>
          </cell>
          <cell r="E352">
            <v>9</v>
          </cell>
          <cell r="F352">
            <v>0</v>
          </cell>
          <cell r="G352">
            <v>9</v>
          </cell>
          <cell r="H352">
            <v>9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9</v>
          </cell>
          <cell r="T352">
            <v>0</v>
          </cell>
        </row>
        <row r="353">
          <cell r="C353" t="str">
            <v>Census Tract 323.11, King County, Washington</v>
          </cell>
          <cell r="D353">
            <v>7</v>
          </cell>
          <cell r="E353">
            <v>7</v>
          </cell>
          <cell r="F353">
            <v>0</v>
          </cell>
          <cell r="G353">
            <v>7</v>
          </cell>
          <cell r="H353">
            <v>0</v>
          </cell>
          <cell r="I353">
            <v>0</v>
          </cell>
          <cell r="J353">
            <v>0</v>
          </cell>
          <cell r="K353">
            <v>7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7</v>
          </cell>
          <cell r="T353">
            <v>0</v>
          </cell>
        </row>
        <row r="354">
          <cell r="C354" t="str">
            <v>Census Tract 323.12, King County, Washington</v>
          </cell>
          <cell r="D354">
            <v>7</v>
          </cell>
          <cell r="E354">
            <v>7</v>
          </cell>
          <cell r="F354">
            <v>0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7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7</v>
          </cell>
          <cell r="T354">
            <v>0</v>
          </cell>
        </row>
        <row r="355">
          <cell r="C355" t="str">
            <v>Census Tract 323.13, King County, Washington</v>
          </cell>
          <cell r="D355">
            <v>61</v>
          </cell>
          <cell r="E355">
            <v>47</v>
          </cell>
          <cell r="F355">
            <v>19</v>
          </cell>
          <cell r="G355">
            <v>28</v>
          </cell>
          <cell r="H355">
            <v>0</v>
          </cell>
          <cell r="I355">
            <v>0</v>
          </cell>
          <cell r="J355">
            <v>0</v>
          </cell>
          <cell r="K355">
            <v>28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14</v>
          </cell>
          <cell r="Q355">
            <v>0</v>
          </cell>
          <cell r="R355">
            <v>14</v>
          </cell>
          <cell r="S355">
            <v>47</v>
          </cell>
          <cell r="T355">
            <v>14</v>
          </cell>
        </row>
        <row r="356">
          <cell r="C356" t="str">
            <v>Census Tract 323.14, King County, Washington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</row>
        <row r="357">
          <cell r="C357" t="str">
            <v>Census Tract 323.15, King County, Washington</v>
          </cell>
          <cell r="D357">
            <v>8</v>
          </cell>
          <cell r="E357">
            <v>8</v>
          </cell>
          <cell r="F357">
            <v>0</v>
          </cell>
          <cell r="G357">
            <v>8</v>
          </cell>
          <cell r="H357">
            <v>0</v>
          </cell>
          <cell r="I357">
            <v>0</v>
          </cell>
          <cell r="J357">
            <v>0</v>
          </cell>
          <cell r="K357">
            <v>8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8</v>
          </cell>
          <cell r="T357">
            <v>0</v>
          </cell>
        </row>
        <row r="358">
          <cell r="C358" t="str">
            <v>Census Tract 323.16, King County, Washington</v>
          </cell>
          <cell r="D358">
            <v>25</v>
          </cell>
          <cell r="E358">
            <v>25</v>
          </cell>
          <cell r="F358">
            <v>0</v>
          </cell>
          <cell r="G358">
            <v>15</v>
          </cell>
          <cell r="H358">
            <v>0</v>
          </cell>
          <cell r="I358">
            <v>7</v>
          </cell>
          <cell r="J358">
            <v>0</v>
          </cell>
          <cell r="K358">
            <v>8</v>
          </cell>
          <cell r="L358">
            <v>10</v>
          </cell>
          <cell r="M358">
            <v>0</v>
          </cell>
          <cell r="N358">
            <v>0</v>
          </cell>
          <cell r="O358">
            <v>10</v>
          </cell>
          <cell r="P358">
            <v>0</v>
          </cell>
          <cell r="Q358">
            <v>0</v>
          </cell>
          <cell r="R358">
            <v>0</v>
          </cell>
          <cell r="S358">
            <v>15</v>
          </cell>
          <cell r="T358">
            <v>10</v>
          </cell>
        </row>
        <row r="359">
          <cell r="C359" t="str">
            <v>Census Tract 323.17, King County, Washington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</row>
        <row r="360">
          <cell r="C360" t="str">
            <v>Census Tract 323.18, King County, Washington</v>
          </cell>
          <cell r="D360">
            <v>13</v>
          </cell>
          <cell r="E360">
            <v>13</v>
          </cell>
          <cell r="F360">
            <v>0</v>
          </cell>
          <cell r="G360">
            <v>13</v>
          </cell>
          <cell r="H360">
            <v>0</v>
          </cell>
          <cell r="I360">
            <v>0</v>
          </cell>
          <cell r="J360">
            <v>0</v>
          </cell>
          <cell r="K360">
            <v>13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13</v>
          </cell>
          <cell r="T360">
            <v>0</v>
          </cell>
        </row>
        <row r="361">
          <cell r="C361" t="str">
            <v>Census Tract 323.19, King County, Washington</v>
          </cell>
          <cell r="D361">
            <v>62</v>
          </cell>
          <cell r="E361">
            <v>62</v>
          </cell>
          <cell r="F361">
            <v>49</v>
          </cell>
          <cell r="G361">
            <v>13</v>
          </cell>
          <cell r="H361">
            <v>0</v>
          </cell>
          <cell r="I361">
            <v>0</v>
          </cell>
          <cell r="J361">
            <v>13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62</v>
          </cell>
          <cell r="T361">
            <v>0</v>
          </cell>
        </row>
        <row r="362">
          <cell r="C362" t="str">
            <v>Census Tract 323.20, King County, Washington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</row>
        <row r="363">
          <cell r="C363" t="str">
            <v>Census Tract 323.21, King County, Washington</v>
          </cell>
          <cell r="D363">
            <v>17</v>
          </cell>
          <cell r="E363">
            <v>17</v>
          </cell>
          <cell r="F363">
            <v>6</v>
          </cell>
          <cell r="G363">
            <v>11</v>
          </cell>
          <cell r="H363">
            <v>0</v>
          </cell>
          <cell r="I363">
            <v>0</v>
          </cell>
          <cell r="J363">
            <v>11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17</v>
          </cell>
          <cell r="T363">
            <v>0</v>
          </cell>
        </row>
        <row r="364">
          <cell r="C364" t="str">
            <v>Census Tract 323.22, King County, Washington</v>
          </cell>
          <cell r="D364">
            <v>11</v>
          </cell>
          <cell r="E364">
            <v>11</v>
          </cell>
          <cell r="F364">
            <v>11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11</v>
          </cell>
          <cell r="T364">
            <v>0</v>
          </cell>
        </row>
        <row r="365">
          <cell r="C365" t="str">
            <v>Census Tract 323.23, King County, Washington</v>
          </cell>
          <cell r="D365">
            <v>43</v>
          </cell>
          <cell r="E365">
            <v>43</v>
          </cell>
          <cell r="F365">
            <v>19</v>
          </cell>
          <cell r="G365">
            <v>24</v>
          </cell>
          <cell r="H365">
            <v>0</v>
          </cell>
          <cell r="I365">
            <v>7</v>
          </cell>
          <cell r="J365">
            <v>12</v>
          </cell>
          <cell r="K365">
            <v>5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43</v>
          </cell>
          <cell r="T365">
            <v>0</v>
          </cell>
        </row>
        <row r="366">
          <cell r="C366" t="str">
            <v>Census Tract 323.24, King County, Washington</v>
          </cell>
          <cell r="D366">
            <v>5</v>
          </cell>
          <cell r="E366">
            <v>5</v>
          </cell>
          <cell r="F366">
            <v>0</v>
          </cell>
          <cell r="G366">
            <v>5</v>
          </cell>
          <cell r="H366">
            <v>0</v>
          </cell>
          <cell r="I366">
            <v>0</v>
          </cell>
          <cell r="J366">
            <v>0</v>
          </cell>
          <cell r="K366">
            <v>5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5</v>
          </cell>
          <cell r="T366">
            <v>0</v>
          </cell>
        </row>
        <row r="367">
          <cell r="C367" t="str">
            <v>Census Tract 323.25, King County, Washington</v>
          </cell>
          <cell r="D367">
            <v>17</v>
          </cell>
          <cell r="E367">
            <v>17</v>
          </cell>
          <cell r="F367">
            <v>17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17</v>
          </cell>
          <cell r="T367">
            <v>0</v>
          </cell>
        </row>
        <row r="368">
          <cell r="C368" t="str">
            <v>Census Tract 324.01, King County, Washington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</row>
        <row r="369">
          <cell r="C369" t="str">
            <v>Census Tract 324.02, King County, Washington</v>
          </cell>
          <cell r="D369">
            <v>65</v>
          </cell>
          <cell r="E369">
            <v>65</v>
          </cell>
          <cell r="F369">
            <v>43</v>
          </cell>
          <cell r="G369">
            <v>22</v>
          </cell>
          <cell r="H369">
            <v>11</v>
          </cell>
          <cell r="I369">
            <v>0</v>
          </cell>
          <cell r="J369">
            <v>11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65</v>
          </cell>
          <cell r="T369">
            <v>0</v>
          </cell>
        </row>
        <row r="370">
          <cell r="C370" t="str">
            <v>Census Tract 325, King County, Washington</v>
          </cell>
          <cell r="D370">
            <v>52</v>
          </cell>
          <cell r="E370">
            <v>51</v>
          </cell>
          <cell r="F370">
            <v>17</v>
          </cell>
          <cell r="G370">
            <v>34</v>
          </cell>
          <cell r="H370">
            <v>0</v>
          </cell>
          <cell r="I370">
            <v>17</v>
          </cell>
          <cell r="J370">
            <v>3</v>
          </cell>
          <cell r="K370">
            <v>14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1</v>
          </cell>
          <cell r="Q370">
            <v>1</v>
          </cell>
          <cell r="R370">
            <v>0</v>
          </cell>
          <cell r="S370">
            <v>51</v>
          </cell>
          <cell r="T370">
            <v>1</v>
          </cell>
        </row>
        <row r="371">
          <cell r="C371" t="str">
            <v>Census Tract 326.01, King County, Washington</v>
          </cell>
          <cell r="D371">
            <v>19</v>
          </cell>
          <cell r="E371">
            <v>19</v>
          </cell>
          <cell r="F371">
            <v>19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19</v>
          </cell>
          <cell r="T371">
            <v>0</v>
          </cell>
        </row>
        <row r="372">
          <cell r="C372" t="str">
            <v>Census Tract 326.02, King County, Washington</v>
          </cell>
          <cell r="D372">
            <v>43</v>
          </cell>
          <cell r="E372">
            <v>43</v>
          </cell>
          <cell r="F372">
            <v>27</v>
          </cell>
          <cell r="G372">
            <v>16</v>
          </cell>
          <cell r="H372">
            <v>0</v>
          </cell>
          <cell r="I372">
            <v>4</v>
          </cell>
          <cell r="J372">
            <v>0</v>
          </cell>
          <cell r="K372">
            <v>12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43</v>
          </cell>
          <cell r="T372">
            <v>0</v>
          </cell>
        </row>
        <row r="373">
          <cell r="C373" t="str">
            <v>Census Tract 327.02, King County, Washington</v>
          </cell>
          <cell r="D373">
            <v>23</v>
          </cell>
          <cell r="E373">
            <v>23</v>
          </cell>
          <cell r="F373">
            <v>7</v>
          </cell>
          <cell r="G373">
            <v>16</v>
          </cell>
          <cell r="H373">
            <v>0</v>
          </cell>
          <cell r="I373">
            <v>0</v>
          </cell>
          <cell r="J373">
            <v>5</v>
          </cell>
          <cell r="K373">
            <v>11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23</v>
          </cell>
          <cell r="T373">
            <v>0</v>
          </cell>
        </row>
        <row r="374">
          <cell r="C374" t="str">
            <v>Census Tract 327.03, King County, Washington</v>
          </cell>
          <cell r="D374">
            <v>55</v>
          </cell>
          <cell r="E374">
            <v>55</v>
          </cell>
          <cell r="F374">
            <v>40</v>
          </cell>
          <cell r="G374">
            <v>15</v>
          </cell>
          <cell r="H374">
            <v>5</v>
          </cell>
          <cell r="I374">
            <v>0</v>
          </cell>
          <cell r="J374">
            <v>7</v>
          </cell>
          <cell r="K374">
            <v>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55</v>
          </cell>
          <cell r="T374">
            <v>0</v>
          </cell>
        </row>
        <row r="375">
          <cell r="C375" t="str">
            <v>Census Tract 327.04, King County, Washington</v>
          </cell>
          <cell r="D375">
            <v>70</v>
          </cell>
          <cell r="E375">
            <v>70</v>
          </cell>
          <cell r="F375">
            <v>38</v>
          </cell>
          <cell r="G375">
            <v>32</v>
          </cell>
          <cell r="H375">
            <v>0</v>
          </cell>
          <cell r="I375">
            <v>0</v>
          </cell>
          <cell r="J375">
            <v>0</v>
          </cell>
          <cell r="K375">
            <v>32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70</v>
          </cell>
          <cell r="T375">
            <v>0</v>
          </cell>
        </row>
        <row r="376">
          <cell r="C376" t="str">
            <v>Census Tract 328, King County, Washington</v>
          </cell>
          <cell r="D376">
            <v>32</v>
          </cell>
          <cell r="E376">
            <v>32</v>
          </cell>
          <cell r="F376">
            <v>22</v>
          </cell>
          <cell r="G376">
            <v>10</v>
          </cell>
          <cell r="H376">
            <v>0</v>
          </cell>
          <cell r="I376">
            <v>0</v>
          </cell>
          <cell r="J376">
            <v>3</v>
          </cell>
          <cell r="K376">
            <v>7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32</v>
          </cell>
          <cell r="T376">
            <v>0</v>
          </cell>
        </row>
        <row r="377">
          <cell r="C377" t="str">
            <v>Aberdeen city, Washington</v>
          </cell>
          <cell r="D377">
            <v>683</v>
          </cell>
          <cell r="E377">
            <v>658</v>
          </cell>
          <cell r="F377">
            <v>483</v>
          </cell>
          <cell r="G377">
            <v>175</v>
          </cell>
          <cell r="H377">
            <v>16</v>
          </cell>
          <cell r="I377">
            <v>21</v>
          </cell>
          <cell r="J377">
            <v>13</v>
          </cell>
          <cell r="K377">
            <v>125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25</v>
          </cell>
          <cell r="Q377">
            <v>0</v>
          </cell>
          <cell r="R377">
            <v>25</v>
          </cell>
          <cell r="S377">
            <v>658</v>
          </cell>
          <cell r="T377">
            <v>25</v>
          </cell>
        </row>
        <row r="378">
          <cell r="C378" t="str">
            <v>Aberdeen Gardens CDP, Washington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</row>
        <row r="379">
          <cell r="C379" t="str">
            <v>Acme CDP, Washington</v>
          </cell>
          <cell r="D379">
            <v>9</v>
          </cell>
          <cell r="E379">
            <v>9</v>
          </cell>
          <cell r="F379">
            <v>0</v>
          </cell>
          <cell r="G379">
            <v>9</v>
          </cell>
          <cell r="H379">
            <v>0</v>
          </cell>
          <cell r="I379">
            <v>0</v>
          </cell>
          <cell r="J379">
            <v>0</v>
          </cell>
          <cell r="K379">
            <v>9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9</v>
          </cell>
          <cell r="T379">
            <v>0</v>
          </cell>
        </row>
        <row r="380">
          <cell r="C380" t="str">
            <v>Ahtanum CDP, Washington</v>
          </cell>
          <cell r="D380">
            <v>9</v>
          </cell>
          <cell r="E380">
            <v>9</v>
          </cell>
          <cell r="F380">
            <v>9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9</v>
          </cell>
          <cell r="T380">
            <v>0</v>
          </cell>
        </row>
        <row r="381">
          <cell r="C381" t="str">
            <v>Airway Heights city, Washington</v>
          </cell>
          <cell r="D381">
            <v>123</v>
          </cell>
          <cell r="E381">
            <v>123</v>
          </cell>
          <cell r="F381">
            <v>88</v>
          </cell>
          <cell r="G381">
            <v>35</v>
          </cell>
          <cell r="H381">
            <v>0</v>
          </cell>
          <cell r="I381">
            <v>12</v>
          </cell>
          <cell r="J381">
            <v>0</v>
          </cell>
          <cell r="K381">
            <v>23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123</v>
          </cell>
          <cell r="T381">
            <v>0</v>
          </cell>
        </row>
        <row r="382">
          <cell r="C382" t="str">
            <v>Albion town, Washington</v>
          </cell>
          <cell r="D382">
            <v>3</v>
          </cell>
          <cell r="E382">
            <v>3</v>
          </cell>
          <cell r="F382">
            <v>0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3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3</v>
          </cell>
          <cell r="T382">
            <v>0</v>
          </cell>
        </row>
        <row r="383">
          <cell r="C383" t="str">
            <v>Alderwood Manor CDP, Washington</v>
          </cell>
          <cell r="D383">
            <v>163</v>
          </cell>
          <cell r="E383">
            <v>140</v>
          </cell>
          <cell r="F383">
            <v>35</v>
          </cell>
          <cell r="G383">
            <v>105</v>
          </cell>
          <cell r="H383">
            <v>0</v>
          </cell>
          <cell r="I383">
            <v>0</v>
          </cell>
          <cell r="J383">
            <v>0</v>
          </cell>
          <cell r="K383">
            <v>105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23</v>
          </cell>
          <cell r="Q383">
            <v>9</v>
          </cell>
          <cell r="R383">
            <v>14</v>
          </cell>
          <cell r="S383">
            <v>140</v>
          </cell>
          <cell r="T383">
            <v>23</v>
          </cell>
        </row>
        <row r="384">
          <cell r="C384" t="str">
            <v>Alger CDP, Washington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</row>
        <row r="385">
          <cell r="C385" t="str">
            <v>Algona city, Washington</v>
          </cell>
          <cell r="D385">
            <v>39</v>
          </cell>
          <cell r="E385">
            <v>39</v>
          </cell>
          <cell r="F385">
            <v>32</v>
          </cell>
          <cell r="G385">
            <v>7</v>
          </cell>
          <cell r="H385">
            <v>0</v>
          </cell>
          <cell r="I385">
            <v>4</v>
          </cell>
          <cell r="J385">
            <v>3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39</v>
          </cell>
          <cell r="T385">
            <v>0</v>
          </cell>
        </row>
        <row r="386">
          <cell r="C386" t="str">
            <v>Allyn-Grapeview CDP, Washington</v>
          </cell>
          <cell r="D386">
            <v>24</v>
          </cell>
          <cell r="E386">
            <v>24</v>
          </cell>
          <cell r="F386">
            <v>19</v>
          </cell>
          <cell r="G386">
            <v>5</v>
          </cell>
          <cell r="H386">
            <v>0</v>
          </cell>
          <cell r="I386">
            <v>0</v>
          </cell>
          <cell r="J386">
            <v>0</v>
          </cell>
          <cell r="K386">
            <v>5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24</v>
          </cell>
          <cell r="T386">
            <v>0</v>
          </cell>
        </row>
        <row r="387">
          <cell r="C387" t="str">
            <v>Almira town, Washington</v>
          </cell>
          <cell r="D387">
            <v>20</v>
          </cell>
          <cell r="E387">
            <v>20</v>
          </cell>
          <cell r="F387">
            <v>14</v>
          </cell>
          <cell r="G387">
            <v>6</v>
          </cell>
          <cell r="H387">
            <v>0</v>
          </cell>
          <cell r="I387">
            <v>2</v>
          </cell>
          <cell r="J387">
            <v>4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20</v>
          </cell>
          <cell r="T387">
            <v>0</v>
          </cell>
        </row>
        <row r="388">
          <cell r="C388" t="str">
            <v>Amboy CDP, Washington</v>
          </cell>
          <cell r="D388">
            <v>2</v>
          </cell>
          <cell r="E388">
            <v>2</v>
          </cell>
          <cell r="F388">
            <v>0</v>
          </cell>
          <cell r="G388">
            <v>2</v>
          </cell>
          <cell r="H388">
            <v>0</v>
          </cell>
          <cell r="I388">
            <v>0</v>
          </cell>
          <cell r="J388">
            <v>0</v>
          </cell>
          <cell r="K388">
            <v>2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</v>
          </cell>
          <cell r="T388">
            <v>0</v>
          </cell>
        </row>
        <row r="389">
          <cell r="C389" t="str">
            <v>Ames Lake CDP, Washington</v>
          </cell>
          <cell r="D389">
            <v>8</v>
          </cell>
          <cell r="E389">
            <v>8</v>
          </cell>
          <cell r="F389">
            <v>0</v>
          </cell>
          <cell r="G389">
            <v>8</v>
          </cell>
          <cell r="H389">
            <v>0</v>
          </cell>
          <cell r="I389">
            <v>0</v>
          </cell>
          <cell r="J389">
            <v>0</v>
          </cell>
          <cell r="K389">
            <v>8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8</v>
          </cell>
          <cell r="T389">
            <v>0</v>
          </cell>
        </row>
        <row r="390">
          <cell r="C390" t="str">
            <v>Anacortes city, Washington</v>
          </cell>
          <cell r="D390">
            <v>223</v>
          </cell>
          <cell r="E390">
            <v>223</v>
          </cell>
          <cell r="F390">
            <v>137</v>
          </cell>
          <cell r="G390">
            <v>68</v>
          </cell>
          <cell r="H390">
            <v>0</v>
          </cell>
          <cell r="I390">
            <v>9</v>
          </cell>
          <cell r="J390">
            <v>0</v>
          </cell>
          <cell r="K390">
            <v>59</v>
          </cell>
          <cell r="L390">
            <v>18</v>
          </cell>
          <cell r="M390">
            <v>0</v>
          </cell>
          <cell r="N390">
            <v>0</v>
          </cell>
          <cell r="O390">
            <v>18</v>
          </cell>
          <cell r="P390">
            <v>0</v>
          </cell>
          <cell r="Q390">
            <v>0</v>
          </cell>
          <cell r="R390">
            <v>0</v>
          </cell>
          <cell r="S390">
            <v>205</v>
          </cell>
          <cell r="T390">
            <v>18</v>
          </cell>
        </row>
        <row r="391">
          <cell r="C391" t="str">
            <v>Arlington city, Washington</v>
          </cell>
          <cell r="D391">
            <v>126</v>
          </cell>
          <cell r="E391">
            <v>101</v>
          </cell>
          <cell r="F391">
            <v>63</v>
          </cell>
          <cell r="G391">
            <v>38</v>
          </cell>
          <cell r="H391">
            <v>0</v>
          </cell>
          <cell r="I391">
            <v>10</v>
          </cell>
          <cell r="J391">
            <v>18</v>
          </cell>
          <cell r="K391">
            <v>10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25</v>
          </cell>
          <cell r="Q391">
            <v>25</v>
          </cell>
          <cell r="R391">
            <v>0</v>
          </cell>
          <cell r="S391">
            <v>101</v>
          </cell>
          <cell r="T391">
            <v>25</v>
          </cell>
        </row>
        <row r="392">
          <cell r="C392" t="str">
            <v>Arlington Heights CDP, Washington</v>
          </cell>
          <cell r="D392">
            <v>14</v>
          </cell>
          <cell r="E392">
            <v>14</v>
          </cell>
          <cell r="F392">
            <v>0</v>
          </cell>
          <cell r="G392">
            <v>14</v>
          </cell>
          <cell r="H392">
            <v>0</v>
          </cell>
          <cell r="I392">
            <v>14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14</v>
          </cell>
          <cell r="T392">
            <v>0</v>
          </cell>
        </row>
        <row r="393">
          <cell r="C393" t="str">
            <v>Artondale CDP, Washington</v>
          </cell>
          <cell r="D393">
            <v>95</v>
          </cell>
          <cell r="E393">
            <v>95</v>
          </cell>
          <cell r="F393">
            <v>75</v>
          </cell>
          <cell r="G393">
            <v>17</v>
          </cell>
          <cell r="H393">
            <v>0</v>
          </cell>
          <cell r="I393">
            <v>3</v>
          </cell>
          <cell r="J393">
            <v>4</v>
          </cell>
          <cell r="K393">
            <v>10</v>
          </cell>
          <cell r="L393">
            <v>3</v>
          </cell>
          <cell r="M393">
            <v>0</v>
          </cell>
          <cell r="N393">
            <v>0</v>
          </cell>
          <cell r="O393">
            <v>3</v>
          </cell>
          <cell r="P393">
            <v>0</v>
          </cell>
          <cell r="Q393">
            <v>0</v>
          </cell>
          <cell r="R393">
            <v>0</v>
          </cell>
          <cell r="S393">
            <v>92</v>
          </cell>
          <cell r="T393">
            <v>3</v>
          </cell>
        </row>
        <row r="394">
          <cell r="C394" t="str">
            <v>Ashford CDP, Washington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</row>
        <row r="395">
          <cell r="C395" t="str">
            <v>Asotin city, Washington</v>
          </cell>
          <cell r="D395">
            <v>17</v>
          </cell>
          <cell r="E395">
            <v>17</v>
          </cell>
          <cell r="F395">
            <v>12</v>
          </cell>
          <cell r="G395">
            <v>5</v>
          </cell>
          <cell r="H395">
            <v>0</v>
          </cell>
          <cell r="I395">
            <v>2</v>
          </cell>
          <cell r="J395">
            <v>0</v>
          </cell>
          <cell r="K395">
            <v>3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17</v>
          </cell>
          <cell r="T395">
            <v>0</v>
          </cell>
        </row>
        <row r="396">
          <cell r="C396" t="str">
            <v>Auburn city, Washington</v>
          </cell>
          <cell r="D396">
            <v>887</v>
          </cell>
          <cell r="E396">
            <v>880</v>
          </cell>
          <cell r="F396">
            <v>556</v>
          </cell>
          <cell r="G396">
            <v>299</v>
          </cell>
          <cell r="H396">
            <v>6</v>
          </cell>
          <cell r="I396">
            <v>99</v>
          </cell>
          <cell r="J396">
            <v>46</v>
          </cell>
          <cell r="K396">
            <v>148</v>
          </cell>
          <cell r="L396">
            <v>25</v>
          </cell>
          <cell r="M396">
            <v>0</v>
          </cell>
          <cell r="N396">
            <v>0</v>
          </cell>
          <cell r="O396">
            <v>25</v>
          </cell>
          <cell r="P396">
            <v>7</v>
          </cell>
          <cell r="Q396">
            <v>0</v>
          </cell>
          <cell r="R396">
            <v>7</v>
          </cell>
          <cell r="S396">
            <v>855</v>
          </cell>
          <cell r="T396">
            <v>32</v>
          </cell>
        </row>
        <row r="397">
          <cell r="C397" t="str">
            <v>Ault Field CDP, Washington</v>
          </cell>
          <cell r="D397">
            <v>19</v>
          </cell>
          <cell r="E397">
            <v>19</v>
          </cell>
          <cell r="F397">
            <v>0</v>
          </cell>
          <cell r="G397">
            <v>19</v>
          </cell>
          <cell r="H397">
            <v>0</v>
          </cell>
          <cell r="I397">
            <v>0</v>
          </cell>
          <cell r="J397">
            <v>0</v>
          </cell>
          <cell r="K397">
            <v>19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19</v>
          </cell>
          <cell r="T397">
            <v>0</v>
          </cell>
        </row>
        <row r="398">
          <cell r="C398" t="str">
            <v>Bainbridge Island city, Washington</v>
          </cell>
          <cell r="D398">
            <v>97</v>
          </cell>
          <cell r="E398">
            <v>97</v>
          </cell>
          <cell r="F398">
            <v>43</v>
          </cell>
          <cell r="G398">
            <v>48</v>
          </cell>
          <cell r="H398">
            <v>0</v>
          </cell>
          <cell r="I398">
            <v>20</v>
          </cell>
          <cell r="J398">
            <v>4</v>
          </cell>
          <cell r="K398">
            <v>24</v>
          </cell>
          <cell r="L398">
            <v>6</v>
          </cell>
          <cell r="M398">
            <v>6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91</v>
          </cell>
          <cell r="T398">
            <v>6</v>
          </cell>
        </row>
        <row r="399">
          <cell r="C399" t="str">
            <v>Bangor Trident Base CDP, Washington</v>
          </cell>
          <cell r="D399">
            <v>82</v>
          </cell>
          <cell r="E399">
            <v>82</v>
          </cell>
          <cell r="F399">
            <v>27</v>
          </cell>
          <cell r="G399">
            <v>55</v>
          </cell>
          <cell r="H399">
            <v>0</v>
          </cell>
          <cell r="I399">
            <v>8</v>
          </cell>
          <cell r="J399">
            <v>17</v>
          </cell>
          <cell r="K399">
            <v>30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82</v>
          </cell>
          <cell r="T399">
            <v>0</v>
          </cell>
        </row>
        <row r="400">
          <cell r="C400" t="str">
            <v>Banks Lake South CDP, Washington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C401" t="str">
            <v>Barberton CDP, Washington</v>
          </cell>
          <cell r="D401">
            <v>38</v>
          </cell>
          <cell r="E401">
            <v>38</v>
          </cell>
          <cell r="F401">
            <v>8</v>
          </cell>
          <cell r="G401">
            <v>30</v>
          </cell>
          <cell r="H401">
            <v>0</v>
          </cell>
          <cell r="I401">
            <v>6</v>
          </cell>
          <cell r="J401">
            <v>6</v>
          </cell>
          <cell r="K401">
            <v>18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38</v>
          </cell>
          <cell r="T401">
            <v>0</v>
          </cell>
        </row>
        <row r="402">
          <cell r="C402" t="str">
            <v>Baring CDP, Washington</v>
          </cell>
          <cell r="D402">
            <v>13</v>
          </cell>
          <cell r="E402">
            <v>13</v>
          </cell>
          <cell r="F402">
            <v>3</v>
          </cell>
          <cell r="G402">
            <v>10</v>
          </cell>
          <cell r="H402">
            <v>0</v>
          </cell>
          <cell r="I402">
            <v>0</v>
          </cell>
          <cell r="J402">
            <v>3</v>
          </cell>
          <cell r="K402">
            <v>7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13</v>
          </cell>
          <cell r="T402">
            <v>0</v>
          </cell>
        </row>
        <row r="403">
          <cell r="C403" t="str">
            <v>Basin City CDP, Washington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</row>
        <row r="404">
          <cell r="C404" t="str">
            <v>Battle Ground city, Washington</v>
          </cell>
          <cell r="D404">
            <v>64</v>
          </cell>
          <cell r="E404">
            <v>64</v>
          </cell>
          <cell r="F404">
            <v>23</v>
          </cell>
          <cell r="G404">
            <v>41</v>
          </cell>
          <cell r="H404">
            <v>0</v>
          </cell>
          <cell r="I404">
            <v>0</v>
          </cell>
          <cell r="J404">
            <v>0</v>
          </cell>
          <cell r="K404">
            <v>41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64</v>
          </cell>
          <cell r="T404">
            <v>0</v>
          </cell>
        </row>
        <row r="405">
          <cell r="C405" t="str">
            <v>Bay Center CDP, Washington</v>
          </cell>
          <cell r="D405">
            <v>12</v>
          </cell>
          <cell r="E405">
            <v>12</v>
          </cell>
          <cell r="F405">
            <v>8</v>
          </cell>
          <cell r="G405">
            <v>4</v>
          </cell>
          <cell r="H405">
            <v>0</v>
          </cell>
          <cell r="I405">
            <v>4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12</v>
          </cell>
          <cell r="T405">
            <v>0</v>
          </cell>
        </row>
        <row r="406">
          <cell r="C406" t="str">
            <v>Bay View CDP, Washington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</row>
        <row r="407">
          <cell r="C407" t="str">
            <v>Beaux Arts Village town, Washington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</row>
        <row r="408">
          <cell r="C408" t="str">
            <v>Bellevue city, Washington</v>
          </cell>
          <cell r="D408">
            <v>639</v>
          </cell>
          <cell r="E408">
            <v>613</v>
          </cell>
          <cell r="F408">
            <v>250</v>
          </cell>
          <cell r="G408">
            <v>346</v>
          </cell>
          <cell r="H408">
            <v>17</v>
          </cell>
          <cell r="I408">
            <v>44</v>
          </cell>
          <cell r="J408">
            <v>153</v>
          </cell>
          <cell r="K408">
            <v>132</v>
          </cell>
          <cell r="L408">
            <v>17</v>
          </cell>
          <cell r="M408">
            <v>0</v>
          </cell>
          <cell r="N408">
            <v>0</v>
          </cell>
          <cell r="O408">
            <v>17</v>
          </cell>
          <cell r="P408">
            <v>26</v>
          </cell>
          <cell r="Q408">
            <v>9</v>
          </cell>
          <cell r="R408">
            <v>17</v>
          </cell>
          <cell r="S408">
            <v>596</v>
          </cell>
          <cell r="T408">
            <v>43</v>
          </cell>
        </row>
        <row r="409">
          <cell r="C409" t="str">
            <v>Bell Hill CDP, Washington</v>
          </cell>
          <cell r="D409">
            <v>6</v>
          </cell>
          <cell r="E409">
            <v>6</v>
          </cell>
          <cell r="F409">
            <v>6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6</v>
          </cell>
          <cell r="T409">
            <v>0</v>
          </cell>
        </row>
        <row r="410">
          <cell r="C410" t="str">
            <v>Bellingham city, Washington</v>
          </cell>
          <cell r="D410">
            <v>1006</v>
          </cell>
          <cell r="E410">
            <v>975</v>
          </cell>
          <cell r="F410">
            <v>654</v>
          </cell>
          <cell r="G410">
            <v>321</v>
          </cell>
          <cell r="H410">
            <v>0</v>
          </cell>
          <cell r="I410">
            <v>37</v>
          </cell>
          <cell r="J410">
            <v>33</v>
          </cell>
          <cell r="K410">
            <v>251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31</v>
          </cell>
          <cell r="Q410">
            <v>17</v>
          </cell>
          <cell r="R410">
            <v>14</v>
          </cell>
          <cell r="S410">
            <v>975</v>
          </cell>
          <cell r="T410">
            <v>31</v>
          </cell>
        </row>
        <row r="411">
          <cell r="C411" t="str">
            <v>Benton City city, Washington</v>
          </cell>
          <cell r="D411">
            <v>42</v>
          </cell>
          <cell r="E411">
            <v>36</v>
          </cell>
          <cell r="F411">
            <v>7</v>
          </cell>
          <cell r="G411">
            <v>29</v>
          </cell>
          <cell r="H411">
            <v>0</v>
          </cell>
          <cell r="I411">
            <v>0</v>
          </cell>
          <cell r="J411">
            <v>0</v>
          </cell>
          <cell r="K411">
            <v>29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6</v>
          </cell>
          <cell r="Q411">
            <v>0</v>
          </cell>
          <cell r="R411">
            <v>6</v>
          </cell>
          <cell r="S411">
            <v>36</v>
          </cell>
          <cell r="T411">
            <v>6</v>
          </cell>
        </row>
        <row r="412">
          <cell r="C412" t="str">
            <v>Bickleton CDP, Washington</v>
          </cell>
          <cell r="D412">
            <v>8</v>
          </cell>
          <cell r="E412">
            <v>8</v>
          </cell>
          <cell r="F412">
            <v>8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8</v>
          </cell>
          <cell r="T412">
            <v>0</v>
          </cell>
        </row>
        <row r="413">
          <cell r="C413" t="str">
            <v>Big Lake CDP, Washington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</row>
        <row r="414">
          <cell r="C414" t="str">
            <v>Bingen city, Washington</v>
          </cell>
          <cell r="D414">
            <v>8</v>
          </cell>
          <cell r="E414">
            <v>8</v>
          </cell>
          <cell r="F414">
            <v>2</v>
          </cell>
          <cell r="G414">
            <v>6</v>
          </cell>
          <cell r="H414">
            <v>0</v>
          </cell>
          <cell r="I414">
            <v>0</v>
          </cell>
          <cell r="J414">
            <v>2</v>
          </cell>
          <cell r="K414">
            <v>4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8</v>
          </cell>
          <cell r="T414">
            <v>0</v>
          </cell>
        </row>
        <row r="415">
          <cell r="C415" t="str">
            <v>Birch Bay CDP, Washington</v>
          </cell>
          <cell r="D415">
            <v>69</v>
          </cell>
          <cell r="E415">
            <v>69</v>
          </cell>
          <cell r="F415">
            <v>69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69</v>
          </cell>
          <cell r="T415">
            <v>0</v>
          </cell>
        </row>
        <row r="416">
          <cell r="C416" t="str">
            <v>Black Diamond city, Washington</v>
          </cell>
          <cell r="D416">
            <v>129</v>
          </cell>
          <cell r="E416">
            <v>129</v>
          </cell>
          <cell r="F416">
            <v>30</v>
          </cell>
          <cell r="G416">
            <v>99</v>
          </cell>
          <cell r="H416">
            <v>18</v>
          </cell>
          <cell r="I416">
            <v>22</v>
          </cell>
          <cell r="J416">
            <v>18</v>
          </cell>
          <cell r="K416">
            <v>41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129</v>
          </cell>
          <cell r="T416">
            <v>0</v>
          </cell>
        </row>
        <row r="417">
          <cell r="C417" t="str">
            <v>Blaine city, Washington</v>
          </cell>
          <cell r="D417">
            <v>22</v>
          </cell>
          <cell r="E417">
            <v>22</v>
          </cell>
          <cell r="F417">
            <v>22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22</v>
          </cell>
          <cell r="T417">
            <v>0</v>
          </cell>
        </row>
        <row r="418">
          <cell r="C418" t="str">
            <v>Blyn CDP, Washington</v>
          </cell>
          <cell r="D418">
            <v>11</v>
          </cell>
          <cell r="E418">
            <v>11</v>
          </cell>
          <cell r="F418">
            <v>11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11</v>
          </cell>
          <cell r="T418">
            <v>0</v>
          </cell>
        </row>
        <row r="419">
          <cell r="C419" t="str">
            <v>Bonney Lake city, Washington</v>
          </cell>
          <cell r="D419">
            <v>80</v>
          </cell>
          <cell r="E419">
            <v>80</v>
          </cell>
          <cell r="F419">
            <v>21</v>
          </cell>
          <cell r="G419">
            <v>59</v>
          </cell>
          <cell r="H419">
            <v>0</v>
          </cell>
          <cell r="I419">
            <v>0</v>
          </cell>
          <cell r="J419">
            <v>17</v>
          </cell>
          <cell r="K419">
            <v>42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80</v>
          </cell>
          <cell r="T419">
            <v>0</v>
          </cell>
        </row>
        <row r="420">
          <cell r="C420" t="str">
            <v>Bothell city, Washington</v>
          </cell>
          <cell r="D420">
            <v>223</v>
          </cell>
          <cell r="E420">
            <v>213</v>
          </cell>
          <cell r="F420">
            <v>96</v>
          </cell>
          <cell r="G420">
            <v>117</v>
          </cell>
          <cell r="H420">
            <v>0</v>
          </cell>
          <cell r="I420">
            <v>21</v>
          </cell>
          <cell r="J420">
            <v>10</v>
          </cell>
          <cell r="K420">
            <v>86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10</v>
          </cell>
          <cell r="Q420">
            <v>10</v>
          </cell>
          <cell r="R420">
            <v>0</v>
          </cell>
          <cell r="S420">
            <v>213</v>
          </cell>
          <cell r="T420">
            <v>10</v>
          </cell>
        </row>
        <row r="421">
          <cell r="C421" t="str">
            <v>Brady CDP, Washington</v>
          </cell>
          <cell r="D421">
            <v>16</v>
          </cell>
          <cell r="E421">
            <v>16</v>
          </cell>
          <cell r="F421">
            <v>0</v>
          </cell>
          <cell r="G421">
            <v>16</v>
          </cell>
          <cell r="H421">
            <v>0</v>
          </cell>
          <cell r="I421">
            <v>0</v>
          </cell>
          <cell r="J421">
            <v>0</v>
          </cell>
          <cell r="K421">
            <v>16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16</v>
          </cell>
          <cell r="T421">
            <v>0</v>
          </cell>
        </row>
        <row r="422">
          <cell r="C422" t="str">
            <v>Bremerton city, Washington</v>
          </cell>
          <cell r="D422">
            <v>759</v>
          </cell>
          <cell r="E422">
            <v>741</v>
          </cell>
          <cell r="F422">
            <v>312</v>
          </cell>
          <cell r="G422">
            <v>425</v>
          </cell>
          <cell r="H422">
            <v>6</v>
          </cell>
          <cell r="I422">
            <v>139</v>
          </cell>
          <cell r="J422">
            <v>18</v>
          </cell>
          <cell r="K422">
            <v>262</v>
          </cell>
          <cell r="L422">
            <v>4</v>
          </cell>
          <cell r="M422">
            <v>0</v>
          </cell>
          <cell r="N422">
            <v>0</v>
          </cell>
          <cell r="O422">
            <v>4</v>
          </cell>
          <cell r="P422">
            <v>18</v>
          </cell>
          <cell r="Q422">
            <v>0</v>
          </cell>
          <cell r="R422">
            <v>18</v>
          </cell>
          <cell r="S422">
            <v>737</v>
          </cell>
          <cell r="T422">
            <v>22</v>
          </cell>
        </row>
        <row r="423">
          <cell r="C423" t="str">
            <v>Brewster city, Washington</v>
          </cell>
          <cell r="D423">
            <v>41</v>
          </cell>
          <cell r="E423">
            <v>40</v>
          </cell>
          <cell r="F423">
            <v>18</v>
          </cell>
          <cell r="G423">
            <v>22</v>
          </cell>
          <cell r="H423">
            <v>0</v>
          </cell>
          <cell r="I423">
            <v>12</v>
          </cell>
          <cell r="J423">
            <v>7</v>
          </cell>
          <cell r="K423">
            <v>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1</v>
          </cell>
          <cell r="Q423">
            <v>1</v>
          </cell>
          <cell r="R423">
            <v>0</v>
          </cell>
          <cell r="S423">
            <v>40</v>
          </cell>
          <cell r="T423">
            <v>1</v>
          </cell>
        </row>
        <row r="424">
          <cell r="C424" t="str">
            <v>Bridgeport city, Washington</v>
          </cell>
          <cell r="D424">
            <v>20</v>
          </cell>
          <cell r="E424">
            <v>18</v>
          </cell>
          <cell r="F424">
            <v>14</v>
          </cell>
          <cell r="G424">
            <v>4</v>
          </cell>
          <cell r="H424">
            <v>0</v>
          </cell>
          <cell r="I424">
            <v>0</v>
          </cell>
          <cell r="J424">
            <v>2</v>
          </cell>
          <cell r="K424">
            <v>2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</v>
          </cell>
          <cell r="Q424">
            <v>0</v>
          </cell>
          <cell r="R424">
            <v>2</v>
          </cell>
          <cell r="S424">
            <v>18</v>
          </cell>
          <cell r="T424">
            <v>2</v>
          </cell>
        </row>
        <row r="425">
          <cell r="C425" t="str">
            <v>Brier city, Washington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</row>
        <row r="426">
          <cell r="C426" t="str">
            <v>Brinnon CDP, Washington</v>
          </cell>
          <cell r="D426">
            <v>13</v>
          </cell>
          <cell r="E426">
            <v>13</v>
          </cell>
          <cell r="F426">
            <v>4</v>
          </cell>
          <cell r="G426">
            <v>9</v>
          </cell>
          <cell r="H426">
            <v>0</v>
          </cell>
          <cell r="I426">
            <v>0</v>
          </cell>
          <cell r="J426">
            <v>0</v>
          </cell>
          <cell r="K426">
            <v>9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13</v>
          </cell>
          <cell r="T426">
            <v>0</v>
          </cell>
        </row>
        <row r="427">
          <cell r="C427" t="str">
            <v>Brush Prairie CDP, Washington</v>
          </cell>
          <cell r="D427">
            <v>5</v>
          </cell>
          <cell r="E427">
            <v>5</v>
          </cell>
          <cell r="F427">
            <v>0</v>
          </cell>
          <cell r="G427">
            <v>5</v>
          </cell>
          <cell r="H427">
            <v>0</v>
          </cell>
          <cell r="I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5</v>
          </cell>
          <cell r="T427">
            <v>0</v>
          </cell>
        </row>
        <row r="428">
          <cell r="C428" t="str">
            <v>Bryn Mawr-Skyway CDP, Washington</v>
          </cell>
          <cell r="D428">
            <v>129</v>
          </cell>
          <cell r="E428">
            <v>122</v>
          </cell>
          <cell r="F428">
            <v>89</v>
          </cell>
          <cell r="G428">
            <v>21</v>
          </cell>
          <cell r="H428">
            <v>0</v>
          </cell>
          <cell r="I428">
            <v>15</v>
          </cell>
          <cell r="J428">
            <v>0</v>
          </cell>
          <cell r="K428">
            <v>6</v>
          </cell>
          <cell r="L428">
            <v>12</v>
          </cell>
          <cell r="M428">
            <v>0</v>
          </cell>
          <cell r="N428">
            <v>0</v>
          </cell>
          <cell r="O428">
            <v>12</v>
          </cell>
          <cell r="P428">
            <v>7</v>
          </cell>
          <cell r="Q428">
            <v>7</v>
          </cell>
          <cell r="R428">
            <v>0</v>
          </cell>
          <cell r="S428">
            <v>110</v>
          </cell>
          <cell r="T428">
            <v>19</v>
          </cell>
        </row>
        <row r="429">
          <cell r="C429" t="str">
            <v>Buckley city, Washington</v>
          </cell>
          <cell r="D429">
            <v>15</v>
          </cell>
          <cell r="E429">
            <v>15</v>
          </cell>
          <cell r="F429">
            <v>0</v>
          </cell>
          <cell r="G429">
            <v>15</v>
          </cell>
          <cell r="H429">
            <v>0</v>
          </cell>
          <cell r="I429">
            <v>0</v>
          </cell>
          <cell r="J429">
            <v>0</v>
          </cell>
          <cell r="K429">
            <v>15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15</v>
          </cell>
          <cell r="T429">
            <v>0</v>
          </cell>
        </row>
        <row r="430">
          <cell r="C430" t="str">
            <v>Bucoda town, Washington</v>
          </cell>
          <cell r="D430">
            <v>10</v>
          </cell>
          <cell r="E430">
            <v>10</v>
          </cell>
          <cell r="F430">
            <v>5</v>
          </cell>
          <cell r="G430">
            <v>5</v>
          </cell>
          <cell r="H430">
            <v>0</v>
          </cell>
          <cell r="I430">
            <v>0</v>
          </cell>
          <cell r="J430">
            <v>0</v>
          </cell>
          <cell r="K430">
            <v>5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10</v>
          </cell>
          <cell r="T430">
            <v>0</v>
          </cell>
        </row>
        <row r="431">
          <cell r="C431" t="str">
            <v>Burbank CDP, Washington</v>
          </cell>
          <cell r="D431">
            <v>46</v>
          </cell>
          <cell r="E431">
            <v>46</v>
          </cell>
          <cell r="F431">
            <v>20</v>
          </cell>
          <cell r="G431">
            <v>26</v>
          </cell>
          <cell r="H431">
            <v>0</v>
          </cell>
          <cell r="I431">
            <v>0</v>
          </cell>
          <cell r="J431">
            <v>0</v>
          </cell>
          <cell r="K431">
            <v>26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46</v>
          </cell>
          <cell r="T431">
            <v>0</v>
          </cell>
        </row>
        <row r="432">
          <cell r="C432" t="str">
            <v>Burien city, Washington</v>
          </cell>
          <cell r="D432">
            <v>395</v>
          </cell>
          <cell r="E432">
            <v>395</v>
          </cell>
          <cell r="F432">
            <v>285</v>
          </cell>
          <cell r="G432">
            <v>110</v>
          </cell>
          <cell r="H432">
            <v>10</v>
          </cell>
          <cell r="I432">
            <v>41</v>
          </cell>
          <cell r="J432">
            <v>9</v>
          </cell>
          <cell r="K432">
            <v>50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395</v>
          </cell>
          <cell r="T432">
            <v>0</v>
          </cell>
        </row>
        <row r="433">
          <cell r="C433" t="str">
            <v>Burlington city, Washington</v>
          </cell>
          <cell r="D433">
            <v>44</v>
          </cell>
          <cell r="E433">
            <v>30</v>
          </cell>
          <cell r="F433">
            <v>8</v>
          </cell>
          <cell r="G433">
            <v>22</v>
          </cell>
          <cell r="H433">
            <v>0</v>
          </cell>
          <cell r="I433">
            <v>7</v>
          </cell>
          <cell r="J433">
            <v>11</v>
          </cell>
          <cell r="K433">
            <v>4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14</v>
          </cell>
          <cell r="Q433">
            <v>7</v>
          </cell>
          <cell r="R433">
            <v>7</v>
          </cell>
          <cell r="S433">
            <v>30</v>
          </cell>
          <cell r="T433">
            <v>14</v>
          </cell>
        </row>
        <row r="434">
          <cell r="C434" t="str">
            <v>Camano CDP, Washington</v>
          </cell>
          <cell r="D434">
            <v>100</v>
          </cell>
          <cell r="E434">
            <v>100</v>
          </cell>
          <cell r="F434">
            <v>35</v>
          </cell>
          <cell r="G434">
            <v>65</v>
          </cell>
          <cell r="H434">
            <v>6</v>
          </cell>
          <cell r="I434">
            <v>5</v>
          </cell>
          <cell r="J434">
            <v>19</v>
          </cell>
          <cell r="K434">
            <v>35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100</v>
          </cell>
          <cell r="T434">
            <v>0</v>
          </cell>
        </row>
        <row r="435">
          <cell r="C435" t="str">
            <v>Camas city, Washington</v>
          </cell>
          <cell r="D435">
            <v>109</v>
          </cell>
          <cell r="E435">
            <v>109</v>
          </cell>
          <cell r="F435">
            <v>86</v>
          </cell>
          <cell r="G435">
            <v>23</v>
          </cell>
          <cell r="H435">
            <v>0</v>
          </cell>
          <cell r="I435">
            <v>0</v>
          </cell>
          <cell r="J435">
            <v>0</v>
          </cell>
          <cell r="K435">
            <v>23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109</v>
          </cell>
          <cell r="T435">
            <v>0</v>
          </cell>
        </row>
        <row r="436">
          <cell r="C436" t="str">
            <v>Carbonado town, Washington</v>
          </cell>
          <cell r="D436">
            <v>3</v>
          </cell>
          <cell r="E436">
            <v>3</v>
          </cell>
          <cell r="F436">
            <v>3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3</v>
          </cell>
          <cell r="T436">
            <v>0</v>
          </cell>
        </row>
        <row r="437">
          <cell r="C437" t="str">
            <v>Carlsborg CDP, Washington</v>
          </cell>
          <cell r="D437">
            <v>8</v>
          </cell>
          <cell r="E437">
            <v>8</v>
          </cell>
          <cell r="F437">
            <v>8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8</v>
          </cell>
          <cell r="T437">
            <v>0</v>
          </cell>
        </row>
        <row r="438">
          <cell r="C438" t="str">
            <v>Carnation city, Washington</v>
          </cell>
          <cell r="D438">
            <v>10</v>
          </cell>
          <cell r="E438">
            <v>10</v>
          </cell>
          <cell r="F438">
            <v>2</v>
          </cell>
          <cell r="G438">
            <v>8</v>
          </cell>
          <cell r="H438">
            <v>0</v>
          </cell>
          <cell r="I438">
            <v>1</v>
          </cell>
          <cell r="J438">
            <v>2</v>
          </cell>
          <cell r="K438">
            <v>5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10</v>
          </cell>
          <cell r="T438">
            <v>0</v>
          </cell>
        </row>
        <row r="439">
          <cell r="C439" t="str">
            <v>Carson River Valley CDP, Washington</v>
          </cell>
          <cell r="D439">
            <v>94</v>
          </cell>
          <cell r="E439">
            <v>94</v>
          </cell>
          <cell r="F439">
            <v>57</v>
          </cell>
          <cell r="G439">
            <v>37</v>
          </cell>
          <cell r="H439">
            <v>0</v>
          </cell>
          <cell r="I439">
            <v>12</v>
          </cell>
          <cell r="J439">
            <v>0</v>
          </cell>
          <cell r="K439">
            <v>25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94</v>
          </cell>
          <cell r="T439">
            <v>0</v>
          </cell>
        </row>
        <row r="440">
          <cell r="C440" t="str">
            <v>Cascade-Fairwood CDP, Washington</v>
          </cell>
          <cell r="D440">
            <v>173</v>
          </cell>
          <cell r="E440">
            <v>162</v>
          </cell>
          <cell r="F440">
            <v>104</v>
          </cell>
          <cell r="G440">
            <v>58</v>
          </cell>
          <cell r="H440">
            <v>6</v>
          </cell>
          <cell r="I440">
            <v>9</v>
          </cell>
          <cell r="J440">
            <v>8</v>
          </cell>
          <cell r="K440">
            <v>35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11</v>
          </cell>
          <cell r="Q440">
            <v>11</v>
          </cell>
          <cell r="R440">
            <v>0</v>
          </cell>
          <cell r="S440">
            <v>162</v>
          </cell>
          <cell r="T440">
            <v>11</v>
          </cell>
        </row>
        <row r="441">
          <cell r="C441" t="str">
            <v>Cascade Valley CDP, Washington</v>
          </cell>
          <cell r="D441">
            <v>9</v>
          </cell>
          <cell r="E441">
            <v>9</v>
          </cell>
          <cell r="F441">
            <v>9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9</v>
          </cell>
          <cell r="T441">
            <v>0</v>
          </cell>
        </row>
        <row r="442">
          <cell r="C442" t="str">
            <v>Cashmere city, Washington</v>
          </cell>
          <cell r="D442">
            <v>25</v>
          </cell>
          <cell r="E442">
            <v>25</v>
          </cell>
          <cell r="F442">
            <v>22</v>
          </cell>
          <cell r="G442">
            <v>3</v>
          </cell>
          <cell r="H442">
            <v>0</v>
          </cell>
          <cell r="I442">
            <v>0</v>
          </cell>
          <cell r="J442">
            <v>0</v>
          </cell>
          <cell r="K442">
            <v>3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25</v>
          </cell>
          <cell r="T442">
            <v>0</v>
          </cell>
        </row>
        <row r="443">
          <cell r="C443" t="str">
            <v>Castle Rock city, Washington</v>
          </cell>
          <cell r="D443">
            <v>98</v>
          </cell>
          <cell r="E443">
            <v>98</v>
          </cell>
          <cell r="F443">
            <v>68</v>
          </cell>
          <cell r="G443">
            <v>30</v>
          </cell>
          <cell r="H443">
            <v>7</v>
          </cell>
          <cell r="I443">
            <v>0</v>
          </cell>
          <cell r="J443">
            <v>0</v>
          </cell>
          <cell r="K443">
            <v>23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98</v>
          </cell>
          <cell r="T443">
            <v>0</v>
          </cell>
        </row>
        <row r="444">
          <cell r="C444" t="str">
            <v>Cathan CDP, Washington</v>
          </cell>
          <cell r="D444">
            <v>7</v>
          </cell>
          <cell r="E444">
            <v>7</v>
          </cell>
          <cell r="F444">
            <v>7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7</v>
          </cell>
          <cell r="T444">
            <v>0</v>
          </cell>
        </row>
        <row r="445">
          <cell r="C445" t="str">
            <v>Cathcart CDP, Washington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C446" t="str">
            <v>Cathlamet town, Washington</v>
          </cell>
          <cell r="D446">
            <v>15</v>
          </cell>
          <cell r="E446">
            <v>15</v>
          </cell>
          <cell r="F446">
            <v>8</v>
          </cell>
          <cell r="G446">
            <v>7</v>
          </cell>
          <cell r="H446">
            <v>0</v>
          </cell>
          <cell r="I446">
            <v>0</v>
          </cell>
          <cell r="J446">
            <v>0</v>
          </cell>
          <cell r="K446">
            <v>7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15</v>
          </cell>
          <cell r="T446">
            <v>0</v>
          </cell>
        </row>
        <row r="447">
          <cell r="C447" t="str">
            <v>Centerville CDP, Washington</v>
          </cell>
          <cell r="D447">
            <v>3</v>
          </cell>
          <cell r="E447">
            <v>3</v>
          </cell>
          <cell r="F447">
            <v>3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3</v>
          </cell>
          <cell r="T447">
            <v>0</v>
          </cell>
        </row>
        <row r="448">
          <cell r="C448" t="str">
            <v>Centralia city, Washington</v>
          </cell>
          <cell r="D448">
            <v>183</v>
          </cell>
          <cell r="E448">
            <v>183</v>
          </cell>
          <cell r="F448">
            <v>100</v>
          </cell>
          <cell r="G448">
            <v>83</v>
          </cell>
          <cell r="H448">
            <v>0</v>
          </cell>
          <cell r="I448">
            <v>8</v>
          </cell>
          <cell r="J448">
            <v>17</v>
          </cell>
          <cell r="K448">
            <v>58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183</v>
          </cell>
          <cell r="T448">
            <v>0</v>
          </cell>
        </row>
        <row r="449">
          <cell r="C449" t="str">
            <v>Central Park CDP, Washington</v>
          </cell>
          <cell r="D449">
            <v>37</v>
          </cell>
          <cell r="E449">
            <v>37</v>
          </cell>
          <cell r="F449">
            <v>17</v>
          </cell>
          <cell r="G449">
            <v>20</v>
          </cell>
          <cell r="H449">
            <v>0</v>
          </cell>
          <cell r="I449">
            <v>0</v>
          </cell>
          <cell r="J449">
            <v>7</v>
          </cell>
          <cell r="K449">
            <v>13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37</v>
          </cell>
          <cell r="T449">
            <v>0</v>
          </cell>
        </row>
        <row r="450">
          <cell r="C450" t="str">
            <v>Chehalis city, Washington</v>
          </cell>
          <cell r="D450">
            <v>129</v>
          </cell>
          <cell r="E450">
            <v>123</v>
          </cell>
          <cell r="F450">
            <v>25</v>
          </cell>
          <cell r="G450">
            <v>98</v>
          </cell>
          <cell r="H450">
            <v>0</v>
          </cell>
          <cell r="I450">
            <v>10</v>
          </cell>
          <cell r="J450">
            <v>19</v>
          </cell>
          <cell r="K450">
            <v>69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6</v>
          </cell>
          <cell r="Q450">
            <v>6</v>
          </cell>
          <cell r="R450">
            <v>0</v>
          </cell>
          <cell r="S450">
            <v>123</v>
          </cell>
          <cell r="T450">
            <v>6</v>
          </cell>
        </row>
        <row r="451">
          <cell r="C451" t="str">
            <v>Chehalis Village CDP, Washington</v>
          </cell>
          <cell r="D451">
            <v>286</v>
          </cell>
          <cell r="E451">
            <v>284</v>
          </cell>
          <cell r="F451">
            <v>248</v>
          </cell>
          <cell r="G451">
            <v>36</v>
          </cell>
          <cell r="H451">
            <v>0</v>
          </cell>
          <cell r="I451">
            <v>0</v>
          </cell>
          <cell r="J451">
            <v>7</v>
          </cell>
          <cell r="K451">
            <v>29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2</v>
          </cell>
          <cell r="Q451">
            <v>0</v>
          </cell>
          <cell r="R451">
            <v>2</v>
          </cell>
          <cell r="S451">
            <v>284</v>
          </cell>
          <cell r="T451">
            <v>2</v>
          </cell>
        </row>
        <row r="452">
          <cell r="C452" t="str">
            <v>Chelan city, Washington</v>
          </cell>
          <cell r="D452">
            <v>65</v>
          </cell>
          <cell r="E452">
            <v>65</v>
          </cell>
          <cell r="F452">
            <v>43</v>
          </cell>
          <cell r="G452">
            <v>22</v>
          </cell>
          <cell r="H452">
            <v>0</v>
          </cell>
          <cell r="I452">
            <v>0</v>
          </cell>
          <cell r="J452">
            <v>11</v>
          </cell>
          <cell r="K452">
            <v>11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65</v>
          </cell>
          <cell r="T452">
            <v>0</v>
          </cell>
        </row>
        <row r="453">
          <cell r="C453" t="str">
            <v>Cheney city, Washington</v>
          </cell>
          <cell r="D453">
            <v>125</v>
          </cell>
          <cell r="E453">
            <v>118</v>
          </cell>
          <cell r="F453">
            <v>82</v>
          </cell>
          <cell r="G453">
            <v>36</v>
          </cell>
          <cell r="H453">
            <v>0</v>
          </cell>
          <cell r="I453">
            <v>0</v>
          </cell>
          <cell r="J453">
            <v>0</v>
          </cell>
          <cell r="K453">
            <v>36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7</v>
          </cell>
          <cell r="Q453">
            <v>7</v>
          </cell>
          <cell r="R453">
            <v>0</v>
          </cell>
          <cell r="S453">
            <v>118</v>
          </cell>
          <cell r="T453">
            <v>7</v>
          </cell>
        </row>
        <row r="454">
          <cell r="C454" t="str">
            <v>Cherry Grove CDP, Washington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C455" t="str">
            <v>Chewelah city, Washington</v>
          </cell>
          <cell r="D455">
            <v>28</v>
          </cell>
          <cell r="E455">
            <v>28</v>
          </cell>
          <cell r="F455">
            <v>18</v>
          </cell>
          <cell r="G455">
            <v>10</v>
          </cell>
          <cell r="H455">
            <v>0</v>
          </cell>
          <cell r="I455">
            <v>0</v>
          </cell>
          <cell r="J455">
            <v>0</v>
          </cell>
          <cell r="K455">
            <v>10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</v>
          </cell>
          <cell r="T455">
            <v>0</v>
          </cell>
        </row>
        <row r="456">
          <cell r="C456" t="str">
            <v>Chinook CDP, Washington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C457" t="str">
            <v>Clarkston city, Washington</v>
          </cell>
          <cell r="D457">
            <v>39</v>
          </cell>
          <cell r="E457">
            <v>39</v>
          </cell>
          <cell r="F457">
            <v>9</v>
          </cell>
          <cell r="G457">
            <v>30</v>
          </cell>
          <cell r="H457">
            <v>0</v>
          </cell>
          <cell r="I457">
            <v>5</v>
          </cell>
          <cell r="J457">
            <v>0</v>
          </cell>
          <cell r="K457">
            <v>25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39</v>
          </cell>
          <cell r="T457">
            <v>0</v>
          </cell>
        </row>
        <row r="458">
          <cell r="C458" t="str">
            <v>Clarkston Heights-Vineland CDP, Washington</v>
          </cell>
          <cell r="D458">
            <v>63</v>
          </cell>
          <cell r="E458">
            <v>63</v>
          </cell>
          <cell r="F458">
            <v>0</v>
          </cell>
          <cell r="G458">
            <v>63</v>
          </cell>
          <cell r="H458">
            <v>0</v>
          </cell>
          <cell r="I458">
            <v>10</v>
          </cell>
          <cell r="J458">
            <v>19</v>
          </cell>
          <cell r="K458">
            <v>34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63</v>
          </cell>
          <cell r="T458">
            <v>0</v>
          </cell>
        </row>
        <row r="459">
          <cell r="C459" t="str">
            <v>Clear Lake CDP, Washington</v>
          </cell>
          <cell r="D459">
            <v>11</v>
          </cell>
          <cell r="E459">
            <v>11</v>
          </cell>
          <cell r="F459">
            <v>5</v>
          </cell>
          <cell r="G459">
            <v>6</v>
          </cell>
          <cell r="H459">
            <v>0</v>
          </cell>
          <cell r="I459">
            <v>6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11</v>
          </cell>
          <cell r="T459">
            <v>0</v>
          </cell>
        </row>
        <row r="460">
          <cell r="C460" t="str">
            <v>Cle Elum city, Washington</v>
          </cell>
          <cell r="D460">
            <v>12</v>
          </cell>
          <cell r="E460">
            <v>7</v>
          </cell>
          <cell r="F460">
            <v>3</v>
          </cell>
          <cell r="G460">
            <v>4</v>
          </cell>
          <cell r="H460">
            <v>0</v>
          </cell>
          <cell r="I460">
            <v>0</v>
          </cell>
          <cell r="J460">
            <v>0</v>
          </cell>
          <cell r="K460">
            <v>4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5</v>
          </cell>
          <cell r="Q460">
            <v>0</v>
          </cell>
          <cell r="R460">
            <v>5</v>
          </cell>
          <cell r="S460">
            <v>7</v>
          </cell>
          <cell r="T460">
            <v>5</v>
          </cell>
        </row>
        <row r="461">
          <cell r="C461" t="str">
            <v>Clinton CDP, Washington</v>
          </cell>
          <cell r="D461">
            <v>9</v>
          </cell>
          <cell r="E461">
            <v>9</v>
          </cell>
          <cell r="F461">
            <v>9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9</v>
          </cell>
          <cell r="T461">
            <v>0</v>
          </cell>
        </row>
        <row r="462">
          <cell r="C462" t="str">
            <v>Clyde Hill city, Washington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C463" t="str">
            <v>Cohassett Beach CDP, Washington</v>
          </cell>
          <cell r="D463">
            <v>5</v>
          </cell>
          <cell r="E463">
            <v>5</v>
          </cell>
          <cell r="F463">
            <v>5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5</v>
          </cell>
          <cell r="T463">
            <v>0</v>
          </cell>
        </row>
        <row r="464">
          <cell r="C464" t="str">
            <v>Colfax city, Washington</v>
          </cell>
          <cell r="D464">
            <v>50</v>
          </cell>
          <cell r="E464">
            <v>50</v>
          </cell>
          <cell r="F464">
            <v>0</v>
          </cell>
          <cell r="G464">
            <v>50</v>
          </cell>
          <cell r="H464">
            <v>0</v>
          </cell>
          <cell r="I464">
            <v>5</v>
          </cell>
          <cell r="J464">
            <v>0</v>
          </cell>
          <cell r="K464">
            <v>45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50</v>
          </cell>
          <cell r="T464">
            <v>0</v>
          </cell>
        </row>
        <row r="465">
          <cell r="C465" t="str">
            <v>College Place city, Washington</v>
          </cell>
          <cell r="D465">
            <v>101</v>
          </cell>
          <cell r="E465">
            <v>101</v>
          </cell>
          <cell r="F465">
            <v>52</v>
          </cell>
          <cell r="G465">
            <v>29</v>
          </cell>
          <cell r="H465">
            <v>0</v>
          </cell>
          <cell r="I465">
            <v>0</v>
          </cell>
          <cell r="J465">
            <v>10</v>
          </cell>
          <cell r="K465">
            <v>19</v>
          </cell>
          <cell r="L465">
            <v>20</v>
          </cell>
          <cell r="M465">
            <v>0</v>
          </cell>
          <cell r="N465">
            <v>0</v>
          </cell>
          <cell r="O465">
            <v>20</v>
          </cell>
          <cell r="P465">
            <v>0</v>
          </cell>
          <cell r="Q465">
            <v>0</v>
          </cell>
          <cell r="R465">
            <v>0</v>
          </cell>
          <cell r="S465">
            <v>81</v>
          </cell>
          <cell r="T465">
            <v>20</v>
          </cell>
        </row>
        <row r="466">
          <cell r="C466" t="str">
            <v>Colton town, Washington</v>
          </cell>
          <cell r="D466">
            <v>4</v>
          </cell>
          <cell r="E466">
            <v>4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2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4</v>
          </cell>
          <cell r="T466">
            <v>0</v>
          </cell>
        </row>
        <row r="467">
          <cell r="C467" t="str">
            <v>Colville city, Washington</v>
          </cell>
          <cell r="D467">
            <v>104</v>
          </cell>
          <cell r="E467">
            <v>104</v>
          </cell>
          <cell r="F467">
            <v>86</v>
          </cell>
          <cell r="G467">
            <v>18</v>
          </cell>
          <cell r="H467">
            <v>0</v>
          </cell>
          <cell r="I467">
            <v>5</v>
          </cell>
          <cell r="J467">
            <v>0</v>
          </cell>
          <cell r="K467">
            <v>13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104</v>
          </cell>
          <cell r="T467">
            <v>0</v>
          </cell>
        </row>
        <row r="468">
          <cell r="C468" t="str">
            <v>Conconully town, Washington</v>
          </cell>
          <cell r="D468">
            <v>10</v>
          </cell>
          <cell r="E468">
            <v>10</v>
          </cell>
          <cell r="F468">
            <v>10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10</v>
          </cell>
          <cell r="T468">
            <v>0</v>
          </cell>
        </row>
        <row r="469">
          <cell r="C469" t="str">
            <v>Concrete town, Washington</v>
          </cell>
          <cell r="D469">
            <v>14</v>
          </cell>
          <cell r="E469">
            <v>14</v>
          </cell>
          <cell r="F469">
            <v>8</v>
          </cell>
          <cell r="G469">
            <v>6</v>
          </cell>
          <cell r="H469">
            <v>0</v>
          </cell>
          <cell r="I469">
            <v>0</v>
          </cell>
          <cell r="J469">
            <v>0</v>
          </cell>
          <cell r="K469">
            <v>6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14</v>
          </cell>
          <cell r="T469">
            <v>0</v>
          </cell>
        </row>
        <row r="470">
          <cell r="C470" t="str">
            <v>Connell city, Washington</v>
          </cell>
          <cell r="D470">
            <v>53</v>
          </cell>
          <cell r="E470">
            <v>47</v>
          </cell>
          <cell r="F470">
            <v>17</v>
          </cell>
          <cell r="G470">
            <v>30</v>
          </cell>
          <cell r="H470">
            <v>0</v>
          </cell>
          <cell r="I470">
            <v>2</v>
          </cell>
          <cell r="J470">
            <v>9</v>
          </cell>
          <cell r="K470">
            <v>19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6</v>
          </cell>
          <cell r="Q470">
            <v>6</v>
          </cell>
          <cell r="R470">
            <v>0</v>
          </cell>
          <cell r="S470">
            <v>47</v>
          </cell>
          <cell r="T470">
            <v>6</v>
          </cell>
        </row>
        <row r="471">
          <cell r="C471" t="str">
            <v>Conway CDP, Washington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C472" t="str">
            <v>Copalis Beach CDP, Washington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C473" t="str">
            <v>Cosmopolis city, Washington</v>
          </cell>
          <cell r="D473">
            <v>29</v>
          </cell>
          <cell r="E473">
            <v>29</v>
          </cell>
          <cell r="F473">
            <v>18</v>
          </cell>
          <cell r="G473">
            <v>11</v>
          </cell>
          <cell r="H473">
            <v>0</v>
          </cell>
          <cell r="I473">
            <v>3</v>
          </cell>
          <cell r="J473">
            <v>0</v>
          </cell>
          <cell r="K473">
            <v>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29</v>
          </cell>
          <cell r="T473">
            <v>0</v>
          </cell>
        </row>
        <row r="474">
          <cell r="C474" t="str">
            <v>Cottage Lake CDP, Washington</v>
          </cell>
          <cell r="D474">
            <v>85</v>
          </cell>
          <cell r="E474">
            <v>85</v>
          </cell>
          <cell r="F474">
            <v>36</v>
          </cell>
          <cell r="G474">
            <v>49</v>
          </cell>
          <cell r="H474">
            <v>0</v>
          </cell>
          <cell r="I474">
            <v>0</v>
          </cell>
          <cell r="J474">
            <v>24</v>
          </cell>
          <cell r="K474">
            <v>25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85</v>
          </cell>
          <cell r="T474">
            <v>0</v>
          </cell>
        </row>
        <row r="475">
          <cell r="C475" t="str">
            <v>Coulee City town, Washington</v>
          </cell>
          <cell r="D475">
            <v>2</v>
          </cell>
          <cell r="E475">
            <v>2</v>
          </cell>
          <cell r="F475">
            <v>0</v>
          </cell>
          <cell r="G475">
            <v>2</v>
          </cell>
          <cell r="H475">
            <v>0</v>
          </cell>
          <cell r="I475">
            <v>0</v>
          </cell>
          <cell r="J475">
            <v>2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</v>
          </cell>
          <cell r="T475">
            <v>0</v>
          </cell>
        </row>
        <row r="476">
          <cell r="C476" t="str">
            <v>Coulee Dam town, Washington</v>
          </cell>
          <cell r="D476">
            <v>295</v>
          </cell>
          <cell r="E476">
            <v>295</v>
          </cell>
          <cell r="F476">
            <v>249</v>
          </cell>
          <cell r="G476">
            <v>46</v>
          </cell>
          <cell r="H476">
            <v>0</v>
          </cell>
          <cell r="I476">
            <v>9</v>
          </cell>
          <cell r="J476">
            <v>0</v>
          </cell>
          <cell r="K476">
            <v>37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295</v>
          </cell>
          <cell r="T476">
            <v>0</v>
          </cell>
        </row>
        <row r="477">
          <cell r="C477" t="str">
            <v>Country Homes CDP, Washington</v>
          </cell>
          <cell r="D477">
            <v>33</v>
          </cell>
          <cell r="E477">
            <v>33</v>
          </cell>
          <cell r="F477">
            <v>8</v>
          </cell>
          <cell r="G477">
            <v>25</v>
          </cell>
          <cell r="H477">
            <v>0</v>
          </cell>
          <cell r="I477">
            <v>0</v>
          </cell>
          <cell r="J477">
            <v>0</v>
          </cell>
          <cell r="K477">
            <v>25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33</v>
          </cell>
          <cell r="T477">
            <v>0</v>
          </cell>
        </row>
        <row r="478">
          <cell r="C478" t="str">
            <v>Coupeville town, Washington</v>
          </cell>
          <cell r="D478">
            <v>8</v>
          </cell>
          <cell r="E478">
            <v>8</v>
          </cell>
          <cell r="F478">
            <v>6</v>
          </cell>
          <cell r="G478">
            <v>2</v>
          </cell>
          <cell r="H478">
            <v>0</v>
          </cell>
          <cell r="I478">
            <v>0</v>
          </cell>
          <cell r="J478">
            <v>2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8</v>
          </cell>
          <cell r="T478">
            <v>0</v>
          </cell>
        </row>
        <row r="479">
          <cell r="C479" t="str">
            <v>Covington city, Washington</v>
          </cell>
          <cell r="D479">
            <v>49</v>
          </cell>
          <cell r="E479">
            <v>41</v>
          </cell>
          <cell r="F479">
            <v>21</v>
          </cell>
          <cell r="G479">
            <v>20</v>
          </cell>
          <cell r="H479">
            <v>0</v>
          </cell>
          <cell r="I479">
            <v>7</v>
          </cell>
          <cell r="J479">
            <v>13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8</v>
          </cell>
          <cell r="Q479">
            <v>8</v>
          </cell>
          <cell r="R479">
            <v>0</v>
          </cell>
          <cell r="S479">
            <v>41</v>
          </cell>
          <cell r="T479">
            <v>8</v>
          </cell>
        </row>
        <row r="480">
          <cell r="C480" t="str">
            <v>Creston town, Washington</v>
          </cell>
          <cell r="D480">
            <v>15</v>
          </cell>
          <cell r="E480">
            <v>15</v>
          </cell>
          <cell r="F480">
            <v>10</v>
          </cell>
          <cell r="G480">
            <v>5</v>
          </cell>
          <cell r="H480">
            <v>0</v>
          </cell>
          <cell r="I480">
            <v>0</v>
          </cell>
          <cell r="J480">
            <v>2</v>
          </cell>
          <cell r="K480">
            <v>3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15</v>
          </cell>
          <cell r="T480">
            <v>0</v>
          </cell>
        </row>
        <row r="481">
          <cell r="C481" t="str">
            <v>Cusick town, Washington</v>
          </cell>
          <cell r="D481">
            <v>11</v>
          </cell>
          <cell r="E481">
            <v>11</v>
          </cell>
          <cell r="F481">
            <v>6</v>
          </cell>
          <cell r="G481">
            <v>5</v>
          </cell>
          <cell r="H481">
            <v>0</v>
          </cell>
          <cell r="I481">
            <v>2</v>
          </cell>
          <cell r="J481">
            <v>0</v>
          </cell>
          <cell r="K481">
            <v>3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11</v>
          </cell>
          <cell r="T481">
            <v>0</v>
          </cell>
        </row>
        <row r="482">
          <cell r="C482" t="str">
            <v>Custer CDP, Washington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C483" t="str">
            <v>Dallesport CDP, Washington</v>
          </cell>
          <cell r="D483">
            <v>21</v>
          </cell>
          <cell r="E483">
            <v>21</v>
          </cell>
          <cell r="F483">
            <v>15</v>
          </cell>
          <cell r="G483">
            <v>6</v>
          </cell>
          <cell r="H483">
            <v>0</v>
          </cell>
          <cell r="I483">
            <v>0</v>
          </cell>
          <cell r="J483">
            <v>0</v>
          </cell>
          <cell r="K483">
            <v>6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21</v>
          </cell>
          <cell r="T483">
            <v>0</v>
          </cell>
        </row>
        <row r="484">
          <cell r="C484" t="str">
            <v>Darrington town, Washington</v>
          </cell>
          <cell r="D484">
            <v>17</v>
          </cell>
          <cell r="E484">
            <v>17</v>
          </cell>
          <cell r="F484">
            <v>16</v>
          </cell>
          <cell r="G484">
            <v>1</v>
          </cell>
          <cell r="H484">
            <v>0</v>
          </cell>
          <cell r="I484">
            <v>0</v>
          </cell>
          <cell r="J484">
            <v>0</v>
          </cell>
          <cell r="K484">
            <v>1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17</v>
          </cell>
          <cell r="T484">
            <v>0</v>
          </cell>
        </row>
        <row r="485">
          <cell r="C485" t="str">
            <v>Davenport city, Washington</v>
          </cell>
          <cell r="D485">
            <v>17</v>
          </cell>
          <cell r="E485">
            <v>17</v>
          </cell>
          <cell r="F485">
            <v>4</v>
          </cell>
          <cell r="G485">
            <v>11</v>
          </cell>
          <cell r="H485">
            <v>0</v>
          </cell>
          <cell r="I485">
            <v>3</v>
          </cell>
          <cell r="J485">
            <v>0</v>
          </cell>
          <cell r="K485">
            <v>8</v>
          </cell>
          <cell r="L485">
            <v>2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0</v>
          </cell>
          <cell r="R485">
            <v>0</v>
          </cell>
          <cell r="S485">
            <v>15</v>
          </cell>
          <cell r="T485">
            <v>2</v>
          </cell>
        </row>
        <row r="486">
          <cell r="C486" t="str">
            <v>Dayton city, Washington</v>
          </cell>
          <cell r="D486">
            <v>23</v>
          </cell>
          <cell r="E486">
            <v>23</v>
          </cell>
          <cell r="F486">
            <v>12</v>
          </cell>
          <cell r="G486">
            <v>11</v>
          </cell>
          <cell r="H486">
            <v>0</v>
          </cell>
          <cell r="I486">
            <v>0</v>
          </cell>
          <cell r="J486">
            <v>4</v>
          </cell>
          <cell r="K486">
            <v>7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23</v>
          </cell>
          <cell r="T486">
            <v>0</v>
          </cell>
        </row>
        <row r="487">
          <cell r="C487" t="str">
            <v>Deer Park city, Washington</v>
          </cell>
          <cell r="D487">
            <v>45</v>
          </cell>
          <cell r="E487">
            <v>45</v>
          </cell>
          <cell r="F487">
            <v>31</v>
          </cell>
          <cell r="G487">
            <v>14</v>
          </cell>
          <cell r="H487">
            <v>0</v>
          </cell>
          <cell r="I487">
            <v>0</v>
          </cell>
          <cell r="J487">
            <v>0</v>
          </cell>
          <cell r="K487">
            <v>14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45</v>
          </cell>
          <cell r="T487">
            <v>0</v>
          </cell>
        </row>
        <row r="488">
          <cell r="C488" t="str">
            <v>Deming CDP, Washington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</row>
        <row r="489">
          <cell r="C489" t="str">
            <v>Desert Aire CDP, Washington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</row>
        <row r="490">
          <cell r="C490" t="str">
            <v>Des Moines city, Washington</v>
          </cell>
          <cell r="D490">
            <v>217</v>
          </cell>
          <cell r="E490">
            <v>201</v>
          </cell>
          <cell r="F490">
            <v>102</v>
          </cell>
          <cell r="G490">
            <v>86</v>
          </cell>
          <cell r="H490">
            <v>0</v>
          </cell>
          <cell r="I490">
            <v>21</v>
          </cell>
          <cell r="J490">
            <v>0</v>
          </cell>
          <cell r="K490">
            <v>65</v>
          </cell>
          <cell r="L490">
            <v>13</v>
          </cell>
          <cell r="M490">
            <v>0</v>
          </cell>
          <cell r="N490">
            <v>0</v>
          </cell>
          <cell r="O490">
            <v>13</v>
          </cell>
          <cell r="P490">
            <v>16</v>
          </cell>
          <cell r="Q490">
            <v>0</v>
          </cell>
          <cell r="R490">
            <v>16</v>
          </cell>
          <cell r="S490">
            <v>188</v>
          </cell>
          <cell r="T490">
            <v>29</v>
          </cell>
        </row>
        <row r="491">
          <cell r="C491" t="str">
            <v>Dishman CDP, Washington</v>
          </cell>
          <cell r="D491">
            <v>230</v>
          </cell>
          <cell r="E491">
            <v>230</v>
          </cell>
          <cell r="F491">
            <v>141</v>
          </cell>
          <cell r="G491">
            <v>89</v>
          </cell>
          <cell r="H491">
            <v>6</v>
          </cell>
          <cell r="I491">
            <v>49</v>
          </cell>
          <cell r="J491">
            <v>0</v>
          </cell>
          <cell r="K491">
            <v>34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230</v>
          </cell>
          <cell r="T491">
            <v>0</v>
          </cell>
        </row>
        <row r="492">
          <cell r="C492" t="str">
            <v>Dixie CDP, Washington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</row>
        <row r="493">
          <cell r="C493" t="str">
            <v>Dollar Corner CDP, Washington</v>
          </cell>
          <cell r="D493">
            <v>7</v>
          </cell>
          <cell r="E493">
            <v>7</v>
          </cell>
          <cell r="F493">
            <v>0</v>
          </cell>
          <cell r="G493">
            <v>7</v>
          </cell>
          <cell r="H493">
            <v>0</v>
          </cell>
          <cell r="I493">
            <v>0</v>
          </cell>
          <cell r="J493">
            <v>7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7</v>
          </cell>
          <cell r="T493">
            <v>0</v>
          </cell>
        </row>
        <row r="494">
          <cell r="C494" t="str">
            <v>DuPont city, Washington</v>
          </cell>
          <cell r="D494">
            <v>2</v>
          </cell>
          <cell r="E494">
            <v>2</v>
          </cell>
          <cell r="F494">
            <v>0</v>
          </cell>
          <cell r="G494">
            <v>2</v>
          </cell>
          <cell r="H494">
            <v>0</v>
          </cell>
          <cell r="I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</v>
          </cell>
          <cell r="T494">
            <v>0</v>
          </cell>
        </row>
        <row r="495">
          <cell r="C495" t="str">
            <v>Duvall city, Washington</v>
          </cell>
          <cell r="D495">
            <v>19</v>
          </cell>
          <cell r="E495">
            <v>19</v>
          </cell>
          <cell r="F495">
            <v>8</v>
          </cell>
          <cell r="G495">
            <v>11</v>
          </cell>
          <cell r="H495">
            <v>11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19</v>
          </cell>
          <cell r="T495">
            <v>0</v>
          </cell>
        </row>
        <row r="496">
          <cell r="C496" t="str">
            <v>East Cathlamet CDP, Washington</v>
          </cell>
          <cell r="D496">
            <v>6</v>
          </cell>
          <cell r="E496">
            <v>6</v>
          </cell>
          <cell r="F496">
            <v>0</v>
          </cell>
          <cell r="G496">
            <v>6</v>
          </cell>
          <cell r="H496">
            <v>0</v>
          </cell>
          <cell r="I496">
            <v>0</v>
          </cell>
          <cell r="J496">
            <v>0</v>
          </cell>
          <cell r="K496">
            <v>6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6</v>
          </cell>
          <cell r="T496">
            <v>0</v>
          </cell>
        </row>
        <row r="497">
          <cell r="C497" t="str">
            <v>Eastgate CDP, Washington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</row>
        <row r="498">
          <cell r="C498" t="str">
            <v>East Hill-Meridian CDP, Washington</v>
          </cell>
          <cell r="D498">
            <v>71</v>
          </cell>
          <cell r="E498">
            <v>71</v>
          </cell>
          <cell r="F498">
            <v>40</v>
          </cell>
          <cell r="G498">
            <v>31</v>
          </cell>
          <cell r="H498">
            <v>0</v>
          </cell>
          <cell r="I498">
            <v>21</v>
          </cell>
          <cell r="J498">
            <v>10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71</v>
          </cell>
          <cell r="T498">
            <v>0</v>
          </cell>
        </row>
        <row r="499">
          <cell r="C499" t="str">
            <v>Easton CDP, Washington</v>
          </cell>
          <cell r="D499">
            <v>8</v>
          </cell>
          <cell r="E499">
            <v>8</v>
          </cell>
          <cell r="F499">
            <v>0</v>
          </cell>
          <cell r="G499">
            <v>8</v>
          </cell>
          <cell r="H499">
            <v>0</v>
          </cell>
          <cell r="I499">
            <v>0</v>
          </cell>
          <cell r="J499">
            <v>0</v>
          </cell>
          <cell r="K499">
            <v>8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8</v>
          </cell>
          <cell r="T499">
            <v>0</v>
          </cell>
        </row>
        <row r="500">
          <cell r="C500" t="str">
            <v>East Port Orchard CDP, Washington</v>
          </cell>
          <cell r="D500">
            <v>35</v>
          </cell>
          <cell r="E500">
            <v>35</v>
          </cell>
          <cell r="F500">
            <v>35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35</v>
          </cell>
          <cell r="T500">
            <v>0</v>
          </cell>
        </row>
        <row r="501">
          <cell r="C501" t="str">
            <v>East Renton Highlands CDP, Washington</v>
          </cell>
          <cell r="D501">
            <v>175</v>
          </cell>
          <cell r="E501">
            <v>175</v>
          </cell>
          <cell r="F501">
            <v>93</v>
          </cell>
          <cell r="G501">
            <v>82</v>
          </cell>
          <cell r="H501">
            <v>0</v>
          </cell>
          <cell r="I501">
            <v>7</v>
          </cell>
          <cell r="J501">
            <v>20</v>
          </cell>
          <cell r="K501">
            <v>55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175</v>
          </cell>
          <cell r="T501">
            <v>0</v>
          </cell>
        </row>
        <row r="502">
          <cell r="C502" t="str">
            <v>East Wenatchee city, Washington</v>
          </cell>
          <cell r="D502">
            <v>14</v>
          </cell>
          <cell r="E502">
            <v>14</v>
          </cell>
          <cell r="F502">
            <v>6</v>
          </cell>
          <cell r="G502">
            <v>8</v>
          </cell>
          <cell r="H502">
            <v>0</v>
          </cell>
          <cell r="I502">
            <v>0</v>
          </cell>
          <cell r="J502">
            <v>0</v>
          </cell>
          <cell r="K502">
            <v>8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14</v>
          </cell>
          <cell r="T502">
            <v>0</v>
          </cell>
        </row>
        <row r="503">
          <cell r="C503" t="str">
            <v>East Wenatchee Bench CDP, Washington</v>
          </cell>
          <cell r="D503">
            <v>109</v>
          </cell>
          <cell r="E503">
            <v>103</v>
          </cell>
          <cell r="F503">
            <v>48</v>
          </cell>
          <cell r="G503">
            <v>55</v>
          </cell>
          <cell r="H503">
            <v>0</v>
          </cell>
          <cell r="I503">
            <v>15</v>
          </cell>
          <cell r="J503">
            <v>0</v>
          </cell>
          <cell r="K503">
            <v>40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6</v>
          </cell>
          <cell r="Q503">
            <v>0</v>
          </cell>
          <cell r="R503">
            <v>6</v>
          </cell>
          <cell r="S503">
            <v>103</v>
          </cell>
          <cell r="T503">
            <v>6</v>
          </cell>
        </row>
        <row r="504">
          <cell r="C504" t="str">
            <v>Eatonville town, Washington</v>
          </cell>
          <cell r="D504">
            <v>23</v>
          </cell>
          <cell r="E504">
            <v>23</v>
          </cell>
          <cell r="F504">
            <v>18</v>
          </cell>
          <cell r="G504">
            <v>5</v>
          </cell>
          <cell r="H504">
            <v>0</v>
          </cell>
          <cell r="I504">
            <v>0</v>
          </cell>
          <cell r="J504">
            <v>0</v>
          </cell>
          <cell r="K504">
            <v>5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23</v>
          </cell>
          <cell r="T504">
            <v>0</v>
          </cell>
        </row>
        <row r="505">
          <cell r="C505" t="str">
            <v>Echo Lake CDP, Washington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</row>
        <row r="506">
          <cell r="C506" t="str">
            <v>Edgewood city, Washington</v>
          </cell>
          <cell r="D506">
            <v>73</v>
          </cell>
          <cell r="E506">
            <v>73</v>
          </cell>
          <cell r="F506">
            <v>26</v>
          </cell>
          <cell r="G506">
            <v>47</v>
          </cell>
          <cell r="H506">
            <v>6</v>
          </cell>
          <cell r="I506">
            <v>12</v>
          </cell>
          <cell r="J506">
            <v>26</v>
          </cell>
          <cell r="K506">
            <v>3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73</v>
          </cell>
          <cell r="T506">
            <v>0</v>
          </cell>
        </row>
        <row r="507">
          <cell r="C507" t="str">
            <v>Edison CDP, Washington</v>
          </cell>
          <cell r="D507">
            <v>7</v>
          </cell>
          <cell r="E507">
            <v>7</v>
          </cell>
          <cell r="F507">
            <v>7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7</v>
          </cell>
          <cell r="T507">
            <v>0</v>
          </cell>
        </row>
        <row r="508">
          <cell r="C508" t="str">
            <v>Edmonds city, Washington</v>
          </cell>
          <cell r="D508">
            <v>329</v>
          </cell>
          <cell r="E508">
            <v>309</v>
          </cell>
          <cell r="F508">
            <v>192</v>
          </cell>
          <cell r="G508">
            <v>117</v>
          </cell>
          <cell r="H508">
            <v>0</v>
          </cell>
          <cell r="I508">
            <v>25</v>
          </cell>
          <cell r="J508">
            <v>17</v>
          </cell>
          <cell r="K508">
            <v>75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20</v>
          </cell>
          <cell r="Q508">
            <v>20</v>
          </cell>
          <cell r="R508">
            <v>0</v>
          </cell>
          <cell r="S508">
            <v>309</v>
          </cell>
          <cell r="T508">
            <v>20</v>
          </cell>
        </row>
        <row r="509">
          <cell r="C509" t="str">
            <v>Elbe CDP, Washington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</row>
        <row r="510">
          <cell r="C510" t="str">
            <v>Electric City town, Washington</v>
          </cell>
          <cell r="D510">
            <v>57</v>
          </cell>
          <cell r="E510">
            <v>57</v>
          </cell>
          <cell r="F510">
            <v>47</v>
          </cell>
          <cell r="G510">
            <v>10</v>
          </cell>
          <cell r="H510">
            <v>2</v>
          </cell>
          <cell r="I510">
            <v>2</v>
          </cell>
          <cell r="J510">
            <v>2</v>
          </cell>
          <cell r="K510">
            <v>4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57</v>
          </cell>
          <cell r="T510">
            <v>0</v>
          </cell>
        </row>
        <row r="511">
          <cell r="C511" t="str">
            <v>Elk Plain CDP, Washington</v>
          </cell>
          <cell r="D511">
            <v>286</v>
          </cell>
          <cell r="E511">
            <v>286</v>
          </cell>
          <cell r="F511">
            <v>147</v>
          </cell>
          <cell r="G511">
            <v>139</v>
          </cell>
          <cell r="H511">
            <v>0</v>
          </cell>
          <cell r="I511">
            <v>5</v>
          </cell>
          <cell r="J511">
            <v>18</v>
          </cell>
          <cell r="K511">
            <v>116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286</v>
          </cell>
          <cell r="T511">
            <v>0</v>
          </cell>
        </row>
        <row r="512">
          <cell r="C512" t="str">
            <v>Ellensburg city, Washington</v>
          </cell>
          <cell r="D512">
            <v>148</v>
          </cell>
          <cell r="E512">
            <v>148</v>
          </cell>
          <cell r="F512">
            <v>84</v>
          </cell>
          <cell r="G512">
            <v>64</v>
          </cell>
          <cell r="H512">
            <v>0</v>
          </cell>
          <cell r="I512">
            <v>11</v>
          </cell>
          <cell r="J512">
            <v>9</v>
          </cell>
          <cell r="K512">
            <v>44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148</v>
          </cell>
          <cell r="T512">
            <v>0</v>
          </cell>
        </row>
        <row r="513">
          <cell r="C513" t="str">
            <v>Elma city, Washington</v>
          </cell>
          <cell r="D513">
            <v>55</v>
          </cell>
          <cell r="E513">
            <v>44</v>
          </cell>
          <cell r="F513">
            <v>0</v>
          </cell>
          <cell r="G513">
            <v>44</v>
          </cell>
          <cell r="H513">
            <v>0</v>
          </cell>
          <cell r="I513">
            <v>0</v>
          </cell>
          <cell r="J513">
            <v>0</v>
          </cell>
          <cell r="K513">
            <v>44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11</v>
          </cell>
          <cell r="Q513">
            <v>0</v>
          </cell>
          <cell r="R513">
            <v>11</v>
          </cell>
          <cell r="S513">
            <v>44</v>
          </cell>
          <cell r="T513">
            <v>11</v>
          </cell>
        </row>
        <row r="514">
          <cell r="C514" t="str">
            <v>Elmer City town, Washington</v>
          </cell>
          <cell r="D514">
            <v>114</v>
          </cell>
          <cell r="E514">
            <v>114</v>
          </cell>
          <cell r="F514">
            <v>93</v>
          </cell>
          <cell r="G514">
            <v>21</v>
          </cell>
          <cell r="H514">
            <v>0</v>
          </cell>
          <cell r="I514">
            <v>2</v>
          </cell>
          <cell r="J514">
            <v>7</v>
          </cell>
          <cell r="K514">
            <v>12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114</v>
          </cell>
          <cell r="T514">
            <v>0</v>
          </cell>
        </row>
        <row r="515">
          <cell r="C515" t="str">
            <v>Endicott town, Washington</v>
          </cell>
          <cell r="D515">
            <v>6</v>
          </cell>
          <cell r="E515">
            <v>6</v>
          </cell>
          <cell r="F515">
            <v>6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6</v>
          </cell>
          <cell r="T515">
            <v>0</v>
          </cell>
        </row>
        <row r="516">
          <cell r="C516" t="str">
            <v>Entiat city, Washington</v>
          </cell>
          <cell r="D516">
            <v>33</v>
          </cell>
          <cell r="E516">
            <v>33</v>
          </cell>
          <cell r="F516">
            <v>23</v>
          </cell>
          <cell r="G516">
            <v>10</v>
          </cell>
          <cell r="H516">
            <v>0</v>
          </cell>
          <cell r="I516">
            <v>2</v>
          </cell>
          <cell r="J516">
            <v>2</v>
          </cell>
          <cell r="K516">
            <v>6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33</v>
          </cell>
          <cell r="T516">
            <v>0</v>
          </cell>
        </row>
        <row r="517">
          <cell r="C517" t="str">
            <v>Enumclaw city, Washington</v>
          </cell>
          <cell r="D517">
            <v>80</v>
          </cell>
          <cell r="E517">
            <v>80</v>
          </cell>
          <cell r="F517">
            <v>55</v>
          </cell>
          <cell r="G517">
            <v>25</v>
          </cell>
          <cell r="H517">
            <v>0</v>
          </cell>
          <cell r="I517">
            <v>14</v>
          </cell>
          <cell r="J517">
            <v>0</v>
          </cell>
          <cell r="K517">
            <v>11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80</v>
          </cell>
          <cell r="T517">
            <v>0</v>
          </cell>
        </row>
        <row r="518">
          <cell r="C518" t="str">
            <v>Ephrata city, Washington</v>
          </cell>
          <cell r="D518">
            <v>25</v>
          </cell>
          <cell r="E518">
            <v>25</v>
          </cell>
          <cell r="F518">
            <v>25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25</v>
          </cell>
          <cell r="T518">
            <v>0</v>
          </cell>
        </row>
        <row r="519">
          <cell r="C519" t="str">
            <v>Erlands Point-Kitsap Lake CDP, Washington</v>
          </cell>
          <cell r="D519">
            <v>62</v>
          </cell>
          <cell r="E519">
            <v>62</v>
          </cell>
          <cell r="F519">
            <v>40</v>
          </cell>
          <cell r="G519">
            <v>22</v>
          </cell>
          <cell r="H519">
            <v>0</v>
          </cell>
          <cell r="I519">
            <v>11</v>
          </cell>
          <cell r="J519">
            <v>0</v>
          </cell>
          <cell r="K519">
            <v>11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62</v>
          </cell>
          <cell r="T519">
            <v>0</v>
          </cell>
        </row>
        <row r="520">
          <cell r="C520" t="str">
            <v>Eschbach CDP, Washington</v>
          </cell>
          <cell r="D520">
            <v>7</v>
          </cell>
          <cell r="E520">
            <v>7</v>
          </cell>
          <cell r="F520">
            <v>0</v>
          </cell>
          <cell r="G520">
            <v>7</v>
          </cell>
          <cell r="H520">
            <v>0</v>
          </cell>
          <cell r="I520">
            <v>0</v>
          </cell>
          <cell r="J520">
            <v>0</v>
          </cell>
          <cell r="K520">
            <v>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7</v>
          </cell>
          <cell r="T520">
            <v>0</v>
          </cell>
        </row>
        <row r="521">
          <cell r="C521" t="str">
            <v>Esperance CDP, Washington</v>
          </cell>
          <cell r="D521">
            <v>31</v>
          </cell>
          <cell r="E521">
            <v>31</v>
          </cell>
          <cell r="F521">
            <v>21</v>
          </cell>
          <cell r="G521">
            <v>10</v>
          </cell>
          <cell r="H521">
            <v>0</v>
          </cell>
          <cell r="I521">
            <v>0</v>
          </cell>
          <cell r="J521">
            <v>0</v>
          </cell>
          <cell r="K521">
            <v>10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31</v>
          </cell>
          <cell r="T521">
            <v>0</v>
          </cell>
        </row>
        <row r="522">
          <cell r="C522" t="str">
            <v>Everett city, Washington</v>
          </cell>
          <cell r="D522">
            <v>1691</v>
          </cell>
          <cell r="E522">
            <v>1641</v>
          </cell>
          <cell r="F522">
            <v>1009</v>
          </cell>
          <cell r="G522">
            <v>623</v>
          </cell>
          <cell r="H522">
            <v>16</v>
          </cell>
          <cell r="I522">
            <v>110</v>
          </cell>
          <cell r="J522">
            <v>80</v>
          </cell>
          <cell r="K522">
            <v>417</v>
          </cell>
          <cell r="L522">
            <v>9</v>
          </cell>
          <cell r="M522">
            <v>0</v>
          </cell>
          <cell r="N522">
            <v>0</v>
          </cell>
          <cell r="O522">
            <v>9</v>
          </cell>
          <cell r="P522">
            <v>50</v>
          </cell>
          <cell r="Q522">
            <v>10</v>
          </cell>
          <cell r="R522">
            <v>40</v>
          </cell>
          <cell r="S522">
            <v>1632</v>
          </cell>
          <cell r="T522">
            <v>59</v>
          </cell>
        </row>
        <row r="523">
          <cell r="C523" t="str">
            <v>Everson city, Washington</v>
          </cell>
          <cell r="D523">
            <v>47</v>
          </cell>
          <cell r="E523">
            <v>33</v>
          </cell>
          <cell r="F523">
            <v>24</v>
          </cell>
          <cell r="G523">
            <v>7</v>
          </cell>
          <cell r="H523">
            <v>0</v>
          </cell>
          <cell r="I523">
            <v>2</v>
          </cell>
          <cell r="J523">
            <v>0</v>
          </cell>
          <cell r="K523">
            <v>5</v>
          </cell>
          <cell r="L523">
            <v>2</v>
          </cell>
          <cell r="M523">
            <v>0</v>
          </cell>
          <cell r="N523">
            <v>0</v>
          </cell>
          <cell r="O523">
            <v>2</v>
          </cell>
          <cell r="P523">
            <v>14</v>
          </cell>
          <cell r="Q523">
            <v>0</v>
          </cell>
          <cell r="R523">
            <v>14</v>
          </cell>
          <cell r="S523">
            <v>31</v>
          </cell>
          <cell r="T523">
            <v>16</v>
          </cell>
        </row>
        <row r="524">
          <cell r="C524" t="str">
            <v>Fairchild AFB CDP, Washington</v>
          </cell>
          <cell r="D524">
            <v>68</v>
          </cell>
          <cell r="E524">
            <v>68</v>
          </cell>
          <cell r="F524">
            <v>29</v>
          </cell>
          <cell r="G524">
            <v>39</v>
          </cell>
          <cell r="H524">
            <v>0</v>
          </cell>
          <cell r="I524">
            <v>5</v>
          </cell>
          <cell r="J524">
            <v>13</v>
          </cell>
          <cell r="K524">
            <v>21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68</v>
          </cell>
          <cell r="T524">
            <v>0</v>
          </cell>
        </row>
        <row r="525">
          <cell r="C525" t="str">
            <v>Fairfield town, Washington</v>
          </cell>
          <cell r="D525">
            <v>5</v>
          </cell>
          <cell r="E525">
            <v>5</v>
          </cell>
          <cell r="F525">
            <v>2</v>
          </cell>
          <cell r="G525">
            <v>3</v>
          </cell>
          <cell r="H525">
            <v>0</v>
          </cell>
          <cell r="I525">
            <v>0</v>
          </cell>
          <cell r="J525">
            <v>1</v>
          </cell>
          <cell r="K525">
            <v>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5</v>
          </cell>
          <cell r="T525">
            <v>0</v>
          </cell>
        </row>
        <row r="526">
          <cell r="C526" t="str">
            <v>Fairwood CDP, Washington</v>
          </cell>
          <cell r="D526">
            <v>121</v>
          </cell>
          <cell r="E526">
            <v>121</v>
          </cell>
          <cell r="F526">
            <v>85</v>
          </cell>
          <cell r="G526">
            <v>36</v>
          </cell>
          <cell r="H526">
            <v>0</v>
          </cell>
          <cell r="I526">
            <v>17</v>
          </cell>
          <cell r="J526">
            <v>0</v>
          </cell>
          <cell r="K526">
            <v>19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121</v>
          </cell>
          <cell r="T526">
            <v>0</v>
          </cell>
        </row>
        <row r="527">
          <cell r="C527" t="str">
            <v>Fall City CDP, Washington</v>
          </cell>
          <cell r="D527">
            <v>19</v>
          </cell>
          <cell r="E527">
            <v>19</v>
          </cell>
          <cell r="F527">
            <v>19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19</v>
          </cell>
          <cell r="T527">
            <v>0</v>
          </cell>
        </row>
        <row r="528">
          <cell r="C528" t="str">
            <v>Farmington town, Washington</v>
          </cell>
          <cell r="D528">
            <v>1</v>
          </cell>
          <cell r="E528">
            <v>1</v>
          </cell>
          <cell r="F528">
            <v>0</v>
          </cell>
          <cell r="G528">
            <v>1</v>
          </cell>
          <cell r="H528">
            <v>0</v>
          </cell>
          <cell r="I528">
            <v>0</v>
          </cell>
          <cell r="J528">
            <v>1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1</v>
          </cell>
          <cell r="T528">
            <v>0</v>
          </cell>
        </row>
        <row r="529">
          <cell r="C529" t="str">
            <v>Federal Way city, Washington</v>
          </cell>
          <cell r="D529">
            <v>714</v>
          </cell>
          <cell r="E529">
            <v>695</v>
          </cell>
          <cell r="F529">
            <v>370</v>
          </cell>
          <cell r="G529">
            <v>303</v>
          </cell>
          <cell r="H529">
            <v>29</v>
          </cell>
          <cell r="I529">
            <v>50</v>
          </cell>
          <cell r="J529">
            <v>40</v>
          </cell>
          <cell r="K529">
            <v>184</v>
          </cell>
          <cell r="L529">
            <v>22</v>
          </cell>
          <cell r="M529">
            <v>0</v>
          </cell>
          <cell r="N529">
            <v>0</v>
          </cell>
          <cell r="O529">
            <v>22</v>
          </cell>
          <cell r="P529">
            <v>19</v>
          </cell>
          <cell r="Q529">
            <v>19</v>
          </cell>
          <cell r="R529">
            <v>0</v>
          </cell>
          <cell r="S529">
            <v>673</v>
          </cell>
          <cell r="T529">
            <v>41</v>
          </cell>
        </row>
        <row r="530">
          <cell r="C530" t="str">
            <v>Felida CDP, Washington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</row>
        <row r="531">
          <cell r="C531" t="str">
            <v>Ferndale city, Washington</v>
          </cell>
          <cell r="D531">
            <v>294</v>
          </cell>
          <cell r="E531">
            <v>294</v>
          </cell>
          <cell r="F531">
            <v>268</v>
          </cell>
          <cell r="G531">
            <v>26</v>
          </cell>
          <cell r="H531">
            <v>0</v>
          </cell>
          <cell r="I531">
            <v>5</v>
          </cell>
          <cell r="J531">
            <v>0</v>
          </cell>
          <cell r="K531">
            <v>21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294</v>
          </cell>
          <cell r="T531">
            <v>0</v>
          </cell>
        </row>
        <row r="532">
          <cell r="C532" t="str">
            <v>Fife city, Washington</v>
          </cell>
          <cell r="D532">
            <v>215</v>
          </cell>
          <cell r="E532">
            <v>213</v>
          </cell>
          <cell r="F532">
            <v>160</v>
          </cell>
          <cell r="G532">
            <v>53</v>
          </cell>
          <cell r="H532">
            <v>0</v>
          </cell>
          <cell r="I532">
            <v>6</v>
          </cell>
          <cell r="J532">
            <v>11</v>
          </cell>
          <cell r="K532">
            <v>36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2</v>
          </cell>
          <cell r="Q532">
            <v>2</v>
          </cell>
          <cell r="R532">
            <v>0</v>
          </cell>
          <cell r="S532">
            <v>213</v>
          </cell>
          <cell r="T532">
            <v>2</v>
          </cell>
        </row>
        <row r="533">
          <cell r="C533" t="str">
            <v>Finley CDP, Washington</v>
          </cell>
          <cell r="D533">
            <v>10</v>
          </cell>
          <cell r="E533">
            <v>10</v>
          </cell>
          <cell r="F533">
            <v>0</v>
          </cell>
          <cell r="G533">
            <v>10</v>
          </cell>
          <cell r="H533">
            <v>0</v>
          </cell>
          <cell r="I533">
            <v>0</v>
          </cell>
          <cell r="J533">
            <v>10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10</v>
          </cell>
          <cell r="T533">
            <v>0</v>
          </cell>
        </row>
        <row r="534">
          <cell r="C534" t="str">
            <v>Fircrest city, Washington</v>
          </cell>
          <cell r="D534">
            <v>22</v>
          </cell>
          <cell r="E534">
            <v>22</v>
          </cell>
          <cell r="F534">
            <v>0</v>
          </cell>
          <cell r="G534">
            <v>22</v>
          </cell>
          <cell r="H534">
            <v>0</v>
          </cell>
          <cell r="I534">
            <v>0</v>
          </cell>
          <cell r="J534">
            <v>14</v>
          </cell>
          <cell r="K534">
            <v>8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22</v>
          </cell>
          <cell r="T534">
            <v>0</v>
          </cell>
        </row>
        <row r="535">
          <cell r="C535" t="str">
            <v>Five Corners CDP, Washington</v>
          </cell>
          <cell r="D535">
            <v>112</v>
          </cell>
          <cell r="E535">
            <v>112</v>
          </cell>
          <cell r="F535">
            <v>34</v>
          </cell>
          <cell r="G535">
            <v>78</v>
          </cell>
          <cell r="H535">
            <v>0</v>
          </cell>
          <cell r="I535">
            <v>0</v>
          </cell>
          <cell r="J535">
            <v>22</v>
          </cell>
          <cell r="K535">
            <v>56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112</v>
          </cell>
          <cell r="T535">
            <v>0</v>
          </cell>
        </row>
        <row r="536">
          <cell r="C536" t="str">
            <v>Fords Prairie CDP, Washington</v>
          </cell>
          <cell r="D536">
            <v>16</v>
          </cell>
          <cell r="E536">
            <v>16</v>
          </cell>
          <cell r="F536">
            <v>0</v>
          </cell>
          <cell r="G536">
            <v>16</v>
          </cell>
          <cell r="H536">
            <v>0</v>
          </cell>
          <cell r="I536">
            <v>8</v>
          </cell>
          <cell r="J536">
            <v>8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16</v>
          </cell>
          <cell r="T536">
            <v>0</v>
          </cell>
        </row>
        <row r="537">
          <cell r="C537" t="str">
            <v>Forks city, Washington</v>
          </cell>
          <cell r="D537">
            <v>184</v>
          </cell>
          <cell r="E537">
            <v>178</v>
          </cell>
          <cell r="F537">
            <v>127</v>
          </cell>
          <cell r="G537">
            <v>51</v>
          </cell>
          <cell r="H537">
            <v>4</v>
          </cell>
          <cell r="I537">
            <v>5</v>
          </cell>
          <cell r="J537">
            <v>2</v>
          </cell>
          <cell r="K537">
            <v>40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6</v>
          </cell>
          <cell r="Q537">
            <v>0</v>
          </cell>
          <cell r="R537">
            <v>6</v>
          </cell>
          <cell r="S537">
            <v>178</v>
          </cell>
          <cell r="T537">
            <v>6</v>
          </cell>
        </row>
        <row r="538">
          <cell r="C538" t="str">
            <v>Fort Lewis CDP, Washington</v>
          </cell>
          <cell r="D538">
            <v>233</v>
          </cell>
          <cell r="E538">
            <v>211</v>
          </cell>
          <cell r="F538">
            <v>18</v>
          </cell>
          <cell r="G538">
            <v>169</v>
          </cell>
          <cell r="H538">
            <v>20</v>
          </cell>
          <cell r="I538">
            <v>7</v>
          </cell>
          <cell r="J538">
            <v>57</v>
          </cell>
          <cell r="K538">
            <v>85</v>
          </cell>
          <cell r="L538">
            <v>24</v>
          </cell>
          <cell r="M538">
            <v>0</v>
          </cell>
          <cell r="N538">
            <v>0</v>
          </cell>
          <cell r="O538">
            <v>24</v>
          </cell>
          <cell r="P538">
            <v>22</v>
          </cell>
          <cell r="Q538">
            <v>11</v>
          </cell>
          <cell r="R538">
            <v>11</v>
          </cell>
          <cell r="S538">
            <v>187</v>
          </cell>
          <cell r="T538">
            <v>46</v>
          </cell>
        </row>
        <row r="539">
          <cell r="C539" t="str">
            <v>Fox Island CDP, Washington</v>
          </cell>
          <cell r="D539">
            <v>26</v>
          </cell>
          <cell r="E539">
            <v>26</v>
          </cell>
          <cell r="F539">
            <v>16</v>
          </cell>
          <cell r="G539">
            <v>10</v>
          </cell>
          <cell r="H539">
            <v>0</v>
          </cell>
          <cell r="I539">
            <v>0</v>
          </cell>
          <cell r="J539">
            <v>5</v>
          </cell>
          <cell r="K539">
            <v>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26</v>
          </cell>
          <cell r="T539">
            <v>0</v>
          </cell>
        </row>
        <row r="540">
          <cell r="C540" t="str">
            <v>Frederickson CDP, Washington</v>
          </cell>
          <cell r="D540">
            <v>112</v>
          </cell>
          <cell r="E540">
            <v>112</v>
          </cell>
          <cell r="F540">
            <v>80</v>
          </cell>
          <cell r="G540">
            <v>32</v>
          </cell>
          <cell r="H540">
            <v>0</v>
          </cell>
          <cell r="I540">
            <v>0</v>
          </cell>
          <cell r="J540">
            <v>0</v>
          </cell>
          <cell r="K540">
            <v>32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112</v>
          </cell>
          <cell r="T540">
            <v>0</v>
          </cell>
        </row>
        <row r="541">
          <cell r="C541" t="str">
            <v>Freeland CDP, Washington</v>
          </cell>
          <cell r="D541">
            <v>13</v>
          </cell>
          <cell r="E541">
            <v>13</v>
          </cell>
          <cell r="F541">
            <v>0</v>
          </cell>
          <cell r="G541">
            <v>13</v>
          </cell>
          <cell r="H541">
            <v>0</v>
          </cell>
          <cell r="I541">
            <v>9</v>
          </cell>
          <cell r="J541">
            <v>0</v>
          </cell>
          <cell r="K541">
            <v>4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13</v>
          </cell>
          <cell r="T541">
            <v>0</v>
          </cell>
        </row>
        <row r="542">
          <cell r="C542" t="str">
            <v>Friday Harbor town, Washington</v>
          </cell>
          <cell r="D542">
            <v>43</v>
          </cell>
          <cell r="E542">
            <v>43</v>
          </cell>
          <cell r="F542">
            <v>24</v>
          </cell>
          <cell r="G542">
            <v>19</v>
          </cell>
          <cell r="H542">
            <v>0</v>
          </cell>
          <cell r="I542">
            <v>5</v>
          </cell>
          <cell r="J542">
            <v>0</v>
          </cell>
          <cell r="K542">
            <v>14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43</v>
          </cell>
          <cell r="T542">
            <v>0</v>
          </cell>
        </row>
        <row r="543">
          <cell r="C543" t="str">
            <v>Garfield town, Washington</v>
          </cell>
          <cell r="D543">
            <v>7</v>
          </cell>
          <cell r="E543">
            <v>7</v>
          </cell>
          <cell r="F543">
            <v>4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3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7</v>
          </cell>
          <cell r="T543">
            <v>0</v>
          </cell>
        </row>
        <row r="544">
          <cell r="C544" t="str">
            <v>Garrett CDP, Washington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</row>
        <row r="545">
          <cell r="C545" t="str">
            <v>Geneva CDP, Washington</v>
          </cell>
          <cell r="D545">
            <v>8</v>
          </cell>
          <cell r="E545">
            <v>8</v>
          </cell>
          <cell r="F545">
            <v>0</v>
          </cell>
          <cell r="G545">
            <v>8</v>
          </cell>
          <cell r="H545">
            <v>0</v>
          </cell>
          <cell r="I545">
            <v>0</v>
          </cell>
          <cell r="J545">
            <v>8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8</v>
          </cell>
          <cell r="T545">
            <v>0</v>
          </cell>
        </row>
        <row r="546">
          <cell r="C546" t="str">
            <v>George city, Washington</v>
          </cell>
          <cell r="D546">
            <v>6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</v>
          </cell>
          <cell r="Q546">
            <v>0</v>
          </cell>
          <cell r="R546">
            <v>6</v>
          </cell>
          <cell r="S546">
            <v>0</v>
          </cell>
          <cell r="T546">
            <v>6</v>
          </cell>
        </row>
        <row r="547">
          <cell r="C547" t="str">
            <v>Gig Harbor city, Washington</v>
          </cell>
          <cell r="D547">
            <v>15</v>
          </cell>
          <cell r="E547">
            <v>15</v>
          </cell>
          <cell r="F547">
            <v>5</v>
          </cell>
          <cell r="G547">
            <v>10</v>
          </cell>
          <cell r="H547">
            <v>0</v>
          </cell>
          <cell r="I547">
            <v>0</v>
          </cell>
          <cell r="J547">
            <v>0</v>
          </cell>
          <cell r="K547">
            <v>10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15</v>
          </cell>
          <cell r="T547">
            <v>0</v>
          </cell>
        </row>
        <row r="548">
          <cell r="C548" t="str">
            <v>Glacier CDP, Washington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</row>
        <row r="549">
          <cell r="C549" t="str">
            <v>Gleed CDP, Washington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</row>
        <row r="550">
          <cell r="C550" t="str">
            <v>Gold Bar city, Washington</v>
          </cell>
          <cell r="D550">
            <v>41</v>
          </cell>
          <cell r="E550">
            <v>41</v>
          </cell>
          <cell r="F550">
            <v>31</v>
          </cell>
          <cell r="G550">
            <v>10</v>
          </cell>
          <cell r="H550">
            <v>0</v>
          </cell>
          <cell r="I550">
            <v>0</v>
          </cell>
          <cell r="J550">
            <v>2</v>
          </cell>
          <cell r="K550">
            <v>8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41</v>
          </cell>
          <cell r="T550">
            <v>0</v>
          </cell>
        </row>
        <row r="551">
          <cell r="C551" t="str">
            <v>Goldendale city, Washington</v>
          </cell>
          <cell r="D551">
            <v>201</v>
          </cell>
          <cell r="E551">
            <v>201</v>
          </cell>
          <cell r="F551">
            <v>159</v>
          </cell>
          <cell r="G551">
            <v>42</v>
          </cell>
          <cell r="H551">
            <v>0</v>
          </cell>
          <cell r="I551">
            <v>0</v>
          </cell>
          <cell r="J551">
            <v>0</v>
          </cell>
          <cell r="K551">
            <v>42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201</v>
          </cell>
          <cell r="T551">
            <v>0</v>
          </cell>
        </row>
        <row r="552">
          <cell r="C552" t="str">
            <v>Graham CDP, Washington</v>
          </cell>
          <cell r="D552">
            <v>83</v>
          </cell>
          <cell r="E552">
            <v>83</v>
          </cell>
          <cell r="F552">
            <v>21</v>
          </cell>
          <cell r="G552">
            <v>62</v>
          </cell>
          <cell r="H552">
            <v>0</v>
          </cell>
          <cell r="I552">
            <v>24</v>
          </cell>
          <cell r="J552">
            <v>9</v>
          </cell>
          <cell r="K552">
            <v>29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83</v>
          </cell>
          <cell r="T552">
            <v>0</v>
          </cell>
        </row>
        <row r="553">
          <cell r="C553" t="str">
            <v>Grand Coulee city, Washington</v>
          </cell>
          <cell r="D553">
            <v>124</v>
          </cell>
          <cell r="E553">
            <v>124</v>
          </cell>
          <cell r="F553">
            <v>99</v>
          </cell>
          <cell r="G553">
            <v>25</v>
          </cell>
          <cell r="H553">
            <v>0</v>
          </cell>
          <cell r="I553">
            <v>8</v>
          </cell>
          <cell r="J553">
            <v>2</v>
          </cell>
          <cell r="K553">
            <v>15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124</v>
          </cell>
          <cell r="T553">
            <v>0</v>
          </cell>
        </row>
        <row r="554">
          <cell r="C554" t="str">
            <v>Grand Mound CDP, Washington</v>
          </cell>
          <cell r="D554">
            <v>32</v>
          </cell>
          <cell r="E554">
            <v>32</v>
          </cell>
          <cell r="F554">
            <v>21</v>
          </cell>
          <cell r="G554">
            <v>11</v>
          </cell>
          <cell r="H554">
            <v>0</v>
          </cell>
          <cell r="I554">
            <v>0</v>
          </cell>
          <cell r="J554">
            <v>11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32</v>
          </cell>
          <cell r="T554">
            <v>0</v>
          </cell>
        </row>
        <row r="555">
          <cell r="C555" t="str">
            <v>Grandview city, Washington</v>
          </cell>
          <cell r="D555">
            <v>51</v>
          </cell>
          <cell r="E555">
            <v>51</v>
          </cell>
          <cell r="F555">
            <v>30</v>
          </cell>
          <cell r="G555">
            <v>21</v>
          </cell>
          <cell r="H555">
            <v>0</v>
          </cell>
          <cell r="I555">
            <v>11</v>
          </cell>
          <cell r="J555">
            <v>0</v>
          </cell>
          <cell r="K555">
            <v>10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51</v>
          </cell>
          <cell r="T555">
            <v>0</v>
          </cell>
        </row>
        <row r="556">
          <cell r="C556" t="str">
            <v>Granger town, Washington</v>
          </cell>
          <cell r="D556">
            <v>21</v>
          </cell>
          <cell r="E556">
            <v>21</v>
          </cell>
          <cell r="F556">
            <v>12</v>
          </cell>
          <cell r="G556">
            <v>9</v>
          </cell>
          <cell r="H556">
            <v>0</v>
          </cell>
          <cell r="I556">
            <v>0</v>
          </cell>
          <cell r="J556">
            <v>0</v>
          </cell>
          <cell r="K556">
            <v>9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21</v>
          </cell>
          <cell r="T556">
            <v>0</v>
          </cell>
        </row>
        <row r="557">
          <cell r="C557" t="str">
            <v>Granite Falls city, Washington</v>
          </cell>
          <cell r="D557">
            <v>64</v>
          </cell>
          <cell r="E557">
            <v>64</v>
          </cell>
          <cell r="F557">
            <v>45</v>
          </cell>
          <cell r="G557">
            <v>19</v>
          </cell>
          <cell r="H557">
            <v>0</v>
          </cell>
          <cell r="I557">
            <v>0</v>
          </cell>
          <cell r="J557">
            <v>0</v>
          </cell>
          <cell r="K557">
            <v>19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64</v>
          </cell>
          <cell r="T557">
            <v>0</v>
          </cell>
        </row>
        <row r="558">
          <cell r="C558" t="str">
            <v>Grayland CDP, Washington</v>
          </cell>
          <cell r="D558">
            <v>8</v>
          </cell>
          <cell r="E558">
            <v>8</v>
          </cell>
          <cell r="F558">
            <v>8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8</v>
          </cell>
          <cell r="T558">
            <v>0</v>
          </cell>
        </row>
        <row r="559">
          <cell r="C559" t="str">
            <v>Green Acres CDP, Washington</v>
          </cell>
          <cell r="D559">
            <v>62</v>
          </cell>
          <cell r="E559">
            <v>62</v>
          </cell>
          <cell r="F559">
            <v>62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62</v>
          </cell>
          <cell r="T559">
            <v>0</v>
          </cell>
        </row>
        <row r="560">
          <cell r="C560" t="str">
            <v>Greenwater CDP, Washington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</row>
        <row r="561">
          <cell r="C561" t="str">
            <v>Hamilton town, Washington</v>
          </cell>
          <cell r="D561">
            <v>6</v>
          </cell>
          <cell r="E561">
            <v>6</v>
          </cell>
          <cell r="F561">
            <v>1</v>
          </cell>
          <cell r="G561">
            <v>5</v>
          </cell>
          <cell r="H561">
            <v>0</v>
          </cell>
          <cell r="I561">
            <v>0</v>
          </cell>
          <cell r="J561">
            <v>4</v>
          </cell>
          <cell r="K561">
            <v>1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6</v>
          </cell>
          <cell r="T561">
            <v>0</v>
          </cell>
        </row>
        <row r="562">
          <cell r="C562" t="str">
            <v>Harrah town, Washington</v>
          </cell>
          <cell r="D562">
            <v>47</v>
          </cell>
          <cell r="E562">
            <v>47</v>
          </cell>
          <cell r="F562">
            <v>25</v>
          </cell>
          <cell r="G562">
            <v>22</v>
          </cell>
          <cell r="H562">
            <v>3</v>
          </cell>
          <cell r="I562">
            <v>7</v>
          </cell>
          <cell r="J562">
            <v>0</v>
          </cell>
          <cell r="K562">
            <v>12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47</v>
          </cell>
          <cell r="T562">
            <v>0</v>
          </cell>
        </row>
        <row r="563">
          <cell r="C563" t="str">
            <v>Harrington city, Washington</v>
          </cell>
          <cell r="D563">
            <v>4</v>
          </cell>
          <cell r="E563">
            <v>4</v>
          </cell>
          <cell r="F563">
            <v>0</v>
          </cell>
          <cell r="G563">
            <v>4</v>
          </cell>
          <cell r="H563">
            <v>0</v>
          </cell>
          <cell r="I563">
            <v>2</v>
          </cell>
          <cell r="J563">
            <v>0</v>
          </cell>
          <cell r="K563">
            <v>2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4</v>
          </cell>
          <cell r="T563">
            <v>0</v>
          </cell>
        </row>
        <row r="564">
          <cell r="C564" t="str">
            <v>Hartline town, Washington</v>
          </cell>
          <cell r="D564">
            <v>1</v>
          </cell>
          <cell r="E564">
            <v>1</v>
          </cell>
          <cell r="F564">
            <v>0</v>
          </cell>
          <cell r="G564">
            <v>1</v>
          </cell>
          <cell r="H564">
            <v>0</v>
          </cell>
          <cell r="I564">
            <v>0</v>
          </cell>
          <cell r="J564">
            <v>0</v>
          </cell>
          <cell r="K564">
            <v>1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1</v>
          </cell>
          <cell r="T564">
            <v>0</v>
          </cell>
        </row>
        <row r="565">
          <cell r="C565" t="str">
            <v>Hatton town, Washington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</row>
        <row r="566">
          <cell r="C566" t="str">
            <v>Hazel Dell North CDP, Washington</v>
          </cell>
          <cell r="D566">
            <v>109</v>
          </cell>
          <cell r="E566">
            <v>109</v>
          </cell>
          <cell r="F566">
            <v>46</v>
          </cell>
          <cell r="G566">
            <v>60</v>
          </cell>
          <cell r="H566">
            <v>0</v>
          </cell>
          <cell r="I566">
            <v>0</v>
          </cell>
          <cell r="J566">
            <v>6</v>
          </cell>
          <cell r="K566">
            <v>54</v>
          </cell>
          <cell r="L566">
            <v>3</v>
          </cell>
          <cell r="M566">
            <v>0</v>
          </cell>
          <cell r="N566">
            <v>0</v>
          </cell>
          <cell r="O566">
            <v>3</v>
          </cell>
          <cell r="P566">
            <v>0</v>
          </cell>
          <cell r="Q566">
            <v>0</v>
          </cell>
          <cell r="R566">
            <v>0</v>
          </cell>
          <cell r="S566">
            <v>106</v>
          </cell>
          <cell r="T566">
            <v>3</v>
          </cell>
        </row>
        <row r="567">
          <cell r="C567" t="str">
            <v>Hazel Dell South CDP, Washington</v>
          </cell>
          <cell r="D567">
            <v>51</v>
          </cell>
          <cell r="E567">
            <v>51</v>
          </cell>
          <cell r="F567">
            <v>25</v>
          </cell>
          <cell r="G567">
            <v>26</v>
          </cell>
          <cell r="H567">
            <v>0</v>
          </cell>
          <cell r="I567">
            <v>0</v>
          </cell>
          <cell r="J567">
            <v>0</v>
          </cell>
          <cell r="K567">
            <v>26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51</v>
          </cell>
          <cell r="T567">
            <v>0</v>
          </cell>
        </row>
        <row r="568">
          <cell r="C568" t="str">
            <v>Highland CDP, Washington</v>
          </cell>
          <cell r="D568">
            <v>21</v>
          </cell>
          <cell r="E568">
            <v>21</v>
          </cell>
          <cell r="F568">
            <v>0</v>
          </cell>
          <cell r="G568">
            <v>21</v>
          </cell>
          <cell r="H568">
            <v>0</v>
          </cell>
          <cell r="I568">
            <v>0</v>
          </cell>
          <cell r="J568">
            <v>0</v>
          </cell>
          <cell r="K568">
            <v>21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21</v>
          </cell>
          <cell r="T568">
            <v>0</v>
          </cell>
        </row>
        <row r="569">
          <cell r="C569" t="str">
            <v>Hobart CDP, Washington</v>
          </cell>
          <cell r="D569">
            <v>29</v>
          </cell>
          <cell r="E569">
            <v>26</v>
          </cell>
          <cell r="F569">
            <v>21</v>
          </cell>
          <cell r="G569">
            <v>5</v>
          </cell>
          <cell r="H569">
            <v>0</v>
          </cell>
          <cell r="I569">
            <v>0</v>
          </cell>
          <cell r="J569">
            <v>0</v>
          </cell>
          <cell r="K569">
            <v>5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3</v>
          </cell>
          <cell r="Q569">
            <v>3</v>
          </cell>
          <cell r="R569">
            <v>0</v>
          </cell>
          <cell r="S569">
            <v>26</v>
          </cell>
          <cell r="T569">
            <v>3</v>
          </cell>
        </row>
        <row r="570">
          <cell r="C570" t="str">
            <v>Hockinson CDP, Washington</v>
          </cell>
          <cell r="D570">
            <v>4</v>
          </cell>
          <cell r="E570">
            <v>4</v>
          </cell>
          <cell r="F570">
            <v>0</v>
          </cell>
          <cell r="G570">
            <v>4</v>
          </cell>
          <cell r="H570">
            <v>0</v>
          </cell>
          <cell r="I570">
            <v>0</v>
          </cell>
          <cell r="J570">
            <v>0</v>
          </cell>
          <cell r="K570">
            <v>4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4</v>
          </cell>
          <cell r="T570">
            <v>0</v>
          </cell>
        </row>
        <row r="571">
          <cell r="C571" t="str">
            <v>Hoquiam city, Washington</v>
          </cell>
          <cell r="D571">
            <v>422</v>
          </cell>
          <cell r="E571">
            <v>422</v>
          </cell>
          <cell r="F571">
            <v>348</v>
          </cell>
          <cell r="G571">
            <v>68</v>
          </cell>
          <cell r="H571">
            <v>6</v>
          </cell>
          <cell r="I571">
            <v>17</v>
          </cell>
          <cell r="J571">
            <v>0</v>
          </cell>
          <cell r="K571">
            <v>45</v>
          </cell>
          <cell r="L571">
            <v>6</v>
          </cell>
          <cell r="M571">
            <v>0</v>
          </cell>
          <cell r="N571">
            <v>0</v>
          </cell>
          <cell r="O571">
            <v>6</v>
          </cell>
          <cell r="P571">
            <v>0</v>
          </cell>
          <cell r="Q571">
            <v>0</v>
          </cell>
          <cell r="R571">
            <v>0</v>
          </cell>
          <cell r="S571">
            <v>416</v>
          </cell>
          <cell r="T571">
            <v>6</v>
          </cell>
        </row>
        <row r="572">
          <cell r="C572" t="str">
            <v>Humptulips CDP, Washington</v>
          </cell>
          <cell r="D572">
            <v>16</v>
          </cell>
          <cell r="E572">
            <v>16</v>
          </cell>
          <cell r="F572">
            <v>11</v>
          </cell>
          <cell r="G572">
            <v>5</v>
          </cell>
          <cell r="H572">
            <v>0</v>
          </cell>
          <cell r="I572">
            <v>0</v>
          </cell>
          <cell r="J572">
            <v>0</v>
          </cell>
          <cell r="K572">
            <v>5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16</v>
          </cell>
          <cell r="T572">
            <v>0</v>
          </cell>
        </row>
        <row r="573">
          <cell r="C573" t="str">
            <v>Hunts Point town, Washington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</row>
        <row r="574">
          <cell r="C574" t="str">
            <v>Ilwaco city, Washington</v>
          </cell>
          <cell r="D574">
            <v>13</v>
          </cell>
          <cell r="E574">
            <v>13</v>
          </cell>
          <cell r="F574">
            <v>5</v>
          </cell>
          <cell r="G574">
            <v>8</v>
          </cell>
          <cell r="H574">
            <v>0</v>
          </cell>
          <cell r="I574">
            <v>0</v>
          </cell>
          <cell r="J574">
            <v>0</v>
          </cell>
          <cell r="K574">
            <v>8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13</v>
          </cell>
          <cell r="T574">
            <v>0</v>
          </cell>
        </row>
        <row r="575">
          <cell r="C575" t="str">
            <v>Inchelium CDP, Washington</v>
          </cell>
          <cell r="D575">
            <v>288</v>
          </cell>
          <cell r="E575">
            <v>286</v>
          </cell>
          <cell r="F575">
            <v>281</v>
          </cell>
          <cell r="G575">
            <v>5</v>
          </cell>
          <cell r="H575">
            <v>0</v>
          </cell>
          <cell r="I575">
            <v>0</v>
          </cell>
          <cell r="J575">
            <v>0</v>
          </cell>
          <cell r="K575">
            <v>5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2</v>
          </cell>
          <cell r="Q575">
            <v>2</v>
          </cell>
          <cell r="R575">
            <v>0</v>
          </cell>
          <cell r="S575">
            <v>286</v>
          </cell>
          <cell r="T575">
            <v>2</v>
          </cell>
        </row>
        <row r="576">
          <cell r="C576" t="str">
            <v>Index town, Washington</v>
          </cell>
          <cell r="D576">
            <v>4</v>
          </cell>
          <cell r="E576">
            <v>4</v>
          </cell>
          <cell r="F576">
            <v>2</v>
          </cell>
          <cell r="G576">
            <v>2</v>
          </cell>
          <cell r="H576">
            <v>0</v>
          </cell>
          <cell r="I576">
            <v>0</v>
          </cell>
          <cell r="J576">
            <v>0</v>
          </cell>
          <cell r="K576">
            <v>2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4</v>
          </cell>
          <cell r="T576">
            <v>0</v>
          </cell>
        </row>
        <row r="577">
          <cell r="C577" t="str">
            <v>Indianola CDP, Washington</v>
          </cell>
          <cell r="D577">
            <v>147</v>
          </cell>
          <cell r="E577">
            <v>147</v>
          </cell>
          <cell r="F577">
            <v>107</v>
          </cell>
          <cell r="G577">
            <v>40</v>
          </cell>
          <cell r="H577">
            <v>0</v>
          </cell>
          <cell r="I577">
            <v>6</v>
          </cell>
          <cell r="J577">
            <v>1</v>
          </cell>
          <cell r="K577">
            <v>33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147</v>
          </cell>
          <cell r="T577">
            <v>0</v>
          </cell>
        </row>
        <row r="578">
          <cell r="C578" t="str">
            <v>Inglewood-Finn Hill CDP, Washington</v>
          </cell>
          <cell r="D578">
            <v>214</v>
          </cell>
          <cell r="E578">
            <v>193</v>
          </cell>
          <cell r="F578">
            <v>151</v>
          </cell>
          <cell r="G578">
            <v>42</v>
          </cell>
          <cell r="H578">
            <v>0</v>
          </cell>
          <cell r="I578">
            <v>7</v>
          </cell>
          <cell r="J578">
            <v>0</v>
          </cell>
          <cell r="K578">
            <v>35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21</v>
          </cell>
          <cell r="Q578">
            <v>0</v>
          </cell>
          <cell r="R578">
            <v>21</v>
          </cell>
          <cell r="S578">
            <v>193</v>
          </cell>
          <cell r="T578">
            <v>21</v>
          </cell>
        </row>
        <row r="579">
          <cell r="C579" t="str">
            <v>Ione town, Washington</v>
          </cell>
          <cell r="D579">
            <v>7</v>
          </cell>
          <cell r="E579">
            <v>7</v>
          </cell>
          <cell r="F579">
            <v>4</v>
          </cell>
          <cell r="G579">
            <v>3</v>
          </cell>
          <cell r="H579">
            <v>0</v>
          </cell>
          <cell r="I579">
            <v>0</v>
          </cell>
          <cell r="J579">
            <v>0</v>
          </cell>
          <cell r="K579">
            <v>3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7</v>
          </cell>
          <cell r="T579">
            <v>0</v>
          </cell>
        </row>
        <row r="580">
          <cell r="C580" t="str">
            <v>Issaquah city, Washington</v>
          </cell>
          <cell r="D580">
            <v>109</v>
          </cell>
          <cell r="E580">
            <v>109</v>
          </cell>
          <cell r="F580">
            <v>46</v>
          </cell>
          <cell r="G580">
            <v>63</v>
          </cell>
          <cell r="H580">
            <v>0</v>
          </cell>
          <cell r="I580">
            <v>26</v>
          </cell>
          <cell r="J580">
            <v>0</v>
          </cell>
          <cell r="K580">
            <v>37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109</v>
          </cell>
          <cell r="T580">
            <v>0</v>
          </cell>
        </row>
        <row r="581">
          <cell r="C581" t="str">
            <v>John Sam Lake CDP, Washington</v>
          </cell>
          <cell r="D581">
            <v>54</v>
          </cell>
          <cell r="E581">
            <v>54</v>
          </cell>
          <cell r="F581">
            <v>41</v>
          </cell>
          <cell r="G581">
            <v>13</v>
          </cell>
          <cell r="H581">
            <v>0</v>
          </cell>
          <cell r="I581">
            <v>3</v>
          </cell>
          <cell r="J581">
            <v>0</v>
          </cell>
          <cell r="K581">
            <v>10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54</v>
          </cell>
          <cell r="T581">
            <v>0</v>
          </cell>
        </row>
        <row r="582">
          <cell r="C582" t="str">
            <v>Jordan Road-Canyon Creek CDP, Washington</v>
          </cell>
          <cell r="D582">
            <v>8</v>
          </cell>
          <cell r="E582">
            <v>8</v>
          </cell>
          <cell r="F582">
            <v>0</v>
          </cell>
          <cell r="G582">
            <v>8</v>
          </cell>
          <cell r="H582">
            <v>0</v>
          </cell>
          <cell r="I582">
            <v>0</v>
          </cell>
          <cell r="J582">
            <v>0</v>
          </cell>
          <cell r="K582">
            <v>8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8</v>
          </cell>
          <cell r="T582">
            <v>0</v>
          </cell>
        </row>
        <row r="583">
          <cell r="C583" t="str">
            <v>Junction City CDP, Washington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</row>
        <row r="584">
          <cell r="C584" t="str">
            <v>Kahlotus city, Washington</v>
          </cell>
          <cell r="D584">
            <v>5</v>
          </cell>
          <cell r="E584">
            <v>5</v>
          </cell>
          <cell r="F584">
            <v>2</v>
          </cell>
          <cell r="G584">
            <v>3</v>
          </cell>
          <cell r="H584">
            <v>0</v>
          </cell>
          <cell r="I584">
            <v>0</v>
          </cell>
          <cell r="J584">
            <v>0</v>
          </cell>
          <cell r="K584">
            <v>3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5</v>
          </cell>
          <cell r="T584">
            <v>0</v>
          </cell>
        </row>
        <row r="585">
          <cell r="C585" t="str">
            <v>Kalama city, Washington</v>
          </cell>
          <cell r="D585">
            <v>32</v>
          </cell>
          <cell r="E585">
            <v>32</v>
          </cell>
          <cell r="F585">
            <v>5</v>
          </cell>
          <cell r="G585">
            <v>27</v>
          </cell>
          <cell r="H585">
            <v>0</v>
          </cell>
          <cell r="I585">
            <v>3</v>
          </cell>
          <cell r="J585">
            <v>0</v>
          </cell>
          <cell r="K585">
            <v>24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32</v>
          </cell>
          <cell r="T585">
            <v>0</v>
          </cell>
        </row>
        <row r="586">
          <cell r="C586" t="str">
            <v>Kelso city, Washington</v>
          </cell>
          <cell r="D586">
            <v>186</v>
          </cell>
          <cell r="E586">
            <v>178</v>
          </cell>
          <cell r="F586">
            <v>86</v>
          </cell>
          <cell r="G586">
            <v>92</v>
          </cell>
          <cell r="H586">
            <v>0</v>
          </cell>
          <cell r="I586">
            <v>14</v>
          </cell>
          <cell r="J586">
            <v>41</v>
          </cell>
          <cell r="K586">
            <v>37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8</v>
          </cell>
          <cell r="Q586">
            <v>0</v>
          </cell>
          <cell r="R586">
            <v>8</v>
          </cell>
          <cell r="S586">
            <v>178</v>
          </cell>
          <cell r="T586">
            <v>8</v>
          </cell>
        </row>
        <row r="587">
          <cell r="C587" t="str">
            <v>Kendall CDP, Washington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</row>
        <row r="588">
          <cell r="C588" t="str">
            <v>Kenmore city, Washington</v>
          </cell>
          <cell r="D588">
            <v>234</v>
          </cell>
          <cell r="E588">
            <v>234</v>
          </cell>
          <cell r="F588">
            <v>90</v>
          </cell>
          <cell r="G588">
            <v>144</v>
          </cell>
          <cell r="H588">
            <v>0</v>
          </cell>
          <cell r="I588">
            <v>41</v>
          </cell>
          <cell r="J588">
            <v>0</v>
          </cell>
          <cell r="K588">
            <v>103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234</v>
          </cell>
          <cell r="T588">
            <v>0</v>
          </cell>
        </row>
        <row r="589">
          <cell r="C589" t="str">
            <v>Kennewick city, Washington</v>
          </cell>
          <cell r="D589">
            <v>550</v>
          </cell>
          <cell r="E589">
            <v>536</v>
          </cell>
          <cell r="F589">
            <v>318</v>
          </cell>
          <cell r="G589">
            <v>218</v>
          </cell>
          <cell r="H589">
            <v>0</v>
          </cell>
          <cell r="I589">
            <v>19</v>
          </cell>
          <cell r="J589">
            <v>50</v>
          </cell>
          <cell r="K589">
            <v>149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14</v>
          </cell>
          <cell r="Q589">
            <v>5</v>
          </cell>
          <cell r="R589">
            <v>9</v>
          </cell>
          <cell r="S589">
            <v>536</v>
          </cell>
          <cell r="T589">
            <v>14</v>
          </cell>
        </row>
        <row r="590">
          <cell r="C590" t="str">
            <v>Kent city, Washington</v>
          </cell>
          <cell r="D590">
            <v>783</v>
          </cell>
          <cell r="E590">
            <v>723</v>
          </cell>
          <cell r="F590">
            <v>394</v>
          </cell>
          <cell r="G590">
            <v>323</v>
          </cell>
          <cell r="H590">
            <v>10</v>
          </cell>
          <cell r="I590">
            <v>105</v>
          </cell>
          <cell r="J590">
            <v>16</v>
          </cell>
          <cell r="K590">
            <v>192</v>
          </cell>
          <cell r="L590">
            <v>6</v>
          </cell>
          <cell r="M590">
            <v>0</v>
          </cell>
          <cell r="N590">
            <v>0</v>
          </cell>
          <cell r="O590">
            <v>6</v>
          </cell>
          <cell r="P590">
            <v>60</v>
          </cell>
          <cell r="Q590">
            <v>9</v>
          </cell>
          <cell r="R590">
            <v>51</v>
          </cell>
          <cell r="S590">
            <v>717</v>
          </cell>
          <cell r="T590">
            <v>66</v>
          </cell>
        </row>
        <row r="591">
          <cell r="C591" t="str">
            <v>Kettle Falls city, Washington</v>
          </cell>
          <cell r="D591">
            <v>81</v>
          </cell>
          <cell r="E591">
            <v>81</v>
          </cell>
          <cell r="F591">
            <v>65</v>
          </cell>
          <cell r="G591">
            <v>16</v>
          </cell>
          <cell r="H591">
            <v>0</v>
          </cell>
          <cell r="I591">
            <v>1</v>
          </cell>
          <cell r="J591">
            <v>5</v>
          </cell>
          <cell r="K591">
            <v>10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81</v>
          </cell>
          <cell r="T591">
            <v>0</v>
          </cell>
        </row>
        <row r="592">
          <cell r="C592" t="str">
            <v>Kingsgate CDP, Washington</v>
          </cell>
          <cell r="D592">
            <v>17</v>
          </cell>
          <cell r="E592">
            <v>17</v>
          </cell>
          <cell r="F592">
            <v>12</v>
          </cell>
          <cell r="G592">
            <v>5</v>
          </cell>
          <cell r="H592">
            <v>0</v>
          </cell>
          <cell r="I592">
            <v>5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17</v>
          </cell>
          <cell r="T592">
            <v>0</v>
          </cell>
        </row>
        <row r="593">
          <cell r="C593" t="str">
            <v>Kingston CDP, Washington</v>
          </cell>
          <cell r="D593">
            <v>12</v>
          </cell>
          <cell r="E593">
            <v>12</v>
          </cell>
          <cell r="F593">
            <v>0</v>
          </cell>
          <cell r="G593">
            <v>12</v>
          </cell>
          <cell r="H593">
            <v>0</v>
          </cell>
          <cell r="I593">
            <v>0</v>
          </cell>
          <cell r="J593">
            <v>0</v>
          </cell>
          <cell r="K593">
            <v>12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12</v>
          </cell>
          <cell r="T593">
            <v>0</v>
          </cell>
        </row>
        <row r="594">
          <cell r="C594" t="str">
            <v>Kirkland city, Washington</v>
          </cell>
          <cell r="D594">
            <v>248</v>
          </cell>
          <cell r="E594">
            <v>239</v>
          </cell>
          <cell r="F594">
            <v>139</v>
          </cell>
          <cell r="G594">
            <v>100</v>
          </cell>
          <cell r="H594">
            <v>0</v>
          </cell>
          <cell r="I594">
            <v>0</v>
          </cell>
          <cell r="J594">
            <v>21</v>
          </cell>
          <cell r="K594">
            <v>79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9</v>
          </cell>
          <cell r="Q594">
            <v>0</v>
          </cell>
          <cell r="R594">
            <v>9</v>
          </cell>
          <cell r="S594">
            <v>239</v>
          </cell>
          <cell r="T594">
            <v>9</v>
          </cell>
        </row>
        <row r="595">
          <cell r="C595" t="str">
            <v>Kittitas city, Washington</v>
          </cell>
          <cell r="D595">
            <v>14</v>
          </cell>
          <cell r="E595">
            <v>14</v>
          </cell>
          <cell r="F595">
            <v>7</v>
          </cell>
          <cell r="G595">
            <v>7</v>
          </cell>
          <cell r="H595">
            <v>0</v>
          </cell>
          <cell r="I595">
            <v>2</v>
          </cell>
          <cell r="J595">
            <v>0</v>
          </cell>
          <cell r="K595">
            <v>5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14</v>
          </cell>
          <cell r="T595">
            <v>0</v>
          </cell>
        </row>
        <row r="596">
          <cell r="C596" t="str">
            <v>Klickitat CDP, Washington</v>
          </cell>
          <cell r="D596">
            <v>23</v>
          </cell>
          <cell r="E596">
            <v>23</v>
          </cell>
          <cell r="F596">
            <v>21</v>
          </cell>
          <cell r="G596">
            <v>2</v>
          </cell>
          <cell r="H596">
            <v>0</v>
          </cell>
          <cell r="I596">
            <v>0</v>
          </cell>
          <cell r="J596">
            <v>0</v>
          </cell>
          <cell r="K596">
            <v>2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23</v>
          </cell>
          <cell r="T596">
            <v>0</v>
          </cell>
        </row>
        <row r="597">
          <cell r="C597" t="str">
            <v>Krupp town, Washington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</row>
        <row r="598">
          <cell r="C598" t="str">
            <v>La Center city, Washington</v>
          </cell>
          <cell r="D598">
            <v>14</v>
          </cell>
          <cell r="E598">
            <v>14</v>
          </cell>
          <cell r="F598">
            <v>7</v>
          </cell>
          <cell r="G598">
            <v>7</v>
          </cell>
          <cell r="H598">
            <v>0</v>
          </cell>
          <cell r="I598">
            <v>2</v>
          </cell>
          <cell r="J598">
            <v>0</v>
          </cell>
          <cell r="K598">
            <v>5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14</v>
          </cell>
          <cell r="T598">
            <v>0</v>
          </cell>
        </row>
        <row r="599">
          <cell r="C599" t="str">
            <v>Lacey city, Washington</v>
          </cell>
          <cell r="D599">
            <v>510</v>
          </cell>
          <cell r="E599">
            <v>500</v>
          </cell>
          <cell r="F599">
            <v>274</v>
          </cell>
          <cell r="G599">
            <v>222</v>
          </cell>
          <cell r="H599">
            <v>8</v>
          </cell>
          <cell r="I599">
            <v>43</v>
          </cell>
          <cell r="J599">
            <v>0</v>
          </cell>
          <cell r="K599">
            <v>171</v>
          </cell>
          <cell r="L599">
            <v>4</v>
          </cell>
          <cell r="M599">
            <v>0</v>
          </cell>
          <cell r="N599">
            <v>0</v>
          </cell>
          <cell r="O599">
            <v>4</v>
          </cell>
          <cell r="P599">
            <v>10</v>
          </cell>
          <cell r="Q599">
            <v>0</v>
          </cell>
          <cell r="R599">
            <v>10</v>
          </cell>
          <cell r="S599">
            <v>496</v>
          </cell>
          <cell r="T599">
            <v>14</v>
          </cell>
        </row>
        <row r="600">
          <cell r="C600" t="str">
            <v>La Conner town, Washington</v>
          </cell>
          <cell r="D600">
            <v>15</v>
          </cell>
          <cell r="E600">
            <v>12</v>
          </cell>
          <cell r="F600">
            <v>6</v>
          </cell>
          <cell r="G600">
            <v>6</v>
          </cell>
          <cell r="H600">
            <v>0</v>
          </cell>
          <cell r="I600">
            <v>0</v>
          </cell>
          <cell r="J600">
            <v>4</v>
          </cell>
          <cell r="K600">
            <v>2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3</v>
          </cell>
          <cell r="Q600">
            <v>3</v>
          </cell>
          <cell r="R600">
            <v>0</v>
          </cell>
          <cell r="S600">
            <v>12</v>
          </cell>
          <cell r="T600">
            <v>3</v>
          </cell>
        </row>
        <row r="601">
          <cell r="C601" t="str">
            <v>La Crosse town, Washington</v>
          </cell>
          <cell r="D601">
            <v>14</v>
          </cell>
          <cell r="E601">
            <v>14</v>
          </cell>
          <cell r="F601">
            <v>14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14</v>
          </cell>
          <cell r="T601">
            <v>0</v>
          </cell>
        </row>
        <row r="602">
          <cell r="C602" t="str">
            <v>Lake Bosworth CDP, Washington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</row>
        <row r="603">
          <cell r="C603" t="str">
            <v>Lake Cavanaugh CDP, Washington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</row>
        <row r="604">
          <cell r="C604" t="str">
            <v>Lake Forest Park city, Washington</v>
          </cell>
          <cell r="D604">
            <v>55</v>
          </cell>
          <cell r="E604">
            <v>52</v>
          </cell>
          <cell r="F604">
            <v>16</v>
          </cell>
          <cell r="G604">
            <v>36</v>
          </cell>
          <cell r="H604">
            <v>0</v>
          </cell>
          <cell r="I604">
            <v>8</v>
          </cell>
          <cell r="J604">
            <v>0</v>
          </cell>
          <cell r="K604">
            <v>28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3</v>
          </cell>
          <cell r="Q604">
            <v>3</v>
          </cell>
          <cell r="R604">
            <v>0</v>
          </cell>
          <cell r="S604">
            <v>52</v>
          </cell>
          <cell r="T604">
            <v>3</v>
          </cell>
        </row>
        <row r="605">
          <cell r="C605" t="str">
            <v>Lake Goodwin CDP, Washington</v>
          </cell>
          <cell r="D605">
            <v>14</v>
          </cell>
          <cell r="E605">
            <v>14</v>
          </cell>
          <cell r="F605">
            <v>0</v>
          </cell>
          <cell r="G605">
            <v>14</v>
          </cell>
          <cell r="H605">
            <v>0</v>
          </cell>
          <cell r="I605">
            <v>0</v>
          </cell>
          <cell r="J605">
            <v>0</v>
          </cell>
          <cell r="K605">
            <v>14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14</v>
          </cell>
          <cell r="T605">
            <v>0</v>
          </cell>
        </row>
        <row r="606">
          <cell r="C606" t="str">
            <v>Lake Ketchum CDP, Washington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</row>
        <row r="607">
          <cell r="C607" t="str">
            <v>Lakeland North CDP, Washington</v>
          </cell>
          <cell r="D607">
            <v>136</v>
          </cell>
          <cell r="E607">
            <v>136</v>
          </cell>
          <cell r="F607">
            <v>32</v>
          </cell>
          <cell r="G607">
            <v>104</v>
          </cell>
          <cell r="H607">
            <v>0</v>
          </cell>
          <cell r="I607">
            <v>0</v>
          </cell>
          <cell r="J607">
            <v>7</v>
          </cell>
          <cell r="K607">
            <v>97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136</v>
          </cell>
          <cell r="T607">
            <v>0</v>
          </cell>
        </row>
        <row r="608">
          <cell r="C608" t="str">
            <v>Lakeland South CDP, Washington</v>
          </cell>
          <cell r="D608">
            <v>119</v>
          </cell>
          <cell r="E608">
            <v>76</v>
          </cell>
          <cell r="F608">
            <v>36</v>
          </cell>
          <cell r="G608">
            <v>40</v>
          </cell>
          <cell r="H608">
            <v>0</v>
          </cell>
          <cell r="I608">
            <v>4</v>
          </cell>
          <cell r="J608">
            <v>13</v>
          </cell>
          <cell r="K608">
            <v>23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43</v>
          </cell>
          <cell r="Q608">
            <v>28</v>
          </cell>
          <cell r="R608">
            <v>15</v>
          </cell>
          <cell r="S608">
            <v>76</v>
          </cell>
          <cell r="T608">
            <v>43</v>
          </cell>
        </row>
        <row r="609">
          <cell r="C609" t="str">
            <v>Lake McMurray CDP, Washington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</row>
        <row r="610">
          <cell r="C610" t="str">
            <v>Lake Marcel-Stillwater CDP, Washington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</row>
        <row r="611">
          <cell r="C611" t="str">
            <v>Lake Morton-Berrydale CDP, Washington</v>
          </cell>
          <cell r="D611">
            <v>59</v>
          </cell>
          <cell r="E611">
            <v>50</v>
          </cell>
          <cell r="F611">
            <v>0</v>
          </cell>
          <cell r="G611">
            <v>50</v>
          </cell>
          <cell r="H611">
            <v>0</v>
          </cell>
          <cell r="I611">
            <v>21</v>
          </cell>
          <cell r="J611">
            <v>0</v>
          </cell>
          <cell r="K611">
            <v>29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9</v>
          </cell>
          <cell r="Q611">
            <v>9</v>
          </cell>
          <cell r="R611">
            <v>0</v>
          </cell>
          <cell r="S611">
            <v>50</v>
          </cell>
          <cell r="T611">
            <v>9</v>
          </cell>
        </row>
        <row r="612">
          <cell r="C612" t="str">
            <v>Lake Roesiger CDP, Washington</v>
          </cell>
          <cell r="D612">
            <v>7</v>
          </cell>
          <cell r="E612">
            <v>7</v>
          </cell>
          <cell r="F612">
            <v>0</v>
          </cell>
          <cell r="G612">
            <v>7</v>
          </cell>
          <cell r="H612">
            <v>0</v>
          </cell>
          <cell r="I612">
            <v>0</v>
          </cell>
          <cell r="J612">
            <v>0</v>
          </cell>
          <cell r="K612">
            <v>7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7</v>
          </cell>
          <cell r="T612">
            <v>0</v>
          </cell>
        </row>
        <row r="613">
          <cell r="C613" t="str">
            <v>Lake Shore CDP, Washington</v>
          </cell>
          <cell r="D613">
            <v>186</v>
          </cell>
          <cell r="E613">
            <v>174</v>
          </cell>
          <cell r="F613">
            <v>47</v>
          </cell>
          <cell r="G613">
            <v>127</v>
          </cell>
          <cell r="H613">
            <v>0</v>
          </cell>
          <cell r="I613">
            <v>11</v>
          </cell>
          <cell r="J613">
            <v>0</v>
          </cell>
          <cell r="K613">
            <v>116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12</v>
          </cell>
          <cell r="Q613">
            <v>0</v>
          </cell>
          <cell r="R613">
            <v>12</v>
          </cell>
          <cell r="S613">
            <v>174</v>
          </cell>
          <cell r="T613">
            <v>12</v>
          </cell>
        </row>
        <row r="614">
          <cell r="C614" t="str">
            <v>Lake Stevens city, Washington</v>
          </cell>
          <cell r="D614">
            <v>108</v>
          </cell>
          <cell r="E614">
            <v>108</v>
          </cell>
          <cell r="F614">
            <v>81</v>
          </cell>
          <cell r="G614">
            <v>27</v>
          </cell>
          <cell r="H614">
            <v>0</v>
          </cell>
          <cell r="I614">
            <v>10</v>
          </cell>
          <cell r="J614">
            <v>0</v>
          </cell>
          <cell r="K614">
            <v>17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108</v>
          </cell>
          <cell r="T614">
            <v>0</v>
          </cell>
        </row>
        <row r="615">
          <cell r="C615" t="str">
            <v>Lakeview CDP, Washington</v>
          </cell>
          <cell r="D615">
            <v>17</v>
          </cell>
          <cell r="E615">
            <v>17</v>
          </cell>
          <cell r="F615">
            <v>17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17</v>
          </cell>
          <cell r="T615">
            <v>0</v>
          </cell>
        </row>
        <row r="616">
          <cell r="C616" t="str">
            <v>Lakewood city, Washington</v>
          </cell>
          <cell r="D616">
            <v>848</v>
          </cell>
          <cell r="E616">
            <v>843</v>
          </cell>
          <cell r="F616">
            <v>393</v>
          </cell>
          <cell r="G616">
            <v>444</v>
          </cell>
          <cell r="H616">
            <v>71</v>
          </cell>
          <cell r="I616">
            <v>78</v>
          </cell>
          <cell r="J616">
            <v>90</v>
          </cell>
          <cell r="K616">
            <v>205</v>
          </cell>
          <cell r="L616">
            <v>6</v>
          </cell>
          <cell r="M616">
            <v>0</v>
          </cell>
          <cell r="N616">
            <v>0</v>
          </cell>
          <cell r="O616">
            <v>6</v>
          </cell>
          <cell r="P616">
            <v>5</v>
          </cell>
          <cell r="Q616">
            <v>0</v>
          </cell>
          <cell r="R616">
            <v>5</v>
          </cell>
          <cell r="S616">
            <v>837</v>
          </cell>
          <cell r="T616">
            <v>11</v>
          </cell>
        </row>
        <row r="617">
          <cell r="C617" t="str">
            <v>Lamont town, Washington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</row>
        <row r="618">
          <cell r="C618" t="str">
            <v>Langley city, Washington</v>
          </cell>
          <cell r="D618">
            <v>2</v>
          </cell>
          <cell r="E618">
            <v>2</v>
          </cell>
          <cell r="F618">
            <v>0</v>
          </cell>
          <cell r="G618">
            <v>2</v>
          </cell>
          <cell r="H618">
            <v>0</v>
          </cell>
          <cell r="I618">
            <v>0</v>
          </cell>
          <cell r="J618">
            <v>2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</v>
          </cell>
          <cell r="T618">
            <v>0</v>
          </cell>
        </row>
        <row r="619">
          <cell r="C619" t="str">
            <v>Latah town, Washington</v>
          </cell>
          <cell r="D619">
            <v>2</v>
          </cell>
          <cell r="E619">
            <v>2</v>
          </cell>
          <cell r="F619">
            <v>0</v>
          </cell>
          <cell r="G619">
            <v>2</v>
          </cell>
          <cell r="H619">
            <v>0</v>
          </cell>
          <cell r="I619">
            <v>0</v>
          </cell>
          <cell r="J619">
            <v>0</v>
          </cell>
          <cell r="K619">
            <v>2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</v>
          </cell>
          <cell r="T619">
            <v>0</v>
          </cell>
        </row>
        <row r="620">
          <cell r="C620" t="str">
            <v>Lea Hill CDP, Washington</v>
          </cell>
          <cell r="D620">
            <v>59</v>
          </cell>
          <cell r="E620">
            <v>59</v>
          </cell>
          <cell r="F620">
            <v>32</v>
          </cell>
          <cell r="G620">
            <v>27</v>
          </cell>
          <cell r="H620">
            <v>0</v>
          </cell>
          <cell r="I620">
            <v>14</v>
          </cell>
          <cell r="J620">
            <v>0</v>
          </cell>
          <cell r="K620">
            <v>13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59</v>
          </cell>
          <cell r="T620">
            <v>0</v>
          </cell>
        </row>
        <row r="621">
          <cell r="C621" t="str">
            <v>Leavenworth city, Washington</v>
          </cell>
          <cell r="D621">
            <v>58</v>
          </cell>
          <cell r="E621">
            <v>58</v>
          </cell>
          <cell r="F621">
            <v>46</v>
          </cell>
          <cell r="G621">
            <v>12</v>
          </cell>
          <cell r="H621">
            <v>0</v>
          </cell>
          <cell r="I621">
            <v>4</v>
          </cell>
          <cell r="J621">
            <v>0</v>
          </cell>
          <cell r="K621">
            <v>8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58</v>
          </cell>
          <cell r="T621">
            <v>0</v>
          </cell>
        </row>
        <row r="622">
          <cell r="C622" t="str">
            <v>Lebam CDP, Washington</v>
          </cell>
          <cell r="D622">
            <v>35</v>
          </cell>
          <cell r="E622">
            <v>35</v>
          </cell>
          <cell r="F622">
            <v>28</v>
          </cell>
          <cell r="G622">
            <v>7</v>
          </cell>
          <cell r="H622">
            <v>0</v>
          </cell>
          <cell r="I622">
            <v>0</v>
          </cell>
          <cell r="J622">
            <v>0</v>
          </cell>
          <cell r="K622">
            <v>7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35</v>
          </cell>
          <cell r="T622">
            <v>0</v>
          </cell>
        </row>
        <row r="623">
          <cell r="C623" t="str">
            <v>Lewisville CDP, Washington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</row>
        <row r="624">
          <cell r="C624" t="str">
            <v>Liberty Lake CDP, Washington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</row>
        <row r="625">
          <cell r="C625" t="str">
            <v>Lind town, Washington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</row>
        <row r="626">
          <cell r="C626" t="str">
            <v>Lochsloy CDP, Washington</v>
          </cell>
          <cell r="D626">
            <v>38</v>
          </cell>
          <cell r="E626">
            <v>38</v>
          </cell>
          <cell r="F626">
            <v>14</v>
          </cell>
          <cell r="G626">
            <v>24</v>
          </cell>
          <cell r="H626">
            <v>0</v>
          </cell>
          <cell r="I626">
            <v>16</v>
          </cell>
          <cell r="J626">
            <v>8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38</v>
          </cell>
          <cell r="T626">
            <v>0</v>
          </cell>
        </row>
        <row r="627">
          <cell r="C627" t="str">
            <v>Long Beach city, Washington</v>
          </cell>
          <cell r="D627">
            <v>23</v>
          </cell>
          <cell r="E627">
            <v>20</v>
          </cell>
          <cell r="F627">
            <v>5</v>
          </cell>
          <cell r="G627">
            <v>13</v>
          </cell>
          <cell r="H627">
            <v>0</v>
          </cell>
          <cell r="I627">
            <v>0</v>
          </cell>
          <cell r="J627">
            <v>2</v>
          </cell>
          <cell r="K627">
            <v>11</v>
          </cell>
          <cell r="L627">
            <v>2</v>
          </cell>
          <cell r="M627">
            <v>2</v>
          </cell>
          <cell r="N627">
            <v>0</v>
          </cell>
          <cell r="O627">
            <v>0</v>
          </cell>
          <cell r="P627">
            <v>3</v>
          </cell>
          <cell r="Q627">
            <v>3</v>
          </cell>
          <cell r="R627">
            <v>0</v>
          </cell>
          <cell r="S627">
            <v>18</v>
          </cell>
          <cell r="T627">
            <v>5</v>
          </cell>
        </row>
        <row r="628">
          <cell r="C628" t="str">
            <v>Longview city, Washington</v>
          </cell>
          <cell r="D628">
            <v>647</v>
          </cell>
          <cell r="E628">
            <v>647</v>
          </cell>
          <cell r="F628">
            <v>349</v>
          </cell>
          <cell r="G628">
            <v>298</v>
          </cell>
          <cell r="H628">
            <v>9</v>
          </cell>
          <cell r="I628">
            <v>35</v>
          </cell>
          <cell r="J628">
            <v>59</v>
          </cell>
          <cell r="K628">
            <v>195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647</v>
          </cell>
          <cell r="T628">
            <v>0</v>
          </cell>
        </row>
        <row r="629">
          <cell r="C629" t="str">
            <v>Longview Heights CDP, Washington</v>
          </cell>
          <cell r="D629">
            <v>59</v>
          </cell>
          <cell r="E629">
            <v>59</v>
          </cell>
          <cell r="F629">
            <v>11</v>
          </cell>
          <cell r="G629">
            <v>48</v>
          </cell>
          <cell r="H629">
            <v>0</v>
          </cell>
          <cell r="I629">
            <v>0</v>
          </cell>
          <cell r="J629">
            <v>0</v>
          </cell>
          <cell r="K629">
            <v>48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59</v>
          </cell>
          <cell r="T629">
            <v>0</v>
          </cell>
        </row>
        <row r="630">
          <cell r="C630" t="str">
            <v>Lyle CDP, Washington</v>
          </cell>
          <cell r="D630">
            <v>18</v>
          </cell>
          <cell r="E630">
            <v>18</v>
          </cell>
          <cell r="F630">
            <v>18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18</v>
          </cell>
          <cell r="T630">
            <v>0</v>
          </cell>
        </row>
        <row r="631">
          <cell r="C631" t="str">
            <v>Lyman town, Washington</v>
          </cell>
          <cell r="D631">
            <v>1</v>
          </cell>
          <cell r="E631">
            <v>1</v>
          </cell>
          <cell r="F631">
            <v>1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1</v>
          </cell>
          <cell r="T631">
            <v>0</v>
          </cell>
        </row>
        <row r="632">
          <cell r="C632" t="str">
            <v>Lynden city, Washington</v>
          </cell>
          <cell r="D632">
            <v>22</v>
          </cell>
          <cell r="E632">
            <v>14</v>
          </cell>
          <cell r="F632">
            <v>0</v>
          </cell>
          <cell r="G632">
            <v>14</v>
          </cell>
          <cell r="H632">
            <v>0</v>
          </cell>
          <cell r="I632">
            <v>7</v>
          </cell>
          <cell r="J632">
            <v>0</v>
          </cell>
          <cell r="K632">
            <v>7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8</v>
          </cell>
          <cell r="Q632">
            <v>8</v>
          </cell>
          <cell r="R632">
            <v>0</v>
          </cell>
          <cell r="S632">
            <v>14</v>
          </cell>
          <cell r="T632">
            <v>8</v>
          </cell>
        </row>
        <row r="633">
          <cell r="C633" t="str">
            <v>Lynnwood city, Washington</v>
          </cell>
          <cell r="D633">
            <v>322</v>
          </cell>
          <cell r="E633">
            <v>235</v>
          </cell>
          <cell r="F633">
            <v>163</v>
          </cell>
          <cell r="G633">
            <v>72</v>
          </cell>
          <cell r="H633">
            <v>6</v>
          </cell>
          <cell r="I633">
            <v>9</v>
          </cell>
          <cell r="J633">
            <v>0</v>
          </cell>
          <cell r="K633">
            <v>57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87</v>
          </cell>
          <cell r="Q633">
            <v>12</v>
          </cell>
          <cell r="R633">
            <v>75</v>
          </cell>
          <cell r="S633">
            <v>235</v>
          </cell>
          <cell r="T633">
            <v>87</v>
          </cell>
        </row>
        <row r="634">
          <cell r="C634" t="str">
            <v>Mabton city, Washington</v>
          </cell>
          <cell r="D634">
            <v>2</v>
          </cell>
          <cell r="E634">
            <v>2</v>
          </cell>
          <cell r="F634">
            <v>0</v>
          </cell>
          <cell r="G634">
            <v>2</v>
          </cell>
          <cell r="H634">
            <v>0</v>
          </cell>
          <cell r="I634">
            <v>0</v>
          </cell>
          <cell r="J634">
            <v>0</v>
          </cell>
          <cell r="K634">
            <v>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</v>
          </cell>
          <cell r="T634">
            <v>0</v>
          </cell>
        </row>
        <row r="635">
          <cell r="C635" t="str">
            <v>McChord AFB CDP, Washington</v>
          </cell>
          <cell r="D635">
            <v>68</v>
          </cell>
          <cell r="E635">
            <v>68</v>
          </cell>
          <cell r="F635">
            <v>16</v>
          </cell>
          <cell r="G635">
            <v>47</v>
          </cell>
          <cell r="H635">
            <v>11</v>
          </cell>
          <cell r="I635">
            <v>0</v>
          </cell>
          <cell r="J635">
            <v>0</v>
          </cell>
          <cell r="K635">
            <v>36</v>
          </cell>
          <cell r="L635">
            <v>5</v>
          </cell>
          <cell r="M635">
            <v>0</v>
          </cell>
          <cell r="N635">
            <v>0</v>
          </cell>
          <cell r="O635">
            <v>5</v>
          </cell>
          <cell r="P635">
            <v>0</v>
          </cell>
          <cell r="Q635">
            <v>0</v>
          </cell>
          <cell r="R635">
            <v>0</v>
          </cell>
          <cell r="S635">
            <v>63</v>
          </cell>
          <cell r="T635">
            <v>5</v>
          </cell>
        </row>
        <row r="636">
          <cell r="C636" t="str">
            <v>McCleary city, Washington</v>
          </cell>
          <cell r="D636">
            <v>20</v>
          </cell>
          <cell r="E636">
            <v>20</v>
          </cell>
          <cell r="F636">
            <v>4</v>
          </cell>
          <cell r="G636">
            <v>15</v>
          </cell>
          <cell r="H636">
            <v>0</v>
          </cell>
          <cell r="I636">
            <v>6</v>
          </cell>
          <cell r="J636">
            <v>0</v>
          </cell>
          <cell r="K636">
            <v>9</v>
          </cell>
          <cell r="L636">
            <v>1</v>
          </cell>
          <cell r="M636">
            <v>0</v>
          </cell>
          <cell r="N636">
            <v>0</v>
          </cell>
          <cell r="O636">
            <v>1</v>
          </cell>
          <cell r="P636">
            <v>0</v>
          </cell>
          <cell r="Q636">
            <v>0</v>
          </cell>
          <cell r="R636">
            <v>0</v>
          </cell>
          <cell r="S636">
            <v>19</v>
          </cell>
          <cell r="T636">
            <v>1</v>
          </cell>
        </row>
        <row r="637">
          <cell r="C637" t="str">
            <v>Machias CDP, Washington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</row>
        <row r="638">
          <cell r="C638" t="str">
            <v>Malden town, Washington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</row>
        <row r="639">
          <cell r="C639" t="str">
            <v>Malone-Porter CDP, Washington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</row>
        <row r="640">
          <cell r="C640" t="str">
            <v>Maltby CDP, Washington</v>
          </cell>
          <cell r="D640">
            <v>17</v>
          </cell>
          <cell r="E640">
            <v>17</v>
          </cell>
          <cell r="F640">
            <v>6</v>
          </cell>
          <cell r="G640">
            <v>11</v>
          </cell>
          <cell r="H640">
            <v>0</v>
          </cell>
          <cell r="I640">
            <v>0</v>
          </cell>
          <cell r="J640">
            <v>11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17</v>
          </cell>
          <cell r="T640">
            <v>0</v>
          </cell>
        </row>
        <row r="641">
          <cell r="C641" t="str">
            <v>Manchester CDP, Washington</v>
          </cell>
          <cell r="D641">
            <v>89</v>
          </cell>
          <cell r="E641">
            <v>89</v>
          </cell>
          <cell r="F641">
            <v>36</v>
          </cell>
          <cell r="G641">
            <v>53</v>
          </cell>
          <cell r="H641">
            <v>19</v>
          </cell>
          <cell r="I641">
            <v>0</v>
          </cell>
          <cell r="J641">
            <v>0</v>
          </cell>
          <cell r="K641">
            <v>34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89</v>
          </cell>
          <cell r="T641">
            <v>0</v>
          </cell>
        </row>
        <row r="642">
          <cell r="C642" t="str">
            <v>Mansfield town, Washington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</row>
        <row r="643">
          <cell r="C643" t="str">
            <v>Maple Falls CDP, Washington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</row>
        <row r="644">
          <cell r="C644" t="str">
            <v>Maple Heights-Lake Desire CDP, Washington</v>
          </cell>
          <cell r="D644">
            <v>32</v>
          </cell>
          <cell r="E644">
            <v>32</v>
          </cell>
          <cell r="F644">
            <v>28</v>
          </cell>
          <cell r="G644">
            <v>4</v>
          </cell>
          <cell r="H644">
            <v>0</v>
          </cell>
          <cell r="I644">
            <v>0</v>
          </cell>
          <cell r="J644">
            <v>0</v>
          </cell>
          <cell r="K644">
            <v>4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32</v>
          </cell>
          <cell r="T644">
            <v>0</v>
          </cell>
        </row>
        <row r="645">
          <cell r="C645" t="str">
            <v>Maple Valley city, Washington</v>
          </cell>
          <cell r="D645">
            <v>75</v>
          </cell>
          <cell r="E645">
            <v>52</v>
          </cell>
          <cell r="F645">
            <v>38</v>
          </cell>
          <cell r="G645">
            <v>14</v>
          </cell>
          <cell r="H645">
            <v>0</v>
          </cell>
          <cell r="I645">
            <v>0</v>
          </cell>
          <cell r="J645">
            <v>0</v>
          </cell>
          <cell r="K645">
            <v>14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23</v>
          </cell>
          <cell r="Q645">
            <v>0</v>
          </cell>
          <cell r="R645">
            <v>23</v>
          </cell>
          <cell r="S645">
            <v>52</v>
          </cell>
          <cell r="T645">
            <v>23</v>
          </cell>
        </row>
        <row r="646">
          <cell r="C646" t="str">
            <v>Marblemount CDP, Washington</v>
          </cell>
          <cell r="D646">
            <v>6</v>
          </cell>
          <cell r="E646">
            <v>6</v>
          </cell>
          <cell r="F646">
            <v>0</v>
          </cell>
          <cell r="G646">
            <v>6</v>
          </cell>
          <cell r="H646">
            <v>0</v>
          </cell>
          <cell r="I646">
            <v>0</v>
          </cell>
          <cell r="J646">
            <v>0</v>
          </cell>
          <cell r="K646">
            <v>6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6</v>
          </cell>
          <cell r="T646">
            <v>0</v>
          </cell>
        </row>
        <row r="647">
          <cell r="C647" t="str">
            <v>Marcus town, Washington</v>
          </cell>
          <cell r="D647">
            <v>3</v>
          </cell>
          <cell r="E647">
            <v>3</v>
          </cell>
          <cell r="F647">
            <v>3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3</v>
          </cell>
          <cell r="T647">
            <v>0</v>
          </cell>
        </row>
        <row r="648">
          <cell r="C648" t="str">
            <v>Marietta-Alderwood CDP, Washington</v>
          </cell>
          <cell r="D648">
            <v>112</v>
          </cell>
          <cell r="E648">
            <v>112</v>
          </cell>
          <cell r="F648">
            <v>81</v>
          </cell>
          <cell r="G648">
            <v>31</v>
          </cell>
          <cell r="H648">
            <v>0</v>
          </cell>
          <cell r="I648">
            <v>18</v>
          </cell>
          <cell r="J648">
            <v>6</v>
          </cell>
          <cell r="K648">
            <v>7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112</v>
          </cell>
          <cell r="T648">
            <v>0</v>
          </cell>
        </row>
        <row r="649">
          <cell r="C649" t="str">
            <v>Markham CDP, Washington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</row>
        <row r="650">
          <cell r="C650" t="str">
            <v>Marrowstone CDP, Washington</v>
          </cell>
          <cell r="D650">
            <v>10</v>
          </cell>
          <cell r="E650">
            <v>10</v>
          </cell>
          <cell r="F650">
            <v>4</v>
          </cell>
          <cell r="G650">
            <v>6</v>
          </cell>
          <cell r="H650">
            <v>0</v>
          </cell>
          <cell r="I650">
            <v>0</v>
          </cell>
          <cell r="J650">
            <v>0</v>
          </cell>
          <cell r="K650">
            <v>6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10</v>
          </cell>
          <cell r="T650">
            <v>0</v>
          </cell>
        </row>
        <row r="651">
          <cell r="C651" t="str">
            <v>Martha Lake CDP, Washington</v>
          </cell>
          <cell r="D651">
            <v>63</v>
          </cell>
          <cell r="E651">
            <v>63</v>
          </cell>
          <cell r="F651">
            <v>24</v>
          </cell>
          <cell r="G651">
            <v>39</v>
          </cell>
          <cell r="H651">
            <v>0</v>
          </cell>
          <cell r="I651">
            <v>0</v>
          </cell>
          <cell r="J651">
            <v>0</v>
          </cell>
          <cell r="K651">
            <v>39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63</v>
          </cell>
          <cell r="T651">
            <v>0</v>
          </cell>
        </row>
        <row r="652">
          <cell r="C652" t="str">
            <v>Maryhill CDP, Washington</v>
          </cell>
          <cell r="D652">
            <v>13</v>
          </cell>
          <cell r="E652">
            <v>13</v>
          </cell>
          <cell r="F652">
            <v>13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13</v>
          </cell>
          <cell r="T652">
            <v>0</v>
          </cell>
        </row>
        <row r="653">
          <cell r="C653" t="str">
            <v>Marysville city, Washington</v>
          </cell>
          <cell r="D653">
            <v>325</v>
          </cell>
          <cell r="E653">
            <v>325</v>
          </cell>
          <cell r="F653">
            <v>187</v>
          </cell>
          <cell r="G653">
            <v>138</v>
          </cell>
          <cell r="H653">
            <v>0</v>
          </cell>
          <cell r="I653">
            <v>42</v>
          </cell>
          <cell r="J653">
            <v>17</v>
          </cell>
          <cell r="K653">
            <v>79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325</v>
          </cell>
          <cell r="T653">
            <v>0</v>
          </cell>
        </row>
        <row r="654">
          <cell r="C654" t="str">
            <v>Mattawa town, Washington</v>
          </cell>
          <cell r="D654">
            <v>20</v>
          </cell>
          <cell r="E654">
            <v>1</v>
          </cell>
          <cell r="F654">
            <v>1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19</v>
          </cell>
          <cell r="Q654">
            <v>0</v>
          </cell>
          <cell r="R654">
            <v>19</v>
          </cell>
          <cell r="S654">
            <v>1</v>
          </cell>
          <cell r="T654">
            <v>19</v>
          </cell>
        </row>
        <row r="655">
          <cell r="C655" t="str">
            <v>May Creek CDP, Washington</v>
          </cell>
          <cell r="D655">
            <v>2</v>
          </cell>
          <cell r="E655">
            <v>2</v>
          </cell>
          <cell r="F655">
            <v>2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</v>
          </cell>
          <cell r="T655">
            <v>0</v>
          </cell>
        </row>
        <row r="656">
          <cell r="C656" t="str">
            <v>Meadow Glade CDP, Washington</v>
          </cell>
          <cell r="D656">
            <v>44</v>
          </cell>
          <cell r="E656">
            <v>44</v>
          </cell>
          <cell r="F656">
            <v>0</v>
          </cell>
          <cell r="G656">
            <v>44</v>
          </cell>
          <cell r="H656">
            <v>0</v>
          </cell>
          <cell r="I656">
            <v>11</v>
          </cell>
          <cell r="J656">
            <v>0</v>
          </cell>
          <cell r="K656">
            <v>33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44</v>
          </cell>
          <cell r="T656">
            <v>0</v>
          </cell>
        </row>
        <row r="657">
          <cell r="C657" t="str">
            <v>Medical Lake city, Washington</v>
          </cell>
          <cell r="D657">
            <v>8</v>
          </cell>
          <cell r="E657">
            <v>8</v>
          </cell>
          <cell r="F657">
            <v>8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8</v>
          </cell>
          <cell r="T657">
            <v>0</v>
          </cell>
        </row>
        <row r="658">
          <cell r="C658" t="str">
            <v>Medina city, Washington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</row>
        <row r="659">
          <cell r="C659" t="str">
            <v>Mercer Island city, Washington</v>
          </cell>
          <cell r="D659">
            <v>39</v>
          </cell>
          <cell r="E659">
            <v>39</v>
          </cell>
          <cell r="F659">
            <v>21</v>
          </cell>
          <cell r="G659">
            <v>18</v>
          </cell>
          <cell r="H659">
            <v>0</v>
          </cell>
          <cell r="I659">
            <v>0</v>
          </cell>
          <cell r="J659">
            <v>0</v>
          </cell>
          <cell r="K659">
            <v>18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39</v>
          </cell>
          <cell r="T659">
            <v>0</v>
          </cell>
        </row>
        <row r="660">
          <cell r="C660" t="str">
            <v>Mesa city, Washington</v>
          </cell>
          <cell r="D660">
            <v>26</v>
          </cell>
          <cell r="E660">
            <v>21</v>
          </cell>
          <cell r="F660">
            <v>12</v>
          </cell>
          <cell r="G660">
            <v>9</v>
          </cell>
          <cell r="H660">
            <v>0</v>
          </cell>
          <cell r="I660">
            <v>0</v>
          </cell>
          <cell r="J660">
            <v>0</v>
          </cell>
          <cell r="K660">
            <v>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5</v>
          </cell>
          <cell r="Q660">
            <v>2</v>
          </cell>
          <cell r="R660">
            <v>3</v>
          </cell>
          <cell r="S660">
            <v>21</v>
          </cell>
          <cell r="T660">
            <v>5</v>
          </cell>
        </row>
        <row r="661">
          <cell r="C661" t="str">
            <v>Metaline town, Washington</v>
          </cell>
          <cell r="D661">
            <v>1</v>
          </cell>
          <cell r="E661">
            <v>1</v>
          </cell>
          <cell r="F661">
            <v>1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1</v>
          </cell>
          <cell r="T661">
            <v>0</v>
          </cell>
        </row>
        <row r="662">
          <cell r="C662" t="str">
            <v>Metaline Falls town, Washington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</row>
        <row r="663">
          <cell r="C663" t="str">
            <v>Midland CDP, Washington</v>
          </cell>
          <cell r="D663">
            <v>180</v>
          </cell>
          <cell r="E663">
            <v>180</v>
          </cell>
          <cell r="F663">
            <v>80</v>
          </cell>
          <cell r="G663">
            <v>90</v>
          </cell>
          <cell r="H663">
            <v>0</v>
          </cell>
          <cell r="I663">
            <v>9</v>
          </cell>
          <cell r="J663">
            <v>13</v>
          </cell>
          <cell r="K663">
            <v>68</v>
          </cell>
          <cell r="L663">
            <v>10</v>
          </cell>
          <cell r="M663">
            <v>0</v>
          </cell>
          <cell r="N663">
            <v>0</v>
          </cell>
          <cell r="O663">
            <v>10</v>
          </cell>
          <cell r="P663">
            <v>0</v>
          </cell>
          <cell r="Q663">
            <v>0</v>
          </cell>
          <cell r="R663">
            <v>0</v>
          </cell>
          <cell r="S663">
            <v>170</v>
          </cell>
          <cell r="T663">
            <v>10</v>
          </cell>
        </row>
        <row r="664">
          <cell r="C664" t="str">
            <v>Mill Creek city, Washington</v>
          </cell>
          <cell r="D664">
            <v>73</v>
          </cell>
          <cell r="E664">
            <v>73</v>
          </cell>
          <cell r="F664">
            <v>22</v>
          </cell>
          <cell r="G664">
            <v>51</v>
          </cell>
          <cell r="H664">
            <v>0</v>
          </cell>
          <cell r="I664">
            <v>8</v>
          </cell>
          <cell r="J664">
            <v>9</v>
          </cell>
          <cell r="K664">
            <v>34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73</v>
          </cell>
          <cell r="T664">
            <v>0</v>
          </cell>
        </row>
        <row r="665">
          <cell r="C665" t="str">
            <v>Mill Plain CDP, Washington</v>
          </cell>
          <cell r="D665">
            <v>65</v>
          </cell>
          <cell r="E665">
            <v>65</v>
          </cell>
          <cell r="F665">
            <v>19</v>
          </cell>
          <cell r="G665">
            <v>46</v>
          </cell>
          <cell r="H665">
            <v>0</v>
          </cell>
          <cell r="I665">
            <v>0</v>
          </cell>
          <cell r="J665">
            <v>0</v>
          </cell>
          <cell r="K665">
            <v>46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65</v>
          </cell>
          <cell r="T665">
            <v>0</v>
          </cell>
        </row>
        <row r="666">
          <cell r="C666" t="str">
            <v>Millwood town, Washington</v>
          </cell>
          <cell r="D666">
            <v>9</v>
          </cell>
          <cell r="E666">
            <v>9</v>
          </cell>
          <cell r="F666">
            <v>7</v>
          </cell>
          <cell r="G666">
            <v>2</v>
          </cell>
          <cell r="H666">
            <v>0</v>
          </cell>
          <cell r="I666">
            <v>0</v>
          </cell>
          <cell r="J666">
            <v>0</v>
          </cell>
          <cell r="K666">
            <v>2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9</v>
          </cell>
          <cell r="T666">
            <v>0</v>
          </cell>
        </row>
        <row r="667">
          <cell r="C667" t="str">
            <v>Milton city, Washington</v>
          </cell>
          <cell r="D667">
            <v>106</v>
          </cell>
          <cell r="E667">
            <v>106</v>
          </cell>
          <cell r="F667">
            <v>77</v>
          </cell>
          <cell r="G667">
            <v>29</v>
          </cell>
          <cell r="H667">
            <v>0</v>
          </cell>
          <cell r="I667">
            <v>0</v>
          </cell>
          <cell r="J667">
            <v>14</v>
          </cell>
          <cell r="K667">
            <v>15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106</v>
          </cell>
          <cell r="T667">
            <v>0</v>
          </cell>
        </row>
        <row r="668">
          <cell r="C668" t="str">
            <v>Minnehaha CDP, Washington</v>
          </cell>
          <cell r="D668">
            <v>21</v>
          </cell>
          <cell r="E668">
            <v>21</v>
          </cell>
          <cell r="F668">
            <v>7</v>
          </cell>
          <cell r="G668">
            <v>14</v>
          </cell>
          <cell r="H668">
            <v>0</v>
          </cell>
          <cell r="I668">
            <v>0</v>
          </cell>
          <cell r="J668">
            <v>0</v>
          </cell>
          <cell r="K668">
            <v>14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21</v>
          </cell>
          <cell r="T668">
            <v>0</v>
          </cell>
        </row>
        <row r="669">
          <cell r="C669" t="str">
            <v>Mirrormont CDP, Washington</v>
          </cell>
          <cell r="D669">
            <v>22</v>
          </cell>
          <cell r="E669">
            <v>22</v>
          </cell>
          <cell r="F669">
            <v>10</v>
          </cell>
          <cell r="G669">
            <v>12</v>
          </cell>
          <cell r="H669">
            <v>0</v>
          </cell>
          <cell r="I669">
            <v>0</v>
          </cell>
          <cell r="J669">
            <v>0</v>
          </cell>
          <cell r="K669">
            <v>12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22</v>
          </cell>
          <cell r="T669">
            <v>0</v>
          </cell>
        </row>
        <row r="670">
          <cell r="C670" t="str">
            <v>Moclips CDP, Washington</v>
          </cell>
          <cell r="D670">
            <v>154</v>
          </cell>
          <cell r="E670">
            <v>154</v>
          </cell>
          <cell r="F670">
            <v>118</v>
          </cell>
          <cell r="G670">
            <v>36</v>
          </cell>
          <cell r="H670">
            <v>0</v>
          </cell>
          <cell r="I670">
            <v>0</v>
          </cell>
          <cell r="J670">
            <v>8</v>
          </cell>
          <cell r="K670">
            <v>28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154</v>
          </cell>
          <cell r="T670">
            <v>0</v>
          </cell>
        </row>
        <row r="671">
          <cell r="C671" t="str">
            <v>Monroe city, Washington</v>
          </cell>
          <cell r="D671">
            <v>133</v>
          </cell>
          <cell r="E671">
            <v>133</v>
          </cell>
          <cell r="F671">
            <v>66</v>
          </cell>
          <cell r="G671">
            <v>67</v>
          </cell>
          <cell r="H671">
            <v>0</v>
          </cell>
          <cell r="I671">
            <v>0</v>
          </cell>
          <cell r="J671">
            <v>6</v>
          </cell>
          <cell r="K671">
            <v>61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133</v>
          </cell>
          <cell r="T671">
            <v>0</v>
          </cell>
        </row>
        <row r="672">
          <cell r="C672" t="str">
            <v>Montesano city, Washington</v>
          </cell>
          <cell r="D672">
            <v>95</v>
          </cell>
          <cell r="E672">
            <v>95</v>
          </cell>
          <cell r="F672">
            <v>58</v>
          </cell>
          <cell r="G672">
            <v>37</v>
          </cell>
          <cell r="H672">
            <v>0</v>
          </cell>
          <cell r="I672">
            <v>16</v>
          </cell>
          <cell r="J672">
            <v>0</v>
          </cell>
          <cell r="K672">
            <v>21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95</v>
          </cell>
          <cell r="T672">
            <v>0</v>
          </cell>
        </row>
        <row r="673">
          <cell r="C673" t="str">
            <v>Morton city, Washington</v>
          </cell>
          <cell r="D673">
            <v>14</v>
          </cell>
          <cell r="E673">
            <v>12</v>
          </cell>
          <cell r="F673">
            <v>8</v>
          </cell>
          <cell r="G673">
            <v>4</v>
          </cell>
          <cell r="H673">
            <v>0</v>
          </cell>
          <cell r="I673">
            <v>0</v>
          </cell>
          <cell r="J673">
            <v>0</v>
          </cell>
          <cell r="K673">
            <v>4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2</v>
          </cell>
          <cell r="Q673">
            <v>2</v>
          </cell>
          <cell r="R673">
            <v>0</v>
          </cell>
          <cell r="S673">
            <v>12</v>
          </cell>
          <cell r="T673">
            <v>2</v>
          </cell>
        </row>
        <row r="674">
          <cell r="C674" t="str">
            <v>Moses Lake city, Washington</v>
          </cell>
          <cell r="D674">
            <v>54</v>
          </cell>
          <cell r="E674">
            <v>54</v>
          </cell>
          <cell r="F674">
            <v>18</v>
          </cell>
          <cell r="G674">
            <v>36</v>
          </cell>
          <cell r="H674">
            <v>0</v>
          </cell>
          <cell r="I674">
            <v>0</v>
          </cell>
          <cell r="J674">
            <v>13</v>
          </cell>
          <cell r="K674">
            <v>23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54</v>
          </cell>
          <cell r="T674">
            <v>0</v>
          </cell>
        </row>
        <row r="675">
          <cell r="C675" t="str">
            <v>Moses Lake North CDP, Washington</v>
          </cell>
          <cell r="D675">
            <v>196</v>
          </cell>
          <cell r="E675">
            <v>196</v>
          </cell>
          <cell r="F675">
            <v>92</v>
          </cell>
          <cell r="G675">
            <v>104</v>
          </cell>
          <cell r="H675">
            <v>0</v>
          </cell>
          <cell r="I675">
            <v>6</v>
          </cell>
          <cell r="J675">
            <v>0</v>
          </cell>
          <cell r="K675">
            <v>98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196</v>
          </cell>
          <cell r="T675">
            <v>0</v>
          </cell>
        </row>
        <row r="676">
          <cell r="C676" t="str">
            <v>Mossyrock city, Washington</v>
          </cell>
          <cell r="D676">
            <v>16</v>
          </cell>
          <cell r="E676">
            <v>16</v>
          </cell>
          <cell r="F676">
            <v>5</v>
          </cell>
          <cell r="G676">
            <v>11</v>
          </cell>
          <cell r="H676">
            <v>0</v>
          </cell>
          <cell r="I676">
            <v>0</v>
          </cell>
          <cell r="J676">
            <v>0</v>
          </cell>
          <cell r="K676">
            <v>11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16</v>
          </cell>
          <cell r="T676">
            <v>0</v>
          </cell>
        </row>
        <row r="677">
          <cell r="C677" t="str">
            <v>Mountlake Terrace city, Washington</v>
          </cell>
          <cell r="D677">
            <v>211</v>
          </cell>
          <cell r="E677">
            <v>211</v>
          </cell>
          <cell r="F677">
            <v>68</v>
          </cell>
          <cell r="G677">
            <v>128</v>
          </cell>
          <cell r="H677">
            <v>0</v>
          </cell>
          <cell r="I677">
            <v>33</v>
          </cell>
          <cell r="J677">
            <v>6</v>
          </cell>
          <cell r="K677">
            <v>89</v>
          </cell>
          <cell r="L677">
            <v>15</v>
          </cell>
          <cell r="M677">
            <v>0</v>
          </cell>
          <cell r="N677">
            <v>15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196</v>
          </cell>
          <cell r="T677">
            <v>15</v>
          </cell>
        </row>
        <row r="678">
          <cell r="C678" t="str">
            <v>Mount Vernon city, Washington</v>
          </cell>
          <cell r="D678">
            <v>391</v>
          </cell>
          <cell r="E678">
            <v>359</v>
          </cell>
          <cell r="F678">
            <v>198</v>
          </cell>
          <cell r="G678">
            <v>161</v>
          </cell>
          <cell r="H678">
            <v>0</v>
          </cell>
          <cell r="I678">
            <v>12</v>
          </cell>
          <cell r="J678">
            <v>20</v>
          </cell>
          <cell r="K678">
            <v>129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32</v>
          </cell>
          <cell r="Q678">
            <v>12</v>
          </cell>
          <cell r="R678">
            <v>20</v>
          </cell>
          <cell r="S678">
            <v>359</v>
          </cell>
          <cell r="T678">
            <v>32</v>
          </cell>
        </row>
        <row r="679">
          <cell r="C679" t="str">
            <v>Mount Vista CDP, Washington</v>
          </cell>
          <cell r="D679">
            <v>56</v>
          </cell>
          <cell r="E679">
            <v>49</v>
          </cell>
          <cell r="F679">
            <v>10</v>
          </cell>
          <cell r="G679">
            <v>39</v>
          </cell>
          <cell r="H679">
            <v>0</v>
          </cell>
          <cell r="I679">
            <v>0</v>
          </cell>
          <cell r="J679">
            <v>19</v>
          </cell>
          <cell r="K679">
            <v>20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7</v>
          </cell>
          <cell r="Q679">
            <v>7</v>
          </cell>
          <cell r="R679">
            <v>0</v>
          </cell>
          <cell r="S679">
            <v>49</v>
          </cell>
          <cell r="T679">
            <v>7</v>
          </cell>
        </row>
        <row r="680">
          <cell r="C680" t="str">
            <v>Moxee city, Washington</v>
          </cell>
          <cell r="D680">
            <v>14</v>
          </cell>
          <cell r="E680">
            <v>14</v>
          </cell>
          <cell r="F680">
            <v>6</v>
          </cell>
          <cell r="G680">
            <v>8</v>
          </cell>
          <cell r="H680">
            <v>0</v>
          </cell>
          <cell r="I680">
            <v>0</v>
          </cell>
          <cell r="J680">
            <v>0</v>
          </cell>
          <cell r="K680">
            <v>8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14</v>
          </cell>
          <cell r="T680">
            <v>0</v>
          </cell>
        </row>
        <row r="681">
          <cell r="C681" t="str">
            <v>Mukilteo city, Washington</v>
          </cell>
          <cell r="D681">
            <v>15</v>
          </cell>
          <cell r="E681">
            <v>15</v>
          </cell>
          <cell r="F681">
            <v>0</v>
          </cell>
          <cell r="G681">
            <v>15</v>
          </cell>
          <cell r="H681">
            <v>0</v>
          </cell>
          <cell r="I681">
            <v>0</v>
          </cell>
          <cell r="J681">
            <v>0</v>
          </cell>
          <cell r="K681">
            <v>15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15</v>
          </cell>
          <cell r="T681">
            <v>0</v>
          </cell>
        </row>
        <row r="682">
          <cell r="C682" t="str">
            <v>Naches town, Washington</v>
          </cell>
          <cell r="D682">
            <v>4</v>
          </cell>
          <cell r="E682">
            <v>4</v>
          </cell>
          <cell r="F682">
            <v>4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4</v>
          </cell>
          <cell r="T682">
            <v>0</v>
          </cell>
        </row>
        <row r="683">
          <cell r="C683" t="str">
            <v>Napavine city, Washington</v>
          </cell>
          <cell r="D683">
            <v>16</v>
          </cell>
          <cell r="E683">
            <v>16</v>
          </cell>
          <cell r="F683">
            <v>5</v>
          </cell>
          <cell r="G683">
            <v>11</v>
          </cell>
          <cell r="H683">
            <v>2</v>
          </cell>
          <cell r="I683">
            <v>2</v>
          </cell>
          <cell r="J683">
            <v>0</v>
          </cell>
          <cell r="K683">
            <v>7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16</v>
          </cell>
          <cell r="T683">
            <v>0</v>
          </cell>
        </row>
        <row r="684">
          <cell r="C684" t="str">
            <v>Naselle CDP, Washington</v>
          </cell>
          <cell r="D684">
            <v>15</v>
          </cell>
          <cell r="E684">
            <v>15</v>
          </cell>
          <cell r="F684">
            <v>10</v>
          </cell>
          <cell r="G684">
            <v>5</v>
          </cell>
          <cell r="H684">
            <v>0</v>
          </cell>
          <cell r="I684">
            <v>0</v>
          </cell>
          <cell r="J684">
            <v>0</v>
          </cell>
          <cell r="K684">
            <v>5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15</v>
          </cell>
          <cell r="T684">
            <v>0</v>
          </cell>
        </row>
        <row r="685">
          <cell r="C685" t="str">
            <v>Navy Yard City CDP, Washington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</row>
        <row r="686">
          <cell r="C686" t="str">
            <v>Neah Bay CDP, Washington</v>
          </cell>
          <cell r="D686">
            <v>621</v>
          </cell>
          <cell r="E686">
            <v>621</v>
          </cell>
          <cell r="F686">
            <v>563</v>
          </cell>
          <cell r="G686">
            <v>55</v>
          </cell>
          <cell r="H686">
            <v>2</v>
          </cell>
          <cell r="I686">
            <v>27</v>
          </cell>
          <cell r="J686">
            <v>6</v>
          </cell>
          <cell r="K686">
            <v>20</v>
          </cell>
          <cell r="L686">
            <v>3</v>
          </cell>
          <cell r="M686">
            <v>0</v>
          </cell>
          <cell r="N686">
            <v>0</v>
          </cell>
          <cell r="O686">
            <v>3</v>
          </cell>
          <cell r="P686">
            <v>0</v>
          </cell>
          <cell r="Q686">
            <v>0</v>
          </cell>
          <cell r="R686">
            <v>0</v>
          </cell>
          <cell r="S686">
            <v>618</v>
          </cell>
          <cell r="T686">
            <v>3</v>
          </cell>
        </row>
        <row r="687">
          <cell r="C687" t="str">
            <v>Neilton CDP, Washington</v>
          </cell>
          <cell r="D687">
            <v>13</v>
          </cell>
          <cell r="E687">
            <v>13</v>
          </cell>
          <cell r="F687">
            <v>13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13</v>
          </cell>
          <cell r="T687">
            <v>0</v>
          </cell>
        </row>
        <row r="688">
          <cell r="C688" t="str">
            <v>Nespelem town, Washington</v>
          </cell>
          <cell r="D688">
            <v>135</v>
          </cell>
          <cell r="E688">
            <v>135</v>
          </cell>
          <cell r="F688">
            <v>123</v>
          </cell>
          <cell r="G688">
            <v>12</v>
          </cell>
          <cell r="H688">
            <v>0</v>
          </cell>
          <cell r="I688">
            <v>4</v>
          </cell>
          <cell r="J688">
            <v>0</v>
          </cell>
          <cell r="K688">
            <v>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135</v>
          </cell>
          <cell r="T688">
            <v>0</v>
          </cell>
        </row>
        <row r="689">
          <cell r="C689" t="str">
            <v>Nespelem Community CDP, Washington</v>
          </cell>
          <cell r="D689">
            <v>243</v>
          </cell>
          <cell r="E689">
            <v>242</v>
          </cell>
          <cell r="F689">
            <v>218</v>
          </cell>
          <cell r="G689">
            <v>24</v>
          </cell>
          <cell r="H689">
            <v>0</v>
          </cell>
          <cell r="I689">
            <v>2</v>
          </cell>
          <cell r="J689">
            <v>0</v>
          </cell>
          <cell r="K689">
            <v>22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1</v>
          </cell>
          <cell r="Q689">
            <v>1</v>
          </cell>
          <cell r="R689">
            <v>0</v>
          </cell>
          <cell r="S689">
            <v>242</v>
          </cell>
          <cell r="T689">
            <v>1</v>
          </cell>
        </row>
        <row r="690">
          <cell r="C690" t="str">
            <v>Newcastle city, Washington</v>
          </cell>
          <cell r="D690">
            <v>30</v>
          </cell>
          <cell r="E690">
            <v>30</v>
          </cell>
          <cell r="F690">
            <v>18</v>
          </cell>
          <cell r="G690">
            <v>12</v>
          </cell>
          <cell r="H690">
            <v>0</v>
          </cell>
          <cell r="I690">
            <v>12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30</v>
          </cell>
          <cell r="T690">
            <v>0</v>
          </cell>
        </row>
        <row r="691">
          <cell r="C691" t="str">
            <v>Newport city, Washington</v>
          </cell>
          <cell r="D691">
            <v>26</v>
          </cell>
          <cell r="E691">
            <v>26</v>
          </cell>
          <cell r="F691">
            <v>24</v>
          </cell>
          <cell r="G691">
            <v>2</v>
          </cell>
          <cell r="H691">
            <v>0</v>
          </cell>
          <cell r="I691">
            <v>0</v>
          </cell>
          <cell r="J691">
            <v>0</v>
          </cell>
          <cell r="K691">
            <v>2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26</v>
          </cell>
          <cell r="T691">
            <v>0</v>
          </cell>
        </row>
        <row r="692">
          <cell r="C692" t="str">
            <v>Nisqually Indian Community CDP, Washington</v>
          </cell>
          <cell r="D692">
            <v>314</v>
          </cell>
          <cell r="E692">
            <v>308</v>
          </cell>
          <cell r="F692">
            <v>279</v>
          </cell>
          <cell r="G692">
            <v>29</v>
          </cell>
          <cell r="H692">
            <v>0</v>
          </cell>
          <cell r="I692">
            <v>0</v>
          </cell>
          <cell r="J692">
            <v>3</v>
          </cell>
          <cell r="K692">
            <v>26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6</v>
          </cell>
          <cell r="Q692">
            <v>3</v>
          </cell>
          <cell r="R692">
            <v>3</v>
          </cell>
          <cell r="S692">
            <v>308</v>
          </cell>
          <cell r="T692">
            <v>6</v>
          </cell>
        </row>
        <row r="693">
          <cell r="C693" t="str">
            <v>Nooksack city, Washington</v>
          </cell>
          <cell r="D693">
            <v>14</v>
          </cell>
          <cell r="E693">
            <v>12</v>
          </cell>
          <cell r="F693">
            <v>7</v>
          </cell>
          <cell r="G693">
            <v>2</v>
          </cell>
          <cell r="H693">
            <v>0</v>
          </cell>
          <cell r="I693">
            <v>0</v>
          </cell>
          <cell r="J693">
            <v>0</v>
          </cell>
          <cell r="K693">
            <v>2</v>
          </cell>
          <cell r="L693">
            <v>3</v>
          </cell>
          <cell r="M693">
            <v>0</v>
          </cell>
          <cell r="N693">
            <v>0</v>
          </cell>
          <cell r="O693">
            <v>3</v>
          </cell>
          <cell r="P693">
            <v>2</v>
          </cell>
          <cell r="Q693">
            <v>0</v>
          </cell>
          <cell r="R693">
            <v>2</v>
          </cell>
          <cell r="S693">
            <v>9</v>
          </cell>
          <cell r="T693">
            <v>5</v>
          </cell>
        </row>
        <row r="694">
          <cell r="C694" t="str">
            <v>Normandy Park city, Washington</v>
          </cell>
          <cell r="D694">
            <v>19</v>
          </cell>
          <cell r="E694">
            <v>19</v>
          </cell>
          <cell r="F694">
            <v>4</v>
          </cell>
          <cell r="G694">
            <v>15</v>
          </cell>
          <cell r="H694">
            <v>0</v>
          </cell>
          <cell r="I694">
            <v>0</v>
          </cell>
          <cell r="J694">
            <v>5</v>
          </cell>
          <cell r="K694">
            <v>10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19</v>
          </cell>
          <cell r="T694">
            <v>0</v>
          </cell>
        </row>
        <row r="695">
          <cell r="C695" t="str">
            <v>North Bend city, Washington</v>
          </cell>
          <cell r="D695">
            <v>20</v>
          </cell>
          <cell r="E695">
            <v>20</v>
          </cell>
          <cell r="F695">
            <v>9</v>
          </cell>
          <cell r="G695">
            <v>11</v>
          </cell>
          <cell r="H695">
            <v>0</v>
          </cell>
          <cell r="I695">
            <v>0</v>
          </cell>
          <cell r="J695">
            <v>0</v>
          </cell>
          <cell r="K695">
            <v>11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20</v>
          </cell>
          <cell r="T695">
            <v>0</v>
          </cell>
        </row>
        <row r="696">
          <cell r="C696" t="str">
            <v>North Bonneville city, Washington</v>
          </cell>
          <cell r="D696">
            <v>14</v>
          </cell>
          <cell r="E696">
            <v>14</v>
          </cell>
          <cell r="F696">
            <v>9</v>
          </cell>
          <cell r="G696">
            <v>5</v>
          </cell>
          <cell r="H696">
            <v>0</v>
          </cell>
          <cell r="I696">
            <v>0</v>
          </cell>
          <cell r="J696">
            <v>2</v>
          </cell>
          <cell r="K696">
            <v>3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14</v>
          </cell>
          <cell r="T696">
            <v>0</v>
          </cell>
        </row>
        <row r="697">
          <cell r="C697" t="str">
            <v>North Creek CDP, Washington</v>
          </cell>
          <cell r="D697">
            <v>139</v>
          </cell>
          <cell r="E697">
            <v>130</v>
          </cell>
          <cell r="F697">
            <v>46</v>
          </cell>
          <cell r="G697">
            <v>84</v>
          </cell>
          <cell r="H697">
            <v>0</v>
          </cell>
          <cell r="I697">
            <v>18</v>
          </cell>
          <cell r="J697">
            <v>23</v>
          </cell>
          <cell r="K697">
            <v>43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9</v>
          </cell>
          <cell r="Q697">
            <v>0</v>
          </cell>
          <cell r="R697">
            <v>9</v>
          </cell>
          <cell r="S697">
            <v>130</v>
          </cell>
          <cell r="T697">
            <v>9</v>
          </cell>
        </row>
        <row r="698">
          <cell r="C698" t="str">
            <v>North Marysville CDP, Washington</v>
          </cell>
          <cell r="D698">
            <v>166</v>
          </cell>
          <cell r="E698">
            <v>166</v>
          </cell>
          <cell r="F698">
            <v>84</v>
          </cell>
          <cell r="G698">
            <v>75</v>
          </cell>
          <cell r="H698">
            <v>11</v>
          </cell>
          <cell r="I698">
            <v>0</v>
          </cell>
          <cell r="J698">
            <v>29</v>
          </cell>
          <cell r="K698">
            <v>35</v>
          </cell>
          <cell r="L698">
            <v>7</v>
          </cell>
          <cell r="M698">
            <v>0</v>
          </cell>
          <cell r="N698">
            <v>0</v>
          </cell>
          <cell r="O698">
            <v>7</v>
          </cell>
          <cell r="P698">
            <v>0</v>
          </cell>
          <cell r="Q698">
            <v>0</v>
          </cell>
          <cell r="R698">
            <v>0</v>
          </cell>
          <cell r="S698">
            <v>159</v>
          </cell>
          <cell r="T698">
            <v>7</v>
          </cell>
        </row>
        <row r="699">
          <cell r="C699" t="str">
            <v>North Omak CDP, Washington</v>
          </cell>
          <cell r="D699">
            <v>600</v>
          </cell>
          <cell r="E699">
            <v>585</v>
          </cell>
          <cell r="F699">
            <v>549</v>
          </cell>
          <cell r="G699">
            <v>36</v>
          </cell>
          <cell r="H699">
            <v>0</v>
          </cell>
          <cell r="I699">
            <v>0</v>
          </cell>
          <cell r="J699">
            <v>9</v>
          </cell>
          <cell r="K699">
            <v>27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15</v>
          </cell>
          <cell r="Q699">
            <v>15</v>
          </cell>
          <cell r="R699">
            <v>0</v>
          </cell>
          <cell r="S699">
            <v>585</v>
          </cell>
          <cell r="T699">
            <v>15</v>
          </cell>
        </row>
        <row r="700">
          <cell r="C700" t="str">
            <v>Northport town, Washington</v>
          </cell>
          <cell r="D700">
            <v>2</v>
          </cell>
          <cell r="E700">
            <v>2</v>
          </cell>
          <cell r="F700">
            <v>2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</v>
          </cell>
          <cell r="T700">
            <v>0</v>
          </cell>
        </row>
        <row r="701">
          <cell r="C701" t="str">
            <v>North Stanwood CDP, Washington</v>
          </cell>
          <cell r="D701">
            <v>19</v>
          </cell>
          <cell r="E701">
            <v>19</v>
          </cell>
          <cell r="F701">
            <v>19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19</v>
          </cell>
          <cell r="T701">
            <v>0</v>
          </cell>
        </row>
        <row r="702">
          <cell r="C702" t="str">
            <v>North Sultan CDP, Washington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</row>
        <row r="703">
          <cell r="C703" t="str">
            <v>Northwest Snohomish CDP, Washington</v>
          </cell>
          <cell r="D703">
            <v>32</v>
          </cell>
          <cell r="E703">
            <v>32</v>
          </cell>
          <cell r="F703">
            <v>24</v>
          </cell>
          <cell r="G703">
            <v>8</v>
          </cell>
          <cell r="H703">
            <v>0</v>
          </cell>
          <cell r="I703">
            <v>0</v>
          </cell>
          <cell r="J703">
            <v>0</v>
          </cell>
          <cell r="K703">
            <v>8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32</v>
          </cell>
          <cell r="T703">
            <v>0</v>
          </cell>
        </row>
        <row r="704">
          <cell r="C704" t="str">
            <v>North Yelm CDP, Washington</v>
          </cell>
          <cell r="D704">
            <v>26</v>
          </cell>
          <cell r="E704">
            <v>26</v>
          </cell>
          <cell r="F704">
            <v>15</v>
          </cell>
          <cell r="G704">
            <v>11</v>
          </cell>
          <cell r="H704">
            <v>0</v>
          </cell>
          <cell r="I704">
            <v>0</v>
          </cell>
          <cell r="J704">
            <v>0</v>
          </cell>
          <cell r="K704">
            <v>11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</v>
          </cell>
          <cell r="T704">
            <v>0</v>
          </cell>
        </row>
        <row r="705">
          <cell r="C705" t="str">
            <v>Oakesdale town, Washington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</row>
        <row r="706">
          <cell r="C706" t="str">
            <v>Oak Harbor city, Washington</v>
          </cell>
          <cell r="D706">
            <v>261</v>
          </cell>
          <cell r="E706">
            <v>261</v>
          </cell>
          <cell r="F706">
            <v>81</v>
          </cell>
          <cell r="G706">
            <v>174</v>
          </cell>
          <cell r="H706">
            <v>8</v>
          </cell>
          <cell r="I706">
            <v>24</v>
          </cell>
          <cell r="J706">
            <v>44</v>
          </cell>
          <cell r="K706">
            <v>98</v>
          </cell>
          <cell r="L706">
            <v>6</v>
          </cell>
          <cell r="M706">
            <v>0</v>
          </cell>
          <cell r="N706">
            <v>0</v>
          </cell>
          <cell r="O706">
            <v>6</v>
          </cell>
          <cell r="P706">
            <v>0</v>
          </cell>
          <cell r="Q706">
            <v>0</v>
          </cell>
          <cell r="R706">
            <v>0</v>
          </cell>
          <cell r="S706">
            <v>255</v>
          </cell>
          <cell r="T706">
            <v>6</v>
          </cell>
        </row>
        <row r="707">
          <cell r="C707" t="str">
            <v>Oakville city, Washington</v>
          </cell>
          <cell r="D707">
            <v>40</v>
          </cell>
          <cell r="E707">
            <v>40</v>
          </cell>
          <cell r="F707">
            <v>30</v>
          </cell>
          <cell r="G707">
            <v>10</v>
          </cell>
          <cell r="H707">
            <v>0</v>
          </cell>
          <cell r="I707">
            <v>0</v>
          </cell>
          <cell r="J707">
            <v>0</v>
          </cell>
          <cell r="K707">
            <v>10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40</v>
          </cell>
          <cell r="T707">
            <v>0</v>
          </cell>
        </row>
        <row r="708">
          <cell r="C708" t="str">
            <v>Ocean City CDP, Washington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</row>
        <row r="709">
          <cell r="C709" t="str">
            <v>Ocean Park CDP, Washington</v>
          </cell>
          <cell r="D709">
            <v>20</v>
          </cell>
          <cell r="E709">
            <v>20</v>
          </cell>
          <cell r="F709">
            <v>4</v>
          </cell>
          <cell r="G709">
            <v>16</v>
          </cell>
          <cell r="H709">
            <v>0</v>
          </cell>
          <cell r="I709">
            <v>7</v>
          </cell>
          <cell r="J709">
            <v>0</v>
          </cell>
          <cell r="K709">
            <v>9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20</v>
          </cell>
          <cell r="T709">
            <v>0</v>
          </cell>
        </row>
        <row r="710">
          <cell r="C710" t="str">
            <v>Ocean Shores city, Washington</v>
          </cell>
          <cell r="D710">
            <v>42</v>
          </cell>
          <cell r="E710">
            <v>42</v>
          </cell>
          <cell r="F710">
            <v>19</v>
          </cell>
          <cell r="G710">
            <v>23</v>
          </cell>
          <cell r="H710">
            <v>0</v>
          </cell>
          <cell r="I710">
            <v>0</v>
          </cell>
          <cell r="J710">
            <v>0</v>
          </cell>
          <cell r="K710">
            <v>23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42</v>
          </cell>
          <cell r="T710">
            <v>0</v>
          </cell>
        </row>
        <row r="711">
          <cell r="C711" t="str">
            <v>Odessa town, Washington</v>
          </cell>
          <cell r="D711">
            <v>10</v>
          </cell>
          <cell r="E711">
            <v>10</v>
          </cell>
          <cell r="F711">
            <v>7</v>
          </cell>
          <cell r="G711">
            <v>3</v>
          </cell>
          <cell r="H711">
            <v>0</v>
          </cell>
          <cell r="I711">
            <v>3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10</v>
          </cell>
          <cell r="T711">
            <v>0</v>
          </cell>
        </row>
        <row r="712">
          <cell r="C712" t="str">
            <v>Okanogan city, Washington</v>
          </cell>
          <cell r="D712">
            <v>255</v>
          </cell>
          <cell r="E712">
            <v>249</v>
          </cell>
          <cell r="F712">
            <v>207</v>
          </cell>
          <cell r="G712">
            <v>42</v>
          </cell>
          <cell r="H712">
            <v>0</v>
          </cell>
          <cell r="I712">
            <v>17</v>
          </cell>
          <cell r="J712">
            <v>0</v>
          </cell>
          <cell r="K712">
            <v>25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</v>
          </cell>
          <cell r="Q712">
            <v>6</v>
          </cell>
          <cell r="R712">
            <v>0</v>
          </cell>
          <cell r="S712">
            <v>249</v>
          </cell>
          <cell r="T712">
            <v>6</v>
          </cell>
        </row>
        <row r="713">
          <cell r="C713" t="str">
            <v>Olympia city, Washington</v>
          </cell>
          <cell r="D713">
            <v>569</v>
          </cell>
          <cell r="E713">
            <v>539</v>
          </cell>
          <cell r="F713">
            <v>307</v>
          </cell>
          <cell r="G713">
            <v>232</v>
          </cell>
          <cell r="H713">
            <v>13</v>
          </cell>
          <cell r="I713">
            <v>34</v>
          </cell>
          <cell r="J713">
            <v>62</v>
          </cell>
          <cell r="K713">
            <v>123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30</v>
          </cell>
          <cell r="Q713">
            <v>8</v>
          </cell>
          <cell r="R713">
            <v>22</v>
          </cell>
          <cell r="S713">
            <v>539</v>
          </cell>
          <cell r="T713">
            <v>30</v>
          </cell>
        </row>
        <row r="714">
          <cell r="C714" t="str">
            <v>Omak city, Washington</v>
          </cell>
          <cell r="D714">
            <v>649</v>
          </cell>
          <cell r="E714">
            <v>627</v>
          </cell>
          <cell r="F714">
            <v>572</v>
          </cell>
          <cell r="G714">
            <v>55</v>
          </cell>
          <cell r="H714">
            <v>0</v>
          </cell>
          <cell r="I714">
            <v>16</v>
          </cell>
          <cell r="J714">
            <v>0</v>
          </cell>
          <cell r="K714">
            <v>39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22</v>
          </cell>
          <cell r="Q714">
            <v>17</v>
          </cell>
          <cell r="R714">
            <v>5</v>
          </cell>
          <cell r="S714">
            <v>627</v>
          </cell>
          <cell r="T714">
            <v>22</v>
          </cell>
        </row>
        <row r="715">
          <cell r="C715" t="str">
            <v>Opportunity CDP, Washington</v>
          </cell>
          <cell r="D715">
            <v>290</v>
          </cell>
          <cell r="E715">
            <v>290</v>
          </cell>
          <cell r="F715">
            <v>193</v>
          </cell>
          <cell r="G715">
            <v>97</v>
          </cell>
          <cell r="H715">
            <v>0</v>
          </cell>
          <cell r="I715">
            <v>32</v>
          </cell>
          <cell r="J715">
            <v>0</v>
          </cell>
          <cell r="K715">
            <v>65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290</v>
          </cell>
          <cell r="T715">
            <v>0</v>
          </cell>
        </row>
        <row r="716">
          <cell r="C716" t="str">
            <v>Orchards CDP, Washington</v>
          </cell>
          <cell r="D716">
            <v>190</v>
          </cell>
          <cell r="E716">
            <v>183</v>
          </cell>
          <cell r="F716">
            <v>56</v>
          </cell>
          <cell r="G716">
            <v>127</v>
          </cell>
          <cell r="H716">
            <v>25</v>
          </cell>
          <cell r="I716">
            <v>16</v>
          </cell>
          <cell r="J716">
            <v>13</v>
          </cell>
          <cell r="K716">
            <v>73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7</v>
          </cell>
          <cell r="Q716">
            <v>7</v>
          </cell>
          <cell r="R716">
            <v>0</v>
          </cell>
          <cell r="S716">
            <v>183</v>
          </cell>
          <cell r="T716">
            <v>7</v>
          </cell>
        </row>
        <row r="717">
          <cell r="C717" t="str">
            <v>Oroville city, Washington</v>
          </cell>
          <cell r="D717">
            <v>67</v>
          </cell>
          <cell r="E717">
            <v>49</v>
          </cell>
          <cell r="F717">
            <v>39</v>
          </cell>
          <cell r="G717">
            <v>8</v>
          </cell>
          <cell r="H717">
            <v>0</v>
          </cell>
          <cell r="I717">
            <v>2</v>
          </cell>
          <cell r="J717">
            <v>0</v>
          </cell>
          <cell r="K717">
            <v>6</v>
          </cell>
          <cell r="L717">
            <v>2</v>
          </cell>
          <cell r="M717">
            <v>0</v>
          </cell>
          <cell r="N717">
            <v>0</v>
          </cell>
          <cell r="O717">
            <v>2</v>
          </cell>
          <cell r="P717">
            <v>18</v>
          </cell>
          <cell r="Q717">
            <v>13</v>
          </cell>
          <cell r="R717">
            <v>5</v>
          </cell>
          <cell r="S717">
            <v>47</v>
          </cell>
          <cell r="T717">
            <v>20</v>
          </cell>
        </row>
        <row r="718">
          <cell r="C718" t="str">
            <v>Orting city, Washington</v>
          </cell>
          <cell r="D718">
            <v>78</v>
          </cell>
          <cell r="E718">
            <v>78</v>
          </cell>
          <cell r="F718">
            <v>37</v>
          </cell>
          <cell r="G718">
            <v>41</v>
          </cell>
          <cell r="H718">
            <v>0</v>
          </cell>
          <cell r="I718">
            <v>7</v>
          </cell>
          <cell r="J718">
            <v>0</v>
          </cell>
          <cell r="K718">
            <v>34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78</v>
          </cell>
          <cell r="T718">
            <v>0</v>
          </cell>
        </row>
        <row r="719">
          <cell r="C719" t="str">
            <v>Oso CDP, Washington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</row>
        <row r="720">
          <cell r="C720" t="str">
            <v>Othello city, Washington</v>
          </cell>
          <cell r="D720">
            <v>6</v>
          </cell>
          <cell r="E720">
            <v>6</v>
          </cell>
          <cell r="F720">
            <v>6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6</v>
          </cell>
          <cell r="T720">
            <v>0</v>
          </cell>
        </row>
        <row r="721">
          <cell r="C721" t="str">
            <v>Otis Orchards-East Farms CDP, Washington</v>
          </cell>
          <cell r="D721">
            <v>34</v>
          </cell>
          <cell r="E721">
            <v>34</v>
          </cell>
          <cell r="F721">
            <v>19</v>
          </cell>
          <cell r="G721">
            <v>15</v>
          </cell>
          <cell r="H721">
            <v>0</v>
          </cell>
          <cell r="I721">
            <v>0</v>
          </cell>
          <cell r="J721">
            <v>0</v>
          </cell>
          <cell r="K721">
            <v>15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34</v>
          </cell>
          <cell r="T721">
            <v>0</v>
          </cell>
        </row>
        <row r="722">
          <cell r="C722" t="str">
            <v>Oyehut-Hogans Corner CDP, Washington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</row>
        <row r="723">
          <cell r="C723" t="str">
            <v>Pacific city, Washington</v>
          </cell>
          <cell r="D723">
            <v>119</v>
          </cell>
          <cell r="E723">
            <v>119</v>
          </cell>
          <cell r="F723">
            <v>96</v>
          </cell>
          <cell r="G723">
            <v>23</v>
          </cell>
          <cell r="H723">
            <v>0</v>
          </cell>
          <cell r="I723">
            <v>0</v>
          </cell>
          <cell r="J723">
            <v>0</v>
          </cell>
          <cell r="K723">
            <v>23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119</v>
          </cell>
          <cell r="T723">
            <v>0</v>
          </cell>
        </row>
        <row r="724">
          <cell r="C724" t="str">
            <v>Paine Field-Lake Stickney CDP, Washington</v>
          </cell>
          <cell r="D724">
            <v>336</v>
          </cell>
          <cell r="E724">
            <v>336</v>
          </cell>
          <cell r="F724">
            <v>99</v>
          </cell>
          <cell r="G724">
            <v>221</v>
          </cell>
          <cell r="H724">
            <v>0</v>
          </cell>
          <cell r="I724">
            <v>29</v>
          </cell>
          <cell r="J724">
            <v>29</v>
          </cell>
          <cell r="K724">
            <v>163</v>
          </cell>
          <cell r="L724">
            <v>16</v>
          </cell>
          <cell r="M724">
            <v>0</v>
          </cell>
          <cell r="N724">
            <v>0</v>
          </cell>
          <cell r="O724">
            <v>16</v>
          </cell>
          <cell r="P724">
            <v>0</v>
          </cell>
          <cell r="Q724">
            <v>0</v>
          </cell>
          <cell r="R724">
            <v>0</v>
          </cell>
          <cell r="S724">
            <v>320</v>
          </cell>
          <cell r="T724">
            <v>16</v>
          </cell>
        </row>
        <row r="725">
          <cell r="C725" t="str">
            <v>Palouse city, Washington</v>
          </cell>
          <cell r="D725">
            <v>17</v>
          </cell>
          <cell r="E725">
            <v>17</v>
          </cell>
          <cell r="F725">
            <v>3</v>
          </cell>
          <cell r="G725">
            <v>14</v>
          </cell>
          <cell r="H725">
            <v>0</v>
          </cell>
          <cell r="I725">
            <v>2</v>
          </cell>
          <cell r="J725">
            <v>4</v>
          </cell>
          <cell r="K725">
            <v>8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17</v>
          </cell>
          <cell r="T725">
            <v>0</v>
          </cell>
        </row>
        <row r="726">
          <cell r="C726" t="str">
            <v>Parkland CDP, Washington</v>
          </cell>
          <cell r="D726">
            <v>216</v>
          </cell>
          <cell r="E726">
            <v>216</v>
          </cell>
          <cell r="F726">
            <v>133</v>
          </cell>
          <cell r="G726">
            <v>83</v>
          </cell>
          <cell r="H726">
            <v>0</v>
          </cell>
          <cell r="I726">
            <v>0</v>
          </cell>
          <cell r="J726">
            <v>17</v>
          </cell>
          <cell r="K726">
            <v>66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216</v>
          </cell>
          <cell r="T726">
            <v>0</v>
          </cell>
        </row>
        <row r="727">
          <cell r="C727" t="str">
            <v>Parkwood CDP, Washington</v>
          </cell>
          <cell r="D727">
            <v>85</v>
          </cell>
          <cell r="E727">
            <v>85</v>
          </cell>
          <cell r="F727">
            <v>37</v>
          </cell>
          <cell r="G727">
            <v>48</v>
          </cell>
          <cell r="H727">
            <v>0</v>
          </cell>
          <cell r="I727">
            <v>0</v>
          </cell>
          <cell r="J727">
            <v>21</v>
          </cell>
          <cell r="K727">
            <v>27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85</v>
          </cell>
          <cell r="T727">
            <v>0</v>
          </cell>
        </row>
        <row r="728">
          <cell r="C728" t="str">
            <v>Pasco city, Washington</v>
          </cell>
          <cell r="D728">
            <v>222</v>
          </cell>
          <cell r="E728">
            <v>154</v>
          </cell>
          <cell r="F728">
            <v>43</v>
          </cell>
          <cell r="G728">
            <v>111</v>
          </cell>
          <cell r="H728">
            <v>0</v>
          </cell>
          <cell r="I728">
            <v>0</v>
          </cell>
          <cell r="J728">
            <v>42</v>
          </cell>
          <cell r="K728">
            <v>69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68</v>
          </cell>
          <cell r="Q728">
            <v>17</v>
          </cell>
          <cell r="R728">
            <v>51</v>
          </cell>
          <cell r="S728">
            <v>154</v>
          </cell>
          <cell r="T728">
            <v>68</v>
          </cell>
        </row>
        <row r="729">
          <cell r="C729" t="str">
            <v>Pateros city, Washington</v>
          </cell>
          <cell r="D729">
            <v>8</v>
          </cell>
          <cell r="E729">
            <v>6</v>
          </cell>
          <cell r="F729">
            <v>4</v>
          </cell>
          <cell r="G729">
            <v>2</v>
          </cell>
          <cell r="H729">
            <v>0</v>
          </cell>
          <cell r="I729">
            <v>2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2</v>
          </cell>
          <cell r="Q729">
            <v>2</v>
          </cell>
          <cell r="R729">
            <v>0</v>
          </cell>
          <cell r="S729">
            <v>6</v>
          </cell>
          <cell r="T729">
            <v>2</v>
          </cell>
        </row>
        <row r="730">
          <cell r="C730" t="str">
            <v>Peaceful Valley CDP, Washington</v>
          </cell>
          <cell r="D730">
            <v>61</v>
          </cell>
          <cell r="E730">
            <v>61</v>
          </cell>
          <cell r="F730">
            <v>46</v>
          </cell>
          <cell r="G730">
            <v>15</v>
          </cell>
          <cell r="H730">
            <v>0</v>
          </cell>
          <cell r="I730">
            <v>0</v>
          </cell>
          <cell r="J730">
            <v>0</v>
          </cell>
          <cell r="K730">
            <v>15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61</v>
          </cell>
          <cell r="T730">
            <v>0</v>
          </cell>
        </row>
        <row r="731">
          <cell r="C731" t="str">
            <v>Pe Ell town, Washington</v>
          </cell>
          <cell r="D731">
            <v>26</v>
          </cell>
          <cell r="E731">
            <v>26</v>
          </cell>
          <cell r="F731">
            <v>12</v>
          </cell>
          <cell r="G731">
            <v>10</v>
          </cell>
          <cell r="H731">
            <v>0</v>
          </cell>
          <cell r="I731">
            <v>1</v>
          </cell>
          <cell r="J731">
            <v>0</v>
          </cell>
          <cell r="K731">
            <v>9</v>
          </cell>
          <cell r="L731">
            <v>4</v>
          </cell>
          <cell r="M731">
            <v>0</v>
          </cell>
          <cell r="N731">
            <v>0</v>
          </cell>
          <cell r="O731">
            <v>4</v>
          </cell>
          <cell r="P731">
            <v>0</v>
          </cell>
          <cell r="Q731">
            <v>0</v>
          </cell>
          <cell r="R731">
            <v>0</v>
          </cell>
          <cell r="S731">
            <v>22</v>
          </cell>
          <cell r="T731">
            <v>4</v>
          </cell>
        </row>
        <row r="732">
          <cell r="C732" t="str">
            <v>Picnic Point-North Lynnwood CDP, Washington</v>
          </cell>
          <cell r="D732">
            <v>183</v>
          </cell>
          <cell r="E732">
            <v>183</v>
          </cell>
          <cell r="F732">
            <v>101</v>
          </cell>
          <cell r="G732">
            <v>82</v>
          </cell>
          <cell r="H732">
            <v>0</v>
          </cell>
          <cell r="I732">
            <v>15</v>
          </cell>
          <cell r="J732">
            <v>0</v>
          </cell>
          <cell r="K732">
            <v>67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183</v>
          </cell>
          <cell r="T732">
            <v>0</v>
          </cell>
        </row>
        <row r="733">
          <cell r="C733" t="str">
            <v>Pomeroy city, Washington</v>
          </cell>
          <cell r="D733">
            <v>3</v>
          </cell>
          <cell r="E733">
            <v>3</v>
          </cell>
          <cell r="F733">
            <v>1</v>
          </cell>
          <cell r="G733">
            <v>2</v>
          </cell>
          <cell r="H733">
            <v>0</v>
          </cell>
          <cell r="I733">
            <v>0</v>
          </cell>
          <cell r="J733">
            <v>2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3</v>
          </cell>
          <cell r="T733">
            <v>0</v>
          </cell>
        </row>
        <row r="734">
          <cell r="C734" t="str">
            <v>Port Angeles city, Washington</v>
          </cell>
          <cell r="D734">
            <v>460</v>
          </cell>
          <cell r="E734">
            <v>453</v>
          </cell>
          <cell r="F734">
            <v>315</v>
          </cell>
          <cell r="G734">
            <v>138</v>
          </cell>
          <cell r="H734">
            <v>8</v>
          </cell>
          <cell r="I734">
            <v>7</v>
          </cell>
          <cell r="J734">
            <v>30</v>
          </cell>
          <cell r="K734">
            <v>93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7</v>
          </cell>
          <cell r="Q734">
            <v>7</v>
          </cell>
          <cell r="R734">
            <v>0</v>
          </cell>
          <cell r="S734">
            <v>453</v>
          </cell>
          <cell r="T734">
            <v>7</v>
          </cell>
        </row>
        <row r="735">
          <cell r="C735" t="str">
            <v>Port Angeles East CDP, Washington</v>
          </cell>
          <cell r="D735">
            <v>101</v>
          </cell>
          <cell r="E735">
            <v>92</v>
          </cell>
          <cell r="F735">
            <v>92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9</v>
          </cell>
          <cell r="Q735">
            <v>9</v>
          </cell>
          <cell r="R735">
            <v>0</v>
          </cell>
          <cell r="S735">
            <v>92</v>
          </cell>
          <cell r="T735">
            <v>9</v>
          </cell>
        </row>
        <row r="736">
          <cell r="C736" t="str">
            <v>Port Hadlock-Irondale CDP, Washington</v>
          </cell>
          <cell r="D736">
            <v>69</v>
          </cell>
          <cell r="E736">
            <v>69</v>
          </cell>
          <cell r="F736">
            <v>41</v>
          </cell>
          <cell r="G736">
            <v>28</v>
          </cell>
          <cell r="H736">
            <v>0</v>
          </cell>
          <cell r="I736">
            <v>0</v>
          </cell>
          <cell r="J736">
            <v>5</v>
          </cell>
          <cell r="K736">
            <v>23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69</v>
          </cell>
          <cell r="T736">
            <v>0</v>
          </cell>
        </row>
        <row r="737">
          <cell r="C737" t="str">
            <v>Port Ludlow CDP, Washington</v>
          </cell>
          <cell r="D737">
            <v>25</v>
          </cell>
          <cell r="E737">
            <v>25</v>
          </cell>
          <cell r="F737">
            <v>25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25</v>
          </cell>
          <cell r="T737">
            <v>0</v>
          </cell>
        </row>
        <row r="738">
          <cell r="C738" t="str">
            <v>Port Orchard city, Washington</v>
          </cell>
          <cell r="D738">
            <v>29</v>
          </cell>
          <cell r="E738">
            <v>29</v>
          </cell>
          <cell r="F738">
            <v>0</v>
          </cell>
          <cell r="G738">
            <v>29</v>
          </cell>
          <cell r="H738">
            <v>0</v>
          </cell>
          <cell r="I738">
            <v>16</v>
          </cell>
          <cell r="J738">
            <v>0</v>
          </cell>
          <cell r="K738">
            <v>13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29</v>
          </cell>
          <cell r="T738">
            <v>0</v>
          </cell>
        </row>
        <row r="739">
          <cell r="C739" t="str">
            <v>Port Townsend city, Washington</v>
          </cell>
          <cell r="D739">
            <v>100</v>
          </cell>
          <cell r="E739">
            <v>100</v>
          </cell>
          <cell r="F739">
            <v>76</v>
          </cell>
          <cell r="G739">
            <v>24</v>
          </cell>
          <cell r="H739">
            <v>0</v>
          </cell>
          <cell r="I739">
            <v>6</v>
          </cell>
          <cell r="J739">
            <v>13</v>
          </cell>
          <cell r="K739">
            <v>5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100</v>
          </cell>
          <cell r="T739">
            <v>0</v>
          </cell>
        </row>
        <row r="740">
          <cell r="C740" t="str">
            <v>Poulsbo city, Washington</v>
          </cell>
          <cell r="D740">
            <v>49</v>
          </cell>
          <cell r="E740">
            <v>49</v>
          </cell>
          <cell r="F740">
            <v>36</v>
          </cell>
          <cell r="G740">
            <v>13</v>
          </cell>
          <cell r="H740">
            <v>0</v>
          </cell>
          <cell r="I740">
            <v>0</v>
          </cell>
          <cell r="J740">
            <v>8</v>
          </cell>
          <cell r="K740">
            <v>5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49</v>
          </cell>
          <cell r="T740">
            <v>0</v>
          </cell>
        </row>
        <row r="741">
          <cell r="C741" t="str">
            <v>Prairie Ridge CDP, Washington</v>
          </cell>
          <cell r="D741">
            <v>86</v>
          </cell>
          <cell r="E741">
            <v>86</v>
          </cell>
          <cell r="F741">
            <v>37</v>
          </cell>
          <cell r="G741">
            <v>49</v>
          </cell>
          <cell r="H741">
            <v>0</v>
          </cell>
          <cell r="I741">
            <v>8</v>
          </cell>
          <cell r="J741">
            <v>0</v>
          </cell>
          <cell r="K741">
            <v>41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86</v>
          </cell>
          <cell r="T741">
            <v>0</v>
          </cell>
        </row>
        <row r="742">
          <cell r="C742" t="str">
            <v>Prescott town, Washington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</row>
        <row r="743">
          <cell r="C743" t="str">
            <v>Priest Point CDP, Washington</v>
          </cell>
          <cell r="D743">
            <v>90</v>
          </cell>
          <cell r="E743">
            <v>84</v>
          </cell>
          <cell r="F743">
            <v>59</v>
          </cell>
          <cell r="G743">
            <v>17</v>
          </cell>
          <cell r="H743">
            <v>0</v>
          </cell>
          <cell r="I743">
            <v>0</v>
          </cell>
          <cell r="J743">
            <v>0</v>
          </cell>
          <cell r="K743">
            <v>17</v>
          </cell>
          <cell r="L743">
            <v>8</v>
          </cell>
          <cell r="M743">
            <v>0</v>
          </cell>
          <cell r="N743">
            <v>0</v>
          </cell>
          <cell r="O743">
            <v>8</v>
          </cell>
          <cell r="P743">
            <v>6</v>
          </cell>
          <cell r="Q743">
            <v>6</v>
          </cell>
          <cell r="R743">
            <v>0</v>
          </cell>
          <cell r="S743">
            <v>76</v>
          </cell>
          <cell r="T743">
            <v>14</v>
          </cell>
        </row>
        <row r="744">
          <cell r="C744" t="str">
            <v>Prosser city, Washington</v>
          </cell>
          <cell r="D744">
            <v>18</v>
          </cell>
          <cell r="E744">
            <v>18</v>
          </cell>
          <cell r="F744">
            <v>6</v>
          </cell>
          <cell r="G744">
            <v>12</v>
          </cell>
          <cell r="H744">
            <v>0</v>
          </cell>
          <cell r="I744">
            <v>0</v>
          </cell>
          <cell r="J744">
            <v>6</v>
          </cell>
          <cell r="K744">
            <v>6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18</v>
          </cell>
          <cell r="T744">
            <v>0</v>
          </cell>
        </row>
        <row r="745">
          <cell r="C745" t="str">
            <v>Pullman city, Washington</v>
          </cell>
          <cell r="D745">
            <v>58</v>
          </cell>
          <cell r="E745">
            <v>58</v>
          </cell>
          <cell r="F745">
            <v>41</v>
          </cell>
          <cell r="G745">
            <v>17</v>
          </cell>
          <cell r="H745">
            <v>0</v>
          </cell>
          <cell r="I745">
            <v>12</v>
          </cell>
          <cell r="J745">
            <v>0</v>
          </cell>
          <cell r="K745">
            <v>5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58</v>
          </cell>
          <cell r="T745">
            <v>0</v>
          </cell>
        </row>
        <row r="746">
          <cell r="C746" t="str">
            <v>Puyallup city, Washington</v>
          </cell>
          <cell r="D746">
            <v>234</v>
          </cell>
          <cell r="E746">
            <v>229</v>
          </cell>
          <cell r="F746">
            <v>140</v>
          </cell>
          <cell r="G746">
            <v>89</v>
          </cell>
          <cell r="H746">
            <v>15</v>
          </cell>
          <cell r="I746">
            <v>23</v>
          </cell>
          <cell r="J746">
            <v>12</v>
          </cell>
          <cell r="K746">
            <v>39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5</v>
          </cell>
          <cell r="Q746">
            <v>5</v>
          </cell>
          <cell r="R746">
            <v>0</v>
          </cell>
          <cell r="S746">
            <v>229</v>
          </cell>
          <cell r="T746">
            <v>5</v>
          </cell>
        </row>
        <row r="747">
          <cell r="C747" t="str">
            <v>Quilcene CDP, Washington</v>
          </cell>
          <cell r="D747">
            <v>17</v>
          </cell>
          <cell r="E747">
            <v>17</v>
          </cell>
          <cell r="F747">
            <v>15</v>
          </cell>
          <cell r="G747">
            <v>2</v>
          </cell>
          <cell r="H747">
            <v>0</v>
          </cell>
          <cell r="I747">
            <v>0</v>
          </cell>
          <cell r="J747">
            <v>2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17</v>
          </cell>
          <cell r="T747">
            <v>0</v>
          </cell>
        </row>
        <row r="748">
          <cell r="C748" t="str">
            <v>Quincy city, Washington</v>
          </cell>
          <cell r="D748">
            <v>39</v>
          </cell>
          <cell r="E748">
            <v>39</v>
          </cell>
          <cell r="F748">
            <v>35</v>
          </cell>
          <cell r="G748">
            <v>4</v>
          </cell>
          <cell r="H748">
            <v>0</v>
          </cell>
          <cell r="I748">
            <v>0</v>
          </cell>
          <cell r="J748">
            <v>0</v>
          </cell>
          <cell r="K748">
            <v>4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39</v>
          </cell>
          <cell r="T748">
            <v>0</v>
          </cell>
        </row>
        <row r="749">
          <cell r="C749" t="str">
            <v>Rainier town, Washington</v>
          </cell>
          <cell r="D749">
            <v>11</v>
          </cell>
          <cell r="E749">
            <v>11</v>
          </cell>
          <cell r="F749">
            <v>4</v>
          </cell>
          <cell r="G749">
            <v>7</v>
          </cell>
          <cell r="H749">
            <v>0</v>
          </cell>
          <cell r="I749">
            <v>5</v>
          </cell>
          <cell r="J749">
            <v>0</v>
          </cell>
          <cell r="K749">
            <v>2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11</v>
          </cell>
          <cell r="T749">
            <v>0</v>
          </cell>
        </row>
        <row r="750">
          <cell r="C750" t="str">
            <v>Ravensdale CDP, Washington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</row>
        <row r="751">
          <cell r="C751" t="str">
            <v>Raymond city, Washington</v>
          </cell>
          <cell r="D751">
            <v>31</v>
          </cell>
          <cell r="E751">
            <v>31</v>
          </cell>
          <cell r="F751">
            <v>31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31</v>
          </cell>
          <cell r="T751">
            <v>0</v>
          </cell>
        </row>
        <row r="752">
          <cell r="C752" t="str">
            <v>Reardan town, Washington</v>
          </cell>
          <cell r="D752">
            <v>21</v>
          </cell>
          <cell r="E752">
            <v>21</v>
          </cell>
          <cell r="F752">
            <v>15</v>
          </cell>
          <cell r="G752">
            <v>6</v>
          </cell>
          <cell r="H752">
            <v>0</v>
          </cell>
          <cell r="I752">
            <v>0</v>
          </cell>
          <cell r="J752">
            <v>0</v>
          </cell>
          <cell r="K752">
            <v>6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21</v>
          </cell>
          <cell r="T752">
            <v>0</v>
          </cell>
        </row>
        <row r="753">
          <cell r="C753" t="str">
            <v>Redmond city, Washington</v>
          </cell>
          <cell r="D753">
            <v>204</v>
          </cell>
          <cell r="E753">
            <v>190</v>
          </cell>
          <cell r="F753">
            <v>74</v>
          </cell>
          <cell r="G753">
            <v>116</v>
          </cell>
          <cell r="H753">
            <v>9</v>
          </cell>
          <cell r="I753">
            <v>45</v>
          </cell>
          <cell r="J753">
            <v>20</v>
          </cell>
          <cell r="K753">
            <v>42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14</v>
          </cell>
          <cell r="Q753">
            <v>0</v>
          </cell>
          <cell r="R753">
            <v>14</v>
          </cell>
          <cell r="S753">
            <v>190</v>
          </cell>
          <cell r="T753">
            <v>14</v>
          </cell>
        </row>
        <row r="754">
          <cell r="C754" t="str">
            <v>Renton city, Washington</v>
          </cell>
          <cell r="D754">
            <v>266</v>
          </cell>
          <cell r="E754">
            <v>255</v>
          </cell>
          <cell r="F754">
            <v>105</v>
          </cell>
          <cell r="G754">
            <v>138</v>
          </cell>
          <cell r="H754">
            <v>13</v>
          </cell>
          <cell r="I754">
            <v>8</v>
          </cell>
          <cell r="J754">
            <v>23</v>
          </cell>
          <cell r="K754">
            <v>94</v>
          </cell>
          <cell r="L754">
            <v>12</v>
          </cell>
          <cell r="M754">
            <v>0</v>
          </cell>
          <cell r="N754">
            <v>0</v>
          </cell>
          <cell r="O754">
            <v>12</v>
          </cell>
          <cell r="P754">
            <v>11</v>
          </cell>
          <cell r="Q754">
            <v>11</v>
          </cell>
          <cell r="R754">
            <v>0</v>
          </cell>
          <cell r="S754">
            <v>243</v>
          </cell>
          <cell r="T754">
            <v>23</v>
          </cell>
        </row>
        <row r="755">
          <cell r="C755" t="str">
            <v>Republic city, Washington</v>
          </cell>
          <cell r="D755">
            <v>34</v>
          </cell>
          <cell r="E755">
            <v>34</v>
          </cell>
          <cell r="F755">
            <v>17</v>
          </cell>
          <cell r="G755">
            <v>12</v>
          </cell>
          <cell r="H755">
            <v>2</v>
          </cell>
          <cell r="I755">
            <v>3</v>
          </cell>
          <cell r="J755">
            <v>0</v>
          </cell>
          <cell r="K755">
            <v>7</v>
          </cell>
          <cell r="L755">
            <v>5</v>
          </cell>
          <cell r="M755">
            <v>0</v>
          </cell>
          <cell r="N755">
            <v>0</v>
          </cell>
          <cell r="O755">
            <v>5</v>
          </cell>
          <cell r="P755">
            <v>0</v>
          </cell>
          <cell r="Q755">
            <v>0</v>
          </cell>
          <cell r="R755">
            <v>0</v>
          </cell>
          <cell r="S755">
            <v>29</v>
          </cell>
          <cell r="T755">
            <v>5</v>
          </cell>
        </row>
        <row r="756">
          <cell r="C756" t="str">
            <v>Richland city, Washington</v>
          </cell>
          <cell r="D756">
            <v>179</v>
          </cell>
          <cell r="E756">
            <v>179</v>
          </cell>
          <cell r="F756">
            <v>42</v>
          </cell>
          <cell r="G756">
            <v>137</v>
          </cell>
          <cell r="H756">
            <v>8</v>
          </cell>
          <cell r="I756">
            <v>18</v>
          </cell>
          <cell r="J756">
            <v>18</v>
          </cell>
          <cell r="K756">
            <v>93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179</v>
          </cell>
          <cell r="T756">
            <v>0</v>
          </cell>
        </row>
        <row r="757">
          <cell r="C757" t="str">
            <v>Ridgefield city, Washington</v>
          </cell>
          <cell r="D757">
            <v>29</v>
          </cell>
          <cell r="E757">
            <v>29</v>
          </cell>
          <cell r="F757">
            <v>3</v>
          </cell>
          <cell r="G757">
            <v>26</v>
          </cell>
          <cell r="H757">
            <v>2</v>
          </cell>
          <cell r="I757">
            <v>0</v>
          </cell>
          <cell r="J757">
            <v>8</v>
          </cell>
          <cell r="K757">
            <v>16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29</v>
          </cell>
          <cell r="T757">
            <v>0</v>
          </cell>
        </row>
        <row r="758">
          <cell r="C758" t="str">
            <v>Ritzville city, Washington</v>
          </cell>
          <cell r="D758">
            <v>9</v>
          </cell>
          <cell r="E758">
            <v>9</v>
          </cell>
          <cell r="F758">
            <v>2</v>
          </cell>
          <cell r="G758">
            <v>7</v>
          </cell>
          <cell r="H758">
            <v>0</v>
          </cell>
          <cell r="I758">
            <v>2</v>
          </cell>
          <cell r="J758">
            <v>0</v>
          </cell>
          <cell r="K758">
            <v>5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9</v>
          </cell>
          <cell r="T758">
            <v>0</v>
          </cell>
        </row>
        <row r="759">
          <cell r="C759" t="str">
            <v>Riverbend CDP, Washington</v>
          </cell>
          <cell r="D759">
            <v>7</v>
          </cell>
          <cell r="E759">
            <v>7</v>
          </cell>
          <cell r="F759">
            <v>7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7</v>
          </cell>
          <cell r="T759">
            <v>0</v>
          </cell>
        </row>
        <row r="760">
          <cell r="C760" t="str">
            <v>River Road CDP, Washington</v>
          </cell>
          <cell r="D760">
            <v>7</v>
          </cell>
          <cell r="E760">
            <v>7</v>
          </cell>
          <cell r="F760">
            <v>0</v>
          </cell>
          <cell r="G760">
            <v>7</v>
          </cell>
          <cell r="H760">
            <v>0</v>
          </cell>
          <cell r="I760">
            <v>3</v>
          </cell>
          <cell r="J760">
            <v>0</v>
          </cell>
          <cell r="K760">
            <v>4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7</v>
          </cell>
          <cell r="T760">
            <v>0</v>
          </cell>
        </row>
        <row r="761">
          <cell r="C761" t="str">
            <v>Riverside town, Washington</v>
          </cell>
          <cell r="D761">
            <v>18</v>
          </cell>
          <cell r="E761">
            <v>18</v>
          </cell>
          <cell r="F761">
            <v>13</v>
          </cell>
          <cell r="G761">
            <v>5</v>
          </cell>
          <cell r="H761">
            <v>0</v>
          </cell>
          <cell r="I761">
            <v>0</v>
          </cell>
          <cell r="J761">
            <v>2</v>
          </cell>
          <cell r="K761">
            <v>3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18</v>
          </cell>
          <cell r="T761">
            <v>0</v>
          </cell>
        </row>
        <row r="762">
          <cell r="C762" t="str">
            <v>Riverton-Boulevard Park CDP, Washington</v>
          </cell>
          <cell r="D762">
            <v>21</v>
          </cell>
          <cell r="E762">
            <v>21</v>
          </cell>
          <cell r="F762">
            <v>1</v>
          </cell>
          <cell r="G762">
            <v>20</v>
          </cell>
          <cell r="H762">
            <v>0</v>
          </cell>
          <cell r="I762">
            <v>0</v>
          </cell>
          <cell r="J762">
            <v>0</v>
          </cell>
          <cell r="K762">
            <v>20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21</v>
          </cell>
          <cell r="T762">
            <v>0</v>
          </cell>
        </row>
        <row r="763">
          <cell r="C763" t="str">
            <v>Rochester CDP, Washington</v>
          </cell>
          <cell r="D763">
            <v>13</v>
          </cell>
          <cell r="E763">
            <v>13</v>
          </cell>
          <cell r="F763">
            <v>0</v>
          </cell>
          <cell r="G763">
            <v>13</v>
          </cell>
          <cell r="H763">
            <v>0</v>
          </cell>
          <cell r="I763">
            <v>0</v>
          </cell>
          <cell r="J763">
            <v>0</v>
          </cell>
          <cell r="K763">
            <v>13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13</v>
          </cell>
          <cell r="T763">
            <v>0</v>
          </cell>
        </row>
        <row r="764">
          <cell r="C764" t="str">
            <v>Rockford town, Washington</v>
          </cell>
          <cell r="D764">
            <v>2</v>
          </cell>
          <cell r="E764">
            <v>2</v>
          </cell>
          <cell r="F764">
            <v>0</v>
          </cell>
          <cell r="G764">
            <v>2</v>
          </cell>
          <cell r="H764">
            <v>0</v>
          </cell>
          <cell r="I764">
            <v>0</v>
          </cell>
          <cell r="J764">
            <v>0</v>
          </cell>
          <cell r="K764">
            <v>2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</v>
          </cell>
          <cell r="T764">
            <v>0</v>
          </cell>
        </row>
        <row r="765">
          <cell r="C765" t="str">
            <v>Rock Island city, Washington</v>
          </cell>
          <cell r="D765">
            <v>13</v>
          </cell>
          <cell r="E765">
            <v>8</v>
          </cell>
          <cell r="F765">
            <v>6</v>
          </cell>
          <cell r="G765">
            <v>2</v>
          </cell>
          <cell r="H765">
            <v>0</v>
          </cell>
          <cell r="I765">
            <v>0</v>
          </cell>
          <cell r="J765">
            <v>0</v>
          </cell>
          <cell r="K765">
            <v>2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5</v>
          </cell>
          <cell r="Q765">
            <v>0</v>
          </cell>
          <cell r="R765">
            <v>5</v>
          </cell>
          <cell r="S765">
            <v>8</v>
          </cell>
          <cell r="T765">
            <v>5</v>
          </cell>
        </row>
        <row r="766">
          <cell r="C766" t="str">
            <v>Rockport CDP, Washington</v>
          </cell>
          <cell r="D766">
            <v>8</v>
          </cell>
          <cell r="E766">
            <v>8</v>
          </cell>
          <cell r="F766">
            <v>0</v>
          </cell>
          <cell r="G766">
            <v>8</v>
          </cell>
          <cell r="H766">
            <v>0</v>
          </cell>
          <cell r="I766">
            <v>0</v>
          </cell>
          <cell r="J766">
            <v>8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8</v>
          </cell>
          <cell r="T766">
            <v>0</v>
          </cell>
        </row>
        <row r="767">
          <cell r="C767" t="str">
            <v>Ronald CDP, Washington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</row>
        <row r="768">
          <cell r="C768" t="str">
            <v>Roosevelt CDP, Washington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</row>
        <row r="769">
          <cell r="C769" t="str">
            <v>Rosalia town, Washington</v>
          </cell>
          <cell r="D769">
            <v>7</v>
          </cell>
          <cell r="E769">
            <v>7</v>
          </cell>
          <cell r="F769">
            <v>6</v>
          </cell>
          <cell r="G769">
            <v>1</v>
          </cell>
          <cell r="H769">
            <v>0</v>
          </cell>
          <cell r="I769">
            <v>0</v>
          </cell>
          <cell r="J769">
            <v>0</v>
          </cell>
          <cell r="K769">
            <v>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7</v>
          </cell>
          <cell r="T769">
            <v>0</v>
          </cell>
        </row>
        <row r="770">
          <cell r="C770" t="str">
            <v>Roslyn city, Washington</v>
          </cell>
          <cell r="D770">
            <v>18</v>
          </cell>
          <cell r="E770">
            <v>18</v>
          </cell>
          <cell r="F770">
            <v>16</v>
          </cell>
          <cell r="G770">
            <v>2</v>
          </cell>
          <cell r="H770">
            <v>0</v>
          </cell>
          <cell r="I770">
            <v>0</v>
          </cell>
          <cell r="J770">
            <v>0</v>
          </cell>
          <cell r="K770">
            <v>2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18</v>
          </cell>
          <cell r="T770">
            <v>0</v>
          </cell>
        </row>
        <row r="771">
          <cell r="C771" t="str">
            <v>Roy city, Washington</v>
          </cell>
          <cell r="D771">
            <v>9</v>
          </cell>
          <cell r="E771">
            <v>9</v>
          </cell>
          <cell r="F771">
            <v>6</v>
          </cell>
          <cell r="G771">
            <v>3</v>
          </cell>
          <cell r="H771">
            <v>0</v>
          </cell>
          <cell r="I771">
            <v>0</v>
          </cell>
          <cell r="J771">
            <v>0</v>
          </cell>
          <cell r="K771">
            <v>3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9</v>
          </cell>
          <cell r="T771">
            <v>0</v>
          </cell>
        </row>
        <row r="772">
          <cell r="C772" t="str">
            <v>Royal City city, Washington</v>
          </cell>
          <cell r="D772">
            <v>20</v>
          </cell>
          <cell r="E772">
            <v>15</v>
          </cell>
          <cell r="F772">
            <v>11</v>
          </cell>
          <cell r="G772">
            <v>4</v>
          </cell>
          <cell r="H772">
            <v>0</v>
          </cell>
          <cell r="I772">
            <v>0</v>
          </cell>
          <cell r="J772">
            <v>0</v>
          </cell>
          <cell r="K772">
            <v>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5</v>
          </cell>
          <cell r="Q772">
            <v>5</v>
          </cell>
          <cell r="R772">
            <v>0</v>
          </cell>
          <cell r="S772">
            <v>15</v>
          </cell>
          <cell r="T772">
            <v>5</v>
          </cell>
        </row>
        <row r="773">
          <cell r="C773" t="str">
            <v>Ruston town, Washington</v>
          </cell>
          <cell r="D773">
            <v>13</v>
          </cell>
          <cell r="E773">
            <v>13</v>
          </cell>
          <cell r="F773">
            <v>7</v>
          </cell>
          <cell r="G773">
            <v>6</v>
          </cell>
          <cell r="H773">
            <v>0</v>
          </cell>
          <cell r="I773">
            <v>0</v>
          </cell>
          <cell r="J773">
            <v>0</v>
          </cell>
          <cell r="K773">
            <v>6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13</v>
          </cell>
          <cell r="T773">
            <v>0</v>
          </cell>
        </row>
        <row r="774">
          <cell r="C774" t="str">
            <v>St. John town, Washington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</row>
        <row r="775">
          <cell r="C775" t="str">
            <v>Salmon Creek CDP, Washington</v>
          </cell>
          <cell r="D775">
            <v>107</v>
          </cell>
          <cell r="E775">
            <v>65</v>
          </cell>
          <cell r="F775">
            <v>32</v>
          </cell>
          <cell r="G775">
            <v>33</v>
          </cell>
          <cell r="H775">
            <v>0</v>
          </cell>
          <cell r="I775">
            <v>0</v>
          </cell>
          <cell r="J775">
            <v>0</v>
          </cell>
          <cell r="K775">
            <v>33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42</v>
          </cell>
          <cell r="Q775">
            <v>0</v>
          </cell>
          <cell r="R775">
            <v>42</v>
          </cell>
          <cell r="S775">
            <v>65</v>
          </cell>
          <cell r="T775">
            <v>42</v>
          </cell>
        </row>
        <row r="776">
          <cell r="C776" t="str">
            <v>Sammamish city, Washington</v>
          </cell>
          <cell r="D776">
            <v>145</v>
          </cell>
          <cell r="E776">
            <v>145</v>
          </cell>
          <cell r="F776">
            <v>46</v>
          </cell>
          <cell r="G776">
            <v>89</v>
          </cell>
          <cell r="H776">
            <v>0</v>
          </cell>
          <cell r="I776">
            <v>17</v>
          </cell>
          <cell r="J776">
            <v>0</v>
          </cell>
          <cell r="K776">
            <v>72</v>
          </cell>
          <cell r="L776">
            <v>10</v>
          </cell>
          <cell r="M776">
            <v>0</v>
          </cell>
          <cell r="N776">
            <v>0</v>
          </cell>
          <cell r="O776">
            <v>10</v>
          </cell>
          <cell r="P776">
            <v>0</v>
          </cell>
          <cell r="Q776">
            <v>0</v>
          </cell>
          <cell r="R776">
            <v>0</v>
          </cell>
          <cell r="S776">
            <v>135</v>
          </cell>
          <cell r="T776">
            <v>10</v>
          </cell>
        </row>
        <row r="777">
          <cell r="C777" t="str">
            <v>Satsop CDP, Washington</v>
          </cell>
          <cell r="D777">
            <v>7</v>
          </cell>
          <cell r="E777">
            <v>7</v>
          </cell>
          <cell r="F777">
            <v>4</v>
          </cell>
          <cell r="G777">
            <v>3</v>
          </cell>
          <cell r="H777">
            <v>0</v>
          </cell>
          <cell r="I777">
            <v>0</v>
          </cell>
          <cell r="J777">
            <v>0</v>
          </cell>
          <cell r="K777">
            <v>3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7</v>
          </cell>
          <cell r="T777">
            <v>0</v>
          </cell>
        </row>
        <row r="778">
          <cell r="C778" t="str">
            <v>Satus CDP, Washington</v>
          </cell>
          <cell r="D778">
            <v>266</v>
          </cell>
          <cell r="E778">
            <v>266</v>
          </cell>
          <cell r="F778">
            <v>228</v>
          </cell>
          <cell r="G778">
            <v>38</v>
          </cell>
          <cell r="H778">
            <v>0</v>
          </cell>
          <cell r="I778">
            <v>3</v>
          </cell>
          <cell r="J778">
            <v>5</v>
          </cell>
          <cell r="K778">
            <v>30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266</v>
          </cell>
          <cell r="T778">
            <v>0</v>
          </cell>
        </row>
        <row r="779">
          <cell r="C779" t="str">
            <v>SeaTac city, Washington</v>
          </cell>
          <cell r="D779">
            <v>336</v>
          </cell>
          <cell r="E779">
            <v>316</v>
          </cell>
          <cell r="F779">
            <v>173</v>
          </cell>
          <cell r="G779">
            <v>143</v>
          </cell>
          <cell r="H779">
            <v>0</v>
          </cell>
          <cell r="I779">
            <v>26</v>
          </cell>
          <cell r="J779">
            <v>7</v>
          </cell>
          <cell r="K779">
            <v>110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20</v>
          </cell>
          <cell r="Q779">
            <v>0</v>
          </cell>
          <cell r="R779">
            <v>20</v>
          </cell>
          <cell r="S779">
            <v>316</v>
          </cell>
          <cell r="T779">
            <v>20</v>
          </cell>
        </row>
        <row r="780">
          <cell r="C780" t="str">
            <v>Seattle city, Washington</v>
          </cell>
          <cell r="D780">
            <v>5645</v>
          </cell>
          <cell r="E780">
            <v>5195</v>
          </cell>
          <cell r="F780">
            <v>2630</v>
          </cell>
          <cell r="G780">
            <v>2499</v>
          </cell>
          <cell r="H780">
            <v>91</v>
          </cell>
          <cell r="I780">
            <v>465</v>
          </cell>
          <cell r="J780">
            <v>205</v>
          </cell>
          <cell r="K780">
            <v>1738</v>
          </cell>
          <cell r="L780">
            <v>66</v>
          </cell>
          <cell r="M780">
            <v>0</v>
          </cell>
          <cell r="N780">
            <v>0</v>
          </cell>
          <cell r="O780">
            <v>66</v>
          </cell>
          <cell r="P780">
            <v>450</v>
          </cell>
          <cell r="Q780">
            <v>177</v>
          </cell>
          <cell r="R780">
            <v>273</v>
          </cell>
          <cell r="S780">
            <v>5129</v>
          </cell>
          <cell r="T780">
            <v>516</v>
          </cell>
        </row>
        <row r="781">
          <cell r="C781" t="str">
            <v>Seattle Hill-Silver Firs CDP, Washington</v>
          </cell>
          <cell r="D781">
            <v>295</v>
          </cell>
          <cell r="E781">
            <v>265</v>
          </cell>
          <cell r="F781">
            <v>233</v>
          </cell>
          <cell r="G781">
            <v>32</v>
          </cell>
          <cell r="H781">
            <v>0</v>
          </cell>
          <cell r="I781">
            <v>0</v>
          </cell>
          <cell r="J781">
            <v>0</v>
          </cell>
          <cell r="K781">
            <v>32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30</v>
          </cell>
          <cell r="Q781">
            <v>16</v>
          </cell>
          <cell r="R781">
            <v>14</v>
          </cell>
          <cell r="S781">
            <v>265</v>
          </cell>
          <cell r="T781">
            <v>30</v>
          </cell>
        </row>
        <row r="782">
          <cell r="C782" t="str">
            <v>Sedro-Woolley city, Washington</v>
          </cell>
          <cell r="D782">
            <v>21</v>
          </cell>
          <cell r="E782">
            <v>21</v>
          </cell>
          <cell r="F782">
            <v>6</v>
          </cell>
          <cell r="G782">
            <v>15</v>
          </cell>
          <cell r="H782">
            <v>0</v>
          </cell>
          <cell r="I782">
            <v>0</v>
          </cell>
          <cell r="J782">
            <v>5</v>
          </cell>
          <cell r="K782">
            <v>10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21</v>
          </cell>
          <cell r="T782">
            <v>0</v>
          </cell>
        </row>
        <row r="783">
          <cell r="C783" t="str">
            <v>Selah city, Washington</v>
          </cell>
          <cell r="D783">
            <v>7</v>
          </cell>
          <cell r="E783">
            <v>7</v>
          </cell>
          <cell r="F783">
            <v>7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7</v>
          </cell>
          <cell r="T783">
            <v>0</v>
          </cell>
        </row>
        <row r="784">
          <cell r="C784" t="str">
            <v>Sequim city, Washington</v>
          </cell>
          <cell r="D784">
            <v>44</v>
          </cell>
          <cell r="E784">
            <v>44</v>
          </cell>
          <cell r="F784">
            <v>13</v>
          </cell>
          <cell r="G784">
            <v>31</v>
          </cell>
          <cell r="H784">
            <v>0</v>
          </cell>
          <cell r="I784">
            <v>6</v>
          </cell>
          <cell r="J784">
            <v>0</v>
          </cell>
          <cell r="K784">
            <v>25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44</v>
          </cell>
          <cell r="T784">
            <v>0</v>
          </cell>
        </row>
        <row r="785">
          <cell r="C785" t="str">
            <v>Shaker Church CDP, Washington</v>
          </cell>
          <cell r="D785">
            <v>239</v>
          </cell>
          <cell r="E785">
            <v>237</v>
          </cell>
          <cell r="F785">
            <v>212</v>
          </cell>
          <cell r="G785">
            <v>16</v>
          </cell>
          <cell r="H785">
            <v>0</v>
          </cell>
          <cell r="I785">
            <v>0</v>
          </cell>
          <cell r="J785">
            <v>7</v>
          </cell>
          <cell r="K785">
            <v>9</v>
          </cell>
          <cell r="L785">
            <v>9</v>
          </cell>
          <cell r="M785">
            <v>0</v>
          </cell>
          <cell r="N785">
            <v>0</v>
          </cell>
          <cell r="O785">
            <v>9</v>
          </cell>
          <cell r="P785">
            <v>2</v>
          </cell>
          <cell r="Q785">
            <v>2</v>
          </cell>
          <cell r="R785">
            <v>0</v>
          </cell>
          <cell r="S785">
            <v>228</v>
          </cell>
          <cell r="T785">
            <v>11</v>
          </cell>
        </row>
        <row r="786">
          <cell r="C786" t="str">
            <v>Shelton city, Washington</v>
          </cell>
          <cell r="D786">
            <v>183</v>
          </cell>
          <cell r="E786">
            <v>183</v>
          </cell>
          <cell r="F786">
            <v>101</v>
          </cell>
          <cell r="G786">
            <v>82</v>
          </cell>
          <cell r="H786">
            <v>0</v>
          </cell>
          <cell r="I786">
            <v>8</v>
          </cell>
          <cell r="J786">
            <v>35</v>
          </cell>
          <cell r="K786">
            <v>39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183</v>
          </cell>
          <cell r="T786">
            <v>0</v>
          </cell>
        </row>
        <row r="787">
          <cell r="C787" t="str">
            <v>Shoreline city, Washington</v>
          </cell>
          <cell r="D787">
            <v>552</v>
          </cell>
          <cell r="E787">
            <v>517</v>
          </cell>
          <cell r="F787">
            <v>329</v>
          </cell>
          <cell r="G787">
            <v>188</v>
          </cell>
          <cell r="H787">
            <v>20</v>
          </cell>
          <cell r="I787">
            <v>12</v>
          </cell>
          <cell r="J787">
            <v>17</v>
          </cell>
          <cell r="K787">
            <v>139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35</v>
          </cell>
          <cell r="Q787">
            <v>0</v>
          </cell>
          <cell r="R787">
            <v>35</v>
          </cell>
          <cell r="S787">
            <v>517</v>
          </cell>
          <cell r="T787">
            <v>35</v>
          </cell>
        </row>
        <row r="788">
          <cell r="C788" t="str">
            <v>Silvana CDP, Washington</v>
          </cell>
          <cell r="D788">
            <v>45</v>
          </cell>
          <cell r="E788">
            <v>45</v>
          </cell>
          <cell r="F788">
            <v>45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45</v>
          </cell>
          <cell r="T788">
            <v>0</v>
          </cell>
        </row>
        <row r="789">
          <cell r="C789" t="str">
            <v>Silverdale CDP, Washington</v>
          </cell>
          <cell r="D789">
            <v>89</v>
          </cell>
          <cell r="E789">
            <v>85</v>
          </cell>
          <cell r="F789">
            <v>22</v>
          </cell>
          <cell r="G789">
            <v>63</v>
          </cell>
          <cell r="H789">
            <v>0</v>
          </cell>
          <cell r="I789">
            <v>11</v>
          </cell>
          <cell r="J789">
            <v>6</v>
          </cell>
          <cell r="K789">
            <v>46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4</v>
          </cell>
          <cell r="Q789">
            <v>4</v>
          </cell>
          <cell r="R789">
            <v>0</v>
          </cell>
          <cell r="S789">
            <v>85</v>
          </cell>
          <cell r="T789">
            <v>4</v>
          </cell>
        </row>
        <row r="790">
          <cell r="C790" t="str">
            <v>Skokomish CDP, Washington</v>
          </cell>
          <cell r="D790">
            <v>508</v>
          </cell>
          <cell r="E790">
            <v>507</v>
          </cell>
          <cell r="F790">
            <v>477</v>
          </cell>
          <cell r="G790">
            <v>30</v>
          </cell>
          <cell r="H790">
            <v>0</v>
          </cell>
          <cell r="I790">
            <v>8</v>
          </cell>
          <cell r="J790">
            <v>0</v>
          </cell>
          <cell r="K790">
            <v>22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1</v>
          </cell>
          <cell r="Q790">
            <v>0</v>
          </cell>
          <cell r="R790">
            <v>1</v>
          </cell>
          <cell r="S790">
            <v>507</v>
          </cell>
          <cell r="T790">
            <v>1</v>
          </cell>
        </row>
        <row r="791">
          <cell r="C791" t="str">
            <v>Skykomish town, Washington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</row>
        <row r="792">
          <cell r="C792" t="str">
            <v>Smokey Point CDP, Washington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</row>
        <row r="793">
          <cell r="C793" t="str">
            <v>Snohomish city, Washington</v>
          </cell>
          <cell r="D793">
            <v>59</v>
          </cell>
          <cell r="E793">
            <v>59</v>
          </cell>
          <cell r="F793">
            <v>47</v>
          </cell>
          <cell r="G793">
            <v>12</v>
          </cell>
          <cell r="H793">
            <v>9</v>
          </cell>
          <cell r="I793">
            <v>0</v>
          </cell>
          <cell r="J793">
            <v>0</v>
          </cell>
          <cell r="K793">
            <v>3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59</v>
          </cell>
          <cell r="T793">
            <v>0</v>
          </cell>
        </row>
        <row r="794">
          <cell r="C794" t="str">
            <v>Snoqualmie city, Washington</v>
          </cell>
          <cell r="D794">
            <v>67</v>
          </cell>
          <cell r="E794">
            <v>67</v>
          </cell>
          <cell r="F794">
            <v>52</v>
          </cell>
          <cell r="G794">
            <v>15</v>
          </cell>
          <cell r="H794">
            <v>5</v>
          </cell>
          <cell r="I794">
            <v>0</v>
          </cell>
          <cell r="J794">
            <v>7</v>
          </cell>
          <cell r="K794">
            <v>3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67</v>
          </cell>
          <cell r="T794">
            <v>0</v>
          </cell>
        </row>
        <row r="795">
          <cell r="C795" t="str">
            <v>Snoqualmie Pass CDP, Washington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</row>
        <row r="796">
          <cell r="C796" t="str">
            <v>Soap Lake city, Washington</v>
          </cell>
          <cell r="D796">
            <v>26</v>
          </cell>
          <cell r="E796">
            <v>24</v>
          </cell>
          <cell r="F796">
            <v>17</v>
          </cell>
          <cell r="G796">
            <v>7</v>
          </cell>
          <cell r="H796">
            <v>0</v>
          </cell>
          <cell r="I796">
            <v>4</v>
          </cell>
          <cell r="J796">
            <v>0</v>
          </cell>
          <cell r="K796">
            <v>3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2</v>
          </cell>
          <cell r="Q796">
            <v>0</v>
          </cell>
          <cell r="R796">
            <v>2</v>
          </cell>
          <cell r="S796">
            <v>24</v>
          </cell>
          <cell r="T796">
            <v>2</v>
          </cell>
        </row>
        <row r="797">
          <cell r="C797" t="str">
            <v>South Bend city, Washington</v>
          </cell>
          <cell r="D797">
            <v>80</v>
          </cell>
          <cell r="E797">
            <v>80</v>
          </cell>
          <cell r="F797">
            <v>50</v>
          </cell>
          <cell r="G797">
            <v>30</v>
          </cell>
          <cell r="H797">
            <v>0</v>
          </cell>
          <cell r="I797">
            <v>0</v>
          </cell>
          <cell r="J797">
            <v>4</v>
          </cell>
          <cell r="K797">
            <v>26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80</v>
          </cell>
          <cell r="T797">
            <v>0</v>
          </cell>
        </row>
        <row r="798">
          <cell r="C798" t="str">
            <v>South Cle Elum town, Washington</v>
          </cell>
          <cell r="D798">
            <v>3</v>
          </cell>
          <cell r="E798">
            <v>3</v>
          </cell>
          <cell r="F798">
            <v>2</v>
          </cell>
          <cell r="G798">
            <v>1</v>
          </cell>
          <cell r="H798">
            <v>0</v>
          </cell>
          <cell r="I798">
            <v>0</v>
          </cell>
          <cell r="J798">
            <v>1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3</v>
          </cell>
          <cell r="T798">
            <v>0</v>
          </cell>
        </row>
        <row r="799">
          <cell r="C799" t="str">
            <v>South Hill CDP, Washington</v>
          </cell>
          <cell r="D799">
            <v>287</v>
          </cell>
          <cell r="E799">
            <v>287</v>
          </cell>
          <cell r="F799">
            <v>181</v>
          </cell>
          <cell r="G799">
            <v>106</v>
          </cell>
          <cell r="H799">
            <v>0</v>
          </cell>
          <cell r="I799">
            <v>35</v>
          </cell>
          <cell r="J799">
            <v>22</v>
          </cell>
          <cell r="K799">
            <v>49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287</v>
          </cell>
          <cell r="T799">
            <v>0</v>
          </cell>
        </row>
        <row r="800">
          <cell r="C800" t="str">
            <v>South Prairie town, Washington</v>
          </cell>
          <cell r="D800">
            <v>5</v>
          </cell>
          <cell r="E800">
            <v>5</v>
          </cell>
          <cell r="F800">
            <v>5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5</v>
          </cell>
          <cell r="T800">
            <v>0</v>
          </cell>
        </row>
        <row r="801">
          <cell r="C801" t="str">
            <v>South Wenatchee CDP, Washington</v>
          </cell>
          <cell r="D801">
            <v>10</v>
          </cell>
          <cell r="E801">
            <v>10</v>
          </cell>
          <cell r="F801">
            <v>0</v>
          </cell>
          <cell r="G801">
            <v>10</v>
          </cell>
          <cell r="H801">
            <v>0</v>
          </cell>
          <cell r="I801">
            <v>0</v>
          </cell>
          <cell r="J801">
            <v>0</v>
          </cell>
          <cell r="K801">
            <v>10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10</v>
          </cell>
          <cell r="T801">
            <v>0</v>
          </cell>
        </row>
        <row r="802">
          <cell r="C802" t="str">
            <v>Spanaway CDP, Washington</v>
          </cell>
          <cell r="D802">
            <v>246</v>
          </cell>
          <cell r="E802">
            <v>232</v>
          </cell>
          <cell r="F802">
            <v>119</v>
          </cell>
          <cell r="G802">
            <v>113</v>
          </cell>
          <cell r="H802">
            <v>9</v>
          </cell>
          <cell r="I802">
            <v>13</v>
          </cell>
          <cell r="J802">
            <v>26</v>
          </cell>
          <cell r="K802">
            <v>65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14</v>
          </cell>
          <cell r="Q802">
            <v>8</v>
          </cell>
          <cell r="R802">
            <v>6</v>
          </cell>
          <cell r="S802">
            <v>232</v>
          </cell>
          <cell r="T802">
            <v>14</v>
          </cell>
        </row>
        <row r="803">
          <cell r="C803" t="str">
            <v>Spangle town, Washington</v>
          </cell>
          <cell r="D803">
            <v>6</v>
          </cell>
          <cell r="E803">
            <v>6</v>
          </cell>
          <cell r="F803">
            <v>3</v>
          </cell>
          <cell r="G803">
            <v>3</v>
          </cell>
          <cell r="H803">
            <v>0</v>
          </cell>
          <cell r="I803">
            <v>0</v>
          </cell>
          <cell r="J803">
            <v>3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6</v>
          </cell>
          <cell r="T803">
            <v>0</v>
          </cell>
        </row>
        <row r="804">
          <cell r="C804" t="str">
            <v>Spokane city, Washington</v>
          </cell>
          <cell r="D804">
            <v>3495</v>
          </cell>
          <cell r="E804">
            <v>3436</v>
          </cell>
          <cell r="F804">
            <v>2162</v>
          </cell>
          <cell r="G804">
            <v>1256</v>
          </cell>
          <cell r="H804">
            <v>20</v>
          </cell>
          <cell r="I804">
            <v>198</v>
          </cell>
          <cell r="J804">
            <v>94</v>
          </cell>
          <cell r="K804">
            <v>944</v>
          </cell>
          <cell r="L804">
            <v>18</v>
          </cell>
          <cell r="M804">
            <v>5</v>
          </cell>
          <cell r="N804">
            <v>0</v>
          </cell>
          <cell r="O804">
            <v>13</v>
          </cell>
          <cell r="P804">
            <v>59</v>
          </cell>
          <cell r="Q804">
            <v>29</v>
          </cell>
          <cell r="R804">
            <v>30</v>
          </cell>
          <cell r="S804">
            <v>3418</v>
          </cell>
          <cell r="T804">
            <v>77</v>
          </cell>
        </row>
        <row r="805">
          <cell r="C805" t="str">
            <v>Sprague city, Washington</v>
          </cell>
          <cell r="D805">
            <v>16</v>
          </cell>
          <cell r="E805">
            <v>16</v>
          </cell>
          <cell r="F805">
            <v>8</v>
          </cell>
          <cell r="G805">
            <v>8</v>
          </cell>
          <cell r="H805">
            <v>2</v>
          </cell>
          <cell r="I805">
            <v>0</v>
          </cell>
          <cell r="J805">
            <v>0</v>
          </cell>
          <cell r="K805">
            <v>6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16</v>
          </cell>
          <cell r="T805">
            <v>0</v>
          </cell>
        </row>
        <row r="806">
          <cell r="C806" t="str">
            <v>Springdale town, Washington</v>
          </cell>
          <cell r="D806">
            <v>2</v>
          </cell>
          <cell r="E806">
            <v>2</v>
          </cell>
          <cell r="F806">
            <v>2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2</v>
          </cell>
          <cell r="T806">
            <v>0</v>
          </cell>
        </row>
        <row r="807">
          <cell r="C807" t="str">
            <v>Stanwood city, Washington</v>
          </cell>
          <cell r="D807">
            <v>44</v>
          </cell>
          <cell r="E807">
            <v>44</v>
          </cell>
          <cell r="F807">
            <v>32</v>
          </cell>
          <cell r="G807">
            <v>12</v>
          </cell>
          <cell r="H807">
            <v>0</v>
          </cell>
          <cell r="I807">
            <v>0</v>
          </cell>
          <cell r="J807">
            <v>0</v>
          </cell>
          <cell r="K807">
            <v>12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44</v>
          </cell>
          <cell r="T807">
            <v>0</v>
          </cell>
        </row>
        <row r="808">
          <cell r="C808" t="str">
            <v>Starbuck town, Washington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</row>
        <row r="809">
          <cell r="C809" t="str">
            <v>Startup CDP, Washington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</row>
        <row r="810">
          <cell r="C810" t="str">
            <v>Steilacoom town, Washington</v>
          </cell>
          <cell r="D810">
            <v>71</v>
          </cell>
          <cell r="E810">
            <v>71</v>
          </cell>
          <cell r="F810">
            <v>60</v>
          </cell>
          <cell r="G810">
            <v>11</v>
          </cell>
          <cell r="H810">
            <v>0</v>
          </cell>
          <cell r="I810">
            <v>0</v>
          </cell>
          <cell r="J810">
            <v>0</v>
          </cell>
          <cell r="K810">
            <v>11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71</v>
          </cell>
          <cell r="T810">
            <v>0</v>
          </cell>
        </row>
        <row r="811">
          <cell r="C811" t="str">
            <v>Stevenson city, Washington</v>
          </cell>
          <cell r="D811">
            <v>37</v>
          </cell>
          <cell r="E811">
            <v>37</v>
          </cell>
          <cell r="F811">
            <v>18</v>
          </cell>
          <cell r="G811">
            <v>19</v>
          </cell>
          <cell r="H811">
            <v>0</v>
          </cell>
          <cell r="I811">
            <v>0</v>
          </cell>
          <cell r="J811">
            <v>4</v>
          </cell>
          <cell r="K811">
            <v>15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37</v>
          </cell>
          <cell r="T811">
            <v>0</v>
          </cell>
        </row>
        <row r="812">
          <cell r="C812" t="str">
            <v>Stimson Crossing CDP, Washington</v>
          </cell>
          <cell r="D812">
            <v>9</v>
          </cell>
          <cell r="E812">
            <v>9</v>
          </cell>
          <cell r="F812">
            <v>0</v>
          </cell>
          <cell r="G812">
            <v>9</v>
          </cell>
          <cell r="H812">
            <v>0</v>
          </cell>
          <cell r="I812">
            <v>2</v>
          </cell>
          <cell r="J812">
            <v>3</v>
          </cell>
          <cell r="K812">
            <v>4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9</v>
          </cell>
          <cell r="T812">
            <v>0</v>
          </cell>
        </row>
        <row r="813">
          <cell r="C813" t="str">
            <v>Sudden Valley CDP, Washington</v>
          </cell>
          <cell r="D813">
            <v>43</v>
          </cell>
          <cell r="E813">
            <v>43</v>
          </cell>
          <cell r="F813">
            <v>43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43</v>
          </cell>
          <cell r="T813">
            <v>0</v>
          </cell>
        </row>
        <row r="814">
          <cell r="C814" t="str">
            <v>Sultan city, Washington</v>
          </cell>
          <cell r="D814">
            <v>44</v>
          </cell>
          <cell r="E814">
            <v>44</v>
          </cell>
          <cell r="F814">
            <v>29</v>
          </cell>
          <cell r="G814">
            <v>15</v>
          </cell>
          <cell r="H814">
            <v>0</v>
          </cell>
          <cell r="I814">
            <v>0</v>
          </cell>
          <cell r="J814">
            <v>0</v>
          </cell>
          <cell r="K814">
            <v>15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44</v>
          </cell>
          <cell r="T814">
            <v>0</v>
          </cell>
        </row>
        <row r="815">
          <cell r="C815" t="str">
            <v>Sumas city, Washington</v>
          </cell>
          <cell r="D815">
            <v>34</v>
          </cell>
          <cell r="E815">
            <v>34</v>
          </cell>
          <cell r="F815">
            <v>22</v>
          </cell>
          <cell r="G815">
            <v>10</v>
          </cell>
          <cell r="H815">
            <v>1</v>
          </cell>
          <cell r="I815">
            <v>0</v>
          </cell>
          <cell r="J815">
            <v>4</v>
          </cell>
          <cell r="K815">
            <v>5</v>
          </cell>
          <cell r="L815">
            <v>2</v>
          </cell>
          <cell r="M815">
            <v>0</v>
          </cell>
          <cell r="N815">
            <v>0</v>
          </cell>
          <cell r="O815">
            <v>2</v>
          </cell>
          <cell r="P815">
            <v>0</v>
          </cell>
          <cell r="Q815">
            <v>0</v>
          </cell>
          <cell r="R815">
            <v>0</v>
          </cell>
          <cell r="S815">
            <v>32</v>
          </cell>
          <cell r="T815">
            <v>2</v>
          </cell>
        </row>
        <row r="816">
          <cell r="C816" t="str">
            <v>Summit CDP, Washington</v>
          </cell>
          <cell r="D816">
            <v>113</v>
          </cell>
          <cell r="E816">
            <v>113</v>
          </cell>
          <cell r="F816">
            <v>50</v>
          </cell>
          <cell r="G816">
            <v>63</v>
          </cell>
          <cell r="H816">
            <v>0</v>
          </cell>
          <cell r="I816">
            <v>7</v>
          </cell>
          <cell r="J816">
            <v>9</v>
          </cell>
          <cell r="K816">
            <v>47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113</v>
          </cell>
          <cell r="T816">
            <v>0</v>
          </cell>
        </row>
        <row r="817">
          <cell r="C817" t="str">
            <v>Summitview CDP, Washington</v>
          </cell>
          <cell r="D817">
            <v>27</v>
          </cell>
          <cell r="E817">
            <v>27</v>
          </cell>
          <cell r="F817">
            <v>27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27</v>
          </cell>
          <cell r="T817">
            <v>0</v>
          </cell>
        </row>
        <row r="818">
          <cell r="C818" t="str">
            <v>Sumner city, Washington</v>
          </cell>
          <cell r="D818">
            <v>128</v>
          </cell>
          <cell r="E818">
            <v>116</v>
          </cell>
          <cell r="F818">
            <v>95</v>
          </cell>
          <cell r="G818">
            <v>21</v>
          </cell>
          <cell r="H818">
            <v>0</v>
          </cell>
          <cell r="I818">
            <v>11</v>
          </cell>
          <cell r="J818">
            <v>0</v>
          </cell>
          <cell r="K818">
            <v>10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12</v>
          </cell>
          <cell r="Q818">
            <v>0</v>
          </cell>
          <cell r="R818">
            <v>12</v>
          </cell>
          <cell r="S818">
            <v>116</v>
          </cell>
          <cell r="T818">
            <v>12</v>
          </cell>
        </row>
        <row r="819">
          <cell r="C819" t="str">
            <v>Sunnyside city, Washington</v>
          </cell>
          <cell r="D819">
            <v>90</v>
          </cell>
          <cell r="E819">
            <v>90</v>
          </cell>
          <cell r="F819">
            <v>30</v>
          </cell>
          <cell r="G819">
            <v>60</v>
          </cell>
          <cell r="H819">
            <v>0</v>
          </cell>
          <cell r="I819">
            <v>23</v>
          </cell>
          <cell r="J819">
            <v>0</v>
          </cell>
          <cell r="K819">
            <v>37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90</v>
          </cell>
          <cell r="T819">
            <v>0</v>
          </cell>
        </row>
        <row r="820">
          <cell r="C820" t="str">
            <v>Sunnyslope CDP, Washington</v>
          </cell>
          <cell r="D820">
            <v>14</v>
          </cell>
          <cell r="E820">
            <v>14</v>
          </cell>
          <cell r="F820">
            <v>0</v>
          </cell>
          <cell r="G820">
            <v>14</v>
          </cell>
          <cell r="H820">
            <v>0</v>
          </cell>
          <cell r="I820">
            <v>0</v>
          </cell>
          <cell r="J820">
            <v>0</v>
          </cell>
          <cell r="K820">
            <v>14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14</v>
          </cell>
          <cell r="T820">
            <v>0</v>
          </cell>
        </row>
        <row r="821">
          <cell r="C821" t="str">
            <v>Suquamish CDP, Washington</v>
          </cell>
          <cell r="D821">
            <v>356</v>
          </cell>
          <cell r="E821">
            <v>354</v>
          </cell>
          <cell r="F821">
            <v>297</v>
          </cell>
          <cell r="G821">
            <v>55</v>
          </cell>
          <cell r="H821">
            <v>2</v>
          </cell>
          <cell r="I821">
            <v>7</v>
          </cell>
          <cell r="J821">
            <v>3</v>
          </cell>
          <cell r="K821">
            <v>43</v>
          </cell>
          <cell r="L821">
            <v>2</v>
          </cell>
          <cell r="M821">
            <v>0</v>
          </cell>
          <cell r="N821">
            <v>0</v>
          </cell>
          <cell r="O821">
            <v>2</v>
          </cell>
          <cell r="P821">
            <v>2</v>
          </cell>
          <cell r="Q821">
            <v>2</v>
          </cell>
          <cell r="R821">
            <v>0</v>
          </cell>
          <cell r="S821">
            <v>352</v>
          </cell>
          <cell r="T821">
            <v>4</v>
          </cell>
        </row>
        <row r="822">
          <cell r="C822" t="str">
            <v>Tacoma city, Washington</v>
          </cell>
          <cell r="D822">
            <v>3739</v>
          </cell>
          <cell r="E822">
            <v>3641</v>
          </cell>
          <cell r="F822">
            <v>2300</v>
          </cell>
          <cell r="G822">
            <v>1338</v>
          </cell>
          <cell r="H822">
            <v>44</v>
          </cell>
          <cell r="I822">
            <v>188</v>
          </cell>
          <cell r="J822">
            <v>200</v>
          </cell>
          <cell r="K822">
            <v>906</v>
          </cell>
          <cell r="L822">
            <v>3</v>
          </cell>
          <cell r="M822">
            <v>0</v>
          </cell>
          <cell r="N822">
            <v>0</v>
          </cell>
          <cell r="O822">
            <v>3</v>
          </cell>
          <cell r="P822">
            <v>98</v>
          </cell>
          <cell r="Q822">
            <v>49</v>
          </cell>
          <cell r="R822">
            <v>49</v>
          </cell>
          <cell r="S822">
            <v>3638</v>
          </cell>
          <cell r="T822">
            <v>101</v>
          </cell>
        </row>
        <row r="823">
          <cell r="C823" t="str">
            <v>Taholah CDP, Washington</v>
          </cell>
          <cell r="D823">
            <v>721</v>
          </cell>
          <cell r="E823">
            <v>719</v>
          </cell>
          <cell r="F823">
            <v>642</v>
          </cell>
          <cell r="G823">
            <v>66</v>
          </cell>
          <cell r="H823">
            <v>0</v>
          </cell>
          <cell r="I823">
            <v>0</v>
          </cell>
          <cell r="J823">
            <v>11</v>
          </cell>
          <cell r="K823">
            <v>55</v>
          </cell>
          <cell r="L823">
            <v>11</v>
          </cell>
          <cell r="M823">
            <v>0</v>
          </cell>
          <cell r="N823">
            <v>3</v>
          </cell>
          <cell r="O823">
            <v>8</v>
          </cell>
          <cell r="P823">
            <v>2</v>
          </cell>
          <cell r="Q823">
            <v>0</v>
          </cell>
          <cell r="R823">
            <v>2</v>
          </cell>
          <cell r="S823">
            <v>708</v>
          </cell>
          <cell r="T823">
            <v>13</v>
          </cell>
        </row>
        <row r="824">
          <cell r="C824" t="str">
            <v>Tanglewilde-Thompson Place CDP, Washington</v>
          </cell>
          <cell r="D824">
            <v>137</v>
          </cell>
          <cell r="E824">
            <v>137</v>
          </cell>
          <cell r="F824">
            <v>94</v>
          </cell>
          <cell r="G824">
            <v>43</v>
          </cell>
          <cell r="H824">
            <v>0</v>
          </cell>
          <cell r="I824">
            <v>8</v>
          </cell>
          <cell r="J824">
            <v>5</v>
          </cell>
          <cell r="K824">
            <v>30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137</v>
          </cell>
          <cell r="T824">
            <v>0</v>
          </cell>
        </row>
        <row r="825">
          <cell r="C825" t="str">
            <v>Tanner CDP, Washington</v>
          </cell>
          <cell r="D825">
            <v>71</v>
          </cell>
          <cell r="E825">
            <v>71</v>
          </cell>
          <cell r="F825">
            <v>39</v>
          </cell>
          <cell r="G825">
            <v>32</v>
          </cell>
          <cell r="H825">
            <v>0</v>
          </cell>
          <cell r="I825">
            <v>0</v>
          </cell>
          <cell r="J825">
            <v>0</v>
          </cell>
          <cell r="K825">
            <v>32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71</v>
          </cell>
          <cell r="T825">
            <v>0</v>
          </cell>
        </row>
        <row r="826">
          <cell r="C826" t="str">
            <v>Tekoa city, Washington</v>
          </cell>
          <cell r="D826">
            <v>8</v>
          </cell>
          <cell r="E826">
            <v>8</v>
          </cell>
          <cell r="F826">
            <v>5</v>
          </cell>
          <cell r="G826">
            <v>3</v>
          </cell>
          <cell r="H826">
            <v>0</v>
          </cell>
          <cell r="I826">
            <v>0</v>
          </cell>
          <cell r="J826">
            <v>0</v>
          </cell>
          <cell r="K826">
            <v>3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8</v>
          </cell>
          <cell r="T826">
            <v>0</v>
          </cell>
        </row>
        <row r="827">
          <cell r="C827" t="str">
            <v>Tenino city, Washington</v>
          </cell>
          <cell r="D827">
            <v>9</v>
          </cell>
          <cell r="E827">
            <v>9</v>
          </cell>
          <cell r="F827">
            <v>5</v>
          </cell>
          <cell r="G827">
            <v>4</v>
          </cell>
          <cell r="H827">
            <v>1</v>
          </cell>
          <cell r="I827">
            <v>0</v>
          </cell>
          <cell r="J827">
            <v>0</v>
          </cell>
          <cell r="K827">
            <v>3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9</v>
          </cell>
          <cell r="T827">
            <v>0</v>
          </cell>
        </row>
        <row r="828">
          <cell r="C828" t="str">
            <v>Terrace Heights CDP, Washington</v>
          </cell>
          <cell r="D828">
            <v>31</v>
          </cell>
          <cell r="E828">
            <v>29</v>
          </cell>
          <cell r="F828">
            <v>29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</v>
          </cell>
          <cell r="Q828">
            <v>0</v>
          </cell>
          <cell r="R828">
            <v>2</v>
          </cell>
          <cell r="S828">
            <v>29</v>
          </cell>
          <cell r="T828">
            <v>2</v>
          </cell>
        </row>
        <row r="829">
          <cell r="C829" t="str">
            <v>Thorp CDP, Washington</v>
          </cell>
          <cell r="D829">
            <v>2</v>
          </cell>
          <cell r="E829">
            <v>2</v>
          </cell>
          <cell r="F829">
            <v>0</v>
          </cell>
          <cell r="G829">
            <v>2</v>
          </cell>
          <cell r="H829">
            <v>0</v>
          </cell>
          <cell r="I829">
            <v>0</v>
          </cell>
          <cell r="J829">
            <v>0</v>
          </cell>
          <cell r="K829">
            <v>2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2</v>
          </cell>
          <cell r="T829">
            <v>0</v>
          </cell>
        </row>
        <row r="830">
          <cell r="C830" t="str">
            <v>Three Lakes CDP, Washington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</row>
        <row r="831">
          <cell r="C831" t="str">
            <v>Tieton town, Washington</v>
          </cell>
          <cell r="D831">
            <v>24</v>
          </cell>
          <cell r="E831">
            <v>22</v>
          </cell>
          <cell r="F831">
            <v>15</v>
          </cell>
          <cell r="G831">
            <v>7</v>
          </cell>
          <cell r="H831">
            <v>0</v>
          </cell>
          <cell r="I831">
            <v>5</v>
          </cell>
          <cell r="J831">
            <v>0</v>
          </cell>
          <cell r="K831">
            <v>2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2</v>
          </cell>
          <cell r="Q831">
            <v>2</v>
          </cell>
          <cell r="R831">
            <v>0</v>
          </cell>
          <cell r="S831">
            <v>22</v>
          </cell>
          <cell r="T831">
            <v>2</v>
          </cell>
        </row>
        <row r="832">
          <cell r="C832" t="str">
            <v>Tokeland CDP, Washington</v>
          </cell>
          <cell r="D832">
            <v>16</v>
          </cell>
          <cell r="E832">
            <v>16</v>
          </cell>
          <cell r="F832">
            <v>8</v>
          </cell>
          <cell r="G832">
            <v>8</v>
          </cell>
          <cell r="H832">
            <v>0</v>
          </cell>
          <cell r="I832">
            <v>8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16</v>
          </cell>
          <cell r="T832">
            <v>0</v>
          </cell>
        </row>
        <row r="833">
          <cell r="C833" t="str">
            <v>Toledo city, Washington</v>
          </cell>
          <cell r="D833">
            <v>14</v>
          </cell>
          <cell r="E833">
            <v>14</v>
          </cell>
          <cell r="F833">
            <v>7</v>
          </cell>
          <cell r="G833">
            <v>7</v>
          </cell>
          <cell r="H833">
            <v>0</v>
          </cell>
          <cell r="I833">
            <v>2</v>
          </cell>
          <cell r="J833">
            <v>0</v>
          </cell>
          <cell r="K833">
            <v>5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14</v>
          </cell>
          <cell r="T833">
            <v>0</v>
          </cell>
        </row>
        <row r="834">
          <cell r="C834" t="str">
            <v>Tonasket city, Washington</v>
          </cell>
          <cell r="D834">
            <v>23</v>
          </cell>
          <cell r="E834">
            <v>19</v>
          </cell>
          <cell r="F834">
            <v>17</v>
          </cell>
          <cell r="G834">
            <v>2</v>
          </cell>
          <cell r="H834">
            <v>0</v>
          </cell>
          <cell r="I834">
            <v>0</v>
          </cell>
          <cell r="J834">
            <v>1</v>
          </cell>
          <cell r="K834">
            <v>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4</v>
          </cell>
          <cell r="Q834">
            <v>4</v>
          </cell>
          <cell r="R834">
            <v>0</v>
          </cell>
          <cell r="S834">
            <v>19</v>
          </cell>
          <cell r="T834">
            <v>4</v>
          </cell>
        </row>
        <row r="835">
          <cell r="C835" t="str">
            <v>Toppenish city, Washington</v>
          </cell>
          <cell r="D835">
            <v>635</v>
          </cell>
          <cell r="E835">
            <v>620</v>
          </cell>
          <cell r="F835">
            <v>490</v>
          </cell>
          <cell r="G835">
            <v>130</v>
          </cell>
          <cell r="H835">
            <v>10</v>
          </cell>
          <cell r="I835">
            <v>28</v>
          </cell>
          <cell r="J835">
            <v>13</v>
          </cell>
          <cell r="K835">
            <v>79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15</v>
          </cell>
          <cell r="Q835">
            <v>0</v>
          </cell>
          <cell r="R835">
            <v>15</v>
          </cell>
          <cell r="S835">
            <v>620</v>
          </cell>
          <cell r="T835">
            <v>15</v>
          </cell>
        </row>
        <row r="836">
          <cell r="C836" t="str">
            <v>Touchet CDP, Washington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</row>
        <row r="837">
          <cell r="C837" t="str">
            <v>Town and Country CDP, Washington</v>
          </cell>
          <cell r="D837">
            <v>49</v>
          </cell>
          <cell r="E837">
            <v>49</v>
          </cell>
          <cell r="F837">
            <v>30</v>
          </cell>
          <cell r="G837">
            <v>19</v>
          </cell>
          <cell r="H837">
            <v>0</v>
          </cell>
          <cell r="I837">
            <v>7</v>
          </cell>
          <cell r="J837">
            <v>0</v>
          </cell>
          <cell r="K837">
            <v>12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49</v>
          </cell>
          <cell r="T837">
            <v>0</v>
          </cell>
        </row>
        <row r="838">
          <cell r="C838" t="str">
            <v>Tracyton CDP, Washington</v>
          </cell>
          <cell r="D838">
            <v>6</v>
          </cell>
          <cell r="E838">
            <v>6</v>
          </cell>
          <cell r="F838">
            <v>6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6</v>
          </cell>
          <cell r="T838">
            <v>0</v>
          </cell>
        </row>
        <row r="839">
          <cell r="C839" t="str">
            <v>Trentwood CDP, Washington</v>
          </cell>
          <cell r="D839">
            <v>95</v>
          </cell>
          <cell r="E839">
            <v>95</v>
          </cell>
          <cell r="F839">
            <v>35</v>
          </cell>
          <cell r="G839">
            <v>60</v>
          </cell>
          <cell r="H839">
            <v>0</v>
          </cell>
          <cell r="I839">
            <v>5</v>
          </cell>
          <cell r="J839">
            <v>13</v>
          </cell>
          <cell r="K839">
            <v>42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95</v>
          </cell>
          <cell r="T839">
            <v>0</v>
          </cell>
        </row>
        <row r="840">
          <cell r="C840" t="str">
            <v>Trout Lake CDP, Washington</v>
          </cell>
          <cell r="D840">
            <v>3</v>
          </cell>
          <cell r="E840">
            <v>3</v>
          </cell>
          <cell r="F840">
            <v>1</v>
          </cell>
          <cell r="G840">
            <v>2</v>
          </cell>
          <cell r="H840">
            <v>0</v>
          </cell>
          <cell r="I840">
            <v>0</v>
          </cell>
          <cell r="J840">
            <v>0</v>
          </cell>
          <cell r="K840">
            <v>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3</v>
          </cell>
          <cell r="T840">
            <v>0</v>
          </cell>
        </row>
        <row r="841">
          <cell r="C841" t="str">
            <v>Tukwila city, Washington</v>
          </cell>
          <cell r="D841">
            <v>196</v>
          </cell>
          <cell r="E841">
            <v>158</v>
          </cell>
          <cell r="F841">
            <v>52</v>
          </cell>
          <cell r="G841">
            <v>92</v>
          </cell>
          <cell r="H841">
            <v>0</v>
          </cell>
          <cell r="I841">
            <v>33</v>
          </cell>
          <cell r="J841">
            <v>18</v>
          </cell>
          <cell r="K841">
            <v>41</v>
          </cell>
          <cell r="L841">
            <v>14</v>
          </cell>
          <cell r="M841">
            <v>14</v>
          </cell>
          <cell r="N841">
            <v>0</v>
          </cell>
          <cell r="O841">
            <v>0</v>
          </cell>
          <cell r="P841">
            <v>38</v>
          </cell>
          <cell r="Q841">
            <v>24</v>
          </cell>
          <cell r="R841">
            <v>14</v>
          </cell>
          <cell r="S841">
            <v>144</v>
          </cell>
          <cell r="T841">
            <v>52</v>
          </cell>
        </row>
        <row r="842">
          <cell r="C842" t="str">
            <v>Tulalip Bay CDP, Washington</v>
          </cell>
          <cell r="D842">
            <v>543</v>
          </cell>
          <cell r="E842">
            <v>535</v>
          </cell>
          <cell r="F842">
            <v>495</v>
          </cell>
          <cell r="G842">
            <v>39</v>
          </cell>
          <cell r="H842">
            <v>2</v>
          </cell>
          <cell r="I842">
            <v>17</v>
          </cell>
          <cell r="J842">
            <v>2</v>
          </cell>
          <cell r="K842">
            <v>18</v>
          </cell>
          <cell r="L842">
            <v>1</v>
          </cell>
          <cell r="M842">
            <v>0</v>
          </cell>
          <cell r="N842">
            <v>0</v>
          </cell>
          <cell r="O842">
            <v>1</v>
          </cell>
          <cell r="P842">
            <v>8</v>
          </cell>
          <cell r="Q842">
            <v>8</v>
          </cell>
          <cell r="R842">
            <v>0</v>
          </cell>
          <cell r="S842">
            <v>534</v>
          </cell>
          <cell r="T842">
            <v>9</v>
          </cell>
        </row>
        <row r="843">
          <cell r="C843" t="str">
            <v>Tumwater city, Washington</v>
          </cell>
          <cell r="D843">
            <v>304</v>
          </cell>
          <cell r="E843">
            <v>304</v>
          </cell>
          <cell r="F843">
            <v>128</v>
          </cell>
          <cell r="G843">
            <v>162</v>
          </cell>
          <cell r="H843">
            <v>13</v>
          </cell>
          <cell r="I843">
            <v>29</v>
          </cell>
          <cell r="J843">
            <v>32</v>
          </cell>
          <cell r="K843">
            <v>88</v>
          </cell>
          <cell r="L843">
            <v>14</v>
          </cell>
          <cell r="M843">
            <v>0</v>
          </cell>
          <cell r="N843">
            <v>0</v>
          </cell>
          <cell r="O843">
            <v>14</v>
          </cell>
          <cell r="P843">
            <v>0</v>
          </cell>
          <cell r="Q843">
            <v>0</v>
          </cell>
          <cell r="R843">
            <v>0</v>
          </cell>
          <cell r="S843">
            <v>290</v>
          </cell>
          <cell r="T843">
            <v>14</v>
          </cell>
        </row>
        <row r="844">
          <cell r="C844" t="str">
            <v>Twisp town, Washington</v>
          </cell>
          <cell r="D844">
            <v>10</v>
          </cell>
          <cell r="E844">
            <v>10</v>
          </cell>
          <cell r="F844">
            <v>8</v>
          </cell>
          <cell r="G844">
            <v>2</v>
          </cell>
          <cell r="H844">
            <v>0</v>
          </cell>
          <cell r="I844">
            <v>0</v>
          </cell>
          <cell r="J844">
            <v>0</v>
          </cell>
          <cell r="K844">
            <v>2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10</v>
          </cell>
          <cell r="T844">
            <v>0</v>
          </cell>
        </row>
        <row r="845">
          <cell r="C845" t="str">
            <v>Union Gap city, Washington</v>
          </cell>
          <cell r="D845">
            <v>122</v>
          </cell>
          <cell r="E845">
            <v>115</v>
          </cell>
          <cell r="F845">
            <v>111</v>
          </cell>
          <cell r="G845">
            <v>4</v>
          </cell>
          <cell r="H845">
            <v>0</v>
          </cell>
          <cell r="I845">
            <v>0</v>
          </cell>
          <cell r="J845">
            <v>0</v>
          </cell>
          <cell r="K845">
            <v>4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7</v>
          </cell>
          <cell r="Q845">
            <v>7</v>
          </cell>
          <cell r="R845">
            <v>0</v>
          </cell>
          <cell r="S845">
            <v>115</v>
          </cell>
          <cell r="T845">
            <v>7</v>
          </cell>
        </row>
        <row r="846">
          <cell r="C846" t="str">
            <v>Union Hill-Novelty Hill CDP, Washington</v>
          </cell>
          <cell r="D846">
            <v>7</v>
          </cell>
          <cell r="E846">
            <v>7</v>
          </cell>
          <cell r="F846">
            <v>0</v>
          </cell>
          <cell r="G846">
            <v>7</v>
          </cell>
          <cell r="H846">
            <v>0</v>
          </cell>
          <cell r="I846">
            <v>0</v>
          </cell>
          <cell r="J846">
            <v>0</v>
          </cell>
          <cell r="K846">
            <v>7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7</v>
          </cell>
          <cell r="T846">
            <v>0</v>
          </cell>
        </row>
        <row r="847">
          <cell r="C847" t="str">
            <v>Uniontown town, Washington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</row>
        <row r="848">
          <cell r="C848" t="str">
            <v>University Place city, Washington</v>
          </cell>
          <cell r="D848">
            <v>241</v>
          </cell>
          <cell r="E848">
            <v>232</v>
          </cell>
          <cell r="F848">
            <v>135</v>
          </cell>
          <cell r="G848">
            <v>97</v>
          </cell>
          <cell r="H848">
            <v>0</v>
          </cell>
          <cell r="I848">
            <v>16</v>
          </cell>
          <cell r="J848">
            <v>34</v>
          </cell>
          <cell r="K848">
            <v>47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9</v>
          </cell>
          <cell r="Q848">
            <v>9</v>
          </cell>
          <cell r="R848">
            <v>0</v>
          </cell>
          <cell r="S848">
            <v>232</v>
          </cell>
          <cell r="T848">
            <v>9</v>
          </cell>
        </row>
        <row r="849">
          <cell r="C849" t="str">
            <v>Vader city, Washington</v>
          </cell>
          <cell r="D849">
            <v>4</v>
          </cell>
          <cell r="E849">
            <v>4</v>
          </cell>
          <cell r="F849">
            <v>2</v>
          </cell>
          <cell r="G849">
            <v>2</v>
          </cell>
          <cell r="H849">
            <v>0</v>
          </cell>
          <cell r="I849">
            <v>0</v>
          </cell>
          <cell r="J849">
            <v>0</v>
          </cell>
          <cell r="K849">
            <v>2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4</v>
          </cell>
          <cell r="T849">
            <v>0</v>
          </cell>
        </row>
        <row r="850">
          <cell r="C850" t="str">
            <v>Vancouver city, Washington</v>
          </cell>
          <cell r="D850">
            <v>1502</v>
          </cell>
          <cell r="E850">
            <v>1485</v>
          </cell>
          <cell r="F850">
            <v>394</v>
          </cell>
          <cell r="G850">
            <v>1085</v>
          </cell>
          <cell r="H850">
            <v>31</v>
          </cell>
          <cell r="I850">
            <v>155</v>
          </cell>
          <cell r="J850">
            <v>100</v>
          </cell>
          <cell r="K850">
            <v>799</v>
          </cell>
          <cell r="L850">
            <v>6</v>
          </cell>
          <cell r="M850">
            <v>0</v>
          </cell>
          <cell r="N850">
            <v>0</v>
          </cell>
          <cell r="O850">
            <v>6</v>
          </cell>
          <cell r="P850">
            <v>17</v>
          </cell>
          <cell r="Q850">
            <v>0</v>
          </cell>
          <cell r="R850">
            <v>17</v>
          </cell>
          <cell r="S850">
            <v>1479</v>
          </cell>
          <cell r="T850">
            <v>23</v>
          </cell>
        </row>
        <row r="851">
          <cell r="C851" t="str">
            <v>Vantage CDP, Washington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</row>
        <row r="852">
          <cell r="C852" t="str">
            <v>Vashon CDP, Washington</v>
          </cell>
          <cell r="D852">
            <v>58</v>
          </cell>
          <cell r="E852">
            <v>58</v>
          </cell>
          <cell r="F852">
            <v>17</v>
          </cell>
          <cell r="G852">
            <v>41</v>
          </cell>
          <cell r="H852">
            <v>0</v>
          </cell>
          <cell r="I852">
            <v>10</v>
          </cell>
          <cell r="J852">
            <v>6</v>
          </cell>
          <cell r="K852">
            <v>25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58</v>
          </cell>
          <cell r="T852">
            <v>0</v>
          </cell>
        </row>
        <row r="853">
          <cell r="C853" t="str">
            <v>Venersborg CDP, Washington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</row>
        <row r="854">
          <cell r="C854" t="str">
            <v>Veradale CDP, Washington</v>
          </cell>
          <cell r="D854">
            <v>68</v>
          </cell>
          <cell r="E854">
            <v>68</v>
          </cell>
          <cell r="F854">
            <v>60</v>
          </cell>
          <cell r="G854">
            <v>8</v>
          </cell>
          <cell r="H854">
            <v>0</v>
          </cell>
          <cell r="I854">
            <v>0</v>
          </cell>
          <cell r="J854">
            <v>0</v>
          </cell>
          <cell r="K854">
            <v>8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68</v>
          </cell>
          <cell r="T854">
            <v>0</v>
          </cell>
        </row>
        <row r="855">
          <cell r="C855" t="str">
            <v>Verlot CDP, Washington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</row>
        <row r="856">
          <cell r="C856" t="str">
            <v>Waitsburg city, Washington</v>
          </cell>
          <cell r="D856">
            <v>6</v>
          </cell>
          <cell r="E856">
            <v>6</v>
          </cell>
          <cell r="F856">
            <v>4</v>
          </cell>
          <cell r="G856">
            <v>2</v>
          </cell>
          <cell r="H856">
            <v>0</v>
          </cell>
          <cell r="I856">
            <v>2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6</v>
          </cell>
          <cell r="T856">
            <v>0</v>
          </cell>
        </row>
        <row r="857">
          <cell r="C857" t="str">
            <v>Walla Walla city, Washington</v>
          </cell>
          <cell r="D857">
            <v>354</v>
          </cell>
          <cell r="E857">
            <v>302</v>
          </cell>
          <cell r="F857">
            <v>140</v>
          </cell>
          <cell r="G857">
            <v>162</v>
          </cell>
          <cell r="H857">
            <v>0</v>
          </cell>
          <cell r="I857">
            <v>4</v>
          </cell>
          <cell r="J857">
            <v>71</v>
          </cell>
          <cell r="K857">
            <v>87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52</v>
          </cell>
          <cell r="Q857">
            <v>18</v>
          </cell>
          <cell r="R857">
            <v>34</v>
          </cell>
          <cell r="S857">
            <v>302</v>
          </cell>
          <cell r="T857">
            <v>52</v>
          </cell>
        </row>
        <row r="858">
          <cell r="C858" t="str">
            <v>Walla Walla East CDP, Washington</v>
          </cell>
          <cell r="D858">
            <v>27</v>
          </cell>
          <cell r="E858">
            <v>27</v>
          </cell>
          <cell r="F858">
            <v>16</v>
          </cell>
          <cell r="G858">
            <v>11</v>
          </cell>
          <cell r="H858">
            <v>0</v>
          </cell>
          <cell r="I858">
            <v>11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27</v>
          </cell>
          <cell r="T858">
            <v>0</v>
          </cell>
        </row>
        <row r="859">
          <cell r="C859" t="str">
            <v>Waller CDP, Washington</v>
          </cell>
          <cell r="D859">
            <v>168</v>
          </cell>
          <cell r="E859">
            <v>166</v>
          </cell>
          <cell r="F859">
            <v>122</v>
          </cell>
          <cell r="G859">
            <v>44</v>
          </cell>
          <cell r="H859">
            <v>2</v>
          </cell>
          <cell r="I859">
            <v>8</v>
          </cell>
          <cell r="J859">
            <v>12</v>
          </cell>
          <cell r="K859">
            <v>22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2</v>
          </cell>
          <cell r="Q859">
            <v>0</v>
          </cell>
          <cell r="R859">
            <v>2</v>
          </cell>
          <cell r="S859">
            <v>166</v>
          </cell>
          <cell r="T859">
            <v>2</v>
          </cell>
        </row>
        <row r="860">
          <cell r="C860" t="str">
            <v>Wallula CDP, Washington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</row>
        <row r="861">
          <cell r="C861" t="str">
            <v>Walnut Grove CDP, Washington</v>
          </cell>
          <cell r="D861">
            <v>39</v>
          </cell>
          <cell r="E861">
            <v>39</v>
          </cell>
          <cell r="F861">
            <v>19</v>
          </cell>
          <cell r="G861">
            <v>20</v>
          </cell>
          <cell r="H861">
            <v>0</v>
          </cell>
          <cell r="I861">
            <v>20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39</v>
          </cell>
          <cell r="T861">
            <v>0</v>
          </cell>
        </row>
        <row r="862">
          <cell r="C862" t="str">
            <v>Wapato city, Washington</v>
          </cell>
          <cell r="D862">
            <v>333</v>
          </cell>
          <cell r="E862">
            <v>325</v>
          </cell>
          <cell r="F862">
            <v>273</v>
          </cell>
          <cell r="G862">
            <v>52</v>
          </cell>
          <cell r="H862">
            <v>0</v>
          </cell>
          <cell r="I862">
            <v>0</v>
          </cell>
          <cell r="J862">
            <v>13</v>
          </cell>
          <cell r="K862">
            <v>39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8</v>
          </cell>
          <cell r="Q862">
            <v>0</v>
          </cell>
          <cell r="R862">
            <v>8</v>
          </cell>
          <cell r="S862">
            <v>325</v>
          </cell>
          <cell r="T862">
            <v>8</v>
          </cell>
        </row>
        <row r="863">
          <cell r="C863" t="str">
            <v>Warden city, Washington</v>
          </cell>
          <cell r="D863">
            <v>16</v>
          </cell>
          <cell r="E863">
            <v>16</v>
          </cell>
          <cell r="F863">
            <v>14</v>
          </cell>
          <cell r="G863">
            <v>2</v>
          </cell>
          <cell r="H863">
            <v>0</v>
          </cell>
          <cell r="I863">
            <v>0</v>
          </cell>
          <cell r="J863">
            <v>0</v>
          </cell>
          <cell r="K863">
            <v>2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16</v>
          </cell>
          <cell r="T863">
            <v>0</v>
          </cell>
        </row>
        <row r="864">
          <cell r="C864" t="str">
            <v>Warm Beach CDP, Washington</v>
          </cell>
          <cell r="D864">
            <v>4</v>
          </cell>
          <cell r="E864">
            <v>4</v>
          </cell>
          <cell r="F864">
            <v>0</v>
          </cell>
          <cell r="G864">
            <v>4</v>
          </cell>
          <cell r="H864">
            <v>0</v>
          </cell>
          <cell r="I864">
            <v>0</v>
          </cell>
          <cell r="J864">
            <v>0</v>
          </cell>
          <cell r="K864">
            <v>4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4</v>
          </cell>
          <cell r="T864">
            <v>0</v>
          </cell>
        </row>
        <row r="865">
          <cell r="C865" t="str">
            <v>Washougal city, Washington</v>
          </cell>
          <cell r="D865">
            <v>124</v>
          </cell>
          <cell r="E865">
            <v>124</v>
          </cell>
          <cell r="F865">
            <v>9</v>
          </cell>
          <cell r="G865">
            <v>115</v>
          </cell>
          <cell r="H865">
            <v>0</v>
          </cell>
          <cell r="I865">
            <v>0</v>
          </cell>
          <cell r="J865">
            <v>0</v>
          </cell>
          <cell r="K865">
            <v>115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124</v>
          </cell>
          <cell r="T865">
            <v>0</v>
          </cell>
        </row>
        <row r="866">
          <cell r="C866" t="str">
            <v>Washtucna town, Washington</v>
          </cell>
          <cell r="D866">
            <v>8</v>
          </cell>
          <cell r="E866">
            <v>8</v>
          </cell>
          <cell r="F866">
            <v>8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8</v>
          </cell>
          <cell r="T866">
            <v>0</v>
          </cell>
        </row>
        <row r="867">
          <cell r="C867" t="str">
            <v>Waterville town, Washington</v>
          </cell>
          <cell r="D867">
            <v>22</v>
          </cell>
          <cell r="E867">
            <v>16</v>
          </cell>
          <cell r="F867">
            <v>8</v>
          </cell>
          <cell r="G867">
            <v>8</v>
          </cell>
          <cell r="H867">
            <v>0</v>
          </cell>
          <cell r="I867">
            <v>6</v>
          </cell>
          <cell r="J867">
            <v>0</v>
          </cell>
          <cell r="K867">
            <v>2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6</v>
          </cell>
          <cell r="Q867">
            <v>3</v>
          </cell>
          <cell r="R867">
            <v>3</v>
          </cell>
          <cell r="S867">
            <v>16</v>
          </cell>
          <cell r="T867">
            <v>6</v>
          </cell>
        </row>
        <row r="868">
          <cell r="C868" t="str">
            <v>Waverly town, Washington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</row>
        <row r="869">
          <cell r="C869" t="str">
            <v>Weallup Lake CDP, Washington</v>
          </cell>
          <cell r="D869">
            <v>7</v>
          </cell>
          <cell r="E869">
            <v>7</v>
          </cell>
          <cell r="F869">
            <v>3</v>
          </cell>
          <cell r="G869">
            <v>4</v>
          </cell>
          <cell r="H869">
            <v>0</v>
          </cell>
          <cell r="I869">
            <v>2</v>
          </cell>
          <cell r="J869">
            <v>0</v>
          </cell>
          <cell r="K869">
            <v>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7</v>
          </cell>
          <cell r="T869">
            <v>0</v>
          </cell>
        </row>
        <row r="870">
          <cell r="C870" t="str">
            <v>Wenatchee city, Washington</v>
          </cell>
          <cell r="D870">
            <v>328</v>
          </cell>
          <cell r="E870">
            <v>312</v>
          </cell>
          <cell r="F870">
            <v>135</v>
          </cell>
          <cell r="G870">
            <v>177</v>
          </cell>
          <cell r="H870">
            <v>0</v>
          </cell>
          <cell r="I870">
            <v>49</v>
          </cell>
          <cell r="J870">
            <v>8</v>
          </cell>
          <cell r="K870">
            <v>120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16</v>
          </cell>
          <cell r="Q870">
            <v>10</v>
          </cell>
          <cell r="R870">
            <v>6</v>
          </cell>
          <cell r="S870">
            <v>312</v>
          </cell>
          <cell r="T870">
            <v>16</v>
          </cell>
        </row>
        <row r="871">
          <cell r="C871" t="str">
            <v>West Clarkston-Highland CDP, Washington</v>
          </cell>
          <cell r="D871">
            <v>33</v>
          </cell>
          <cell r="E871">
            <v>33</v>
          </cell>
          <cell r="F871">
            <v>7</v>
          </cell>
          <cell r="G871">
            <v>26</v>
          </cell>
          <cell r="H871">
            <v>0</v>
          </cell>
          <cell r="I871">
            <v>0</v>
          </cell>
          <cell r="J871">
            <v>0</v>
          </cell>
          <cell r="K871">
            <v>26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33</v>
          </cell>
          <cell r="T871">
            <v>0</v>
          </cell>
        </row>
        <row r="872">
          <cell r="C872" t="str">
            <v>West Lake Sammamish CDP, Washington</v>
          </cell>
          <cell r="D872">
            <v>37</v>
          </cell>
          <cell r="E872">
            <v>37</v>
          </cell>
          <cell r="F872">
            <v>26</v>
          </cell>
          <cell r="G872">
            <v>11</v>
          </cell>
          <cell r="H872">
            <v>0</v>
          </cell>
          <cell r="I872">
            <v>0</v>
          </cell>
          <cell r="J872">
            <v>0</v>
          </cell>
          <cell r="K872">
            <v>11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37</v>
          </cell>
          <cell r="T872">
            <v>0</v>
          </cell>
        </row>
        <row r="873">
          <cell r="C873" t="str">
            <v>West Lake Stevens CDP, Washington</v>
          </cell>
          <cell r="D873">
            <v>140</v>
          </cell>
          <cell r="E873">
            <v>127</v>
          </cell>
          <cell r="F873">
            <v>73</v>
          </cell>
          <cell r="G873">
            <v>48</v>
          </cell>
          <cell r="H873">
            <v>0</v>
          </cell>
          <cell r="I873">
            <v>10</v>
          </cell>
          <cell r="J873">
            <v>0</v>
          </cell>
          <cell r="K873">
            <v>38</v>
          </cell>
          <cell r="L873">
            <v>6</v>
          </cell>
          <cell r="M873">
            <v>0</v>
          </cell>
          <cell r="N873">
            <v>0</v>
          </cell>
          <cell r="O873">
            <v>6</v>
          </cell>
          <cell r="P873">
            <v>13</v>
          </cell>
          <cell r="Q873">
            <v>7</v>
          </cell>
          <cell r="R873">
            <v>6</v>
          </cell>
          <cell r="S873">
            <v>121</v>
          </cell>
          <cell r="T873">
            <v>19</v>
          </cell>
        </row>
        <row r="874">
          <cell r="C874" t="str">
            <v>West Longview CDP, Washington</v>
          </cell>
          <cell r="D874">
            <v>24</v>
          </cell>
          <cell r="E874">
            <v>24</v>
          </cell>
          <cell r="F874">
            <v>18</v>
          </cell>
          <cell r="G874">
            <v>6</v>
          </cell>
          <cell r="H874">
            <v>0</v>
          </cell>
          <cell r="I874">
            <v>0</v>
          </cell>
          <cell r="J874">
            <v>0</v>
          </cell>
          <cell r="K874">
            <v>6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24</v>
          </cell>
          <cell r="T874">
            <v>0</v>
          </cell>
        </row>
        <row r="875">
          <cell r="C875" t="str">
            <v>West Pasco CDP, Washington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</row>
        <row r="876">
          <cell r="C876" t="str">
            <v>Westport city, Washington</v>
          </cell>
          <cell r="D876">
            <v>61</v>
          </cell>
          <cell r="E876">
            <v>61</v>
          </cell>
          <cell r="F876">
            <v>39</v>
          </cell>
          <cell r="G876">
            <v>22</v>
          </cell>
          <cell r="H876">
            <v>0</v>
          </cell>
          <cell r="I876">
            <v>0</v>
          </cell>
          <cell r="J876">
            <v>0</v>
          </cell>
          <cell r="K876">
            <v>22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61</v>
          </cell>
          <cell r="T876">
            <v>0</v>
          </cell>
        </row>
        <row r="877">
          <cell r="C877" t="str">
            <v>West Richland city, Washington</v>
          </cell>
          <cell r="D877">
            <v>8</v>
          </cell>
          <cell r="E877">
            <v>8</v>
          </cell>
          <cell r="F877">
            <v>0</v>
          </cell>
          <cell r="G877">
            <v>8</v>
          </cell>
          <cell r="H877">
            <v>0</v>
          </cell>
          <cell r="I877">
            <v>0</v>
          </cell>
          <cell r="J877">
            <v>8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8</v>
          </cell>
          <cell r="T877">
            <v>0</v>
          </cell>
        </row>
        <row r="878">
          <cell r="C878" t="str">
            <v>West Side Highway CDP, Washington</v>
          </cell>
          <cell r="D878">
            <v>82</v>
          </cell>
          <cell r="E878">
            <v>82</v>
          </cell>
          <cell r="F878">
            <v>67</v>
          </cell>
          <cell r="G878">
            <v>15</v>
          </cell>
          <cell r="H878">
            <v>0</v>
          </cell>
          <cell r="I878">
            <v>0</v>
          </cell>
          <cell r="J878">
            <v>9</v>
          </cell>
          <cell r="K878">
            <v>6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82</v>
          </cell>
          <cell r="T878">
            <v>0</v>
          </cell>
        </row>
        <row r="879">
          <cell r="C879" t="str">
            <v>West Valley CDP, Washington</v>
          </cell>
          <cell r="D879">
            <v>148</v>
          </cell>
          <cell r="E879">
            <v>148</v>
          </cell>
          <cell r="F879">
            <v>121</v>
          </cell>
          <cell r="G879">
            <v>27</v>
          </cell>
          <cell r="H879">
            <v>0</v>
          </cell>
          <cell r="I879">
            <v>0</v>
          </cell>
          <cell r="J879">
            <v>8</v>
          </cell>
          <cell r="K879">
            <v>19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148</v>
          </cell>
          <cell r="T879">
            <v>0</v>
          </cell>
        </row>
        <row r="880">
          <cell r="C880" t="str">
            <v>West Wenatchee CDP, Washington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</row>
        <row r="881">
          <cell r="C881" t="str">
            <v>White Center CDP, Washington</v>
          </cell>
          <cell r="D881">
            <v>406</v>
          </cell>
          <cell r="E881">
            <v>389</v>
          </cell>
          <cell r="F881">
            <v>213</v>
          </cell>
          <cell r="G881">
            <v>176</v>
          </cell>
          <cell r="H881">
            <v>18</v>
          </cell>
          <cell r="I881">
            <v>24</v>
          </cell>
          <cell r="J881">
            <v>36</v>
          </cell>
          <cell r="K881">
            <v>98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17</v>
          </cell>
          <cell r="Q881">
            <v>9</v>
          </cell>
          <cell r="R881">
            <v>8</v>
          </cell>
          <cell r="S881">
            <v>389</v>
          </cell>
          <cell r="T881">
            <v>17</v>
          </cell>
        </row>
        <row r="882">
          <cell r="C882" t="str">
            <v>White Salmon city, Washington</v>
          </cell>
          <cell r="D882">
            <v>39</v>
          </cell>
          <cell r="E882">
            <v>39</v>
          </cell>
          <cell r="F882">
            <v>10</v>
          </cell>
          <cell r="G882">
            <v>29</v>
          </cell>
          <cell r="H882">
            <v>0</v>
          </cell>
          <cell r="I882">
            <v>3</v>
          </cell>
          <cell r="J882">
            <v>0</v>
          </cell>
          <cell r="K882">
            <v>26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39</v>
          </cell>
          <cell r="T882">
            <v>0</v>
          </cell>
        </row>
        <row r="883">
          <cell r="C883" t="str">
            <v>White Swan CDP, Washington</v>
          </cell>
          <cell r="D883">
            <v>1648</v>
          </cell>
          <cell r="E883">
            <v>1643</v>
          </cell>
          <cell r="F883">
            <v>1411</v>
          </cell>
          <cell r="G883">
            <v>226</v>
          </cell>
          <cell r="H883">
            <v>0</v>
          </cell>
          <cell r="I883">
            <v>15</v>
          </cell>
          <cell r="J883">
            <v>0</v>
          </cell>
          <cell r="K883">
            <v>211</v>
          </cell>
          <cell r="L883">
            <v>6</v>
          </cell>
          <cell r="M883">
            <v>0</v>
          </cell>
          <cell r="N883">
            <v>6</v>
          </cell>
          <cell r="O883">
            <v>0</v>
          </cell>
          <cell r="P883">
            <v>5</v>
          </cell>
          <cell r="Q883">
            <v>0</v>
          </cell>
          <cell r="R883">
            <v>5</v>
          </cell>
          <cell r="S883">
            <v>1637</v>
          </cell>
          <cell r="T883">
            <v>11</v>
          </cell>
        </row>
        <row r="884">
          <cell r="C884" t="str">
            <v>Wilbur town, Washington</v>
          </cell>
          <cell r="D884">
            <v>5</v>
          </cell>
          <cell r="E884">
            <v>5</v>
          </cell>
          <cell r="F884">
            <v>5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5</v>
          </cell>
          <cell r="T884">
            <v>0</v>
          </cell>
        </row>
        <row r="885">
          <cell r="C885" t="str">
            <v>Wilkeson town, Washington</v>
          </cell>
          <cell r="D885">
            <v>2</v>
          </cell>
          <cell r="E885">
            <v>2</v>
          </cell>
          <cell r="F885">
            <v>2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2</v>
          </cell>
          <cell r="T885">
            <v>0</v>
          </cell>
        </row>
        <row r="886">
          <cell r="C886" t="str">
            <v>Wilson Creek town, Washington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</row>
        <row r="887">
          <cell r="C887" t="str">
            <v>Winlock city, Washington</v>
          </cell>
          <cell r="D887">
            <v>3</v>
          </cell>
          <cell r="E887">
            <v>3</v>
          </cell>
          <cell r="F887">
            <v>3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3</v>
          </cell>
          <cell r="T887">
            <v>0</v>
          </cell>
        </row>
        <row r="888">
          <cell r="C888" t="str">
            <v>Winthrop town, Washington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</row>
        <row r="889">
          <cell r="C889" t="str">
            <v>Wishram CDP, Washington</v>
          </cell>
          <cell r="D889">
            <v>29</v>
          </cell>
          <cell r="E889">
            <v>29</v>
          </cell>
          <cell r="F889">
            <v>26</v>
          </cell>
          <cell r="G889">
            <v>3</v>
          </cell>
          <cell r="H889">
            <v>0</v>
          </cell>
          <cell r="I889">
            <v>0</v>
          </cell>
          <cell r="J889">
            <v>0</v>
          </cell>
          <cell r="K889">
            <v>3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29</v>
          </cell>
          <cell r="T889">
            <v>0</v>
          </cell>
        </row>
        <row r="890">
          <cell r="C890" t="str">
            <v>Woodinville city, Washington</v>
          </cell>
          <cell r="D890">
            <v>52</v>
          </cell>
          <cell r="E890">
            <v>52</v>
          </cell>
          <cell r="F890">
            <v>49</v>
          </cell>
          <cell r="G890">
            <v>3</v>
          </cell>
          <cell r="H890">
            <v>0</v>
          </cell>
          <cell r="I890">
            <v>0</v>
          </cell>
          <cell r="J890">
            <v>0</v>
          </cell>
          <cell r="K890">
            <v>3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52</v>
          </cell>
          <cell r="T890">
            <v>0</v>
          </cell>
        </row>
        <row r="891">
          <cell r="C891" t="str">
            <v>Woodland city, Washington</v>
          </cell>
          <cell r="D891">
            <v>92</v>
          </cell>
          <cell r="E891">
            <v>92</v>
          </cell>
          <cell r="F891">
            <v>63</v>
          </cell>
          <cell r="G891">
            <v>29</v>
          </cell>
          <cell r="H891">
            <v>7</v>
          </cell>
          <cell r="I891">
            <v>0</v>
          </cell>
          <cell r="J891">
            <v>10</v>
          </cell>
          <cell r="K891">
            <v>12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92</v>
          </cell>
          <cell r="T891">
            <v>0</v>
          </cell>
        </row>
        <row r="892">
          <cell r="C892" t="str">
            <v>Woods Creek CDP, Washington</v>
          </cell>
          <cell r="D892">
            <v>13</v>
          </cell>
          <cell r="E892">
            <v>13</v>
          </cell>
          <cell r="F892">
            <v>8</v>
          </cell>
          <cell r="G892">
            <v>5</v>
          </cell>
          <cell r="H892">
            <v>0</v>
          </cell>
          <cell r="I892">
            <v>0</v>
          </cell>
          <cell r="J892">
            <v>0</v>
          </cell>
          <cell r="K892">
            <v>5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13</v>
          </cell>
          <cell r="T892">
            <v>0</v>
          </cell>
        </row>
        <row r="893">
          <cell r="C893" t="str">
            <v>Woodway city, Washington</v>
          </cell>
          <cell r="D893">
            <v>2</v>
          </cell>
          <cell r="E893">
            <v>2</v>
          </cell>
          <cell r="F893">
            <v>0</v>
          </cell>
          <cell r="G893">
            <v>2</v>
          </cell>
          <cell r="H893">
            <v>0</v>
          </cell>
          <cell r="I893">
            <v>0</v>
          </cell>
          <cell r="J893">
            <v>0</v>
          </cell>
          <cell r="K893">
            <v>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2</v>
          </cell>
          <cell r="T893">
            <v>0</v>
          </cell>
        </row>
        <row r="894">
          <cell r="C894" t="str">
            <v>Yacolt town, Washington</v>
          </cell>
          <cell r="D894">
            <v>4</v>
          </cell>
          <cell r="E894">
            <v>4</v>
          </cell>
          <cell r="F894">
            <v>0</v>
          </cell>
          <cell r="G894">
            <v>4</v>
          </cell>
          <cell r="H894">
            <v>0</v>
          </cell>
          <cell r="I894">
            <v>0</v>
          </cell>
          <cell r="J894">
            <v>2</v>
          </cell>
          <cell r="K894">
            <v>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4</v>
          </cell>
          <cell r="T894">
            <v>0</v>
          </cell>
        </row>
        <row r="895">
          <cell r="C895" t="str">
            <v>Yakima city, Washington</v>
          </cell>
          <cell r="D895">
            <v>1360</v>
          </cell>
          <cell r="E895">
            <v>1294</v>
          </cell>
          <cell r="F895">
            <v>887</v>
          </cell>
          <cell r="G895">
            <v>392</v>
          </cell>
          <cell r="H895">
            <v>0</v>
          </cell>
          <cell r="I895">
            <v>68</v>
          </cell>
          <cell r="J895">
            <v>56</v>
          </cell>
          <cell r="K895">
            <v>268</v>
          </cell>
          <cell r="L895">
            <v>15</v>
          </cell>
          <cell r="M895">
            <v>0</v>
          </cell>
          <cell r="N895">
            <v>0</v>
          </cell>
          <cell r="O895">
            <v>15</v>
          </cell>
          <cell r="P895">
            <v>66</v>
          </cell>
          <cell r="Q895">
            <v>32</v>
          </cell>
          <cell r="R895">
            <v>34</v>
          </cell>
          <cell r="S895">
            <v>1279</v>
          </cell>
          <cell r="T895">
            <v>81</v>
          </cell>
        </row>
        <row r="896">
          <cell r="C896" t="str">
            <v>Yarrow Point town, Washington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</row>
        <row r="897">
          <cell r="C897" t="str">
            <v>Yelm city, Washington</v>
          </cell>
          <cell r="D897">
            <v>113</v>
          </cell>
          <cell r="E897">
            <v>113</v>
          </cell>
          <cell r="F897">
            <v>77</v>
          </cell>
          <cell r="G897">
            <v>36</v>
          </cell>
          <cell r="H897">
            <v>7</v>
          </cell>
          <cell r="I897">
            <v>0</v>
          </cell>
          <cell r="J897">
            <v>5</v>
          </cell>
          <cell r="K897">
            <v>24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113</v>
          </cell>
          <cell r="T897">
            <v>0</v>
          </cell>
        </row>
        <row r="898">
          <cell r="C898" t="str">
            <v>Zillah city, Washington</v>
          </cell>
          <cell r="D898">
            <v>42</v>
          </cell>
          <cell r="E898">
            <v>38</v>
          </cell>
          <cell r="F898">
            <v>29</v>
          </cell>
          <cell r="G898">
            <v>9</v>
          </cell>
          <cell r="H898">
            <v>0</v>
          </cell>
          <cell r="I898">
            <v>0</v>
          </cell>
          <cell r="J898">
            <v>6</v>
          </cell>
          <cell r="K898">
            <v>3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4</v>
          </cell>
          <cell r="Q898">
            <v>4</v>
          </cell>
          <cell r="R898">
            <v>0</v>
          </cell>
          <cell r="S898">
            <v>38</v>
          </cell>
          <cell r="T898">
            <v>4</v>
          </cell>
        </row>
      </sheetData>
      <sheetData sheetId="7">
        <row r="1">
          <cell r="C1" t="str">
            <v>GEO.display-label</v>
          </cell>
          <cell r="D1" t="str">
            <v>VD01</v>
          </cell>
          <cell r="E1" t="str">
            <v>VD02</v>
          </cell>
          <cell r="F1" t="str">
            <v>VD03</v>
          </cell>
          <cell r="G1" t="str">
            <v>VD04</v>
          </cell>
          <cell r="H1" t="str">
            <v>VD05</v>
          </cell>
          <cell r="I1" t="str">
            <v>VD06</v>
          </cell>
          <cell r="J1" t="str">
            <v>VD07</v>
          </cell>
          <cell r="K1" t="str">
            <v>VD08</v>
          </cell>
          <cell r="L1" t="str">
            <v>VD09</v>
          </cell>
          <cell r="M1" t="str">
            <v>VD10</v>
          </cell>
          <cell r="N1" t="str">
            <v>VD11</v>
          </cell>
          <cell r="O1" t="str">
            <v>VD12</v>
          </cell>
          <cell r="P1" t="str">
            <v>VD13</v>
          </cell>
          <cell r="Q1" t="str">
            <v>VD14</v>
          </cell>
          <cell r="R1" t="str">
            <v>VD15</v>
          </cell>
        </row>
        <row r="2">
          <cell r="C2" t="str">
            <v>Geography</v>
          </cell>
          <cell r="D2" t="str">
            <v>Total:</v>
          </cell>
          <cell r="E2" t="str">
            <v>Native:</v>
          </cell>
          <cell r="F2" t="str">
            <v>Native: - Born in state of residence</v>
          </cell>
          <cell r="G2" t="str">
            <v>Native: - Born in other state in the United States:</v>
          </cell>
          <cell r="H2" t="str">
            <v>Native: - Born in other state in the United States: - Northeast</v>
          </cell>
          <cell r="I2" t="str">
            <v>Native: - Born in other state in the United States: - Midwest</v>
          </cell>
          <cell r="J2" t="str">
            <v>Native: - Born in other state in the United States: - South</v>
          </cell>
          <cell r="K2" t="str">
            <v>Native: - Born in other state in the United States: - West</v>
          </cell>
          <cell r="L2" t="str">
            <v>Native: - Born outside the United States:</v>
          </cell>
          <cell r="M2" t="str">
            <v>Native: - Born outside the United States: - Puerto Rico</v>
          </cell>
          <cell r="N2" t="str">
            <v>Native: - Born outside the United States: - U.S. Island Areas</v>
          </cell>
          <cell r="O2" t="str">
            <v>Native: - Born outside the United States: - Born abroad of American parent(s)</v>
          </cell>
          <cell r="P2" t="str">
            <v>Foreign born:</v>
          </cell>
          <cell r="Q2" t="str">
            <v>Foreign born: - Naturalized citizen</v>
          </cell>
          <cell r="R2" t="str">
            <v>Foreign born: - Not a citizen</v>
          </cell>
          <cell r="S2" t="str">
            <v>Born in US</v>
          </cell>
          <cell r="T2" t="str">
            <v>Born outside US</v>
          </cell>
        </row>
        <row r="3">
          <cell r="C3" t="str">
            <v>King County, Washington</v>
          </cell>
          <cell r="D3">
            <v>187788</v>
          </cell>
          <cell r="E3">
            <v>62156</v>
          </cell>
          <cell r="F3">
            <v>40134</v>
          </cell>
          <cell r="G3">
            <v>19200</v>
          </cell>
          <cell r="H3">
            <v>1733</v>
          </cell>
          <cell r="I3">
            <v>2312</v>
          </cell>
          <cell r="J3">
            <v>2430</v>
          </cell>
          <cell r="K3">
            <v>12725</v>
          </cell>
          <cell r="L3">
            <v>2822</v>
          </cell>
          <cell r="M3">
            <v>0</v>
          </cell>
          <cell r="N3">
            <v>333</v>
          </cell>
          <cell r="O3">
            <v>2489</v>
          </cell>
          <cell r="P3">
            <v>125632</v>
          </cell>
          <cell r="Q3">
            <v>65954</v>
          </cell>
          <cell r="R3">
            <v>59678</v>
          </cell>
          <cell r="S3">
            <v>59334</v>
          </cell>
          <cell r="T3">
            <v>128454</v>
          </cell>
        </row>
        <row r="4">
          <cell r="C4" t="str">
            <v>Census Tract 1, King County, Washington</v>
          </cell>
          <cell r="D4">
            <v>627</v>
          </cell>
          <cell r="E4">
            <v>133</v>
          </cell>
          <cell r="F4">
            <v>50</v>
          </cell>
          <cell r="G4">
            <v>68</v>
          </cell>
          <cell r="H4">
            <v>8</v>
          </cell>
          <cell r="I4">
            <v>23</v>
          </cell>
          <cell r="J4">
            <v>0</v>
          </cell>
          <cell r="K4">
            <v>37</v>
          </cell>
          <cell r="L4">
            <v>15</v>
          </cell>
          <cell r="M4">
            <v>0</v>
          </cell>
          <cell r="N4">
            <v>0</v>
          </cell>
          <cell r="O4">
            <v>15</v>
          </cell>
          <cell r="P4">
            <v>494</v>
          </cell>
          <cell r="Q4">
            <v>178</v>
          </cell>
          <cell r="R4">
            <v>316</v>
          </cell>
          <cell r="S4">
            <v>118</v>
          </cell>
          <cell r="T4">
            <v>509</v>
          </cell>
        </row>
        <row r="5">
          <cell r="C5" t="str">
            <v>Census Tract 2, King County, Washington</v>
          </cell>
          <cell r="D5">
            <v>1198</v>
          </cell>
          <cell r="E5">
            <v>385</v>
          </cell>
          <cell r="F5">
            <v>297</v>
          </cell>
          <cell r="G5">
            <v>73</v>
          </cell>
          <cell r="H5">
            <v>0</v>
          </cell>
          <cell r="I5">
            <v>0</v>
          </cell>
          <cell r="J5">
            <v>12</v>
          </cell>
          <cell r="K5">
            <v>61</v>
          </cell>
          <cell r="L5">
            <v>15</v>
          </cell>
          <cell r="M5">
            <v>0</v>
          </cell>
          <cell r="N5">
            <v>0</v>
          </cell>
          <cell r="O5">
            <v>15</v>
          </cell>
          <cell r="P5">
            <v>813</v>
          </cell>
          <cell r="Q5">
            <v>406</v>
          </cell>
          <cell r="R5">
            <v>407</v>
          </cell>
          <cell r="S5">
            <v>370</v>
          </cell>
          <cell r="T5">
            <v>828</v>
          </cell>
        </row>
        <row r="6">
          <cell r="C6" t="str">
            <v>Census Tract 3, King County, Washington</v>
          </cell>
          <cell r="D6">
            <v>302</v>
          </cell>
          <cell r="E6">
            <v>62</v>
          </cell>
          <cell r="F6">
            <v>34</v>
          </cell>
          <cell r="G6">
            <v>16</v>
          </cell>
          <cell r="H6">
            <v>0</v>
          </cell>
          <cell r="I6">
            <v>0</v>
          </cell>
          <cell r="J6">
            <v>0</v>
          </cell>
          <cell r="K6">
            <v>16</v>
          </cell>
          <cell r="L6">
            <v>12</v>
          </cell>
          <cell r="M6">
            <v>0</v>
          </cell>
          <cell r="N6">
            <v>0</v>
          </cell>
          <cell r="O6">
            <v>12</v>
          </cell>
          <cell r="P6">
            <v>240</v>
          </cell>
          <cell r="Q6">
            <v>134</v>
          </cell>
          <cell r="R6">
            <v>106</v>
          </cell>
          <cell r="S6">
            <v>50</v>
          </cell>
          <cell r="T6">
            <v>252</v>
          </cell>
        </row>
        <row r="7">
          <cell r="C7" t="str">
            <v>Census Tract 4.01, King County, Washington</v>
          </cell>
          <cell r="D7">
            <v>669</v>
          </cell>
          <cell r="E7">
            <v>124</v>
          </cell>
          <cell r="F7">
            <v>72</v>
          </cell>
          <cell r="G7">
            <v>46</v>
          </cell>
          <cell r="H7">
            <v>0</v>
          </cell>
          <cell r="I7">
            <v>0</v>
          </cell>
          <cell r="J7">
            <v>16</v>
          </cell>
          <cell r="K7">
            <v>30</v>
          </cell>
          <cell r="L7">
            <v>6</v>
          </cell>
          <cell r="M7">
            <v>0</v>
          </cell>
          <cell r="N7">
            <v>0</v>
          </cell>
          <cell r="O7">
            <v>6</v>
          </cell>
          <cell r="P7">
            <v>545</v>
          </cell>
          <cell r="Q7">
            <v>292</v>
          </cell>
          <cell r="R7">
            <v>253</v>
          </cell>
          <cell r="S7">
            <v>118</v>
          </cell>
          <cell r="T7">
            <v>551</v>
          </cell>
        </row>
        <row r="8">
          <cell r="C8" t="str">
            <v>Census Tract 4.02, King County, Washington</v>
          </cell>
          <cell r="D8">
            <v>392</v>
          </cell>
          <cell r="E8">
            <v>171</v>
          </cell>
          <cell r="F8">
            <v>144</v>
          </cell>
          <cell r="G8">
            <v>18</v>
          </cell>
          <cell r="H8">
            <v>0</v>
          </cell>
          <cell r="I8">
            <v>0</v>
          </cell>
          <cell r="J8">
            <v>0</v>
          </cell>
          <cell r="K8">
            <v>18</v>
          </cell>
          <cell r="L8">
            <v>9</v>
          </cell>
          <cell r="M8">
            <v>0</v>
          </cell>
          <cell r="N8">
            <v>0</v>
          </cell>
          <cell r="O8">
            <v>9</v>
          </cell>
          <cell r="P8">
            <v>221</v>
          </cell>
          <cell r="Q8">
            <v>139</v>
          </cell>
          <cell r="R8">
            <v>82</v>
          </cell>
          <cell r="S8">
            <v>162</v>
          </cell>
          <cell r="T8">
            <v>230</v>
          </cell>
        </row>
        <row r="9">
          <cell r="C9" t="str">
            <v>Census Tract 5, King County, Washington</v>
          </cell>
          <cell r="D9">
            <v>176</v>
          </cell>
          <cell r="E9">
            <v>46</v>
          </cell>
          <cell r="F9">
            <v>38</v>
          </cell>
          <cell r="G9">
            <v>8</v>
          </cell>
          <cell r="H9">
            <v>0</v>
          </cell>
          <cell r="I9">
            <v>0</v>
          </cell>
          <cell r="J9">
            <v>0</v>
          </cell>
          <cell r="K9">
            <v>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130</v>
          </cell>
          <cell r="Q9">
            <v>86</v>
          </cell>
          <cell r="R9">
            <v>44</v>
          </cell>
          <cell r="S9">
            <v>46</v>
          </cell>
          <cell r="T9">
            <v>130</v>
          </cell>
        </row>
        <row r="10">
          <cell r="C10" t="str">
            <v>Census Tract 6, King County, Washington</v>
          </cell>
          <cell r="D10">
            <v>1416</v>
          </cell>
          <cell r="E10">
            <v>339</v>
          </cell>
          <cell r="F10">
            <v>260</v>
          </cell>
          <cell r="G10">
            <v>66</v>
          </cell>
          <cell r="H10">
            <v>0</v>
          </cell>
          <cell r="I10">
            <v>6</v>
          </cell>
          <cell r="J10">
            <v>6</v>
          </cell>
          <cell r="K10">
            <v>54</v>
          </cell>
          <cell r="L10">
            <v>13</v>
          </cell>
          <cell r="M10">
            <v>0</v>
          </cell>
          <cell r="N10">
            <v>0</v>
          </cell>
          <cell r="O10">
            <v>13</v>
          </cell>
          <cell r="P10">
            <v>1077</v>
          </cell>
          <cell r="Q10">
            <v>596</v>
          </cell>
          <cell r="R10">
            <v>481</v>
          </cell>
          <cell r="S10">
            <v>326</v>
          </cell>
          <cell r="T10">
            <v>1090</v>
          </cell>
        </row>
        <row r="11">
          <cell r="C11" t="str">
            <v>Census Tract 7, King County, Washington</v>
          </cell>
          <cell r="D11">
            <v>702</v>
          </cell>
          <cell r="E11">
            <v>224</v>
          </cell>
          <cell r="F11">
            <v>111</v>
          </cell>
          <cell r="G11">
            <v>87</v>
          </cell>
          <cell r="H11">
            <v>6</v>
          </cell>
          <cell r="I11">
            <v>0</v>
          </cell>
          <cell r="J11">
            <v>16</v>
          </cell>
          <cell r="K11">
            <v>65</v>
          </cell>
          <cell r="L11">
            <v>26</v>
          </cell>
          <cell r="M11">
            <v>0</v>
          </cell>
          <cell r="N11">
            <v>0</v>
          </cell>
          <cell r="O11">
            <v>26</v>
          </cell>
          <cell r="P11">
            <v>478</v>
          </cell>
          <cell r="Q11">
            <v>277</v>
          </cell>
          <cell r="R11">
            <v>201</v>
          </cell>
          <cell r="S11">
            <v>198</v>
          </cell>
          <cell r="T11">
            <v>504</v>
          </cell>
        </row>
        <row r="12">
          <cell r="C12" t="str">
            <v>Census Tract 8, King County, Washington</v>
          </cell>
          <cell r="D12">
            <v>341</v>
          </cell>
          <cell r="E12">
            <v>136</v>
          </cell>
          <cell r="F12">
            <v>101</v>
          </cell>
          <cell r="G12">
            <v>26</v>
          </cell>
          <cell r="H12">
            <v>0</v>
          </cell>
          <cell r="I12">
            <v>0</v>
          </cell>
          <cell r="J12">
            <v>0</v>
          </cell>
          <cell r="K12">
            <v>26</v>
          </cell>
          <cell r="L12">
            <v>9</v>
          </cell>
          <cell r="M12">
            <v>0</v>
          </cell>
          <cell r="N12">
            <v>3</v>
          </cell>
          <cell r="O12">
            <v>6</v>
          </cell>
          <cell r="P12">
            <v>205</v>
          </cell>
          <cell r="Q12">
            <v>155</v>
          </cell>
          <cell r="R12">
            <v>50</v>
          </cell>
          <cell r="S12">
            <v>127</v>
          </cell>
          <cell r="T12">
            <v>214</v>
          </cell>
        </row>
        <row r="13">
          <cell r="C13" t="str">
            <v>Census Tract 9, King County, Washington</v>
          </cell>
          <cell r="D13">
            <v>93</v>
          </cell>
          <cell r="E13">
            <v>43</v>
          </cell>
          <cell r="F13">
            <v>16</v>
          </cell>
          <cell r="G13">
            <v>27</v>
          </cell>
          <cell r="H13">
            <v>5</v>
          </cell>
          <cell r="I13">
            <v>0</v>
          </cell>
          <cell r="J13">
            <v>0</v>
          </cell>
          <cell r="K13">
            <v>22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50</v>
          </cell>
          <cell r="Q13">
            <v>34</v>
          </cell>
          <cell r="R13">
            <v>16</v>
          </cell>
          <cell r="S13">
            <v>43</v>
          </cell>
          <cell r="T13">
            <v>50</v>
          </cell>
        </row>
        <row r="14">
          <cell r="C14" t="str">
            <v>Census Tract 10, King County, Washington</v>
          </cell>
          <cell r="D14">
            <v>229</v>
          </cell>
          <cell r="E14">
            <v>61</v>
          </cell>
          <cell r="F14">
            <v>43</v>
          </cell>
          <cell r="G14">
            <v>11</v>
          </cell>
          <cell r="H14">
            <v>0</v>
          </cell>
          <cell r="I14">
            <v>0</v>
          </cell>
          <cell r="J14">
            <v>0</v>
          </cell>
          <cell r="K14">
            <v>11</v>
          </cell>
          <cell r="L14">
            <v>7</v>
          </cell>
          <cell r="M14">
            <v>0</v>
          </cell>
          <cell r="N14">
            <v>0</v>
          </cell>
          <cell r="O14">
            <v>7</v>
          </cell>
          <cell r="P14">
            <v>168</v>
          </cell>
          <cell r="Q14">
            <v>99</v>
          </cell>
          <cell r="R14">
            <v>69</v>
          </cell>
          <cell r="S14">
            <v>54</v>
          </cell>
          <cell r="T14">
            <v>175</v>
          </cell>
        </row>
        <row r="15">
          <cell r="C15" t="str">
            <v>Census Tract 11, King County, Washington</v>
          </cell>
          <cell r="D15">
            <v>258</v>
          </cell>
          <cell r="E15">
            <v>137</v>
          </cell>
          <cell r="F15">
            <v>95</v>
          </cell>
          <cell r="G15">
            <v>42</v>
          </cell>
          <cell r="H15">
            <v>9</v>
          </cell>
          <cell r="I15">
            <v>5</v>
          </cell>
          <cell r="J15">
            <v>0</v>
          </cell>
          <cell r="K15">
            <v>28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121</v>
          </cell>
          <cell r="Q15">
            <v>107</v>
          </cell>
          <cell r="R15">
            <v>14</v>
          </cell>
          <cell r="S15">
            <v>137</v>
          </cell>
          <cell r="T15">
            <v>121</v>
          </cell>
        </row>
        <row r="16">
          <cell r="C16" t="str">
            <v>Census Tract 12, King County, Washington</v>
          </cell>
          <cell r="D16">
            <v>1010</v>
          </cell>
          <cell r="E16">
            <v>164</v>
          </cell>
          <cell r="F16">
            <v>56</v>
          </cell>
          <cell r="G16">
            <v>101</v>
          </cell>
          <cell r="H16">
            <v>0</v>
          </cell>
          <cell r="I16">
            <v>8</v>
          </cell>
          <cell r="J16">
            <v>0</v>
          </cell>
          <cell r="K16">
            <v>93</v>
          </cell>
          <cell r="L16">
            <v>7</v>
          </cell>
          <cell r="M16">
            <v>0</v>
          </cell>
          <cell r="N16">
            <v>7</v>
          </cell>
          <cell r="O16">
            <v>0</v>
          </cell>
          <cell r="P16">
            <v>846</v>
          </cell>
          <cell r="Q16">
            <v>236</v>
          </cell>
          <cell r="R16">
            <v>610</v>
          </cell>
          <cell r="S16">
            <v>157</v>
          </cell>
          <cell r="T16">
            <v>853</v>
          </cell>
        </row>
        <row r="17">
          <cell r="C17" t="str">
            <v>Census Tract 13, King County, Washington</v>
          </cell>
          <cell r="D17">
            <v>657</v>
          </cell>
          <cell r="E17">
            <v>164</v>
          </cell>
          <cell r="F17">
            <v>99</v>
          </cell>
          <cell r="G17">
            <v>31</v>
          </cell>
          <cell r="H17">
            <v>0</v>
          </cell>
          <cell r="I17">
            <v>0</v>
          </cell>
          <cell r="J17">
            <v>0</v>
          </cell>
          <cell r="K17">
            <v>31</v>
          </cell>
          <cell r="L17">
            <v>34</v>
          </cell>
          <cell r="M17">
            <v>0</v>
          </cell>
          <cell r="N17">
            <v>23</v>
          </cell>
          <cell r="O17">
            <v>11</v>
          </cell>
          <cell r="P17">
            <v>493</v>
          </cell>
          <cell r="Q17">
            <v>187</v>
          </cell>
          <cell r="R17">
            <v>306</v>
          </cell>
          <cell r="S17">
            <v>130</v>
          </cell>
          <cell r="T17">
            <v>527</v>
          </cell>
        </row>
        <row r="18">
          <cell r="C18" t="str">
            <v>Census Tract 14, King County, Washington</v>
          </cell>
          <cell r="D18">
            <v>359</v>
          </cell>
          <cell r="E18">
            <v>90</v>
          </cell>
          <cell r="F18">
            <v>55</v>
          </cell>
          <cell r="G18">
            <v>16</v>
          </cell>
          <cell r="H18">
            <v>0</v>
          </cell>
          <cell r="I18">
            <v>0</v>
          </cell>
          <cell r="J18">
            <v>9</v>
          </cell>
          <cell r="K18">
            <v>7</v>
          </cell>
          <cell r="L18">
            <v>19</v>
          </cell>
          <cell r="M18">
            <v>0</v>
          </cell>
          <cell r="N18">
            <v>0</v>
          </cell>
          <cell r="O18">
            <v>19</v>
          </cell>
          <cell r="P18">
            <v>269</v>
          </cell>
          <cell r="Q18">
            <v>183</v>
          </cell>
          <cell r="R18">
            <v>86</v>
          </cell>
          <cell r="S18">
            <v>71</v>
          </cell>
          <cell r="T18">
            <v>288</v>
          </cell>
        </row>
        <row r="19">
          <cell r="C19" t="str">
            <v>Census Tract 15, King County, Washington</v>
          </cell>
          <cell r="D19">
            <v>58</v>
          </cell>
          <cell r="E19">
            <v>17</v>
          </cell>
          <cell r="F19">
            <v>0</v>
          </cell>
          <cell r="G19">
            <v>11</v>
          </cell>
          <cell r="H19">
            <v>5</v>
          </cell>
          <cell r="I19">
            <v>6</v>
          </cell>
          <cell r="J19">
            <v>0</v>
          </cell>
          <cell r="K19">
            <v>0</v>
          </cell>
          <cell r="L19">
            <v>6</v>
          </cell>
          <cell r="M19">
            <v>0</v>
          </cell>
          <cell r="N19">
            <v>0</v>
          </cell>
          <cell r="O19">
            <v>6</v>
          </cell>
          <cell r="P19">
            <v>41</v>
          </cell>
          <cell r="Q19">
            <v>0</v>
          </cell>
          <cell r="R19">
            <v>41</v>
          </cell>
          <cell r="S19">
            <v>11</v>
          </cell>
          <cell r="T19">
            <v>47</v>
          </cell>
        </row>
        <row r="20">
          <cell r="C20" t="str">
            <v>Census Tract 16, King County, Washington</v>
          </cell>
          <cell r="D20">
            <v>242</v>
          </cell>
          <cell r="E20">
            <v>119</v>
          </cell>
          <cell r="F20">
            <v>88</v>
          </cell>
          <cell r="G20">
            <v>31</v>
          </cell>
          <cell r="H20">
            <v>0</v>
          </cell>
          <cell r="I20">
            <v>0</v>
          </cell>
          <cell r="J20">
            <v>5</v>
          </cell>
          <cell r="K20">
            <v>26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123</v>
          </cell>
          <cell r="Q20">
            <v>60</v>
          </cell>
          <cell r="R20">
            <v>63</v>
          </cell>
          <cell r="S20">
            <v>119</v>
          </cell>
          <cell r="T20">
            <v>123</v>
          </cell>
        </row>
        <row r="21">
          <cell r="C21" t="str">
            <v>Census Tract 17, King County, Washington</v>
          </cell>
          <cell r="D21">
            <v>966</v>
          </cell>
          <cell r="E21">
            <v>260</v>
          </cell>
          <cell r="F21">
            <v>175</v>
          </cell>
          <cell r="G21">
            <v>68</v>
          </cell>
          <cell r="H21">
            <v>0</v>
          </cell>
          <cell r="I21">
            <v>17</v>
          </cell>
          <cell r="J21">
            <v>8</v>
          </cell>
          <cell r="K21">
            <v>43</v>
          </cell>
          <cell r="L21">
            <v>17</v>
          </cell>
          <cell r="M21">
            <v>0</v>
          </cell>
          <cell r="N21">
            <v>0</v>
          </cell>
          <cell r="O21">
            <v>17</v>
          </cell>
          <cell r="P21">
            <v>706</v>
          </cell>
          <cell r="Q21">
            <v>433</v>
          </cell>
          <cell r="R21">
            <v>273</v>
          </cell>
          <cell r="S21">
            <v>243</v>
          </cell>
          <cell r="T21">
            <v>723</v>
          </cell>
        </row>
        <row r="22">
          <cell r="C22" t="str">
            <v>Census Tract 18, King County, Washington</v>
          </cell>
          <cell r="D22">
            <v>444</v>
          </cell>
          <cell r="E22">
            <v>145</v>
          </cell>
          <cell r="F22">
            <v>87</v>
          </cell>
          <cell r="G22">
            <v>58</v>
          </cell>
          <cell r="H22">
            <v>9</v>
          </cell>
          <cell r="I22">
            <v>16</v>
          </cell>
          <cell r="J22">
            <v>6</v>
          </cell>
          <cell r="K22">
            <v>27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299</v>
          </cell>
          <cell r="Q22">
            <v>124</v>
          </cell>
          <cell r="R22">
            <v>175</v>
          </cell>
          <cell r="S22">
            <v>145</v>
          </cell>
          <cell r="T22">
            <v>299</v>
          </cell>
        </row>
        <row r="23">
          <cell r="C23" t="str">
            <v>Census Tract 19, King County, Washington</v>
          </cell>
          <cell r="D23">
            <v>406</v>
          </cell>
          <cell r="E23">
            <v>179</v>
          </cell>
          <cell r="F23">
            <v>131</v>
          </cell>
          <cell r="G23">
            <v>41</v>
          </cell>
          <cell r="H23">
            <v>0</v>
          </cell>
          <cell r="I23">
            <v>7</v>
          </cell>
          <cell r="J23">
            <v>6</v>
          </cell>
          <cell r="K23">
            <v>28</v>
          </cell>
          <cell r="L23">
            <v>7</v>
          </cell>
          <cell r="M23">
            <v>0</v>
          </cell>
          <cell r="N23">
            <v>0</v>
          </cell>
          <cell r="O23">
            <v>7</v>
          </cell>
          <cell r="P23">
            <v>227</v>
          </cell>
          <cell r="Q23">
            <v>130</v>
          </cell>
          <cell r="R23">
            <v>97</v>
          </cell>
          <cell r="S23">
            <v>172</v>
          </cell>
          <cell r="T23">
            <v>234</v>
          </cell>
        </row>
        <row r="24">
          <cell r="C24" t="str">
            <v>Census Tract 20, King County, Washington</v>
          </cell>
          <cell r="D24">
            <v>165</v>
          </cell>
          <cell r="E24">
            <v>30</v>
          </cell>
          <cell r="F24">
            <v>14</v>
          </cell>
          <cell r="G24">
            <v>16</v>
          </cell>
          <cell r="H24">
            <v>0</v>
          </cell>
          <cell r="I24">
            <v>16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135</v>
          </cell>
          <cell r="Q24">
            <v>71</v>
          </cell>
          <cell r="R24">
            <v>64</v>
          </cell>
          <cell r="S24">
            <v>30</v>
          </cell>
          <cell r="T24">
            <v>135</v>
          </cell>
        </row>
        <row r="25">
          <cell r="C25" t="str">
            <v>Census Tract 21, King County, Washington</v>
          </cell>
          <cell r="D25">
            <v>335</v>
          </cell>
          <cell r="E25">
            <v>97</v>
          </cell>
          <cell r="F25">
            <v>62</v>
          </cell>
          <cell r="G25">
            <v>30</v>
          </cell>
          <cell r="H25">
            <v>9</v>
          </cell>
          <cell r="I25">
            <v>0</v>
          </cell>
          <cell r="J25">
            <v>0</v>
          </cell>
          <cell r="K25">
            <v>21</v>
          </cell>
          <cell r="L25">
            <v>5</v>
          </cell>
          <cell r="M25">
            <v>0</v>
          </cell>
          <cell r="N25">
            <v>5</v>
          </cell>
          <cell r="O25">
            <v>0</v>
          </cell>
          <cell r="P25">
            <v>238</v>
          </cell>
          <cell r="Q25">
            <v>181</v>
          </cell>
          <cell r="R25">
            <v>57</v>
          </cell>
          <cell r="S25">
            <v>92</v>
          </cell>
          <cell r="T25">
            <v>243</v>
          </cell>
        </row>
        <row r="26">
          <cell r="C26" t="str">
            <v>Census Tract 22, King County, Washington</v>
          </cell>
          <cell r="D26">
            <v>574</v>
          </cell>
          <cell r="E26">
            <v>168</v>
          </cell>
          <cell r="F26">
            <v>110</v>
          </cell>
          <cell r="G26">
            <v>58</v>
          </cell>
          <cell r="H26">
            <v>20</v>
          </cell>
          <cell r="I26">
            <v>0</v>
          </cell>
          <cell r="J26">
            <v>0</v>
          </cell>
          <cell r="K26">
            <v>38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406</v>
          </cell>
          <cell r="Q26">
            <v>298</v>
          </cell>
          <cell r="R26">
            <v>108</v>
          </cell>
          <cell r="S26">
            <v>168</v>
          </cell>
          <cell r="T26">
            <v>406</v>
          </cell>
        </row>
        <row r="27">
          <cell r="C27" t="str">
            <v>Census Tract 24, King County, Washington</v>
          </cell>
          <cell r="D27">
            <v>239</v>
          </cell>
          <cell r="E27">
            <v>37</v>
          </cell>
          <cell r="F27">
            <v>17</v>
          </cell>
          <cell r="G27">
            <v>20</v>
          </cell>
          <cell r="H27">
            <v>12</v>
          </cell>
          <cell r="I27">
            <v>0</v>
          </cell>
          <cell r="J27">
            <v>0</v>
          </cell>
          <cell r="K27">
            <v>8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202</v>
          </cell>
          <cell r="Q27">
            <v>64</v>
          </cell>
          <cell r="R27">
            <v>138</v>
          </cell>
          <cell r="S27">
            <v>37</v>
          </cell>
          <cell r="T27">
            <v>202</v>
          </cell>
        </row>
        <row r="28">
          <cell r="C28" t="str">
            <v>Census Tract 25, King County, Washington</v>
          </cell>
          <cell r="D28">
            <v>158</v>
          </cell>
          <cell r="E28">
            <v>65</v>
          </cell>
          <cell r="F28">
            <v>16</v>
          </cell>
          <cell r="G28">
            <v>42</v>
          </cell>
          <cell r="H28">
            <v>12</v>
          </cell>
          <cell r="I28">
            <v>0</v>
          </cell>
          <cell r="J28">
            <v>11</v>
          </cell>
          <cell r="K28">
            <v>19</v>
          </cell>
          <cell r="L28">
            <v>7</v>
          </cell>
          <cell r="M28">
            <v>0</v>
          </cell>
          <cell r="N28">
            <v>0</v>
          </cell>
          <cell r="O28">
            <v>7</v>
          </cell>
          <cell r="P28">
            <v>93</v>
          </cell>
          <cell r="Q28">
            <v>63</v>
          </cell>
          <cell r="R28">
            <v>30</v>
          </cell>
          <cell r="S28">
            <v>58</v>
          </cell>
          <cell r="T28">
            <v>100</v>
          </cell>
        </row>
        <row r="29">
          <cell r="C29" t="str">
            <v>Census Tract 26, King County, Washington</v>
          </cell>
          <cell r="D29">
            <v>252</v>
          </cell>
          <cell r="E29">
            <v>112</v>
          </cell>
          <cell r="F29">
            <v>49</v>
          </cell>
          <cell r="G29">
            <v>59</v>
          </cell>
          <cell r="H29">
            <v>0</v>
          </cell>
          <cell r="I29">
            <v>0</v>
          </cell>
          <cell r="J29">
            <v>6</v>
          </cell>
          <cell r="K29">
            <v>53</v>
          </cell>
          <cell r="L29">
            <v>4</v>
          </cell>
          <cell r="M29">
            <v>0</v>
          </cell>
          <cell r="N29">
            <v>0</v>
          </cell>
          <cell r="O29">
            <v>4</v>
          </cell>
          <cell r="P29">
            <v>140</v>
          </cell>
          <cell r="Q29">
            <v>56</v>
          </cell>
          <cell r="R29">
            <v>84</v>
          </cell>
          <cell r="S29">
            <v>108</v>
          </cell>
          <cell r="T29">
            <v>144</v>
          </cell>
        </row>
        <row r="30">
          <cell r="C30" t="str">
            <v>Census Tract 27, King County, Washington</v>
          </cell>
          <cell r="D30">
            <v>274</v>
          </cell>
          <cell r="E30">
            <v>135</v>
          </cell>
          <cell r="F30">
            <v>70</v>
          </cell>
          <cell r="G30">
            <v>54</v>
          </cell>
          <cell r="H30">
            <v>0</v>
          </cell>
          <cell r="I30">
            <v>13</v>
          </cell>
          <cell r="J30">
            <v>25</v>
          </cell>
          <cell r="K30">
            <v>16</v>
          </cell>
          <cell r="L30">
            <v>11</v>
          </cell>
          <cell r="M30">
            <v>0</v>
          </cell>
          <cell r="N30">
            <v>0</v>
          </cell>
          <cell r="O30">
            <v>11</v>
          </cell>
          <cell r="P30">
            <v>139</v>
          </cell>
          <cell r="Q30">
            <v>103</v>
          </cell>
          <cell r="R30">
            <v>36</v>
          </cell>
          <cell r="S30">
            <v>124</v>
          </cell>
          <cell r="T30">
            <v>150</v>
          </cell>
        </row>
        <row r="31">
          <cell r="C31" t="str">
            <v>Census Tract 28, King County, Washington</v>
          </cell>
          <cell r="D31">
            <v>244</v>
          </cell>
          <cell r="E31">
            <v>70</v>
          </cell>
          <cell r="F31">
            <v>19</v>
          </cell>
          <cell r="G31">
            <v>51</v>
          </cell>
          <cell r="H31">
            <v>6</v>
          </cell>
          <cell r="I31">
            <v>7</v>
          </cell>
          <cell r="J31">
            <v>8</v>
          </cell>
          <cell r="K31">
            <v>30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174</v>
          </cell>
          <cell r="Q31">
            <v>114</v>
          </cell>
          <cell r="R31">
            <v>60</v>
          </cell>
          <cell r="S31">
            <v>70</v>
          </cell>
          <cell r="T31">
            <v>174</v>
          </cell>
        </row>
        <row r="32">
          <cell r="C32" t="str">
            <v>Census Tract 29, King County, Washington</v>
          </cell>
          <cell r="D32">
            <v>159</v>
          </cell>
          <cell r="E32">
            <v>50</v>
          </cell>
          <cell r="F32">
            <v>27</v>
          </cell>
          <cell r="G32">
            <v>12</v>
          </cell>
          <cell r="H32">
            <v>5</v>
          </cell>
          <cell r="I32">
            <v>0</v>
          </cell>
          <cell r="J32">
            <v>0</v>
          </cell>
          <cell r="K32">
            <v>7</v>
          </cell>
          <cell r="L32">
            <v>11</v>
          </cell>
          <cell r="M32">
            <v>0</v>
          </cell>
          <cell r="N32">
            <v>0</v>
          </cell>
          <cell r="O32">
            <v>11</v>
          </cell>
          <cell r="P32">
            <v>109</v>
          </cell>
          <cell r="Q32">
            <v>26</v>
          </cell>
          <cell r="R32">
            <v>83</v>
          </cell>
          <cell r="S32">
            <v>39</v>
          </cell>
          <cell r="T32">
            <v>120</v>
          </cell>
        </row>
        <row r="33">
          <cell r="C33" t="str">
            <v>Census Tract 30, King County, Washington</v>
          </cell>
          <cell r="D33">
            <v>167</v>
          </cell>
          <cell r="E33">
            <v>87</v>
          </cell>
          <cell r="F33">
            <v>43</v>
          </cell>
          <cell r="G33">
            <v>44</v>
          </cell>
          <cell r="H33">
            <v>9</v>
          </cell>
          <cell r="I33">
            <v>16</v>
          </cell>
          <cell r="J33">
            <v>0</v>
          </cell>
          <cell r="K33">
            <v>19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80</v>
          </cell>
          <cell r="Q33">
            <v>25</v>
          </cell>
          <cell r="R33">
            <v>55</v>
          </cell>
          <cell r="S33">
            <v>87</v>
          </cell>
          <cell r="T33">
            <v>80</v>
          </cell>
        </row>
        <row r="34">
          <cell r="C34" t="str">
            <v>Census Tract 31, King County, Washington</v>
          </cell>
          <cell r="D34">
            <v>161</v>
          </cell>
          <cell r="E34">
            <v>72</v>
          </cell>
          <cell r="F34">
            <v>38</v>
          </cell>
          <cell r="G34">
            <v>26</v>
          </cell>
          <cell r="H34">
            <v>0</v>
          </cell>
          <cell r="I34">
            <v>6</v>
          </cell>
          <cell r="J34">
            <v>7</v>
          </cell>
          <cell r="K34">
            <v>13</v>
          </cell>
          <cell r="L34">
            <v>8</v>
          </cell>
          <cell r="M34">
            <v>0</v>
          </cell>
          <cell r="N34">
            <v>0</v>
          </cell>
          <cell r="O34">
            <v>8</v>
          </cell>
          <cell r="P34">
            <v>89</v>
          </cell>
          <cell r="Q34">
            <v>55</v>
          </cell>
          <cell r="R34">
            <v>34</v>
          </cell>
          <cell r="S34">
            <v>64</v>
          </cell>
          <cell r="T34">
            <v>97</v>
          </cell>
        </row>
        <row r="35">
          <cell r="C35" t="str">
            <v>Census Tract 32, King County, Washington</v>
          </cell>
          <cell r="D35">
            <v>297</v>
          </cell>
          <cell r="E35">
            <v>130</v>
          </cell>
          <cell r="F35">
            <v>23</v>
          </cell>
          <cell r="G35">
            <v>107</v>
          </cell>
          <cell r="H35">
            <v>0</v>
          </cell>
          <cell r="I35">
            <v>18</v>
          </cell>
          <cell r="J35">
            <v>0</v>
          </cell>
          <cell r="K35">
            <v>89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167</v>
          </cell>
          <cell r="Q35">
            <v>92</v>
          </cell>
          <cell r="R35">
            <v>75</v>
          </cell>
          <cell r="S35">
            <v>130</v>
          </cell>
          <cell r="T35">
            <v>167</v>
          </cell>
        </row>
        <row r="36">
          <cell r="C36" t="str">
            <v>Census Tract 33, King County, Washington</v>
          </cell>
          <cell r="D36">
            <v>240</v>
          </cell>
          <cell r="E36">
            <v>112</v>
          </cell>
          <cell r="F36">
            <v>48</v>
          </cell>
          <cell r="G36">
            <v>53</v>
          </cell>
          <cell r="H36">
            <v>0</v>
          </cell>
          <cell r="I36">
            <v>7</v>
          </cell>
          <cell r="J36">
            <v>12</v>
          </cell>
          <cell r="K36">
            <v>34</v>
          </cell>
          <cell r="L36">
            <v>11</v>
          </cell>
          <cell r="M36">
            <v>0</v>
          </cell>
          <cell r="N36">
            <v>0</v>
          </cell>
          <cell r="O36">
            <v>11</v>
          </cell>
          <cell r="P36">
            <v>128</v>
          </cell>
          <cell r="Q36">
            <v>96</v>
          </cell>
          <cell r="R36">
            <v>32</v>
          </cell>
          <cell r="S36">
            <v>101</v>
          </cell>
          <cell r="T36">
            <v>139</v>
          </cell>
        </row>
        <row r="37">
          <cell r="C37" t="str">
            <v>Census Tract 34, King County, Washington</v>
          </cell>
          <cell r="D37">
            <v>91</v>
          </cell>
          <cell r="E37">
            <v>35</v>
          </cell>
          <cell r="F37">
            <v>11</v>
          </cell>
          <cell r="G37">
            <v>24</v>
          </cell>
          <cell r="H37">
            <v>0</v>
          </cell>
          <cell r="I37">
            <v>0</v>
          </cell>
          <cell r="J37">
            <v>9</v>
          </cell>
          <cell r="K37">
            <v>15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56</v>
          </cell>
          <cell r="Q37">
            <v>29</v>
          </cell>
          <cell r="R37">
            <v>27</v>
          </cell>
          <cell r="S37">
            <v>35</v>
          </cell>
          <cell r="T37">
            <v>56</v>
          </cell>
        </row>
        <row r="38">
          <cell r="C38" t="str">
            <v>Census Tract 35, King County, Washington</v>
          </cell>
          <cell r="D38">
            <v>118</v>
          </cell>
          <cell r="E38">
            <v>100</v>
          </cell>
          <cell r="F38">
            <v>30</v>
          </cell>
          <cell r="G38">
            <v>57</v>
          </cell>
          <cell r="H38">
            <v>0</v>
          </cell>
          <cell r="I38">
            <v>0</v>
          </cell>
          <cell r="J38">
            <v>6</v>
          </cell>
          <cell r="K38">
            <v>51</v>
          </cell>
          <cell r="L38">
            <v>13</v>
          </cell>
          <cell r="M38">
            <v>0</v>
          </cell>
          <cell r="N38">
            <v>0</v>
          </cell>
          <cell r="O38">
            <v>13</v>
          </cell>
          <cell r="P38">
            <v>18</v>
          </cell>
          <cell r="Q38">
            <v>12</v>
          </cell>
          <cell r="R38">
            <v>6</v>
          </cell>
          <cell r="S38">
            <v>87</v>
          </cell>
          <cell r="T38">
            <v>31</v>
          </cell>
        </row>
        <row r="39">
          <cell r="C39" t="str">
            <v>Census Tract 36, King County, Washington</v>
          </cell>
          <cell r="D39">
            <v>429</v>
          </cell>
          <cell r="E39">
            <v>187</v>
          </cell>
          <cell r="F39">
            <v>80</v>
          </cell>
          <cell r="G39">
            <v>96</v>
          </cell>
          <cell r="H39">
            <v>0</v>
          </cell>
          <cell r="I39">
            <v>29</v>
          </cell>
          <cell r="J39">
            <v>26</v>
          </cell>
          <cell r="K39">
            <v>41</v>
          </cell>
          <cell r="L39">
            <v>11</v>
          </cell>
          <cell r="M39">
            <v>0</v>
          </cell>
          <cell r="N39">
            <v>0</v>
          </cell>
          <cell r="O39">
            <v>11</v>
          </cell>
          <cell r="P39">
            <v>242</v>
          </cell>
          <cell r="Q39">
            <v>140</v>
          </cell>
          <cell r="R39">
            <v>102</v>
          </cell>
          <cell r="S39">
            <v>176</v>
          </cell>
          <cell r="T39">
            <v>253</v>
          </cell>
        </row>
        <row r="40">
          <cell r="C40" t="str">
            <v>Census Tract 38, King County, Washington</v>
          </cell>
          <cell r="D40">
            <v>161</v>
          </cell>
          <cell r="E40">
            <v>34</v>
          </cell>
          <cell r="F40">
            <v>23</v>
          </cell>
          <cell r="G40">
            <v>11</v>
          </cell>
          <cell r="H40">
            <v>0</v>
          </cell>
          <cell r="I40">
            <v>4</v>
          </cell>
          <cell r="J40">
            <v>0</v>
          </cell>
          <cell r="K40">
            <v>7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127</v>
          </cell>
          <cell r="Q40">
            <v>58</v>
          </cell>
          <cell r="R40">
            <v>69</v>
          </cell>
          <cell r="S40">
            <v>34</v>
          </cell>
          <cell r="T40">
            <v>127</v>
          </cell>
        </row>
        <row r="41">
          <cell r="C41" t="str">
            <v>Census Tract 39, King County, Washington</v>
          </cell>
          <cell r="D41">
            <v>265</v>
          </cell>
          <cell r="E41">
            <v>79</v>
          </cell>
          <cell r="F41">
            <v>57</v>
          </cell>
          <cell r="G41">
            <v>10</v>
          </cell>
          <cell r="H41">
            <v>10</v>
          </cell>
          <cell r="I41">
            <v>0</v>
          </cell>
          <cell r="J41">
            <v>0</v>
          </cell>
          <cell r="K41">
            <v>0</v>
          </cell>
          <cell r="L41">
            <v>12</v>
          </cell>
          <cell r="M41">
            <v>0</v>
          </cell>
          <cell r="N41">
            <v>0</v>
          </cell>
          <cell r="O41">
            <v>12</v>
          </cell>
          <cell r="P41">
            <v>186</v>
          </cell>
          <cell r="Q41">
            <v>117</v>
          </cell>
          <cell r="R41">
            <v>69</v>
          </cell>
          <cell r="S41">
            <v>67</v>
          </cell>
          <cell r="T41">
            <v>198</v>
          </cell>
        </row>
        <row r="42">
          <cell r="C42" t="str">
            <v>Census Tract 40, King County, Washington</v>
          </cell>
          <cell r="D42">
            <v>171</v>
          </cell>
          <cell r="E42">
            <v>61</v>
          </cell>
          <cell r="F42">
            <v>25</v>
          </cell>
          <cell r="G42">
            <v>36</v>
          </cell>
          <cell r="H42">
            <v>6</v>
          </cell>
          <cell r="I42">
            <v>16</v>
          </cell>
          <cell r="J42">
            <v>0</v>
          </cell>
          <cell r="K42">
            <v>14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110</v>
          </cell>
          <cell r="Q42">
            <v>60</v>
          </cell>
          <cell r="R42">
            <v>50</v>
          </cell>
          <cell r="S42">
            <v>61</v>
          </cell>
          <cell r="T42">
            <v>110</v>
          </cell>
        </row>
        <row r="43">
          <cell r="C43" t="str">
            <v>Census Tract 41, King County, Washington</v>
          </cell>
          <cell r="D43">
            <v>590</v>
          </cell>
          <cell r="E43">
            <v>192</v>
          </cell>
          <cell r="F43">
            <v>115</v>
          </cell>
          <cell r="G43">
            <v>58</v>
          </cell>
          <cell r="H43">
            <v>14</v>
          </cell>
          <cell r="I43">
            <v>20</v>
          </cell>
          <cell r="J43">
            <v>14</v>
          </cell>
          <cell r="K43">
            <v>10</v>
          </cell>
          <cell r="L43">
            <v>19</v>
          </cell>
          <cell r="M43">
            <v>0</v>
          </cell>
          <cell r="N43">
            <v>0</v>
          </cell>
          <cell r="O43">
            <v>19</v>
          </cell>
          <cell r="P43">
            <v>398</v>
          </cell>
          <cell r="Q43">
            <v>101</v>
          </cell>
          <cell r="R43">
            <v>297</v>
          </cell>
          <cell r="S43">
            <v>173</v>
          </cell>
          <cell r="T43">
            <v>417</v>
          </cell>
        </row>
        <row r="44">
          <cell r="C44" t="str">
            <v>Census Tract 42, King County, Washington</v>
          </cell>
          <cell r="D44">
            <v>443</v>
          </cell>
          <cell r="E44">
            <v>212</v>
          </cell>
          <cell r="F44">
            <v>113</v>
          </cell>
          <cell r="G44">
            <v>87</v>
          </cell>
          <cell r="H44">
            <v>6</v>
          </cell>
          <cell r="I44">
            <v>29</v>
          </cell>
          <cell r="J44">
            <v>5</v>
          </cell>
          <cell r="K44">
            <v>47</v>
          </cell>
          <cell r="L44">
            <v>12</v>
          </cell>
          <cell r="M44">
            <v>0</v>
          </cell>
          <cell r="N44">
            <v>0</v>
          </cell>
          <cell r="O44">
            <v>12</v>
          </cell>
          <cell r="P44">
            <v>231</v>
          </cell>
          <cell r="Q44">
            <v>87</v>
          </cell>
          <cell r="R44">
            <v>144</v>
          </cell>
          <cell r="S44">
            <v>200</v>
          </cell>
          <cell r="T44">
            <v>243</v>
          </cell>
        </row>
        <row r="45">
          <cell r="C45" t="str">
            <v>Census Tract 43, King County, Washington</v>
          </cell>
          <cell r="D45">
            <v>713</v>
          </cell>
          <cell r="E45">
            <v>309</v>
          </cell>
          <cell r="F45">
            <v>128</v>
          </cell>
          <cell r="G45">
            <v>181</v>
          </cell>
          <cell r="H45">
            <v>7</v>
          </cell>
          <cell r="I45">
            <v>18</v>
          </cell>
          <cell r="J45">
            <v>14</v>
          </cell>
          <cell r="K45">
            <v>142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404</v>
          </cell>
          <cell r="Q45">
            <v>108</v>
          </cell>
          <cell r="R45">
            <v>296</v>
          </cell>
          <cell r="S45">
            <v>309</v>
          </cell>
          <cell r="T45">
            <v>404</v>
          </cell>
        </row>
        <row r="46">
          <cell r="C46" t="str">
            <v>Census Tract 44, King County, Washington</v>
          </cell>
          <cell r="D46">
            <v>720</v>
          </cell>
          <cell r="E46">
            <v>224</v>
          </cell>
          <cell r="F46">
            <v>109</v>
          </cell>
          <cell r="G46">
            <v>104</v>
          </cell>
          <cell r="H46">
            <v>7</v>
          </cell>
          <cell r="I46">
            <v>26</v>
          </cell>
          <cell r="J46">
            <v>18</v>
          </cell>
          <cell r="K46">
            <v>53</v>
          </cell>
          <cell r="L46">
            <v>11</v>
          </cell>
          <cell r="M46">
            <v>0</v>
          </cell>
          <cell r="N46">
            <v>0</v>
          </cell>
          <cell r="O46">
            <v>11</v>
          </cell>
          <cell r="P46">
            <v>496</v>
          </cell>
          <cell r="Q46">
            <v>171</v>
          </cell>
          <cell r="R46">
            <v>325</v>
          </cell>
          <cell r="S46">
            <v>213</v>
          </cell>
          <cell r="T46">
            <v>507</v>
          </cell>
        </row>
        <row r="47">
          <cell r="C47" t="str">
            <v>Census Tract 45, King County, Washington</v>
          </cell>
          <cell r="D47">
            <v>182</v>
          </cell>
          <cell r="E47">
            <v>89</v>
          </cell>
          <cell r="F47">
            <v>28</v>
          </cell>
          <cell r="G47">
            <v>41</v>
          </cell>
          <cell r="H47">
            <v>5</v>
          </cell>
          <cell r="I47">
            <v>0</v>
          </cell>
          <cell r="J47">
            <v>10</v>
          </cell>
          <cell r="K47">
            <v>26</v>
          </cell>
          <cell r="L47">
            <v>20</v>
          </cell>
          <cell r="M47">
            <v>0</v>
          </cell>
          <cell r="N47">
            <v>0</v>
          </cell>
          <cell r="O47">
            <v>20</v>
          </cell>
          <cell r="P47">
            <v>93</v>
          </cell>
          <cell r="Q47">
            <v>45</v>
          </cell>
          <cell r="R47">
            <v>48</v>
          </cell>
          <cell r="S47">
            <v>69</v>
          </cell>
          <cell r="T47">
            <v>113</v>
          </cell>
        </row>
        <row r="48">
          <cell r="C48" t="str">
            <v>Census Tract 46, King County, Washington</v>
          </cell>
          <cell r="D48">
            <v>84</v>
          </cell>
          <cell r="E48">
            <v>50</v>
          </cell>
          <cell r="F48">
            <v>6</v>
          </cell>
          <cell r="G48">
            <v>37</v>
          </cell>
          <cell r="H48">
            <v>0</v>
          </cell>
          <cell r="I48">
            <v>4</v>
          </cell>
          <cell r="J48">
            <v>0</v>
          </cell>
          <cell r="K48">
            <v>33</v>
          </cell>
          <cell r="L48">
            <v>7</v>
          </cell>
          <cell r="M48">
            <v>0</v>
          </cell>
          <cell r="N48">
            <v>0</v>
          </cell>
          <cell r="O48">
            <v>7</v>
          </cell>
          <cell r="P48">
            <v>34</v>
          </cell>
          <cell r="Q48">
            <v>4</v>
          </cell>
          <cell r="R48">
            <v>30</v>
          </cell>
          <cell r="S48">
            <v>43</v>
          </cell>
          <cell r="T48">
            <v>41</v>
          </cell>
        </row>
        <row r="49">
          <cell r="C49" t="str">
            <v>Census Tract 47, King County, Washington</v>
          </cell>
          <cell r="D49">
            <v>185</v>
          </cell>
          <cell r="E49">
            <v>53</v>
          </cell>
          <cell r="F49">
            <v>24</v>
          </cell>
          <cell r="G49">
            <v>29</v>
          </cell>
          <cell r="H49">
            <v>0</v>
          </cell>
          <cell r="I49">
            <v>13</v>
          </cell>
          <cell r="J49">
            <v>0</v>
          </cell>
          <cell r="K49">
            <v>16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132</v>
          </cell>
          <cell r="Q49">
            <v>93</v>
          </cell>
          <cell r="R49">
            <v>39</v>
          </cell>
          <cell r="S49">
            <v>53</v>
          </cell>
          <cell r="T49">
            <v>132</v>
          </cell>
        </row>
        <row r="50">
          <cell r="C50" t="str">
            <v>Census Tract 48, King County, Washington</v>
          </cell>
          <cell r="D50">
            <v>136</v>
          </cell>
          <cell r="E50">
            <v>34</v>
          </cell>
          <cell r="F50">
            <v>24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10</v>
          </cell>
          <cell r="M50">
            <v>0</v>
          </cell>
          <cell r="N50">
            <v>0</v>
          </cell>
          <cell r="O50">
            <v>10</v>
          </cell>
          <cell r="P50">
            <v>102</v>
          </cell>
          <cell r="Q50">
            <v>88</v>
          </cell>
          <cell r="R50">
            <v>14</v>
          </cell>
          <cell r="S50">
            <v>24</v>
          </cell>
          <cell r="T50">
            <v>112</v>
          </cell>
        </row>
        <row r="51">
          <cell r="C51" t="str">
            <v>Census Tract 49, King County, Washington</v>
          </cell>
          <cell r="D51">
            <v>141</v>
          </cell>
          <cell r="E51">
            <v>58</v>
          </cell>
          <cell r="F51">
            <v>38</v>
          </cell>
          <cell r="G51">
            <v>13</v>
          </cell>
          <cell r="H51">
            <v>0</v>
          </cell>
          <cell r="I51">
            <v>0</v>
          </cell>
          <cell r="J51">
            <v>0</v>
          </cell>
          <cell r="K51">
            <v>13</v>
          </cell>
          <cell r="L51">
            <v>7</v>
          </cell>
          <cell r="M51">
            <v>0</v>
          </cell>
          <cell r="N51">
            <v>0</v>
          </cell>
          <cell r="O51">
            <v>7</v>
          </cell>
          <cell r="P51">
            <v>83</v>
          </cell>
          <cell r="Q51">
            <v>52</v>
          </cell>
          <cell r="R51">
            <v>31</v>
          </cell>
          <cell r="S51">
            <v>51</v>
          </cell>
          <cell r="T51">
            <v>90</v>
          </cell>
        </row>
        <row r="52">
          <cell r="C52" t="str">
            <v>Census Tract 50, King County, Washington</v>
          </cell>
          <cell r="D52">
            <v>135</v>
          </cell>
          <cell r="E52">
            <v>59</v>
          </cell>
          <cell r="F52">
            <v>31</v>
          </cell>
          <cell r="G52">
            <v>24</v>
          </cell>
          <cell r="H52">
            <v>11</v>
          </cell>
          <cell r="I52">
            <v>0</v>
          </cell>
          <cell r="J52">
            <v>0</v>
          </cell>
          <cell r="K52">
            <v>13</v>
          </cell>
          <cell r="L52">
            <v>4</v>
          </cell>
          <cell r="M52">
            <v>0</v>
          </cell>
          <cell r="N52">
            <v>0</v>
          </cell>
          <cell r="O52">
            <v>4</v>
          </cell>
          <cell r="P52">
            <v>76</v>
          </cell>
          <cell r="Q52">
            <v>51</v>
          </cell>
          <cell r="R52">
            <v>25</v>
          </cell>
          <cell r="S52">
            <v>55</v>
          </cell>
          <cell r="T52">
            <v>80</v>
          </cell>
        </row>
        <row r="53">
          <cell r="C53" t="str">
            <v>Census Tract 51, King County, Washington</v>
          </cell>
          <cell r="D53">
            <v>177</v>
          </cell>
          <cell r="E53">
            <v>76</v>
          </cell>
          <cell r="F53">
            <v>17</v>
          </cell>
          <cell r="G53">
            <v>44</v>
          </cell>
          <cell r="H53">
            <v>0</v>
          </cell>
          <cell r="I53">
            <v>22</v>
          </cell>
          <cell r="J53">
            <v>0</v>
          </cell>
          <cell r="K53">
            <v>22</v>
          </cell>
          <cell r="L53">
            <v>15</v>
          </cell>
          <cell r="M53">
            <v>0</v>
          </cell>
          <cell r="N53">
            <v>0</v>
          </cell>
          <cell r="O53">
            <v>15</v>
          </cell>
          <cell r="P53">
            <v>101</v>
          </cell>
          <cell r="Q53">
            <v>46</v>
          </cell>
          <cell r="R53">
            <v>55</v>
          </cell>
          <cell r="S53">
            <v>61</v>
          </cell>
          <cell r="T53">
            <v>116</v>
          </cell>
        </row>
        <row r="54">
          <cell r="C54" t="str">
            <v>Census Tract 52, King County, Washington</v>
          </cell>
          <cell r="D54">
            <v>662</v>
          </cell>
          <cell r="E54">
            <v>318</v>
          </cell>
          <cell r="F54">
            <v>131</v>
          </cell>
          <cell r="G54">
            <v>174</v>
          </cell>
          <cell r="H54">
            <v>26</v>
          </cell>
          <cell r="I54">
            <v>7</v>
          </cell>
          <cell r="J54">
            <v>8</v>
          </cell>
          <cell r="K54">
            <v>133</v>
          </cell>
          <cell r="L54">
            <v>13</v>
          </cell>
          <cell r="M54">
            <v>0</v>
          </cell>
          <cell r="N54">
            <v>0</v>
          </cell>
          <cell r="O54">
            <v>13</v>
          </cell>
          <cell r="P54">
            <v>344</v>
          </cell>
          <cell r="Q54">
            <v>160</v>
          </cell>
          <cell r="R54">
            <v>184</v>
          </cell>
          <cell r="S54">
            <v>305</v>
          </cell>
          <cell r="T54">
            <v>357</v>
          </cell>
        </row>
        <row r="55">
          <cell r="C55" t="str">
            <v>Census Tract 53.01, King County, Washington</v>
          </cell>
          <cell r="D55">
            <v>1672</v>
          </cell>
          <cell r="E55">
            <v>689</v>
          </cell>
          <cell r="F55">
            <v>294</v>
          </cell>
          <cell r="G55">
            <v>370</v>
          </cell>
          <cell r="H55">
            <v>21</v>
          </cell>
          <cell r="I55">
            <v>60</v>
          </cell>
          <cell r="J55">
            <v>54</v>
          </cell>
          <cell r="K55">
            <v>235</v>
          </cell>
          <cell r="L55">
            <v>25</v>
          </cell>
          <cell r="M55">
            <v>0</v>
          </cell>
          <cell r="N55">
            <v>17</v>
          </cell>
          <cell r="O55">
            <v>8</v>
          </cell>
          <cell r="P55">
            <v>983</v>
          </cell>
          <cell r="Q55">
            <v>275</v>
          </cell>
          <cell r="R55">
            <v>708</v>
          </cell>
          <cell r="S55">
            <v>664</v>
          </cell>
          <cell r="T55">
            <v>1008</v>
          </cell>
        </row>
        <row r="56">
          <cell r="C56" t="str">
            <v>Census Tract 53.02, King County, Washington</v>
          </cell>
          <cell r="D56">
            <v>755</v>
          </cell>
          <cell r="E56">
            <v>254</v>
          </cell>
          <cell r="F56">
            <v>104</v>
          </cell>
          <cell r="G56">
            <v>126</v>
          </cell>
          <cell r="H56">
            <v>5</v>
          </cell>
          <cell r="I56">
            <v>0</v>
          </cell>
          <cell r="J56">
            <v>25</v>
          </cell>
          <cell r="K56">
            <v>96</v>
          </cell>
          <cell r="L56">
            <v>24</v>
          </cell>
          <cell r="M56">
            <v>0</v>
          </cell>
          <cell r="N56">
            <v>15</v>
          </cell>
          <cell r="O56">
            <v>9</v>
          </cell>
          <cell r="P56">
            <v>501</v>
          </cell>
          <cell r="Q56">
            <v>134</v>
          </cell>
          <cell r="R56">
            <v>367</v>
          </cell>
          <cell r="S56">
            <v>230</v>
          </cell>
          <cell r="T56">
            <v>525</v>
          </cell>
        </row>
        <row r="57">
          <cell r="C57" t="str">
            <v>Census Tract 54, King County, Washington</v>
          </cell>
          <cell r="D57">
            <v>259</v>
          </cell>
          <cell r="E57">
            <v>136</v>
          </cell>
          <cell r="F57">
            <v>91</v>
          </cell>
          <cell r="G57">
            <v>45</v>
          </cell>
          <cell r="H57">
            <v>0</v>
          </cell>
          <cell r="I57">
            <v>0</v>
          </cell>
          <cell r="J57">
            <v>31</v>
          </cell>
          <cell r="K57">
            <v>14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123</v>
          </cell>
          <cell r="Q57">
            <v>101</v>
          </cell>
          <cell r="R57">
            <v>22</v>
          </cell>
          <cell r="S57">
            <v>136</v>
          </cell>
          <cell r="T57">
            <v>123</v>
          </cell>
        </row>
        <row r="58">
          <cell r="C58" t="str">
            <v>Census Tract 56, King County, Washington</v>
          </cell>
          <cell r="D58">
            <v>223</v>
          </cell>
          <cell r="E58">
            <v>112</v>
          </cell>
          <cell r="F58">
            <v>54</v>
          </cell>
          <cell r="G58">
            <v>52</v>
          </cell>
          <cell r="H58">
            <v>8</v>
          </cell>
          <cell r="I58">
            <v>9</v>
          </cell>
          <cell r="J58">
            <v>0</v>
          </cell>
          <cell r="K58">
            <v>35</v>
          </cell>
          <cell r="L58">
            <v>6</v>
          </cell>
          <cell r="M58">
            <v>0</v>
          </cell>
          <cell r="N58">
            <v>0</v>
          </cell>
          <cell r="O58">
            <v>6</v>
          </cell>
          <cell r="P58">
            <v>111</v>
          </cell>
          <cell r="Q58">
            <v>83</v>
          </cell>
          <cell r="R58">
            <v>28</v>
          </cell>
          <cell r="S58">
            <v>106</v>
          </cell>
          <cell r="T58">
            <v>117</v>
          </cell>
        </row>
        <row r="59">
          <cell r="C59" t="str">
            <v>Census Tract 57, King County, Washington</v>
          </cell>
          <cell r="D59">
            <v>378</v>
          </cell>
          <cell r="E59">
            <v>127</v>
          </cell>
          <cell r="F59">
            <v>88</v>
          </cell>
          <cell r="G59">
            <v>32</v>
          </cell>
          <cell r="H59">
            <v>0</v>
          </cell>
          <cell r="I59">
            <v>0</v>
          </cell>
          <cell r="J59">
            <v>5</v>
          </cell>
          <cell r="K59">
            <v>27</v>
          </cell>
          <cell r="L59">
            <v>7</v>
          </cell>
          <cell r="M59">
            <v>0</v>
          </cell>
          <cell r="N59">
            <v>0</v>
          </cell>
          <cell r="O59">
            <v>7</v>
          </cell>
          <cell r="P59">
            <v>251</v>
          </cell>
          <cell r="Q59">
            <v>159</v>
          </cell>
          <cell r="R59">
            <v>92</v>
          </cell>
          <cell r="S59">
            <v>120</v>
          </cell>
          <cell r="T59">
            <v>258</v>
          </cell>
        </row>
        <row r="60">
          <cell r="C60" t="str">
            <v>Census Tract 58.01, King County, Washington</v>
          </cell>
          <cell r="D60">
            <v>389</v>
          </cell>
          <cell r="E60">
            <v>143</v>
          </cell>
          <cell r="F60">
            <v>112</v>
          </cell>
          <cell r="G60">
            <v>31</v>
          </cell>
          <cell r="H60">
            <v>0</v>
          </cell>
          <cell r="I60">
            <v>0</v>
          </cell>
          <cell r="J60">
            <v>12</v>
          </cell>
          <cell r="K60">
            <v>19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246</v>
          </cell>
          <cell r="Q60">
            <v>55</v>
          </cell>
          <cell r="R60">
            <v>191</v>
          </cell>
          <cell r="S60">
            <v>143</v>
          </cell>
          <cell r="T60">
            <v>246</v>
          </cell>
        </row>
        <row r="61">
          <cell r="C61" t="str">
            <v>Census Tract 58.02, King County, Washington</v>
          </cell>
          <cell r="D61">
            <v>278</v>
          </cell>
          <cell r="E61">
            <v>126</v>
          </cell>
          <cell r="F61">
            <v>67</v>
          </cell>
          <cell r="G61">
            <v>46</v>
          </cell>
          <cell r="H61">
            <v>0</v>
          </cell>
          <cell r="I61">
            <v>0</v>
          </cell>
          <cell r="J61">
            <v>0</v>
          </cell>
          <cell r="K61">
            <v>46</v>
          </cell>
          <cell r="L61">
            <v>13</v>
          </cell>
          <cell r="M61">
            <v>0</v>
          </cell>
          <cell r="N61">
            <v>0</v>
          </cell>
          <cell r="O61">
            <v>13</v>
          </cell>
          <cell r="P61">
            <v>152</v>
          </cell>
          <cell r="Q61">
            <v>68</v>
          </cell>
          <cell r="R61">
            <v>84</v>
          </cell>
          <cell r="S61">
            <v>113</v>
          </cell>
          <cell r="T61">
            <v>165</v>
          </cell>
        </row>
        <row r="62">
          <cell r="C62" t="str">
            <v>Census Tract 59, King County, Washington</v>
          </cell>
          <cell r="D62">
            <v>340</v>
          </cell>
          <cell r="E62">
            <v>125</v>
          </cell>
          <cell r="F62">
            <v>47</v>
          </cell>
          <cell r="G62">
            <v>69</v>
          </cell>
          <cell r="H62">
            <v>17</v>
          </cell>
          <cell r="I62">
            <v>0</v>
          </cell>
          <cell r="J62">
            <v>0</v>
          </cell>
          <cell r="K62">
            <v>52</v>
          </cell>
          <cell r="L62">
            <v>9</v>
          </cell>
          <cell r="M62">
            <v>0</v>
          </cell>
          <cell r="N62">
            <v>0</v>
          </cell>
          <cell r="O62">
            <v>9</v>
          </cell>
          <cell r="P62">
            <v>215</v>
          </cell>
          <cell r="Q62">
            <v>72</v>
          </cell>
          <cell r="R62">
            <v>143</v>
          </cell>
          <cell r="S62">
            <v>116</v>
          </cell>
          <cell r="T62">
            <v>224</v>
          </cell>
        </row>
        <row r="63">
          <cell r="C63" t="str">
            <v>Census Tract 60, King County, Washington</v>
          </cell>
          <cell r="D63">
            <v>258</v>
          </cell>
          <cell r="E63">
            <v>109</v>
          </cell>
          <cell r="F63">
            <v>49</v>
          </cell>
          <cell r="G63">
            <v>57</v>
          </cell>
          <cell r="H63">
            <v>0</v>
          </cell>
          <cell r="I63">
            <v>8</v>
          </cell>
          <cell r="J63">
            <v>24</v>
          </cell>
          <cell r="K63">
            <v>25</v>
          </cell>
          <cell r="L63">
            <v>3</v>
          </cell>
          <cell r="M63">
            <v>0</v>
          </cell>
          <cell r="N63">
            <v>0</v>
          </cell>
          <cell r="O63">
            <v>3</v>
          </cell>
          <cell r="P63">
            <v>149</v>
          </cell>
          <cell r="Q63">
            <v>79</v>
          </cell>
          <cell r="R63">
            <v>70</v>
          </cell>
          <cell r="S63">
            <v>106</v>
          </cell>
          <cell r="T63">
            <v>152</v>
          </cell>
        </row>
        <row r="64">
          <cell r="C64" t="str">
            <v>Census Tract 61, King County, Washington</v>
          </cell>
          <cell r="D64">
            <v>276</v>
          </cell>
          <cell r="E64">
            <v>102</v>
          </cell>
          <cell r="F64">
            <v>18</v>
          </cell>
          <cell r="G64">
            <v>84</v>
          </cell>
          <cell r="H64">
            <v>14</v>
          </cell>
          <cell r="I64">
            <v>22</v>
          </cell>
          <cell r="J64">
            <v>0</v>
          </cell>
          <cell r="K64">
            <v>48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174</v>
          </cell>
          <cell r="Q64">
            <v>157</v>
          </cell>
          <cell r="R64">
            <v>17</v>
          </cell>
          <cell r="S64">
            <v>102</v>
          </cell>
          <cell r="T64">
            <v>174</v>
          </cell>
        </row>
        <row r="65">
          <cell r="C65" t="str">
            <v>Census Tract 62, King County, Washington</v>
          </cell>
          <cell r="D65">
            <v>222</v>
          </cell>
          <cell r="E65">
            <v>105</v>
          </cell>
          <cell r="F65">
            <v>42</v>
          </cell>
          <cell r="G65">
            <v>54</v>
          </cell>
          <cell r="H65">
            <v>12</v>
          </cell>
          <cell r="I65">
            <v>35</v>
          </cell>
          <cell r="J65">
            <v>0</v>
          </cell>
          <cell r="K65">
            <v>7</v>
          </cell>
          <cell r="L65">
            <v>9</v>
          </cell>
          <cell r="M65">
            <v>0</v>
          </cell>
          <cell r="N65">
            <v>0</v>
          </cell>
          <cell r="O65">
            <v>9</v>
          </cell>
          <cell r="P65">
            <v>117</v>
          </cell>
          <cell r="Q65">
            <v>85</v>
          </cell>
          <cell r="R65">
            <v>32</v>
          </cell>
          <cell r="S65">
            <v>96</v>
          </cell>
          <cell r="T65">
            <v>126</v>
          </cell>
        </row>
        <row r="66">
          <cell r="C66" t="str">
            <v>Census Tract 63, King County, Washington</v>
          </cell>
          <cell r="D66">
            <v>44</v>
          </cell>
          <cell r="E66">
            <v>34</v>
          </cell>
          <cell r="F66">
            <v>10</v>
          </cell>
          <cell r="G66">
            <v>12</v>
          </cell>
          <cell r="H66">
            <v>0</v>
          </cell>
          <cell r="I66">
            <v>0</v>
          </cell>
          <cell r="J66">
            <v>0</v>
          </cell>
          <cell r="K66">
            <v>12</v>
          </cell>
          <cell r="L66">
            <v>12</v>
          </cell>
          <cell r="M66">
            <v>0</v>
          </cell>
          <cell r="N66">
            <v>0</v>
          </cell>
          <cell r="O66">
            <v>12</v>
          </cell>
          <cell r="P66">
            <v>10</v>
          </cell>
          <cell r="Q66">
            <v>10</v>
          </cell>
          <cell r="R66">
            <v>0</v>
          </cell>
          <cell r="S66">
            <v>22</v>
          </cell>
          <cell r="T66">
            <v>22</v>
          </cell>
        </row>
        <row r="67">
          <cell r="C67" t="str">
            <v>Census Tract 64, King County, Washington</v>
          </cell>
          <cell r="D67">
            <v>166</v>
          </cell>
          <cell r="E67">
            <v>71</v>
          </cell>
          <cell r="F67">
            <v>44</v>
          </cell>
          <cell r="G67">
            <v>22</v>
          </cell>
          <cell r="H67">
            <v>0</v>
          </cell>
          <cell r="I67">
            <v>7</v>
          </cell>
          <cell r="J67">
            <v>0</v>
          </cell>
          <cell r="K67">
            <v>15</v>
          </cell>
          <cell r="L67">
            <v>5</v>
          </cell>
          <cell r="M67">
            <v>0</v>
          </cell>
          <cell r="N67">
            <v>0</v>
          </cell>
          <cell r="O67">
            <v>5</v>
          </cell>
          <cell r="P67">
            <v>95</v>
          </cell>
          <cell r="Q67">
            <v>55</v>
          </cell>
          <cell r="R67">
            <v>40</v>
          </cell>
          <cell r="S67">
            <v>66</v>
          </cell>
          <cell r="T67">
            <v>100</v>
          </cell>
        </row>
        <row r="68">
          <cell r="C68" t="str">
            <v>Census Tract 65, King County, Washington</v>
          </cell>
          <cell r="D68">
            <v>232</v>
          </cell>
          <cell r="E68">
            <v>101</v>
          </cell>
          <cell r="F68">
            <v>22</v>
          </cell>
          <cell r="G68">
            <v>62</v>
          </cell>
          <cell r="H68">
            <v>0</v>
          </cell>
          <cell r="I68">
            <v>23</v>
          </cell>
          <cell r="J68">
            <v>8</v>
          </cell>
          <cell r="K68">
            <v>31</v>
          </cell>
          <cell r="L68">
            <v>17</v>
          </cell>
          <cell r="M68">
            <v>0</v>
          </cell>
          <cell r="N68">
            <v>0</v>
          </cell>
          <cell r="O68">
            <v>17</v>
          </cell>
          <cell r="P68">
            <v>131</v>
          </cell>
          <cell r="Q68">
            <v>70</v>
          </cell>
          <cell r="R68">
            <v>61</v>
          </cell>
          <cell r="S68">
            <v>84</v>
          </cell>
          <cell r="T68">
            <v>148</v>
          </cell>
        </row>
        <row r="69">
          <cell r="C69" t="str">
            <v>Census Tract 66, King County, Washington</v>
          </cell>
          <cell r="D69">
            <v>225</v>
          </cell>
          <cell r="E69">
            <v>97</v>
          </cell>
          <cell r="F69">
            <v>27</v>
          </cell>
          <cell r="G69">
            <v>56</v>
          </cell>
          <cell r="H69">
            <v>5</v>
          </cell>
          <cell r="I69">
            <v>11</v>
          </cell>
          <cell r="J69">
            <v>0</v>
          </cell>
          <cell r="K69">
            <v>40</v>
          </cell>
          <cell r="L69">
            <v>14</v>
          </cell>
          <cell r="M69">
            <v>0</v>
          </cell>
          <cell r="N69">
            <v>0</v>
          </cell>
          <cell r="O69">
            <v>14</v>
          </cell>
          <cell r="P69">
            <v>128</v>
          </cell>
          <cell r="Q69">
            <v>57</v>
          </cell>
          <cell r="R69">
            <v>71</v>
          </cell>
          <cell r="S69">
            <v>83</v>
          </cell>
          <cell r="T69">
            <v>142</v>
          </cell>
        </row>
        <row r="70">
          <cell r="C70" t="str">
            <v>Census Tract 67, King County, Washington</v>
          </cell>
          <cell r="D70">
            <v>349</v>
          </cell>
          <cell r="E70">
            <v>147</v>
          </cell>
          <cell r="F70">
            <v>65</v>
          </cell>
          <cell r="G70">
            <v>82</v>
          </cell>
          <cell r="H70">
            <v>0</v>
          </cell>
          <cell r="I70">
            <v>0</v>
          </cell>
          <cell r="J70">
            <v>23</v>
          </cell>
          <cell r="K70">
            <v>59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202</v>
          </cell>
          <cell r="Q70">
            <v>80</v>
          </cell>
          <cell r="R70">
            <v>122</v>
          </cell>
          <cell r="S70">
            <v>147</v>
          </cell>
          <cell r="T70">
            <v>202</v>
          </cell>
        </row>
        <row r="71">
          <cell r="C71" t="str">
            <v>Census Tract 68, King County, Washington</v>
          </cell>
          <cell r="D71">
            <v>52</v>
          </cell>
          <cell r="E71">
            <v>16</v>
          </cell>
          <cell r="F71">
            <v>4</v>
          </cell>
          <cell r="G71">
            <v>12</v>
          </cell>
          <cell r="H71">
            <v>0</v>
          </cell>
          <cell r="I71">
            <v>0</v>
          </cell>
          <cell r="J71">
            <v>0</v>
          </cell>
          <cell r="K71">
            <v>12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36</v>
          </cell>
          <cell r="Q71">
            <v>11</v>
          </cell>
          <cell r="R71">
            <v>25</v>
          </cell>
          <cell r="S71">
            <v>16</v>
          </cell>
          <cell r="T71">
            <v>36</v>
          </cell>
        </row>
        <row r="72">
          <cell r="C72" t="str">
            <v>Census Tract 69, King County, Washington</v>
          </cell>
          <cell r="D72">
            <v>150</v>
          </cell>
          <cell r="E72">
            <v>70</v>
          </cell>
          <cell r="F72">
            <v>36</v>
          </cell>
          <cell r="G72">
            <v>28</v>
          </cell>
          <cell r="H72">
            <v>0</v>
          </cell>
          <cell r="I72">
            <v>0</v>
          </cell>
          <cell r="J72">
            <v>0</v>
          </cell>
          <cell r="K72">
            <v>28</v>
          </cell>
          <cell r="L72">
            <v>6</v>
          </cell>
          <cell r="M72">
            <v>0</v>
          </cell>
          <cell r="N72">
            <v>0</v>
          </cell>
          <cell r="O72">
            <v>6</v>
          </cell>
          <cell r="P72">
            <v>80</v>
          </cell>
          <cell r="Q72">
            <v>34</v>
          </cell>
          <cell r="R72">
            <v>46</v>
          </cell>
          <cell r="S72">
            <v>64</v>
          </cell>
          <cell r="T72">
            <v>86</v>
          </cell>
        </row>
        <row r="73">
          <cell r="C73" t="str">
            <v>Census Tract 70, King County, Washington</v>
          </cell>
          <cell r="D73">
            <v>373</v>
          </cell>
          <cell r="E73">
            <v>102</v>
          </cell>
          <cell r="F73">
            <v>19</v>
          </cell>
          <cell r="G73">
            <v>83</v>
          </cell>
          <cell r="H73">
            <v>0</v>
          </cell>
          <cell r="I73">
            <v>0</v>
          </cell>
          <cell r="J73">
            <v>21</v>
          </cell>
          <cell r="K73">
            <v>62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271</v>
          </cell>
          <cell r="Q73">
            <v>161</v>
          </cell>
          <cell r="R73">
            <v>110</v>
          </cell>
          <cell r="S73">
            <v>102</v>
          </cell>
          <cell r="T73">
            <v>271</v>
          </cell>
        </row>
        <row r="74">
          <cell r="C74" t="str">
            <v>Census Tract 71, King County, Washington</v>
          </cell>
          <cell r="D74">
            <v>65</v>
          </cell>
          <cell r="E74">
            <v>22</v>
          </cell>
          <cell r="F74">
            <v>7</v>
          </cell>
          <cell r="G74">
            <v>10</v>
          </cell>
          <cell r="H74">
            <v>0</v>
          </cell>
          <cell r="I74">
            <v>0</v>
          </cell>
          <cell r="J74">
            <v>6</v>
          </cell>
          <cell r="K74">
            <v>4</v>
          </cell>
          <cell r="L74">
            <v>5</v>
          </cell>
          <cell r="M74">
            <v>0</v>
          </cell>
          <cell r="N74">
            <v>0</v>
          </cell>
          <cell r="O74">
            <v>5</v>
          </cell>
          <cell r="P74">
            <v>43</v>
          </cell>
          <cell r="Q74">
            <v>27</v>
          </cell>
          <cell r="R74">
            <v>16</v>
          </cell>
          <cell r="S74">
            <v>17</v>
          </cell>
          <cell r="T74">
            <v>48</v>
          </cell>
        </row>
        <row r="75">
          <cell r="C75" t="str">
            <v>Census Tract 72, King County, Washington</v>
          </cell>
          <cell r="D75">
            <v>294</v>
          </cell>
          <cell r="E75">
            <v>91</v>
          </cell>
          <cell r="F75">
            <v>32</v>
          </cell>
          <cell r="G75">
            <v>59</v>
          </cell>
          <cell r="H75">
            <v>11</v>
          </cell>
          <cell r="I75">
            <v>8</v>
          </cell>
          <cell r="J75">
            <v>14</v>
          </cell>
          <cell r="K75">
            <v>26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203</v>
          </cell>
          <cell r="Q75">
            <v>84</v>
          </cell>
          <cell r="R75">
            <v>119</v>
          </cell>
          <cell r="S75">
            <v>91</v>
          </cell>
          <cell r="T75">
            <v>203</v>
          </cell>
        </row>
        <row r="76">
          <cell r="C76" t="str">
            <v>Census Tract 73, King County, Washington</v>
          </cell>
          <cell r="D76">
            <v>156</v>
          </cell>
          <cell r="E76">
            <v>53</v>
          </cell>
          <cell r="F76">
            <v>16</v>
          </cell>
          <cell r="G76">
            <v>37</v>
          </cell>
          <cell r="H76">
            <v>0</v>
          </cell>
          <cell r="I76">
            <v>0</v>
          </cell>
          <cell r="J76">
            <v>23</v>
          </cell>
          <cell r="K76">
            <v>14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103</v>
          </cell>
          <cell r="Q76">
            <v>44</v>
          </cell>
          <cell r="R76">
            <v>59</v>
          </cell>
          <cell r="S76">
            <v>53</v>
          </cell>
          <cell r="T76">
            <v>103</v>
          </cell>
        </row>
        <row r="77">
          <cell r="C77" t="str">
            <v>Census Tract 74, King County, Washington</v>
          </cell>
          <cell r="D77">
            <v>565</v>
          </cell>
          <cell r="E77">
            <v>210</v>
          </cell>
          <cell r="F77">
            <v>107</v>
          </cell>
          <cell r="G77">
            <v>103</v>
          </cell>
          <cell r="H77">
            <v>38</v>
          </cell>
          <cell r="I77">
            <v>12</v>
          </cell>
          <cell r="J77">
            <v>0</v>
          </cell>
          <cell r="K77">
            <v>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355</v>
          </cell>
          <cell r="Q77">
            <v>84</v>
          </cell>
          <cell r="R77">
            <v>271</v>
          </cell>
          <cell r="S77">
            <v>210</v>
          </cell>
          <cell r="T77">
            <v>355</v>
          </cell>
        </row>
        <row r="78">
          <cell r="C78" t="str">
            <v>Census Tract 75, King County, Washington</v>
          </cell>
          <cell r="D78">
            <v>280</v>
          </cell>
          <cell r="E78">
            <v>66</v>
          </cell>
          <cell r="F78">
            <v>37</v>
          </cell>
          <cell r="G78">
            <v>29</v>
          </cell>
          <cell r="H78">
            <v>9</v>
          </cell>
          <cell r="I78">
            <v>10</v>
          </cell>
          <cell r="J78">
            <v>0</v>
          </cell>
          <cell r="K78">
            <v>10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214</v>
          </cell>
          <cell r="Q78">
            <v>97</v>
          </cell>
          <cell r="R78">
            <v>117</v>
          </cell>
          <cell r="S78">
            <v>66</v>
          </cell>
          <cell r="T78">
            <v>214</v>
          </cell>
        </row>
        <row r="79">
          <cell r="C79" t="str">
            <v>Census Tract 76, King County, Washington</v>
          </cell>
          <cell r="D79">
            <v>129</v>
          </cell>
          <cell r="E79">
            <v>90</v>
          </cell>
          <cell r="F79">
            <v>37</v>
          </cell>
          <cell r="G79">
            <v>53</v>
          </cell>
          <cell r="H79">
            <v>0</v>
          </cell>
          <cell r="I79">
            <v>11</v>
          </cell>
          <cell r="J79">
            <v>12</v>
          </cell>
          <cell r="K79">
            <v>30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39</v>
          </cell>
          <cell r="Q79">
            <v>31</v>
          </cell>
          <cell r="R79">
            <v>8</v>
          </cell>
          <cell r="S79">
            <v>90</v>
          </cell>
          <cell r="T79">
            <v>39</v>
          </cell>
        </row>
        <row r="80">
          <cell r="C80" t="str">
            <v>Census Tract 77, King County, Washington</v>
          </cell>
          <cell r="D80">
            <v>121</v>
          </cell>
          <cell r="E80">
            <v>84</v>
          </cell>
          <cell r="F80">
            <v>30</v>
          </cell>
          <cell r="G80">
            <v>54</v>
          </cell>
          <cell r="H80">
            <v>0</v>
          </cell>
          <cell r="I80">
            <v>18</v>
          </cell>
          <cell r="J80">
            <v>18</v>
          </cell>
          <cell r="K80">
            <v>18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37</v>
          </cell>
          <cell r="Q80">
            <v>28</v>
          </cell>
          <cell r="R80">
            <v>9</v>
          </cell>
          <cell r="S80">
            <v>84</v>
          </cell>
          <cell r="T80">
            <v>37</v>
          </cell>
        </row>
        <row r="81">
          <cell r="C81" t="str">
            <v>Census Tract 78, King County, Washington</v>
          </cell>
          <cell r="D81">
            <v>126</v>
          </cell>
          <cell r="E81">
            <v>77</v>
          </cell>
          <cell r="F81">
            <v>44</v>
          </cell>
          <cell r="G81">
            <v>33</v>
          </cell>
          <cell r="H81">
            <v>8</v>
          </cell>
          <cell r="I81">
            <v>0</v>
          </cell>
          <cell r="J81">
            <v>0</v>
          </cell>
          <cell r="K81">
            <v>25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49</v>
          </cell>
          <cell r="Q81">
            <v>43</v>
          </cell>
          <cell r="R81">
            <v>6</v>
          </cell>
          <cell r="S81">
            <v>77</v>
          </cell>
          <cell r="T81">
            <v>49</v>
          </cell>
        </row>
        <row r="82">
          <cell r="C82" t="str">
            <v>Census Tract 79, King County, Washington</v>
          </cell>
          <cell r="D82">
            <v>228</v>
          </cell>
          <cell r="E82">
            <v>72</v>
          </cell>
          <cell r="F82">
            <v>45</v>
          </cell>
          <cell r="G82">
            <v>21</v>
          </cell>
          <cell r="H82">
            <v>0</v>
          </cell>
          <cell r="I82">
            <v>6</v>
          </cell>
          <cell r="J82">
            <v>5</v>
          </cell>
          <cell r="K82">
            <v>10</v>
          </cell>
          <cell r="L82">
            <v>6</v>
          </cell>
          <cell r="M82">
            <v>0</v>
          </cell>
          <cell r="N82">
            <v>0</v>
          </cell>
          <cell r="O82">
            <v>6</v>
          </cell>
          <cell r="P82">
            <v>156</v>
          </cell>
          <cell r="Q82">
            <v>103</v>
          </cell>
          <cell r="R82">
            <v>53</v>
          </cell>
          <cell r="S82">
            <v>66</v>
          </cell>
          <cell r="T82">
            <v>162</v>
          </cell>
        </row>
        <row r="83">
          <cell r="C83" t="str">
            <v>Census Tract 80.01, King County, Washington</v>
          </cell>
          <cell r="D83">
            <v>286</v>
          </cell>
          <cell r="E83">
            <v>84</v>
          </cell>
          <cell r="F83">
            <v>42</v>
          </cell>
          <cell r="G83">
            <v>35</v>
          </cell>
          <cell r="H83">
            <v>0</v>
          </cell>
          <cell r="I83">
            <v>25</v>
          </cell>
          <cell r="J83">
            <v>0</v>
          </cell>
          <cell r="K83">
            <v>10</v>
          </cell>
          <cell r="L83">
            <v>7</v>
          </cell>
          <cell r="M83">
            <v>0</v>
          </cell>
          <cell r="N83">
            <v>7</v>
          </cell>
          <cell r="O83">
            <v>0</v>
          </cell>
          <cell r="P83">
            <v>202</v>
          </cell>
          <cell r="Q83">
            <v>108</v>
          </cell>
          <cell r="R83">
            <v>94</v>
          </cell>
          <cell r="S83">
            <v>77</v>
          </cell>
          <cell r="T83">
            <v>209</v>
          </cell>
        </row>
        <row r="84">
          <cell r="C84" t="str">
            <v>Census Tract 80.02, King County, Washington</v>
          </cell>
          <cell r="D84">
            <v>236</v>
          </cell>
          <cell r="E84">
            <v>97</v>
          </cell>
          <cell r="F84">
            <v>34</v>
          </cell>
          <cell r="G84">
            <v>40</v>
          </cell>
          <cell r="H84">
            <v>8</v>
          </cell>
          <cell r="I84">
            <v>5</v>
          </cell>
          <cell r="J84">
            <v>0</v>
          </cell>
          <cell r="K84">
            <v>27</v>
          </cell>
          <cell r="L84">
            <v>23</v>
          </cell>
          <cell r="M84">
            <v>0</v>
          </cell>
          <cell r="N84">
            <v>23</v>
          </cell>
          <cell r="O84">
            <v>0</v>
          </cell>
          <cell r="P84">
            <v>139</v>
          </cell>
          <cell r="Q84">
            <v>104</v>
          </cell>
          <cell r="R84">
            <v>35</v>
          </cell>
          <cell r="S84">
            <v>74</v>
          </cell>
          <cell r="T84">
            <v>162</v>
          </cell>
        </row>
        <row r="85">
          <cell r="C85" t="str">
            <v>Census Tract 81, King County, Washington</v>
          </cell>
          <cell r="D85">
            <v>238</v>
          </cell>
          <cell r="E85">
            <v>51</v>
          </cell>
          <cell r="F85">
            <v>0</v>
          </cell>
          <cell r="G85">
            <v>40</v>
          </cell>
          <cell r="H85">
            <v>0</v>
          </cell>
          <cell r="I85">
            <v>9</v>
          </cell>
          <cell r="J85">
            <v>0</v>
          </cell>
          <cell r="K85">
            <v>31</v>
          </cell>
          <cell r="L85">
            <v>11</v>
          </cell>
          <cell r="M85">
            <v>0</v>
          </cell>
          <cell r="N85">
            <v>0</v>
          </cell>
          <cell r="O85">
            <v>11</v>
          </cell>
          <cell r="P85">
            <v>187</v>
          </cell>
          <cell r="Q85">
            <v>97</v>
          </cell>
          <cell r="R85">
            <v>90</v>
          </cell>
          <cell r="S85">
            <v>40</v>
          </cell>
          <cell r="T85">
            <v>198</v>
          </cell>
        </row>
        <row r="86">
          <cell r="C86" t="str">
            <v>Census Tract 82, King County, Washington</v>
          </cell>
          <cell r="D86">
            <v>250</v>
          </cell>
          <cell r="E86">
            <v>82</v>
          </cell>
          <cell r="F86">
            <v>43</v>
          </cell>
          <cell r="G86">
            <v>39</v>
          </cell>
          <cell r="H86">
            <v>15</v>
          </cell>
          <cell r="I86">
            <v>0</v>
          </cell>
          <cell r="J86">
            <v>0</v>
          </cell>
          <cell r="K86">
            <v>24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168</v>
          </cell>
          <cell r="Q86">
            <v>79</v>
          </cell>
          <cell r="R86">
            <v>89</v>
          </cell>
          <cell r="S86">
            <v>82</v>
          </cell>
          <cell r="T86">
            <v>168</v>
          </cell>
        </row>
        <row r="87">
          <cell r="C87" t="str">
            <v>Census Tract 83, King County, Washington</v>
          </cell>
          <cell r="D87">
            <v>299</v>
          </cell>
          <cell r="E87">
            <v>97</v>
          </cell>
          <cell r="F87">
            <v>42</v>
          </cell>
          <cell r="G87">
            <v>24</v>
          </cell>
          <cell r="H87">
            <v>5</v>
          </cell>
          <cell r="I87">
            <v>0</v>
          </cell>
          <cell r="J87">
            <v>0</v>
          </cell>
          <cell r="K87">
            <v>19</v>
          </cell>
          <cell r="L87">
            <v>31</v>
          </cell>
          <cell r="M87">
            <v>0</v>
          </cell>
          <cell r="N87">
            <v>23</v>
          </cell>
          <cell r="O87">
            <v>8</v>
          </cell>
          <cell r="P87">
            <v>202</v>
          </cell>
          <cell r="Q87">
            <v>55</v>
          </cell>
          <cell r="R87">
            <v>147</v>
          </cell>
          <cell r="S87">
            <v>66</v>
          </cell>
          <cell r="T87">
            <v>233</v>
          </cell>
        </row>
        <row r="88">
          <cell r="C88" t="str">
            <v>Census Tract 84, King County, Washington</v>
          </cell>
          <cell r="D88">
            <v>466</v>
          </cell>
          <cell r="E88">
            <v>81</v>
          </cell>
          <cell r="F88">
            <v>15</v>
          </cell>
          <cell r="G88">
            <v>52</v>
          </cell>
          <cell r="H88">
            <v>0</v>
          </cell>
          <cell r="I88">
            <v>17</v>
          </cell>
          <cell r="J88">
            <v>7</v>
          </cell>
          <cell r="K88">
            <v>28</v>
          </cell>
          <cell r="L88">
            <v>14</v>
          </cell>
          <cell r="M88">
            <v>0</v>
          </cell>
          <cell r="N88">
            <v>0</v>
          </cell>
          <cell r="O88">
            <v>14</v>
          </cell>
          <cell r="P88">
            <v>385</v>
          </cell>
          <cell r="Q88">
            <v>61</v>
          </cell>
          <cell r="R88">
            <v>324</v>
          </cell>
          <cell r="S88">
            <v>67</v>
          </cell>
          <cell r="T88">
            <v>399</v>
          </cell>
        </row>
        <row r="89">
          <cell r="C89" t="str">
            <v>Census Tract 85, King County, Washington</v>
          </cell>
          <cell r="D89">
            <v>593</v>
          </cell>
          <cell r="E89">
            <v>244</v>
          </cell>
          <cell r="F89">
            <v>101</v>
          </cell>
          <cell r="G89">
            <v>124</v>
          </cell>
          <cell r="H89">
            <v>0</v>
          </cell>
          <cell r="I89">
            <v>0</v>
          </cell>
          <cell r="J89">
            <v>72</v>
          </cell>
          <cell r="K89">
            <v>52</v>
          </cell>
          <cell r="L89">
            <v>19</v>
          </cell>
          <cell r="M89">
            <v>0</v>
          </cell>
          <cell r="N89">
            <v>0</v>
          </cell>
          <cell r="O89">
            <v>19</v>
          </cell>
          <cell r="P89">
            <v>349</v>
          </cell>
          <cell r="Q89">
            <v>140</v>
          </cell>
          <cell r="R89">
            <v>209</v>
          </cell>
          <cell r="S89">
            <v>225</v>
          </cell>
          <cell r="T89">
            <v>368</v>
          </cell>
        </row>
        <row r="90">
          <cell r="C90" t="str">
            <v>Census Tract 86, King County, Washington</v>
          </cell>
          <cell r="D90">
            <v>631</v>
          </cell>
          <cell r="E90">
            <v>290</v>
          </cell>
          <cell r="F90">
            <v>88</v>
          </cell>
          <cell r="G90">
            <v>140</v>
          </cell>
          <cell r="H90">
            <v>13</v>
          </cell>
          <cell r="I90">
            <v>2</v>
          </cell>
          <cell r="J90">
            <v>36</v>
          </cell>
          <cell r="K90">
            <v>89</v>
          </cell>
          <cell r="L90">
            <v>62</v>
          </cell>
          <cell r="M90">
            <v>0</v>
          </cell>
          <cell r="N90">
            <v>43</v>
          </cell>
          <cell r="O90">
            <v>19</v>
          </cell>
          <cell r="P90">
            <v>341</v>
          </cell>
          <cell r="Q90">
            <v>198</v>
          </cell>
          <cell r="R90">
            <v>143</v>
          </cell>
          <cell r="S90">
            <v>228</v>
          </cell>
          <cell r="T90">
            <v>403</v>
          </cell>
        </row>
        <row r="91">
          <cell r="C91" t="str">
            <v>Census Tract 87, King County, Washington</v>
          </cell>
          <cell r="D91">
            <v>369</v>
          </cell>
          <cell r="E91">
            <v>200</v>
          </cell>
          <cell r="F91">
            <v>98</v>
          </cell>
          <cell r="G91">
            <v>82</v>
          </cell>
          <cell r="H91">
            <v>29</v>
          </cell>
          <cell r="I91">
            <v>0</v>
          </cell>
          <cell r="J91">
            <v>10</v>
          </cell>
          <cell r="K91">
            <v>43</v>
          </cell>
          <cell r="L91">
            <v>20</v>
          </cell>
          <cell r="M91">
            <v>0</v>
          </cell>
          <cell r="N91">
            <v>0</v>
          </cell>
          <cell r="O91">
            <v>20</v>
          </cell>
          <cell r="P91">
            <v>169</v>
          </cell>
          <cell r="Q91">
            <v>115</v>
          </cell>
          <cell r="R91">
            <v>54</v>
          </cell>
          <cell r="S91">
            <v>180</v>
          </cell>
          <cell r="T91">
            <v>189</v>
          </cell>
        </row>
        <row r="92">
          <cell r="C92" t="str">
            <v>Census Tract 88, King County, Washington</v>
          </cell>
          <cell r="D92">
            <v>125</v>
          </cell>
          <cell r="E92">
            <v>44</v>
          </cell>
          <cell r="F92">
            <v>8</v>
          </cell>
          <cell r="G92">
            <v>36</v>
          </cell>
          <cell r="H92">
            <v>10</v>
          </cell>
          <cell r="I92">
            <v>0</v>
          </cell>
          <cell r="J92">
            <v>0</v>
          </cell>
          <cell r="K92">
            <v>26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81</v>
          </cell>
          <cell r="Q92">
            <v>60</v>
          </cell>
          <cell r="R92">
            <v>21</v>
          </cell>
          <cell r="S92">
            <v>44</v>
          </cell>
          <cell r="T92">
            <v>81</v>
          </cell>
        </row>
        <row r="93">
          <cell r="C93" t="str">
            <v>Census Tract 89, King County, Washington</v>
          </cell>
          <cell r="D93">
            <v>261</v>
          </cell>
          <cell r="E93">
            <v>76</v>
          </cell>
          <cell r="F93">
            <v>62</v>
          </cell>
          <cell r="G93">
            <v>14</v>
          </cell>
          <cell r="H93">
            <v>0</v>
          </cell>
          <cell r="I93">
            <v>4</v>
          </cell>
          <cell r="J93">
            <v>0</v>
          </cell>
          <cell r="K93">
            <v>10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185</v>
          </cell>
          <cell r="Q93">
            <v>138</v>
          </cell>
          <cell r="R93">
            <v>47</v>
          </cell>
          <cell r="S93">
            <v>76</v>
          </cell>
          <cell r="T93">
            <v>185</v>
          </cell>
        </row>
        <row r="94">
          <cell r="C94" t="str">
            <v>Census Tract 90, King County, Washington</v>
          </cell>
          <cell r="D94">
            <v>911</v>
          </cell>
          <cell r="E94">
            <v>280</v>
          </cell>
          <cell r="F94">
            <v>189</v>
          </cell>
          <cell r="G94">
            <v>84</v>
          </cell>
          <cell r="H94">
            <v>3</v>
          </cell>
          <cell r="I94">
            <v>37</v>
          </cell>
          <cell r="J94">
            <v>0</v>
          </cell>
          <cell r="K94">
            <v>44</v>
          </cell>
          <cell r="L94">
            <v>7</v>
          </cell>
          <cell r="M94">
            <v>0</v>
          </cell>
          <cell r="N94">
            <v>7</v>
          </cell>
          <cell r="O94">
            <v>0</v>
          </cell>
          <cell r="P94">
            <v>631</v>
          </cell>
          <cell r="Q94">
            <v>413</v>
          </cell>
          <cell r="R94">
            <v>218</v>
          </cell>
          <cell r="S94">
            <v>273</v>
          </cell>
          <cell r="T94">
            <v>638</v>
          </cell>
        </row>
        <row r="95">
          <cell r="C95" t="str">
            <v>Census Tract 91, King County, Washington</v>
          </cell>
          <cell r="D95">
            <v>1139</v>
          </cell>
          <cell r="E95">
            <v>197</v>
          </cell>
          <cell r="F95">
            <v>121</v>
          </cell>
          <cell r="G95">
            <v>60</v>
          </cell>
          <cell r="H95">
            <v>10</v>
          </cell>
          <cell r="I95">
            <v>28</v>
          </cell>
          <cell r="J95">
            <v>9</v>
          </cell>
          <cell r="K95">
            <v>13</v>
          </cell>
          <cell r="L95">
            <v>16</v>
          </cell>
          <cell r="M95">
            <v>0</v>
          </cell>
          <cell r="N95">
            <v>0</v>
          </cell>
          <cell r="O95">
            <v>16</v>
          </cell>
          <cell r="P95">
            <v>942</v>
          </cell>
          <cell r="Q95">
            <v>487</v>
          </cell>
          <cell r="R95">
            <v>455</v>
          </cell>
          <cell r="S95">
            <v>181</v>
          </cell>
          <cell r="T95">
            <v>958</v>
          </cell>
        </row>
        <row r="96">
          <cell r="C96" t="str">
            <v>Census Tract 92, King County, Washington</v>
          </cell>
          <cell r="D96">
            <v>558</v>
          </cell>
          <cell r="E96">
            <v>10</v>
          </cell>
          <cell r="F96">
            <v>10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548</v>
          </cell>
          <cell r="Q96">
            <v>331</v>
          </cell>
          <cell r="R96">
            <v>217</v>
          </cell>
          <cell r="S96">
            <v>10</v>
          </cell>
          <cell r="T96">
            <v>548</v>
          </cell>
        </row>
        <row r="97">
          <cell r="C97" t="str">
            <v>Census Tract 93, King County, Washington</v>
          </cell>
          <cell r="D97">
            <v>579</v>
          </cell>
          <cell r="E97">
            <v>311</v>
          </cell>
          <cell r="F97">
            <v>271</v>
          </cell>
          <cell r="G97">
            <v>40</v>
          </cell>
          <cell r="H97">
            <v>0</v>
          </cell>
          <cell r="I97">
            <v>10</v>
          </cell>
          <cell r="J97">
            <v>0</v>
          </cell>
          <cell r="K97">
            <v>30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268</v>
          </cell>
          <cell r="Q97">
            <v>141</v>
          </cell>
          <cell r="R97">
            <v>127</v>
          </cell>
          <cell r="S97">
            <v>311</v>
          </cell>
          <cell r="T97">
            <v>268</v>
          </cell>
        </row>
        <row r="98">
          <cell r="C98" t="str">
            <v>Census Tract 94, King County, Washington</v>
          </cell>
          <cell r="D98">
            <v>2533</v>
          </cell>
          <cell r="E98">
            <v>747</v>
          </cell>
          <cell r="F98">
            <v>602</v>
          </cell>
          <cell r="G98">
            <v>135</v>
          </cell>
          <cell r="H98">
            <v>0</v>
          </cell>
          <cell r="I98">
            <v>9</v>
          </cell>
          <cell r="J98">
            <v>0</v>
          </cell>
          <cell r="K98">
            <v>126</v>
          </cell>
          <cell r="L98">
            <v>10</v>
          </cell>
          <cell r="M98">
            <v>0</v>
          </cell>
          <cell r="N98">
            <v>0</v>
          </cell>
          <cell r="O98">
            <v>10</v>
          </cell>
          <cell r="P98">
            <v>1786</v>
          </cell>
          <cell r="Q98">
            <v>1154</v>
          </cell>
          <cell r="R98">
            <v>632</v>
          </cell>
          <cell r="S98">
            <v>737</v>
          </cell>
          <cell r="T98">
            <v>1796</v>
          </cell>
        </row>
        <row r="99">
          <cell r="C99" t="str">
            <v>Census Tract 95, King County, Washington</v>
          </cell>
          <cell r="D99">
            <v>1005</v>
          </cell>
          <cell r="E99">
            <v>298</v>
          </cell>
          <cell r="F99">
            <v>250</v>
          </cell>
          <cell r="G99">
            <v>48</v>
          </cell>
          <cell r="H99">
            <v>9</v>
          </cell>
          <cell r="I99">
            <v>15</v>
          </cell>
          <cell r="J99">
            <v>0</v>
          </cell>
          <cell r="K99">
            <v>24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707</v>
          </cell>
          <cell r="Q99">
            <v>359</v>
          </cell>
          <cell r="R99">
            <v>348</v>
          </cell>
          <cell r="S99">
            <v>298</v>
          </cell>
          <cell r="T99">
            <v>707</v>
          </cell>
        </row>
        <row r="100">
          <cell r="C100" t="str">
            <v>Census Tract 96, King County, Washington</v>
          </cell>
          <cell r="D100">
            <v>174</v>
          </cell>
          <cell r="E100">
            <v>112</v>
          </cell>
          <cell r="F100">
            <v>28</v>
          </cell>
          <cell r="G100">
            <v>72</v>
          </cell>
          <cell r="H100">
            <v>0</v>
          </cell>
          <cell r="I100">
            <v>0</v>
          </cell>
          <cell r="J100">
            <v>10</v>
          </cell>
          <cell r="K100">
            <v>62</v>
          </cell>
          <cell r="L100">
            <v>12</v>
          </cell>
          <cell r="M100">
            <v>0</v>
          </cell>
          <cell r="N100">
            <v>0</v>
          </cell>
          <cell r="O100">
            <v>12</v>
          </cell>
          <cell r="P100">
            <v>62</v>
          </cell>
          <cell r="Q100">
            <v>32</v>
          </cell>
          <cell r="R100">
            <v>30</v>
          </cell>
          <cell r="S100">
            <v>100</v>
          </cell>
          <cell r="T100">
            <v>74</v>
          </cell>
        </row>
        <row r="101">
          <cell r="C101" t="str">
            <v>Census Tract 97.01, King County, Washington</v>
          </cell>
          <cell r="D101">
            <v>215</v>
          </cell>
          <cell r="E101">
            <v>90</v>
          </cell>
          <cell r="F101">
            <v>60</v>
          </cell>
          <cell r="G101">
            <v>30</v>
          </cell>
          <cell r="H101">
            <v>0</v>
          </cell>
          <cell r="I101">
            <v>0</v>
          </cell>
          <cell r="J101">
            <v>0</v>
          </cell>
          <cell r="K101">
            <v>30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125</v>
          </cell>
          <cell r="Q101">
            <v>108</v>
          </cell>
          <cell r="R101">
            <v>17</v>
          </cell>
          <cell r="S101">
            <v>90</v>
          </cell>
          <cell r="T101">
            <v>125</v>
          </cell>
        </row>
        <row r="102">
          <cell r="C102" t="str">
            <v>Census Tract 97.02, King County, Washington</v>
          </cell>
          <cell r="D102">
            <v>177</v>
          </cell>
          <cell r="E102">
            <v>92</v>
          </cell>
          <cell r="F102">
            <v>43</v>
          </cell>
          <cell r="G102">
            <v>41</v>
          </cell>
          <cell r="H102">
            <v>0</v>
          </cell>
          <cell r="I102">
            <v>0</v>
          </cell>
          <cell r="J102">
            <v>0</v>
          </cell>
          <cell r="K102">
            <v>41</v>
          </cell>
          <cell r="L102">
            <v>8</v>
          </cell>
          <cell r="M102">
            <v>0</v>
          </cell>
          <cell r="N102">
            <v>0</v>
          </cell>
          <cell r="O102">
            <v>8</v>
          </cell>
          <cell r="P102">
            <v>85</v>
          </cell>
          <cell r="Q102">
            <v>29</v>
          </cell>
          <cell r="R102">
            <v>56</v>
          </cell>
          <cell r="S102">
            <v>84</v>
          </cell>
          <cell r="T102">
            <v>93</v>
          </cell>
        </row>
        <row r="103">
          <cell r="C103" t="str">
            <v>Census Tract 98, King County, Washington</v>
          </cell>
          <cell r="D103">
            <v>250</v>
          </cell>
          <cell r="E103">
            <v>114</v>
          </cell>
          <cell r="F103">
            <v>81</v>
          </cell>
          <cell r="G103">
            <v>33</v>
          </cell>
          <cell r="H103">
            <v>0</v>
          </cell>
          <cell r="I103">
            <v>0</v>
          </cell>
          <cell r="J103">
            <v>0</v>
          </cell>
          <cell r="K103">
            <v>33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136</v>
          </cell>
          <cell r="Q103">
            <v>78</v>
          </cell>
          <cell r="R103">
            <v>58</v>
          </cell>
          <cell r="S103">
            <v>114</v>
          </cell>
          <cell r="T103">
            <v>136</v>
          </cell>
        </row>
        <row r="104">
          <cell r="C104" t="str">
            <v>Census Tract 99, King County, Washington</v>
          </cell>
          <cell r="D104">
            <v>491</v>
          </cell>
          <cell r="E104">
            <v>256</v>
          </cell>
          <cell r="F104">
            <v>201</v>
          </cell>
          <cell r="G104">
            <v>55</v>
          </cell>
          <cell r="H104">
            <v>14</v>
          </cell>
          <cell r="I104">
            <v>8</v>
          </cell>
          <cell r="J104">
            <v>0</v>
          </cell>
          <cell r="K104">
            <v>33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235</v>
          </cell>
          <cell r="Q104">
            <v>134</v>
          </cell>
          <cell r="R104">
            <v>101</v>
          </cell>
          <cell r="S104">
            <v>256</v>
          </cell>
          <cell r="T104">
            <v>235</v>
          </cell>
        </row>
        <row r="105">
          <cell r="C105" t="str">
            <v>Census Tract 100, King County, Washington</v>
          </cell>
          <cell r="D105">
            <v>3559</v>
          </cell>
          <cell r="E105">
            <v>1137</v>
          </cell>
          <cell r="F105">
            <v>930</v>
          </cell>
          <cell r="G105">
            <v>136</v>
          </cell>
          <cell r="H105">
            <v>0</v>
          </cell>
          <cell r="I105">
            <v>0</v>
          </cell>
          <cell r="J105">
            <v>11</v>
          </cell>
          <cell r="K105">
            <v>125</v>
          </cell>
          <cell r="L105">
            <v>71</v>
          </cell>
          <cell r="M105">
            <v>0</v>
          </cell>
          <cell r="N105">
            <v>0</v>
          </cell>
          <cell r="O105">
            <v>71</v>
          </cell>
          <cell r="P105">
            <v>2422</v>
          </cell>
          <cell r="Q105">
            <v>1356</v>
          </cell>
          <cell r="R105">
            <v>1066</v>
          </cell>
          <cell r="S105">
            <v>1066</v>
          </cell>
          <cell r="T105">
            <v>2493</v>
          </cell>
        </row>
        <row r="106">
          <cell r="C106" t="str">
            <v>Census Tract 101, King County, Washington</v>
          </cell>
          <cell r="D106">
            <v>1393</v>
          </cell>
          <cell r="E106">
            <v>426</v>
          </cell>
          <cell r="F106">
            <v>291</v>
          </cell>
          <cell r="G106">
            <v>106</v>
          </cell>
          <cell r="H106">
            <v>0</v>
          </cell>
          <cell r="I106">
            <v>21</v>
          </cell>
          <cell r="J106">
            <v>8</v>
          </cell>
          <cell r="K106">
            <v>77</v>
          </cell>
          <cell r="L106">
            <v>29</v>
          </cell>
          <cell r="M106">
            <v>0</v>
          </cell>
          <cell r="N106">
            <v>0</v>
          </cell>
          <cell r="O106">
            <v>29</v>
          </cell>
          <cell r="P106">
            <v>967</v>
          </cell>
          <cell r="Q106">
            <v>556</v>
          </cell>
          <cell r="R106">
            <v>411</v>
          </cell>
          <cell r="S106">
            <v>397</v>
          </cell>
          <cell r="T106">
            <v>996</v>
          </cell>
        </row>
        <row r="107">
          <cell r="C107" t="str">
            <v>Census Tract 102, King County, Washington</v>
          </cell>
          <cell r="D107">
            <v>1068</v>
          </cell>
          <cell r="E107">
            <v>462</v>
          </cell>
          <cell r="F107">
            <v>354</v>
          </cell>
          <cell r="G107">
            <v>93</v>
          </cell>
          <cell r="H107">
            <v>0</v>
          </cell>
          <cell r="I107">
            <v>23</v>
          </cell>
          <cell r="J107">
            <v>0</v>
          </cell>
          <cell r="K107">
            <v>70</v>
          </cell>
          <cell r="L107">
            <v>15</v>
          </cell>
          <cell r="M107">
            <v>0</v>
          </cell>
          <cell r="N107">
            <v>0</v>
          </cell>
          <cell r="O107">
            <v>15</v>
          </cell>
          <cell r="P107">
            <v>606</v>
          </cell>
          <cell r="Q107">
            <v>352</v>
          </cell>
          <cell r="R107">
            <v>254</v>
          </cell>
          <cell r="S107">
            <v>447</v>
          </cell>
          <cell r="T107">
            <v>621</v>
          </cell>
        </row>
        <row r="108">
          <cell r="C108" t="str">
            <v>Census Tract 103, King County, Washington</v>
          </cell>
          <cell r="D108">
            <v>1662</v>
          </cell>
          <cell r="E108">
            <v>577</v>
          </cell>
          <cell r="F108">
            <v>413</v>
          </cell>
          <cell r="G108">
            <v>161</v>
          </cell>
          <cell r="H108">
            <v>27</v>
          </cell>
          <cell r="I108">
            <v>46</v>
          </cell>
          <cell r="J108">
            <v>27</v>
          </cell>
          <cell r="K108">
            <v>61</v>
          </cell>
          <cell r="L108">
            <v>3</v>
          </cell>
          <cell r="M108">
            <v>0</v>
          </cell>
          <cell r="N108">
            <v>0</v>
          </cell>
          <cell r="O108">
            <v>3</v>
          </cell>
          <cell r="P108">
            <v>1085</v>
          </cell>
          <cell r="Q108">
            <v>645</v>
          </cell>
          <cell r="R108">
            <v>440</v>
          </cell>
          <cell r="S108">
            <v>574</v>
          </cell>
          <cell r="T108">
            <v>1088</v>
          </cell>
        </row>
        <row r="109">
          <cell r="C109" t="str">
            <v>Census Tract 104, King County, Washington</v>
          </cell>
          <cell r="D109">
            <v>5163</v>
          </cell>
          <cell r="E109">
            <v>1596</v>
          </cell>
          <cell r="F109">
            <v>1348</v>
          </cell>
          <cell r="G109">
            <v>179</v>
          </cell>
          <cell r="H109">
            <v>0</v>
          </cell>
          <cell r="I109">
            <v>0</v>
          </cell>
          <cell r="J109">
            <v>0</v>
          </cell>
          <cell r="K109">
            <v>179</v>
          </cell>
          <cell r="L109">
            <v>69</v>
          </cell>
          <cell r="M109">
            <v>0</v>
          </cell>
          <cell r="N109">
            <v>0</v>
          </cell>
          <cell r="O109">
            <v>69</v>
          </cell>
          <cell r="P109">
            <v>3567</v>
          </cell>
          <cell r="Q109">
            <v>2052</v>
          </cell>
          <cell r="R109">
            <v>1515</v>
          </cell>
          <cell r="S109">
            <v>1527</v>
          </cell>
          <cell r="T109">
            <v>3636</v>
          </cell>
        </row>
        <row r="110">
          <cell r="C110" t="str">
            <v>Census Tract 105, King County, Washington</v>
          </cell>
          <cell r="D110">
            <v>255</v>
          </cell>
          <cell r="E110">
            <v>72</v>
          </cell>
          <cell r="F110">
            <v>32</v>
          </cell>
          <cell r="G110">
            <v>40</v>
          </cell>
          <cell r="H110">
            <v>8</v>
          </cell>
          <cell r="I110">
            <v>0</v>
          </cell>
          <cell r="J110">
            <v>0</v>
          </cell>
          <cell r="K110">
            <v>32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183</v>
          </cell>
          <cell r="Q110">
            <v>123</v>
          </cell>
          <cell r="R110">
            <v>60</v>
          </cell>
          <cell r="S110">
            <v>72</v>
          </cell>
          <cell r="T110">
            <v>183</v>
          </cell>
        </row>
        <row r="111">
          <cell r="C111" t="str">
            <v>Census Tract 106, King County, Washington</v>
          </cell>
          <cell r="D111">
            <v>220</v>
          </cell>
          <cell r="E111">
            <v>105</v>
          </cell>
          <cell r="F111">
            <v>80</v>
          </cell>
          <cell r="G111">
            <v>14</v>
          </cell>
          <cell r="H111">
            <v>0</v>
          </cell>
          <cell r="I111">
            <v>7</v>
          </cell>
          <cell r="J111">
            <v>0</v>
          </cell>
          <cell r="K111">
            <v>7</v>
          </cell>
          <cell r="L111">
            <v>11</v>
          </cell>
          <cell r="M111">
            <v>0</v>
          </cell>
          <cell r="N111">
            <v>0</v>
          </cell>
          <cell r="O111">
            <v>11</v>
          </cell>
          <cell r="P111">
            <v>115</v>
          </cell>
          <cell r="Q111">
            <v>50</v>
          </cell>
          <cell r="R111">
            <v>65</v>
          </cell>
          <cell r="S111">
            <v>94</v>
          </cell>
          <cell r="T111">
            <v>126</v>
          </cell>
        </row>
        <row r="112">
          <cell r="C112" t="str">
            <v>Census Tract 107, King County, Washington</v>
          </cell>
          <cell r="D112">
            <v>1599</v>
          </cell>
          <cell r="E112">
            <v>459</v>
          </cell>
          <cell r="F112">
            <v>348</v>
          </cell>
          <cell r="G112">
            <v>102</v>
          </cell>
          <cell r="H112">
            <v>0</v>
          </cell>
          <cell r="I112">
            <v>7</v>
          </cell>
          <cell r="J112">
            <v>6</v>
          </cell>
          <cell r="K112">
            <v>89</v>
          </cell>
          <cell r="L112">
            <v>9</v>
          </cell>
          <cell r="M112">
            <v>0</v>
          </cell>
          <cell r="N112">
            <v>0</v>
          </cell>
          <cell r="O112">
            <v>9</v>
          </cell>
          <cell r="P112">
            <v>1140</v>
          </cell>
          <cell r="Q112">
            <v>578</v>
          </cell>
          <cell r="R112">
            <v>562</v>
          </cell>
          <cell r="S112">
            <v>450</v>
          </cell>
          <cell r="T112">
            <v>1149</v>
          </cell>
        </row>
        <row r="113">
          <cell r="C113" t="str">
            <v>Census Tract 108, King County, Washington</v>
          </cell>
          <cell r="D113">
            <v>1315</v>
          </cell>
          <cell r="E113">
            <v>327</v>
          </cell>
          <cell r="F113">
            <v>307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20</v>
          </cell>
          <cell r="M113">
            <v>0</v>
          </cell>
          <cell r="N113">
            <v>0</v>
          </cell>
          <cell r="O113">
            <v>20</v>
          </cell>
          <cell r="P113">
            <v>988</v>
          </cell>
          <cell r="Q113">
            <v>481</v>
          </cell>
          <cell r="R113">
            <v>507</v>
          </cell>
          <cell r="S113">
            <v>307</v>
          </cell>
          <cell r="T113">
            <v>1008</v>
          </cell>
        </row>
        <row r="114">
          <cell r="C114" t="str">
            <v>Census Tract 109, King County, Washington</v>
          </cell>
          <cell r="D114">
            <v>123</v>
          </cell>
          <cell r="E114">
            <v>33</v>
          </cell>
          <cell r="F114">
            <v>26</v>
          </cell>
          <cell r="G114">
            <v>7</v>
          </cell>
          <cell r="H114">
            <v>0</v>
          </cell>
          <cell r="I114">
            <v>0</v>
          </cell>
          <cell r="J114">
            <v>7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90</v>
          </cell>
          <cell r="Q114">
            <v>47</v>
          </cell>
          <cell r="R114">
            <v>43</v>
          </cell>
          <cell r="S114">
            <v>33</v>
          </cell>
          <cell r="T114">
            <v>90</v>
          </cell>
        </row>
        <row r="115">
          <cell r="C115" t="str">
            <v>Census Tract 110, King County, Washington</v>
          </cell>
          <cell r="D115">
            <v>3212</v>
          </cell>
          <cell r="E115">
            <v>864</v>
          </cell>
          <cell r="F115">
            <v>730</v>
          </cell>
          <cell r="G115">
            <v>110</v>
          </cell>
          <cell r="H115">
            <v>0</v>
          </cell>
          <cell r="I115">
            <v>6</v>
          </cell>
          <cell r="J115">
            <v>0</v>
          </cell>
          <cell r="K115">
            <v>104</v>
          </cell>
          <cell r="L115">
            <v>24</v>
          </cell>
          <cell r="M115">
            <v>0</v>
          </cell>
          <cell r="N115">
            <v>0</v>
          </cell>
          <cell r="O115">
            <v>24</v>
          </cell>
          <cell r="P115">
            <v>2348</v>
          </cell>
          <cell r="Q115">
            <v>1304</v>
          </cell>
          <cell r="R115">
            <v>1044</v>
          </cell>
          <cell r="S115">
            <v>840</v>
          </cell>
          <cell r="T115">
            <v>2372</v>
          </cell>
        </row>
        <row r="116">
          <cell r="C116" t="str">
            <v>Census Tract 111.01, King County, Washington</v>
          </cell>
          <cell r="D116">
            <v>2125</v>
          </cell>
          <cell r="E116">
            <v>532</v>
          </cell>
          <cell r="F116">
            <v>460</v>
          </cell>
          <cell r="G116">
            <v>48</v>
          </cell>
          <cell r="H116">
            <v>10</v>
          </cell>
          <cell r="I116">
            <v>12</v>
          </cell>
          <cell r="J116">
            <v>0</v>
          </cell>
          <cell r="K116">
            <v>26</v>
          </cell>
          <cell r="L116">
            <v>24</v>
          </cell>
          <cell r="M116">
            <v>0</v>
          </cell>
          <cell r="N116">
            <v>0</v>
          </cell>
          <cell r="O116">
            <v>24</v>
          </cell>
          <cell r="P116">
            <v>1593</v>
          </cell>
          <cell r="Q116">
            <v>773</v>
          </cell>
          <cell r="R116">
            <v>820</v>
          </cell>
          <cell r="S116">
            <v>508</v>
          </cell>
          <cell r="T116">
            <v>1617</v>
          </cell>
        </row>
        <row r="117">
          <cell r="C117" t="str">
            <v>Census Tract 111.02, King County, Washington</v>
          </cell>
          <cell r="D117">
            <v>1366</v>
          </cell>
          <cell r="E117">
            <v>468</v>
          </cell>
          <cell r="F117">
            <v>413</v>
          </cell>
          <cell r="G117">
            <v>41</v>
          </cell>
          <cell r="H117">
            <v>0</v>
          </cell>
          <cell r="I117">
            <v>12</v>
          </cell>
          <cell r="J117">
            <v>0</v>
          </cell>
          <cell r="K117">
            <v>29</v>
          </cell>
          <cell r="L117">
            <v>14</v>
          </cell>
          <cell r="M117">
            <v>0</v>
          </cell>
          <cell r="N117">
            <v>0</v>
          </cell>
          <cell r="O117">
            <v>14</v>
          </cell>
          <cell r="P117">
            <v>898</v>
          </cell>
          <cell r="Q117">
            <v>372</v>
          </cell>
          <cell r="R117">
            <v>526</v>
          </cell>
          <cell r="S117">
            <v>454</v>
          </cell>
          <cell r="T117">
            <v>912</v>
          </cell>
        </row>
        <row r="118">
          <cell r="C118" t="str">
            <v>Census Tract 112, King County, Washington</v>
          </cell>
          <cell r="D118">
            <v>541</v>
          </cell>
          <cell r="E118">
            <v>127</v>
          </cell>
          <cell r="F118">
            <v>110</v>
          </cell>
          <cell r="G118">
            <v>17</v>
          </cell>
          <cell r="H118">
            <v>0</v>
          </cell>
          <cell r="I118">
            <v>8</v>
          </cell>
          <cell r="J118">
            <v>0</v>
          </cell>
          <cell r="K118">
            <v>9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414</v>
          </cell>
          <cell r="Q118">
            <v>207</v>
          </cell>
          <cell r="R118">
            <v>207</v>
          </cell>
          <cell r="S118">
            <v>127</v>
          </cell>
          <cell r="T118">
            <v>414</v>
          </cell>
        </row>
        <row r="119">
          <cell r="C119" t="str">
            <v>Census Tract 113, King County, Washington</v>
          </cell>
          <cell r="D119">
            <v>1387</v>
          </cell>
          <cell r="E119">
            <v>303</v>
          </cell>
          <cell r="F119">
            <v>224</v>
          </cell>
          <cell r="G119">
            <v>73</v>
          </cell>
          <cell r="H119">
            <v>0</v>
          </cell>
          <cell r="I119">
            <v>26</v>
          </cell>
          <cell r="J119">
            <v>4</v>
          </cell>
          <cell r="K119">
            <v>43</v>
          </cell>
          <cell r="L119">
            <v>6</v>
          </cell>
          <cell r="M119">
            <v>0</v>
          </cell>
          <cell r="N119">
            <v>0</v>
          </cell>
          <cell r="O119">
            <v>6</v>
          </cell>
          <cell r="P119">
            <v>1084</v>
          </cell>
          <cell r="Q119">
            <v>663</v>
          </cell>
          <cell r="R119">
            <v>421</v>
          </cell>
          <cell r="S119">
            <v>297</v>
          </cell>
          <cell r="T119">
            <v>1090</v>
          </cell>
        </row>
        <row r="120">
          <cell r="C120" t="str">
            <v>Census Tract 114, King County, Washington</v>
          </cell>
          <cell r="D120">
            <v>1604</v>
          </cell>
          <cell r="E120">
            <v>386</v>
          </cell>
          <cell r="F120">
            <v>330</v>
          </cell>
          <cell r="G120">
            <v>56</v>
          </cell>
          <cell r="H120">
            <v>13</v>
          </cell>
          <cell r="I120">
            <v>11</v>
          </cell>
          <cell r="J120">
            <v>0</v>
          </cell>
          <cell r="K120">
            <v>32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1218</v>
          </cell>
          <cell r="Q120">
            <v>611</v>
          </cell>
          <cell r="R120">
            <v>607</v>
          </cell>
          <cell r="S120">
            <v>386</v>
          </cell>
          <cell r="T120">
            <v>1218</v>
          </cell>
        </row>
        <row r="121">
          <cell r="C121" t="str">
            <v>Census Tract 115, King County, Washington</v>
          </cell>
          <cell r="D121">
            <v>278</v>
          </cell>
          <cell r="E121">
            <v>125</v>
          </cell>
          <cell r="F121">
            <v>83</v>
          </cell>
          <cell r="G121">
            <v>42</v>
          </cell>
          <cell r="H121">
            <v>0</v>
          </cell>
          <cell r="I121">
            <v>0</v>
          </cell>
          <cell r="J121">
            <v>26</v>
          </cell>
          <cell r="K121">
            <v>16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153</v>
          </cell>
          <cell r="Q121">
            <v>94</v>
          </cell>
          <cell r="R121">
            <v>59</v>
          </cell>
          <cell r="S121">
            <v>125</v>
          </cell>
          <cell r="T121">
            <v>153</v>
          </cell>
        </row>
        <row r="122">
          <cell r="C122" t="str">
            <v>Census Tract 116, King County, Washington</v>
          </cell>
          <cell r="D122">
            <v>198</v>
          </cell>
          <cell r="E122">
            <v>81</v>
          </cell>
          <cell r="F122">
            <v>51</v>
          </cell>
          <cell r="G122">
            <v>30</v>
          </cell>
          <cell r="H122">
            <v>0</v>
          </cell>
          <cell r="I122">
            <v>0</v>
          </cell>
          <cell r="J122">
            <v>10</v>
          </cell>
          <cell r="K122">
            <v>20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117</v>
          </cell>
          <cell r="Q122">
            <v>79</v>
          </cell>
          <cell r="R122">
            <v>38</v>
          </cell>
          <cell r="S122">
            <v>81</v>
          </cell>
          <cell r="T122">
            <v>117</v>
          </cell>
        </row>
        <row r="123">
          <cell r="C123" t="str">
            <v>Census Tract 117, King County, Washington</v>
          </cell>
          <cell r="D123">
            <v>2588</v>
          </cell>
          <cell r="E123">
            <v>846</v>
          </cell>
          <cell r="F123">
            <v>696</v>
          </cell>
          <cell r="G123">
            <v>117</v>
          </cell>
          <cell r="H123">
            <v>0</v>
          </cell>
          <cell r="I123">
            <v>5</v>
          </cell>
          <cell r="J123">
            <v>5</v>
          </cell>
          <cell r="K123">
            <v>107</v>
          </cell>
          <cell r="L123">
            <v>33</v>
          </cell>
          <cell r="M123">
            <v>0</v>
          </cell>
          <cell r="N123">
            <v>0</v>
          </cell>
          <cell r="O123">
            <v>33</v>
          </cell>
          <cell r="P123">
            <v>1742</v>
          </cell>
          <cell r="Q123">
            <v>1004</v>
          </cell>
          <cell r="R123">
            <v>738</v>
          </cell>
          <cell r="S123">
            <v>813</v>
          </cell>
          <cell r="T123">
            <v>1775</v>
          </cell>
        </row>
        <row r="124">
          <cell r="C124" t="str">
            <v>Census Tract 118, King County, Washington</v>
          </cell>
          <cell r="D124">
            <v>2073</v>
          </cell>
          <cell r="E124">
            <v>611</v>
          </cell>
          <cell r="F124">
            <v>524</v>
          </cell>
          <cell r="G124">
            <v>87</v>
          </cell>
          <cell r="H124">
            <v>7</v>
          </cell>
          <cell r="I124">
            <v>0</v>
          </cell>
          <cell r="J124">
            <v>28</v>
          </cell>
          <cell r="K124">
            <v>52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1462</v>
          </cell>
          <cell r="Q124">
            <v>750</v>
          </cell>
          <cell r="R124">
            <v>712</v>
          </cell>
          <cell r="S124">
            <v>611</v>
          </cell>
          <cell r="T124">
            <v>1462</v>
          </cell>
        </row>
        <row r="125">
          <cell r="C125" t="str">
            <v>Census Tract 119, King County, Washington</v>
          </cell>
          <cell r="D125">
            <v>2172</v>
          </cell>
          <cell r="E125">
            <v>932</v>
          </cell>
          <cell r="F125">
            <v>831</v>
          </cell>
          <cell r="G125">
            <v>79</v>
          </cell>
          <cell r="H125">
            <v>0</v>
          </cell>
          <cell r="I125">
            <v>8</v>
          </cell>
          <cell r="J125">
            <v>18</v>
          </cell>
          <cell r="K125">
            <v>53</v>
          </cell>
          <cell r="L125">
            <v>22</v>
          </cell>
          <cell r="M125">
            <v>0</v>
          </cell>
          <cell r="N125">
            <v>0</v>
          </cell>
          <cell r="O125">
            <v>22</v>
          </cell>
          <cell r="P125">
            <v>1240</v>
          </cell>
          <cell r="Q125">
            <v>889</v>
          </cell>
          <cell r="R125">
            <v>351</v>
          </cell>
          <cell r="S125">
            <v>910</v>
          </cell>
          <cell r="T125">
            <v>1262</v>
          </cell>
        </row>
        <row r="126">
          <cell r="C126" t="str">
            <v>Census Tract 120, King County, Washington</v>
          </cell>
          <cell r="D126">
            <v>245</v>
          </cell>
          <cell r="E126">
            <v>113</v>
          </cell>
          <cell r="F126">
            <v>79</v>
          </cell>
          <cell r="G126">
            <v>34</v>
          </cell>
          <cell r="H126">
            <v>0</v>
          </cell>
          <cell r="I126">
            <v>0</v>
          </cell>
          <cell r="J126">
            <v>5</v>
          </cell>
          <cell r="K126">
            <v>29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132</v>
          </cell>
          <cell r="Q126">
            <v>85</v>
          </cell>
          <cell r="R126">
            <v>47</v>
          </cell>
          <cell r="S126">
            <v>113</v>
          </cell>
          <cell r="T126">
            <v>132</v>
          </cell>
        </row>
        <row r="127">
          <cell r="C127" t="str">
            <v>Census Tract 121, King County, Washington</v>
          </cell>
          <cell r="D127">
            <v>99</v>
          </cell>
          <cell r="E127">
            <v>76</v>
          </cell>
          <cell r="F127">
            <v>45</v>
          </cell>
          <cell r="G127">
            <v>22</v>
          </cell>
          <cell r="H127">
            <v>0</v>
          </cell>
          <cell r="I127">
            <v>6</v>
          </cell>
          <cell r="J127">
            <v>0</v>
          </cell>
          <cell r="K127">
            <v>16</v>
          </cell>
          <cell r="L127">
            <v>9</v>
          </cell>
          <cell r="M127">
            <v>0</v>
          </cell>
          <cell r="N127">
            <v>0</v>
          </cell>
          <cell r="O127">
            <v>9</v>
          </cell>
          <cell r="P127">
            <v>23</v>
          </cell>
          <cell r="Q127">
            <v>23</v>
          </cell>
          <cell r="R127">
            <v>0</v>
          </cell>
          <cell r="S127">
            <v>67</v>
          </cell>
          <cell r="T127">
            <v>32</v>
          </cell>
        </row>
        <row r="128">
          <cell r="C128" t="str">
            <v>Census Tract 201, King County, Washington</v>
          </cell>
          <cell r="D128">
            <v>144</v>
          </cell>
          <cell r="E128">
            <v>67</v>
          </cell>
          <cell r="F128">
            <v>36</v>
          </cell>
          <cell r="G128">
            <v>31</v>
          </cell>
          <cell r="H128">
            <v>0</v>
          </cell>
          <cell r="I128">
            <v>12</v>
          </cell>
          <cell r="J128">
            <v>0</v>
          </cell>
          <cell r="K128">
            <v>19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77</v>
          </cell>
          <cell r="Q128">
            <v>57</v>
          </cell>
          <cell r="R128">
            <v>20</v>
          </cell>
          <cell r="S128">
            <v>67</v>
          </cell>
          <cell r="T128">
            <v>77</v>
          </cell>
        </row>
        <row r="129">
          <cell r="C129" t="str">
            <v>Census Tract 202, King County, Washington</v>
          </cell>
          <cell r="D129">
            <v>455</v>
          </cell>
          <cell r="E129">
            <v>98</v>
          </cell>
          <cell r="F129">
            <v>66</v>
          </cell>
          <cell r="G129">
            <v>32</v>
          </cell>
          <cell r="H129">
            <v>9</v>
          </cell>
          <cell r="I129">
            <v>0</v>
          </cell>
          <cell r="J129">
            <v>23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357</v>
          </cell>
          <cell r="Q129">
            <v>197</v>
          </cell>
          <cell r="R129">
            <v>160</v>
          </cell>
          <cell r="S129">
            <v>98</v>
          </cell>
          <cell r="T129">
            <v>357</v>
          </cell>
        </row>
        <row r="130">
          <cell r="C130" t="str">
            <v>Census Tract 203, King County, Washington</v>
          </cell>
          <cell r="D130">
            <v>1048</v>
          </cell>
          <cell r="E130">
            <v>246</v>
          </cell>
          <cell r="F130">
            <v>184</v>
          </cell>
          <cell r="G130">
            <v>62</v>
          </cell>
          <cell r="H130">
            <v>0</v>
          </cell>
          <cell r="I130">
            <v>30</v>
          </cell>
          <cell r="J130">
            <v>0</v>
          </cell>
          <cell r="K130">
            <v>32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802</v>
          </cell>
          <cell r="Q130">
            <v>308</v>
          </cell>
          <cell r="R130">
            <v>494</v>
          </cell>
          <cell r="S130">
            <v>246</v>
          </cell>
          <cell r="T130">
            <v>802</v>
          </cell>
        </row>
        <row r="131">
          <cell r="C131" t="str">
            <v>Census Tract 204.01, King County, Washington</v>
          </cell>
          <cell r="D131">
            <v>288</v>
          </cell>
          <cell r="E131">
            <v>94</v>
          </cell>
          <cell r="F131">
            <v>52</v>
          </cell>
          <cell r="G131">
            <v>42</v>
          </cell>
          <cell r="H131">
            <v>0</v>
          </cell>
          <cell r="I131">
            <v>0</v>
          </cell>
          <cell r="J131">
            <v>0</v>
          </cell>
          <cell r="K131">
            <v>42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194</v>
          </cell>
          <cell r="Q131">
            <v>116</v>
          </cell>
          <cell r="R131">
            <v>78</v>
          </cell>
          <cell r="S131">
            <v>94</v>
          </cell>
          <cell r="T131">
            <v>194</v>
          </cell>
        </row>
        <row r="132">
          <cell r="C132" t="str">
            <v>Census Tract 204.02, King County, Washington</v>
          </cell>
          <cell r="D132">
            <v>755</v>
          </cell>
          <cell r="E132">
            <v>238</v>
          </cell>
          <cell r="F132">
            <v>138</v>
          </cell>
          <cell r="G132">
            <v>90</v>
          </cell>
          <cell r="H132">
            <v>35</v>
          </cell>
          <cell r="I132">
            <v>0</v>
          </cell>
          <cell r="J132">
            <v>6</v>
          </cell>
          <cell r="K132">
            <v>49</v>
          </cell>
          <cell r="L132">
            <v>10</v>
          </cell>
          <cell r="M132">
            <v>0</v>
          </cell>
          <cell r="N132">
            <v>0</v>
          </cell>
          <cell r="O132">
            <v>10</v>
          </cell>
          <cell r="P132">
            <v>517</v>
          </cell>
          <cell r="Q132">
            <v>424</v>
          </cell>
          <cell r="R132">
            <v>93</v>
          </cell>
          <cell r="S132">
            <v>228</v>
          </cell>
          <cell r="T132">
            <v>527</v>
          </cell>
        </row>
        <row r="133">
          <cell r="C133" t="str">
            <v>Census Tract 205, King County, Washington</v>
          </cell>
          <cell r="D133">
            <v>805</v>
          </cell>
          <cell r="E133">
            <v>170</v>
          </cell>
          <cell r="F133">
            <v>123</v>
          </cell>
          <cell r="G133">
            <v>47</v>
          </cell>
          <cell r="H133">
            <v>28</v>
          </cell>
          <cell r="I133">
            <v>0</v>
          </cell>
          <cell r="J133">
            <v>12</v>
          </cell>
          <cell r="K133">
            <v>7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635</v>
          </cell>
          <cell r="Q133">
            <v>407</v>
          </cell>
          <cell r="R133">
            <v>228</v>
          </cell>
          <cell r="S133">
            <v>170</v>
          </cell>
          <cell r="T133">
            <v>635</v>
          </cell>
        </row>
        <row r="134">
          <cell r="C134" t="str">
            <v>Census Tract 206, King County, Washington</v>
          </cell>
          <cell r="D134">
            <v>675</v>
          </cell>
          <cell r="E134">
            <v>172</v>
          </cell>
          <cell r="F134">
            <v>135</v>
          </cell>
          <cell r="G134">
            <v>14</v>
          </cell>
          <cell r="H134">
            <v>0</v>
          </cell>
          <cell r="I134">
            <v>6</v>
          </cell>
          <cell r="J134">
            <v>2</v>
          </cell>
          <cell r="K134">
            <v>6</v>
          </cell>
          <cell r="L134">
            <v>23</v>
          </cell>
          <cell r="M134">
            <v>0</v>
          </cell>
          <cell r="N134">
            <v>0</v>
          </cell>
          <cell r="O134">
            <v>23</v>
          </cell>
          <cell r="P134">
            <v>503</v>
          </cell>
          <cell r="Q134">
            <v>316</v>
          </cell>
          <cell r="R134">
            <v>187</v>
          </cell>
          <cell r="S134">
            <v>149</v>
          </cell>
          <cell r="T134">
            <v>526</v>
          </cell>
        </row>
        <row r="135">
          <cell r="C135" t="str">
            <v>Census Tract 207, King County, Washington</v>
          </cell>
          <cell r="D135">
            <v>401</v>
          </cell>
          <cell r="E135">
            <v>78</v>
          </cell>
          <cell r="F135">
            <v>48</v>
          </cell>
          <cell r="G135">
            <v>30</v>
          </cell>
          <cell r="H135">
            <v>0</v>
          </cell>
          <cell r="I135">
            <v>9</v>
          </cell>
          <cell r="J135">
            <v>0</v>
          </cell>
          <cell r="K135">
            <v>21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323</v>
          </cell>
          <cell r="Q135">
            <v>209</v>
          </cell>
          <cell r="R135">
            <v>114</v>
          </cell>
          <cell r="S135">
            <v>78</v>
          </cell>
          <cell r="T135">
            <v>323</v>
          </cell>
        </row>
        <row r="136">
          <cell r="C136" t="str">
            <v>Census Tract 208, King County, Washington</v>
          </cell>
          <cell r="D136">
            <v>139</v>
          </cell>
          <cell r="E136">
            <v>45</v>
          </cell>
          <cell r="F136">
            <v>45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94</v>
          </cell>
          <cell r="Q136">
            <v>88</v>
          </cell>
          <cell r="R136">
            <v>6</v>
          </cell>
          <cell r="S136">
            <v>45</v>
          </cell>
          <cell r="T136">
            <v>94</v>
          </cell>
        </row>
        <row r="137">
          <cell r="C137" t="str">
            <v>Census Tract 209, King County, Washington</v>
          </cell>
          <cell r="D137">
            <v>423</v>
          </cell>
          <cell r="E137">
            <v>144</v>
          </cell>
          <cell r="F137">
            <v>84</v>
          </cell>
          <cell r="G137">
            <v>50</v>
          </cell>
          <cell r="H137">
            <v>19</v>
          </cell>
          <cell r="I137">
            <v>0</v>
          </cell>
          <cell r="J137">
            <v>0</v>
          </cell>
          <cell r="K137">
            <v>31</v>
          </cell>
          <cell r="L137">
            <v>10</v>
          </cell>
          <cell r="M137">
            <v>0</v>
          </cell>
          <cell r="N137">
            <v>0</v>
          </cell>
          <cell r="O137">
            <v>10</v>
          </cell>
          <cell r="P137">
            <v>279</v>
          </cell>
          <cell r="Q137">
            <v>165</v>
          </cell>
          <cell r="R137">
            <v>114</v>
          </cell>
          <cell r="S137">
            <v>134</v>
          </cell>
          <cell r="T137">
            <v>289</v>
          </cell>
        </row>
        <row r="138">
          <cell r="C138" t="str">
            <v>Census Tract 210, King County, Washington</v>
          </cell>
          <cell r="D138">
            <v>1032</v>
          </cell>
          <cell r="E138">
            <v>289</v>
          </cell>
          <cell r="F138">
            <v>257</v>
          </cell>
          <cell r="G138">
            <v>32</v>
          </cell>
          <cell r="H138">
            <v>0</v>
          </cell>
          <cell r="I138">
            <v>7</v>
          </cell>
          <cell r="J138">
            <v>10</v>
          </cell>
          <cell r="K138">
            <v>15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743</v>
          </cell>
          <cell r="Q138">
            <v>522</v>
          </cell>
          <cell r="R138">
            <v>221</v>
          </cell>
          <cell r="S138">
            <v>289</v>
          </cell>
          <cell r="T138">
            <v>743</v>
          </cell>
        </row>
        <row r="139">
          <cell r="C139" t="str">
            <v>Census Tract 211, King County, Washington</v>
          </cell>
          <cell r="D139">
            <v>664</v>
          </cell>
          <cell r="E139">
            <v>157</v>
          </cell>
          <cell r="F139">
            <v>119</v>
          </cell>
          <cell r="G139">
            <v>26</v>
          </cell>
          <cell r="H139">
            <v>0</v>
          </cell>
          <cell r="I139">
            <v>0</v>
          </cell>
          <cell r="J139">
            <v>0</v>
          </cell>
          <cell r="K139">
            <v>26</v>
          </cell>
          <cell r="L139">
            <v>12</v>
          </cell>
          <cell r="M139">
            <v>0</v>
          </cell>
          <cell r="N139">
            <v>0</v>
          </cell>
          <cell r="O139">
            <v>12</v>
          </cell>
          <cell r="P139">
            <v>507</v>
          </cell>
          <cell r="Q139">
            <v>197</v>
          </cell>
          <cell r="R139">
            <v>310</v>
          </cell>
          <cell r="S139">
            <v>145</v>
          </cell>
          <cell r="T139">
            <v>519</v>
          </cell>
        </row>
        <row r="140">
          <cell r="C140" t="str">
            <v>Census Tract 213, King County, Washington</v>
          </cell>
          <cell r="D140">
            <v>459</v>
          </cell>
          <cell r="E140">
            <v>122</v>
          </cell>
          <cell r="F140">
            <v>77</v>
          </cell>
          <cell r="G140">
            <v>38</v>
          </cell>
          <cell r="H140">
            <v>0</v>
          </cell>
          <cell r="I140">
            <v>7</v>
          </cell>
          <cell r="J140">
            <v>14</v>
          </cell>
          <cell r="K140">
            <v>17</v>
          </cell>
          <cell r="L140">
            <v>7</v>
          </cell>
          <cell r="M140">
            <v>0</v>
          </cell>
          <cell r="N140">
            <v>7</v>
          </cell>
          <cell r="O140">
            <v>0</v>
          </cell>
          <cell r="P140">
            <v>337</v>
          </cell>
          <cell r="Q140">
            <v>216</v>
          </cell>
          <cell r="R140">
            <v>121</v>
          </cell>
          <cell r="S140">
            <v>115</v>
          </cell>
          <cell r="T140">
            <v>344</v>
          </cell>
        </row>
        <row r="141">
          <cell r="C141" t="str">
            <v>Census Tract 214, King County, Washington</v>
          </cell>
          <cell r="D141">
            <v>228</v>
          </cell>
          <cell r="E141">
            <v>99</v>
          </cell>
          <cell r="F141">
            <v>87</v>
          </cell>
          <cell r="G141">
            <v>12</v>
          </cell>
          <cell r="H141">
            <v>0</v>
          </cell>
          <cell r="I141">
            <v>0</v>
          </cell>
          <cell r="J141">
            <v>0</v>
          </cell>
          <cell r="K141">
            <v>12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129</v>
          </cell>
          <cell r="Q141">
            <v>120</v>
          </cell>
          <cell r="R141">
            <v>9</v>
          </cell>
          <cell r="S141">
            <v>99</v>
          </cell>
          <cell r="T141">
            <v>129</v>
          </cell>
        </row>
        <row r="142">
          <cell r="C142" t="str">
            <v>Census Tract 215, King County, Washington</v>
          </cell>
          <cell r="D142">
            <v>373</v>
          </cell>
          <cell r="E142">
            <v>157</v>
          </cell>
          <cell r="F142">
            <v>125</v>
          </cell>
          <cell r="G142">
            <v>24</v>
          </cell>
          <cell r="H142">
            <v>0</v>
          </cell>
          <cell r="I142">
            <v>0</v>
          </cell>
          <cell r="J142">
            <v>0</v>
          </cell>
          <cell r="K142">
            <v>24</v>
          </cell>
          <cell r="L142">
            <v>8</v>
          </cell>
          <cell r="M142">
            <v>0</v>
          </cell>
          <cell r="N142">
            <v>0</v>
          </cell>
          <cell r="O142">
            <v>8</v>
          </cell>
          <cell r="P142">
            <v>216</v>
          </cell>
          <cell r="Q142">
            <v>158</v>
          </cell>
          <cell r="R142">
            <v>58</v>
          </cell>
          <cell r="S142">
            <v>149</v>
          </cell>
          <cell r="T142">
            <v>224</v>
          </cell>
        </row>
        <row r="143">
          <cell r="C143" t="str">
            <v>Census Tract 216, King County, Washington</v>
          </cell>
          <cell r="D143">
            <v>470</v>
          </cell>
          <cell r="E143">
            <v>221</v>
          </cell>
          <cell r="F143">
            <v>109</v>
          </cell>
          <cell r="G143">
            <v>93</v>
          </cell>
          <cell r="H143">
            <v>27</v>
          </cell>
          <cell r="I143">
            <v>0</v>
          </cell>
          <cell r="J143">
            <v>4</v>
          </cell>
          <cell r="K143">
            <v>62</v>
          </cell>
          <cell r="L143">
            <v>19</v>
          </cell>
          <cell r="M143">
            <v>0</v>
          </cell>
          <cell r="N143">
            <v>0</v>
          </cell>
          <cell r="O143">
            <v>19</v>
          </cell>
          <cell r="P143">
            <v>249</v>
          </cell>
          <cell r="Q143">
            <v>142</v>
          </cell>
          <cell r="R143">
            <v>107</v>
          </cell>
          <cell r="S143">
            <v>202</v>
          </cell>
          <cell r="T143">
            <v>268</v>
          </cell>
        </row>
        <row r="144">
          <cell r="C144" t="str">
            <v>Census Tract 217, King County, Washington</v>
          </cell>
          <cell r="D144">
            <v>310</v>
          </cell>
          <cell r="E144">
            <v>90</v>
          </cell>
          <cell r="F144">
            <v>59</v>
          </cell>
          <cell r="G144">
            <v>31</v>
          </cell>
          <cell r="H144">
            <v>0</v>
          </cell>
          <cell r="I144">
            <v>6</v>
          </cell>
          <cell r="J144">
            <v>9</v>
          </cell>
          <cell r="K144">
            <v>16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220</v>
          </cell>
          <cell r="Q144">
            <v>125</v>
          </cell>
          <cell r="R144">
            <v>95</v>
          </cell>
          <cell r="S144">
            <v>90</v>
          </cell>
          <cell r="T144">
            <v>220</v>
          </cell>
        </row>
        <row r="145">
          <cell r="C145" t="str">
            <v>Census Tract 218.02, King County, Washington</v>
          </cell>
          <cell r="D145">
            <v>255</v>
          </cell>
          <cell r="E145">
            <v>84</v>
          </cell>
          <cell r="F145">
            <v>38</v>
          </cell>
          <cell r="G145">
            <v>46</v>
          </cell>
          <cell r="H145">
            <v>22</v>
          </cell>
          <cell r="I145">
            <v>0</v>
          </cell>
          <cell r="J145">
            <v>19</v>
          </cell>
          <cell r="K145">
            <v>5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171</v>
          </cell>
          <cell r="Q145">
            <v>72</v>
          </cell>
          <cell r="R145">
            <v>99</v>
          </cell>
          <cell r="S145">
            <v>84</v>
          </cell>
          <cell r="T145">
            <v>171</v>
          </cell>
        </row>
        <row r="146">
          <cell r="C146" t="str">
            <v>Census Tract 218.03, King County, Washington</v>
          </cell>
          <cell r="D146">
            <v>249</v>
          </cell>
          <cell r="E146">
            <v>77</v>
          </cell>
          <cell r="F146">
            <v>77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172</v>
          </cell>
          <cell r="Q146">
            <v>51</v>
          </cell>
          <cell r="R146">
            <v>121</v>
          </cell>
          <cell r="S146">
            <v>77</v>
          </cell>
          <cell r="T146">
            <v>172</v>
          </cell>
        </row>
        <row r="147">
          <cell r="C147" t="str">
            <v>Census Tract 218.04, King County, Washington</v>
          </cell>
          <cell r="D147">
            <v>150</v>
          </cell>
          <cell r="E147">
            <v>57</v>
          </cell>
          <cell r="F147">
            <v>21</v>
          </cell>
          <cell r="G147">
            <v>36</v>
          </cell>
          <cell r="H147">
            <v>0</v>
          </cell>
          <cell r="I147">
            <v>26</v>
          </cell>
          <cell r="J147">
            <v>0</v>
          </cell>
          <cell r="K147">
            <v>10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93</v>
          </cell>
          <cell r="Q147">
            <v>69</v>
          </cell>
          <cell r="R147">
            <v>24</v>
          </cell>
          <cell r="S147">
            <v>57</v>
          </cell>
          <cell r="T147">
            <v>93</v>
          </cell>
        </row>
        <row r="148">
          <cell r="C148" t="str">
            <v>Census Tract 219.03, King County, Washington</v>
          </cell>
          <cell r="D148">
            <v>456</v>
          </cell>
          <cell r="E148">
            <v>86</v>
          </cell>
          <cell r="F148">
            <v>67</v>
          </cell>
          <cell r="G148">
            <v>19</v>
          </cell>
          <cell r="H148">
            <v>5</v>
          </cell>
          <cell r="I148">
            <v>0</v>
          </cell>
          <cell r="J148">
            <v>9</v>
          </cell>
          <cell r="K148">
            <v>5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370</v>
          </cell>
          <cell r="Q148">
            <v>186</v>
          </cell>
          <cell r="R148">
            <v>184</v>
          </cell>
          <cell r="S148">
            <v>86</v>
          </cell>
          <cell r="T148">
            <v>370</v>
          </cell>
        </row>
        <row r="149">
          <cell r="C149" t="str">
            <v>Census Tract 219.04, King County, Washington</v>
          </cell>
          <cell r="D149">
            <v>902</v>
          </cell>
          <cell r="E149">
            <v>244</v>
          </cell>
          <cell r="F149">
            <v>144</v>
          </cell>
          <cell r="G149">
            <v>92</v>
          </cell>
          <cell r="H149">
            <v>16</v>
          </cell>
          <cell r="I149">
            <v>5</v>
          </cell>
          <cell r="J149">
            <v>8</v>
          </cell>
          <cell r="K149">
            <v>63</v>
          </cell>
          <cell r="L149">
            <v>8</v>
          </cell>
          <cell r="M149">
            <v>0</v>
          </cell>
          <cell r="N149">
            <v>0</v>
          </cell>
          <cell r="O149">
            <v>8</v>
          </cell>
          <cell r="P149">
            <v>658</v>
          </cell>
          <cell r="Q149">
            <v>252</v>
          </cell>
          <cell r="R149">
            <v>406</v>
          </cell>
          <cell r="S149">
            <v>236</v>
          </cell>
          <cell r="T149">
            <v>666</v>
          </cell>
        </row>
        <row r="150">
          <cell r="C150" t="str">
            <v>Census Tract 219.05, King County, Washington</v>
          </cell>
          <cell r="D150">
            <v>348</v>
          </cell>
          <cell r="E150">
            <v>148</v>
          </cell>
          <cell r="F150">
            <v>97</v>
          </cell>
          <cell r="G150">
            <v>51</v>
          </cell>
          <cell r="H150">
            <v>6</v>
          </cell>
          <cell r="I150">
            <v>8</v>
          </cell>
          <cell r="J150">
            <v>7</v>
          </cell>
          <cell r="K150">
            <v>30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200</v>
          </cell>
          <cell r="Q150">
            <v>122</v>
          </cell>
          <cell r="R150">
            <v>78</v>
          </cell>
          <cell r="S150">
            <v>148</v>
          </cell>
          <cell r="T150">
            <v>200</v>
          </cell>
        </row>
        <row r="151">
          <cell r="C151" t="str">
            <v>Census Tract 219.06, King County, Washington</v>
          </cell>
          <cell r="D151">
            <v>525</v>
          </cell>
          <cell r="E151">
            <v>214</v>
          </cell>
          <cell r="F151">
            <v>89</v>
          </cell>
          <cell r="G151">
            <v>118</v>
          </cell>
          <cell r="H151">
            <v>0</v>
          </cell>
          <cell r="I151">
            <v>11</v>
          </cell>
          <cell r="J151">
            <v>0</v>
          </cell>
          <cell r="K151">
            <v>107</v>
          </cell>
          <cell r="L151">
            <v>7</v>
          </cell>
          <cell r="M151">
            <v>0</v>
          </cell>
          <cell r="N151">
            <v>0</v>
          </cell>
          <cell r="O151">
            <v>7</v>
          </cell>
          <cell r="P151">
            <v>311</v>
          </cell>
          <cell r="Q151">
            <v>149</v>
          </cell>
          <cell r="R151">
            <v>162</v>
          </cell>
          <cell r="S151">
            <v>207</v>
          </cell>
          <cell r="T151">
            <v>318</v>
          </cell>
        </row>
        <row r="152">
          <cell r="C152" t="str">
            <v>Census Tract 220.01, King County, Washington</v>
          </cell>
          <cell r="D152">
            <v>327</v>
          </cell>
          <cell r="E152">
            <v>135</v>
          </cell>
          <cell r="F152">
            <v>82</v>
          </cell>
          <cell r="G152">
            <v>53</v>
          </cell>
          <cell r="H152">
            <v>0</v>
          </cell>
          <cell r="I152">
            <v>0</v>
          </cell>
          <cell r="J152">
            <v>0</v>
          </cell>
          <cell r="K152">
            <v>53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192</v>
          </cell>
          <cell r="Q152">
            <v>150</v>
          </cell>
          <cell r="R152">
            <v>42</v>
          </cell>
          <cell r="S152">
            <v>135</v>
          </cell>
          <cell r="T152">
            <v>192</v>
          </cell>
        </row>
        <row r="153">
          <cell r="C153" t="str">
            <v>Census Tract 220.03, King County, Washington</v>
          </cell>
          <cell r="D153">
            <v>419</v>
          </cell>
          <cell r="E153">
            <v>166</v>
          </cell>
          <cell r="F153">
            <v>101</v>
          </cell>
          <cell r="G153">
            <v>60</v>
          </cell>
          <cell r="H153">
            <v>0</v>
          </cell>
          <cell r="I153">
            <v>13</v>
          </cell>
          <cell r="J153">
            <v>5</v>
          </cell>
          <cell r="K153">
            <v>42</v>
          </cell>
          <cell r="L153">
            <v>5</v>
          </cell>
          <cell r="M153">
            <v>0</v>
          </cell>
          <cell r="N153">
            <v>0</v>
          </cell>
          <cell r="O153">
            <v>5</v>
          </cell>
          <cell r="P153">
            <v>253</v>
          </cell>
          <cell r="Q153">
            <v>152</v>
          </cell>
          <cell r="R153">
            <v>101</v>
          </cell>
          <cell r="S153">
            <v>161</v>
          </cell>
          <cell r="T153">
            <v>258</v>
          </cell>
        </row>
        <row r="154">
          <cell r="C154" t="str">
            <v>Census Tract 220.05, King County, Washington</v>
          </cell>
          <cell r="D154">
            <v>588</v>
          </cell>
          <cell r="E154">
            <v>146</v>
          </cell>
          <cell r="F154">
            <v>20</v>
          </cell>
          <cell r="G154">
            <v>72</v>
          </cell>
          <cell r="H154">
            <v>0</v>
          </cell>
          <cell r="I154">
            <v>8</v>
          </cell>
          <cell r="J154">
            <v>41</v>
          </cell>
          <cell r="K154">
            <v>23</v>
          </cell>
          <cell r="L154">
            <v>54</v>
          </cell>
          <cell r="M154">
            <v>0</v>
          </cell>
          <cell r="N154">
            <v>0</v>
          </cell>
          <cell r="O154">
            <v>54</v>
          </cell>
          <cell r="P154">
            <v>442</v>
          </cell>
          <cell r="Q154">
            <v>220</v>
          </cell>
          <cell r="R154">
            <v>222</v>
          </cell>
          <cell r="S154">
            <v>92</v>
          </cell>
          <cell r="T154">
            <v>496</v>
          </cell>
        </row>
        <row r="155">
          <cell r="C155" t="str">
            <v>Census Tract 220.06, King County, Washington</v>
          </cell>
          <cell r="D155">
            <v>368</v>
          </cell>
          <cell r="E155">
            <v>127</v>
          </cell>
          <cell r="F155">
            <v>48</v>
          </cell>
          <cell r="G155">
            <v>69</v>
          </cell>
          <cell r="H155">
            <v>0</v>
          </cell>
          <cell r="I155">
            <v>0</v>
          </cell>
          <cell r="J155">
            <v>6</v>
          </cell>
          <cell r="K155">
            <v>63</v>
          </cell>
          <cell r="L155">
            <v>10</v>
          </cell>
          <cell r="M155">
            <v>0</v>
          </cell>
          <cell r="N155">
            <v>0</v>
          </cell>
          <cell r="O155">
            <v>10</v>
          </cell>
          <cell r="P155">
            <v>241</v>
          </cell>
          <cell r="Q155">
            <v>137</v>
          </cell>
          <cell r="R155">
            <v>104</v>
          </cell>
          <cell r="S155">
            <v>117</v>
          </cell>
          <cell r="T155">
            <v>251</v>
          </cell>
        </row>
        <row r="156">
          <cell r="C156" t="str">
            <v>Census Tract 221.01, King County, Washington</v>
          </cell>
          <cell r="D156">
            <v>276</v>
          </cell>
          <cell r="E156">
            <v>104</v>
          </cell>
          <cell r="F156">
            <v>53</v>
          </cell>
          <cell r="G156">
            <v>51</v>
          </cell>
          <cell r="H156">
            <v>9</v>
          </cell>
          <cell r="I156">
            <v>13</v>
          </cell>
          <cell r="J156">
            <v>0</v>
          </cell>
          <cell r="K156">
            <v>29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172</v>
          </cell>
          <cell r="Q156">
            <v>85</v>
          </cell>
          <cell r="R156">
            <v>87</v>
          </cell>
          <cell r="S156">
            <v>104</v>
          </cell>
          <cell r="T156">
            <v>172</v>
          </cell>
        </row>
        <row r="157">
          <cell r="C157" t="str">
            <v>Census Tract 221.02, King County, Washington</v>
          </cell>
          <cell r="D157">
            <v>381</v>
          </cell>
          <cell r="E157">
            <v>114</v>
          </cell>
          <cell r="F157">
            <v>47</v>
          </cell>
          <cell r="G157">
            <v>53</v>
          </cell>
          <cell r="H157">
            <v>0</v>
          </cell>
          <cell r="I157">
            <v>23</v>
          </cell>
          <cell r="J157">
            <v>23</v>
          </cell>
          <cell r="K157">
            <v>7</v>
          </cell>
          <cell r="L157">
            <v>14</v>
          </cell>
          <cell r="M157">
            <v>0</v>
          </cell>
          <cell r="N157">
            <v>0</v>
          </cell>
          <cell r="O157">
            <v>14</v>
          </cell>
          <cell r="P157">
            <v>267</v>
          </cell>
          <cell r="Q157">
            <v>121</v>
          </cell>
          <cell r="R157">
            <v>146</v>
          </cell>
          <cell r="S157">
            <v>100</v>
          </cell>
          <cell r="T157">
            <v>281</v>
          </cell>
        </row>
        <row r="158">
          <cell r="C158" t="str">
            <v>Census Tract 222.01, King County, Washington</v>
          </cell>
          <cell r="D158">
            <v>165</v>
          </cell>
          <cell r="E158">
            <v>66</v>
          </cell>
          <cell r="F158">
            <v>17</v>
          </cell>
          <cell r="G158">
            <v>36</v>
          </cell>
          <cell r="H158">
            <v>10</v>
          </cell>
          <cell r="I158">
            <v>7</v>
          </cell>
          <cell r="J158">
            <v>0</v>
          </cell>
          <cell r="K158">
            <v>19</v>
          </cell>
          <cell r="L158">
            <v>13</v>
          </cell>
          <cell r="M158">
            <v>0</v>
          </cell>
          <cell r="N158">
            <v>0</v>
          </cell>
          <cell r="O158">
            <v>13</v>
          </cell>
          <cell r="P158">
            <v>99</v>
          </cell>
          <cell r="Q158">
            <v>58</v>
          </cell>
          <cell r="R158">
            <v>41</v>
          </cell>
          <cell r="S158">
            <v>53</v>
          </cell>
          <cell r="T158">
            <v>112</v>
          </cell>
        </row>
        <row r="159">
          <cell r="C159" t="str">
            <v>Census Tract 222.02, King County, Washington</v>
          </cell>
          <cell r="D159">
            <v>577</v>
          </cell>
          <cell r="E159">
            <v>231</v>
          </cell>
          <cell r="F159">
            <v>137</v>
          </cell>
          <cell r="G159">
            <v>94</v>
          </cell>
          <cell r="H159">
            <v>7</v>
          </cell>
          <cell r="I159">
            <v>0</v>
          </cell>
          <cell r="J159">
            <v>15</v>
          </cell>
          <cell r="K159">
            <v>72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346</v>
          </cell>
          <cell r="Q159">
            <v>228</v>
          </cell>
          <cell r="R159">
            <v>118</v>
          </cell>
          <cell r="S159">
            <v>231</v>
          </cell>
          <cell r="T159">
            <v>346</v>
          </cell>
        </row>
        <row r="160">
          <cell r="C160" t="str">
            <v>Census Tract 222.03, King County, Washington</v>
          </cell>
          <cell r="D160">
            <v>399</v>
          </cell>
          <cell r="E160">
            <v>119</v>
          </cell>
          <cell r="F160">
            <v>114</v>
          </cell>
          <cell r="G160">
            <v>5</v>
          </cell>
          <cell r="H160">
            <v>0</v>
          </cell>
          <cell r="I160">
            <v>0</v>
          </cell>
          <cell r="J160">
            <v>0</v>
          </cell>
          <cell r="K160">
            <v>5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280</v>
          </cell>
          <cell r="Q160">
            <v>135</v>
          </cell>
          <cell r="R160">
            <v>145</v>
          </cell>
          <cell r="S160">
            <v>119</v>
          </cell>
          <cell r="T160">
            <v>280</v>
          </cell>
        </row>
        <row r="161">
          <cell r="C161" t="str">
            <v>Census Tract 223, King County, Washington</v>
          </cell>
          <cell r="D161">
            <v>82</v>
          </cell>
          <cell r="E161">
            <v>17</v>
          </cell>
          <cell r="F161">
            <v>6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11</v>
          </cell>
          <cell r="M161">
            <v>0</v>
          </cell>
          <cell r="N161">
            <v>0</v>
          </cell>
          <cell r="O161">
            <v>11</v>
          </cell>
          <cell r="P161">
            <v>65</v>
          </cell>
          <cell r="Q161">
            <v>37</v>
          </cell>
          <cell r="R161">
            <v>28</v>
          </cell>
          <cell r="S161">
            <v>6</v>
          </cell>
          <cell r="T161">
            <v>76</v>
          </cell>
        </row>
        <row r="162">
          <cell r="C162" t="str">
            <v>Census Tract 224, King County, Washington</v>
          </cell>
          <cell r="D162">
            <v>362</v>
          </cell>
          <cell r="E162">
            <v>106</v>
          </cell>
          <cell r="F162">
            <v>58</v>
          </cell>
          <cell r="G162">
            <v>33</v>
          </cell>
          <cell r="H162">
            <v>18</v>
          </cell>
          <cell r="I162">
            <v>0</v>
          </cell>
          <cell r="J162">
            <v>0</v>
          </cell>
          <cell r="K162">
            <v>15</v>
          </cell>
          <cell r="L162">
            <v>15</v>
          </cell>
          <cell r="M162">
            <v>0</v>
          </cell>
          <cell r="N162">
            <v>0</v>
          </cell>
          <cell r="O162">
            <v>15</v>
          </cell>
          <cell r="P162">
            <v>256</v>
          </cell>
          <cell r="Q162">
            <v>134</v>
          </cell>
          <cell r="R162">
            <v>122</v>
          </cell>
          <cell r="S162">
            <v>91</v>
          </cell>
          <cell r="T162">
            <v>271</v>
          </cell>
        </row>
        <row r="163">
          <cell r="C163" t="str">
            <v>Census Tract 225, King County, Washington</v>
          </cell>
          <cell r="D163">
            <v>392</v>
          </cell>
          <cell r="E163">
            <v>185</v>
          </cell>
          <cell r="F163">
            <v>73</v>
          </cell>
          <cell r="G163">
            <v>112</v>
          </cell>
          <cell r="H163">
            <v>8</v>
          </cell>
          <cell r="I163">
            <v>15</v>
          </cell>
          <cell r="J163">
            <v>19</v>
          </cell>
          <cell r="K163">
            <v>70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207</v>
          </cell>
          <cell r="Q163">
            <v>103</v>
          </cell>
          <cell r="R163">
            <v>104</v>
          </cell>
          <cell r="S163">
            <v>185</v>
          </cell>
          <cell r="T163">
            <v>207</v>
          </cell>
        </row>
        <row r="164">
          <cell r="C164" t="str">
            <v>Census Tract 226.03, King County, Washington</v>
          </cell>
          <cell r="D164">
            <v>572</v>
          </cell>
          <cell r="E164">
            <v>100</v>
          </cell>
          <cell r="F164">
            <v>65</v>
          </cell>
          <cell r="G164">
            <v>35</v>
          </cell>
          <cell r="H164">
            <v>0</v>
          </cell>
          <cell r="I164">
            <v>24</v>
          </cell>
          <cell r="J164">
            <v>0</v>
          </cell>
          <cell r="K164">
            <v>11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472</v>
          </cell>
          <cell r="Q164">
            <v>256</v>
          </cell>
          <cell r="R164">
            <v>216</v>
          </cell>
          <cell r="S164">
            <v>100</v>
          </cell>
          <cell r="T164">
            <v>472</v>
          </cell>
        </row>
        <row r="165">
          <cell r="C165" t="str">
            <v>Census Tract 226.04, King County, Washington</v>
          </cell>
          <cell r="D165">
            <v>244</v>
          </cell>
          <cell r="E165">
            <v>52</v>
          </cell>
          <cell r="F165">
            <v>39</v>
          </cell>
          <cell r="G165">
            <v>13</v>
          </cell>
          <cell r="H165">
            <v>0</v>
          </cell>
          <cell r="I165">
            <v>0</v>
          </cell>
          <cell r="J165">
            <v>0</v>
          </cell>
          <cell r="K165">
            <v>13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192</v>
          </cell>
          <cell r="Q165">
            <v>109</v>
          </cell>
          <cell r="R165">
            <v>83</v>
          </cell>
          <cell r="S165">
            <v>52</v>
          </cell>
          <cell r="T165">
            <v>192</v>
          </cell>
        </row>
        <row r="166">
          <cell r="C166" t="str">
            <v>Census Tract 226.05, King County, Washington</v>
          </cell>
          <cell r="D166">
            <v>749</v>
          </cell>
          <cell r="E166">
            <v>152</v>
          </cell>
          <cell r="F166">
            <v>54</v>
          </cell>
          <cell r="G166">
            <v>98</v>
          </cell>
          <cell r="H166">
            <v>7</v>
          </cell>
          <cell r="I166">
            <v>8</v>
          </cell>
          <cell r="J166">
            <v>44</v>
          </cell>
          <cell r="K166">
            <v>39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597</v>
          </cell>
          <cell r="Q166">
            <v>80</v>
          </cell>
          <cell r="R166">
            <v>517</v>
          </cell>
          <cell r="S166">
            <v>152</v>
          </cell>
          <cell r="T166">
            <v>597</v>
          </cell>
        </row>
        <row r="167">
          <cell r="C167" t="str">
            <v>Census Tract 226.06, King County, Washington</v>
          </cell>
          <cell r="D167">
            <v>578</v>
          </cell>
          <cell r="E167">
            <v>168</v>
          </cell>
          <cell r="F167">
            <v>111</v>
          </cell>
          <cell r="G167">
            <v>57</v>
          </cell>
          <cell r="H167">
            <v>0</v>
          </cell>
          <cell r="I167">
            <v>17</v>
          </cell>
          <cell r="J167">
            <v>12</v>
          </cell>
          <cell r="K167">
            <v>28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410</v>
          </cell>
          <cell r="Q167">
            <v>260</v>
          </cell>
          <cell r="R167">
            <v>150</v>
          </cell>
          <cell r="S167">
            <v>168</v>
          </cell>
          <cell r="T167">
            <v>410</v>
          </cell>
        </row>
        <row r="168">
          <cell r="C168" t="str">
            <v>Census Tract 227.01, King County, Washington</v>
          </cell>
          <cell r="D168">
            <v>127</v>
          </cell>
          <cell r="E168">
            <v>42</v>
          </cell>
          <cell r="F168">
            <v>8</v>
          </cell>
          <cell r="G168">
            <v>34</v>
          </cell>
          <cell r="H168">
            <v>7</v>
          </cell>
          <cell r="I168">
            <v>5</v>
          </cell>
          <cell r="J168">
            <v>0</v>
          </cell>
          <cell r="K168">
            <v>22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85</v>
          </cell>
          <cell r="Q168">
            <v>23</v>
          </cell>
          <cell r="R168">
            <v>62</v>
          </cell>
          <cell r="S168">
            <v>42</v>
          </cell>
          <cell r="T168">
            <v>85</v>
          </cell>
        </row>
        <row r="169">
          <cell r="C169" t="str">
            <v>Census Tract 227.02, King County, Washington</v>
          </cell>
          <cell r="D169">
            <v>147</v>
          </cell>
          <cell r="E169">
            <v>41</v>
          </cell>
          <cell r="F169">
            <v>7</v>
          </cell>
          <cell r="G169">
            <v>34</v>
          </cell>
          <cell r="H169">
            <v>0</v>
          </cell>
          <cell r="I169">
            <v>0</v>
          </cell>
          <cell r="J169">
            <v>8</v>
          </cell>
          <cell r="K169">
            <v>26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106</v>
          </cell>
          <cell r="Q169">
            <v>42</v>
          </cell>
          <cell r="R169">
            <v>64</v>
          </cell>
          <cell r="S169">
            <v>41</v>
          </cell>
          <cell r="T169">
            <v>106</v>
          </cell>
        </row>
        <row r="170">
          <cell r="C170" t="str">
            <v>Census Tract 227.03, King County, Washington</v>
          </cell>
          <cell r="D170">
            <v>256</v>
          </cell>
          <cell r="E170">
            <v>97</v>
          </cell>
          <cell r="F170">
            <v>57</v>
          </cell>
          <cell r="G170">
            <v>40</v>
          </cell>
          <cell r="H170">
            <v>0</v>
          </cell>
          <cell r="I170">
            <v>19</v>
          </cell>
          <cell r="J170">
            <v>10</v>
          </cell>
          <cell r="K170">
            <v>11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159</v>
          </cell>
          <cell r="Q170">
            <v>87</v>
          </cell>
          <cell r="R170">
            <v>72</v>
          </cell>
          <cell r="S170">
            <v>97</v>
          </cell>
          <cell r="T170">
            <v>159</v>
          </cell>
        </row>
        <row r="171">
          <cell r="C171" t="str">
            <v>Census Tract 228.01, King County, Washington</v>
          </cell>
          <cell r="D171">
            <v>1657</v>
          </cell>
          <cell r="E171">
            <v>424</v>
          </cell>
          <cell r="F171">
            <v>184</v>
          </cell>
          <cell r="G171">
            <v>193</v>
          </cell>
          <cell r="H171">
            <v>26</v>
          </cell>
          <cell r="I171">
            <v>8</v>
          </cell>
          <cell r="J171">
            <v>53</v>
          </cell>
          <cell r="K171">
            <v>106</v>
          </cell>
          <cell r="L171">
            <v>47</v>
          </cell>
          <cell r="M171">
            <v>0</v>
          </cell>
          <cell r="N171">
            <v>9</v>
          </cell>
          <cell r="O171">
            <v>38</v>
          </cell>
          <cell r="P171">
            <v>1233</v>
          </cell>
          <cell r="Q171">
            <v>410</v>
          </cell>
          <cell r="R171">
            <v>823</v>
          </cell>
          <cell r="S171">
            <v>377</v>
          </cell>
          <cell r="T171">
            <v>1280</v>
          </cell>
        </row>
        <row r="172">
          <cell r="C172" t="str">
            <v>Census Tract 228.02, King County, Washington</v>
          </cell>
          <cell r="D172">
            <v>745</v>
          </cell>
          <cell r="E172">
            <v>234</v>
          </cell>
          <cell r="F172">
            <v>137</v>
          </cell>
          <cell r="G172">
            <v>95</v>
          </cell>
          <cell r="H172">
            <v>30</v>
          </cell>
          <cell r="I172">
            <v>6</v>
          </cell>
          <cell r="J172">
            <v>0</v>
          </cell>
          <cell r="K172">
            <v>59</v>
          </cell>
          <cell r="L172">
            <v>2</v>
          </cell>
          <cell r="M172">
            <v>0</v>
          </cell>
          <cell r="N172">
            <v>0</v>
          </cell>
          <cell r="O172">
            <v>2</v>
          </cell>
          <cell r="P172">
            <v>511</v>
          </cell>
          <cell r="Q172">
            <v>263</v>
          </cell>
          <cell r="R172">
            <v>248</v>
          </cell>
          <cell r="S172">
            <v>232</v>
          </cell>
          <cell r="T172">
            <v>513</v>
          </cell>
        </row>
        <row r="173">
          <cell r="C173" t="str">
            <v>Census Tract 228.03, King County, Washington</v>
          </cell>
          <cell r="D173">
            <v>1039</v>
          </cell>
          <cell r="E173">
            <v>269</v>
          </cell>
          <cell r="F173">
            <v>134</v>
          </cell>
          <cell r="G173">
            <v>135</v>
          </cell>
          <cell r="H173">
            <v>24</v>
          </cell>
          <cell r="I173">
            <v>0</v>
          </cell>
          <cell r="J173">
            <v>19</v>
          </cell>
          <cell r="K173">
            <v>92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770</v>
          </cell>
          <cell r="Q173">
            <v>136</v>
          </cell>
          <cell r="R173">
            <v>634</v>
          </cell>
          <cell r="S173">
            <v>269</v>
          </cell>
          <cell r="T173">
            <v>770</v>
          </cell>
        </row>
        <row r="174">
          <cell r="C174" t="str">
            <v>Census Tract 229.01, King County, Washington</v>
          </cell>
          <cell r="D174">
            <v>557</v>
          </cell>
          <cell r="E174">
            <v>239</v>
          </cell>
          <cell r="F174">
            <v>158</v>
          </cell>
          <cell r="G174">
            <v>61</v>
          </cell>
          <cell r="H174">
            <v>0</v>
          </cell>
          <cell r="I174">
            <v>6</v>
          </cell>
          <cell r="J174">
            <v>18</v>
          </cell>
          <cell r="K174">
            <v>37</v>
          </cell>
          <cell r="L174">
            <v>20</v>
          </cell>
          <cell r="M174">
            <v>0</v>
          </cell>
          <cell r="N174">
            <v>0</v>
          </cell>
          <cell r="O174">
            <v>20</v>
          </cell>
          <cell r="P174">
            <v>318</v>
          </cell>
          <cell r="Q174">
            <v>220</v>
          </cell>
          <cell r="R174">
            <v>98</v>
          </cell>
          <cell r="S174">
            <v>219</v>
          </cell>
          <cell r="T174">
            <v>338</v>
          </cell>
        </row>
        <row r="175">
          <cell r="C175" t="str">
            <v>Census Tract 229.02, King County, Washington</v>
          </cell>
          <cell r="D175">
            <v>811</v>
          </cell>
          <cell r="E175">
            <v>220</v>
          </cell>
          <cell r="F175">
            <v>156</v>
          </cell>
          <cell r="G175">
            <v>57</v>
          </cell>
          <cell r="H175">
            <v>0</v>
          </cell>
          <cell r="I175">
            <v>5</v>
          </cell>
          <cell r="J175">
            <v>24</v>
          </cell>
          <cell r="K175">
            <v>28</v>
          </cell>
          <cell r="L175">
            <v>7</v>
          </cell>
          <cell r="M175">
            <v>0</v>
          </cell>
          <cell r="N175">
            <v>0</v>
          </cell>
          <cell r="O175">
            <v>7</v>
          </cell>
          <cell r="P175">
            <v>591</v>
          </cell>
          <cell r="Q175">
            <v>271</v>
          </cell>
          <cell r="R175">
            <v>320</v>
          </cell>
          <cell r="S175">
            <v>213</v>
          </cell>
          <cell r="T175">
            <v>598</v>
          </cell>
        </row>
        <row r="176">
          <cell r="C176" t="str">
            <v>Census Tract 230, King County, Washington</v>
          </cell>
          <cell r="D176">
            <v>627</v>
          </cell>
          <cell r="E176">
            <v>164</v>
          </cell>
          <cell r="F176">
            <v>116</v>
          </cell>
          <cell r="G176">
            <v>48</v>
          </cell>
          <cell r="H176">
            <v>16</v>
          </cell>
          <cell r="I176">
            <v>0</v>
          </cell>
          <cell r="J176">
            <v>6</v>
          </cell>
          <cell r="K176">
            <v>26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463</v>
          </cell>
          <cell r="Q176">
            <v>186</v>
          </cell>
          <cell r="R176">
            <v>277</v>
          </cell>
          <cell r="S176">
            <v>164</v>
          </cell>
          <cell r="T176">
            <v>463</v>
          </cell>
        </row>
        <row r="177">
          <cell r="C177" t="str">
            <v>Census Tract 231, King County, Washington</v>
          </cell>
          <cell r="D177">
            <v>348</v>
          </cell>
          <cell r="E177">
            <v>68</v>
          </cell>
          <cell r="F177">
            <v>37</v>
          </cell>
          <cell r="G177">
            <v>21</v>
          </cell>
          <cell r="H177">
            <v>0</v>
          </cell>
          <cell r="I177">
            <v>12</v>
          </cell>
          <cell r="J177">
            <v>5</v>
          </cell>
          <cell r="K177">
            <v>4</v>
          </cell>
          <cell r="L177">
            <v>10</v>
          </cell>
          <cell r="M177">
            <v>0</v>
          </cell>
          <cell r="N177">
            <v>0</v>
          </cell>
          <cell r="O177">
            <v>10</v>
          </cell>
          <cell r="P177">
            <v>280</v>
          </cell>
          <cell r="Q177">
            <v>162</v>
          </cell>
          <cell r="R177">
            <v>118</v>
          </cell>
          <cell r="S177">
            <v>58</v>
          </cell>
          <cell r="T177">
            <v>290</v>
          </cell>
        </row>
        <row r="178">
          <cell r="C178" t="str">
            <v>Census Tract 232.01, King County, Washington</v>
          </cell>
          <cell r="D178">
            <v>1281</v>
          </cell>
          <cell r="E178">
            <v>212</v>
          </cell>
          <cell r="F178">
            <v>126</v>
          </cell>
          <cell r="G178">
            <v>86</v>
          </cell>
          <cell r="H178">
            <v>13</v>
          </cell>
          <cell r="I178">
            <v>0</v>
          </cell>
          <cell r="J178">
            <v>0</v>
          </cell>
          <cell r="K178">
            <v>73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1069</v>
          </cell>
          <cell r="Q178">
            <v>294</v>
          </cell>
          <cell r="R178">
            <v>775</v>
          </cell>
          <cell r="S178">
            <v>212</v>
          </cell>
          <cell r="T178">
            <v>1069</v>
          </cell>
        </row>
        <row r="179">
          <cell r="C179" t="str">
            <v>Census Tract 232.02, King County, Washington</v>
          </cell>
          <cell r="D179">
            <v>768</v>
          </cell>
          <cell r="E179">
            <v>109</v>
          </cell>
          <cell r="F179">
            <v>77</v>
          </cell>
          <cell r="G179">
            <v>26</v>
          </cell>
          <cell r="H179">
            <v>0</v>
          </cell>
          <cell r="I179">
            <v>12</v>
          </cell>
          <cell r="J179">
            <v>0</v>
          </cell>
          <cell r="K179">
            <v>14</v>
          </cell>
          <cell r="L179">
            <v>6</v>
          </cell>
          <cell r="M179">
            <v>0</v>
          </cell>
          <cell r="N179">
            <v>0</v>
          </cell>
          <cell r="O179">
            <v>6</v>
          </cell>
          <cell r="P179">
            <v>659</v>
          </cell>
          <cell r="Q179">
            <v>286</v>
          </cell>
          <cell r="R179">
            <v>373</v>
          </cell>
          <cell r="S179">
            <v>103</v>
          </cell>
          <cell r="T179">
            <v>665</v>
          </cell>
        </row>
        <row r="180">
          <cell r="C180" t="str">
            <v>Census Tract 233, King County, Washington</v>
          </cell>
          <cell r="D180">
            <v>1080</v>
          </cell>
          <cell r="E180">
            <v>342</v>
          </cell>
          <cell r="F180">
            <v>186</v>
          </cell>
          <cell r="G180">
            <v>135</v>
          </cell>
          <cell r="H180">
            <v>32</v>
          </cell>
          <cell r="I180">
            <v>0</v>
          </cell>
          <cell r="J180">
            <v>7</v>
          </cell>
          <cell r="K180">
            <v>96</v>
          </cell>
          <cell r="L180">
            <v>21</v>
          </cell>
          <cell r="M180">
            <v>0</v>
          </cell>
          <cell r="N180">
            <v>6</v>
          </cell>
          <cell r="O180">
            <v>15</v>
          </cell>
          <cell r="P180">
            <v>738</v>
          </cell>
          <cell r="Q180">
            <v>478</v>
          </cell>
          <cell r="R180">
            <v>260</v>
          </cell>
          <cell r="S180">
            <v>321</v>
          </cell>
          <cell r="T180">
            <v>759</v>
          </cell>
        </row>
        <row r="181">
          <cell r="C181" t="str">
            <v>Census Tract 234.01, King County, Washington</v>
          </cell>
          <cell r="D181">
            <v>643</v>
          </cell>
          <cell r="E181">
            <v>170</v>
          </cell>
          <cell r="F181">
            <v>105</v>
          </cell>
          <cell r="G181">
            <v>59</v>
          </cell>
          <cell r="H181">
            <v>0</v>
          </cell>
          <cell r="I181">
            <v>22</v>
          </cell>
          <cell r="J181">
            <v>21</v>
          </cell>
          <cell r="K181">
            <v>16</v>
          </cell>
          <cell r="L181">
            <v>6</v>
          </cell>
          <cell r="M181">
            <v>0</v>
          </cell>
          <cell r="N181">
            <v>0</v>
          </cell>
          <cell r="O181">
            <v>6</v>
          </cell>
          <cell r="P181">
            <v>473</v>
          </cell>
          <cell r="Q181">
            <v>177</v>
          </cell>
          <cell r="R181">
            <v>296</v>
          </cell>
          <cell r="S181">
            <v>164</v>
          </cell>
          <cell r="T181">
            <v>479</v>
          </cell>
        </row>
        <row r="182">
          <cell r="C182" t="str">
            <v>Census Tract 234.02, King County, Washington</v>
          </cell>
          <cell r="D182">
            <v>676</v>
          </cell>
          <cell r="E182">
            <v>235</v>
          </cell>
          <cell r="F182">
            <v>146</v>
          </cell>
          <cell r="G182">
            <v>73</v>
          </cell>
          <cell r="H182">
            <v>8</v>
          </cell>
          <cell r="I182">
            <v>0</v>
          </cell>
          <cell r="J182">
            <v>0</v>
          </cell>
          <cell r="K182">
            <v>65</v>
          </cell>
          <cell r="L182">
            <v>16</v>
          </cell>
          <cell r="M182">
            <v>0</v>
          </cell>
          <cell r="N182">
            <v>0</v>
          </cell>
          <cell r="O182">
            <v>16</v>
          </cell>
          <cell r="P182">
            <v>441</v>
          </cell>
          <cell r="Q182">
            <v>261</v>
          </cell>
          <cell r="R182">
            <v>180</v>
          </cell>
          <cell r="S182">
            <v>219</v>
          </cell>
          <cell r="T182">
            <v>457</v>
          </cell>
        </row>
        <row r="183">
          <cell r="C183" t="str">
            <v>Census Tract 235, King County, Washington</v>
          </cell>
          <cell r="D183">
            <v>449</v>
          </cell>
          <cell r="E183">
            <v>199</v>
          </cell>
          <cell r="F183">
            <v>85</v>
          </cell>
          <cell r="G183">
            <v>95</v>
          </cell>
          <cell r="H183">
            <v>7</v>
          </cell>
          <cell r="I183">
            <v>0</v>
          </cell>
          <cell r="J183">
            <v>21</v>
          </cell>
          <cell r="K183">
            <v>67</v>
          </cell>
          <cell r="L183">
            <v>19</v>
          </cell>
          <cell r="M183">
            <v>0</v>
          </cell>
          <cell r="N183">
            <v>10</v>
          </cell>
          <cell r="O183">
            <v>9</v>
          </cell>
          <cell r="P183">
            <v>250</v>
          </cell>
          <cell r="Q183">
            <v>67</v>
          </cell>
          <cell r="R183">
            <v>183</v>
          </cell>
          <cell r="S183">
            <v>180</v>
          </cell>
          <cell r="T183">
            <v>269</v>
          </cell>
        </row>
        <row r="184">
          <cell r="C184" t="str">
            <v>Census Tract 236.01, King County, Washington</v>
          </cell>
          <cell r="D184">
            <v>510</v>
          </cell>
          <cell r="E184">
            <v>102</v>
          </cell>
          <cell r="F184">
            <v>66</v>
          </cell>
          <cell r="G184">
            <v>21</v>
          </cell>
          <cell r="H184">
            <v>0</v>
          </cell>
          <cell r="I184">
            <v>0</v>
          </cell>
          <cell r="J184">
            <v>6</v>
          </cell>
          <cell r="K184">
            <v>15</v>
          </cell>
          <cell r="L184">
            <v>15</v>
          </cell>
          <cell r="M184">
            <v>0</v>
          </cell>
          <cell r="N184">
            <v>0</v>
          </cell>
          <cell r="O184">
            <v>15</v>
          </cell>
          <cell r="P184">
            <v>408</v>
          </cell>
          <cell r="Q184">
            <v>92</v>
          </cell>
          <cell r="R184">
            <v>316</v>
          </cell>
          <cell r="S184">
            <v>87</v>
          </cell>
          <cell r="T184">
            <v>423</v>
          </cell>
        </row>
        <row r="185">
          <cell r="C185" t="str">
            <v>Census Tract 236.03, King County, Washington</v>
          </cell>
          <cell r="D185">
            <v>1378</v>
          </cell>
          <cell r="E185">
            <v>246</v>
          </cell>
          <cell r="F185">
            <v>129</v>
          </cell>
          <cell r="G185">
            <v>104</v>
          </cell>
          <cell r="H185">
            <v>33</v>
          </cell>
          <cell r="I185">
            <v>17</v>
          </cell>
          <cell r="J185">
            <v>7</v>
          </cell>
          <cell r="K185">
            <v>47</v>
          </cell>
          <cell r="L185">
            <v>13</v>
          </cell>
          <cell r="M185">
            <v>0</v>
          </cell>
          <cell r="N185">
            <v>0</v>
          </cell>
          <cell r="O185">
            <v>13</v>
          </cell>
          <cell r="P185">
            <v>1132</v>
          </cell>
          <cell r="Q185">
            <v>206</v>
          </cell>
          <cell r="R185">
            <v>926</v>
          </cell>
          <cell r="S185">
            <v>233</v>
          </cell>
          <cell r="T185">
            <v>1145</v>
          </cell>
        </row>
        <row r="186">
          <cell r="C186" t="str">
            <v>Census Tract 236.04, King County, Washington</v>
          </cell>
          <cell r="D186">
            <v>1043</v>
          </cell>
          <cell r="E186">
            <v>193</v>
          </cell>
          <cell r="F186">
            <v>119</v>
          </cell>
          <cell r="G186">
            <v>74</v>
          </cell>
          <cell r="H186">
            <v>14</v>
          </cell>
          <cell r="I186">
            <v>19</v>
          </cell>
          <cell r="J186">
            <v>0</v>
          </cell>
          <cell r="K186">
            <v>41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850</v>
          </cell>
          <cell r="Q186">
            <v>418</v>
          </cell>
          <cell r="R186">
            <v>432</v>
          </cell>
          <cell r="S186">
            <v>193</v>
          </cell>
          <cell r="T186">
            <v>850</v>
          </cell>
        </row>
        <row r="187">
          <cell r="C187" t="str">
            <v>Census Tract 237, King County, Washington</v>
          </cell>
          <cell r="D187">
            <v>469</v>
          </cell>
          <cell r="E187">
            <v>145</v>
          </cell>
          <cell r="F187">
            <v>49</v>
          </cell>
          <cell r="G187">
            <v>96</v>
          </cell>
          <cell r="H187">
            <v>4</v>
          </cell>
          <cell r="I187">
            <v>0</v>
          </cell>
          <cell r="J187">
            <v>0</v>
          </cell>
          <cell r="K187">
            <v>92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324</v>
          </cell>
          <cell r="Q187">
            <v>98</v>
          </cell>
          <cell r="R187">
            <v>226</v>
          </cell>
          <cell r="S187">
            <v>145</v>
          </cell>
          <cell r="T187">
            <v>324</v>
          </cell>
        </row>
        <row r="188">
          <cell r="C188" t="str">
            <v>Census Tract 238.01, King County, Washington</v>
          </cell>
          <cell r="D188">
            <v>211</v>
          </cell>
          <cell r="E188">
            <v>76</v>
          </cell>
          <cell r="F188">
            <v>25</v>
          </cell>
          <cell r="G188">
            <v>33</v>
          </cell>
          <cell r="H188">
            <v>7</v>
          </cell>
          <cell r="I188">
            <v>8</v>
          </cell>
          <cell r="J188">
            <v>5</v>
          </cell>
          <cell r="K188">
            <v>13</v>
          </cell>
          <cell r="L188">
            <v>18</v>
          </cell>
          <cell r="M188">
            <v>0</v>
          </cell>
          <cell r="N188">
            <v>10</v>
          </cell>
          <cell r="O188">
            <v>8</v>
          </cell>
          <cell r="P188">
            <v>135</v>
          </cell>
          <cell r="Q188">
            <v>31</v>
          </cell>
          <cell r="R188">
            <v>104</v>
          </cell>
          <cell r="S188">
            <v>58</v>
          </cell>
          <cell r="T188">
            <v>153</v>
          </cell>
        </row>
        <row r="189">
          <cell r="C189" t="str">
            <v>Census Tract 238.02, King County, Washington</v>
          </cell>
          <cell r="D189">
            <v>325</v>
          </cell>
          <cell r="E189">
            <v>86</v>
          </cell>
          <cell r="F189">
            <v>6</v>
          </cell>
          <cell r="G189">
            <v>80</v>
          </cell>
          <cell r="H189">
            <v>17</v>
          </cell>
          <cell r="I189">
            <v>13</v>
          </cell>
          <cell r="J189">
            <v>6</v>
          </cell>
          <cell r="K189">
            <v>44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239</v>
          </cell>
          <cell r="Q189">
            <v>61</v>
          </cell>
          <cell r="R189">
            <v>178</v>
          </cell>
          <cell r="S189">
            <v>86</v>
          </cell>
          <cell r="T189">
            <v>239</v>
          </cell>
        </row>
        <row r="190">
          <cell r="C190" t="str">
            <v>Census Tract 239, King County, Washington</v>
          </cell>
          <cell r="D190">
            <v>515</v>
          </cell>
          <cell r="E190">
            <v>91</v>
          </cell>
          <cell r="F190">
            <v>60</v>
          </cell>
          <cell r="G190">
            <v>31</v>
          </cell>
          <cell r="H190">
            <v>0</v>
          </cell>
          <cell r="I190">
            <v>0</v>
          </cell>
          <cell r="J190">
            <v>0</v>
          </cell>
          <cell r="K190">
            <v>31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424</v>
          </cell>
          <cell r="Q190">
            <v>128</v>
          </cell>
          <cell r="R190">
            <v>296</v>
          </cell>
          <cell r="S190">
            <v>91</v>
          </cell>
          <cell r="T190">
            <v>424</v>
          </cell>
        </row>
        <row r="191">
          <cell r="C191" t="str">
            <v>Census Tract 240, King County, Washington</v>
          </cell>
          <cell r="D191">
            <v>743</v>
          </cell>
          <cell r="E191">
            <v>159</v>
          </cell>
          <cell r="F191">
            <v>69</v>
          </cell>
          <cell r="G191">
            <v>90</v>
          </cell>
          <cell r="H191">
            <v>0</v>
          </cell>
          <cell r="I191">
            <v>0</v>
          </cell>
          <cell r="J191">
            <v>20</v>
          </cell>
          <cell r="K191">
            <v>70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584</v>
          </cell>
          <cell r="Q191">
            <v>271</v>
          </cell>
          <cell r="R191">
            <v>313</v>
          </cell>
          <cell r="S191">
            <v>159</v>
          </cell>
          <cell r="T191">
            <v>584</v>
          </cell>
        </row>
        <row r="192">
          <cell r="C192" t="str">
            <v>Census Tract 241, King County, Washington</v>
          </cell>
          <cell r="D192">
            <v>245</v>
          </cell>
          <cell r="E192">
            <v>74</v>
          </cell>
          <cell r="F192">
            <v>51</v>
          </cell>
          <cell r="G192">
            <v>19</v>
          </cell>
          <cell r="H192">
            <v>0</v>
          </cell>
          <cell r="I192">
            <v>11</v>
          </cell>
          <cell r="J192">
            <v>4</v>
          </cell>
          <cell r="K192">
            <v>4</v>
          </cell>
          <cell r="L192">
            <v>4</v>
          </cell>
          <cell r="M192">
            <v>0</v>
          </cell>
          <cell r="N192">
            <v>0</v>
          </cell>
          <cell r="O192">
            <v>4</v>
          </cell>
          <cell r="P192">
            <v>171</v>
          </cell>
          <cell r="Q192">
            <v>120</v>
          </cell>
          <cell r="R192">
            <v>51</v>
          </cell>
          <cell r="S192">
            <v>70</v>
          </cell>
          <cell r="T192">
            <v>175</v>
          </cell>
        </row>
        <row r="193">
          <cell r="C193" t="str">
            <v>Census Tract 242, King County, Washington</v>
          </cell>
          <cell r="D193">
            <v>97</v>
          </cell>
          <cell r="E193">
            <v>24</v>
          </cell>
          <cell r="F193">
            <v>10</v>
          </cell>
          <cell r="G193">
            <v>8</v>
          </cell>
          <cell r="H193">
            <v>0</v>
          </cell>
          <cell r="I193">
            <v>6</v>
          </cell>
          <cell r="J193">
            <v>2</v>
          </cell>
          <cell r="K193">
            <v>0</v>
          </cell>
          <cell r="L193">
            <v>6</v>
          </cell>
          <cell r="M193">
            <v>0</v>
          </cell>
          <cell r="N193">
            <v>1</v>
          </cell>
          <cell r="O193">
            <v>5</v>
          </cell>
          <cell r="P193">
            <v>73</v>
          </cell>
          <cell r="Q193">
            <v>20</v>
          </cell>
          <cell r="R193">
            <v>53</v>
          </cell>
          <cell r="S193">
            <v>18</v>
          </cell>
          <cell r="T193">
            <v>79</v>
          </cell>
        </row>
        <row r="194">
          <cell r="C194" t="str">
            <v>Census Tract 243, King County, Washington</v>
          </cell>
          <cell r="D194">
            <v>842</v>
          </cell>
          <cell r="E194">
            <v>370</v>
          </cell>
          <cell r="F194">
            <v>286</v>
          </cell>
          <cell r="G194">
            <v>77</v>
          </cell>
          <cell r="H194">
            <v>10</v>
          </cell>
          <cell r="I194">
            <v>14</v>
          </cell>
          <cell r="J194">
            <v>0</v>
          </cell>
          <cell r="K194">
            <v>53</v>
          </cell>
          <cell r="L194">
            <v>7</v>
          </cell>
          <cell r="M194">
            <v>0</v>
          </cell>
          <cell r="N194">
            <v>0</v>
          </cell>
          <cell r="O194">
            <v>7</v>
          </cell>
          <cell r="P194">
            <v>472</v>
          </cell>
          <cell r="Q194">
            <v>362</v>
          </cell>
          <cell r="R194">
            <v>110</v>
          </cell>
          <cell r="S194">
            <v>363</v>
          </cell>
          <cell r="T194">
            <v>479</v>
          </cell>
        </row>
        <row r="195">
          <cell r="C195" t="str">
            <v>Census Tract 244, King County, Washington</v>
          </cell>
          <cell r="D195">
            <v>390</v>
          </cell>
          <cell r="E195">
            <v>98</v>
          </cell>
          <cell r="F195">
            <v>57</v>
          </cell>
          <cell r="G195">
            <v>41</v>
          </cell>
          <cell r="H195">
            <v>11</v>
          </cell>
          <cell r="I195">
            <v>7</v>
          </cell>
          <cell r="J195">
            <v>6</v>
          </cell>
          <cell r="K195">
            <v>17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292</v>
          </cell>
          <cell r="Q195">
            <v>92</v>
          </cell>
          <cell r="R195">
            <v>200</v>
          </cell>
          <cell r="S195">
            <v>98</v>
          </cell>
          <cell r="T195">
            <v>292</v>
          </cell>
        </row>
        <row r="196">
          <cell r="C196" t="str">
            <v>Census Tract 245, King County, Washington</v>
          </cell>
          <cell r="D196">
            <v>487</v>
          </cell>
          <cell r="E196">
            <v>234</v>
          </cell>
          <cell r="F196">
            <v>146</v>
          </cell>
          <cell r="G196">
            <v>72</v>
          </cell>
          <cell r="H196">
            <v>11</v>
          </cell>
          <cell r="I196">
            <v>4</v>
          </cell>
          <cell r="J196">
            <v>14</v>
          </cell>
          <cell r="K196">
            <v>43</v>
          </cell>
          <cell r="L196">
            <v>16</v>
          </cell>
          <cell r="M196">
            <v>0</v>
          </cell>
          <cell r="N196">
            <v>4</v>
          </cell>
          <cell r="O196">
            <v>12</v>
          </cell>
          <cell r="P196">
            <v>253</v>
          </cell>
          <cell r="Q196">
            <v>200</v>
          </cell>
          <cell r="R196">
            <v>53</v>
          </cell>
          <cell r="S196">
            <v>218</v>
          </cell>
          <cell r="T196">
            <v>269</v>
          </cell>
        </row>
        <row r="197">
          <cell r="C197" t="str">
            <v>Census Tract 246.01, King County, Washington</v>
          </cell>
          <cell r="D197">
            <v>454</v>
          </cell>
          <cell r="E197">
            <v>250</v>
          </cell>
          <cell r="F197">
            <v>176</v>
          </cell>
          <cell r="G197">
            <v>74</v>
          </cell>
          <cell r="H197">
            <v>0</v>
          </cell>
          <cell r="I197">
            <v>31</v>
          </cell>
          <cell r="J197">
            <v>0</v>
          </cell>
          <cell r="K197">
            <v>43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204</v>
          </cell>
          <cell r="Q197">
            <v>127</v>
          </cell>
          <cell r="R197">
            <v>77</v>
          </cell>
          <cell r="S197">
            <v>250</v>
          </cell>
          <cell r="T197">
            <v>204</v>
          </cell>
        </row>
        <row r="198">
          <cell r="C198" t="str">
            <v>Census Tract 246.02, King County, Washington</v>
          </cell>
          <cell r="D198">
            <v>263</v>
          </cell>
          <cell r="E198">
            <v>168</v>
          </cell>
          <cell r="F198">
            <v>137</v>
          </cell>
          <cell r="G198">
            <v>31</v>
          </cell>
          <cell r="H198">
            <v>11</v>
          </cell>
          <cell r="I198">
            <v>10</v>
          </cell>
          <cell r="J198">
            <v>0</v>
          </cell>
          <cell r="K198">
            <v>10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95</v>
          </cell>
          <cell r="Q198">
            <v>51</v>
          </cell>
          <cell r="R198">
            <v>44</v>
          </cell>
          <cell r="S198">
            <v>168</v>
          </cell>
          <cell r="T198">
            <v>95</v>
          </cell>
        </row>
        <row r="199">
          <cell r="C199" t="str">
            <v>Census Tract 247.01, King County, Washington</v>
          </cell>
          <cell r="D199">
            <v>581</v>
          </cell>
          <cell r="E199">
            <v>203</v>
          </cell>
          <cell r="F199">
            <v>115</v>
          </cell>
          <cell r="G199">
            <v>76</v>
          </cell>
          <cell r="H199">
            <v>9</v>
          </cell>
          <cell r="I199">
            <v>43</v>
          </cell>
          <cell r="J199">
            <v>0</v>
          </cell>
          <cell r="K199">
            <v>24</v>
          </cell>
          <cell r="L199">
            <v>12</v>
          </cell>
          <cell r="M199">
            <v>0</v>
          </cell>
          <cell r="N199">
            <v>0</v>
          </cell>
          <cell r="O199">
            <v>12</v>
          </cell>
          <cell r="P199">
            <v>378</v>
          </cell>
          <cell r="Q199">
            <v>228</v>
          </cell>
          <cell r="R199">
            <v>150</v>
          </cell>
          <cell r="S199">
            <v>191</v>
          </cell>
          <cell r="T199">
            <v>390</v>
          </cell>
        </row>
        <row r="200">
          <cell r="C200" t="str">
            <v>Census Tract 247.02, King County, Washington</v>
          </cell>
          <cell r="D200">
            <v>1019</v>
          </cell>
          <cell r="E200">
            <v>506</v>
          </cell>
          <cell r="F200">
            <v>332</v>
          </cell>
          <cell r="G200">
            <v>154</v>
          </cell>
          <cell r="H200">
            <v>0</v>
          </cell>
          <cell r="I200">
            <v>26</v>
          </cell>
          <cell r="J200">
            <v>14</v>
          </cell>
          <cell r="K200">
            <v>114</v>
          </cell>
          <cell r="L200">
            <v>20</v>
          </cell>
          <cell r="M200">
            <v>0</v>
          </cell>
          <cell r="N200">
            <v>0</v>
          </cell>
          <cell r="O200">
            <v>20</v>
          </cell>
          <cell r="P200">
            <v>513</v>
          </cell>
          <cell r="Q200">
            <v>294</v>
          </cell>
          <cell r="R200">
            <v>219</v>
          </cell>
          <cell r="S200">
            <v>486</v>
          </cell>
          <cell r="T200">
            <v>533</v>
          </cell>
        </row>
        <row r="201">
          <cell r="C201" t="str">
            <v>Census Tract 248, King County, Washington</v>
          </cell>
          <cell r="D201">
            <v>1004</v>
          </cell>
          <cell r="E201">
            <v>312</v>
          </cell>
          <cell r="F201">
            <v>190</v>
          </cell>
          <cell r="G201">
            <v>103</v>
          </cell>
          <cell r="H201">
            <v>0</v>
          </cell>
          <cell r="I201">
            <v>30</v>
          </cell>
          <cell r="J201">
            <v>14</v>
          </cell>
          <cell r="K201">
            <v>59</v>
          </cell>
          <cell r="L201">
            <v>19</v>
          </cell>
          <cell r="M201">
            <v>0</v>
          </cell>
          <cell r="N201">
            <v>8</v>
          </cell>
          <cell r="O201">
            <v>11</v>
          </cell>
          <cell r="P201">
            <v>692</v>
          </cell>
          <cell r="Q201">
            <v>172</v>
          </cell>
          <cell r="R201">
            <v>520</v>
          </cell>
          <cell r="S201">
            <v>293</v>
          </cell>
          <cell r="T201">
            <v>711</v>
          </cell>
        </row>
        <row r="202">
          <cell r="C202" t="str">
            <v>Census Tract 249.01, King County, Washington</v>
          </cell>
          <cell r="D202">
            <v>1138</v>
          </cell>
          <cell r="E202">
            <v>456</v>
          </cell>
          <cell r="F202">
            <v>309</v>
          </cell>
          <cell r="G202">
            <v>131</v>
          </cell>
          <cell r="H202">
            <v>20</v>
          </cell>
          <cell r="I202">
            <v>19</v>
          </cell>
          <cell r="J202">
            <v>31</v>
          </cell>
          <cell r="K202">
            <v>61</v>
          </cell>
          <cell r="L202">
            <v>16</v>
          </cell>
          <cell r="M202">
            <v>0</v>
          </cell>
          <cell r="N202">
            <v>0</v>
          </cell>
          <cell r="O202">
            <v>16</v>
          </cell>
          <cell r="P202">
            <v>682</v>
          </cell>
          <cell r="Q202">
            <v>487</v>
          </cell>
          <cell r="R202">
            <v>195</v>
          </cell>
          <cell r="S202">
            <v>440</v>
          </cell>
          <cell r="T202">
            <v>698</v>
          </cell>
        </row>
        <row r="203">
          <cell r="C203" t="str">
            <v>Census Tract 249.02, King County, Washington</v>
          </cell>
          <cell r="D203">
            <v>562</v>
          </cell>
          <cell r="E203">
            <v>214</v>
          </cell>
          <cell r="F203">
            <v>135</v>
          </cell>
          <cell r="G203">
            <v>75</v>
          </cell>
          <cell r="H203">
            <v>15</v>
          </cell>
          <cell r="I203">
            <v>0</v>
          </cell>
          <cell r="J203">
            <v>25</v>
          </cell>
          <cell r="K203">
            <v>35</v>
          </cell>
          <cell r="L203">
            <v>4</v>
          </cell>
          <cell r="M203">
            <v>0</v>
          </cell>
          <cell r="N203">
            <v>0</v>
          </cell>
          <cell r="O203">
            <v>4</v>
          </cell>
          <cell r="P203">
            <v>348</v>
          </cell>
          <cell r="Q203">
            <v>167</v>
          </cell>
          <cell r="R203">
            <v>181</v>
          </cell>
          <cell r="S203">
            <v>210</v>
          </cell>
          <cell r="T203">
            <v>352</v>
          </cell>
        </row>
        <row r="204">
          <cell r="C204" t="str">
            <v>Census Tract 249.03, King County, Washington</v>
          </cell>
          <cell r="D204">
            <v>1836</v>
          </cell>
          <cell r="E204">
            <v>783</v>
          </cell>
          <cell r="F204">
            <v>503</v>
          </cell>
          <cell r="G204">
            <v>263</v>
          </cell>
          <cell r="H204">
            <v>72</v>
          </cell>
          <cell r="I204">
            <v>53</v>
          </cell>
          <cell r="J204">
            <v>48</v>
          </cell>
          <cell r="K204">
            <v>90</v>
          </cell>
          <cell r="L204">
            <v>17</v>
          </cell>
          <cell r="M204">
            <v>0</v>
          </cell>
          <cell r="N204">
            <v>10</v>
          </cell>
          <cell r="O204">
            <v>7</v>
          </cell>
          <cell r="P204">
            <v>1053</v>
          </cell>
          <cell r="Q204">
            <v>705</v>
          </cell>
          <cell r="R204">
            <v>348</v>
          </cell>
          <cell r="S204">
            <v>766</v>
          </cell>
          <cell r="T204">
            <v>1070</v>
          </cell>
        </row>
        <row r="205">
          <cell r="C205" t="str">
            <v>Census Tract 250.01, King County, Washington</v>
          </cell>
          <cell r="D205">
            <v>872</v>
          </cell>
          <cell r="E205">
            <v>317</v>
          </cell>
          <cell r="F205">
            <v>244</v>
          </cell>
          <cell r="G205">
            <v>66</v>
          </cell>
          <cell r="H205">
            <v>6</v>
          </cell>
          <cell r="I205">
            <v>18</v>
          </cell>
          <cell r="J205">
            <v>5</v>
          </cell>
          <cell r="K205">
            <v>37</v>
          </cell>
          <cell r="L205">
            <v>7</v>
          </cell>
          <cell r="M205">
            <v>0</v>
          </cell>
          <cell r="N205">
            <v>0</v>
          </cell>
          <cell r="O205">
            <v>7</v>
          </cell>
          <cell r="P205">
            <v>555</v>
          </cell>
          <cell r="Q205">
            <v>364</v>
          </cell>
          <cell r="R205">
            <v>191</v>
          </cell>
          <cell r="S205">
            <v>310</v>
          </cell>
          <cell r="T205">
            <v>562</v>
          </cell>
        </row>
        <row r="206">
          <cell r="C206" t="str">
            <v>Census Tract 250.03, King County, Washington</v>
          </cell>
          <cell r="D206">
            <v>1097</v>
          </cell>
          <cell r="E206">
            <v>463</v>
          </cell>
          <cell r="F206">
            <v>288</v>
          </cell>
          <cell r="G206">
            <v>150</v>
          </cell>
          <cell r="H206">
            <v>24</v>
          </cell>
          <cell r="I206">
            <v>19</v>
          </cell>
          <cell r="J206">
            <v>34</v>
          </cell>
          <cell r="K206">
            <v>73</v>
          </cell>
          <cell r="L206">
            <v>25</v>
          </cell>
          <cell r="M206">
            <v>0</v>
          </cell>
          <cell r="N206">
            <v>0</v>
          </cell>
          <cell r="O206">
            <v>25</v>
          </cell>
          <cell r="P206">
            <v>634</v>
          </cell>
          <cell r="Q206">
            <v>401</v>
          </cell>
          <cell r="R206">
            <v>233</v>
          </cell>
          <cell r="S206">
            <v>438</v>
          </cell>
          <cell r="T206">
            <v>659</v>
          </cell>
        </row>
        <row r="207">
          <cell r="C207" t="str">
            <v>Census Tract 250.04, King County, Washington</v>
          </cell>
          <cell r="D207">
            <v>590</v>
          </cell>
          <cell r="E207">
            <v>169</v>
          </cell>
          <cell r="F207">
            <v>120</v>
          </cell>
          <cell r="G207">
            <v>43</v>
          </cell>
          <cell r="H207">
            <v>0</v>
          </cell>
          <cell r="I207">
            <v>0</v>
          </cell>
          <cell r="J207">
            <v>0</v>
          </cell>
          <cell r="K207">
            <v>43</v>
          </cell>
          <cell r="L207">
            <v>6</v>
          </cell>
          <cell r="M207">
            <v>0</v>
          </cell>
          <cell r="N207">
            <v>6</v>
          </cell>
          <cell r="O207">
            <v>0</v>
          </cell>
          <cell r="P207">
            <v>421</v>
          </cell>
          <cell r="Q207">
            <v>264</v>
          </cell>
          <cell r="R207">
            <v>157</v>
          </cell>
          <cell r="S207">
            <v>163</v>
          </cell>
          <cell r="T207">
            <v>427</v>
          </cell>
        </row>
        <row r="208">
          <cell r="C208" t="str">
            <v>Census Tract 251.01, King County, Washington</v>
          </cell>
          <cell r="D208">
            <v>890</v>
          </cell>
          <cell r="E208">
            <v>356</v>
          </cell>
          <cell r="F208">
            <v>207</v>
          </cell>
          <cell r="G208">
            <v>123</v>
          </cell>
          <cell r="H208">
            <v>0</v>
          </cell>
          <cell r="I208">
            <v>22</v>
          </cell>
          <cell r="J208">
            <v>0</v>
          </cell>
          <cell r="K208">
            <v>101</v>
          </cell>
          <cell r="L208">
            <v>26</v>
          </cell>
          <cell r="M208">
            <v>0</v>
          </cell>
          <cell r="N208">
            <v>0</v>
          </cell>
          <cell r="O208">
            <v>26</v>
          </cell>
          <cell r="P208">
            <v>534</v>
          </cell>
          <cell r="Q208">
            <v>326</v>
          </cell>
          <cell r="R208">
            <v>208</v>
          </cell>
          <cell r="S208">
            <v>330</v>
          </cell>
          <cell r="T208">
            <v>560</v>
          </cell>
        </row>
        <row r="209">
          <cell r="C209" t="str">
            <v>Census Tract 251.02, King County, Washington</v>
          </cell>
          <cell r="D209">
            <v>601</v>
          </cell>
          <cell r="E209">
            <v>227</v>
          </cell>
          <cell r="F209">
            <v>177</v>
          </cell>
          <cell r="G209">
            <v>26</v>
          </cell>
          <cell r="H209">
            <v>0</v>
          </cell>
          <cell r="I209">
            <v>0</v>
          </cell>
          <cell r="J209">
            <v>0</v>
          </cell>
          <cell r="K209">
            <v>26</v>
          </cell>
          <cell r="L209">
            <v>24</v>
          </cell>
          <cell r="M209">
            <v>0</v>
          </cell>
          <cell r="N209">
            <v>0</v>
          </cell>
          <cell r="O209">
            <v>24</v>
          </cell>
          <cell r="P209">
            <v>374</v>
          </cell>
          <cell r="Q209">
            <v>292</v>
          </cell>
          <cell r="R209">
            <v>82</v>
          </cell>
          <cell r="S209">
            <v>203</v>
          </cell>
          <cell r="T209">
            <v>398</v>
          </cell>
        </row>
        <row r="210">
          <cell r="C210" t="str">
            <v>Census Tract 252, King County, Washington</v>
          </cell>
          <cell r="D210">
            <v>632</v>
          </cell>
          <cell r="E210">
            <v>197</v>
          </cell>
          <cell r="F210">
            <v>152</v>
          </cell>
          <cell r="G210">
            <v>35</v>
          </cell>
          <cell r="H210">
            <v>0</v>
          </cell>
          <cell r="I210">
            <v>0</v>
          </cell>
          <cell r="J210">
            <v>6</v>
          </cell>
          <cell r="K210">
            <v>29</v>
          </cell>
          <cell r="L210">
            <v>10</v>
          </cell>
          <cell r="M210">
            <v>0</v>
          </cell>
          <cell r="N210">
            <v>0</v>
          </cell>
          <cell r="O210">
            <v>10</v>
          </cell>
          <cell r="P210">
            <v>435</v>
          </cell>
          <cell r="Q210">
            <v>273</v>
          </cell>
          <cell r="R210">
            <v>162</v>
          </cell>
          <cell r="S210">
            <v>187</v>
          </cell>
          <cell r="T210">
            <v>445</v>
          </cell>
        </row>
        <row r="211">
          <cell r="C211" t="str">
            <v>Census Tract 253, King County, Washington</v>
          </cell>
          <cell r="D211">
            <v>432</v>
          </cell>
          <cell r="E211">
            <v>122</v>
          </cell>
          <cell r="F211">
            <v>69</v>
          </cell>
          <cell r="G211">
            <v>53</v>
          </cell>
          <cell r="H211">
            <v>6</v>
          </cell>
          <cell r="I211">
            <v>6</v>
          </cell>
          <cell r="J211">
            <v>0</v>
          </cell>
          <cell r="K211">
            <v>41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310</v>
          </cell>
          <cell r="Q211">
            <v>200</v>
          </cell>
          <cell r="R211">
            <v>110</v>
          </cell>
          <cell r="S211">
            <v>122</v>
          </cell>
          <cell r="T211">
            <v>310</v>
          </cell>
        </row>
        <row r="212">
          <cell r="C212" t="str">
            <v>Census Tract 254, King County, Washington</v>
          </cell>
          <cell r="D212">
            <v>784</v>
          </cell>
          <cell r="E212">
            <v>168</v>
          </cell>
          <cell r="F212">
            <v>135</v>
          </cell>
          <cell r="G212">
            <v>33</v>
          </cell>
          <cell r="H212">
            <v>0</v>
          </cell>
          <cell r="I212">
            <v>0</v>
          </cell>
          <cell r="J212">
            <v>13</v>
          </cell>
          <cell r="K212">
            <v>20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616</v>
          </cell>
          <cell r="Q212">
            <v>383</v>
          </cell>
          <cell r="R212">
            <v>233</v>
          </cell>
          <cell r="S212">
            <v>168</v>
          </cell>
          <cell r="T212">
            <v>616</v>
          </cell>
        </row>
        <row r="213">
          <cell r="C213" t="str">
            <v>Census Tract 255, King County, Washington</v>
          </cell>
          <cell r="D213">
            <v>443</v>
          </cell>
          <cell r="E213">
            <v>72</v>
          </cell>
          <cell r="F213">
            <v>25</v>
          </cell>
          <cell r="G213">
            <v>47</v>
          </cell>
          <cell r="H213">
            <v>0</v>
          </cell>
          <cell r="I213">
            <v>0</v>
          </cell>
          <cell r="J213">
            <v>0</v>
          </cell>
          <cell r="K213">
            <v>47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371</v>
          </cell>
          <cell r="Q213">
            <v>213</v>
          </cell>
          <cell r="R213">
            <v>158</v>
          </cell>
          <cell r="S213">
            <v>72</v>
          </cell>
          <cell r="T213">
            <v>371</v>
          </cell>
        </row>
        <row r="214">
          <cell r="C214" t="str">
            <v>Census Tract 256, King County, Washington</v>
          </cell>
          <cell r="D214">
            <v>350</v>
          </cell>
          <cell r="E214">
            <v>167</v>
          </cell>
          <cell r="F214">
            <v>80</v>
          </cell>
          <cell r="G214">
            <v>69</v>
          </cell>
          <cell r="H214">
            <v>0</v>
          </cell>
          <cell r="I214">
            <v>0</v>
          </cell>
          <cell r="J214">
            <v>29</v>
          </cell>
          <cell r="K214">
            <v>40</v>
          </cell>
          <cell r="L214">
            <v>18</v>
          </cell>
          <cell r="M214">
            <v>0</v>
          </cell>
          <cell r="N214">
            <v>18</v>
          </cell>
          <cell r="O214">
            <v>0</v>
          </cell>
          <cell r="P214">
            <v>183</v>
          </cell>
          <cell r="Q214">
            <v>121</v>
          </cell>
          <cell r="R214">
            <v>62</v>
          </cell>
          <cell r="S214">
            <v>149</v>
          </cell>
          <cell r="T214">
            <v>201</v>
          </cell>
        </row>
        <row r="215">
          <cell r="C215" t="str">
            <v>Census Tract 257.01, King County, Washington</v>
          </cell>
          <cell r="D215">
            <v>775</v>
          </cell>
          <cell r="E215">
            <v>303</v>
          </cell>
          <cell r="F215">
            <v>186</v>
          </cell>
          <cell r="G215">
            <v>68</v>
          </cell>
          <cell r="H215">
            <v>0</v>
          </cell>
          <cell r="I215">
            <v>11</v>
          </cell>
          <cell r="J215">
            <v>0</v>
          </cell>
          <cell r="K215">
            <v>57</v>
          </cell>
          <cell r="L215">
            <v>49</v>
          </cell>
          <cell r="M215">
            <v>0</v>
          </cell>
          <cell r="N215">
            <v>14</v>
          </cell>
          <cell r="O215">
            <v>35</v>
          </cell>
          <cell r="P215">
            <v>472</v>
          </cell>
          <cell r="Q215">
            <v>234</v>
          </cell>
          <cell r="R215">
            <v>238</v>
          </cell>
          <cell r="S215">
            <v>254</v>
          </cell>
          <cell r="T215">
            <v>521</v>
          </cell>
        </row>
        <row r="216">
          <cell r="C216" t="str">
            <v>Census Tract 257.02, King County, Washington</v>
          </cell>
          <cell r="D216">
            <v>572</v>
          </cell>
          <cell r="E216">
            <v>257</v>
          </cell>
          <cell r="F216">
            <v>214</v>
          </cell>
          <cell r="G216">
            <v>43</v>
          </cell>
          <cell r="H216">
            <v>0</v>
          </cell>
          <cell r="I216">
            <v>0</v>
          </cell>
          <cell r="J216">
            <v>0</v>
          </cell>
          <cell r="K216">
            <v>43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315</v>
          </cell>
          <cell r="Q216">
            <v>246</v>
          </cell>
          <cell r="R216">
            <v>69</v>
          </cell>
          <cell r="S216">
            <v>257</v>
          </cell>
          <cell r="T216">
            <v>315</v>
          </cell>
        </row>
        <row r="217">
          <cell r="C217" t="str">
            <v>Census Tract 258.01, King County, Washington</v>
          </cell>
          <cell r="D217">
            <v>1404</v>
          </cell>
          <cell r="E217">
            <v>550</v>
          </cell>
          <cell r="F217">
            <v>372</v>
          </cell>
          <cell r="G217">
            <v>146</v>
          </cell>
          <cell r="H217">
            <v>0</v>
          </cell>
          <cell r="I217">
            <v>0</v>
          </cell>
          <cell r="J217">
            <v>8</v>
          </cell>
          <cell r="K217">
            <v>138</v>
          </cell>
          <cell r="L217">
            <v>32</v>
          </cell>
          <cell r="M217">
            <v>0</v>
          </cell>
          <cell r="N217">
            <v>0</v>
          </cell>
          <cell r="O217">
            <v>32</v>
          </cell>
          <cell r="P217">
            <v>854</v>
          </cell>
          <cell r="Q217">
            <v>501</v>
          </cell>
          <cell r="R217">
            <v>353</v>
          </cell>
          <cell r="S217">
            <v>518</v>
          </cell>
          <cell r="T217">
            <v>886</v>
          </cell>
        </row>
        <row r="218">
          <cell r="C218" t="str">
            <v>Census Tract 258.03, King County, Washington</v>
          </cell>
          <cell r="D218">
            <v>455</v>
          </cell>
          <cell r="E218">
            <v>141</v>
          </cell>
          <cell r="F218">
            <v>116</v>
          </cell>
          <cell r="G218">
            <v>14</v>
          </cell>
          <cell r="H218">
            <v>0</v>
          </cell>
          <cell r="I218">
            <v>0</v>
          </cell>
          <cell r="J218">
            <v>0</v>
          </cell>
          <cell r="K218">
            <v>14</v>
          </cell>
          <cell r="L218">
            <v>11</v>
          </cell>
          <cell r="M218">
            <v>0</v>
          </cell>
          <cell r="N218">
            <v>0</v>
          </cell>
          <cell r="O218">
            <v>11</v>
          </cell>
          <cell r="P218">
            <v>314</v>
          </cell>
          <cell r="Q218">
            <v>190</v>
          </cell>
          <cell r="R218">
            <v>124</v>
          </cell>
          <cell r="S218">
            <v>130</v>
          </cell>
          <cell r="T218">
            <v>325</v>
          </cell>
        </row>
        <row r="219">
          <cell r="C219" t="str">
            <v>Census Tract 258.04, King County, Washington</v>
          </cell>
          <cell r="D219">
            <v>451</v>
          </cell>
          <cell r="E219">
            <v>119</v>
          </cell>
          <cell r="F219">
            <v>94</v>
          </cell>
          <cell r="G219">
            <v>8</v>
          </cell>
          <cell r="H219">
            <v>0</v>
          </cell>
          <cell r="I219">
            <v>0</v>
          </cell>
          <cell r="J219">
            <v>0</v>
          </cell>
          <cell r="K219">
            <v>8</v>
          </cell>
          <cell r="L219">
            <v>17</v>
          </cell>
          <cell r="M219">
            <v>0</v>
          </cell>
          <cell r="N219">
            <v>0</v>
          </cell>
          <cell r="O219">
            <v>17</v>
          </cell>
          <cell r="P219">
            <v>332</v>
          </cell>
          <cell r="Q219">
            <v>229</v>
          </cell>
          <cell r="R219">
            <v>103</v>
          </cell>
          <cell r="S219">
            <v>102</v>
          </cell>
          <cell r="T219">
            <v>349</v>
          </cell>
        </row>
        <row r="220">
          <cell r="C220" t="str">
            <v>Census Tract 260.01, King County, Washington</v>
          </cell>
          <cell r="D220">
            <v>1130</v>
          </cell>
          <cell r="E220">
            <v>533</v>
          </cell>
          <cell r="F220">
            <v>432</v>
          </cell>
          <cell r="G220">
            <v>76</v>
          </cell>
          <cell r="H220">
            <v>0</v>
          </cell>
          <cell r="I220">
            <v>7</v>
          </cell>
          <cell r="J220">
            <v>10</v>
          </cell>
          <cell r="K220">
            <v>59</v>
          </cell>
          <cell r="L220">
            <v>25</v>
          </cell>
          <cell r="M220">
            <v>0</v>
          </cell>
          <cell r="N220">
            <v>0</v>
          </cell>
          <cell r="O220">
            <v>25</v>
          </cell>
          <cell r="P220">
            <v>597</v>
          </cell>
          <cell r="Q220">
            <v>396</v>
          </cell>
          <cell r="R220">
            <v>201</v>
          </cell>
          <cell r="S220">
            <v>508</v>
          </cell>
          <cell r="T220">
            <v>622</v>
          </cell>
        </row>
        <row r="221">
          <cell r="C221" t="str">
            <v>Census Tract 260.02, King County, Washington</v>
          </cell>
          <cell r="D221">
            <v>1083</v>
          </cell>
          <cell r="E221">
            <v>379</v>
          </cell>
          <cell r="F221">
            <v>264</v>
          </cell>
          <cell r="G221">
            <v>101</v>
          </cell>
          <cell r="H221">
            <v>42</v>
          </cell>
          <cell r="I221">
            <v>0</v>
          </cell>
          <cell r="J221">
            <v>0</v>
          </cell>
          <cell r="K221">
            <v>59</v>
          </cell>
          <cell r="L221">
            <v>14</v>
          </cell>
          <cell r="M221">
            <v>0</v>
          </cell>
          <cell r="N221">
            <v>0</v>
          </cell>
          <cell r="O221">
            <v>14</v>
          </cell>
          <cell r="P221">
            <v>704</v>
          </cell>
          <cell r="Q221">
            <v>480</v>
          </cell>
          <cell r="R221">
            <v>224</v>
          </cell>
          <cell r="S221">
            <v>365</v>
          </cell>
          <cell r="T221">
            <v>718</v>
          </cell>
        </row>
        <row r="222">
          <cell r="C222" t="str">
            <v>Census Tract 261, King County, Washington</v>
          </cell>
          <cell r="D222">
            <v>1324</v>
          </cell>
          <cell r="E222">
            <v>482</v>
          </cell>
          <cell r="F222">
            <v>364</v>
          </cell>
          <cell r="G222">
            <v>107</v>
          </cell>
          <cell r="H222">
            <v>10</v>
          </cell>
          <cell r="I222">
            <v>0</v>
          </cell>
          <cell r="J222">
            <v>8</v>
          </cell>
          <cell r="K222">
            <v>89</v>
          </cell>
          <cell r="L222">
            <v>11</v>
          </cell>
          <cell r="M222">
            <v>0</v>
          </cell>
          <cell r="N222">
            <v>0</v>
          </cell>
          <cell r="O222">
            <v>11</v>
          </cell>
          <cell r="P222">
            <v>842</v>
          </cell>
          <cell r="Q222">
            <v>454</v>
          </cell>
          <cell r="R222">
            <v>388</v>
          </cell>
          <cell r="S222">
            <v>471</v>
          </cell>
          <cell r="T222">
            <v>853</v>
          </cell>
        </row>
        <row r="223">
          <cell r="C223" t="str">
            <v>Census Tract 262, King County, Washington</v>
          </cell>
          <cell r="D223">
            <v>511</v>
          </cell>
          <cell r="E223">
            <v>164</v>
          </cell>
          <cell r="F223">
            <v>88</v>
          </cell>
          <cell r="G223">
            <v>76</v>
          </cell>
          <cell r="H223">
            <v>20</v>
          </cell>
          <cell r="I223">
            <v>33</v>
          </cell>
          <cell r="J223">
            <v>0</v>
          </cell>
          <cell r="K223">
            <v>23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347</v>
          </cell>
          <cell r="Q223">
            <v>133</v>
          </cell>
          <cell r="R223">
            <v>214</v>
          </cell>
          <cell r="S223">
            <v>164</v>
          </cell>
          <cell r="T223">
            <v>347</v>
          </cell>
        </row>
        <row r="224">
          <cell r="C224" t="str">
            <v>Census Tract 263, King County, Washington</v>
          </cell>
          <cell r="D224">
            <v>270</v>
          </cell>
          <cell r="E224">
            <v>77</v>
          </cell>
          <cell r="F224">
            <v>52</v>
          </cell>
          <cell r="G224">
            <v>13</v>
          </cell>
          <cell r="H224">
            <v>0</v>
          </cell>
          <cell r="I224">
            <v>0</v>
          </cell>
          <cell r="J224">
            <v>0</v>
          </cell>
          <cell r="K224">
            <v>13</v>
          </cell>
          <cell r="L224">
            <v>12</v>
          </cell>
          <cell r="M224">
            <v>0</v>
          </cell>
          <cell r="N224">
            <v>0</v>
          </cell>
          <cell r="O224">
            <v>12</v>
          </cell>
          <cell r="P224">
            <v>193</v>
          </cell>
          <cell r="Q224">
            <v>35</v>
          </cell>
          <cell r="R224">
            <v>158</v>
          </cell>
          <cell r="S224">
            <v>65</v>
          </cell>
          <cell r="T224">
            <v>205</v>
          </cell>
        </row>
        <row r="225">
          <cell r="C225" t="str">
            <v>Census Tract 264, King County, Washington</v>
          </cell>
          <cell r="D225">
            <v>810</v>
          </cell>
          <cell r="E225">
            <v>287</v>
          </cell>
          <cell r="F225">
            <v>226</v>
          </cell>
          <cell r="G225">
            <v>49</v>
          </cell>
          <cell r="H225">
            <v>0</v>
          </cell>
          <cell r="I225">
            <v>9</v>
          </cell>
          <cell r="J225">
            <v>18</v>
          </cell>
          <cell r="K225">
            <v>22</v>
          </cell>
          <cell r="L225">
            <v>12</v>
          </cell>
          <cell r="M225">
            <v>0</v>
          </cell>
          <cell r="N225">
            <v>0</v>
          </cell>
          <cell r="O225">
            <v>12</v>
          </cell>
          <cell r="P225">
            <v>523</v>
          </cell>
          <cell r="Q225">
            <v>218</v>
          </cell>
          <cell r="R225">
            <v>305</v>
          </cell>
          <cell r="S225">
            <v>275</v>
          </cell>
          <cell r="T225">
            <v>535</v>
          </cell>
        </row>
        <row r="226">
          <cell r="C226" t="str">
            <v>Census Tract 265, King County, Washington</v>
          </cell>
          <cell r="D226">
            <v>989</v>
          </cell>
          <cell r="E226">
            <v>223</v>
          </cell>
          <cell r="F226">
            <v>215</v>
          </cell>
          <cell r="G226">
            <v>8</v>
          </cell>
          <cell r="H226">
            <v>0</v>
          </cell>
          <cell r="I226">
            <v>0</v>
          </cell>
          <cell r="J226">
            <v>0</v>
          </cell>
          <cell r="K226">
            <v>8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766</v>
          </cell>
          <cell r="Q226">
            <v>306</v>
          </cell>
          <cell r="R226">
            <v>460</v>
          </cell>
          <cell r="S226">
            <v>223</v>
          </cell>
          <cell r="T226">
            <v>766</v>
          </cell>
        </row>
        <row r="227">
          <cell r="C227" t="str">
            <v>Census Tract 266, King County, Washington</v>
          </cell>
          <cell r="D227">
            <v>588</v>
          </cell>
          <cell r="E227">
            <v>172</v>
          </cell>
          <cell r="F227">
            <v>139</v>
          </cell>
          <cell r="G227">
            <v>33</v>
          </cell>
          <cell r="H227">
            <v>0</v>
          </cell>
          <cell r="I227">
            <v>0</v>
          </cell>
          <cell r="J227">
            <v>5</v>
          </cell>
          <cell r="K227">
            <v>28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416</v>
          </cell>
          <cell r="Q227">
            <v>230</v>
          </cell>
          <cell r="R227">
            <v>186</v>
          </cell>
          <cell r="S227">
            <v>172</v>
          </cell>
          <cell r="T227">
            <v>416</v>
          </cell>
        </row>
        <row r="228">
          <cell r="C228" t="str">
            <v>Census Tract 267, King County, Washington</v>
          </cell>
          <cell r="D228">
            <v>591</v>
          </cell>
          <cell r="E228">
            <v>267</v>
          </cell>
          <cell r="F228">
            <v>221</v>
          </cell>
          <cell r="G228">
            <v>26</v>
          </cell>
          <cell r="H228">
            <v>0</v>
          </cell>
          <cell r="I228">
            <v>0</v>
          </cell>
          <cell r="J228">
            <v>0</v>
          </cell>
          <cell r="K228">
            <v>26</v>
          </cell>
          <cell r="L228">
            <v>20</v>
          </cell>
          <cell r="M228">
            <v>0</v>
          </cell>
          <cell r="N228">
            <v>0</v>
          </cell>
          <cell r="O228">
            <v>20</v>
          </cell>
          <cell r="P228">
            <v>324</v>
          </cell>
          <cell r="Q228">
            <v>78</v>
          </cell>
          <cell r="R228">
            <v>246</v>
          </cell>
          <cell r="S228">
            <v>247</v>
          </cell>
          <cell r="T228">
            <v>344</v>
          </cell>
        </row>
        <row r="229">
          <cell r="C229" t="str">
            <v>Census Tract 268.01, King County, Washington</v>
          </cell>
          <cell r="D229">
            <v>927</v>
          </cell>
          <cell r="E229">
            <v>197</v>
          </cell>
          <cell r="F229">
            <v>183</v>
          </cell>
          <cell r="G229">
            <v>7</v>
          </cell>
          <cell r="H229">
            <v>0</v>
          </cell>
          <cell r="I229">
            <v>0</v>
          </cell>
          <cell r="J229">
            <v>7</v>
          </cell>
          <cell r="K229">
            <v>0</v>
          </cell>
          <cell r="L229">
            <v>7</v>
          </cell>
          <cell r="M229">
            <v>0</v>
          </cell>
          <cell r="N229">
            <v>0</v>
          </cell>
          <cell r="O229">
            <v>7</v>
          </cell>
          <cell r="P229">
            <v>730</v>
          </cell>
          <cell r="Q229">
            <v>236</v>
          </cell>
          <cell r="R229">
            <v>494</v>
          </cell>
          <cell r="S229">
            <v>190</v>
          </cell>
          <cell r="T229">
            <v>737</v>
          </cell>
        </row>
        <row r="230">
          <cell r="C230" t="str">
            <v>Census Tract 268.02, King County, Washington</v>
          </cell>
          <cell r="D230">
            <v>1201</v>
          </cell>
          <cell r="E230">
            <v>351</v>
          </cell>
          <cell r="F230">
            <v>272</v>
          </cell>
          <cell r="G230">
            <v>71</v>
          </cell>
          <cell r="H230">
            <v>0</v>
          </cell>
          <cell r="I230">
            <v>0</v>
          </cell>
          <cell r="J230">
            <v>8</v>
          </cell>
          <cell r="K230">
            <v>63</v>
          </cell>
          <cell r="L230">
            <v>8</v>
          </cell>
          <cell r="M230">
            <v>0</v>
          </cell>
          <cell r="N230">
            <v>0</v>
          </cell>
          <cell r="O230">
            <v>8</v>
          </cell>
          <cell r="P230">
            <v>850</v>
          </cell>
          <cell r="Q230">
            <v>356</v>
          </cell>
          <cell r="R230">
            <v>494</v>
          </cell>
          <cell r="S230">
            <v>343</v>
          </cell>
          <cell r="T230">
            <v>858</v>
          </cell>
        </row>
        <row r="231">
          <cell r="C231" t="str">
            <v>Census Tract 269, King County, Washington</v>
          </cell>
          <cell r="D231">
            <v>192</v>
          </cell>
          <cell r="E231">
            <v>84</v>
          </cell>
          <cell r="F231">
            <v>75</v>
          </cell>
          <cell r="G231">
            <v>9</v>
          </cell>
          <cell r="H231">
            <v>0</v>
          </cell>
          <cell r="I231">
            <v>0</v>
          </cell>
          <cell r="J231">
            <v>0</v>
          </cell>
          <cell r="K231">
            <v>9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108</v>
          </cell>
          <cell r="Q231">
            <v>75</v>
          </cell>
          <cell r="R231">
            <v>33</v>
          </cell>
          <cell r="S231">
            <v>84</v>
          </cell>
          <cell r="T231">
            <v>108</v>
          </cell>
        </row>
        <row r="232">
          <cell r="C232" t="str">
            <v>Census Tract 270, King County, Washington</v>
          </cell>
          <cell r="D232">
            <v>365</v>
          </cell>
          <cell r="E232">
            <v>88</v>
          </cell>
          <cell r="F232">
            <v>88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277</v>
          </cell>
          <cell r="Q232">
            <v>177</v>
          </cell>
          <cell r="R232">
            <v>100</v>
          </cell>
          <cell r="S232">
            <v>88</v>
          </cell>
          <cell r="T232">
            <v>277</v>
          </cell>
        </row>
        <row r="233">
          <cell r="C233" t="str">
            <v>Census Tract 271, King County, Washington</v>
          </cell>
          <cell r="D233">
            <v>279</v>
          </cell>
          <cell r="E233">
            <v>130</v>
          </cell>
          <cell r="F233">
            <v>101</v>
          </cell>
          <cell r="G233">
            <v>29</v>
          </cell>
          <cell r="H233">
            <v>4</v>
          </cell>
          <cell r="I233">
            <v>0</v>
          </cell>
          <cell r="J233">
            <v>8</v>
          </cell>
          <cell r="K233">
            <v>17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149</v>
          </cell>
          <cell r="Q233">
            <v>66</v>
          </cell>
          <cell r="R233">
            <v>83</v>
          </cell>
          <cell r="S233">
            <v>130</v>
          </cell>
          <cell r="T233">
            <v>149</v>
          </cell>
        </row>
        <row r="234">
          <cell r="C234" t="str">
            <v>Census Tract 272, King County, Washington</v>
          </cell>
          <cell r="D234">
            <v>253</v>
          </cell>
          <cell r="E234">
            <v>78</v>
          </cell>
          <cell r="F234">
            <v>61</v>
          </cell>
          <cell r="G234">
            <v>17</v>
          </cell>
          <cell r="H234">
            <v>0</v>
          </cell>
          <cell r="I234">
            <v>2</v>
          </cell>
          <cell r="J234">
            <v>7</v>
          </cell>
          <cell r="K234">
            <v>8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175</v>
          </cell>
          <cell r="Q234">
            <v>100</v>
          </cell>
          <cell r="R234">
            <v>75</v>
          </cell>
          <cell r="S234">
            <v>78</v>
          </cell>
          <cell r="T234">
            <v>175</v>
          </cell>
        </row>
        <row r="235">
          <cell r="C235" t="str">
            <v>Census Tract 273, King County, Washington</v>
          </cell>
          <cell r="D235">
            <v>584</v>
          </cell>
          <cell r="E235">
            <v>172</v>
          </cell>
          <cell r="F235">
            <v>147</v>
          </cell>
          <cell r="G235">
            <v>18</v>
          </cell>
          <cell r="H235">
            <v>4</v>
          </cell>
          <cell r="I235">
            <v>0</v>
          </cell>
          <cell r="J235">
            <v>6</v>
          </cell>
          <cell r="K235">
            <v>8</v>
          </cell>
          <cell r="L235">
            <v>7</v>
          </cell>
          <cell r="M235">
            <v>0</v>
          </cell>
          <cell r="N235">
            <v>0</v>
          </cell>
          <cell r="O235">
            <v>7</v>
          </cell>
          <cell r="P235">
            <v>412</v>
          </cell>
          <cell r="Q235">
            <v>208</v>
          </cell>
          <cell r="R235">
            <v>204</v>
          </cell>
          <cell r="S235">
            <v>165</v>
          </cell>
          <cell r="T235">
            <v>419</v>
          </cell>
        </row>
        <row r="236">
          <cell r="C236" t="str">
            <v>Census Tract 274, King County, Washington</v>
          </cell>
          <cell r="D236">
            <v>771</v>
          </cell>
          <cell r="E236">
            <v>282</v>
          </cell>
          <cell r="F236">
            <v>153</v>
          </cell>
          <cell r="G236">
            <v>98</v>
          </cell>
          <cell r="H236">
            <v>25</v>
          </cell>
          <cell r="I236">
            <v>35</v>
          </cell>
          <cell r="J236">
            <v>3</v>
          </cell>
          <cell r="K236">
            <v>35</v>
          </cell>
          <cell r="L236">
            <v>31</v>
          </cell>
          <cell r="M236">
            <v>0</v>
          </cell>
          <cell r="N236">
            <v>0</v>
          </cell>
          <cell r="O236">
            <v>31</v>
          </cell>
          <cell r="P236">
            <v>489</v>
          </cell>
          <cell r="Q236">
            <v>263</v>
          </cell>
          <cell r="R236">
            <v>226</v>
          </cell>
          <cell r="S236">
            <v>251</v>
          </cell>
          <cell r="T236">
            <v>520</v>
          </cell>
        </row>
        <row r="237">
          <cell r="C237" t="str">
            <v>Census Tract 275, King County, Washington</v>
          </cell>
          <cell r="D237">
            <v>300</v>
          </cell>
          <cell r="E237">
            <v>76</v>
          </cell>
          <cell r="F237">
            <v>47</v>
          </cell>
          <cell r="G237">
            <v>9</v>
          </cell>
          <cell r="H237">
            <v>0</v>
          </cell>
          <cell r="I237">
            <v>0</v>
          </cell>
          <cell r="J237">
            <v>0</v>
          </cell>
          <cell r="K237">
            <v>9</v>
          </cell>
          <cell r="L237">
            <v>20</v>
          </cell>
          <cell r="M237">
            <v>0</v>
          </cell>
          <cell r="N237">
            <v>10</v>
          </cell>
          <cell r="O237">
            <v>10</v>
          </cell>
          <cell r="P237">
            <v>224</v>
          </cell>
          <cell r="Q237">
            <v>104</v>
          </cell>
          <cell r="R237">
            <v>120</v>
          </cell>
          <cell r="S237">
            <v>56</v>
          </cell>
          <cell r="T237">
            <v>244</v>
          </cell>
        </row>
        <row r="238">
          <cell r="C238" t="str">
            <v>Census Tract 276, King County, Washington</v>
          </cell>
          <cell r="D238">
            <v>130</v>
          </cell>
          <cell r="E238">
            <v>61</v>
          </cell>
          <cell r="F238">
            <v>47</v>
          </cell>
          <cell r="G238">
            <v>14</v>
          </cell>
          <cell r="H238">
            <v>0</v>
          </cell>
          <cell r="I238">
            <v>0</v>
          </cell>
          <cell r="J238">
            <v>0</v>
          </cell>
          <cell r="K238">
            <v>14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69</v>
          </cell>
          <cell r="Q238">
            <v>51</v>
          </cell>
          <cell r="R238">
            <v>18</v>
          </cell>
          <cell r="S238">
            <v>61</v>
          </cell>
          <cell r="T238">
            <v>69</v>
          </cell>
        </row>
        <row r="239">
          <cell r="C239" t="str">
            <v>Census Tract 277.01, King County, Washington</v>
          </cell>
          <cell r="D239">
            <v>90</v>
          </cell>
          <cell r="E239">
            <v>18</v>
          </cell>
          <cell r="F239">
            <v>10</v>
          </cell>
          <cell r="G239">
            <v>8</v>
          </cell>
          <cell r="H239">
            <v>8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72</v>
          </cell>
          <cell r="Q239">
            <v>0</v>
          </cell>
          <cell r="R239">
            <v>72</v>
          </cell>
          <cell r="S239">
            <v>18</v>
          </cell>
          <cell r="T239">
            <v>72</v>
          </cell>
        </row>
        <row r="240">
          <cell r="C240" t="str">
            <v>Census Tract 277.02, King County, Washington</v>
          </cell>
          <cell r="D240">
            <v>36</v>
          </cell>
          <cell r="E240">
            <v>8</v>
          </cell>
          <cell r="F240">
            <v>4</v>
          </cell>
          <cell r="G240">
            <v>4</v>
          </cell>
          <cell r="H240">
            <v>4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28</v>
          </cell>
          <cell r="Q240">
            <v>23</v>
          </cell>
          <cell r="R240">
            <v>5</v>
          </cell>
          <cell r="S240">
            <v>8</v>
          </cell>
          <cell r="T240">
            <v>28</v>
          </cell>
        </row>
        <row r="241">
          <cell r="C241" t="str">
            <v>Census Tract 278, King County, Washington</v>
          </cell>
          <cell r="D241">
            <v>83</v>
          </cell>
          <cell r="E241">
            <v>26</v>
          </cell>
          <cell r="F241">
            <v>13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13</v>
          </cell>
          <cell r="M241">
            <v>0</v>
          </cell>
          <cell r="N241">
            <v>0</v>
          </cell>
          <cell r="O241">
            <v>13</v>
          </cell>
          <cell r="P241">
            <v>57</v>
          </cell>
          <cell r="Q241">
            <v>57</v>
          </cell>
          <cell r="R241">
            <v>0</v>
          </cell>
          <cell r="S241">
            <v>13</v>
          </cell>
          <cell r="T241">
            <v>70</v>
          </cell>
        </row>
        <row r="242">
          <cell r="C242" t="str">
            <v>Census Tract 279, King County, Washington</v>
          </cell>
          <cell r="D242">
            <v>269</v>
          </cell>
          <cell r="E242">
            <v>54</v>
          </cell>
          <cell r="F242">
            <v>36</v>
          </cell>
          <cell r="G242">
            <v>9</v>
          </cell>
          <cell r="H242">
            <v>0</v>
          </cell>
          <cell r="I242">
            <v>0</v>
          </cell>
          <cell r="J242">
            <v>0</v>
          </cell>
          <cell r="K242">
            <v>9</v>
          </cell>
          <cell r="L242">
            <v>9</v>
          </cell>
          <cell r="M242">
            <v>0</v>
          </cell>
          <cell r="N242">
            <v>0</v>
          </cell>
          <cell r="O242">
            <v>9</v>
          </cell>
          <cell r="P242">
            <v>215</v>
          </cell>
          <cell r="Q242">
            <v>96</v>
          </cell>
          <cell r="R242">
            <v>119</v>
          </cell>
          <cell r="S242">
            <v>45</v>
          </cell>
          <cell r="T242">
            <v>224</v>
          </cell>
        </row>
        <row r="243">
          <cell r="C243" t="str">
            <v>Census Tract 280, King County, Washington</v>
          </cell>
          <cell r="D243">
            <v>267</v>
          </cell>
          <cell r="E243">
            <v>116</v>
          </cell>
          <cell r="F243">
            <v>79</v>
          </cell>
          <cell r="G243">
            <v>37</v>
          </cell>
          <cell r="H243">
            <v>0</v>
          </cell>
          <cell r="I243">
            <v>8</v>
          </cell>
          <cell r="J243">
            <v>0</v>
          </cell>
          <cell r="K243">
            <v>29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151</v>
          </cell>
          <cell r="Q243">
            <v>66</v>
          </cell>
          <cell r="R243">
            <v>85</v>
          </cell>
          <cell r="S243">
            <v>116</v>
          </cell>
          <cell r="T243">
            <v>151</v>
          </cell>
        </row>
        <row r="244">
          <cell r="C244" t="str">
            <v>Census Tract 281, King County, Washington</v>
          </cell>
          <cell r="D244">
            <v>348</v>
          </cell>
          <cell r="E244">
            <v>119</v>
          </cell>
          <cell r="F244">
            <v>102</v>
          </cell>
          <cell r="G244">
            <v>11</v>
          </cell>
          <cell r="H244">
            <v>2</v>
          </cell>
          <cell r="I244">
            <v>9</v>
          </cell>
          <cell r="J244">
            <v>0</v>
          </cell>
          <cell r="K244">
            <v>0</v>
          </cell>
          <cell r="L244">
            <v>6</v>
          </cell>
          <cell r="M244">
            <v>0</v>
          </cell>
          <cell r="N244">
            <v>0</v>
          </cell>
          <cell r="O244">
            <v>6</v>
          </cell>
          <cell r="P244">
            <v>229</v>
          </cell>
          <cell r="Q244">
            <v>110</v>
          </cell>
          <cell r="R244">
            <v>119</v>
          </cell>
          <cell r="S244">
            <v>113</v>
          </cell>
          <cell r="T244">
            <v>235</v>
          </cell>
        </row>
        <row r="245">
          <cell r="C245" t="str">
            <v>Census Tract 282, King County, Washington</v>
          </cell>
          <cell r="D245">
            <v>481</v>
          </cell>
          <cell r="E245">
            <v>134</v>
          </cell>
          <cell r="F245">
            <v>82</v>
          </cell>
          <cell r="G245">
            <v>42</v>
          </cell>
          <cell r="H245">
            <v>0</v>
          </cell>
          <cell r="I245">
            <v>0</v>
          </cell>
          <cell r="J245">
            <v>18</v>
          </cell>
          <cell r="K245">
            <v>24</v>
          </cell>
          <cell r="L245">
            <v>10</v>
          </cell>
          <cell r="M245">
            <v>0</v>
          </cell>
          <cell r="N245">
            <v>0</v>
          </cell>
          <cell r="O245">
            <v>10</v>
          </cell>
          <cell r="P245">
            <v>347</v>
          </cell>
          <cell r="Q245">
            <v>241</v>
          </cell>
          <cell r="R245">
            <v>106</v>
          </cell>
          <cell r="S245">
            <v>124</v>
          </cell>
          <cell r="T245">
            <v>357</v>
          </cell>
        </row>
        <row r="246">
          <cell r="C246" t="str">
            <v>Census Tract 283, King County, Washington</v>
          </cell>
          <cell r="D246">
            <v>365</v>
          </cell>
          <cell r="E246">
            <v>82</v>
          </cell>
          <cell r="F246">
            <v>46</v>
          </cell>
          <cell r="G246">
            <v>30</v>
          </cell>
          <cell r="H246">
            <v>9</v>
          </cell>
          <cell r="I246">
            <v>16</v>
          </cell>
          <cell r="J246">
            <v>0</v>
          </cell>
          <cell r="K246">
            <v>5</v>
          </cell>
          <cell r="L246">
            <v>6</v>
          </cell>
          <cell r="M246">
            <v>0</v>
          </cell>
          <cell r="N246">
            <v>0</v>
          </cell>
          <cell r="O246">
            <v>6</v>
          </cell>
          <cell r="P246">
            <v>283</v>
          </cell>
          <cell r="Q246">
            <v>187</v>
          </cell>
          <cell r="R246">
            <v>96</v>
          </cell>
          <cell r="S246">
            <v>76</v>
          </cell>
          <cell r="T246">
            <v>289</v>
          </cell>
        </row>
        <row r="247">
          <cell r="C247" t="str">
            <v>Census Tract 284.02, King County, Washington</v>
          </cell>
          <cell r="D247">
            <v>552</v>
          </cell>
          <cell r="E247">
            <v>149</v>
          </cell>
          <cell r="F247">
            <v>102</v>
          </cell>
          <cell r="G247">
            <v>8</v>
          </cell>
          <cell r="H247">
            <v>0</v>
          </cell>
          <cell r="I247">
            <v>0</v>
          </cell>
          <cell r="J247">
            <v>0</v>
          </cell>
          <cell r="K247">
            <v>8</v>
          </cell>
          <cell r="L247">
            <v>39</v>
          </cell>
          <cell r="M247">
            <v>0</v>
          </cell>
          <cell r="N247">
            <v>0</v>
          </cell>
          <cell r="O247">
            <v>39</v>
          </cell>
          <cell r="P247">
            <v>403</v>
          </cell>
          <cell r="Q247">
            <v>160</v>
          </cell>
          <cell r="R247">
            <v>243</v>
          </cell>
          <cell r="S247">
            <v>110</v>
          </cell>
          <cell r="T247">
            <v>442</v>
          </cell>
        </row>
        <row r="248">
          <cell r="C248" t="str">
            <v>Census Tract 284.03, King County, Washington</v>
          </cell>
          <cell r="D248">
            <v>558</v>
          </cell>
          <cell r="E248">
            <v>157</v>
          </cell>
          <cell r="F248">
            <v>79</v>
          </cell>
          <cell r="G248">
            <v>32</v>
          </cell>
          <cell r="H248">
            <v>5</v>
          </cell>
          <cell r="I248">
            <v>14</v>
          </cell>
          <cell r="J248">
            <v>6</v>
          </cell>
          <cell r="K248">
            <v>7</v>
          </cell>
          <cell r="L248">
            <v>46</v>
          </cell>
          <cell r="M248">
            <v>0</v>
          </cell>
          <cell r="N248">
            <v>0</v>
          </cell>
          <cell r="O248">
            <v>46</v>
          </cell>
          <cell r="P248">
            <v>401</v>
          </cell>
          <cell r="Q248">
            <v>190</v>
          </cell>
          <cell r="R248">
            <v>211</v>
          </cell>
          <cell r="S248">
            <v>111</v>
          </cell>
          <cell r="T248">
            <v>447</v>
          </cell>
        </row>
        <row r="249">
          <cell r="C249" t="str">
            <v>Census Tract 285, King County, Washington</v>
          </cell>
          <cell r="D249">
            <v>410</v>
          </cell>
          <cell r="E249">
            <v>144</v>
          </cell>
          <cell r="F249">
            <v>127</v>
          </cell>
          <cell r="G249">
            <v>17</v>
          </cell>
          <cell r="H249">
            <v>17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266</v>
          </cell>
          <cell r="Q249">
            <v>188</v>
          </cell>
          <cell r="R249">
            <v>78</v>
          </cell>
          <cell r="S249">
            <v>144</v>
          </cell>
          <cell r="T249">
            <v>266</v>
          </cell>
        </row>
        <row r="250">
          <cell r="C250" t="str">
            <v>Census Tract 286, King County, Washington</v>
          </cell>
          <cell r="D250">
            <v>386</v>
          </cell>
          <cell r="E250">
            <v>144</v>
          </cell>
          <cell r="F250">
            <v>88</v>
          </cell>
          <cell r="G250">
            <v>33</v>
          </cell>
          <cell r="H250">
            <v>0</v>
          </cell>
          <cell r="I250">
            <v>0</v>
          </cell>
          <cell r="J250">
            <v>9</v>
          </cell>
          <cell r="K250">
            <v>24</v>
          </cell>
          <cell r="L250">
            <v>23</v>
          </cell>
          <cell r="M250">
            <v>0</v>
          </cell>
          <cell r="N250">
            <v>5</v>
          </cell>
          <cell r="O250">
            <v>18</v>
          </cell>
          <cell r="P250">
            <v>242</v>
          </cell>
          <cell r="Q250">
            <v>159</v>
          </cell>
          <cell r="R250">
            <v>83</v>
          </cell>
          <cell r="S250">
            <v>121</v>
          </cell>
          <cell r="T250">
            <v>265</v>
          </cell>
        </row>
        <row r="251">
          <cell r="C251" t="str">
            <v>Census Tract 287, King County, Washington</v>
          </cell>
          <cell r="D251">
            <v>287</v>
          </cell>
          <cell r="E251">
            <v>124</v>
          </cell>
          <cell r="F251">
            <v>94</v>
          </cell>
          <cell r="G251">
            <v>30</v>
          </cell>
          <cell r="H251">
            <v>0</v>
          </cell>
          <cell r="I251">
            <v>0</v>
          </cell>
          <cell r="J251">
            <v>4</v>
          </cell>
          <cell r="K251">
            <v>26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163</v>
          </cell>
          <cell r="Q251">
            <v>102</v>
          </cell>
          <cell r="R251">
            <v>61</v>
          </cell>
          <cell r="S251">
            <v>124</v>
          </cell>
          <cell r="T251">
            <v>163</v>
          </cell>
        </row>
        <row r="252">
          <cell r="C252" t="str">
            <v>Census Tract 288.01, King County, Washington</v>
          </cell>
          <cell r="D252">
            <v>288</v>
          </cell>
          <cell r="E252">
            <v>193</v>
          </cell>
          <cell r="F252">
            <v>33</v>
          </cell>
          <cell r="G252">
            <v>160</v>
          </cell>
          <cell r="H252">
            <v>7</v>
          </cell>
          <cell r="I252">
            <v>19</v>
          </cell>
          <cell r="J252">
            <v>11</v>
          </cell>
          <cell r="K252">
            <v>123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95</v>
          </cell>
          <cell r="Q252">
            <v>60</v>
          </cell>
          <cell r="R252">
            <v>35</v>
          </cell>
          <cell r="S252">
            <v>193</v>
          </cell>
          <cell r="T252">
            <v>95</v>
          </cell>
        </row>
        <row r="253">
          <cell r="C253" t="str">
            <v>Census Tract 288.02, King County, Washington</v>
          </cell>
          <cell r="D253">
            <v>568</v>
          </cell>
          <cell r="E253">
            <v>140</v>
          </cell>
          <cell r="F253">
            <v>125</v>
          </cell>
          <cell r="G253">
            <v>15</v>
          </cell>
          <cell r="H253">
            <v>0</v>
          </cell>
          <cell r="I253">
            <v>0</v>
          </cell>
          <cell r="J253">
            <v>0</v>
          </cell>
          <cell r="K253">
            <v>15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428</v>
          </cell>
          <cell r="Q253">
            <v>218</v>
          </cell>
          <cell r="R253">
            <v>210</v>
          </cell>
          <cell r="S253">
            <v>140</v>
          </cell>
          <cell r="T253">
            <v>428</v>
          </cell>
        </row>
        <row r="254">
          <cell r="C254" t="str">
            <v>Census Tract 289.01, King County, Washington</v>
          </cell>
          <cell r="D254">
            <v>219</v>
          </cell>
          <cell r="E254">
            <v>102</v>
          </cell>
          <cell r="F254">
            <v>67</v>
          </cell>
          <cell r="G254">
            <v>35</v>
          </cell>
          <cell r="H254">
            <v>0</v>
          </cell>
          <cell r="I254">
            <v>0</v>
          </cell>
          <cell r="J254">
            <v>9</v>
          </cell>
          <cell r="K254">
            <v>26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117</v>
          </cell>
          <cell r="Q254">
            <v>62</v>
          </cell>
          <cell r="R254">
            <v>55</v>
          </cell>
          <cell r="S254">
            <v>102</v>
          </cell>
          <cell r="T254">
            <v>117</v>
          </cell>
        </row>
        <row r="255">
          <cell r="C255" t="str">
            <v>Census Tract 289.02, King County, Washington</v>
          </cell>
          <cell r="D255">
            <v>716</v>
          </cell>
          <cell r="E255">
            <v>207</v>
          </cell>
          <cell r="F255">
            <v>108</v>
          </cell>
          <cell r="G255">
            <v>91</v>
          </cell>
          <cell r="H255">
            <v>6</v>
          </cell>
          <cell r="I255">
            <v>8</v>
          </cell>
          <cell r="J255">
            <v>12</v>
          </cell>
          <cell r="K255">
            <v>65</v>
          </cell>
          <cell r="L255">
            <v>8</v>
          </cell>
          <cell r="M255">
            <v>0</v>
          </cell>
          <cell r="N255">
            <v>0</v>
          </cell>
          <cell r="O255">
            <v>8</v>
          </cell>
          <cell r="P255">
            <v>509</v>
          </cell>
          <cell r="Q255">
            <v>181</v>
          </cell>
          <cell r="R255">
            <v>328</v>
          </cell>
          <cell r="S255">
            <v>199</v>
          </cell>
          <cell r="T255">
            <v>517</v>
          </cell>
        </row>
        <row r="256">
          <cell r="C256" t="str">
            <v>Census Tract 290.01, King County, Washington</v>
          </cell>
          <cell r="D256">
            <v>341</v>
          </cell>
          <cell r="E256">
            <v>142</v>
          </cell>
          <cell r="F256">
            <v>83</v>
          </cell>
          <cell r="G256">
            <v>59</v>
          </cell>
          <cell r="H256">
            <v>13</v>
          </cell>
          <cell r="I256">
            <v>0</v>
          </cell>
          <cell r="J256">
            <v>6</v>
          </cell>
          <cell r="K256">
            <v>40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199</v>
          </cell>
          <cell r="Q256">
            <v>101</v>
          </cell>
          <cell r="R256">
            <v>98</v>
          </cell>
          <cell r="S256">
            <v>142</v>
          </cell>
          <cell r="T256">
            <v>199</v>
          </cell>
        </row>
        <row r="257">
          <cell r="C257" t="str">
            <v>Census Tract 290.03, King County, Washington</v>
          </cell>
          <cell r="D257">
            <v>784</v>
          </cell>
          <cell r="E257">
            <v>249</v>
          </cell>
          <cell r="F257">
            <v>170</v>
          </cell>
          <cell r="G257">
            <v>59</v>
          </cell>
          <cell r="H257">
            <v>0</v>
          </cell>
          <cell r="I257">
            <v>28</v>
          </cell>
          <cell r="J257">
            <v>0</v>
          </cell>
          <cell r="K257">
            <v>31</v>
          </cell>
          <cell r="L257">
            <v>20</v>
          </cell>
          <cell r="M257">
            <v>0</v>
          </cell>
          <cell r="N257">
            <v>0</v>
          </cell>
          <cell r="O257">
            <v>20</v>
          </cell>
          <cell r="P257">
            <v>535</v>
          </cell>
          <cell r="Q257">
            <v>307</v>
          </cell>
          <cell r="R257">
            <v>228</v>
          </cell>
          <cell r="S257">
            <v>229</v>
          </cell>
          <cell r="T257">
            <v>555</v>
          </cell>
        </row>
        <row r="258">
          <cell r="C258" t="str">
            <v>Census Tract 290.04, King County, Washington</v>
          </cell>
          <cell r="D258">
            <v>429</v>
          </cell>
          <cell r="E258">
            <v>135</v>
          </cell>
          <cell r="F258">
            <v>122</v>
          </cell>
          <cell r="G258">
            <v>13</v>
          </cell>
          <cell r="H258">
            <v>0</v>
          </cell>
          <cell r="I258">
            <v>0</v>
          </cell>
          <cell r="J258">
            <v>0</v>
          </cell>
          <cell r="K258">
            <v>13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294</v>
          </cell>
          <cell r="Q258">
            <v>187</v>
          </cell>
          <cell r="R258">
            <v>107</v>
          </cell>
          <cell r="S258">
            <v>135</v>
          </cell>
          <cell r="T258">
            <v>294</v>
          </cell>
        </row>
        <row r="259">
          <cell r="C259" t="str">
            <v>Census Tract 291, King County, Washington</v>
          </cell>
          <cell r="D259">
            <v>375</v>
          </cell>
          <cell r="E259">
            <v>124</v>
          </cell>
          <cell r="F259">
            <v>78</v>
          </cell>
          <cell r="G259">
            <v>23</v>
          </cell>
          <cell r="H259">
            <v>0</v>
          </cell>
          <cell r="I259">
            <v>0</v>
          </cell>
          <cell r="J259">
            <v>12</v>
          </cell>
          <cell r="K259">
            <v>11</v>
          </cell>
          <cell r="L259">
            <v>23</v>
          </cell>
          <cell r="M259">
            <v>0</v>
          </cell>
          <cell r="N259">
            <v>0</v>
          </cell>
          <cell r="O259">
            <v>23</v>
          </cell>
          <cell r="P259">
            <v>251</v>
          </cell>
          <cell r="Q259">
            <v>79</v>
          </cell>
          <cell r="R259">
            <v>172</v>
          </cell>
          <cell r="S259">
            <v>101</v>
          </cell>
          <cell r="T259">
            <v>274</v>
          </cell>
        </row>
        <row r="260">
          <cell r="C260" t="str">
            <v>Census Tract 292.01, King County, Washington</v>
          </cell>
          <cell r="D260">
            <v>546</v>
          </cell>
          <cell r="E260">
            <v>213</v>
          </cell>
          <cell r="F260">
            <v>122</v>
          </cell>
          <cell r="G260">
            <v>77</v>
          </cell>
          <cell r="H260">
            <v>0</v>
          </cell>
          <cell r="I260">
            <v>7</v>
          </cell>
          <cell r="J260">
            <v>0</v>
          </cell>
          <cell r="K260">
            <v>70</v>
          </cell>
          <cell r="L260">
            <v>14</v>
          </cell>
          <cell r="M260">
            <v>0</v>
          </cell>
          <cell r="N260">
            <v>14</v>
          </cell>
          <cell r="O260">
            <v>0</v>
          </cell>
          <cell r="P260">
            <v>333</v>
          </cell>
          <cell r="Q260">
            <v>177</v>
          </cell>
          <cell r="R260">
            <v>156</v>
          </cell>
          <cell r="S260">
            <v>199</v>
          </cell>
          <cell r="T260">
            <v>347</v>
          </cell>
        </row>
        <row r="261">
          <cell r="C261" t="str">
            <v>Census Tract 292.03, King County, Washington</v>
          </cell>
          <cell r="D261">
            <v>251</v>
          </cell>
          <cell r="E261">
            <v>114</v>
          </cell>
          <cell r="F261">
            <v>43</v>
          </cell>
          <cell r="G261">
            <v>52</v>
          </cell>
          <cell r="H261">
            <v>0</v>
          </cell>
          <cell r="I261">
            <v>0</v>
          </cell>
          <cell r="J261">
            <v>0</v>
          </cell>
          <cell r="K261">
            <v>52</v>
          </cell>
          <cell r="L261">
            <v>19</v>
          </cell>
          <cell r="M261">
            <v>0</v>
          </cell>
          <cell r="N261">
            <v>0</v>
          </cell>
          <cell r="O261">
            <v>19</v>
          </cell>
          <cell r="P261">
            <v>137</v>
          </cell>
          <cell r="Q261">
            <v>100</v>
          </cell>
          <cell r="R261">
            <v>37</v>
          </cell>
          <cell r="S261">
            <v>95</v>
          </cell>
          <cell r="T261">
            <v>156</v>
          </cell>
        </row>
        <row r="262">
          <cell r="C262" t="str">
            <v>Census Tract 292.04, King County, Washington</v>
          </cell>
          <cell r="D262">
            <v>486</v>
          </cell>
          <cell r="E262">
            <v>183</v>
          </cell>
          <cell r="F262">
            <v>128</v>
          </cell>
          <cell r="G262">
            <v>55</v>
          </cell>
          <cell r="H262">
            <v>0</v>
          </cell>
          <cell r="I262">
            <v>0</v>
          </cell>
          <cell r="J262">
            <v>0</v>
          </cell>
          <cell r="K262">
            <v>55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303</v>
          </cell>
          <cell r="Q262">
            <v>182</v>
          </cell>
          <cell r="R262">
            <v>121</v>
          </cell>
          <cell r="S262">
            <v>183</v>
          </cell>
          <cell r="T262">
            <v>303</v>
          </cell>
        </row>
        <row r="263">
          <cell r="C263" t="str">
            <v>Census Tract 293.03, King County, Washington</v>
          </cell>
          <cell r="D263">
            <v>1057</v>
          </cell>
          <cell r="E263">
            <v>529</v>
          </cell>
          <cell r="F263">
            <v>353</v>
          </cell>
          <cell r="G263">
            <v>154</v>
          </cell>
          <cell r="H263">
            <v>11</v>
          </cell>
          <cell r="I263">
            <v>17</v>
          </cell>
          <cell r="J263">
            <v>8</v>
          </cell>
          <cell r="K263">
            <v>118</v>
          </cell>
          <cell r="L263">
            <v>22</v>
          </cell>
          <cell r="M263">
            <v>0</v>
          </cell>
          <cell r="N263">
            <v>0</v>
          </cell>
          <cell r="O263">
            <v>22</v>
          </cell>
          <cell r="P263">
            <v>528</v>
          </cell>
          <cell r="Q263">
            <v>341</v>
          </cell>
          <cell r="R263">
            <v>187</v>
          </cell>
          <cell r="S263">
            <v>507</v>
          </cell>
          <cell r="T263">
            <v>550</v>
          </cell>
        </row>
        <row r="264">
          <cell r="C264" t="str">
            <v>Census Tract 293.04, King County, Washington</v>
          </cell>
          <cell r="D264">
            <v>615</v>
          </cell>
          <cell r="E264">
            <v>201</v>
          </cell>
          <cell r="F264">
            <v>118</v>
          </cell>
          <cell r="G264">
            <v>64</v>
          </cell>
          <cell r="H264">
            <v>19</v>
          </cell>
          <cell r="I264">
            <v>0</v>
          </cell>
          <cell r="J264">
            <v>0</v>
          </cell>
          <cell r="K264">
            <v>45</v>
          </cell>
          <cell r="L264">
            <v>19</v>
          </cell>
          <cell r="M264">
            <v>0</v>
          </cell>
          <cell r="N264">
            <v>0</v>
          </cell>
          <cell r="O264">
            <v>19</v>
          </cell>
          <cell r="P264">
            <v>414</v>
          </cell>
          <cell r="Q264">
            <v>225</v>
          </cell>
          <cell r="R264">
            <v>189</v>
          </cell>
          <cell r="S264">
            <v>182</v>
          </cell>
          <cell r="T264">
            <v>433</v>
          </cell>
        </row>
        <row r="265">
          <cell r="C265" t="str">
            <v>Census Tract 293.05, King County, Washington</v>
          </cell>
          <cell r="D265">
            <v>516</v>
          </cell>
          <cell r="E265">
            <v>193</v>
          </cell>
          <cell r="F265">
            <v>180</v>
          </cell>
          <cell r="G265">
            <v>13</v>
          </cell>
          <cell r="H265">
            <v>0</v>
          </cell>
          <cell r="I265">
            <v>0</v>
          </cell>
          <cell r="J265">
            <v>0</v>
          </cell>
          <cell r="K265">
            <v>13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323</v>
          </cell>
          <cell r="Q265">
            <v>288</v>
          </cell>
          <cell r="R265">
            <v>35</v>
          </cell>
          <cell r="S265">
            <v>193</v>
          </cell>
          <cell r="T265">
            <v>323</v>
          </cell>
        </row>
        <row r="266">
          <cell r="C266" t="str">
            <v>Census Tract 293.06, King County, Washington</v>
          </cell>
          <cell r="D266">
            <v>530</v>
          </cell>
          <cell r="E266">
            <v>133</v>
          </cell>
          <cell r="F266">
            <v>80</v>
          </cell>
          <cell r="G266">
            <v>53</v>
          </cell>
          <cell r="H266">
            <v>0</v>
          </cell>
          <cell r="I266">
            <v>0</v>
          </cell>
          <cell r="J266">
            <v>19</v>
          </cell>
          <cell r="K266">
            <v>34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397</v>
          </cell>
          <cell r="Q266">
            <v>284</v>
          </cell>
          <cell r="R266">
            <v>113</v>
          </cell>
          <cell r="S266">
            <v>133</v>
          </cell>
          <cell r="T266">
            <v>397</v>
          </cell>
        </row>
        <row r="267">
          <cell r="C267" t="str">
            <v>Census Tract 293.07, King County, Washington</v>
          </cell>
          <cell r="D267">
            <v>521</v>
          </cell>
          <cell r="E267">
            <v>265</v>
          </cell>
          <cell r="F267">
            <v>188</v>
          </cell>
          <cell r="G267">
            <v>65</v>
          </cell>
          <cell r="H267">
            <v>0</v>
          </cell>
          <cell r="I267">
            <v>10</v>
          </cell>
          <cell r="J267">
            <v>9</v>
          </cell>
          <cell r="K267">
            <v>46</v>
          </cell>
          <cell r="L267">
            <v>12</v>
          </cell>
          <cell r="M267">
            <v>0</v>
          </cell>
          <cell r="N267">
            <v>0</v>
          </cell>
          <cell r="O267">
            <v>12</v>
          </cell>
          <cell r="P267">
            <v>256</v>
          </cell>
          <cell r="Q267">
            <v>236</v>
          </cell>
          <cell r="R267">
            <v>20</v>
          </cell>
          <cell r="S267">
            <v>253</v>
          </cell>
          <cell r="T267">
            <v>268</v>
          </cell>
        </row>
        <row r="268">
          <cell r="C268" t="str">
            <v>Census Tract 294.03, King County, Washington</v>
          </cell>
          <cell r="D268">
            <v>1103</v>
          </cell>
          <cell r="E268">
            <v>375</v>
          </cell>
          <cell r="F268">
            <v>226</v>
          </cell>
          <cell r="G268">
            <v>131</v>
          </cell>
          <cell r="H268">
            <v>20</v>
          </cell>
          <cell r="I268">
            <v>0</v>
          </cell>
          <cell r="J268">
            <v>9</v>
          </cell>
          <cell r="K268">
            <v>102</v>
          </cell>
          <cell r="L268">
            <v>18</v>
          </cell>
          <cell r="M268">
            <v>0</v>
          </cell>
          <cell r="N268">
            <v>0</v>
          </cell>
          <cell r="O268">
            <v>18</v>
          </cell>
          <cell r="P268">
            <v>728</v>
          </cell>
          <cell r="Q268">
            <v>391</v>
          </cell>
          <cell r="R268">
            <v>337</v>
          </cell>
          <cell r="S268">
            <v>357</v>
          </cell>
          <cell r="T268">
            <v>746</v>
          </cell>
        </row>
        <row r="269">
          <cell r="C269" t="str">
            <v>Census Tract 294.05, King County, Washington</v>
          </cell>
          <cell r="D269">
            <v>671</v>
          </cell>
          <cell r="E269">
            <v>180</v>
          </cell>
          <cell r="F269">
            <v>130</v>
          </cell>
          <cell r="G269">
            <v>21</v>
          </cell>
          <cell r="H269">
            <v>0</v>
          </cell>
          <cell r="I269">
            <v>0</v>
          </cell>
          <cell r="J269">
            <v>0</v>
          </cell>
          <cell r="K269">
            <v>21</v>
          </cell>
          <cell r="L269">
            <v>29</v>
          </cell>
          <cell r="M269">
            <v>0</v>
          </cell>
          <cell r="N269">
            <v>0</v>
          </cell>
          <cell r="O269">
            <v>29</v>
          </cell>
          <cell r="P269">
            <v>491</v>
          </cell>
          <cell r="Q269">
            <v>302</v>
          </cell>
          <cell r="R269">
            <v>189</v>
          </cell>
          <cell r="S269">
            <v>151</v>
          </cell>
          <cell r="T269">
            <v>520</v>
          </cell>
        </row>
        <row r="270">
          <cell r="C270" t="str">
            <v>Census Tract 294.06, King County, Washington</v>
          </cell>
          <cell r="D270">
            <v>391</v>
          </cell>
          <cell r="E270">
            <v>154</v>
          </cell>
          <cell r="F270">
            <v>113</v>
          </cell>
          <cell r="G270">
            <v>41</v>
          </cell>
          <cell r="H270">
            <v>0</v>
          </cell>
          <cell r="I270">
            <v>18</v>
          </cell>
          <cell r="J270">
            <v>0</v>
          </cell>
          <cell r="K270">
            <v>23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237</v>
          </cell>
          <cell r="Q270">
            <v>118</v>
          </cell>
          <cell r="R270">
            <v>119</v>
          </cell>
          <cell r="S270">
            <v>154</v>
          </cell>
          <cell r="T270">
            <v>237</v>
          </cell>
        </row>
        <row r="271">
          <cell r="C271" t="str">
            <v>Census Tract 294.07, King County, Washington</v>
          </cell>
          <cell r="D271">
            <v>521</v>
          </cell>
          <cell r="E271">
            <v>104</v>
          </cell>
          <cell r="F271">
            <v>64</v>
          </cell>
          <cell r="G271">
            <v>40</v>
          </cell>
          <cell r="H271">
            <v>0</v>
          </cell>
          <cell r="I271">
            <v>0</v>
          </cell>
          <cell r="J271">
            <v>9</v>
          </cell>
          <cell r="K271">
            <v>31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417</v>
          </cell>
          <cell r="Q271">
            <v>262</v>
          </cell>
          <cell r="R271">
            <v>155</v>
          </cell>
          <cell r="S271">
            <v>104</v>
          </cell>
          <cell r="T271">
            <v>417</v>
          </cell>
        </row>
        <row r="272">
          <cell r="C272" t="str">
            <v>Census Tract 294.08, King County, Washington</v>
          </cell>
          <cell r="D272">
            <v>620</v>
          </cell>
          <cell r="E272">
            <v>172</v>
          </cell>
          <cell r="F272">
            <v>145</v>
          </cell>
          <cell r="G272">
            <v>22</v>
          </cell>
          <cell r="H272">
            <v>0</v>
          </cell>
          <cell r="I272">
            <v>0</v>
          </cell>
          <cell r="J272">
            <v>7</v>
          </cell>
          <cell r="K272">
            <v>15</v>
          </cell>
          <cell r="L272">
            <v>5</v>
          </cell>
          <cell r="M272">
            <v>0</v>
          </cell>
          <cell r="N272">
            <v>0</v>
          </cell>
          <cell r="O272">
            <v>5</v>
          </cell>
          <cell r="P272">
            <v>448</v>
          </cell>
          <cell r="Q272">
            <v>228</v>
          </cell>
          <cell r="R272">
            <v>220</v>
          </cell>
          <cell r="S272">
            <v>167</v>
          </cell>
          <cell r="T272">
            <v>453</v>
          </cell>
        </row>
        <row r="273">
          <cell r="C273" t="str">
            <v>Census Tract 295.02, King County, Washington</v>
          </cell>
          <cell r="D273">
            <v>693</v>
          </cell>
          <cell r="E273">
            <v>313</v>
          </cell>
          <cell r="F273">
            <v>230</v>
          </cell>
          <cell r="G273">
            <v>70</v>
          </cell>
          <cell r="H273">
            <v>12</v>
          </cell>
          <cell r="I273">
            <v>6</v>
          </cell>
          <cell r="J273">
            <v>0</v>
          </cell>
          <cell r="K273">
            <v>52</v>
          </cell>
          <cell r="L273">
            <v>13</v>
          </cell>
          <cell r="M273">
            <v>0</v>
          </cell>
          <cell r="N273">
            <v>0</v>
          </cell>
          <cell r="O273">
            <v>13</v>
          </cell>
          <cell r="P273">
            <v>380</v>
          </cell>
          <cell r="Q273">
            <v>274</v>
          </cell>
          <cell r="R273">
            <v>106</v>
          </cell>
          <cell r="S273">
            <v>300</v>
          </cell>
          <cell r="T273">
            <v>393</v>
          </cell>
        </row>
        <row r="274">
          <cell r="C274" t="str">
            <v>Census Tract 295.03, King County, Washington</v>
          </cell>
          <cell r="D274">
            <v>699</v>
          </cell>
          <cell r="E274">
            <v>179</v>
          </cell>
          <cell r="F274">
            <v>106</v>
          </cell>
          <cell r="G274">
            <v>73</v>
          </cell>
          <cell r="H274">
            <v>17</v>
          </cell>
          <cell r="I274">
            <v>0</v>
          </cell>
          <cell r="J274">
            <v>24</v>
          </cell>
          <cell r="K274">
            <v>32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520</v>
          </cell>
          <cell r="Q274">
            <v>164</v>
          </cell>
          <cell r="R274">
            <v>356</v>
          </cell>
          <cell r="S274">
            <v>179</v>
          </cell>
          <cell r="T274">
            <v>520</v>
          </cell>
        </row>
        <row r="275">
          <cell r="C275" t="str">
            <v>Census Tract 295.04, King County, Washington</v>
          </cell>
          <cell r="D275">
            <v>424</v>
          </cell>
          <cell r="E275">
            <v>215</v>
          </cell>
          <cell r="F275">
            <v>161</v>
          </cell>
          <cell r="G275">
            <v>40</v>
          </cell>
          <cell r="H275">
            <v>0</v>
          </cell>
          <cell r="I275">
            <v>22</v>
          </cell>
          <cell r="J275">
            <v>0</v>
          </cell>
          <cell r="K275">
            <v>18</v>
          </cell>
          <cell r="L275">
            <v>14</v>
          </cell>
          <cell r="M275">
            <v>0</v>
          </cell>
          <cell r="N275">
            <v>0</v>
          </cell>
          <cell r="O275">
            <v>14</v>
          </cell>
          <cell r="P275">
            <v>209</v>
          </cell>
          <cell r="Q275">
            <v>90</v>
          </cell>
          <cell r="R275">
            <v>119</v>
          </cell>
          <cell r="S275">
            <v>201</v>
          </cell>
          <cell r="T275">
            <v>223</v>
          </cell>
        </row>
        <row r="276">
          <cell r="C276" t="str">
            <v>Census Tract 296.01, King County, Washington</v>
          </cell>
          <cell r="D276">
            <v>1077</v>
          </cell>
          <cell r="E276">
            <v>284</v>
          </cell>
          <cell r="F276">
            <v>209</v>
          </cell>
          <cell r="G276">
            <v>75</v>
          </cell>
          <cell r="H276">
            <v>6</v>
          </cell>
          <cell r="I276">
            <v>7</v>
          </cell>
          <cell r="J276">
            <v>28</v>
          </cell>
          <cell r="K276">
            <v>34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793</v>
          </cell>
          <cell r="Q276">
            <v>458</v>
          </cell>
          <cell r="R276">
            <v>335</v>
          </cell>
          <cell r="S276">
            <v>284</v>
          </cell>
          <cell r="T276">
            <v>793</v>
          </cell>
        </row>
        <row r="277">
          <cell r="C277" t="str">
            <v>Census Tract 296.02, King County, Washington</v>
          </cell>
          <cell r="D277">
            <v>196</v>
          </cell>
          <cell r="E277">
            <v>91</v>
          </cell>
          <cell r="F277">
            <v>72</v>
          </cell>
          <cell r="G277">
            <v>19</v>
          </cell>
          <cell r="H277">
            <v>0</v>
          </cell>
          <cell r="I277">
            <v>0</v>
          </cell>
          <cell r="J277">
            <v>0</v>
          </cell>
          <cell r="K277">
            <v>19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105</v>
          </cell>
          <cell r="Q277">
            <v>65</v>
          </cell>
          <cell r="R277">
            <v>40</v>
          </cell>
          <cell r="S277">
            <v>91</v>
          </cell>
          <cell r="T277">
            <v>105</v>
          </cell>
        </row>
        <row r="278">
          <cell r="C278" t="str">
            <v>Census Tract 297, King County, Washington</v>
          </cell>
          <cell r="D278">
            <v>262</v>
          </cell>
          <cell r="E278">
            <v>59</v>
          </cell>
          <cell r="F278">
            <v>45</v>
          </cell>
          <cell r="G278">
            <v>14</v>
          </cell>
          <cell r="H278">
            <v>0</v>
          </cell>
          <cell r="I278">
            <v>7</v>
          </cell>
          <cell r="J278">
            <v>0</v>
          </cell>
          <cell r="K278">
            <v>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203</v>
          </cell>
          <cell r="Q278">
            <v>74</v>
          </cell>
          <cell r="R278">
            <v>129</v>
          </cell>
          <cell r="S278">
            <v>59</v>
          </cell>
          <cell r="T278">
            <v>203</v>
          </cell>
        </row>
        <row r="279">
          <cell r="C279" t="str">
            <v>Census Tract 298.01, King County, Washington</v>
          </cell>
          <cell r="D279">
            <v>554</v>
          </cell>
          <cell r="E279">
            <v>198</v>
          </cell>
          <cell r="F279">
            <v>131</v>
          </cell>
          <cell r="G279">
            <v>67</v>
          </cell>
          <cell r="H279">
            <v>0</v>
          </cell>
          <cell r="I279">
            <v>0</v>
          </cell>
          <cell r="J279">
            <v>0</v>
          </cell>
          <cell r="K279">
            <v>67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356</v>
          </cell>
          <cell r="Q279">
            <v>174</v>
          </cell>
          <cell r="R279">
            <v>182</v>
          </cell>
          <cell r="S279">
            <v>198</v>
          </cell>
          <cell r="T279">
            <v>356</v>
          </cell>
        </row>
        <row r="280">
          <cell r="C280" t="str">
            <v>Census Tract 298.02, King County, Washington</v>
          </cell>
          <cell r="D280">
            <v>474</v>
          </cell>
          <cell r="E280">
            <v>181</v>
          </cell>
          <cell r="F280">
            <v>124</v>
          </cell>
          <cell r="G280">
            <v>50</v>
          </cell>
          <cell r="H280">
            <v>6</v>
          </cell>
          <cell r="I280">
            <v>5</v>
          </cell>
          <cell r="J280">
            <v>0</v>
          </cell>
          <cell r="K280">
            <v>39</v>
          </cell>
          <cell r="L280">
            <v>7</v>
          </cell>
          <cell r="M280">
            <v>0</v>
          </cell>
          <cell r="N280">
            <v>0</v>
          </cell>
          <cell r="O280">
            <v>7</v>
          </cell>
          <cell r="P280">
            <v>293</v>
          </cell>
          <cell r="Q280">
            <v>156</v>
          </cell>
          <cell r="R280">
            <v>137</v>
          </cell>
          <cell r="S280">
            <v>174</v>
          </cell>
          <cell r="T280">
            <v>300</v>
          </cell>
        </row>
        <row r="281">
          <cell r="C281" t="str">
            <v>Census Tract 299.01, King County, Washington</v>
          </cell>
          <cell r="D281">
            <v>364</v>
          </cell>
          <cell r="E281">
            <v>66</v>
          </cell>
          <cell r="F281">
            <v>48</v>
          </cell>
          <cell r="G281">
            <v>18</v>
          </cell>
          <cell r="H281">
            <v>6</v>
          </cell>
          <cell r="I281">
            <v>0</v>
          </cell>
          <cell r="J281">
            <v>0</v>
          </cell>
          <cell r="K281">
            <v>12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298</v>
          </cell>
          <cell r="Q281">
            <v>118</v>
          </cell>
          <cell r="R281">
            <v>180</v>
          </cell>
          <cell r="S281">
            <v>66</v>
          </cell>
          <cell r="T281">
            <v>298</v>
          </cell>
        </row>
        <row r="282">
          <cell r="C282" t="str">
            <v>Census Tract 299.02, King County, Washington</v>
          </cell>
          <cell r="D282">
            <v>173</v>
          </cell>
          <cell r="E282">
            <v>72</v>
          </cell>
          <cell r="F282">
            <v>58</v>
          </cell>
          <cell r="G282">
            <v>6</v>
          </cell>
          <cell r="H282">
            <v>0</v>
          </cell>
          <cell r="I282">
            <v>0</v>
          </cell>
          <cell r="J282">
            <v>6</v>
          </cell>
          <cell r="K282">
            <v>0</v>
          </cell>
          <cell r="L282">
            <v>8</v>
          </cell>
          <cell r="M282">
            <v>0</v>
          </cell>
          <cell r="N282">
            <v>0</v>
          </cell>
          <cell r="O282">
            <v>8</v>
          </cell>
          <cell r="P282">
            <v>101</v>
          </cell>
          <cell r="Q282">
            <v>77</v>
          </cell>
          <cell r="R282">
            <v>24</v>
          </cell>
          <cell r="S282">
            <v>64</v>
          </cell>
          <cell r="T282">
            <v>109</v>
          </cell>
        </row>
        <row r="283">
          <cell r="C283" t="str">
            <v>Census Tract 300.02, King County, Washington</v>
          </cell>
          <cell r="D283">
            <v>818</v>
          </cell>
          <cell r="E283">
            <v>207</v>
          </cell>
          <cell r="F283">
            <v>137</v>
          </cell>
          <cell r="G283">
            <v>58</v>
          </cell>
          <cell r="H283">
            <v>12</v>
          </cell>
          <cell r="I283">
            <v>0</v>
          </cell>
          <cell r="J283">
            <v>6</v>
          </cell>
          <cell r="K283">
            <v>40</v>
          </cell>
          <cell r="L283">
            <v>12</v>
          </cell>
          <cell r="M283">
            <v>0</v>
          </cell>
          <cell r="N283">
            <v>0</v>
          </cell>
          <cell r="O283">
            <v>12</v>
          </cell>
          <cell r="P283">
            <v>611</v>
          </cell>
          <cell r="Q283">
            <v>296</v>
          </cell>
          <cell r="R283">
            <v>315</v>
          </cell>
          <cell r="S283">
            <v>195</v>
          </cell>
          <cell r="T283">
            <v>623</v>
          </cell>
        </row>
        <row r="284">
          <cell r="C284" t="str">
            <v>Census Tract 300.03, King County, Washington</v>
          </cell>
          <cell r="D284">
            <v>408</v>
          </cell>
          <cell r="E284">
            <v>153</v>
          </cell>
          <cell r="F284">
            <v>102</v>
          </cell>
          <cell r="G284">
            <v>42</v>
          </cell>
          <cell r="H284">
            <v>0</v>
          </cell>
          <cell r="I284">
            <v>0</v>
          </cell>
          <cell r="J284">
            <v>12</v>
          </cell>
          <cell r="K284">
            <v>30</v>
          </cell>
          <cell r="L284">
            <v>9</v>
          </cell>
          <cell r="M284">
            <v>0</v>
          </cell>
          <cell r="N284">
            <v>0</v>
          </cell>
          <cell r="O284">
            <v>9</v>
          </cell>
          <cell r="P284">
            <v>255</v>
          </cell>
          <cell r="Q284">
            <v>122</v>
          </cell>
          <cell r="R284">
            <v>133</v>
          </cell>
          <cell r="S284">
            <v>144</v>
          </cell>
          <cell r="T284">
            <v>264</v>
          </cell>
        </row>
        <row r="285">
          <cell r="C285" t="str">
            <v>Census Tract 300.04, King County, Washington</v>
          </cell>
          <cell r="D285">
            <v>901</v>
          </cell>
          <cell r="E285">
            <v>192</v>
          </cell>
          <cell r="F285">
            <v>105</v>
          </cell>
          <cell r="G285">
            <v>78</v>
          </cell>
          <cell r="H285">
            <v>12</v>
          </cell>
          <cell r="I285">
            <v>6</v>
          </cell>
          <cell r="J285">
            <v>16</v>
          </cell>
          <cell r="K285">
            <v>44</v>
          </cell>
          <cell r="L285">
            <v>9</v>
          </cell>
          <cell r="M285">
            <v>0</v>
          </cell>
          <cell r="N285">
            <v>0</v>
          </cell>
          <cell r="O285">
            <v>9</v>
          </cell>
          <cell r="P285">
            <v>709</v>
          </cell>
          <cell r="Q285">
            <v>274</v>
          </cell>
          <cell r="R285">
            <v>435</v>
          </cell>
          <cell r="S285">
            <v>183</v>
          </cell>
          <cell r="T285">
            <v>718</v>
          </cell>
        </row>
        <row r="286">
          <cell r="C286" t="str">
            <v>Census Tract 301, King County, Washington</v>
          </cell>
          <cell r="D286">
            <v>461</v>
          </cell>
          <cell r="E286">
            <v>176</v>
          </cell>
          <cell r="F286">
            <v>74</v>
          </cell>
          <cell r="G286">
            <v>102</v>
          </cell>
          <cell r="H286">
            <v>35</v>
          </cell>
          <cell r="I286">
            <v>0</v>
          </cell>
          <cell r="J286">
            <v>26</v>
          </cell>
          <cell r="K286">
            <v>41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285</v>
          </cell>
          <cell r="Q286">
            <v>194</v>
          </cell>
          <cell r="R286">
            <v>91</v>
          </cell>
          <cell r="S286">
            <v>176</v>
          </cell>
          <cell r="T286">
            <v>285</v>
          </cell>
        </row>
        <row r="287">
          <cell r="C287" t="str">
            <v>Census Tract 302.01, King County, Washington</v>
          </cell>
          <cell r="D287">
            <v>506</v>
          </cell>
          <cell r="E287">
            <v>193</v>
          </cell>
          <cell r="F287">
            <v>110</v>
          </cell>
          <cell r="G287">
            <v>69</v>
          </cell>
          <cell r="H287">
            <v>0</v>
          </cell>
          <cell r="I287">
            <v>21</v>
          </cell>
          <cell r="J287">
            <v>8</v>
          </cell>
          <cell r="K287">
            <v>40</v>
          </cell>
          <cell r="L287">
            <v>14</v>
          </cell>
          <cell r="M287">
            <v>0</v>
          </cell>
          <cell r="N287">
            <v>0</v>
          </cell>
          <cell r="O287">
            <v>14</v>
          </cell>
          <cell r="P287">
            <v>313</v>
          </cell>
          <cell r="Q287">
            <v>230</v>
          </cell>
          <cell r="R287">
            <v>83</v>
          </cell>
          <cell r="S287">
            <v>179</v>
          </cell>
          <cell r="T287">
            <v>327</v>
          </cell>
        </row>
        <row r="288">
          <cell r="C288" t="str">
            <v>Census Tract 302.02, King County, Washington</v>
          </cell>
          <cell r="D288">
            <v>741</v>
          </cell>
          <cell r="E288">
            <v>177</v>
          </cell>
          <cell r="F288">
            <v>104</v>
          </cell>
          <cell r="G288">
            <v>73</v>
          </cell>
          <cell r="H288">
            <v>16</v>
          </cell>
          <cell r="I288">
            <v>8</v>
          </cell>
          <cell r="J288">
            <v>6</v>
          </cell>
          <cell r="K288">
            <v>43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564</v>
          </cell>
          <cell r="Q288">
            <v>227</v>
          </cell>
          <cell r="R288">
            <v>337</v>
          </cell>
          <cell r="S288">
            <v>177</v>
          </cell>
          <cell r="T288">
            <v>564</v>
          </cell>
        </row>
        <row r="289">
          <cell r="C289" t="str">
            <v>Census Tract 303.03, King County, Washington</v>
          </cell>
          <cell r="D289">
            <v>886</v>
          </cell>
          <cell r="E289">
            <v>222</v>
          </cell>
          <cell r="F289">
            <v>60</v>
          </cell>
          <cell r="G289">
            <v>144</v>
          </cell>
          <cell r="H289">
            <v>0</v>
          </cell>
          <cell r="I289">
            <v>27</v>
          </cell>
          <cell r="J289">
            <v>27</v>
          </cell>
          <cell r="K289">
            <v>90</v>
          </cell>
          <cell r="L289">
            <v>18</v>
          </cell>
          <cell r="M289">
            <v>0</v>
          </cell>
          <cell r="N289">
            <v>5</v>
          </cell>
          <cell r="O289">
            <v>13</v>
          </cell>
          <cell r="P289">
            <v>664</v>
          </cell>
          <cell r="Q289">
            <v>320</v>
          </cell>
          <cell r="R289">
            <v>344</v>
          </cell>
          <cell r="S289">
            <v>204</v>
          </cell>
          <cell r="T289">
            <v>682</v>
          </cell>
        </row>
        <row r="290">
          <cell r="C290" t="str">
            <v>Census Tract 303.04, King County, Washington</v>
          </cell>
          <cell r="D290">
            <v>129</v>
          </cell>
          <cell r="E290">
            <v>36</v>
          </cell>
          <cell r="F290">
            <v>30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6</v>
          </cell>
          <cell r="M290">
            <v>0</v>
          </cell>
          <cell r="N290">
            <v>0</v>
          </cell>
          <cell r="O290">
            <v>6</v>
          </cell>
          <cell r="P290">
            <v>93</v>
          </cell>
          <cell r="Q290">
            <v>65</v>
          </cell>
          <cell r="R290">
            <v>28</v>
          </cell>
          <cell r="S290">
            <v>30</v>
          </cell>
          <cell r="T290">
            <v>99</v>
          </cell>
        </row>
        <row r="291">
          <cell r="C291" t="str">
            <v>Census Tract 303.05, King County, Washington</v>
          </cell>
          <cell r="D291">
            <v>279</v>
          </cell>
          <cell r="E291">
            <v>90</v>
          </cell>
          <cell r="F291">
            <v>57</v>
          </cell>
          <cell r="G291">
            <v>20</v>
          </cell>
          <cell r="H291">
            <v>0</v>
          </cell>
          <cell r="I291">
            <v>0</v>
          </cell>
          <cell r="J291">
            <v>0</v>
          </cell>
          <cell r="K291">
            <v>20</v>
          </cell>
          <cell r="L291">
            <v>13</v>
          </cell>
          <cell r="M291">
            <v>0</v>
          </cell>
          <cell r="N291">
            <v>0</v>
          </cell>
          <cell r="O291">
            <v>13</v>
          </cell>
          <cell r="P291">
            <v>189</v>
          </cell>
          <cell r="Q291">
            <v>164</v>
          </cell>
          <cell r="R291">
            <v>25</v>
          </cell>
          <cell r="S291">
            <v>77</v>
          </cell>
          <cell r="T291">
            <v>202</v>
          </cell>
        </row>
        <row r="292">
          <cell r="C292" t="str">
            <v>Census Tract 303.06, King County, Washington</v>
          </cell>
          <cell r="D292">
            <v>631</v>
          </cell>
          <cell r="E292">
            <v>234</v>
          </cell>
          <cell r="F292">
            <v>96</v>
          </cell>
          <cell r="G292">
            <v>123</v>
          </cell>
          <cell r="H292">
            <v>0</v>
          </cell>
          <cell r="I292">
            <v>17</v>
          </cell>
          <cell r="J292">
            <v>10</v>
          </cell>
          <cell r="K292">
            <v>96</v>
          </cell>
          <cell r="L292">
            <v>15</v>
          </cell>
          <cell r="M292">
            <v>0</v>
          </cell>
          <cell r="N292">
            <v>0</v>
          </cell>
          <cell r="O292">
            <v>15</v>
          </cell>
          <cell r="P292">
            <v>397</v>
          </cell>
          <cell r="Q292">
            <v>215</v>
          </cell>
          <cell r="R292">
            <v>182</v>
          </cell>
          <cell r="S292">
            <v>219</v>
          </cell>
          <cell r="T292">
            <v>412</v>
          </cell>
        </row>
        <row r="293">
          <cell r="C293" t="str">
            <v>Census Tract 303.08, King County, Washington</v>
          </cell>
          <cell r="D293">
            <v>1413</v>
          </cell>
          <cell r="E293">
            <v>493</v>
          </cell>
          <cell r="F293">
            <v>243</v>
          </cell>
          <cell r="G293">
            <v>230</v>
          </cell>
          <cell r="H293">
            <v>10</v>
          </cell>
          <cell r="I293">
            <v>22</v>
          </cell>
          <cell r="J293">
            <v>50</v>
          </cell>
          <cell r="K293">
            <v>148</v>
          </cell>
          <cell r="L293">
            <v>20</v>
          </cell>
          <cell r="M293">
            <v>0</v>
          </cell>
          <cell r="N293">
            <v>0</v>
          </cell>
          <cell r="O293">
            <v>20</v>
          </cell>
          <cell r="P293">
            <v>920</v>
          </cell>
          <cell r="Q293">
            <v>416</v>
          </cell>
          <cell r="R293">
            <v>504</v>
          </cell>
          <cell r="S293">
            <v>473</v>
          </cell>
          <cell r="T293">
            <v>940</v>
          </cell>
        </row>
        <row r="294">
          <cell r="C294" t="str">
            <v>Census Tract 303.09, King County, Washington</v>
          </cell>
          <cell r="D294">
            <v>1035</v>
          </cell>
          <cell r="E294">
            <v>312</v>
          </cell>
          <cell r="F294">
            <v>132</v>
          </cell>
          <cell r="G294">
            <v>168</v>
          </cell>
          <cell r="H294">
            <v>10</v>
          </cell>
          <cell r="I294">
            <v>0</v>
          </cell>
          <cell r="J294">
            <v>16</v>
          </cell>
          <cell r="K294">
            <v>142</v>
          </cell>
          <cell r="L294">
            <v>12</v>
          </cell>
          <cell r="M294">
            <v>0</v>
          </cell>
          <cell r="N294">
            <v>0</v>
          </cell>
          <cell r="O294">
            <v>12</v>
          </cell>
          <cell r="P294">
            <v>723</v>
          </cell>
          <cell r="Q294">
            <v>342</v>
          </cell>
          <cell r="R294">
            <v>381</v>
          </cell>
          <cell r="S294">
            <v>300</v>
          </cell>
          <cell r="T294">
            <v>735</v>
          </cell>
        </row>
        <row r="295">
          <cell r="C295" t="str">
            <v>Census Tract 303.10, King County, Washington</v>
          </cell>
          <cell r="D295">
            <v>1347</v>
          </cell>
          <cell r="E295">
            <v>459</v>
          </cell>
          <cell r="F295">
            <v>337</v>
          </cell>
          <cell r="G295">
            <v>94</v>
          </cell>
          <cell r="H295">
            <v>0</v>
          </cell>
          <cell r="I295">
            <v>30</v>
          </cell>
          <cell r="J295">
            <v>0</v>
          </cell>
          <cell r="K295">
            <v>64</v>
          </cell>
          <cell r="L295">
            <v>28</v>
          </cell>
          <cell r="M295">
            <v>0</v>
          </cell>
          <cell r="N295">
            <v>13</v>
          </cell>
          <cell r="O295">
            <v>15</v>
          </cell>
          <cell r="P295">
            <v>888</v>
          </cell>
          <cell r="Q295">
            <v>583</v>
          </cell>
          <cell r="R295">
            <v>305</v>
          </cell>
          <cell r="S295">
            <v>431</v>
          </cell>
          <cell r="T295">
            <v>916</v>
          </cell>
        </row>
        <row r="296">
          <cell r="C296" t="str">
            <v>Census Tract 303.11, King County, Washington</v>
          </cell>
          <cell r="D296">
            <v>342</v>
          </cell>
          <cell r="E296">
            <v>131</v>
          </cell>
          <cell r="F296">
            <v>63</v>
          </cell>
          <cell r="G296">
            <v>61</v>
          </cell>
          <cell r="H296">
            <v>6</v>
          </cell>
          <cell r="I296">
            <v>0</v>
          </cell>
          <cell r="J296">
            <v>10</v>
          </cell>
          <cell r="K296">
            <v>45</v>
          </cell>
          <cell r="L296">
            <v>7</v>
          </cell>
          <cell r="M296">
            <v>0</v>
          </cell>
          <cell r="N296">
            <v>0</v>
          </cell>
          <cell r="O296">
            <v>7</v>
          </cell>
          <cell r="P296">
            <v>211</v>
          </cell>
          <cell r="Q296">
            <v>162</v>
          </cell>
          <cell r="R296">
            <v>49</v>
          </cell>
          <cell r="S296">
            <v>124</v>
          </cell>
          <cell r="T296">
            <v>218</v>
          </cell>
        </row>
        <row r="297">
          <cell r="C297" t="str">
            <v>Census Tract 303.12, King County, Washington</v>
          </cell>
          <cell r="D297">
            <v>542</v>
          </cell>
          <cell r="E297">
            <v>206</v>
          </cell>
          <cell r="F297">
            <v>90</v>
          </cell>
          <cell r="G297">
            <v>116</v>
          </cell>
          <cell r="H297">
            <v>11</v>
          </cell>
          <cell r="I297">
            <v>0</v>
          </cell>
          <cell r="J297">
            <v>26</v>
          </cell>
          <cell r="K297">
            <v>79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336</v>
          </cell>
          <cell r="Q297">
            <v>175</v>
          </cell>
          <cell r="R297">
            <v>161</v>
          </cell>
          <cell r="S297">
            <v>206</v>
          </cell>
          <cell r="T297">
            <v>336</v>
          </cell>
        </row>
        <row r="298">
          <cell r="C298" t="str">
            <v>Census Tract 304.01, King County, Washington</v>
          </cell>
          <cell r="D298">
            <v>122</v>
          </cell>
          <cell r="E298">
            <v>84</v>
          </cell>
          <cell r="F298">
            <v>19</v>
          </cell>
          <cell r="G298">
            <v>65</v>
          </cell>
          <cell r="H298">
            <v>0</v>
          </cell>
          <cell r="I298">
            <v>10</v>
          </cell>
          <cell r="J298">
            <v>0</v>
          </cell>
          <cell r="K298">
            <v>55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38</v>
          </cell>
          <cell r="Q298">
            <v>33</v>
          </cell>
          <cell r="R298">
            <v>5</v>
          </cell>
          <cell r="S298">
            <v>84</v>
          </cell>
          <cell r="T298">
            <v>38</v>
          </cell>
        </row>
        <row r="299">
          <cell r="C299" t="str">
            <v>Census Tract 304.03, King County, Washington</v>
          </cell>
          <cell r="D299">
            <v>504</v>
          </cell>
          <cell r="E299">
            <v>191</v>
          </cell>
          <cell r="F299">
            <v>137</v>
          </cell>
          <cell r="G299">
            <v>54</v>
          </cell>
          <cell r="H299">
            <v>0</v>
          </cell>
          <cell r="I299">
            <v>0</v>
          </cell>
          <cell r="J299">
            <v>16</v>
          </cell>
          <cell r="K299">
            <v>38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313</v>
          </cell>
          <cell r="Q299">
            <v>172</v>
          </cell>
          <cell r="R299">
            <v>141</v>
          </cell>
          <cell r="S299">
            <v>191</v>
          </cell>
          <cell r="T299">
            <v>313</v>
          </cell>
        </row>
        <row r="300">
          <cell r="C300" t="str">
            <v>Census Tract 304.04, King County, Washington</v>
          </cell>
          <cell r="D300">
            <v>126</v>
          </cell>
          <cell r="E300">
            <v>28</v>
          </cell>
          <cell r="F300">
            <v>28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98</v>
          </cell>
          <cell r="Q300">
            <v>33</v>
          </cell>
          <cell r="R300">
            <v>65</v>
          </cell>
          <cell r="S300">
            <v>28</v>
          </cell>
          <cell r="T300">
            <v>98</v>
          </cell>
        </row>
        <row r="301">
          <cell r="C301" t="str">
            <v>Census Tract 305.01, King County, Washington</v>
          </cell>
          <cell r="D301">
            <v>22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22</v>
          </cell>
          <cell r="Q301">
            <v>22</v>
          </cell>
          <cell r="R301">
            <v>0</v>
          </cell>
          <cell r="S301">
            <v>0</v>
          </cell>
          <cell r="T301">
            <v>22</v>
          </cell>
        </row>
        <row r="302">
          <cell r="C302" t="str">
            <v>Census Tract 305.03, King County, Washington</v>
          </cell>
          <cell r="D302">
            <v>220</v>
          </cell>
          <cell r="E302">
            <v>99</v>
          </cell>
          <cell r="F302">
            <v>87</v>
          </cell>
          <cell r="G302">
            <v>12</v>
          </cell>
          <cell r="H302">
            <v>0</v>
          </cell>
          <cell r="I302">
            <v>0</v>
          </cell>
          <cell r="J302">
            <v>0</v>
          </cell>
          <cell r="K302">
            <v>12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121</v>
          </cell>
          <cell r="Q302">
            <v>91</v>
          </cell>
          <cell r="R302">
            <v>30</v>
          </cell>
          <cell r="S302">
            <v>99</v>
          </cell>
          <cell r="T302">
            <v>121</v>
          </cell>
        </row>
        <row r="303">
          <cell r="C303" t="str">
            <v>Census Tract 305.04, King County, Washington</v>
          </cell>
          <cell r="D303">
            <v>274</v>
          </cell>
          <cell r="E303">
            <v>64</v>
          </cell>
          <cell r="F303">
            <v>64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210</v>
          </cell>
          <cell r="Q303">
            <v>101</v>
          </cell>
          <cell r="R303">
            <v>109</v>
          </cell>
          <cell r="S303">
            <v>64</v>
          </cell>
          <cell r="T303">
            <v>210</v>
          </cell>
        </row>
        <row r="304">
          <cell r="C304" t="str">
            <v>Census Tract 306, King County, Washington</v>
          </cell>
          <cell r="D304">
            <v>173</v>
          </cell>
          <cell r="E304">
            <v>58</v>
          </cell>
          <cell r="F304">
            <v>52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6</v>
          </cell>
          <cell r="M304">
            <v>0</v>
          </cell>
          <cell r="N304">
            <v>0</v>
          </cell>
          <cell r="O304">
            <v>6</v>
          </cell>
          <cell r="P304">
            <v>115</v>
          </cell>
          <cell r="Q304">
            <v>48</v>
          </cell>
          <cell r="R304">
            <v>67</v>
          </cell>
          <cell r="S304">
            <v>52</v>
          </cell>
          <cell r="T304">
            <v>121</v>
          </cell>
        </row>
        <row r="305">
          <cell r="C305" t="str">
            <v>Census Tract 307, King County, Washington</v>
          </cell>
          <cell r="D305">
            <v>117</v>
          </cell>
          <cell r="E305">
            <v>56</v>
          </cell>
          <cell r="F305">
            <v>31</v>
          </cell>
          <cell r="G305">
            <v>25</v>
          </cell>
          <cell r="H305">
            <v>0</v>
          </cell>
          <cell r="I305">
            <v>0</v>
          </cell>
          <cell r="J305">
            <v>5</v>
          </cell>
          <cell r="K305">
            <v>20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61</v>
          </cell>
          <cell r="Q305">
            <v>34</v>
          </cell>
          <cell r="R305">
            <v>27</v>
          </cell>
          <cell r="S305">
            <v>56</v>
          </cell>
          <cell r="T305">
            <v>61</v>
          </cell>
        </row>
        <row r="306">
          <cell r="C306" t="str">
            <v>Census Tract 308.01, King County, Washington</v>
          </cell>
          <cell r="D306">
            <v>119</v>
          </cell>
          <cell r="E306">
            <v>47</v>
          </cell>
          <cell r="F306">
            <v>33</v>
          </cell>
          <cell r="G306">
            <v>6</v>
          </cell>
          <cell r="H306">
            <v>0</v>
          </cell>
          <cell r="I306">
            <v>0</v>
          </cell>
          <cell r="J306">
            <v>0</v>
          </cell>
          <cell r="K306">
            <v>6</v>
          </cell>
          <cell r="L306">
            <v>8</v>
          </cell>
          <cell r="M306">
            <v>0</v>
          </cell>
          <cell r="N306">
            <v>0</v>
          </cell>
          <cell r="O306">
            <v>8</v>
          </cell>
          <cell r="P306">
            <v>72</v>
          </cell>
          <cell r="Q306">
            <v>60</v>
          </cell>
          <cell r="R306">
            <v>12</v>
          </cell>
          <cell r="S306">
            <v>39</v>
          </cell>
          <cell r="T306">
            <v>80</v>
          </cell>
        </row>
        <row r="307">
          <cell r="C307" t="str">
            <v>Census Tract 308.02, King County, Washington</v>
          </cell>
          <cell r="D307">
            <v>95</v>
          </cell>
          <cell r="E307">
            <v>40</v>
          </cell>
          <cell r="F307">
            <v>40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55</v>
          </cell>
          <cell r="Q307">
            <v>30</v>
          </cell>
          <cell r="R307">
            <v>25</v>
          </cell>
          <cell r="S307">
            <v>40</v>
          </cell>
          <cell r="T307">
            <v>55</v>
          </cell>
        </row>
        <row r="308">
          <cell r="C308" t="str">
            <v>Census Tract 309.01, King County, Washington</v>
          </cell>
          <cell r="D308">
            <v>188</v>
          </cell>
          <cell r="E308">
            <v>57</v>
          </cell>
          <cell r="F308">
            <v>53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4</v>
          </cell>
          <cell r="M308">
            <v>0</v>
          </cell>
          <cell r="N308">
            <v>0</v>
          </cell>
          <cell r="O308">
            <v>4</v>
          </cell>
          <cell r="P308">
            <v>131</v>
          </cell>
          <cell r="Q308">
            <v>100</v>
          </cell>
          <cell r="R308">
            <v>31</v>
          </cell>
          <cell r="S308">
            <v>53</v>
          </cell>
          <cell r="T308">
            <v>135</v>
          </cell>
        </row>
        <row r="309">
          <cell r="C309" t="str">
            <v>Census Tract 309.02, King County, Washington</v>
          </cell>
          <cell r="D309">
            <v>194</v>
          </cell>
          <cell r="E309">
            <v>30</v>
          </cell>
          <cell r="F309">
            <v>24</v>
          </cell>
          <cell r="G309">
            <v>6</v>
          </cell>
          <cell r="H309">
            <v>0</v>
          </cell>
          <cell r="I309">
            <v>0</v>
          </cell>
          <cell r="J309">
            <v>6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164</v>
          </cell>
          <cell r="Q309">
            <v>85</v>
          </cell>
          <cell r="R309">
            <v>79</v>
          </cell>
          <cell r="S309">
            <v>30</v>
          </cell>
          <cell r="T309">
            <v>164</v>
          </cell>
        </row>
        <row r="310">
          <cell r="C310" t="str">
            <v>Census Tract 310, King County, Washington</v>
          </cell>
          <cell r="D310">
            <v>219</v>
          </cell>
          <cell r="E310">
            <v>100</v>
          </cell>
          <cell r="F310">
            <v>61</v>
          </cell>
          <cell r="G310">
            <v>30</v>
          </cell>
          <cell r="H310">
            <v>6</v>
          </cell>
          <cell r="I310">
            <v>0</v>
          </cell>
          <cell r="J310">
            <v>10</v>
          </cell>
          <cell r="K310">
            <v>14</v>
          </cell>
          <cell r="L310">
            <v>9</v>
          </cell>
          <cell r="M310">
            <v>0</v>
          </cell>
          <cell r="N310">
            <v>0</v>
          </cell>
          <cell r="O310">
            <v>9</v>
          </cell>
          <cell r="P310">
            <v>119</v>
          </cell>
          <cell r="Q310">
            <v>71</v>
          </cell>
          <cell r="R310">
            <v>48</v>
          </cell>
          <cell r="S310">
            <v>91</v>
          </cell>
          <cell r="T310">
            <v>128</v>
          </cell>
        </row>
        <row r="311">
          <cell r="C311" t="str">
            <v>Census Tract 311, King County, Washington</v>
          </cell>
          <cell r="D311">
            <v>219</v>
          </cell>
          <cell r="E311">
            <v>77</v>
          </cell>
          <cell r="F311">
            <v>39</v>
          </cell>
          <cell r="G311">
            <v>36</v>
          </cell>
          <cell r="H311">
            <v>0</v>
          </cell>
          <cell r="I311">
            <v>12</v>
          </cell>
          <cell r="J311">
            <v>0</v>
          </cell>
          <cell r="K311">
            <v>24</v>
          </cell>
          <cell r="L311">
            <v>2</v>
          </cell>
          <cell r="M311">
            <v>0</v>
          </cell>
          <cell r="N311">
            <v>0</v>
          </cell>
          <cell r="O311">
            <v>2</v>
          </cell>
          <cell r="P311">
            <v>142</v>
          </cell>
          <cell r="Q311">
            <v>105</v>
          </cell>
          <cell r="R311">
            <v>37</v>
          </cell>
          <cell r="S311">
            <v>75</v>
          </cell>
          <cell r="T311">
            <v>144</v>
          </cell>
        </row>
        <row r="312">
          <cell r="C312" t="str">
            <v>Census Tract 312.02, King County, Washington</v>
          </cell>
          <cell r="D312">
            <v>82</v>
          </cell>
          <cell r="E312">
            <v>30</v>
          </cell>
          <cell r="F312">
            <v>14</v>
          </cell>
          <cell r="G312">
            <v>13</v>
          </cell>
          <cell r="H312">
            <v>0</v>
          </cell>
          <cell r="I312">
            <v>8</v>
          </cell>
          <cell r="J312">
            <v>0</v>
          </cell>
          <cell r="K312">
            <v>5</v>
          </cell>
          <cell r="L312">
            <v>3</v>
          </cell>
          <cell r="M312">
            <v>0</v>
          </cell>
          <cell r="N312">
            <v>0</v>
          </cell>
          <cell r="O312">
            <v>3</v>
          </cell>
          <cell r="P312">
            <v>52</v>
          </cell>
          <cell r="Q312">
            <v>15</v>
          </cell>
          <cell r="R312">
            <v>37</v>
          </cell>
          <cell r="S312">
            <v>27</v>
          </cell>
          <cell r="T312">
            <v>55</v>
          </cell>
        </row>
        <row r="313">
          <cell r="C313" t="str">
            <v>Census Tract 312.04, King County, Washington</v>
          </cell>
          <cell r="D313">
            <v>168</v>
          </cell>
          <cell r="E313">
            <v>80</v>
          </cell>
          <cell r="F313">
            <v>62</v>
          </cell>
          <cell r="G313">
            <v>18</v>
          </cell>
          <cell r="H313">
            <v>0</v>
          </cell>
          <cell r="I313">
            <v>0</v>
          </cell>
          <cell r="J313">
            <v>0</v>
          </cell>
          <cell r="K313">
            <v>18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88</v>
          </cell>
          <cell r="Q313">
            <v>41</v>
          </cell>
          <cell r="R313">
            <v>47</v>
          </cell>
          <cell r="S313">
            <v>80</v>
          </cell>
          <cell r="T313">
            <v>88</v>
          </cell>
        </row>
        <row r="314">
          <cell r="C314" t="str">
            <v>Census Tract 312.05, King County, Washington</v>
          </cell>
          <cell r="D314">
            <v>188</v>
          </cell>
          <cell r="E314">
            <v>63</v>
          </cell>
          <cell r="F314">
            <v>63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125</v>
          </cell>
          <cell r="Q314">
            <v>37</v>
          </cell>
          <cell r="R314">
            <v>88</v>
          </cell>
          <cell r="S314">
            <v>63</v>
          </cell>
          <cell r="T314">
            <v>125</v>
          </cell>
        </row>
        <row r="315">
          <cell r="C315" t="str">
            <v>Census Tract 312.06, King County, Washington</v>
          </cell>
          <cell r="D315">
            <v>218</v>
          </cell>
          <cell r="E315">
            <v>45</v>
          </cell>
          <cell r="F315">
            <v>24</v>
          </cell>
          <cell r="G315">
            <v>21</v>
          </cell>
          <cell r="H315">
            <v>0</v>
          </cell>
          <cell r="I315">
            <v>0</v>
          </cell>
          <cell r="J315">
            <v>0</v>
          </cell>
          <cell r="K315">
            <v>21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173</v>
          </cell>
          <cell r="Q315">
            <v>28</v>
          </cell>
          <cell r="R315">
            <v>145</v>
          </cell>
          <cell r="S315">
            <v>45</v>
          </cell>
          <cell r="T315">
            <v>173</v>
          </cell>
        </row>
        <row r="316">
          <cell r="C316" t="str">
            <v>Census Tract 313.01, King County, Washington</v>
          </cell>
          <cell r="D316">
            <v>48</v>
          </cell>
          <cell r="E316">
            <v>11</v>
          </cell>
          <cell r="F316">
            <v>11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37</v>
          </cell>
          <cell r="Q316">
            <v>21</v>
          </cell>
          <cell r="R316">
            <v>16</v>
          </cell>
          <cell r="S316">
            <v>11</v>
          </cell>
          <cell r="T316">
            <v>37</v>
          </cell>
        </row>
        <row r="317">
          <cell r="C317" t="str">
            <v>Census Tract 313.02, King County, Washington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</row>
        <row r="318">
          <cell r="C318" t="str">
            <v>Census Tract 314, King County, Washington</v>
          </cell>
          <cell r="D318">
            <v>46</v>
          </cell>
          <cell r="E318">
            <v>38</v>
          </cell>
          <cell r="F318">
            <v>33</v>
          </cell>
          <cell r="G318">
            <v>5</v>
          </cell>
          <cell r="H318">
            <v>0</v>
          </cell>
          <cell r="I318">
            <v>0</v>
          </cell>
          <cell r="J318">
            <v>0</v>
          </cell>
          <cell r="K318">
            <v>5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8</v>
          </cell>
          <cell r="Q318">
            <v>8</v>
          </cell>
          <cell r="R318">
            <v>0</v>
          </cell>
          <cell r="S318">
            <v>38</v>
          </cell>
          <cell r="T318">
            <v>8</v>
          </cell>
        </row>
        <row r="319">
          <cell r="C319" t="str">
            <v>Census Tract 315.01, King County, Washington</v>
          </cell>
          <cell r="D319">
            <v>29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29</v>
          </cell>
          <cell r="Q319">
            <v>14</v>
          </cell>
          <cell r="R319">
            <v>15</v>
          </cell>
          <cell r="S319">
            <v>0</v>
          </cell>
          <cell r="T319">
            <v>29</v>
          </cell>
        </row>
        <row r="320">
          <cell r="C320" t="str">
            <v>Census Tract 315.02, King County, Washington</v>
          </cell>
          <cell r="D320">
            <v>41</v>
          </cell>
          <cell r="E320">
            <v>19</v>
          </cell>
          <cell r="F320">
            <v>19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22</v>
          </cell>
          <cell r="Q320">
            <v>22</v>
          </cell>
          <cell r="R320">
            <v>0</v>
          </cell>
          <cell r="S320">
            <v>19</v>
          </cell>
          <cell r="T320">
            <v>22</v>
          </cell>
        </row>
        <row r="321">
          <cell r="C321" t="str">
            <v>Census Tract 316.01, King County, Washington</v>
          </cell>
          <cell r="D321">
            <v>25</v>
          </cell>
          <cell r="E321">
            <v>19</v>
          </cell>
          <cell r="F321">
            <v>6</v>
          </cell>
          <cell r="G321">
            <v>13</v>
          </cell>
          <cell r="H321">
            <v>0</v>
          </cell>
          <cell r="I321">
            <v>0</v>
          </cell>
          <cell r="J321">
            <v>0</v>
          </cell>
          <cell r="K321">
            <v>13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6</v>
          </cell>
          <cell r="Q321">
            <v>6</v>
          </cell>
          <cell r="R321">
            <v>0</v>
          </cell>
          <cell r="S321">
            <v>19</v>
          </cell>
          <cell r="T321">
            <v>6</v>
          </cell>
        </row>
        <row r="322">
          <cell r="C322" t="str">
            <v>Census Tract 316.02, King County, Washington</v>
          </cell>
          <cell r="D322">
            <v>95</v>
          </cell>
          <cell r="E322">
            <v>32</v>
          </cell>
          <cell r="F322">
            <v>8</v>
          </cell>
          <cell r="G322">
            <v>24</v>
          </cell>
          <cell r="H322">
            <v>0</v>
          </cell>
          <cell r="I322">
            <v>0</v>
          </cell>
          <cell r="J322">
            <v>0</v>
          </cell>
          <cell r="K322">
            <v>24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63</v>
          </cell>
          <cell r="Q322">
            <v>40</v>
          </cell>
          <cell r="R322">
            <v>23</v>
          </cell>
          <cell r="S322">
            <v>32</v>
          </cell>
          <cell r="T322">
            <v>63</v>
          </cell>
        </row>
        <row r="323">
          <cell r="C323" t="str">
            <v>Census Tract 316.03, King County, Washington</v>
          </cell>
          <cell r="D323">
            <v>59</v>
          </cell>
          <cell r="E323">
            <v>27</v>
          </cell>
          <cell r="F323">
            <v>10</v>
          </cell>
          <cell r="G323">
            <v>17</v>
          </cell>
          <cell r="H323">
            <v>0</v>
          </cell>
          <cell r="I323">
            <v>0</v>
          </cell>
          <cell r="J323">
            <v>0</v>
          </cell>
          <cell r="K323">
            <v>17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32</v>
          </cell>
          <cell r="Q323">
            <v>32</v>
          </cell>
          <cell r="R323">
            <v>0</v>
          </cell>
          <cell r="S323">
            <v>27</v>
          </cell>
          <cell r="T323">
            <v>32</v>
          </cell>
        </row>
        <row r="324">
          <cell r="C324" t="str">
            <v>Census Tract 317.02, King County, Washington</v>
          </cell>
          <cell r="D324">
            <v>151</v>
          </cell>
          <cell r="E324">
            <v>78</v>
          </cell>
          <cell r="F324">
            <v>43</v>
          </cell>
          <cell r="G324">
            <v>35</v>
          </cell>
          <cell r="H324">
            <v>0</v>
          </cell>
          <cell r="I324">
            <v>9</v>
          </cell>
          <cell r="J324">
            <v>0</v>
          </cell>
          <cell r="K324">
            <v>26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73</v>
          </cell>
          <cell r="Q324">
            <v>65</v>
          </cell>
          <cell r="R324">
            <v>8</v>
          </cell>
          <cell r="S324">
            <v>78</v>
          </cell>
          <cell r="T324">
            <v>73</v>
          </cell>
        </row>
        <row r="325">
          <cell r="C325" t="str">
            <v>Census Tract 317.03, King County, Washington</v>
          </cell>
          <cell r="D325">
            <v>402</v>
          </cell>
          <cell r="E325">
            <v>206</v>
          </cell>
          <cell r="F325">
            <v>120</v>
          </cell>
          <cell r="G325">
            <v>86</v>
          </cell>
          <cell r="H325">
            <v>0</v>
          </cell>
          <cell r="I325">
            <v>0</v>
          </cell>
          <cell r="J325">
            <v>0</v>
          </cell>
          <cell r="K325">
            <v>86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196</v>
          </cell>
          <cell r="Q325">
            <v>145</v>
          </cell>
          <cell r="R325">
            <v>51</v>
          </cell>
          <cell r="S325">
            <v>206</v>
          </cell>
          <cell r="T325">
            <v>196</v>
          </cell>
        </row>
        <row r="326">
          <cell r="C326" t="str">
            <v>Census Tract 317.04, King County, Washington</v>
          </cell>
          <cell r="D326">
            <v>336</v>
          </cell>
          <cell r="E326">
            <v>125</v>
          </cell>
          <cell r="F326">
            <v>71</v>
          </cell>
          <cell r="G326">
            <v>54</v>
          </cell>
          <cell r="H326">
            <v>0</v>
          </cell>
          <cell r="I326">
            <v>0</v>
          </cell>
          <cell r="J326">
            <v>0</v>
          </cell>
          <cell r="K326">
            <v>54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211</v>
          </cell>
          <cell r="Q326">
            <v>122</v>
          </cell>
          <cell r="R326">
            <v>89</v>
          </cell>
          <cell r="S326">
            <v>125</v>
          </cell>
          <cell r="T326">
            <v>211</v>
          </cell>
        </row>
        <row r="327">
          <cell r="C327" t="str">
            <v>Census Tract 318, King County, Washington</v>
          </cell>
          <cell r="D327">
            <v>110</v>
          </cell>
          <cell r="E327">
            <v>55</v>
          </cell>
          <cell r="F327">
            <v>24</v>
          </cell>
          <cell r="G327">
            <v>31</v>
          </cell>
          <cell r="H327">
            <v>0</v>
          </cell>
          <cell r="I327">
            <v>8</v>
          </cell>
          <cell r="J327">
            <v>8</v>
          </cell>
          <cell r="K327">
            <v>15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55</v>
          </cell>
          <cell r="Q327">
            <v>47</v>
          </cell>
          <cell r="R327">
            <v>8</v>
          </cell>
          <cell r="S327">
            <v>55</v>
          </cell>
          <cell r="T327">
            <v>55</v>
          </cell>
        </row>
        <row r="328">
          <cell r="C328" t="str">
            <v>Census Tract 319.03, King County, Washington</v>
          </cell>
          <cell r="D328">
            <v>22</v>
          </cell>
          <cell r="E328">
            <v>13</v>
          </cell>
          <cell r="F328">
            <v>6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7</v>
          </cell>
          <cell r="M328">
            <v>0</v>
          </cell>
          <cell r="N328">
            <v>0</v>
          </cell>
          <cell r="O328">
            <v>7</v>
          </cell>
          <cell r="P328">
            <v>9</v>
          </cell>
          <cell r="Q328">
            <v>9</v>
          </cell>
          <cell r="R328">
            <v>0</v>
          </cell>
          <cell r="S328">
            <v>6</v>
          </cell>
          <cell r="T328">
            <v>16</v>
          </cell>
        </row>
        <row r="329">
          <cell r="C329" t="str">
            <v>Census Tract 319.04, King County, Washington</v>
          </cell>
          <cell r="D329">
            <v>57</v>
          </cell>
          <cell r="E329">
            <v>32</v>
          </cell>
          <cell r="F329">
            <v>32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25</v>
          </cell>
          <cell r="Q329">
            <v>25</v>
          </cell>
          <cell r="R329">
            <v>0</v>
          </cell>
          <cell r="S329">
            <v>32</v>
          </cell>
          <cell r="T329">
            <v>25</v>
          </cell>
        </row>
        <row r="330">
          <cell r="C330" t="str">
            <v>Census Tract 319.06, King County, Washington</v>
          </cell>
          <cell r="D330">
            <v>162</v>
          </cell>
          <cell r="E330">
            <v>65</v>
          </cell>
          <cell r="F330">
            <v>61</v>
          </cell>
          <cell r="G330">
            <v>4</v>
          </cell>
          <cell r="H330">
            <v>0</v>
          </cell>
          <cell r="I330">
            <v>0</v>
          </cell>
          <cell r="J330">
            <v>0</v>
          </cell>
          <cell r="K330">
            <v>4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97</v>
          </cell>
          <cell r="Q330">
            <v>62</v>
          </cell>
          <cell r="R330">
            <v>35</v>
          </cell>
          <cell r="S330">
            <v>65</v>
          </cell>
          <cell r="T330">
            <v>97</v>
          </cell>
        </row>
        <row r="331">
          <cell r="C331" t="str">
            <v>Census Tract 319.07, King County, Washington</v>
          </cell>
          <cell r="D331">
            <v>943</v>
          </cell>
          <cell r="E331">
            <v>442</v>
          </cell>
          <cell r="F331">
            <v>304</v>
          </cell>
          <cell r="G331">
            <v>118</v>
          </cell>
          <cell r="H331">
            <v>0</v>
          </cell>
          <cell r="I331">
            <v>11</v>
          </cell>
          <cell r="J331">
            <v>15</v>
          </cell>
          <cell r="K331">
            <v>92</v>
          </cell>
          <cell r="L331">
            <v>20</v>
          </cell>
          <cell r="M331">
            <v>0</v>
          </cell>
          <cell r="N331">
            <v>10</v>
          </cell>
          <cell r="O331">
            <v>10</v>
          </cell>
          <cell r="P331">
            <v>501</v>
          </cell>
          <cell r="Q331">
            <v>387</v>
          </cell>
          <cell r="R331">
            <v>114</v>
          </cell>
          <cell r="S331">
            <v>422</v>
          </cell>
          <cell r="T331">
            <v>521</v>
          </cell>
        </row>
        <row r="332">
          <cell r="C332" t="str">
            <v>Census Tract 319.08, King County, Washington</v>
          </cell>
          <cell r="D332">
            <v>373</v>
          </cell>
          <cell r="E332">
            <v>113</v>
          </cell>
          <cell r="F332">
            <v>65</v>
          </cell>
          <cell r="G332">
            <v>41</v>
          </cell>
          <cell r="H332">
            <v>0</v>
          </cell>
          <cell r="I332">
            <v>0</v>
          </cell>
          <cell r="J332">
            <v>16</v>
          </cell>
          <cell r="K332">
            <v>25</v>
          </cell>
          <cell r="L332">
            <v>7</v>
          </cell>
          <cell r="M332">
            <v>0</v>
          </cell>
          <cell r="N332">
            <v>0</v>
          </cell>
          <cell r="O332">
            <v>7</v>
          </cell>
          <cell r="P332">
            <v>260</v>
          </cell>
          <cell r="Q332">
            <v>79</v>
          </cell>
          <cell r="R332">
            <v>181</v>
          </cell>
          <cell r="S332">
            <v>106</v>
          </cell>
          <cell r="T332">
            <v>267</v>
          </cell>
        </row>
        <row r="333">
          <cell r="C333" t="str">
            <v>Census Tract 319.09, King County, Washington</v>
          </cell>
          <cell r="D333">
            <v>334</v>
          </cell>
          <cell r="E333">
            <v>125</v>
          </cell>
          <cell r="F333">
            <v>76</v>
          </cell>
          <cell r="G333">
            <v>49</v>
          </cell>
          <cell r="H333">
            <v>0</v>
          </cell>
          <cell r="I333">
            <v>0</v>
          </cell>
          <cell r="J333">
            <v>0</v>
          </cell>
          <cell r="K333">
            <v>49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209</v>
          </cell>
          <cell r="Q333">
            <v>135</v>
          </cell>
          <cell r="R333">
            <v>74</v>
          </cell>
          <cell r="S333">
            <v>125</v>
          </cell>
          <cell r="T333">
            <v>209</v>
          </cell>
        </row>
        <row r="334">
          <cell r="C334" t="str">
            <v>Census Tract 320.02, King County, Washington</v>
          </cell>
          <cell r="D334">
            <v>99</v>
          </cell>
          <cell r="E334">
            <v>21</v>
          </cell>
          <cell r="F334">
            <v>15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6</v>
          </cell>
          <cell r="M334">
            <v>0</v>
          </cell>
          <cell r="N334">
            <v>0</v>
          </cell>
          <cell r="O334">
            <v>6</v>
          </cell>
          <cell r="P334">
            <v>78</v>
          </cell>
          <cell r="Q334">
            <v>9</v>
          </cell>
          <cell r="R334">
            <v>69</v>
          </cell>
          <cell r="S334">
            <v>15</v>
          </cell>
          <cell r="T334">
            <v>84</v>
          </cell>
        </row>
        <row r="335">
          <cell r="C335" t="str">
            <v>Census Tract 320.03, King County, Washington</v>
          </cell>
          <cell r="D335">
            <v>29</v>
          </cell>
          <cell r="E335">
            <v>18</v>
          </cell>
          <cell r="F335">
            <v>13</v>
          </cell>
          <cell r="G335">
            <v>5</v>
          </cell>
          <cell r="H335">
            <v>0</v>
          </cell>
          <cell r="I335">
            <v>0</v>
          </cell>
          <cell r="J335">
            <v>0</v>
          </cell>
          <cell r="K335">
            <v>5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11</v>
          </cell>
          <cell r="Q335">
            <v>11</v>
          </cell>
          <cell r="R335">
            <v>0</v>
          </cell>
          <cell r="S335">
            <v>18</v>
          </cell>
          <cell r="T335">
            <v>11</v>
          </cell>
        </row>
        <row r="336">
          <cell r="C336" t="str">
            <v>Census Tract 320.05, King County, Washington</v>
          </cell>
          <cell r="D336">
            <v>165</v>
          </cell>
          <cell r="E336">
            <v>54</v>
          </cell>
          <cell r="F336">
            <v>8</v>
          </cell>
          <cell r="G336">
            <v>46</v>
          </cell>
          <cell r="H336">
            <v>0</v>
          </cell>
          <cell r="I336">
            <v>0</v>
          </cell>
          <cell r="J336">
            <v>0</v>
          </cell>
          <cell r="K336">
            <v>46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111</v>
          </cell>
          <cell r="Q336">
            <v>111</v>
          </cell>
          <cell r="R336">
            <v>0</v>
          </cell>
          <cell r="S336">
            <v>54</v>
          </cell>
          <cell r="T336">
            <v>111</v>
          </cell>
        </row>
        <row r="337">
          <cell r="C337" t="str">
            <v>Census Tract 320.06, King County, Washington</v>
          </cell>
          <cell r="D337">
            <v>197</v>
          </cell>
          <cell r="E337">
            <v>154</v>
          </cell>
          <cell r="F337">
            <v>75</v>
          </cell>
          <cell r="G337">
            <v>79</v>
          </cell>
          <cell r="H337">
            <v>0</v>
          </cell>
          <cell r="I337">
            <v>14</v>
          </cell>
          <cell r="J337">
            <v>0</v>
          </cell>
          <cell r="K337">
            <v>65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43</v>
          </cell>
          <cell r="Q337">
            <v>30</v>
          </cell>
          <cell r="R337">
            <v>13</v>
          </cell>
          <cell r="S337">
            <v>154</v>
          </cell>
          <cell r="T337">
            <v>43</v>
          </cell>
        </row>
        <row r="338">
          <cell r="C338" t="str">
            <v>Census Tract 320.07, King County, Washington</v>
          </cell>
          <cell r="D338">
            <v>235</v>
          </cell>
          <cell r="E338">
            <v>178</v>
          </cell>
          <cell r="F338">
            <v>116</v>
          </cell>
          <cell r="G338">
            <v>55</v>
          </cell>
          <cell r="H338">
            <v>0</v>
          </cell>
          <cell r="I338">
            <v>0</v>
          </cell>
          <cell r="J338">
            <v>0</v>
          </cell>
          <cell r="K338">
            <v>55</v>
          </cell>
          <cell r="L338">
            <v>7</v>
          </cell>
          <cell r="M338">
            <v>0</v>
          </cell>
          <cell r="N338">
            <v>0</v>
          </cell>
          <cell r="O338">
            <v>7</v>
          </cell>
          <cell r="P338">
            <v>57</v>
          </cell>
          <cell r="Q338">
            <v>14</v>
          </cell>
          <cell r="R338">
            <v>43</v>
          </cell>
          <cell r="S338">
            <v>171</v>
          </cell>
          <cell r="T338">
            <v>64</v>
          </cell>
        </row>
        <row r="339">
          <cell r="C339" t="str">
            <v>Census Tract 320.08, King County, Washington</v>
          </cell>
          <cell r="D339">
            <v>65</v>
          </cell>
          <cell r="E339">
            <v>37</v>
          </cell>
          <cell r="F339">
            <v>25</v>
          </cell>
          <cell r="G339">
            <v>12</v>
          </cell>
          <cell r="H339">
            <v>0</v>
          </cell>
          <cell r="I339">
            <v>0</v>
          </cell>
          <cell r="J339">
            <v>6</v>
          </cell>
          <cell r="K339">
            <v>6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28</v>
          </cell>
          <cell r="Q339">
            <v>28</v>
          </cell>
          <cell r="R339">
            <v>0</v>
          </cell>
          <cell r="S339">
            <v>37</v>
          </cell>
          <cell r="T339">
            <v>28</v>
          </cell>
        </row>
        <row r="340">
          <cell r="C340" t="str">
            <v>Census Tract 320.09, King County, Washington</v>
          </cell>
          <cell r="D340">
            <v>134</v>
          </cell>
          <cell r="E340">
            <v>54</v>
          </cell>
          <cell r="F340">
            <v>19</v>
          </cell>
          <cell r="G340">
            <v>35</v>
          </cell>
          <cell r="H340">
            <v>0</v>
          </cell>
          <cell r="I340">
            <v>0</v>
          </cell>
          <cell r="J340">
            <v>9</v>
          </cell>
          <cell r="K340">
            <v>26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80</v>
          </cell>
          <cell r="Q340">
            <v>80</v>
          </cell>
          <cell r="R340">
            <v>0</v>
          </cell>
          <cell r="S340">
            <v>54</v>
          </cell>
          <cell r="T340">
            <v>80</v>
          </cell>
        </row>
        <row r="341">
          <cell r="C341" t="str">
            <v>Census Tract 321.02, King County, Washington</v>
          </cell>
          <cell r="D341">
            <v>51</v>
          </cell>
          <cell r="E341">
            <v>28</v>
          </cell>
          <cell r="F341">
            <v>15</v>
          </cell>
          <cell r="G341">
            <v>13</v>
          </cell>
          <cell r="H341">
            <v>0</v>
          </cell>
          <cell r="I341">
            <v>5</v>
          </cell>
          <cell r="J341">
            <v>0</v>
          </cell>
          <cell r="K341">
            <v>8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23</v>
          </cell>
          <cell r="Q341">
            <v>23</v>
          </cell>
          <cell r="R341">
            <v>0</v>
          </cell>
          <cell r="S341">
            <v>28</v>
          </cell>
          <cell r="T341">
            <v>23</v>
          </cell>
        </row>
        <row r="342">
          <cell r="C342" t="str">
            <v>Census Tract 321.03, King County, Washington</v>
          </cell>
          <cell r="D342">
            <v>216</v>
          </cell>
          <cell r="E342">
            <v>57</v>
          </cell>
          <cell r="F342">
            <v>20</v>
          </cell>
          <cell r="G342">
            <v>37</v>
          </cell>
          <cell r="H342">
            <v>8</v>
          </cell>
          <cell r="I342">
            <v>0</v>
          </cell>
          <cell r="J342">
            <v>11</v>
          </cell>
          <cell r="K342">
            <v>18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159</v>
          </cell>
          <cell r="Q342">
            <v>82</v>
          </cell>
          <cell r="R342">
            <v>77</v>
          </cell>
          <cell r="S342">
            <v>57</v>
          </cell>
          <cell r="T342">
            <v>159</v>
          </cell>
        </row>
        <row r="343">
          <cell r="C343" t="str">
            <v>Census Tract 321.04, King County, Washington</v>
          </cell>
          <cell r="D343">
            <v>199</v>
          </cell>
          <cell r="E343">
            <v>76</v>
          </cell>
          <cell r="F343">
            <v>57</v>
          </cell>
          <cell r="G343">
            <v>19</v>
          </cell>
          <cell r="H343">
            <v>0</v>
          </cell>
          <cell r="I343">
            <v>0</v>
          </cell>
          <cell r="J343">
            <v>0</v>
          </cell>
          <cell r="K343">
            <v>19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123</v>
          </cell>
          <cell r="Q343">
            <v>106</v>
          </cell>
          <cell r="R343">
            <v>17</v>
          </cell>
          <cell r="S343">
            <v>76</v>
          </cell>
          <cell r="T343">
            <v>123</v>
          </cell>
        </row>
        <row r="344">
          <cell r="C344" t="str">
            <v>Census Tract 322.03, King County, Washington</v>
          </cell>
          <cell r="D344">
            <v>167</v>
          </cell>
          <cell r="E344">
            <v>85</v>
          </cell>
          <cell r="F344">
            <v>15</v>
          </cell>
          <cell r="G344">
            <v>70</v>
          </cell>
          <cell r="H344">
            <v>0</v>
          </cell>
          <cell r="I344">
            <v>26</v>
          </cell>
          <cell r="J344">
            <v>0</v>
          </cell>
          <cell r="K344">
            <v>44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82</v>
          </cell>
          <cell r="Q344">
            <v>29</v>
          </cell>
          <cell r="R344">
            <v>53</v>
          </cell>
          <cell r="S344">
            <v>85</v>
          </cell>
          <cell r="T344">
            <v>82</v>
          </cell>
        </row>
        <row r="345">
          <cell r="C345" t="str">
            <v>Census Tract 322.07, King County, Washington</v>
          </cell>
          <cell r="D345">
            <v>185</v>
          </cell>
          <cell r="E345">
            <v>97</v>
          </cell>
          <cell r="F345">
            <v>42</v>
          </cell>
          <cell r="G345">
            <v>55</v>
          </cell>
          <cell r="H345">
            <v>9</v>
          </cell>
          <cell r="I345">
            <v>0</v>
          </cell>
          <cell r="J345">
            <v>0</v>
          </cell>
          <cell r="K345">
            <v>46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88</v>
          </cell>
          <cell r="Q345">
            <v>34</v>
          </cell>
          <cell r="R345">
            <v>54</v>
          </cell>
          <cell r="S345">
            <v>97</v>
          </cell>
          <cell r="T345">
            <v>88</v>
          </cell>
        </row>
        <row r="346">
          <cell r="C346" t="str">
            <v>Census Tract 322.08, King County, Washington</v>
          </cell>
          <cell r="D346">
            <v>312</v>
          </cell>
          <cell r="E346">
            <v>185</v>
          </cell>
          <cell r="F346">
            <v>121</v>
          </cell>
          <cell r="G346">
            <v>64</v>
          </cell>
          <cell r="H346">
            <v>4</v>
          </cell>
          <cell r="I346">
            <v>5</v>
          </cell>
          <cell r="J346">
            <v>0</v>
          </cell>
          <cell r="K346">
            <v>55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127</v>
          </cell>
          <cell r="Q346">
            <v>34</v>
          </cell>
          <cell r="R346">
            <v>93</v>
          </cell>
          <cell r="S346">
            <v>185</v>
          </cell>
          <cell r="T346">
            <v>127</v>
          </cell>
        </row>
        <row r="347">
          <cell r="C347" t="str">
            <v>Census Tract 322.09, King County, Washington</v>
          </cell>
          <cell r="D347">
            <v>590</v>
          </cell>
          <cell r="E347">
            <v>177</v>
          </cell>
          <cell r="F347">
            <v>127</v>
          </cell>
          <cell r="G347">
            <v>50</v>
          </cell>
          <cell r="H347">
            <v>0</v>
          </cell>
          <cell r="I347">
            <v>0</v>
          </cell>
          <cell r="J347">
            <v>15</v>
          </cell>
          <cell r="K347">
            <v>35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413</v>
          </cell>
          <cell r="Q347">
            <v>129</v>
          </cell>
          <cell r="R347">
            <v>284</v>
          </cell>
          <cell r="S347">
            <v>177</v>
          </cell>
          <cell r="T347">
            <v>413</v>
          </cell>
        </row>
        <row r="348">
          <cell r="C348" t="str">
            <v>Census Tract 322.10, King County, Washington</v>
          </cell>
          <cell r="D348">
            <v>44</v>
          </cell>
          <cell r="E348">
            <v>14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14</v>
          </cell>
          <cell r="M348">
            <v>0</v>
          </cell>
          <cell r="N348">
            <v>0</v>
          </cell>
          <cell r="O348">
            <v>14</v>
          </cell>
          <cell r="P348">
            <v>30</v>
          </cell>
          <cell r="Q348">
            <v>17</v>
          </cell>
          <cell r="R348">
            <v>13</v>
          </cell>
          <cell r="S348">
            <v>0</v>
          </cell>
          <cell r="T348">
            <v>44</v>
          </cell>
        </row>
        <row r="349">
          <cell r="C349" t="str">
            <v>Census Tract 322.11, King County, Washington</v>
          </cell>
          <cell r="D349">
            <v>787</v>
          </cell>
          <cell r="E349">
            <v>258</v>
          </cell>
          <cell r="F349">
            <v>183</v>
          </cell>
          <cell r="G349">
            <v>75</v>
          </cell>
          <cell r="H349">
            <v>15</v>
          </cell>
          <cell r="I349">
            <v>0</v>
          </cell>
          <cell r="J349">
            <v>25</v>
          </cell>
          <cell r="K349">
            <v>35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529</v>
          </cell>
          <cell r="Q349">
            <v>295</v>
          </cell>
          <cell r="R349">
            <v>234</v>
          </cell>
          <cell r="S349">
            <v>258</v>
          </cell>
          <cell r="T349">
            <v>529</v>
          </cell>
        </row>
        <row r="350">
          <cell r="C350" t="str">
            <v>Census Tract 322.12, King County, Washington</v>
          </cell>
          <cell r="D350">
            <v>1211</v>
          </cell>
          <cell r="E350">
            <v>494</v>
          </cell>
          <cell r="F350">
            <v>247</v>
          </cell>
          <cell r="G350">
            <v>229</v>
          </cell>
          <cell r="H350">
            <v>32</v>
          </cell>
          <cell r="I350">
            <v>0</v>
          </cell>
          <cell r="J350">
            <v>43</v>
          </cell>
          <cell r="K350">
            <v>154</v>
          </cell>
          <cell r="L350">
            <v>18</v>
          </cell>
          <cell r="M350">
            <v>0</v>
          </cell>
          <cell r="N350">
            <v>0</v>
          </cell>
          <cell r="O350">
            <v>18</v>
          </cell>
          <cell r="P350">
            <v>717</v>
          </cell>
          <cell r="Q350">
            <v>280</v>
          </cell>
          <cell r="R350">
            <v>437</v>
          </cell>
          <cell r="S350">
            <v>476</v>
          </cell>
          <cell r="T350">
            <v>735</v>
          </cell>
        </row>
        <row r="351">
          <cell r="C351" t="str">
            <v>Census Tract 323.07, King County, Washington</v>
          </cell>
          <cell r="D351">
            <v>327</v>
          </cell>
          <cell r="E351">
            <v>182</v>
          </cell>
          <cell r="F351">
            <v>106</v>
          </cell>
          <cell r="G351">
            <v>76</v>
          </cell>
          <cell r="H351">
            <v>0</v>
          </cell>
          <cell r="I351">
            <v>0</v>
          </cell>
          <cell r="J351">
            <v>39</v>
          </cell>
          <cell r="K351">
            <v>37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145</v>
          </cell>
          <cell r="Q351">
            <v>112</v>
          </cell>
          <cell r="R351">
            <v>33</v>
          </cell>
          <cell r="S351">
            <v>182</v>
          </cell>
          <cell r="T351">
            <v>145</v>
          </cell>
        </row>
        <row r="352">
          <cell r="C352" t="str">
            <v>Census Tract 323.09, King County, Washington</v>
          </cell>
          <cell r="D352">
            <v>288</v>
          </cell>
          <cell r="E352">
            <v>72</v>
          </cell>
          <cell r="F352">
            <v>13</v>
          </cell>
          <cell r="G352">
            <v>42</v>
          </cell>
          <cell r="H352">
            <v>0</v>
          </cell>
          <cell r="I352">
            <v>14</v>
          </cell>
          <cell r="J352">
            <v>0</v>
          </cell>
          <cell r="K352">
            <v>28</v>
          </cell>
          <cell r="L352">
            <v>17</v>
          </cell>
          <cell r="M352">
            <v>0</v>
          </cell>
          <cell r="N352">
            <v>0</v>
          </cell>
          <cell r="O352">
            <v>17</v>
          </cell>
          <cell r="P352">
            <v>216</v>
          </cell>
          <cell r="Q352">
            <v>77</v>
          </cell>
          <cell r="R352">
            <v>139</v>
          </cell>
          <cell r="S352">
            <v>55</v>
          </cell>
          <cell r="T352">
            <v>233</v>
          </cell>
        </row>
        <row r="353">
          <cell r="C353" t="str">
            <v>Census Tract 323.11, King County, Washington</v>
          </cell>
          <cell r="D353">
            <v>263</v>
          </cell>
          <cell r="E353">
            <v>85</v>
          </cell>
          <cell r="F353">
            <v>6</v>
          </cell>
          <cell r="G353">
            <v>79</v>
          </cell>
          <cell r="H353">
            <v>0</v>
          </cell>
          <cell r="I353">
            <v>13</v>
          </cell>
          <cell r="J353">
            <v>8</v>
          </cell>
          <cell r="K353">
            <v>58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178</v>
          </cell>
          <cell r="Q353">
            <v>109</v>
          </cell>
          <cell r="R353">
            <v>69</v>
          </cell>
          <cell r="S353">
            <v>85</v>
          </cell>
          <cell r="T353">
            <v>178</v>
          </cell>
        </row>
        <row r="354">
          <cell r="C354" t="str">
            <v>Census Tract 323.12, King County, Washington</v>
          </cell>
          <cell r="D354">
            <v>276</v>
          </cell>
          <cell r="E354">
            <v>105</v>
          </cell>
          <cell r="F354">
            <v>30</v>
          </cell>
          <cell r="G354">
            <v>75</v>
          </cell>
          <cell r="H354">
            <v>7</v>
          </cell>
          <cell r="I354">
            <v>5</v>
          </cell>
          <cell r="J354">
            <v>5</v>
          </cell>
          <cell r="K354">
            <v>58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171</v>
          </cell>
          <cell r="Q354">
            <v>102</v>
          </cell>
          <cell r="R354">
            <v>69</v>
          </cell>
          <cell r="S354">
            <v>105</v>
          </cell>
          <cell r="T354">
            <v>171</v>
          </cell>
        </row>
        <row r="355">
          <cell r="C355" t="str">
            <v>Census Tract 323.13, King County, Washington</v>
          </cell>
          <cell r="D355">
            <v>379</v>
          </cell>
          <cell r="E355">
            <v>72</v>
          </cell>
          <cell r="F355">
            <v>36</v>
          </cell>
          <cell r="G355">
            <v>36</v>
          </cell>
          <cell r="H355">
            <v>0</v>
          </cell>
          <cell r="I355">
            <v>7</v>
          </cell>
          <cell r="J355">
            <v>0</v>
          </cell>
          <cell r="K355">
            <v>29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307</v>
          </cell>
          <cell r="Q355">
            <v>53</v>
          </cell>
          <cell r="R355">
            <v>254</v>
          </cell>
          <cell r="S355">
            <v>72</v>
          </cell>
          <cell r="T355">
            <v>307</v>
          </cell>
        </row>
        <row r="356">
          <cell r="C356" t="str">
            <v>Census Tract 323.14, King County, Washington</v>
          </cell>
          <cell r="D356">
            <v>190</v>
          </cell>
          <cell r="E356">
            <v>78</v>
          </cell>
          <cell r="F356">
            <v>15</v>
          </cell>
          <cell r="G356">
            <v>63</v>
          </cell>
          <cell r="H356">
            <v>0</v>
          </cell>
          <cell r="I356">
            <v>0</v>
          </cell>
          <cell r="J356">
            <v>12</v>
          </cell>
          <cell r="K356">
            <v>51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112</v>
          </cell>
          <cell r="Q356">
            <v>86</v>
          </cell>
          <cell r="R356">
            <v>26</v>
          </cell>
          <cell r="S356">
            <v>78</v>
          </cell>
          <cell r="T356">
            <v>112</v>
          </cell>
        </row>
        <row r="357">
          <cell r="C357" t="str">
            <v>Census Tract 323.15, King County, Washington</v>
          </cell>
          <cell r="D357">
            <v>167</v>
          </cell>
          <cell r="E357">
            <v>66</v>
          </cell>
          <cell r="F357">
            <v>30</v>
          </cell>
          <cell r="G357">
            <v>36</v>
          </cell>
          <cell r="H357">
            <v>10</v>
          </cell>
          <cell r="I357">
            <v>9</v>
          </cell>
          <cell r="J357">
            <v>7</v>
          </cell>
          <cell r="K357">
            <v>10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101</v>
          </cell>
          <cell r="Q357">
            <v>97</v>
          </cell>
          <cell r="R357">
            <v>4</v>
          </cell>
          <cell r="S357">
            <v>66</v>
          </cell>
          <cell r="T357">
            <v>101</v>
          </cell>
        </row>
        <row r="358">
          <cell r="C358" t="str">
            <v>Census Tract 323.16, King County, Washington</v>
          </cell>
          <cell r="D358">
            <v>343</v>
          </cell>
          <cell r="E358">
            <v>96</v>
          </cell>
          <cell r="F358">
            <v>34</v>
          </cell>
          <cell r="G358">
            <v>56</v>
          </cell>
          <cell r="H358">
            <v>7</v>
          </cell>
          <cell r="I358">
            <v>0</v>
          </cell>
          <cell r="J358">
            <v>19</v>
          </cell>
          <cell r="K358">
            <v>30</v>
          </cell>
          <cell r="L358">
            <v>6</v>
          </cell>
          <cell r="M358">
            <v>0</v>
          </cell>
          <cell r="N358">
            <v>0</v>
          </cell>
          <cell r="O358">
            <v>6</v>
          </cell>
          <cell r="P358">
            <v>247</v>
          </cell>
          <cell r="Q358">
            <v>163</v>
          </cell>
          <cell r="R358">
            <v>84</v>
          </cell>
          <cell r="S358">
            <v>90</v>
          </cell>
          <cell r="T358">
            <v>253</v>
          </cell>
        </row>
        <row r="359">
          <cell r="C359" t="str">
            <v>Census Tract 323.17, King County, Washington</v>
          </cell>
          <cell r="D359">
            <v>224</v>
          </cell>
          <cell r="E359">
            <v>82</v>
          </cell>
          <cell r="F359">
            <v>47</v>
          </cell>
          <cell r="G359">
            <v>35</v>
          </cell>
          <cell r="H359">
            <v>10</v>
          </cell>
          <cell r="I359">
            <v>0</v>
          </cell>
          <cell r="J359">
            <v>0</v>
          </cell>
          <cell r="K359">
            <v>25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142</v>
          </cell>
          <cell r="Q359">
            <v>103</v>
          </cell>
          <cell r="R359">
            <v>39</v>
          </cell>
          <cell r="S359">
            <v>82</v>
          </cell>
          <cell r="T359">
            <v>142</v>
          </cell>
        </row>
        <row r="360">
          <cell r="C360" t="str">
            <v>Census Tract 323.18, King County, Washington</v>
          </cell>
          <cell r="D360">
            <v>505</v>
          </cell>
          <cell r="E360">
            <v>152</v>
          </cell>
          <cell r="F360">
            <v>123</v>
          </cell>
          <cell r="G360">
            <v>22</v>
          </cell>
          <cell r="H360">
            <v>0</v>
          </cell>
          <cell r="I360">
            <v>0</v>
          </cell>
          <cell r="J360">
            <v>0</v>
          </cell>
          <cell r="K360">
            <v>22</v>
          </cell>
          <cell r="L360">
            <v>7</v>
          </cell>
          <cell r="M360">
            <v>0</v>
          </cell>
          <cell r="N360">
            <v>0</v>
          </cell>
          <cell r="O360">
            <v>7</v>
          </cell>
          <cell r="P360">
            <v>353</v>
          </cell>
          <cell r="Q360">
            <v>143</v>
          </cell>
          <cell r="R360">
            <v>210</v>
          </cell>
          <cell r="S360">
            <v>145</v>
          </cell>
          <cell r="T360">
            <v>360</v>
          </cell>
        </row>
        <row r="361">
          <cell r="C361" t="str">
            <v>Census Tract 323.19, King County, Washington</v>
          </cell>
          <cell r="D361">
            <v>178</v>
          </cell>
          <cell r="E361">
            <v>88</v>
          </cell>
          <cell r="F361">
            <v>64</v>
          </cell>
          <cell r="G361">
            <v>24</v>
          </cell>
          <cell r="H361">
            <v>0</v>
          </cell>
          <cell r="I361">
            <v>0</v>
          </cell>
          <cell r="J361">
            <v>0</v>
          </cell>
          <cell r="K361">
            <v>24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90</v>
          </cell>
          <cell r="Q361">
            <v>70</v>
          </cell>
          <cell r="R361">
            <v>20</v>
          </cell>
          <cell r="S361">
            <v>88</v>
          </cell>
          <cell r="T361">
            <v>90</v>
          </cell>
        </row>
        <row r="362">
          <cell r="C362" t="str">
            <v>Census Tract 323.20, King County, Washington</v>
          </cell>
          <cell r="D362">
            <v>111</v>
          </cell>
          <cell r="E362">
            <v>104</v>
          </cell>
          <cell r="F362">
            <v>89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15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7</v>
          </cell>
          <cell r="Q362">
            <v>7</v>
          </cell>
          <cell r="R362">
            <v>0</v>
          </cell>
          <cell r="S362">
            <v>104</v>
          </cell>
          <cell r="T362">
            <v>7</v>
          </cell>
        </row>
        <row r="363">
          <cell r="C363" t="str">
            <v>Census Tract 323.21, King County, Washington</v>
          </cell>
          <cell r="D363">
            <v>106</v>
          </cell>
          <cell r="E363">
            <v>46</v>
          </cell>
          <cell r="F363">
            <v>0</v>
          </cell>
          <cell r="G363">
            <v>39</v>
          </cell>
          <cell r="H363">
            <v>0</v>
          </cell>
          <cell r="I363">
            <v>0</v>
          </cell>
          <cell r="J363">
            <v>0</v>
          </cell>
          <cell r="K363">
            <v>39</v>
          </cell>
          <cell r="L363">
            <v>7</v>
          </cell>
          <cell r="M363">
            <v>0</v>
          </cell>
          <cell r="N363">
            <v>0</v>
          </cell>
          <cell r="O363">
            <v>7</v>
          </cell>
          <cell r="P363">
            <v>60</v>
          </cell>
          <cell r="Q363">
            <v>48</v>
          </cell>
          <cell r="R363">
            <v>12</v>
          </cell>
          <cell r="S363">
            <v>39</v>
          </cell>
          <cell r="T363">
            <v>67</v>
          </cell>
        </row>
        <row r="364">
          <cell r="C364" t="str">
            <v>Census Tract 323.22, King County, Washington</v>
          </cell>
          <cell r="D364">
            <v>227</v>
          </cell>
          <cell r="E364">
            <v>84</v>
          </cell>
          <cell r="F364">
            <v>32</v>
          </cell>
          <cell r="G364">
            <v>52</v>
          </cell>
          <cell r="H364">
            <v>18</v>
          </cell>
          <cell r="I364">
            <v>0</v>
          </cell>
          <cell r="J364">
            <v>0</v>
          </cell>
          <cell r="K364">
            <v>34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143</v>
          </cell>
          <cell r="Q364">
            <v>75</v>
          </cell>
          <cell r="R364">
            <v>68</v>
          </cell>
          <cell r="S364">
            <v>84</v>
          </cell>
          <cell r="T364">
            <v>143</v>
          </cell>
        </row>
        <row r="365">
          <cell r="C365" t="str">
            <v>Census Tract 323.23, King County, Washington</v>
          </cell>
          <cell r="D365">
            <v>541</v>
          </cell>
          <cell r="E365">
            <v>196</v>
          </cell>
          <cell r="F365">
            <v>118</v>
          </cell>
          <cell r="G365">
            <v>78</v>
          </cell>
          <cell r="H365">
            <v>0</v>
          </cell>
          <cell r="I365">
            <v>6</v>
          </cell>
          <cell r="J365">
            <v>23</v>
          </cell>
          <cell r="K365">
            <v>49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345</v>
          </cell>
          <cell r="Q365">
            <v>142</v>
          </cell>
          <cell r="R365">
            <v>203</v>
          </cell>
          <cell r="S365">
            <v>196</v>
          </cell>
          <cell r="T365">
            <v>345</v>
          </cell>
        </row>
        <row r="366">
          <cell r="C366" t="str">
            <v>Census Tract 323.24, King County, Washington</v>
          </cell>
          <cell r="D366">
            <v>349</v>
          </cell>
          <cell r="E366">
            <v>93</v>
          </cell>
          <cell r="F366">
            <v>25</v>
          </cell>
          <cell r="G366">
            <v>68</v>
          </cell>
          <cell r="H366">
            <v>24</v>
          </cell>
          <cell r="I366">
            <v>7</v>
          </cell>
          <cell r="J366">
            <v>0</v>
          </cell>
          <cell r="K366">
            <v>37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256</v>
          </cell>
          <cell r="Q366">
            <v>110</v>
          </cell>
          <cell r="R366">
            <v>146</v>
          </cell>
          <cell r="S366">
            <v>93</v>
          </cell>
          <cell r="T366">
            <v>256</v>
          </cell>
        </row>
        <row r="367">
          <cell r="C367" t="str">
            <v>Census Tract 323.25, King County, Washington</v>
          </cell>
          <cell r="D367">
            <v>723</v>
          </cell>
          <cell r="E367">
            <v>217</v>
          </cell>
          <cell r="F367">
            <v>140</v>
          </cell>
          <cell r="G367">
            <v>77</v>
          </cell>
          <cell r="H367">
            <v>0</v>
          </cell>
          <cell r="I367">
            <v>7</v>
          </cell>
          <cell r="J367">
            <v>13</v>
          </cell>
          <cell r="K367">
            <v>57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506</v>
          </cell>
          <cell r="Q367">
            <v>133</v>
          </cell>
          <cell r="R367">
            <v>373</v>
          </cell>
          <cell r="S367">
            <v>217</v>
          </cell>
          <cell r="T367">
            <v>506</v>
          </cell>
        </row>
        <row r="368">
          <cell r="C368" t="str">
            <v>Census Tract 324.01, King County, Washington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</row>
        <row r="369">
          <cell r="C369" t="str">
            <v>Census Tract 324.02, King County, Washington</v>
          </cell>
          <cell r="D369">
            <v>96</v>
          </cell>
          <cell r="E369">
            <v>57</v>
          </cell>
          <cell r="F369">
            <v>57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39</v>
          </cell>
          <cell r="Q369">
            <v>7</v>
          </cell>
          <cell r="R369">
            <v>32</v>
          </cell>
          <cell r="S369">
            <v>57</v>
          </cell>
          <cell r="T369">
            <v>39</v>
          </cell>
        </row>
        <row r="370">
          <cell r="C370" t="str">
            <v>Census Tract 325, King County, Washington</v>
          </cell>
          <cell r="D370">
            <v>85</v>
          </cell>
          <cell r="E370">
            <v>42</v>
          </cell>
          <cell r="F370">
            <v>35</v>
          </cell>
          <cell r="G370">
            <v>7</v>
          </cell>
          <cell r="H370">
            <v>0</v>
          </cell>
          <cell r="I370">
            <v>0</v>
          </cell>
          <cell r="J370">
            <v>0</v>
          </cell>
          <cell r="K370">
            <v>7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43</v>
          </cell>
          <cell r="Q370">
            <v>34</v>
          </cell>
          <cell r="R370">
            <v>9</v>
          </cell>
          <cell r="S370">
            <v>42</v>
          </cell>
          <cell r="T370">
            <v>43</v>
          </cell>
        </row>
        <row r="371">
          <cell r="C371" t="str">
            <v>Census Tract 326.01, King County, Washington</v>
          </cell>
          <cell r="D371">
            <v>25</v>
          </cell>
          <cell r="E371">
            <v>16</v>
          </cell>
          <cell r="F371">
            <v>0</v>
          </cell>
          <cell r="G371">
            <v>8</v>
          </cell>
          <cell r="H371">
            <v>0</v>
          </cell>
          <cell r="I371">
            <v>0</v>
          </cell>
          <cell r="J371">
            <v>0</v>
          </cell>
          <cell r="K371">
            <v>8</v>
          </cell>
          <cell r="L371">
            <v>8</v>
          </cell>
          <cell r="M371">
            <v>0</v>
          </cell>
          <cell r="N371">
            <v>0</v>
          </cell>
          <cell r="O371">
            <v>8</v>
          </cell>
          <cell r="P371">
            <v>9</v>
          </cell>
          <cell r="Q371">
            <v>0</v>
          </cell>
          <cell r="R371">
            <v>9</v>
          </cell>
          <cell r="S371">
            <v>8</v>
          </cell>
          <cell r="T371">
            <v>17</v>
          </cell>
        </row>
        <row r="372">
          <cell r="C372" t="str">
            <v>Census Tract 326.02, King County, Washington</v>
          </cell>
          <cell r="D372">
            <v>65</v>
          </cell>
          <cell r="E372">
            <v>46</v>
          </cell>
          <cell r="F372">
            <v>40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6</v>
          </cell>
          <cell r="M372">
            <v>0</v>
          </cell>
          <cell r="N372">
            <v>0</v>
          </cell>
          <cell r="O372">
            <v>6</v>
          </cell>
          <cell r="P372">
            <v>19</v>
          </cell>
          <cell r="Q372">
            <v>19</v>
          </cell>
          <cell r="R372">
            <v>0</v>
          </cell>
          <cell r="S372">
            <v>40</v>
          </cell>
          <cell r="T372">
            <v>25</v>
          </cell>
        </row>
        <row r="373">
          <cell r="C373" t="str">
            <v>Census Tract 327.02, King County, Washington</v>
          </cell>
          <cell r="D373">
            <v>100</v>
          </cell>
          <cell r="E373">
            <v>20</v>
          </cell>
          <cell r="F373">
            <v>9</v>
          </cell>
          <cell r="G373">
            <v>11</v>
          </cell>
          <cell r="H373">
            <v>3</v>
          </cell>
          <cell r="I373">
            <v>5</v>
          </cell>
          <cell r="J373">
            <v>0</v>
          </cell>
          <cell r="K373">
            <v>3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80</v>
          </cell>
          <cell r="Q373">
            <v>63</v>
          </cell>
          <cell r="R373">
            <v>17</v>
          </cell>
          <cell r="S373">
            <v>20</v>
          </cell>
          <cell r="T373">
            <v>80</v>
          </cell>
        </row>
        <row r="374">
          <cell r="C374" t="str">
            <v>Census Tract 327.03, King County, Washington</v>
          </cell>
          <cell r="D374">
            <v>58</v>
          </cell>
          <cell r="E374">
            <v>12</v>
          </cell>
          <cell r="F374">
            <v>12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46</v>
          </cell>
          <cell r="Q374">
            <v>31</v>
          </cell>
          <cell r="R374">
            <v>15</v>
          </cell>
          <cell r="S374">
            <v>12</v>
          </cell>
          <cell r="T374">
            <v>46</v>
          </cell>
        </row>
        <row r="375">
          <cell r="C375" t="str">
            <v>Census Tract 327.04, King County, Washington</v>
          </cell>
          <cell r="D375">
            <v>105</v>
          </cell>
          <cell r="E375">
            <v>38</v>
          </cell>
          <cell r="F375">
            <v>28</v>
          </cell>
          <cell r="G375">
            <v>10</v>
          </cell>
          <cell r="H375">
            <v>0</v>
          </cell>
          <cell r="I375">
            <v>10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67</v>
          </cell>
          <cell r="Q375">
            <v>37</v>
          </cell>
          <cell r="R375">
            <v>30</v>
          </cell>
          <cell r="S375">
            <v>38</v>
          </cell>
          <cell r="T375">
            <v>67</v>
          </cell>
        </row>
        <row r="376">
          <cell r="C376" t="str">
            <v>Census Tract 328, King County, Washington</v>
          </cell>
          <cell r="D376">
            <v>4</v>
          </cell>
          <cell r="E376">
            <v>2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2</v>
          </cell>
          <cell r="M376">
            <v>0</v>
          </cell>
          <cell r="N376">
            <v>0</v>
          </cell>
          <cell r="O376">
            <v>2</v>
          </cell>
          <cell r="P376">
            <v>2</v>
          </cell>
          <cell r="Q376">
            <v>0</v>
          </cell>
          <cell r="R376">
            <v>2</v>
          </cell>
          <cell r="S376">
            <v>0</v>
          </cell>
          <cell r="T376">
            <v>4</v>
          </cell>
        </row>
        <row r="377">
          <cell r="C377" t="str">
            <v>Aberdeen city, Washington</v>
          </cell>
          <cell r="D377">
            <v>298</v>
          </cell>
          <cell r="E377">
            <v>84</v>
          </cell>
          <cell r="F377">
            <v>45</v>
          </cell>
          <cell r="G377">
            <v>24</v>
          </cell>
          <cell r="H377">
            <v>0</v>
          </cell>
          <cell r="I377">
            <v>0</v>
          </cell>
          <cell r="J377">
            <v>0</v>
          </cell>
          <cell r="K377">
            <v>24</v>
          </cell>
          <cell r="L377">
            <v>15</v>
          </cell>
          <cell r="M377">
            <v>0</v>
          </cell>
          <cell r="N377">
            <v>0</v>
          </cell>
          <cell r="O377">
            <v>15</v>
          </cell>
          <cell r="P377">
            <v>214</v>
          </cell>
          <cell r="Q377">
            <v>92</v>
          </cell>
          <cell r="R377">
            <v>122</v>
          </cell>
          <cell r="S377">
            <v>69</v>
          </cell>
          <cell r="T377">
            <v>229</v>
          </cell>
        </row>
        <row r="378">
          <cell r="C378" t="str">
            <v>Aberdeen Gardens CDP, Washington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</row>
        <row r="379">
          <cell r="C379" t="str">
            <v>Acme CDP, Washington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</row>
        <row r="380">
          <cell r="C380" t="str">
            <v>Ahtanum CDP, Washington</v>
          </cell>
          <cell r="D380">
            <v>35</v>
          </cell>
          <cell r="E380">
            <v>27</v>
          </cell>
          <cell r="F380">
            <v>27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8</v>
          </cell>
          <cell r="Q380">
            <v>8</v>
          </cell>
          <cell r="R380">
            <v>0</v>
          </cell>
          <cell r="S380">
            <v>27</v>
          </cell>
          <cell r="T380">
            <v>8</v>
          </cell>
        </row>
        <row r="381">
          <cell r="C381" t="str">
            <v>Airway Heights city, Washington</v>
          </cell>
          <cell r="D381">
            <v>82</v>
          </cell>
          <cell r="E381">
            <v>42</v>
          </cell>
          <cell r="F381">
            <v>22</v>
          </cell>
          <cell r="G381">
            <v>8</v>
          </cell>
          <cell r="H381">
            <v>0</v>
          </cell>
          <cell r="I381">
            <v>0</v>
          </cell>
          <cell r="J381">
            <v>5</v>
          </cell>
          <cell r="K381">
            <v>3</v>
          </cell>
          <cell r="L381">
            <v>12</v>
          </cell>
          <cell r="M381">
            <v>0</v>
          </cell>
          <cell r="N381">
            <v>0</v>
          </cell>
          <cell r="O381">
            <v>12</v>
          </cell>
          <cell r="P381">
            <v>40</v>
          </cell>
          <cell r="Q381">
            <v>30</v>
          </cell>
          <cell r="R381">
            <v>10</v>
          </cell>
          <cell r="S381">
            <v>30</v>
          </cell>
          <cell r="T381">
            <v>52</v>
          </cell>
        </row>
        <row r="382">
          <cell r="C382" t="str">
            <v>Albion town, Washington</v>
          </cell>
          <cell r="D382">
            <v>6</v>
          </cell>
          <cell r="E382">
            <v>3</v>
          </cell>
          <cell r="F382">
            <v>0</v>
          </cell>
          <cell r="G382">
            <v>3</v>
          </cell>
          <cell r="H382">
            <v>3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3</v>
          </cell>
          <cell r="Q382">
            <v>3</v>
          </cell>
          <cell r="R382">
            <v>0</v>
          </cell>
          <cell r="S382">
            <v>3</v>
          </cell>
          <cell r="T382">
            <v>3</v>
          </cell>
        </row>
        <row r="383">
          <cell r="C383" t="str">
            <v>Alderwood Manor CDP, Washington</v>
          </cell>
          <cell r="D383">
            <v>1245</v>
          </cell>
          <cell r="E383">
            <v>325</v>
          </cell>
          <cell r="F383">
            <v>223</v>
          </cell>
          <cell r="G383">
            <v>84</v>
          </cell>
          <cell r="H383">
            <v>0</v>
          </cell>
          <cell r="I383">
            <v>8</v>
          </cell>
          <cell r="J383">
            <v>0</v>
          </cell>
          <cell r="K383">
            <v>76</v>
          </cell>
          <cell r="L383">
            <v>18</v>
          </cell>
          <cell r="M383">
            <v>0</v>
          </cell>
          <cell r="N383">
            <v>0</v>
          </cell>
          <cell r="O383">
            <v>18</v>
          </cell>
          <cell r="P383">
            <v>920</v>
          </cell>
          <cell r="Q383">
            <v>642</v>
          </cell>
          <cell r="R383">
            <v>278</v>
          </cell>
          <cell r="S383">
            <v>307</v>
          </cell>
          <cell r="T383">
            <v>938</v>
          </cell>
        </row>
        <row r="384">
          <cell r="C384" t="str">
            <v>Alger CDP, Washington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</row>
        <row r="385">
          <cell r="C385" t="str">
            <v>Algona city, Washington</v>
          </cell>
          <cell r="D385">
            <v>188</v>
          </cell>
          <cell r="E385">
            <v>57</v>
          </cell>
          <cell r="F385">
            <v>53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4</v>
          </cell>
          <cell r="M385">
            <v>0</v>
          </cell>
          <cell r="N385">
            <v>0</v>
          </cell>
          <cell r="O385">
            <v>4</v>
          </cell>
          <cell r="P385">
            <v>131</v>
          </cell>
          <cell r="Q385">
            <v>100</v>
          </cell>
          <cell r="R385">
            <v>31</v>
          </cell>
          <cell r="S385">
            <v>53</v>
          </cell>
          <cell r="T385">
            <v>135</v>
          </cell>
        </row>
        <row r="386">
          <cell r="C386" t="str">
            <v>Allyn-Grapeview CDP, Washington</v>
          </cell>
          <cell r="D386">
            <v>7</v>
          </cell>
          <cell r="E386">
            <v>1</v>
          </cell>
          <cell r="F386">
            <v>1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6</v>
          </cell>
          <cell r="Q386">
            <v>2</v>
          </cell>
          <cell r="R386">
            <v>4</v>
          </cell>
          <cell r="S386">
            <v>1</v>
          </cell>
          <cell r="T386">
            <v>6</v>
          </cell>
        </row>
        <row r="387">
          <cell r="C387" t="str">
            <v>Almira town, Washington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</row>
        <row r="388">
          <cell r="C388" t="str">
            <v>Amboy CDP, Washington</v>
          </cell>
          <cell r="D388">
            <v>19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19</v>
          </cell>
          <cell r="Q388">
            <v>12</v>
          </cell>
          <cell r="R388">
            <v>7</v>
          </cell>
          <cell r="S388">
            <v>0</v>
          </cell>
          <cell r="T388">
            <v>19</v>
          </cell>
        </row>
        <row r="389">
          <cell r="C389" t="str">
            <v>Ames Lake CDP, Washington</v>
          </cell>
          <cell r="D389">
            <v>65</v>
          </cell>
          <cell r="E389">
            <v>24</v>
          </cell>
          <cell r="F389">
            <v>7</v>
          </cell>
          <cell r="G389">
            <v>17</v>
          </cell>
          <cell r="H389">
            <v>0</v>
          </cell>
          <cell r="I389">
            <v>0</v>
          </cell>
          <cell r="J389">
            <v>7</v>
          </cell>
          <cell r="K389">
            <v>10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41</v>
          </cell>
          <cell r="Q389">
            <v>41</v>
          </cell>
          <cell r="R389">
            <v>0</v>
          </cell>
          <cell r="S389">
            <v>24</v>
          </cell>
          <cell r="T389">
            <v>41</v>
          </cell>
        </row>
        <row r="390">
          <cell r="C390" t="str">
            <v>Anacortes city, Washington</v>
          </cell>
          <cell r="D390">
            <v>249</v>
          </cell>
          <cell r="E390">
            <v>52</v>
          </cell>
          <cell r="F390">
            <v>21</v>
          </cell>
          <cell r="G390">
            <v>24</v>
          </cell>
          <cell r="H390">
            <v>0</v>
          </cell>
          <cell r="I390">
            <v>10</v>
          </cell>
          <cell r="J390">
            <v>0</v>
          </cell>
          <cell r="K390">
            <v>14</v>
          </cell>
          <cell r="L390">
            <v>7</v>
          </cell>
          <cell r="M390">
            <v>0</v>
          </cell>
          <cell r="N390">
            <v>0</v>
          </cell>
          <cell r="O390">
            <v>7</v>
          </cell>
          <cell r="P390">
            <v>197</v>
          </cell>
          <cell r="Q390">
            <v>91</v>
          </cell>
          <cell r="R390">
            <v>106</v>
          </cell>
          <cell r="S390">
            <v>45</v>
          </cell>
          <cell r="T390">
            <v>204</v>
          </cell>
        </row>
        <row r="391">
          <cell r="C391" t="str">
            <v>Arlington city, Washington</v>
          </cell>
          <cell r="D391">
            <v>216</v>
          </cell>
          <cell r="E391">
            <v>88</v>
          </cell>
          <cell r="F391">
            <v>26</v>
          </cell>
          <cell r="G391">
            <v>62</v>
          </cell>
          <cell r="H391">
            <v>0</v>
          </cell>
          <cell r="I391">
            <v>0</v>
          </cell>
          <cell r="J391">
            <v>0</v>
          </cell>
          <cell r="K391">
            <v>62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128</v>
          </cell>
          <cell r="Q391">
            <v>71</v>
          </cell>
          <cell r="R391">
            <v>57</v>
          </cell>
          <cell r="S391">
            <v>88</v>
          </cell>
          <cell r="T391">
            <v>128</v>
          </cell>
        </row>
        <row r="392">
          <cell r="C392" t="str">
            <v>Arlington Heights CDP, Washington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</row>
        <row r="393">
          <cell r="C393" t="str">
            <v>Artondale CDP, Washington</v>
          </cell>
          <cell r="D393">
            <v>117</v>
          </cell>
          <cell r="E393">
            <v>51</v>
          </cell>
          <cell r="F393">
            <v>38</v>
          </cell>
          <cell r="G393">
            <v>5</v>
          </cell>
          <cell r="H393">
            <v>0</v>
          </cell>
          <cell r="I393">
            <v>0</v>
          </cell>
          <cell r="J393">
            <v>0</v>
          </cell>
          <cell r="K393">
            <v>5</v>
          </cell>
          <cell r="L393">
            <v>8</v>
          </cell>
          <cell r="M393">
            <v>0</v>
          </cell>
          <cell r="N393">
            <v>0</v>
          </cell>
          <cell r="O393">
            <v>8</v>
          </cell>
          <cell r="P393">
            <v>66</v>
          </cell>
          <cell r="Q393">
            <v>54</v>
          </cell>
          <cell r="R393">
            <v>12</v>
          </cell>
          <cell r="S393">
            <v>43</v>
          </cell>
          <cell r="T393">
            <v>74</v>
          </cell>
        </row>
        <row r="394">
          <cell r="C394" t="str">
            <v>Ashford CDP, Washington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</row>
        <row r="395">
          <cell r="C395" t="str">
            <v>Asotin city, Washington</v>
          </cell>
          <cell r="D395">
            <v>4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4</v>
          </cell>
          <cell r="Q395">
            <v>0</v>
          </cell>
          <cell r="R395">
            <v>4</v>
          </cell>
          <cell r="S395">
            <v>0</v>
          </cell>
          <cell r="T395">
            <v>4</v>
          </cell>
        </row>
        <row r="396">
          <cell r="C396" t="str">
            <v>Auburn city, Washington</v>
          </cell>
          <cell r="D396">
            <v>1565</v>
          </cell>
          <cell r="E396">
            <v>595</v>
          </cell>
          <cell r="F396">
            <v>437</v>
          </cell>
          <cell r="G396">
            <v>125</v>
          </cell>
          <cell r="H396">
            <v>6</v>
          </cell>
          <cell r="I396">
            <v>15</v>
          </cell>
          <cell r="J396">
            <v>15</v>
          </cell>
          <cell r="K396">
            <v>89</v>
          </cell>
          <cell r="L396">
            <v>33</v>
          </cell>
          <cell r="M396">
            <v>0</v>
          </cell>
          <cell r="N396">
            <v>0</v>
          </cell>
          <cell r="O396">
            <v>33</v>
          </cell>
          <cell r="P396">
            <v>970</v>
          </cell>
          <cell r="Q396">
            <v>592</v>
          </cell>
          <cell r="R396">
            <v>378</v>
          </cell>
          <cell r="S396">
            <v>562</v>
          </cell>
          <cell r="T396">
            <v>1003</v>
          </cell>
        </row>
        <row r="397">
          <cell r="C397" t="str">
            <v>Ault Field CDP, Washington</v>
          </cell>
          <cell r="D397">
            <v>257</v>
          </cell>
          <cell r="E397">
            <v>56</v>
          </cell>
          <cell r="F397">
            <v>8</v>
          </cell>
          <cell r="G397">
            <v>37</v>
          </cell>
          <cell r="H397">
            <v>0</v>
          </cell>
          <cell r="I397">
            <v>0</v>
          </cell>
          <cell r="J397">
            <v>27</v>
          </cell>
          <cell r="K397">
            <v>10</v>
          </cell>
          <cell r="L397">
            <v>11</v>
          </cell>
          <cell r="M397">
            <v>0</v>
          </cell>
          <cell r="N397">
            <v>0</v>
          </cell>
          <cell r="O397">
            <v>11</v>
          </cell>
          <cell r="P397">
            <v>201</v>
          </cell>
          <cell r="Q397">
            <v>66</v>
          </cell>
          <cell r="R397">
            <v>135</v>
          </cell>
          <cell r="S397">
            <v>45</v>
          </cell>
          <cell r="T397">
            <v>212</v>
          </cell>
        </row>
        <row r="398">
          <cell r="C398" t="str">
            <v>Bainbridge Island city, Washington</v>
          </cell>
          <cell r="D398">
            <v>480</v>
          </cell>
          <cell r="E398">
            <v>221</v>
          </cell>
          <cell r="F398">
            <v>137</v>
          </cell>
          <cell r="G398">
            <v>84</v>
          </cell>
          <cell r="H398">
            <v>0</v>
          </cell>
          <cell r="I398">
            <v>6</v>
          </cell>
          <cell r="J398">
            <v>6</v>
          </cell>
          <cell r="K398">
            <v>72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259</v>
          </cell>
          <cell r="Q398">
            <v>137</v>
          </cell>
          <cell r="R398">
            <v>122</v>
          </cell>
          <cell r="S398">
            <v>221</v>
          </cell>
          <cell r="T398">
            <v>259</v>
          </cell>
        </row>
        <row r="399">
          <cell r="C399" t="str">
            <v>Bangor Trident Base CDP, Washington</v>
          </cell>
          <cell r="D399">
            <v>306</v>
          </cell>
          <cell r="E399">
            <v>133</v>
          </cell>
          <cell r="F399">
            <v>9</v>
          </cell>
          <cell r="G399">
            <v>80</v>
          </cell>
          <cell r="H399">
            <v>0</v>
          </cell>
          <cell r="I399">
            <v>5</v>
          </cell>
          <cell r="J399">
            <v>8</v>
          </cell>
          <cell r="K399">
            <v>67</v>
          </cell>
          <cell r="L399">
            <v>44</v>
          </cell>
          <cell r="M399">
            <v>0</v>
          </cell>
          <cell r="N399">
            <v>21</v>
          </cell>
          <cell r="O399">
            <v>23</v>
          </cell>
          <cell r="P399">
            <v>173</v>
          </cell>
          <cell r="Q399">
            <v>152</v>
          </cell>
          <cell r="R399">
            <v>21</v>
          </cell>
          <cell r="S399">
            <v>89</v>
          </cell>
          <cell r="T399">
            <v>217</v>
          </cell>
        </row>
        <row r="400">
          <cell r="C400" t="str">
            <v>Banks Lake South CDP, Washington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C401" t="str">
            <v>Barberton CDP, Washington</v>
          </cell>
          <cell r="D401">
            <v>65</v>
          </cell>
          <cell r="E401">
            <v>24</v>
          </cell>
          <cell r="F401">
            <v>11</v>
          </cell>
          <cell r="G401">
            <v>13</v>
          </cell>
          <cell r="H401">
            <v>0</v>
          </cell>
          <cell r="I401">
            <v>0</v>
          </cell>
          <cell r="J401">
            <v>0</v>
          </cell>
          <cell r="K401">
            <v>13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41</v>
          </cell>
          <cell r="Q401">
            <v>26</v>
          </cell>
          <cell r="R401">
            <v>15</v>
          </cell>
          <cell r="S401">
            <v>24</v>
          </cell>
          <cell r="T401">
            <v>41</v>
          </cell>
        </row>
        <row r="402">
          <cell r="C402" t="str">
            <v>Baring CDP, Washington</v>
          </cell>
          <cell r="D402">
            <v>4</v>
          </cell>
          <cell r="E402">
            <v>2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2</v>
          </cell>
          <cell r="M402">
            <v>0</v>
          </cell>
          <cell r="N402">
            <v>0</v>
          </cell>
          <cell r="O402">
            <v>2</v>
          </cell>
          <cell r="P402">
            <v>2</v>
          </cell>
          <cell r="Q402">
            <v>0</v>
          </cell>
          <cell r="R402">
            <v>2</v>
          </cell>
          <cell r="S402">
            <v>0</v>
          </cell>
          <cell r="T402">
            <v>4</v>
          </cell>
        </row>
        <row r="403">
          <cell r="C403" t="str">
            <v>Basin City CDP, Washington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</row>
        <row r="404">
          <cell r="C404" t="str">
            <v>Battle Ground city, Washington</v>
          </cell>
          <cell r="D404">
            <v>66</v>
          </cell>
          <cell r="E404">
            <v>33</v>
          </cell>
          <cell r="F404">
            <v>0</v>
          </cell>
          <cell r="G404">
            <v>33</v>
          </cell>
          <cell r="H404">
            <v>0</v>
          </cell>
          <cell r="I404">
            <v>0</v>
          </cell>
          <cell r="J404">
            <v>0</v>
          </cell>
          <cell r="K404">
            <v>33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33</v>
          </cell>
          <cell r="Q404">
            <v>22</v>
          </cell>
          <cell r="R404">
            <v>11</v>
          </cell>
          <cell r="S404">
            <v>33</v>
          </cell>
          <cell r="T404">
            <v>33</v>
          </cell>
        </row>
        <row r="405">
          <cell r="C405" t="str">
            <v>Bay Center CDP, Washington</v>
          </cell>
          <cell r="D405">
            <v>3</v>
          </cell>
          <cell r="E405">
            <v>3</v>
          </cell>
          <cell r="F405">
            <v>0</v>
          </cell>
          <cell r="G405">
            <v>3</v>
          </cell>
          <cell r="H405">
            <v>0</v>
          </cell>
          <cell r="I405">
            <v>0</v>
          </cell>
          <cell r="J405">
            <v>0</v>
          </cell>
          <cell r="K405">
            <v>3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3</v>
          </cell>
          <cell r="T405">
            <v>0</v>
          </cell>
        </row>
        <row r="406">
          <cell r="C406" t="str">
            <v>Bay View CDP, Washington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</row>
        <row r="407">
          <cell r="C407" t="str">
            <v>Beaux Arts Village town, Washington</v>
          </cell>
          <cell r="D407">
            <v>12</v>
          </cell>
          <cell r="E407">
            <v>6</v>
          </cell>
          <cell r="F407">
            <v>0</v>
          </cell>
          <cell r="G407">
            <v>6</v>
          </cell>
          <cell r="H407">
            <v>0</v>
          </cell>
          <cell r="I407">
            <v>0</v>
          </cell>
          <cell r="J407">
            <v>0</v>
          </cell>
          <cell r="K407">
            <v>6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6</v>
          </cell>
          <cell r="Q407">
            <v>6</v>
          </cell>
          <cell r="R407">
            <v>0</v>
          </cell>
          <cell r="S407">
            <v>6</v>
          </cell>
          <cell r="T407">
            <v>6</v>
          </cell>
        </row>
        <row r="408">
          <cell r="C408" t="str">
            <v>Bellevue city, Washington</v>
          </cell>
          <cell r="D408">
            <v>18828</v>
          </cell>
          <cell r="E408">
            <v>5536</v>
          </cell>
          <cell r="F408">
            <v>3190</v>
          </cell>
          <cell r="G408">
            <v>2099</v>
          </cell>
          <cell r="H408">
            <v>302</v>
          </cell>
          <cell r="I408">
            <v>307</v>
          </cell>
          <cell r="J408">
            <v>299</v>
          </cell>
          <cell r="K408">
            <v>1191</v>
          </cell>
          <cell r="L408">
            <v>247</v>
          </cell>
          <cell r="M408">
            <v>0</v>
          </cell>
          <cell r="N408">
            <v>45</v>
          </cell>
          <cell r="O408">
            <v>202</v>
          </cell>
          <cell r="P408">
            <v>13292</v>
          </cell>
          <cell r="Q408">
            <v>5885</v>
          </cell>
          <cell r="R408">
            <v>7407</v>
          </cell>
          <cell r="S408">
            <v>5289</v>
          </cell>
          <cell r="T408">
            <v>13539</v>
          </cell>
        </row>
        <row r="409">
          <cell r="C409" t="str">
            <v>Bell Hill CDP, Washington</v>
          </cell>
          <cell r="D409">
            <v>27</v>
          </cell>
          <cell r="E409">
            <v>14</v>
          </cell>
          <cell r="F409">
            <v>0</v>
          </cell>
          <cell r="G409">
            <v>14</v>
          </cell>
          <cell r="H409">
            <v>0</v>
          </cell>
          <cell r="I409">
            <v>7</v>
          </cell>
          <cell r="J409">
            <v>0</v>
          </cell>
          <cell r="K409">
            <v>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13</v>
          </cell>
          <cell r="Q409">
            <v>13</v>
          </cell>
          <cell r="R409">
            <v>0</v>
          </cell>
          <cell r="S409">
            <v>14</v>
          </cell>
          <cell r="T409">
            <v>13</v>
          </cell>
        </row>
        <row r="410">
          <cell r="C410" t="str">
            <v>Bellingham city, Washington</v>
          </cell>
          <cell r="D410">
            <v>2680</v>
          </cell>
          <cell r="E410">
            <v>884</v>
          </cell>
          <cell r="F410">
            <v>445</v>
          </cell>
          <cell r="G410">
            <v>387</v>
          </cell>
          <cell r="H410">
            <v>63</v>
          </cell>
          <cell r="I410">
            <v>80</v>
          </cell>
          <cell r="J410">
            <v>16</v>
          </cell>
          <cell r="K410">
            <v>228</v>
          </cell>
          <cell r="L410">
            <v>52</v>
          </cell>
          <cell r="M410">
            <v>0</v>
          </cell>
          <cell r="N410">
            <v>0</v>
          </cell>
          <cell r="O410">
            <v>52</v>
          </cell>
          <cell r="P410">
            <v>1796</v>
          </cell>
          <cell r="Q410">
            <v>805</v>
          </cell>
          <cell r="R410">
            <v>991</v>
          </cell>
          <cell r="S410">
            <v>832</v>
          </cell>
          <cell r="T410">
            <v>1848</v>
          </cell>
        </row>
        <row r="411">
          <cell r="C411" t="str">
            <v>Benton City city, Washington</v>
          </cell>
          <cell r="D411">
            <v>6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6</v>
          </cell>
          <cell r="Q411">
            <v>0</v>
          </cell>
          <cell r="R411">
            <v>6</v>
          </cell>
          <cell r="S411">
            <v>0</v>
          </cell>
          <cell r="T411">
            <v>6</v>
          </cell>
        </row>
        <row r="412">
          <cell r="C412" t="str">
            <v>Bickleton CDP, Washington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C413" t="str">
            <v>Big Lake CDP, Washington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</row>
        <row r="414">
          <cell r="C414" t="str">
            <v>Bingen city, Washington</v>
          </cell>
          <cell r="D414">
            <v>11</v>
          </cell>
          <cell r="E414">
            <v>7</v>
          </cell>
          <cell r="F414">
            <v>0</v>
          </cell>
          <cell r="G414">
            <v>7</v>
          </cell>
          <cell r="H414">
            <v>0</v>
          </cell>
          <cell r="I414">
            <v>0</v>
          </cell>
          <cell r="J414">
            <v>0</v>
          </cell>
          <cell r="K414">
            <v>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4</v>
          </cell>
          <cell r="Q414">
            <v>2</v>
          </cell>
          <cell r="R414">
            <v>2</v>
          </cell>
          <cell r="S414">
            <v>7</v>
          </cell>
          <cell r="T414">
            <v>4</v>
          </cell>
        </row>
        <row r="415">
          <cell r="C415" t="str">
            <v>Birch Bay CDP, Washington</v>
          </cell>
          <cell r="D415">
            <v>30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30</v>
          </cell>
          <cell r="Q415">
            <v>30</v>
          </cell>
          <cell r="R415">
            <v>0</v>
          </cell>
          <cell r="S415">
            <v>0</v>
          </cell>
          <cell r="T415">
            <v>30</v>
          </cell>
        </row>
        <row r="416">
          <cell r="C416" t="str">
            <v>Black Diamond city, Washington</v>
          </cell>
          <cell r="D416">
            <v>78</v>
          </cell>
          <cell r="E416">
            <v>37</v>
          </cell>
          <cell r="F416">
            <v>14</v>
          </cell>
          <cell r="G416">
            <v>23</v>
          </cell>
          <cell r="H416">
            <v>0</v>
          </cell>
          <cell r="I416">
            <v>0</v>
          </cell>
          <cell r="J416">
            <v>0</v>
          </cell>
          <cell r="K416">
            <v>23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41</v>
          </cell>
          <cell r="Q416">
            <v>32</v>
          </cell>
          <cell r="R416">
            <v>9</v>
          </cell>
          <cell r="S416">
            <v>37</v>
          </cell>
          <cell r="T416">
            <v>41</v>
          </cell>
        </row>
        <row r="417">
          <cell r="C417" t="str">
            <v>Blaine city, Washington</v>
          </cell>
          <cell r="D417">
            <v>70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70</v>
          </cell>
          <cell r="Q417">
            <v>70</v>
          </cell>
          <cell r="R417">
            <v>0</v>
          </cell>
          <cell r="S417">
            <v>0</v>
          </cell>
          <cell r="T417">
            <v>70</v>
          </cell>
        </row>
        <row r="418">
          <cell r="C418" t="str">
            <v>Blyn CDP, Washington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</row>
        <row r="419">
          <cell r="C419" t="str">
            <v>Bonney Lake city, Washington</v>
          </cell>
          <cell r="D419">
            <v>17</v>
          </cell>
          <cell r="E419">
            <v>9</v>
          </cell>
          <cell r="F419">
            <v>0</v>
          </cell>
          <cell r="G419">
            <v>9</v>
          </cell>
          <cell r="H419">
            <v>0</v>
          </cell>
          <cell r="I419">
            <v>0</v>
          </cell>
          <cell r="J419">
            <v>0</v>
          </cell>
          <cell r="K419">
            <v>9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8</v>
          </cell>
          <cell r="Q419">
            <v>0</v>
          </cell>
          <cell r="R419">
            <v>8</v>
          </cell>
          <cell r="S419">
            <v>9</v>
          </cell>
          <cell r="T419">
            <v>8</v>
          </cell>
        </row>
        <row r="420">
          <cell r="C420" t="str">
            <v>Bothell city, Washington</v>
          </cell>
          <cell r="D420">
            <v>2317</v>
          </cell>
          <cell r="E420">
            <v>910</v>
          </cell>
          <cell r="F420">
            <v>479</v>
          </cell>
          <cell r="G420">
            <v>387</v>
          </cell>
          <cell r="H420">
            <v>32</v>
          </cell>
          <cell r="I420">
            <v>110</v>
          </cell>
          <cell r="J420">
            <v>45</v>
          </cell>
          <cell r="K420">
            <v>200</v>
          </cell>
          <cell r="L420">
            <v>44</v>
          </cell>
          <cell r="M420">
            <v>0</v>
          </cell>
          <cell r="N420">
            <v>0</v>
          </cell>
          <cell r="O420">
            <v>44</v>
          </cell>
          <cell r="P420">
            <v>1407</v>
          </cell>
          <cell r="Q420">
            <v>774</v>
          </cell>
          <cell r="R420">
            <v>633</v>
          </cell>
          <cell r="S420">
            <v>866</v>
          </cell>
          <cell r="T420">
            <v>1451</v>
          </cell>
        </row>
        <row r="421">
          <cell r="C421" t="str">
            <v>Brady CDP, Washington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</row>
        <row r="422">
          <cell r="C422" t="str">
            <v>Bremerton city, Washington</v>
          </cell>
          <cell r="D422">
            <v>2074</v>
          </cell>
          <cell r="E422">
            <v>623</v>
          </cell>
          <cell r="F422">
            <v>239</v>
          </cell>
          <cell r="G422">
            <v>272</v>
          </cell>
          <cell r="H422">
            <v>0</v>
          </cell>
          <cell r="I422">
            <v>38</v>
          </cell>
          <cell r="J422">
            <v>44</v>
          </cell>
          <cell r="K422">
            <v>190</v>
          </cell>
          <cell r="L422">
            <v>112</v>
          </cell>
          <cell r="M422">
            <v>0</v>
          </cell>
          <cell r="N422">
            <v>15</v>
          </cell>
          <cell r="O422">
            <v>97</v>
          </cell>
          <cell r="P422">
            <v>1451</v>
          </cell>
          <cell r="Q422">
            <v>810</v>
          </cell>
          <cell r="R422">
            <v>641</v>
          </cell>
          <cell r="S422">
            <v>511</v>
          </cell>
          <cell r="T422">
            <v>1563</v>
          </cell>
        </row>
        <row r="423">
          <cell r="C423" t="str">
            <v>Brewster city, Washington</v>
          </cell>
          <cell r="D423">
            <v>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4</v>
          </cell>
          <cell r="Q423">
            <v>4</v>
          </cell>
          <cell r="R423">
            <v>0</v>
          </cell>
          <cell r="S423">
            <v>0</v>
          </cell>
          <cell r="T423">
            <v>4</v>
          </cell>
        </row>
        <row r="424">
          <cell r="C424" t="str">
            <v>Bridgeport city, Washington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C425" t="str">
            <v>Brier city, Washington</v>
          </cell>
          <cell r="D425">
            <v>483</v>
          </cell>
          <cell r="E425">
            <v>126</v>
          </cell>
          <cell r="F425">
            <v>99</v>
          </cell>
          <cell r="G425">
            <v>27</v>
          </cell>
          <cell r="H425">
            <v>0</v>
          </cell>
          <cell r="I425">
            <v>7</v>
          </cell>
          <cell r="J425">
            <v>0</v>
          </cell>
          <cell r="K425">
            <v>20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357</v>
          </cell>
          <cell r="Q425">
            <v>319</v>
          </cell>
          <cell r="R425">
            <v>38</v>
          </cell>
          <cell r="S425">
            <v>126</v>
          </cell>
          <cell r="T425">
            <v>357</v>
          </cell>
        </row>
        <row r="426">
          <cell r="C426" t="str">
            <v>Brinnon CDP, Washington</v>
          </cell>
          <cell r="D426">
            <v>6</v>
          </cell>
          <cell r="E426">
            <v>6</v>
          </cell>
          <cell r="F426">
            <v>4</v>
          </cell>
          <cell r="G426">
            <v>2</v>
          </cell>
          <cell r="H426">
            <v>0</v>
          </cell>
          <cell r="I426">
            <v>0</v>
          </cell>
          <cell r="J426">
            <v>0</v>
          </cell>
          <cell r="K426">
            <v>2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6</v>
          </cell>
          <cell r="T426">
            <v>0</v>
          </cell>
        </row>
        <row r="427">
          <cell r="C427" t="str">
            <v>Brush Prairie CDP, Washington</v>
          </cell>
          <cell r="D427">
            <v>25</v>
          </cell>
          <cell r="E427">
            <v>7</v>
          </cell>
          <cell r="F427">
            <v>0</v>
          </cell>
          <cell r="G427">
            <v>7</v>
          </cell>
          <cell r="H427">
            <v>0</v>
          </cell>
          <cell r="I427">
            <v>0</v>
          </cell>
          <cell r="J427">
            <v>0</v>
          </cell>
          <cell r="K427">
            <v>7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18</v>
          </cell>
          <cell r="Q427">
            <v>18</v>
          </cell>
          <cell r="R427">
            <v>0</v>
          </cell>
          <cell r="S427">
            <v>7</v>
          </cell>
          <cell r="T427">
            <v>18</v>
          </cell>
        </row>
        <row r="428">
          <cell r="C428" t="str">
            <v>Bryn Mawr-Skyway CDP, Washington</v>
          </cell>
          <cell r="D428">
            <v>3055</v>
          </cell>
          <cell r="E428">
            <v>1217</v>
          </cell>
          <cell r="F428">
            <v>961</v>
          </cell>
          <cell r="G428">
            <v>220</v>
          </cell>
          <cell r="H428">
            <v>10</v>
          </cell>
          <cell r="I428">
            <v>7</v>
          </cell>
          <cell r="J428">
            <v>18</v>
          </cell>
          <cell r="K428">
            <v>185</v>
          </cell>
          <cell r="L428">
            <v>36</v>
          </cell>
          <cell r="M428">
            <v>0</v>
          </cell>
          <cell r="N428">
            <v>0</v>
          </cell>
          <cell r="O428">
            <v>36</v>
          </cell>
          <cell r="P428">
            <v>1838</v>
          </cell>
          <cell r="Q428">
            <v>1124</v>
          </cell>
          <cell r="R428">
            <v>714</v>
          </cell>
          <cell r="S428">
            <v>1181</v>
          </cell>
          <cell r="T428">
            <v>1874</v>
          </cell>
        </row>
        <row r="429">
          <cell r="C429" t="str">
            <v>Buckley city, Washington</v>
          </cell>
          <cell r="D429">
            <v>29</v>
          </cell>
          <cell r="E429">
            <v>15</v>
          </cell>
          <cell r="F429">
            <v>15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14</v>
          </cell>
          <cell r="Q429">
            <v>14</v>
          </cell>
          <cell r="R429">
            <v>0</v>
          </cell>
          <cell r="S429">
            <v>15</v>
          </cell>
          <cell r="T429">
            <v>14</v>
          </cell>
        </row>
        <row r="430">
          <cell r="C430" t="str">
            <v>Bucoda town, Washington</v>
          </cell>
          <cell r="D430">
            <v>14</v>
          </cell>
          <cell r="E430">
            <v>7</v>
          </cell>
          <cell r="F430">
            <v>1</v>
          </cell>
          <cell r="G430">
            <v>6</v>
          </cell>
          <cell r="H430">
            <v>1</v>
          </cell>
          <cell r="I430">
            <v>0</v>
          </cell>
          <cell r="J430">
            <v>0</v>
          </cell>
          <cell r="K430">
            <v>5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7</v>
          </cell>
          <cell r="Q430">
            <v>3</v>
          </cell>
          <cell r="R430">
            <v>4</v>
          </cell>
          <cell r="S430">
            <v>7</v>
          </cell>
          <cell r="T430">
            <v>7</v>
          </cell>
        </row>
        <row r="431">
          <cell r="C431" t="str">
            <v>Burbank CDP, Washington</v>
          </cell>
          <cell r="D431">
            <v>45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8</v>
          </cell>
          <cell r="M431">
            <v>0</v>
          </cell>
          <cell r="N431">
            <v>0</v>
          </cell>
          <cell r="O431">
            <v>8</v>
          </cell>
          <cell r="P431">
            <v>37</v>
          </cell>
          <cell r="Q431">
            <v>22</v>
          </cell>
          <cell r="R431">
            <v>15</v>
          </cell>
          <cell r="S431">
            <v>0</v>
          </cell>
          <cell r="T431">
            <v>45</v>
          </cell>
        </row>
        <row r="432">
          <cell r="C432" t="str">
            <v>Burien city, Washington</v>
          </cell>
          <cell r="D432">
            <v>2138</v>
          </cell>
          <cell r="E432">
            <v>749</v>
          </cell>
          <cell r="F432">
            <v>481</v>
          </cell>
          <cell r="G432">
            <v>185</v>
          </cell>
          <cell r="H432">
            <v>35</v>
          </cell>
          <cell r="I432">
            <v>32</v>
          </cell>
          <cell r="J432">
            <v>3</v>
          </cell>
          <cell r="K432">
            <v>115</v>
          </cell>
          <cell r="L432">
            <v>83</v>
          </cell>
          <cell r="M432">
            <v>0</v>
          </cell>
          <cell r="N432">
            <v>10</v>
          </cell>
          <cell r="O432">
            <v>73</v>
          </cell>
          <cell r="P432">
            <v>1389</v>
          </cell>
          <cell r="Q432">
            <v>763</v>
          </cell>
          <cell r="R432">
            <v>626</v>
          </cell>
          <cell r="S432">
            <v>666</v>
          </cell>
          <cell r="T432">
            <v>1472</v>
          </cell>
        </row>
        <row r="433">
          <cell r="C433" t="str">
            <v>Burlington city, Washington</v>
          </cell>
          <cell r="D433">
            <v>108</v>
          </cell>
          <cell r="E433">
            <v>30</v>
          </cell>
          <cell r="F433">
            <v>20</v>
          </cell>
          <cell r="G433">
            <v>10</v>
          </cell>
          <cell r="H433">
            <v>0</v>
          </cell>
          <cell r="I433">
            <v>0</v>
          </cell>
          <cell r="J433">
            <v>0</v>
          </cell>
          <cell r="K433">
            <v>10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78</v>
          </cell>
          <cell r="Q433">
            <v>54</v>
          </cell>
          <cell r="R433">
            <v>24</v>
          </cell>
          <cell r="S433">
            <v>30</v>
          </cell>
          <cell r="T433">
            <v>78</v>
          </cell>
        </row>
        <row r="434">
          <cell r="C434" t="str">
            <v>Camano CDP, Washington</v>
          </cell>
          <cell r="D434">
            <v>121</v>
          </cell>
          <cell r="E434">
            <v>47</v>
          </cell>
          <cell r="F434">
            <v>17</v>
          </cell>
          <cell r="G434">
            <v>30</v>
          </cell>
          <cell r="H434">
            <v>5</v>
          </cell>
          <cell r="I434">
            <v>0</v>
          </cell>
          <cell r="J434">
            <v>0</v>
          </cell>
          <cell r="K434">
            <v>25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74</v>
          </cell>
          <cell r="Q434">
            <v>34</v>
          </cell>
          <cell r="R434">
            <v>40</v>
          </cell>
          <cell r="S434">
            <v>47</v>
          </cell>
          <cell r="T434">
            <v>74</v>
          </cell>
        </row>
        <row r="435">
          <cell r="C435" t="str">
            <v>Camas city, Washington</v>
          </cell>
          <cell r="D435">
            <v>427</v>
          </cell>
          <cell r="E435">
            <v>148</v>
          </cell>
          <cell r="F435">
            <v>44</v>
          </cell>
          <cell r="G435">
            <v>93</v>
          </cell>
          <cell r="H435">
            <v>0</v>
          </cell>
          <cell r="I435">
            <v>0</v>
          </cell>
          <cell r="J435">
            <v>8</v>
          </cell>
          <cell r="K435">
            <v>85</v>
          </cell>
          <cell r="L435">
            <v>11</v>
          </cell>
          <cell r="M435">
            <v>0</v>
          </cell>
          <cell r="N435">
            <v>0</v>
          </cell>
          <cell r="O435">
            <v>11</v>
          </cell>
          <cell r="P435">
            <v>279</v>
          </cell>
          <cell r="Q435">
            <v>190</v>
          </cell>
          <cell r="R435">
            <v>89</v>
          </cell>
          <cell r="S435">
            <v>137</v>
          </cell>
          <cell r="T435">
            <v>290</v>
          </cell>
        </row>
        <row r="436">
          <cell r="C436" t="str">
            <v>Carbonado town, Washington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C437" t="str">
            <v>Carlsborg CDP, Washington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C438" t="str">
            <v>Carnation city, Washington</v>
          </cell>
          <cell r="D438">
            <v>47</v>
          </cell>
          <cell r="E438">
            <v>12</v>
          </cell>
          <cell r="F438">
            <v>12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35</v>
          </cell>
          <cell r="Q438">
            <v>28</v>
          </cell>
          <cell r="R438">
            <v>7</v>
          </cell>
          <cell r="S438">
            <v>12</v>
          </cell>
          <cell r="T438">
            <v>35</v>
          </cell>
        </row>
        <row r="439">
          <cell r="C439" t="str">
            <v>Carson River Valley CDP, Washington</v>
          </cell>
          <cell r="D439">
            <v>17</v>
          </cell>
          <cell r="E439">
            <v>8</v>
          </cell>
          <cell r="F439">
            <v>0</v>
          </cell>
          <cell r="G439">
            <v>8</v>
          </cell>
          <cell r="H439">
            <v>0</v>
          </cell>
          <cell r="I439">
            <v>0</v>
          </cell>
          <cell r="J439">
            <v>0</v>
          </cell>
          <cell r="K439">
            <v>8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</v>
          </cell>
          <cell r="Q439">
            <v>6</v>
          </cell>
          <cell r="R439">
            <v>3</v>
          </cell>
          <cell r="S439">
            <v>8</v>
          </cell>
          <cell r="T439">
            <v>9</v>
          </cell>
        </row>
        <row r="440">
          <cell r="C440" t="str">
            <v>Cascade-Fairwood CDP, Washington</v>
          </cell>
          <cell r="D440">
            <v>4647</v>
          </cell>
          <cell r="E440">
            <v>1856</v>
          </cell>
          <cell r="F440">
            <v>1229</v>
          </cell>
          <cell r="G440">
            <v>522</v>
          </cell>
          <cell r="H440">
            <v>30</v>
          </cell>
          <cell r="I440">
            <v>19</v>
          </cell>
          <cell r="J440">
            <v>47</v>
          </cell>
          <cell r="K440">
            <v>426</v>
          </cell>
          <cell r="L440">
            <v>105</v>
          </cell>
          <cell r="M440">
            <v>0</v>
          </cell>
          <cell r="N440">
            <v>10</v>
          </cell>
          <cell r="O440">
            <v>95</v>
          </cell>
          <cell r="P440">
            <v>2791</v>
          </cell>
          <cell r="Q440">
            <v>1654</v>
          </cell>
          <cell r="R440">
            <v>1137</v>
          </cell>
          <cell r="S440">
            <v>1751</v>
          </cell>
          <cell r="T440">
            <v>2896</v>
          </cell>
        </row>
        <row r="441">
          <cell r="C441" t="str">
            <v>Cascade Valley CDP, Washington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C442" t="str">
            <v>Cashmere city, Washington</v>
          </cell>
          <cell r="D442">
            <v>4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</v>
          </cell>
          <cell r="Q442">
            <v>4</v>
          </cell>
          <cell r="R442">
            <v>0</v>
          </cell>
          <cell r="S442">
            <v>0</v>
          </cell>
          <cell r="T442">
            <v>4</v>
          </cell>
        </row>
        <row r="443">
          <cell r="C443" t="str">
            <v>Castle Rock city, Washington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C444" t="str">
            <v>Cathan CDP, Washington</v>
          </cell>
          <cell r="D444">
            <v>5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5</v>
          </cell>
          <cell r="Q444">
            <v>5</v>
          </cell>
          <cell r="R444">
            <v>0</v>
          </cell>
          <cell r="S444">
            <v>0</v>
          </cell>
          <cell r="T444">
            <v>5</v>
          </cell>
        </row>
        <row r="445">
          <cell r="C445" t="str">
            <v>Cathcart CDP, Washington</v>
          </cell>
          <cell r="D445">
            <v>41</v>
          </cell>
          <cell r="E445">
            <v>27</v>
          </cell>
          <cell r="F445">
            <v>0</v>
          </cell>
          <cell r="G445">
            <v>27</v>
          </cell>
          <cell r="H445">
            <v>0</v>
          </cell>
          <cell r="I445">
            <v>0</v>
          </cell>
          <cell r="J445">
            <v>0</v>
          </cell>
          <cell r="K445">
            <v>27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14</v>
          </cell>
          <cell r="Q445">
            <v>14</v>
          </cell>
          <cell r="R445">
            <v>0</v>
          </cell>
          <cell r="S445">
            <v>27</v>
          </cell>
          <cell r="T445">
            <v>14</v>
          </cell>
        </row>
        <row r="446">
          <cell r="C446" t="str">
            <v>Cathlamet town, Washington</v>
          </cell>
          <cell r="D446">
            <v>6</v>
          </cell>
          <cell r="E446">
            <v>6</v>
          </cell>
          <cell r="F446">
            <v>5</v>
          </cell>
          <cell r="G446">
            <v>1</v>
          </cell>
          <cell r="H446">
            <v>1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6</v>
          </cell>
          <cell r="T446">
            <v>0</v>
          </cell>
        </row>
        <row r="447">
          <cell r="C447" t="str">
            <v>Centerville CDP, Washington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C448" t="str">
            <v>Centralia city, Washington</v>
          </cell>
          <cell r="D448">
            <v>81</v>
          </cell>
          <cell r="E448">
            <v>50</v>
          </cell>
          <cell r="F448">
            <v>20</v>
          </cell>
          <cell r="G448">
            <v>16</v>
          </cell>
          <cell r="H448">
            <v>0</v>
          </cell>
          <cell r="I448">
            <v>0</v>
          </cell>
          <cell r="J448">
            <v>8</v>
          </cell>
          <cell r="K448">
            <v>8</v>
          </cell>
          <cell r="L448">
            <v>14</v>
          </cell>
          <cell r="M448">
            <v>0</v>
          </cell>
          <cell r="N448">
            <v>0</v>
          </cell>
          <cell r="O448">
            <v>14</v>
          </cell>
          <cell r="P448">
            <v>31</v>
          </cell>
          <cell r="Q448">
            <v>15</v>
          </cell>
          <cell r="R448">
            <v>16</v>
          </cell>
          <cell r="S448">
            <v>36</v>
          </cell>
          <cell r="T448">
            <v>45</v>
          </cell>
        </row>
        <row r="449">
          <cell r="C449" t="str">
            <v>Central Park CDP, Washington</v>
          </cell>
          <cell r="D449">
            <v>24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24</v>
          </cell>
          <cell r="Q449">
            <v>15</v>
          </cell>
          <cell r="R449">
            <v>9</v>
          </cell>
          <cell r="S449">
            <v>0</v>
          </cell>
          <cell r="T449">
            <v>24</v>
          </cell>
        </row>
        <row r="450">
          <cell r="C450" t="str">
            <v>Chehalis city, Washington</v>
          </cell>
          <cell r="D450">
            <v>28</v>
          </cell>
          <cell r="E450">
            <v>11</v>
          </cell>
          <cell r="F450">
            <v>11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17</v>
          </cell>
          <cell r="Q450">
            <v>6</v>
          </cell>
          <cell r="R450">
            <v>11</v>
          </cell>
          <cell r="S450">
            <v>11</v>
          </cell>
          <cell r="T450">
            <v>17</v>
          </cell>
        </row>
        <row r="451">
          <cell r="C451" t="str">
            <v>Chehalis Village CDP, Washington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C452" t="str">
            <v>Chelan city, Washington</v>
          </cell>
          <cell r="D452">
            <v>9</v>
          </cell>
          <cell r="E452">
            <v>3</v>
          </cell>
          <cell r="F452">
            <v>0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3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6</v>
          </cell>
          <cell r="Q452">
            <v>6</v>
          </cell>
          <cell r="R452">
            <v>0</v>
          </cell>
          <cell r="S452">
            <v>3</v>
          </cell>
          <cell r="T452">
            <v>6</v>
          </cell>
        </row>
        <row r="453">
          <cell r="C453" t="str">
            <v>Cheney city, Washington</v>
          </cell>
          <cell r="D453">
            <v>492</v>
          </cell>
          <cell r="E453">
            <v>142</v>
          </cell>
          <cell r="F453">
            <v>34</v>
          </cell>
          <cell r="G453">
            <v>98</v>
          </cell>
          <cell r="H453">
            <v>0</v>
          </cell>
          <cell r="I453">
            <v>0</v>
          </cell>
          <cell r="J453">
            <v>12</v>
          </cell>
          <cell r="K453">
            <v>86</v>
          </cell>
          <cell r="L453">
            <v>10</v>
          </cell>
          <cell r="M453">
            <v>0</v>
          </cell>
          <cell r="N453">
            <v>0</v>
          </cell>
          <cell r="O453">
            <v>10</v>
          </cell>
          <cell r="P453">
            <v>350</v>
          </cell>
          <cell r="Q453">
            <v>49</v>
          </cell>
          <cell r="R453">
            <v>301</v>
          </cell>
          <cell r="S453">
            <v>132</v>
          </cell>
          <cell r="T453">
            <v>360</v>
          </cell>
        </row>
        <row r="454">
          <cell r="C454" t="str">
            <v>Cherry Grove CDP, Washington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C455" t="str">
            <v>Chewelah city, Washington</v>
          </cell>
          <cell r="D455">
            <v>26</v>
          </cell>
          <cell r="E455">
            <v>8</v>
          </cell>
          <cell r="F455">
            <v>2</v>
          </cell>
          <cell r="G455">
            <v>6</v>
          </cell>
          <cell r="H455">
            <v>0</v>
          </cell>
          <cell r="I455">
            <v>0</v>
          </cell>
          <cell r="J455">
            <v>0</v>
          </cell>
          <cell r="K455">
            <v>6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18</v>
          </cell>
          <cell r="Q455">
            <v>14</v>
          </cell>
          <cell r="R455">
            <v>4</v>
          </cell>
          <cell r="S455">
            <v>8</v>
          </cell>
          <cell r="T455">
            <v>18</v>
          </cell>
        </row>
        <row r="456">
          <cell r="C456" t="str">
            <v>Chinook CDP, Washington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C457" t="str">
            <v>Clarkston city, Washington</v>
          </cell>
          <cell r="D457">
            <v>55</v>
          </cell>
          <cell r="E457">
            <v>35</v>
          </cell>
          <cell r="F457">
            <v>18</v>
          </cell>
          <cell r="G457">
            <v>17</v>
          </cell>
          <cell r="H457">
            <v>0</v>
          </cell>
          <cell r="I457">
            <v>0</v>
          </cell>
          <cell r="J457">
            <v>0</v>
          </cell>
          <cell r="K457">
            <v>17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20</v>
          </cell>
          <cell r="Q457">
            <v>7</v>
          </cell>
          <cell r="R457">
            <v>13</v>
          </cell>
          <cell r="S457">
            <v>35</v>
          </cell>
          <cell r="T457">
            <v>20</v>
          </cell>
        </row>
        <row r="458">
          <cell r="C458" t="str">
            <v>Clarkston Heights-Vineland CDP, Washington</v>
          </cell>
          <cell r="D458">
            <v>16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16</v>
          </cell>
          <cell r="Q458">
            <v>16</v>
          </cell>
          <cell r="R458">
            <v>0</v>
          </cell>
          <cell r="S458">
            <v>0</v>
          </cell>
          <cell r="T458">
            <v>16</v>
          </cell>
        </row>
        <row r="459">
          <cell r="C459" t="str">
            <v>Clear Lake CDP, Washington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C460" t="str">
            <v>Cle Elum city, Washington</v>
          </cell>
          <cell r="D460">
            <v>11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11</v>
          </cell>
          <cell r="Q460">
            <v>4</v>
          </cell>
          <cell r="R460">
            <v>7</v>
          </cell>
          <cell r="S460">
            <v>0</v>
          </cell>
          <cell r="T460">
            <v>11</v>
          </cell>
        </row>
        <row r="461">
          <cell r="C461" t="str">
            <v>Clinton CDP, Washington</v>
          </cell>
          <cell r="D461">
            <v>11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11</v>
          </cell>
          <cell r="Q461">
            <v>11</v>
          </cell>
          <cell r="R461">
            <v>0</v>
          </cell>
          <cell r="S461">
            <v>0</v>
          </cell>
          <cell r="T461">
            <v>11</v>
          </cell>
        </row>
        <row r="462">
          <cell r="C462" t="str">
            <v>Clyde Hill city, Washington</v>
          </cell>
          <cell r="D462">
            <v>180</v>
          </cell>
          <cell r="E462">
            <v>33</v>
          </cell>
          <cell r="F462">
            <v>24</v>
          </cell>
          <cell r="G462">
            <v>5</v>
          </cell>
          <cell r="H462">
            <v>0</v>
          </cell>
          <cell r="I462">
            <v>4</v>
          </cell>
          <cell r="J462">
            <v>0</v>
          </cell>
          <cell r="K462">
            <v>1</v>
          </cell>
          <cell r="L462">
            <v>4</v>
          </cell>
          <cell r="M462">
            <v>0</v>
          </cell>
          <cell r="N462">
            <v>0</v>
          </cell>
          <cell r="O462">
            <v>4</v>
          </cell>
          <cell r="P462">
            <v>147</v>
          </cell>
          <cell r="Q462">
            <v>96</v>
          </cell>
          <cell r="R462">
            <v>51</v>
          </cell>
          <cell r="S462">
            <v>29</v>
          </cell>
          <cell r="T462">
            <v>151</v>
          </cell>
        </row>
        <row r="463">
          <cell r="C463" t="str">
            <v>Cohassett Beach CDP, Washington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C464" t="str">
            <v>Colfax city, Washington</v>
          </cell>
          <cell r="D464">
            <v>124</v>
          </cell>
          <cell r="E464">
            <v>44</v>
          </cell>
          <cell r="F464">
            <v>40</v>
          </cell>
          <cell r="G464">
            <v>4</v>
          </cell>
          <cell r="H464">
            <v>0</v>
          </cell>
          <cell r="I464">
            <v>0</v>
          </cell>
          <cell r="J464">
            <v>0</v>
          </cell>
          <cell r="K464">
            <v>4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80</v>
          </cell>
          <cell r="Q464">
            <v>33</v>
          </cell>
          <cell r="R464">
            <v>47</v>
          </cell>
          <cell r="S464">
            <v>44</v>
          </cell>
          <cell r="T464">
            <v>80</v>
          </cell>
        </row>
        <row r="465">
          <cell r="C465" t="str">
            <v>College Place city, Washington</v>
          </cell>
          <cell r="D465">
            <v>131</v>
          </cell>
          <cell r="E465">
            <v>53</v>
          </cell>
          <cell r="F465">
            <v>9</v>
          </cell>
          <cell r="G465">
            <v>22</v>
          </cell>
          <cell r="H465">
            <v>0</v>
          </cell>
          <cell r="I465">
            <v>10</v>
          </cell>
          <cell r="J465">
            <v>12</v>
          </cell>
          <cell r="K465">
            <v>0</v>
          </cell>
          <cell r="L465">
            <v>22</v>
          </cell>
          <cell r="M465">
            <v>0</v>
          </cell>
          <cell r="N465">
            <v>0</v>
          </cell>
          <cell r="O465">
            <v>22</v>
          </cell>
          <cell r="P465">
            <v>78</v>
          </cell>
          <cell r="Q465">
            <v>11</v>
          </cell>
          <cell r="R465">
            <v>67</v>
          </cell>
          <cell r="S465">
            <v>31</v>
          </cell>
          <cell r="T465">
            <v>100</v>
          </cell>
        </row>
        <row r="466">
          <cell r="C466" t="str">
            <v>Colton town, Washington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</row>
        <row r="467">
          <cell r="C467" t="str">
            <v>Colville city, Washington</v>
          </cell>
          <cell r="D467">
            <v>12</v>
          </cell>
          <cell r="E467">
            <v>12</v>
          </cell>
          <cell r="F467">
            <v>12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12</v>
          </cell>
          <cell r="T467">
            <v>0</v>
          </cell>
        </row>
        <row r="468">
          <cell r="C468" t="str">
            <v>Conconully town, Washington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</row>
        <row r="469">
          <cell r="C469" t="str">
            <v>Concrete town, Washington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</row>
        <row r="470">
          <cell r="C470" t="str">
            <v>Connell city, Washington</v>
          </cell>
          <cell r="D470">
            <v>125</v>
          </cell>
          <cell r="E470">
            <v>33</v>
          </cell>
          <cell r="F470">
            <v>30</v>
          </cell>
          <cell r="G470">
            <v>3</v>
          </cell>
          <cell r="H470">
            <v>0</v>
          </cell>
          <cell r="I470">
            <v>0</v>
          </cell>
          <cell r="J470">
            <v>3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92</v>
          </cell>
          <cell r="Q470">
            <v>40</v>
          </cell>
          <cell r="R470">
            <v>52</v>
          </cell>
          <cell r="S470">
            <v>33</v>
          </cell>
          <cell r="T470">
            <v>92</v>
          </cell>
        </row>
        <row r="471">
          <cell r="C471" t="str">
            <v>Conway CDP, Washington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C472" t="str">
            <v>Copalis Beach CDP, Washington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C473" t="str">
            <v>Cosmopolis city, Washington</v>
          </cell>
          <cell r="D473">
            <v>14</v>
          </cell>
          <cell r="E473">
            <v>5</v>
          </cell>
          <cell r="F473">
            <v>2</v>
          </cell>
          <cell r="G473">
            <v>3</v>
          </cell>
          <cell r="H473">
            <v>0</v>
          </cell>
          <cell r="I473">
            <v>3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9</v>
          </cell>
          <cell r="Q473">
            <v>7</v>
          </cell>
          <cell r="R473">
            <v>2</v>
          </cell>
          <cell r="S473">
            <v>5</v>
          </cell>
          <cell r="T473">
            <v>9</v>
          </cell>
        </row>
        <row r="474">
          <cell r="C474" t="str">
            <v>Cottage Lake CDP, Washington</v>
          </cell>
          <cell r="D474">
            <v>1051</v>
          </cell>
          <cell r="E474">
            <v>469</v>
          </cell>
          <cell r="F474">
            <v>173</v>
          </cell>
          <cell r="G474">
            <v>296</v>
          </cell>
          <cell r="H474">
            <v>18</v>
          </cell>
          <cell r="I474">
            <v>13</v>
          </cell>
          <cell r="J474">
            <v>52</v>
          </cell>
          <cell r="K474">
            <v>213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582</v>
          </cell>
          <cell r="Q474">
            <v>370</v>
          </cell>
          <cell r="R474">
            <v>212</v>
          </cell>
          <cell r="S474">
            <v>469</v>
          </cell>
          <cell r="T474">
            <v>582</v>
          </cell>
        </row>
        <row r="475">
          <cell r="C475" t="str">
            <v>Coulee City town, Washington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</row>
        <row r="476">
          <cell r="C476" t="str">
            <v>Coulee Dam town, Washington</v>
          </cell>
          <cell r="D476">
            <v>7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7</v>
          </cell>
          <cell r="Q476">
            <v>6</v>
          </cell>
          <cell r="R476">
            <v>1</v>
          </cell>
          <cell r="S476">
            <v>0</v>
          </cell>
          <cell r="T476">
            <v>7</v>
          </cell>
        </row>
        <row r="477">
          <cell r="C477" t="str">
            <v>Country Homes CDP, Washington</v>
          </cell>
          <cell r="D477">
            <v>97</v>
          </cell>
          <cell r="E477">
            <v>80</v>
          </cell>
          <cell r="F477">
            <v>29</v>
          </cell>
          <cell r="G477">
            <v>51</v>
          </cell>
          <cell r="H477">
            <v>0</v>
          </cell>
          <cell r="I477">
            <v>39</v>
          </cell>
          <cell r="J477">
            <v>0</v>
          </cell>
          <cell r="K477">
            <v>12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17</v>
          </cell>
          <cell r="Q477">
            <v>8</v>
          </cell>
          <cell r="R477">
            <v>9</v>
          </cell>
          <cell r="S477">
            <v>80</v>
          </cell>
          <cell r="T477">
            <v>17</v>
          </cell>
        </row>
        <row r="478">
          <cell r="C478" t="str">
            <v>Coupeville town, Washington</v>
          </cell>
          <cell r="D478">
            <v>52</v>
          </cell>
          <cell r="E478">
            <v>28</v>
          </cell>
          <cell r="F478">
            <v>6</v>
          </cell>
          <cell r="G478">
            <v>22</v>
          </cell>
          <cell r="H478">
            <v>11</v>
          </cell>
          <cell r="I478">
            <v>0</v>
          </cell>
          <cell r="J478">
            <v>5</v>
          </cell>
          <cell r="K478">
            <v>6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24</v>
          </cell>
          <cell r="Q478">
            <v>12</v>
          </cell>
          <cell r="R478">
            <v>12</v>
          </cell>
          <cell r="S478">
            <v>28</v>
          </cell>
          <cell r="T478">
            <v>24</v>
          </cell>
        </row>
        <row r="479">
          <cell r="C479" t="str">
            <v>Covington city, Washington</v>
          </cell>
          <cell r="D479">
            <v>358</v>
          </cell>
          <cell r="E479">
            <v>137</v>
          </cell>
          <cell r="F479">
            <v>56</v>
          </cell>
          <cell r="G479">
            <v>81</v>
          </cell>
          <cell r="H479">
            <v>0</v>
          </cell>
          <cell r="I479">
            <v>9</v>
          </cell>
          <cell r="J479">
            <v>0</v>
          </cell>
          <cell r="K479">
            <v>72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221</v>
          </cell>
          <cell r="Q479">
            <v>178</v>
          </cell>
          <cell r="R479">
            <v>43</v>
          </cell>
          <cell r="S479">
            <v>137</v>
          </cell>
          <cell r="T479">
            <v>221</v>
          </cell>
        </row>
        <row r="480">
          <cell r="C480" t="str">
            <v>Creston town, Washington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</row>
        <row r="481">
          <cell r="C481" t="str">
            <v>Cusick town, Washington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C482" t="str">
            <v>Custer CDP, Washington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C483" t="str">
            <v>Dallesport CDP, Washington</v>
          </cell>
          <cell r="D483">
            <v>14</v>
          </cell>
          <cell r="E483">
            <v>9</v>
          </cell>
          <cell r="F483">
            <v>0</v>
          </cell>
          <cell r="G483">
            <v>9</v>
          </cell>
          <cell r="H483">
            <v>0</v>
          </cell>
          <cell r="I483">
            <v>0</v>
          </cell>
          <cell r="J483">
            <v>0</v>
          </cell>
          <cell r="K483">
            <v>9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5</v>
          </cell>
          <cell r="Q483">
            <v>5</v>
          </cell>
          <cell r="R483">
            <v>0</v>
          </cell>
          <cell r="S483">
            <v>9</v>
          </cell>
          <cell r="T483">
            <v>5</v>
          </cell>
        </row>
        <row r="484">
          <cell r="C484" t="str">
            <v>Darrington town, Washington</v>
          </cell>
          <cell r="D484">
            <v>3</v>
          </cell>
          <cell r="E484">
            <v>3</v>
          </cell>
          <cell r="F484">
            <v>0</v>
          </cell>
          <cell r="G484">
            <v>3</v>
          </cell>
          <cell r="H484">
            <v>0</v>
          </cell>
          <cell r="I484">
            <v>3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3</v>
          </cell>
          <cell r="T484">
            <v>0</v>
          </cell>
        </row>
        <row r="485">
          <cell r="C485" t="str">
            <v>Davenport city, Washington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C486" t="str">
            <v>Dayton city, Washington</v>
          </cell>
          <cell r="D486">
            <v>25</v>
          </cell>
          <cell r="E486">
            <v>11</v>
          </cell>
          <cell r="F486">
            <v>11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14</v>
          </cell>
          <cell r="Q486">
            <v>5</v>
          </cell>
          <cell r="R486">
            <v>9</v>
          </cell>
          <cell r="S486">
            <v>11</v>
          </cell>
          <cell r="T486">
            <v>14</v>
          </cell>
        </row>
        <row r="487">
          <cell r="C487" t="str">
            <v>Deer Park city, Washington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</row>
        <row r="488">
          <cell r="C488" t="str">
            <v>Deming CDP, Washington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</row>
        <row r="489">
          <cell r="C489" t="str">
            <v>Desert Aire CDP, Washington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</row>
        <row r="490">
          <cell r="C490" t="str">
            <v>Des Moines city, Washington</v>
          </cell>
          <cell r="D490">
            <v>2465</v>
          </cell>
          <cell r="E490">
            <v>882</v>
          </cell>
          <cell r="F490">
            <v>566</v>
          </cell>
          <cell r="G490">
            <v>288</v>
          </cell>
          <cell r="H490">
            <v>19</v>
          </cell>
          <cell r="I490">
            <v>36</v>
          </cell>
          <cell r="J490">
            <v>31</v>
          </cell>
          <cell r="K490">
            <v>202</v>
          </cell>
          <cell r="L490">
            <v>28</v>
          </cell>
          <cell r="M490">
            <v>0</v>
          </cell>
          <cell r="N490">
            <v>0</v>
          </cell>
          <cell r="O490">
            <v>28</v>
          </cell>
          <cell r="P490">
            <v>1583</v>
          </cell>
          <cell r="Q490">
            <v>802</v>
          </cell>
          <cell r="R490">
            <v>781</v>
          </cell>
          <cell r="S490">
            <v>854</v>
          </cell>
          <cell r="T490">
            <v>1611</v>
          </cell>
        </row>
        <row r="491">
          <cell r="C491" t="str">
            <v>Dishman CDP, Washington</v>
          </cell>
          <cell r="D491">
            <v>93</v>
          </cell>
          <cell r="E491">
            <v>24</v>
          </cell>
          <cell r="F491">
            <v>24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69</v>
          </cell>
          <cell r="Q491">
            <v>62</v>
          </cell>
          <cell r="R491">
            <v>7</v>
          </cell>
          <cell r="S491">
            <v>24</v>
          </cell>
          <cell r="T491">
            <v>69</v>
          </cell>
        </row>
        <row r="492">
          <cell r="C492" t="str">
            <v>Dixie CDP, Washington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</row>
        <row r="493">
          <cell r="C493" t="str">
            <v>Dollar Corner CDP, Washington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</row>
        <row r="494">
          <cell r="C494" t="str">
            <v>DuPont city, Washington</v>
          </cell>
          <cell r="D494">
            <v>184</v>
          </cell>
          <cell r="E494">
            <v>56</v>
          </cell>
          <cell r="F494">
            <v>14</v>
          </cell>
          <cell r="G494">
            <v>18</v>
          </cell>
          <cell r="H494">
            <v>0</v>
          </cell>
          <cell r="I494">
            <v>2</v>
          </cell>
          <cell r="J494">
            <v>0</v>
          </cell>
          <cell r="K494">
            <v>16</v>
          </cell>
          <cell r="L494">
            <v>24</v>
          </cell>
          <cell r="M494">
            <v>0</v>
          </cell>
          <cell r="N494">
            <v>0</v>
          </cell>
          <cell r="O494">
            <v>24</v>
          </cell>
          <cell r="P494">
            <v>128</v>
          </cell>
          <cell r="Q494">
            <v>87</v>
          </cell>
          <cell r="R494">
            <v>41</v>
          </cell>
          <cell r="S494">
            <v>32</v>
          </cell>
          <cell r="T494">
            <v>152</v>
          </cell>
        </row>
        <row r="495">
          <cell r="C495" t="str">
            <v>Duvall city, Washington</v>
          </cell>
          <cell r="D495">
            <v>8</v>
          </cell>
          <cell r="E495">
            <v>8</v>
          </cell>
          <cell r="F495">
            <v>8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8</v>
          </cell>
          <cell r="T495">
            <v>0</v>
          </cell>
        </row>
        <row r="496">
          <cell r="C496" t="str">
            <v>East Cathlamet CDP, Washington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</row>
        <row r="497">
          <cell r="C497" t="str">
            <v>Eastgate CDP, Washington</v>
          </cell>
          <cell r="D497">
            <v>382</v>
          </cell>
          <cell r="E497">
            <v>152</v>
          </cell>
          <cell r="F497">
            <v>106</v>
          </cell>
          <cell r="G497">
            <v>46</v>
          </cell>
          <cell r="H497">
            <v>13</v>
          </cell>
          <cell r="I497">
            <v>0</v>
          </cell>
          <cell r="J497">
            <v>0</v>
          </cell>
          <cell r="K497">
            <v>33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230</v>
          </cell>
          <cell r="Q497">
            <v>83</v>
          </cell>
          <cell r="R497">
            <v>147</v>
          </cell>
          <cell r="S497">
            <v>152</v>
          </cell>
          <cell r="T497">
            <v>230</v>
          </cell>
        </row>
        <row r="498">
          <cell r="C498" t="str">
            <v>East Hill-Meridian CDP, Washington</v>
          </cell>
          <cell r="D498">
            <v>3905</v>
          </cell>
          <cell r="E498">
            <v>1350</v>
          </cell>
          <cell r="F498">
            <v>918</v>
          </cell>
          <cell r="G498">
            <v>373</v>
          </cell>
          <cell r="H498">
            <v>20</v>
          </cell>
          <cell r="I498">
            <v>36</v>
          </cell>
          <cell r="J498">
            <v>52</v>
          </cell>
          <cell r="K498">
            <v>265</v>
          </cell>
          <cell r="L498">
            <v>59</v>
          </cell>
          <cell r="M498">
            <v>0</v>
          </cell>
          <cell r="N498">
            <v>0</v>
          </cell>
          <cell r="O498">
            <v>59</v>
          </cell>
          <cell r="P498">
            <v>2555</v>
          </cell>
          <cell r="Q498">
            <v>1620</v>
          </cell>
          <cell r="R498">
            <v>935</v>
          </cell>
          <cell r="S498">
            <v>1291</v>
          </cell>
          <cell r="T498">
            <v>2614</v>
          </cell>
        </row>
        <row r="499">
          <cell r="C499" t="str">
            <v>Easton CDP, Washington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</row>
        <row r="500">
          <cell r="C500" t="str">
            <v>East Port Orchard CDP, Washington</v>
          </cell>
          <cell r="D500">
            <v>133</v>
          </cell>
          <cell r="E500">
            <v>37</v>
          </cell>
          <cell r="F500">
            <v>21</v>
          </cell>
          <cell r="G500">
            <v>9</v>
          </cell>
          <cell r="H500">
            <v>0</v>
          </cell>
          <cell r="I500">
            <v>0</v>
          </cell>
          <cell r="J500">
            <v>0</v>
          </cell>
          <cell r="K500">
            <v>9</v>
          </cell>
          <cell r="L500">
            <v>7</v>
          </cell>
          <cell r="M500">
            <v>0</v>
          </cell>
          <cell r="N500">
            <v>0</v>
          </cell>
          <cell r="O500">
            <v>7</v>
          </cell>
          <cell r="P500">
            <v>96</v>
          </cell>
          <cell r="Q500">
            <v>62</v>
          </cell>
          <cell r="R500">
            <v>34</v>
          </cell>
          <cell r="S500">
            <v>30</v>
          </cell>
          <cell r="T500">
            <v>103</v>
          </cell>
        </row>
        <row r="501">
          <cell r="C501" t="str">
            <v>East Renton Highlands CDP, Washington</v>
          </cell>
          <cell r="D501">
            <v>367</v>
          </cell>
          <cell r="E501">
            <v>192</v>
          </cell>
          <cell r="F501">
            <v>141</v>
          </cell>
          <cell r="G501">
            <v>44</v>
          </cell>
          <cell r="H501">
            <v>0</v>
          </cell>
          <cell r="I501">
            <v>0</v>
          </cell>
          <cell r="J501">
            <v>29</v>
          </cell>
          <cell r="K501">
            <v>15</v>
          </cell>
          <cell r="L501">
            <v>7</v>
          </cell>
          <cell r="M501">
            <v>0</v>
          </cell>
          <cell r="N501">
            <v>0</v>
          </cell>
          <cell r="O501">
            <v>7</v>
          </cell>
          <cell r="P501">
            <v>175</v>
          </cell>
          <cell r="Q501">
            <v>140</v>
          </cell>
          <cell r="R501">
            <v>35</v>
          </cell>
          <cell r="S501">
            <v>185</v>
          </cell>
          <cell r="T501">
            <v>182</v>
          </cell>
        </row>
        <row r="502">
          <cell r="C502" t="str">
            <v>East Wenatchee city, Washington</v>
          </cell>
          <cell r="D502">
            <v>73</v>
          </cell>
          <cell r="E502">
            <v>55</v>
          </cell>
          <cell r="F502">
            <v>55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18</v>
          </cell>
          <cell r="Q502">
            <v>18</v>
          </cell>
          <cell r="R502">
            <v>0</v>
          </cell>
          <cell r="S502">
            <v>55</v>
          </cell>
          <cell r="T502">
            <v>18</v>
          </cell>
        </row>
        <row r="503">
          <cell r="C503" t="str">
            <v>East Wenatchee Bench CDP, Washington</v>
          </cell>
          <cell r="D503">
            <v>138</v>
          </cell>
          <cell r="E503">
            <v>28</v>
          </cell>
          <cell r="F503">
            <v>28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110</v>
          </cell>
          <cell r="Q503">
            <v>51</v>
          </cell>
          <cell r="R503">
            <v>59</v>
          </cell>
          <cell r="S503">
            <v>28</v>
          </cell>
          <cell r="T503">
            <v>110</v>
          </cell>
        </row>
        <row r="504">
          <cell r="C504" t="str">
            <v>Eatonville town, Washington</v>
          </cell>
          <cell r="D504">
            <v>23</v>
          </cell>
          <cell r="E504">
            <v>14</v>
          </cell>
          <cell r="F504">
            <v>7</v>
          </cell>
          <cell r="G504">
            <v>6</v>
          </cell>
          <cell r="H504">
            <v>0</v>
          </cell>
          <cell r="I504">
            <v>0</v>
          </cell>
          <cell r="J504">
            <v>0</v>
          </cell>
          <cell r="K504">
            <v>6</v>
          </cell>
          <cell r="L504">
            <v>1</v>
          </cell>
          <cell r="M504">
            <v>0</v>
          </cell>
          <cell r="N504">
            <v>0</v>
          </cell>
          <cell r="O504">
            <v>1</v>
          </cell>
          <cell r="P504">
            <v>9</v>
          </cell>
          <cell r="Q504">
            <v>0</v>
          </cell>
          <cell r="R504">
            <v>9</v>
          </cell>
          <cell r="S504">
            <v>13</v>
          </cell>
          <cell r="T504">
            <v>10</v>
          </cell>
        </row>
        <row r="505">
          <cell r="C505" t="str">
            <v>Echo Lake CDP, Washington</v>
          </cell>
          <cell r="D505">
            <v>10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10</v>
          </cell>
          <cell r="Q505">
            <v>10</v>
          </cell>
          <cell r="R505">
            <v>0</v>
          </cell>
          <cell r="S505">
            <v>0</v>
          </cell>
          <cell r="T505">
            <v>10</v>
          </cell>
        </row>
        <row r="506">
          <cell r="C506" t="str">
            <v>Edgewood city, Washington</v>
          </cell>
          <cell r="D506">
            <v>210</v>
          </cell>
          <cell r="E506">
            <v>133</v>
          </cell>
          <cell r="F506">
            <v>78</v>
          </cell>
          <cell r="G506">
            <v>18</v>
          </cell>
          <cell r="H506">
            <v>0</v>
          </cell>
          <cell r="I506">
            <v>2</v>
          </cell>
          <cell r="J506">
            <v>0</v>
          </cell>
          <cell r="K506">
            <v>16</v>
          </cell>
          <cell r="L506">
            <v>37</v>
          </cell>
          <cell r="M506">
            <v>0</v>
          </cell>
          <cell r="N506">
            <v>0</v>
          </cell>
          <cell r="O506">
            <v>37</v>
          </cell>
          <cell r="P506">
            <v>77</v>
          </cell>
          <cell r="Q506">
            <v>70</v>
          </cell>
          <cell r="R506">
            <v>7</v>
          </cell>
          <cell r="S506">
            <v>96</v>
          </cell>
          <cell r="T506">
            <v>114</v>
          </cell>
        </row>
        <row r="507">
          <cell r="C507" t="str">
            <v>Edison CDP, Washington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</row>
        <row r="508">
          <cell r="C508" t="str">
            <v>Edmonds city, Washington</v>
          </cell>
          <cell r="D508">
            <v>2187</v>
          </cell>
          <cell r="E508">
            <v>706</v>
          </cell>
          <cell r="F508">
            <v>432</v>
          </cell>
          <cell r="G508">
            <v>219</v>
          </cell>
          <cell r="H508">
            <v>19</v>
          </cell>
          <cell r="I508">
            <v>50</v>
          </cell>
          <cell r="J508">
            <v>17</v>
          </cell>
          <cell r="K508">
            <v>133</v>
          </cell>
          <cell r="L508">
            <v>55</v>
          </cell>
          <cell r="M508">
            <v>0</v>
          </cell>
          <cell r="N508">
            <v>31</v>
          </cell>
          <cell r="O508">
            <v>24</v>
          </cell>
          <cell r="P508">
            <v>1481</v>
          </cell>
          <cell r="Q508">
            <v>893</v>
          </cell>
          <cell r="R508">
            <v>588</v>
          </cell>
          <cell r="S508">
            <v>651</v>
          </cell>
          <cell r="T508">
            <v>1536</v>
          </cell>
        </row>
        <row r="509">
          <cell r="C509" t="str">
            <v>Elbe CDP, Washington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</row>
        <row r="510">
          <cell r="C510" t="str">
            <v>Electric City town, Washington</v>
          </cell>
          <cell r="D510">
            <v>2</v>
          </cell>
          <cell r="E510">
            <v>2</v>
          </cell>
          <cell r="F510">
            <v>0</v>
          </cell>
          <cell r="G510">
            <v>2</v>
          </cell>
          <cell r="H510">
            <v>0</v>
          </cell>
          <cell r="I510">
            <v>0</v>
          </cell>
          <cell r="J510">
            <v>0</v>
          </cell>
          <cell r="K510">
            <v>2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</v>
          </cell>
          <cell r="T510">
            <v>0</v>
          </cell>
        </row>
        <row r="511">
          <cell r="C511" t="str">
            <v>Elk Plain CDP, Washington</v>
          </cell>
          <cell r="D511">
            <v>627</v>
          </cell>
          <cell r="E511">
            <v>274</v>
          </cell>
          <cell r="F511">
            <v>123</v>
          </cell>
          <cell r="G511">
            <v>118</v>
          </cell>
          <cell r="H511">
            <v>0</v>
          </cell>
          <cell r="I511">
            <v>17</v>
          </cell>
          <cell r="J511">
            <v>8</v>
          </cell>
          <cell r="K511">
            <v>93</v>
          </cell>
          <cell r="L511">
            <v>33</v>
          </cell>
          <cell r="M511">
            <v>0</v>
          </cell>
          <cell r="N511">
            <v>0</v>
          </cell>
          <cell r="O511">
            <v>33</v>
          </cell>
          <cell r="P511">
            <v>353</v>
          </cell>
          <cell r="Q511">
            <v>219</v>
          </cell>
          <cell r="R511">
            <v>134</v>
          </cell>
          <cell r="S511">
            <v>241</v>
          </cell>
          <cell r="T511">
            <v>386</v>
          </cell>
        </row>
        <row r="512">
          <cell r="C512" t="str">
            <v>Ellensburg city, Washington</v>
          </cell>
          <cell r="D512">
            <v>476</v>
          </cell>
          <cell r="E512">
            <v>76</v>
          </cell>
          <cell r="F512">
            <v>42</v>
          </cell>
          <cell r="G512">
            <v>34</v>
          </cell>
          <cell r="H512">
            <v>0</v>
          </cell>
          <cell r="I512">
            <v>7</v>
          </cell>
          <cell r="J512">
            <v>8</v>
          </cell>
          <cell r="K512">
            <v>19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400</v>
          </cell>
          <cell r="Q512">
            <v>66</v>
          </cell>
          <cell r="R512">
            <v>334</v>
          </cell>
          <cell r="S512">
            <v>76</v>
          </cell>
          <cell r="T512">
            <v>400</v>
          </cell>
        </row>
        <row r="513">
          <cell r="C513" t="str">
            <v>Elma city, Washington</v>
          </cell>
          <cell r="D513">
            <v>16</v>
          </cell>
          <cell r="E513">
            <v>6</v>
          </cell>
          <cell r="F513">
            <v>0</v>
          </cell>
          <cell r="G513">
            <v>6</v>
          </cell>
          <cell r="H513">
            <v>0</v>
          </cell>
          <cell r="I513">
            <v>0</v>
          </cell>
          <cell r="J513">
            <v>0</v>
          </cell>
          <cell r="K513">
            <v>6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</v>
          </cell>
          <cell r="Q513">
            <v>0</v>
          </cell>
          <cell r="R513">
            <v>10</v>
          </cell>
          <cell r="S513">
            <v>6</v>
          </cell>
          <cell r="T513">
            <v>10</v>
          </cell>
        </row>
        <row r="514">
          <cell r="C514" t="str">
            <v>Elmer City town, Washington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</row>
        <row r="515">
          <cell r="C515" t="str">
            <v>Endicott town, Washington</v>
          </cell>
          <cell r="D515">
            <v>65</v>
          </cell>
          <cell r="E515">
            <v>65</v>
          </cell>
          <cell r="F515">
            <v>65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65</v>
          </cell>
          <cell r="T515">
            <v>0</v>
          </cell>
        </row>
        <row r="516">
          <cell r="C516" t="str">
            <v>Entiat city, Washington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</row>
        <row r="517">
          <cell r="C517" t="str">
            <v>Enumclaw city, Washington</v>
          </cell>
          <cell r="D517">
            <v>46</v>
          </cell>
          <cell r="E517">
            <v>38</v>
          </cell>
          <cell r="F517">
            <v>33</v>
          </cell>
          <cell r="G517">
            <v>5</v>
          </cell>
          <cell r="H517">
            <v>0</v>
          </cell>
          <cell r="I517">
            <v>0</v>
          </cell>
          <cell r="J517">
            <v>0</v>
          </cell>
          <cell r="K517">
            <v>5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8</v>
          </cell>
          <cell r="Q517">
            <v>8</v>
          </cell>
          <cell r="R517">
            <v>0</v>
          </cell>
          <cell r="S517">
            <v>38</v>
          </cell>
          <cell r="T517">
            <v>8</v>
          </cell>
        </row>
        <row r="518">
          <cell r="C518" t="str">
            <v>Ephrata city, Washington</v>
          </cell>
          <cell r="D518">
            <v>60</v>
          </cell>
          <cell r="E518">
            <v>26</v>
          </cell>
          <cell r="F518">
            <v>16</v>
          </cell>
          <cell r="G518">
            <v>10</v>
          </cell>
          <cell r="H518">
            <v>0</v>
          </cell>
          <cell r="I518">
            <v>0</v>
          </cell>
          <cell r="J518">
            <v>0</v>
          </cell>
          <cell r="K518">
            <v>10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34</v>
          </cell>
          <cell r="Q518">
            <v>34</v>
          </cell>
          <cell r="R518">
            <v>0</v>
          </cell>
          <cell r="S518">
            <v>26</v>
          </cell>
          <cell r="T518">
            <v>34</v>
          </cell>
        </row>
        <row r="519">
          <cell r="C519" t="str">
            <v>Erlands Point-Kitsap Lake CDP, Washington</v>
          </cell>
          <cell r="D519">
            <v>119</v>
          </cell>
          <cell r="E519">
            <v>45</v>
          </cell>
          <cell r="F519">
            <v>18</v>
          </cell>
          <cell r="G519">
            <v>6</v>
          </cell>
          <cell r="H519">
            <v>0</v>
          </cell>
          <cell r="I519">
            <v>0</v>
          </cell>
          <cell r="J519">
            <v>0</v>
          </cell>
          <cell r="K519">
            <v>6</v>
          </cell>
          <cell r="L519">
            <v>21</v>
          </cell>
          <cell r="M519">
            <v>0</v>
          </cell>
          <cell r="N519">
            <v>0</v>
          </cell>
          <cell r="O519">
            <v>21</v>
          </cell>
          <cell r="P519">
            <v>74</v>
          </cell>
          <cell r="Q519">
            <v>52</v>
          </cell>
          <cell r="R519">
            <v>22</v>
          </cell>
          <cell r="S519">
            <v>24</v>
          </cell>
          <cell r="T519">
            <v>95</v>
          </cell>
        </row>
        <row r="520">
          <cell r="C520" t="str">
            <v>Eschbach CDP, Washington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</row>
        <row r="521">
          <cell r="C521" t="str">
            <v>Esperance CDP, Washington</v>
          </cell>
          <cell r="D521">
            <v>305</v>
          </cell>
          <cell r="E521">
            <v>111</v>
          </cell>
          <cell r="F521">
            <v>75</v>
          </cell>
          <cell r="G521">
            <v>28</v>
          </cell>
          <cell r="H521">
            <v>0</v>
          </cell>
          <cell r="I521">
            <v>0</v>
          </cell>
          <cell r="J521">
            <v>0</v>
          </cell>
          <cell r="K521">
            <v>28</v>
          </cell>
          <cell r="L521">
            <v>8</v>
          </cell>
          <cell r="M521">
            <v>0</v>
          </cell>
          <cell r="N521">
            <v>0</v>
          </cell>
          <cell r="O521">
            <v>8</v>
          </cell>
          <cell r="P521">
            <v>194</v>
          </cell>
          <cell r="Q521">
            <v>97</v>
          </cell>
          <cell r="R521">
            <v>97</v>
          </cell>
          <cell r="S521">
            <v>103</v>
          </cell>
          <cell r="T521">
            <v>202</v>
          </cell>
        </row>
        <row r="522">
          <cell r="C522" t="str">
            <v>Everett city, Washington</v>
          </cell>
          <cell r="D522">
            <v>6057</v>
          </cell>
          <cell r="E522">
            <v>1664</v>
          </cell>
          <cell r="F522">
            <v>987</v>
          </cell>
          <cell r="G522">
            <v>566</v>
          </cell>
          <cell r="H522">
            <v>53</v>
          </cell>
          <cell r="I522">
            <v>27</v>
          </cell>
          <cell r="J522">
            <v>44</v>
          </cell>
          <cell r="K522">
            <v>442</v>
          </cell>
          <cell r="L522">
            <v>111</v>
          </cell>
          <cell r="M522">
            <v>0</v>
          </cell>
          <cell r="N522">
            <v>0</v>
          </cell>
          <cell r="O522">
            <v>111</v>
          </cell>
          <cell r="P522">
            <v>4393</v>
          </cell>
          <cell r="Q522">
            <v>2217</v>
          </cell>
          <cell r="R522">
            <v>2176</v>
          </cell>
          <cell r="S522">
            <v>1553</v>
          </cell>
          <cell r="T522">
            <v>4504</v>
          </cell>
        </row>
        <row r="523">
          <cell r="C523" t="str">
            <v>Everson city, Washington</v>
          </cell>
          <cell r="D523">
            <v>41</v>
          </cell>
          <cell r="E523">
            <v>7</v>
          </cell>
          <cell r="F523">
            <v>4</v>
          </cell>
          <cell r="G523">
            <v>3</v>
          </cell>
          <cell r="H523">
            <v>0</v>
          </cell>
          <cell r="I523">
            <v>0</v>
          </cell>
          <cell r="J523">
            <v>1</v>
          </cell>
          <cell r="K523">
            <v>2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34</v>
          </cell>
          <cell r="Q523">
            <v>5</v>
          </cell>
          <cell r="R523">
            <v>29</v>
          </cell>
          <cell r="S523">
            <v>7</v>
          </cell>
          <cell r="T523">
            <v>34</v>
          </cell>
        </row>
        <row r="524">
          <cell r="C524" t="str">
            <v>Fairchild AFB CDP, Washington</v>
          </cell>
          <cell r="D524">
            <v>120</v>
          </cell>
          <cell r="E524">
            <v>31</v>
          </cell>
          <cell r="F524">
            <v>0</v>
          </cell>
          <cell r="G524">
            <v>19</v>
          </cell>
          <cell r="H524">
            <v>0</v>
          </cell>
          <cell r="I524">
            <v>6</v>
          </cell>
          <cell r="J524">
            <v>5</v>
          </cell>
          <cell r="K524">
            <v>8</v>
          </cell>
          <cell r="L524">
            <v>12</v>
          </cell>
          <cell r="M524">
            <v>0</v>
          </cell>
          <cell r="N524">
            <v>5</v>
          </cell>
          <cell r="O524">
            <v>7</v>
          </cell>
          <cell r="P524">
            <v>89</v>
          </cell>
          <cell r="Q524">
            <v>54</v>
          </cell>
          <cell r="R524">
            <v>35</v>
          </cell>
          <cell r="S524">
            <v>19</v>
          </cell>
          <cell r="T524">
            <v>101</v>
          </cell>
        </row>
        <row r="525">
          <cell r="C525" t="str">
            <v>Fairfield town, Washington</v>
          </cell>
          <cell r="D525">
            <v>3</v>
          </cell>
          <cell r="E525">
            <v>3</v>
          </cell>
          <cell r="F525">
            <v>3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3</v>
          </cell>
          <cell r="T525">
            <v>0</v>
          </cell>
        </row>
        <row r="526">
          <cell r="C526" t="str">
            <v>Fairwood CDP, Washington</v>
          </cell>
          <cell r="D526">
            <v>71</v>
          </cell>
          <cell r="E526">
            <v>14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14</v>
          </cell>
          <cell r="M526">
            <v>0</v>
          </cell>
          <cell r="N526">
            <v>0</v>
          </cell>
          <cell r="O526">
            <v>14</v>
          </cell>
          <cell r="P526">
            <v>57</v>
          </cell>
          <cell r="Q526">
            <v>16</v>
          </cell>
          <cell r="R526">
            <v>41</v>
          </cell>
          <cell r="S526">
            <v>0</v>
          </cell>
          <cell r="T526">
            <v>71</v>
          </cell>
        </row>
        <row r="527">
          <cell r="C527" t="str">
            <v>Fall City CDP, Washington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</row>
        <row r="528">
          <cell r="C528" t="str">
            <v>Farmington town, Washington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</row>
        <row r="529">
          <cell r="C529" t="str">
            <v>Federal Way city, Washington</v>
          </cell>
          <cell r="D529">
            <v>10162</v>
          </cell>
          <cell r="E529">
            <v>3179</v>
          </cell>
          <cell r="F529">
            <v>1668</v>
          </cell>
          <cell r="G529">
            <v>1348</v>
          </cell>
          <cell r="H529">
            <v>112</v>
          </cell>
          <cell r="I529">
            <v>131</v>
          </cell>
          <cell r="J529">
            <v>213</v>
          </cell>
          <cell r="K529">
            <v>892</v>
          </cell>
          <cell r="L529">
            <v>163</v>
          </cell>
          <cell r="M529">
            <v>0</v>
          </cell>
          <cell r="N529">
            <v>18</v>
          </cell>
          <cell r="O529">
            <v>145</v>
          </cell>
          <cell r="P529">
            <v>6983</v>
          </cell>
          <cell r="Q529">
            <v>3697</v>
          </cell>
          <cell r="R529">
            <v>3286</v>
          </cell>
          <cell r="S529">
            <v>3016</v>
          </cell>
          <cell r="T529">
            <v>7146</v>
          </cell>
        </row>
        <row r="530">
          <cell r="C530" t="str">
            <v>Felida CDP, Washington</v>
          </cell>
          <cell r="D530">
            <v>185</v>
          </cell>
          <cell r="E530">
            <v>37</v>
          </cell>
          <cell r="F530">
            <v>5</v>
          </cell>
          <cell r="G530">
            <v>25</v>
          </cell>
          <cell r="H530">
            <v>8</v>
          </cell>
          <cell r="I530">
            <v>0</v>
          </cell>
          <cell r="J530">
            <v>11</v>
          </cell>
          <cell r="K530">
            <v>6</v>
          </cell>
          <cell r="L530">
            <v>7</v>
          </cell>
          <cell r="M530">
            <v>0</v>
          </cell>
          <cell r="N530">
            <v>0</v>
          </cell>
          <cell r="O530">
            <v>7</v>
          </cell>
          <cell r="P530">
            <v>148</v>
          </cell>
          <cell r="Q530">
            <v>120</v>
          </cell>
          <cell r="R530">
            <v>28</v>
          </cell>
          <cell r="S530">
            <v>30</v>
          </cell>
          <cell r="T530">
            <v>155</v>
          </cell>
        </row>
        <row r="531">
          <cell r="C531" t="str">
            <v>Ferndale city, Washington</v>
          </cell>
          <cell r="D531">
            <v>225</v>
          </cell>
          <cell r="E531">
            <v>74</v>
          </cell>
          <cell r="F531">
            <v>67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7</v>
          </cell>
          <cell r="M531">
            <v>0</v>
          </cell>
          <cell r="N531">
            <v>0</v>
          </cell>
          <cell r="O531">
            <v>7</v>
          </cell>
          <cell r="P531">
            <v>151</v>
          </cell>
          <cell r="Q531">
            <v>45</v>
          </cell>
          <cell r="R531">
            <v>106</v>
          </cell>
          <cell r="S531">
            <v>67</v>
          </cell>
          <cell r="T531">
            <v>158</v>
          </cell>
        </row>
        <row r="532">
          <cell r="C532" t="str">
            <v>Fife city, Washington</v>
          </cell>
          <cell r="D532">
            <v>279</v>
          </cell>
          <cell r="E532">
            <v>143</v>
          </cell>
          <cell r="F532">
            <v>93</v>
          </cell>
          <cell r="G532">
            <v>33</v>
          </cell>
          <cell r="H532">
            <v>3</v>
          </cell>
          <cell r="I532">
            <v>2</v>
          </cell>
          <cell r="J532">
            <v>1</v>
          </cell>
          <cell r="K532">
            <v>27</v>
          </cell>
          <cell r="L532">
            <v>17</v>
          </cell>
          <cell r="M532">
            <v>0</v>
          </cell>
          <cell r="N532">
            <v>2</v>
          </cell>
          <cell r="O532">
            <v>15</v>
          </cell>
          <cell r="P532">
            <v>136</v>
          </cell>
          <cell r="Q532">
            <v>71</v>
          </cell>
          <cell r="R532">
            <v>65</v>
          </cell>
          <cell r="S532">
            <v>126</v>
          </cell>
          <cell r="T532">
            <v>153</v>
          </cell>
        </row>
        <row r="533">
          <cell r="C533" t="str">
            <v>Finley CDP, Washington</v>
          </cell>
          <cell r="D533">
            <v>29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29</v>
          </cell>
          <cell r="Q533">
            <v>19</v>
          </cell>
          <cell r="R533">
            <v>10</v>
          </cell>
          <cell r="S533">
            <v>0</v>
          </cell>
          <cell r="T533">
            <v>29</v>
          </cell>
        </row>
        <row r="534">
          <cell r="C534" t="str">
            <v>Fircrest city, Washington</v>
          </cell>
          <cell r="D534">
            <v>198</v>
          </cell>
          <cell r="E534">
            <v>68</v>
          </cell>
          <cell r="F534">
            <v>32</v>
          </cell>
          <cell r="G534">
            <v>36</v>
          </cell>
          <cell r="H534">
            <v>0</v>
          </cell>
          <cell r="I534">
            <v>0</v>
          </cell>
          <cell r="J534">
            <v>0</v>
          </cell>
          <cell r="K534">
            <v>36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130</v>
          </cell>
          <cell r="Q534">
            <v>106</v>
          </cell>
          <cell r="R534">
            <v>24</v>
          </cell>
          <cell r="S534">
            <v>68</v>
          </cell>
          <cell r="T534">
            <v>130</v>
          </cell>
        </row>
        <row r="535">
          <cell r="C535" t="str">
            <v>Five Corners CDP, Washington</v>
          </cell>
          <cell r="D535">
            <v>585</v>
          </cell>
          <cell r="E535">
            <v>171</v>
          </cell>
          <cell r="F535">
            <v>65</v>
          </cell>
          <cell r="G535">
            <v>106</v>
          </cell>
          <cell r="H535">
            <v>9</v>
          </cell>
          <cell r="I535">
            <v>0</v>
          </cell>
          <cell r="J535">
            <v>0</v>
          </cell>
          <cell r="K535">
            <v>97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414</v>
          </cell>
          <cell r="Q535">
            <v>236</v>
          </cell>
          <cell r="R535">
            <v>178</v>
          </cell>
          <cell r="S535">
            <v>171</v>
          </cell>
          <cell r="T535">
            <v>414</v>
          </cell>
        </row>
        <row r="536">
          <cell r="C536" t="str">
            <v>Fords Prairie CDP, Washington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</row>
        <row r="537">
          <cell r="C537" t="str">
            <v>Forks city, Washington</v>
          </cell>
          <cell r="D537">
            <v>24</v>
          </cell>
          <cell r="E537">
            <v>8</v>
          </cell>
          <cell r="F537">
            <v>2</v>
          </cell>
          <cell r="G537">
            <v>6</v>
          </cell>
          <cell r="H537">
            <v>6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16</v>
          </cell>
          <cell r="Q537">
            <v>16</v>
          </cell>
          <cell r="R537">
            <v>0</v>
          </cell>
          <cell r="S537">
            <v>8</v>
          </cell>
          <cell r="T537">
            <v>16</v>
          </cell>
        </row>
        <row r="538">
          <cell r="C538" t="str">
            <v>Fort Lewis CDP, Washington</v>
          </cell>
          <cell r="D538">
            <v>659</v>
          </cell>
          <cell r="E538">
            <v>255</v>
          </cell>
          <cell r="F538">
            <v>30</v>
          </cell>
          <cell r="G538">
            <v>176</v>
          </cell>
          <cell r="H538">
            <v>10</v>
          </cell>
          <cell r="I538">
            <v>13</v>
          </cell>
          <cell r="J538">
            <v>46</v>
          </cell>
          <cell r="K538">
            <v>107</v>
          </cell>
          <cell r="L538">
            <v>49</v>
          </cell>
          <cell r="M538">
            <v>0</v>
          </cell>
          <cell r="N538">
            <v>0</v>
          </cell>
          <cell r="O538">
            <v>49</v>
          </cell>
          <cell r="P538">
            <v>404</v>
          </cell>
          <cell r="Q538">
            <v>186</v>
          </cell>
          <cell r="R538">
            <v>218</v>
          </cell>
          <cell r="S538">
            <v>206</v>
          </cell>
          <cell r="T538">
            <v>453</v>
          </cell>
        </row>
        <row r="539">
          <cell r="C539" t="str">
            <v>Fox Island CDP, Washington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</row>
        <row r="540">
          <cell r="C540" t="str">
            <v>Frederickson CDP, Washington</v>
          </cell>
          <cell r="D540">
            <v>106</v>
          </cell>
          <cell r="E540">
            <v>19</v>
          </cell>
          <cell r="F540">
            <v>19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87</v>
          </cell>
          <cell r="Q540">
            <v>81</v>
          </cell>
          <cell r="R540">
            <v>6</v>
          </cell>
          <cell r="S540">
            <v>19</v>
          </cell>
          <cell r="T540">
            <v>87</v>
          </cell>
        </row>
        <row r="541">
          <cell r="C541" t="str">
            <v>Freeland CDP, Washington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C542" t="str">
            <v>Friday Harbor town, Washington</v>
          </cell>
          <cell r="D542">
            <v>17</v>
          </cell>
          <cell r="E542">
            <v>4</v>
          </cell>
          <cell r="F542">
            <v>0</v>
          </cell>
          <cell r="G542">
            <v>4</v>
          </cell>
          <cell r="H542">
            <v>0</v>
          </cell>
          <cell r="I542">
            <v>0</v>
          </cell>
          <cell r="J542">
            <v>0</v>
          </cell>
          <cell r="K542">
            <v>4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13</v>
          </cell>
          <cell r="Q542">
            <v>0</v>
          </cell>
          <cell r="R542">
            <v>13</v>
          </cell>
          <cell r="S542">
            <v>4</v>
          </cell>
          <cell r="T542">
            <v>13</v>
          </cell>
        </row>
        <row r="543">
          <cell r="C543" t="str">
            <v>Garfield town, Washington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</row>
        <row r="544">
          <cell r="C544" t="str">
            <v>Garrett CDP, Washington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</row>
        <row r="545">
          <cell r="C545" t="str">
            <v>Geneva CDP, Washington</v>
          </cell>
          <cell r="D545">
            <v>14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14</v>
          </cell>
          <cell r="Q545">
            <v>14</v>
          </cell>
          <cell r="R545">
            <v>0</v>
          </cell>
          <cell r="S545">
            <v>0</v>
          </cell>
          <cell r="T545">
            <v>14</v>
          </cell>
        </row>
        <row r="546">
          <cell r="C546" t="str">
            <v>George city, Washington</v>
          </cell>
          <cell r="D546">
            <v>9</v>
          </cell>
          <cell r="E546">
            <v>6</v>
          </cell>
          <cell r="F546">
            <v>0</v>
          </cell>
          <cell r="G546">
            <v>6</v>
          </cell>
          <cell r="H546">
            <v>0</v>
          </cell>
          <cell r="I546">
            <v>0</v>
          </cell>
          <cell r="J546">
            <v>0</v>
          </cell>
          <cell r="K546">
            <v>6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3</v>
          </cell>
          <cell r="Q546">
            <v>3</v>
          </cell>
          <cell r="R546">
            <v>0</v>
          </cell>
          <cell r="S546">
            <v>6</v>
          </cell>
          <cell r="T546">
            <v>3</v>
          </cell>
        </row>
        <row r="547">
          <cell r="C547" t="str">
            <v>Gig Harbor city, Washington</v>
          </cell>
          <cell r="D547">
            <v>154</v>
          </cell>
          <cell r="E547">
            <v>91</v>
          </cell>
          <cell r="F547">
            <v>43</v>
          </cell>
          <cell r="G547">
            <v>48</v>
          </cell>
          <cell r="H547">
            <v>0</v>
          </cell>
          <cell r="I547">
            <v>5</v>
          </cell>
          <cell r="J547">
            <v>7</v>
          </cell>
          <cell r="K547">
            <v>36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63</v>
          </cell>
          <cell r="Q547">
            <v>45</v>
          </cell>
          <cell r="R547">
            <v>18</v>
          </cell>
          <cell r="S547">
            <v>91</v>
          </cell>
          <cell r="T547">
            <v>63</v>
          </cell>
        </row>
        <row r="548">
          <cell r="C548" t="str">
            <v>Glacier CDP, Washington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</row>
        <row r="549">
          <cell r="C549" t="str">
            <v>Gleed CDP, Washington</v>
          </cell>
          <cell r="D549">
            <v>9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9</v>
          </cell>
          <cell r="Q549">
            <v>0</v>
          </cell>
          <cell r="R549">
            <v>9</v>
          </cell>
          <cell r="S549">
            <v>0</v>
          </cell>
          <cell r="T549">
            <v>9</v>
          </cell>
        </row>
        <row r="550">
          <cell r="C550" t="str">
            <v>Gold Bar city, Washington</v>
          </cell>
          <cell r="D550">
            <v>31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31</v>
          </cell>
          <cell r="Q550">
            <v>16</v>
          </cell>
          <cell r="R550">
            <v>15</v>
          </cell>
          <cell r="S550">
            <v>0</v>
          </cell>
          <cell r="T550">
            <v>31</v>
          </cell>
        </row>
        <row r="551">
          <cell r="C551" t="str">
            <v>Goldendale city, Washington</v>
          </cell>
          <cell r="D551">
            <v>10</v>
          </cell>
          <cell r="E551">
            <v>10</v>
          </cell>
          <cell r="F551">
            <v>0</v>
          </cell>
          <cell r="G551">
            <v>10</v>
          </cell>
          <cell r="H551">
            <v>0</v>
          </cell>
          <cell r="I551">
            <v>0</v>
          </cell>
          <cell r="J551">
            <v>0</v>
          </cell>
          <cell r="K551">
            <v>10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10</v>
          </cell>
          <cell r="T551">
            <v>0</v>
          </cell>
        </row>
        <row r="552">
          <cell r="C552" t="str">
            <v>Graham CDP, Washington</v>
          </cell>
          <cell r="D552">
            <v>69</v>
          </cell>
          <cell r="E552">
            <v>9</v>
          </cell>
          <cell r="F552">
            <v>9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60</v>
          </cell>
          <cell r="Q552">
            <v>43</v>
          </cell>
          <cell r="R552">
            <v>17</v>
          </cell>
          <cell r="S552">
            <v>9</v>
          </cell>
          <cell r="T552">
            <v>60</v>
          </cell>
        </row>
        <row r="553">
          <cell r="C553" t="str">
            <v>Grand Coulee city, Washington</v>
          </cell>
          <cell r="D553">
            <v>17</v>
          </cell>
          <cell r="E553">
            <v>3</v>
          </cell>
          <cell r="F553">
            <v>3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14</v>
          </cell>
          <cell r="Q553">
            <v>13</v>
          </cell>
          <cell r="R553">
            <v>1</v>
          </cell>
          <cell r="S553">
            <v>3</v>
          </cell>
          <cell r="T553">
            <v>14</v>
          </cell>
        </row>
        <row r="554">
          <cell r="C554" t="str">
            <v>Grand Mound CDP, Washington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C555" t="str">
            <v>Grandview city, Washington</v>
          </cell>
          <cell r="D555">
            <v>141</v>
          </cell>
          <cell r="E555">
            <v>34</v>
          </cell>
          <cell r="F555">
            <v>20</v>
          </cell>
          <cell r="G555">
            <v>14</v>
          </cell>
          <cell r="H555">
            <v>0</v>
          </cell>
          <cell r="I555">
            <v>0</v>
          </cell>
          <cell r="J555">
            <v>0</v>
          </cell>
          <cell r="K555">
            <v>14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107</v>
          </cell>
          <cell r="Q555">
            <v>67</v>
          </cell>
          <cell r="R555">
            <v>40</v>
          </cell>
          <cell r="S555">
            <v>34</v>
          </cell>
          <cell r="T555">
            <v>107</v>
          </cell>
        </row>
        <row r="556">
          <cell r="C556" t="str">
            <v>Granger town, Washington</v>
          </cell>
          <cell r="D556">
            <v>2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2</v>
          </cell>
          <cell r="Q556">
            <v>2</v>
          </cell>
          <cell r="R556">
            <v>0</v>
          </cell>
          <cell r="S556">
            <v>0</v>
          </cell>
          <cell r="T556">
            <v>2</v>
          </cell>
        </row>
        <row r="557">
          <cell r="C557" t="str">
            <v>Granite Falls city, Washington</v>
          </cell>
          <cell r="D557">
            <v>12</v>
          </cell>
          <cell r="E557">
            <v>6</v>
          </cell>
          <cell r="F557">
            <v>3</v>
          </cell>
          <cell r="G557">
            <v>3</v>
          </cell>
          <cell r="H557">
            <v>0</v>
          </cell>
          <cell r="I557">
            <v>0</v>
          </cell>
          <cell r="J557">
            <v>3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6</v>
          </cell>
          <cell r="Q557">
            <v>0</v>
          </cell>
          <cell r="R557">
            <v>6</v>
          </cell>
          <cell r="S557">
            <v>6</v>
          </cell>
          <cell r="T557">
            <v>6</v>
          </cell>
        </row>
        <row r="558">
          <cell r="C558" t="str">
            <v>Grayland CDP, Washington</v>
          </cell>
          <cell r="D558">
            <v>6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6</v>
          </cell>
          <cell r="Q558">
            <v>6</v>
          </cell>
          <cell r="R558">
            <v>0</v>
          </cell>
          <cell r="S558">
            <v>0</v>
          </cell>
          <cell r="T558">
            <v>6</v>
          </cell>
        </row>
        <row r="559">
          <cell r="C559" t="str">
            <v>Green Acres CDP, Washington</v>
          </cell>
          <cell r="D559">
            <v>8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8</v>
          </cell>
          <cell r="Q559">
            <v>0</v>
          </cell>
          <cell r="R559">
            <v>8</v>
          </cell>
          <cell r="S559">
            <v>0</v>
          </cell>
          <cell r="T559">
            <v>8</v>
          </cell>
        </row>
        <row r="560">
          <cell r="C560" t="str">
            <v>Greenwater CDP, Washington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</row>
        <row r="561">
          <cell r="C561" t="str">
            <v>Hamilton town, Washington</v>
          </cell>
          <cell r="D561">
            <v>1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1</v>
          </cell>
          <cell r="Q561">
            <v>1</v>
          </cell>
          <cell r="R561">
            <v>0</v>
          </cell>
          <cell r="S561">
            <v>0</v>
          </cell>
          <cell r="T561">
            <v>1</v>
          </cell>
        </row>
        <row r="562">
          <cell r="C562" t="str">
            <v>Harrah town, Washington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</row>
        <row r="563">
          <cell r="C563" t="str">
            <v>Harrington city, Washington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C564" t="str">
            <v>Hartline town, Washington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</row>
        <row r="565">
          <cell r="C565" t="str">
            <v>Hatton town, Washington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</row>
        <row r="566">
          <cell r="C566" t="str">
            <v>Hazel Dell North CDP, Washington</v>
          </cell>
          <cell r="D566">
            <v>211</v>
          </cell>
          <cell r="E566">
            <v>61</v>
          </cell>
          <cell r="F566">
            <v>24</v>
          </cell>
          <cell r="G566">
            <v>24</v>
          </cell>
          <cell r="H566">
            <v>0</v>
          </cell>
          <cell r="I566">
            <v>0</v>
          </cell>
          <cell r="J566">
            <v>0</v>
          </cell>
          <cell r="K566">
            <v>24</v>
          </cell>
          <cell r="L566">
            <v>13</v>
          </cell>
          <cell r="M566">
            <v>0</v>
          </cell>
          <cell r="N566">
            <v>9</v>
          </cell>
          <cell r="O566">
            <v>4</v>
          </cell>
          <cell r="P566">
            <v>150</v>
          </cell>
          <cell r="Q566">
            <v>128</v>
          </cell>
          <cell r="R566">
            <v>22</v>
          </cell>
          <cell r="S566">
            <v>48</v>
          </cell>
          <cell r="T566">
            <v>163</v>
          </cell>
        </row>
        <row r="567">
          <cell r="C567" t="str">
            <v>Hazel Dell South CDP, Washington</v>
          </cell>
          <cell r="D567">
            <v>53</v>
          </cell>
          <cell r="E567">
            <v>18</v>
          </cell>
          <cell r="F567">
            <v>6</v>
          </cell>
          <cell r="G567">
            <v>12</v>
          </cell>
          <cell r="H567">
            <v>6</v>
          </cell>
          <cell r="I567">
            <v>0</v>
          </cell>
          <cell r="J567">
            <v>0</v>
          </cell>
          <cell r="K567">
            <v>6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35</v>
          </cell>
          <cell r="Q567">
            <v>24</v>
          </cell>
          <cell r="R567">
            <v>11</v>
          </cell>
          <cell r="S567">
            <v>18</v>
          </cell>
          <cell r="T567">
            <v>35</v>
          </cell>
        </row>
        <row r="568">
          <cell r="C568" t="str">
            <v>Highland CDP, Washington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C569" t="str">
            <v>Hobart CDP, Washington</v>
          </cell>
          <cell r="D569">
            <v>53</v>
          </cell>
          <cell r="E569">
            <v>39</v>
          </cell>
          <cell r="F569">
            <v>28</v>
          </cell>
          <cell r="G569">
            <v>5</v>
          </cell>
          <cell r="H569">
            <v>0</v>
          </cell>
          <cell r="I569">
            <v>0</v>
          </cell>
          <cell r="J569">
            <v>0</v>
          </cell>
          <cell r="K569">
            <v>5</v>
          </cell>
          <cell r="L569">
            <v>6</v>
          </cell>
          <cell r="M569">
            <v>0</v>
          </cell>
          <cell r="N569">
            <v>0</v>
          </cell>
          <cell r="O569">
            <v>6</v>
          </cell>
          <cell r="P569">
            <v>14</v>
          </cell>
          <cell r="Q569">
            <v>7</v>
          </cell>
          <cell r="R569">
            <v>7</v>
          </cell>
          <cell r="S569">
            <v>33</v>
          </cell>
          <cell r="T569">
            <v>20</v>
          </cell>
        </row>
        <row r="570">
          <cell r="C570" t="str">
            <v>Hockinson CDP, Washington</v>
          </cell>
          <cell r="D570">
            <v>45</v>
          </cell>
          <cell r="E570">
            <v>5</v>
          </cell>
          <cell r="F570">
            <v>0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5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40</v>
          </cell>
          <cell r="Q570">
            <v>29</v>
          </cell>
          <cell r="R570">
            <v>11</v>
          </cell>
          <cell r="S570">
            <v>5</v>
          </cell>
          <cell r="T570">
            <v>40</v>
          </cell>
        </row>
        <row r="571">
          <cell r="C571" t="str">
            <v>Hoquiam city, Washington</v>
          </cell>
          <cell r="D571">
            <v>100</v>
          </cell>
          <cell r="E571">
            <v>41</v>
          </cell>
          <cell r="F571">
            <v>36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5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59</v>
          </cell>
          <cell r="Q571">
            <v>30</v>
          </cell>
          <cell r="R571">
            <v>29</v>
          </cell>
          <cell r="S571">
            <v>41</v>
          </cell>
          <cell r="T571">
            <v>59</v>
          </cell>
        </row>
        <row r="572">
          <cell r="C572" t="str">
            <v>Humptulips CDP, Washington</v>
          </cell>
          <cell r="D572">
            <v>3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3</v>
          </cell>
          <cell r="Q572">
            <v>0</v>
          </cell>
          <cell r="R572">
            <v>3</v>
          </cell>
          <cell r="S572">
            <v>0</v>
          </cell>
          <cell r="T572">
            <v>3</v>
          </cell>
        </row>
        <row r="573">
          <cell r="C573" t="str">
            <v>Hunts Point town, Washington</v>
          </cell>
          <cell r="D573">
            <v>26</v>
          </cell>
          <cell r="E573">
            <v>12</v>
          </cell>
          <cell r="F573">
            <v>9</v>
          </cell>
          <cell r="G573">
            <v>3</v>
          </cell>
          <cell r="H573">
            <v>0</v>
          </cell>
          <cell r="I573">
            <v>0</v>
          </cell>
          <cell r="J573">
            <v>0</v>
          </cell>
          <cell r="K573">
            <v>3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14</v>
          </cell>
          <cell r="Q573">
            <v>14</v>
          </cell>
          <cell r="R573">
            <v>0</v>
          </cell>
          <cell r="S573">
            <v>12</v>
          </cell>
          <cell r="T573">
            <v>14</v>
          </cell>
        </row>
        <row r="574">
          <cell r="C574" t="str">
            <v>Ilwaco city, Washington</v>
          </cell>
          <cell r="D574">
            <v>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3</v>
          </cell>
          <cell r="Q574">
            <v>3</v>
          </cell>
          <cell r="R574">
            <v>0</v>
          </cell>
          <cell r="S574">
            <v>0</v>
          </cell>
          <cell r="T574">
            <v>3</v>
          </cell>
        </row>
        <row r="575">
          <cell r="C575" t="str">
            <v>Inchelium CDP, Washington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C576" t="str">
            <v>Index town, Washington</v>
          </cell>
          <cell r="D576">
            <v>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2</v>
          </cell>
          <cell r="Q576">
            <v>2</v>
          </cell>
          <cell r="R576">
            <v>0</v>
          </cell>
          <cell r="S576">
            <v>0</v>
          </cell>
          <cell r="T576">
            <v>2</v>
          </cell>
        </row>
        <row r="577">
          <cell r="C577" t="str">
            <v>Indianola CDP, Washington</v>
          </cell>
          <cell r="D577">
            <v>36</v>
          </cell>
          <cell r="E577">
            <v>19</v>
          </cell>
          <cell r="F577">
            <v>13</v>
          </cell>
          <cell r="G577">
            <v>6</v>
          </cell>
          <cell r="H577">
            <v>0</v>
          </cell>
          <cell r="I577">
            <v>0</v>
          </cell>
          <cell r="J577">
            <v>0</v>
          </cell>
          <cell r="K577">
            <v>6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17</v>
          </cell>
          <cell r="Q577">
            <v>12</v>
          </cell>
          <cell r="R577">
            <v>5</v>
          </cell>
          <cell r="S577">
            <v>19</v>
          </cell>
          <cell r="T577">
            <v>17</v>
          </cell>
        </row>
        <row r="578">
          <cell r="C578" t="str">
            <v>Inglewood-Finn Hill CDP, Washington</v>
          </cell>
          <cell r="D578">
            <v>1679</v>
          </cell>
          <cell r="E578">
            <v>624</v>
          </cell>
          <cell r="F578">
            <v>398</v>
          </cell>
          <cell r="G578">
            <v>197</v>
          </cell>
          <cell r="H578">
            <v>17</v>
          </cell>
          <cell r="I578">
            <v>20</v>
          </cell>
          <cell r="J578">
            <v>11</v>
          </cell>
          <cell r="K578">
            <v>149</v>
          </cell>
          <cell r="L578">
            <v>29</v>
          </cell>
          <cell r="M578">
            <v>0</v>
          </cell>
          <cell r="N578">
            <v>0</v>
          </cell>
          <cell r="O578">
            <v>29</v>
          </cell>
          <cell r="P578">
            <v>1055</v>
          </cell>
          <cell r="Q578">
            <v>653</v>
          </cell>
          <cell r="R578">
            <v>402</v>
          </cell>
          <cell r="S578">
            <v>595</v>
          </cell>
          <cell r="T578">
            <v>1084</v>
          </cell>
        </row>
        <row r="579">
          <cell r="C579" t="str">
            <v>Ione town, Washington</v>
          </cell>
          <cell r="D579">
            <v>5</v>
          </cell>
          <cell r="E579">
            <v>4</v>
          </cell>
          <cell r="F579">
            <v>4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1</v>
          </cell>
          <cell r="Q579">
            <v>0</v>
          </cell>
          <cell r="R579">
            <v>1</v>
          </cell>
          <cell r="S579">
            <v>4</v>
          </cell>
          <cell r="T579">
            <v>1</v>
          </cell>
        </row>
        <row r="580">
          <cell r="C580" t="str">
            <v>Issaquah city, Washington</v>
          </cell>
          <cell r="D580">
            <v>704</v>
          </cell>
          <cell r="E580">
            <v>205</v>
          </cell>
          <cell r="F580">
            <v>134</v>
          </cell>
          <cell r="G580">
            <v>58</v>
          </cell>
          <cell r="H580">
            <v>8</v>
          </cell>
          <cell r="I580">
            <v>0</v>
          </cell>
          <cell r="J580">
            <v>25</v>
          </cell>
          <cell r="K580">
            <v>25</v>
          </cell>
          <cell r="L580">
            <v>13</v>
          </cell>
          <cell r="M580">
            <v>0</v>
          </cell>
          <cell r="N580">
            <v>0</v>
          </cell>
          <cell r="O580">
            <v>13</v>
          </cell>
          <cell r="P580">
            <v>499</v>
          </cell>
          <cell r="Q580">
            <v>265</v>
          </cell>
          <cell r="R580">
            <v>234</v>
          </cell>
          <cell r="S580">
            <v>192</v>
          </cell>
          <cell r="T580">
            <v>512</v>
          </cell>
        </row>
        <row r="581">
          <cell r="C581" t="str">
            <v>John Sam Lake CDP, Washington</v>
          </cell>
          <cell r="D581">
            <v>14</v>
          </cell>
          <cell r="E581">
            <v>3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3</v>
          </cell>
          <cell r="M581">
            <v>0</v>
          </cell>
          <cell r="N581">
            <v>0</v>
          </cell>
          <cell r="O581">
            <v>3</v>
          </cell>
          <cell r="P581">
            <v>11</v>
          </cell>
          <cell r="Q581">
            <v>7</v>
          </cell>
          <cell r="R581">
            <v>4</v>
          </cell>
          <cell r="S581">
            <v>0</v>
          </cell>
          <cell r="T581">
            <v>14</v>
          </cell>
        </row>
        <row r="582">
          <cell r="C582" t="str">
            <v>Jordan Road-Canyon Creek CDP, Washington</v>
          </cell>
          <cell r="D582">
            <v>25</v>
          </cell>
          <cell r="E582">
            <v>17</v>
          </cell>
          <cell r="F582">
            <v>0</v>
          </cell>
          <cell r="G582">
            <v>4</v>
          </cell>
          <cell r="H582">
            <v>0</v>
          </cell>
          <cell r="I582">
            <v>0</v>
          </cell>
          <cell r="J582">
            <v>0</v>
          </cell>
          <cell r="K582">
            <v>4</v>
          </cell>
          <cell r="L582">
            <v>13</v>
          </cell>
          <cell r="M582">
            <v>0</v>
          </cell>
          <cell r="N582">
            <v>4</v>
          </cell>
          <cell r="O582">
            <v>9</v>
          </cell>
          <cell r="P582">
            <v>8</v>
          </cell>
          <cell r="Q582">
            <v>8</v>
          </cell>
          <cell r="R582">
            <v>0</v>
          </cell>
          <cell r="S582">
            <v>4</v>
          </cell>
          <cell r="T582">
            <v>21</v>
          </cell>
        </row>
        <row r="583">
          <cell r="C583" t="str">
            <v>Junction City CDP, Washington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</row>
        <row r="584">
          <cell r="C584" t="str">
            <v>Kahlotus city, Washington</v>
          </cell>
          <cell r="D584">
            <v>1</v>
          </cell>
          <cell r="E584">
            <v>1</v>
          </cell>
          <cell r="F584">
            <v>0</v>
          </cell>
          <cell r="G584">
            <v>1</v>
          </cell>
          <cell r="H584">
            <v>0</v>
          </cell>
          <cell r="I584">
            <v>0</v>
          </cell>
          <cell r="J584">
            <v>0</v>
          </cell>
          <cell r="K584">
            <v>1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1</v>
          </cell>
          <cell r="T584">
            <v>0</v>
          </cell>
        </row>
        <row r="585">
          <cell r="C585" t="str">
            <v>Kalama city, Washington</v>
          </cell>
          <cell r="D585">
            <v>13</v>
          </cell>
          <cell r="E585">
            <v>4</v>
          </cell>
          <cell r="F585">
            <v>2</v>
          </cell>
          <cell r="G585">
            <v>2</v>
          </cell>
          <cell r="H585">
            <v>0</v>
          </cell>
          <cell r="I585">
            <v>0</v>
          </cell>
          <cell r="J585">
            <v>0</v>
          </cell>
          <cell r="K585">
            <v>2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9</v>
          </cell>
          <cell r="Q585">
            <v>5</v>
          </cell>
          <cell r="R585">
            <v>4</v>
          </cell>
          <cell r="S585">
            <v>4</v>
          </cell>
          <cell r="T585">
            <v>9</v>
          </cell>
        </row>
        <row r="586">
          <cell r="C586" t="str">
            <v>Kelso city, Washington</v>
          </cell>
          <cell r="D586">
            <v>126</v>
          </cell>
          <cell r="E586">
            <v>59</v>
          </cell>
          <cell r="F586">
            <v>20</v>
          </cell>
          <cell r="G586">
            <v>33</v>
          </cell>
          <cell r="H586">
            <v>0</v>
          </cell>
          <cell r="I586">
            <v>0</v>
          </cell>
          <cell r="J586">
            <v>0</v>
          </cell>
          <cell r="K586">
            <v>33</v>
          </cell>
          <cell r="L586">
            <v>6</v>
          </cell>
          <cell r="M586">
            <v>0</v>
          </cell>
          <cell r="N586">
            <v>0</v>
          </cell>
          <cell r="O586">
            <v>6</v>
          </cell>
          <cell r="P586">
            <v>67</v>
          </cell>
          <cell r="Q586">
            <v>46</v>
          </cell>
          <cell r="R586">
            <v>21</v>
          </cell>
          <cell r="S586">
            <v>53</v>
          </cell>
          <cell r="T586">
            <v>73</v>
          </cell>
        </row>
        <row r="587">
          <cell r="C587" t="str">
            <v>Kendall CDP, Washington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</row>
        <row r="588">
          <cell r="C588" t="str">
            <v>Kenmore city, Washington</v>
          </cell>
          <cell r="D588">
            <v>1226</v>
          </cell>
          <cell r="E588">
            <v>513</v>
          </cell>
          <cell r="F588">
            <v>289</v>
          </cell>
          <cell r="G588">
            <v>183</v>
          </cell>
          <cell r="H588">
            <v>36</v>
          </cell>
          <cell r="I588">
            <v>19</v>
          </cell>
          <cell r="J588">
            <v>13</v>
          </cell>
          <cell r="K588">
            <v>115</v>
          </cell>
          <cell r="L588">
            <v>41</v>
          </cell>
          <cell r="M588">
            <v>0</v>
          </cell>
          <cell r="N588">
            <v>0</v>
          </cell>
          <cell r="O588">
            <v>41</v>
          </cell>
          <cell r="P588">
            <v>713</v>
          </cell>
          <cell r="Q588">
            <v>430</v>
          </cell>
          <cell r="R588">
            <v>283</v>
          </cell>
          <cell r="S588">
            <v>472</v>
          </cell>
          <cell r="T588">
            <v>754</v>
          </cell>
        </row>
        <row r="589">
          <cell r="C589" t="str">
            <v>Kennewick city, Washington</v>
          </cell>
          <cell r="D589">
            <v>958</v>
          </cell>
          <cell r="E589">
            <v>311</v>
          </cell>
          <cell r="F589">
            <v>207</v>
          </cell>
          <cell r="G589">
            <v>95</v>
          </cell>
          <cell r="H589">
            <v>0</v>
          </cell>
          <cell r="I589">
            <v>18</v>
          </cell>
          <cell r="J589">
            <v>13</v>
          </cell>
          <cell r="K589">
            <v>64</v>
          </cell>
          <cell r="L589">
            <v>9</v>
          </cell>
          <cell r="M589">
            <v>0</v>
          </cell>
          <cell r="N589">
            <v>0</v>
          </cell>
          <cell r="O589">
            <v>9</v>
          </cell>
          <cell r="P589">
            <v>647</v>
          </cell>
          <cell r="Q589">
            <v>459</v>
          </cell>
          <cell r="R589">
            <v>188</v>
          </cell>
          <cell r="S589">
            <v>302</v>
          </cell>
          <cell r="T589">
            <v>656</v>
          </cell>
        </row>
        <row r="590">
          <cell r="C590" t="str">
            <v>Kent city, Washington</v>
          </cell>
          <cell r="D590">
            <v>7720</v>
          </cell>
          <cell r="E590">
            <v>2646</v>
          </cell>
          <cell r="F590">
            <v>1817</v>
          </cell>
          <cell r="G590">
            <v>741</v>
          </cell>
          <cell r="H590">
            <v>35</v>
          </cell>
          <cell r="I590">
            <v>49</v>
          </cell>
          <cell r="J590">
            <v>73</v>
          </cell>
          <cell r="K590">
            <v>584</v>
          </cell>
          <cell r="L590">
            <v>88</v>
          </cell>
          <cell r="M590">
            <v>0</v>
          </cell>
          <cell r="N590">
            <v>14</v>
          </cell>
          <cell r="O590">
            <v>74</v>
          </cell>
          <cell r="P590">
            <v>5074</v>
          </cell>
          <cell r="Q590">
            <v>2781</v>
          </cell>
          <cell r="R590">
            <v>2293</v>
          </cell>
          <cell r="S590">
            <v>2558</v>
          </cell>
          <cell r="T590">
            <v>5162</v>
          </cell>
        </row>
        <row r="591">
          <cell r="C591" t="str">
            <v>Kettle Falls city, Washington</v>
          </cell>
          <cell r="D591">
            <v>2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</v>
          </cell>
          <cell r="Q591">
            <v>2</v>
          </cell>
          <cell r="R591">
            <v>0</v>
          </cell>
          <cell r="S591">
            <v>0</v>
          </cell>
          <cell r="T591">
            <v>2</v>
          </cell>
        </row>
        <row r="592">
          <cell r="C592" t="str">
            <v>Kingsgate CDP, Washington</v>
          </cell>
          <cell r="D592">
            <v>1503</v>
          </cell>
          <cell r="E592">
            <v>426</v>
          </cell>
          <cell r="F592">
            <v>253</v>
          </cell>
          <cell r="G592">
            <v>165</v>
          </cell>
          <cell r="H592">
            <v>27</v>
          </cell>
          <cell r="I592">
            <v>16</v>
          </cell>
          <cell r="J592">
            <v>17</v>
          </cell>
          <cell r="K592">
            <v>105</v>
          </cell>
          <cell r="L592">
            <v>8</v>
          </cell>
          <cell r="M592">
            <v>0</v>
          </cell>
          <cell r="N592">
            <v>0</v>
          </cell>
          <cell r="O592">
            <v>8</v>
          </cell>
          <cell r="P592">
            <v>1077</v>
          </cell>
          <cell r="Q592">
            <v>481</v>
          </cell>
          <cell r="R592">
            <v>596</v>
          </cell>
          <cell r="S592">
            <v>418</v>
          </cell>
          <cell r="T592">
            <v>1085</v>
          </cell>
        </row>
        <row r="593">
          <cell r="C593" t="str">
            <v>Kingston CDP, Washington</v>
          </cell>
          <cell r="D593">
            <v>80</v>
          </cell>
          <cell r="E593">
            <v>7</v>
          </cell>
          <cell r="F593">
            <v>7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73</v>
          </cell>
          <cell r="Q593">
            <v>67</v>
          </cell>
          <cell r="R593">
            <v>6</v>
          </cell>
          <cell r="S593">
            <v>7</v>
          </cell>
          <cell r="T593">
            <v>73</v>
          </cell>
        </row>
        <row r="594">
          <cell r="C594" t="str">
            <v>Kirkland city, Washington</v>
          </cell>
          <cell r="D594">
            <v>3476</v>
          </cell>
          <cell r="E594">
            <v>996</v>
          </cell>
          <cell r="F594">
            <v>417</v>
          </cell>
          <cell r="G594">
            <v>500</v>
          </cell>
          <cell r="H594">
            <v>33</v>
          </cell>
          <cell r="I594">
            <v>71</v>
          </cell>
          <cell r="J594">
            <v>105</v>
          </cell>
          <cell r="K594">
            <v>291</v>
          </cell>
          <cell r="L594">
            <v>79</v>
          </cell>
          <cell r="M594">
            <v>0</v>
          </cell>
          <cell r="N594">
            <v>0</v>
          </cell>
          <cell r="O594">
            <v>79</v>
          </cell>
          <cell r="P594">
            <v>2480</v>
          </cell>
          <cell r="Q594">
            <v>1200</v>
          </cell>
          <cell r="R594">
            <v>1280</v>
          </cell>
          <cell r="S594">
            <v>917</v>
          </cell>
          <cell r="T594">
            <v>2559</v>
          </cell>
        </row>
        <row r="595">
          <cell r="C595" t="str">
            <v>Kittitas city, Washington</v>
          </cell>
          <cell r="D595">
            <v>3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3</v>
          </cell>
          <cell r="Q595">
            <v>3</v>
          </cell>
          <cell r="R595">
            <v>0</v>
          </cell>
          <cell r="S595">
            <v>0</v>
          </cell>
          <cell r="T595">
            <v>3</v>
          </cell>
        </row>
        <row r="596">
          <cell r="C596" t="str">
            <v>Klickitat CDP, Washington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</row>
        <row r="597">
          <cell r="C597" t="str">
            <v>Krupp town, Washington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</row>
        <row r="598">
          <cell r="C598" t="str">
            <v>La Center city, Washington</v>
          </cell>
          <cell r="D598">
            <v>23</v>
          </cell>
          <cell r="E598">
            <v>8</v>
          </cell>
          <cell r="F598">
            <v>2</v>
          </cell>
          <cell r="G598">
            <v>6</v>
          </cell>
          <cell r="H598">
            <v>0</v>
          </cell>
          <cell r="I598">
            <v>0</v>
          </cell>
          <cell r="J598">
            <v>2</v>
          </cell>
          <cell r="K598">
            <v>4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15</v>
          </cell>
          <cell r="Q598">
            <v>9</v>
          </cell>
          <cell r="R598">
            <v>6</v>
          </cell>
          <cell r="S598">
            <v>8</v>
          </cell>
          <cell r="T598">
            <v>15</v>
          </cell>
        </row>
        <row r="599">
          <cell r="C599" t="str">
            <v>Lacey city, Washington</v>
          </cell>
          <cell r="D599">
            <v>2517</v>
          </cell>
          <cell r="E599">
            <v>739</v>
          </cell>
          <cell r="F599">
            <v>531</v>
          </cell>
          <cell r="G599">
            <v>183</v>
          </cell>
          <cell r="H599">
            <v>15</v>
          </cell>
          <cell r="I599">
            <v>8</v>
          </cell>
          <cell r="J599">
            <v>35</v>
          </cell>
          <cell r="K599">
            <v>125</v>
          </cell>
          <cell r="L599">
            <v>25</v>
          </cell>
          <cell r="M599">
            <v>0</v>
          </cell>
          <cell r="N599">
            <v>0</v>
          </cell>
          <cell r="O599">
            <v>25</v>
          </cell>
          <cell r="P599">
            <v>1778</v>
          </cell>
          <cell r="Q599">
            <v>1043</v>
          </cell>
          <cell r="R599">
            <v>735</v>
          </cell>
          <cell r="S599">
            <v>714</v>
          </cell>
          <cell r="T599">
            <v>1803</v>
          </cell>
        </row>
        <row r="600">
          <cell r="C600" t="str">
            <v>La Conner town, Washington</v>
          </cell>
          <cell r="D600">
            <v>2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2</v>
          </cell>
          <cell r="Q600">
            <v>0</v>
          </cell>
          <cell r="R600">
            <v>2</v>
          </cell>
          <cell r="S600">
            <v>0</v>
          </cell>
          <cell r="T600">
            <v>2</v>
          </cell>
        </row>
        <row r="601">
          <cell r="C601" t="str">
            <v>La Crosse town, Washington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</row>
        <row r="602">
          <cell r="C602" t="str">
            <v>Lake Bosworth CDP, Washington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</row>
        <row r="603">
          <cell r="C603" t="str">
            <v>Lake Cavanaugh CDP, Washington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</row>
        <row r="604">
          <cell r="C604" t="str">
            <v>Lake Forest Park city, Washington</v>
          </cell>
          <cell r="D604">
            <v>1157</v>
          </cell>
          <cell r="E604">
            <v>360</v>
          </cell>
          <cell r="F604">
            <v>240</v>
          </cell>
          <cell r="G604">
            <v>103</v>
          </cell>
          <cell r="H604">
            <v>22</v>
          </cell>
          <cell r="I604">
            <v>7</v>
          </cell>
          <cell r="J604">
            <v>20</v>
          </cell>
          <cell r="K604">
            <v>54</v>
          </cell>
          <cell r="L604">
            <v>17</v>
          </cell>
          <cell r="M604">
            <v>0</v>
          </cell>
          <cell r="N604">
            <v>7</v>
          </cell>
          <cell r="O604">
            <v>10</v>
          </cell>
          <cell r="P604">
            <v>797</v>
          </cell>
          <cell r="Q604">
            <v>598</v>
          </cell>
          <cell r="R604">
            <v>199</v>
          </cell>
          <cell r="S604">
            <v>343</v>
          </cell>
          <cell r="T604">
            <v>814</v>
          </cell>
        </row>
        <row r="605">
          <cell r="C605" t="str">
            <v>Lake Goodwin CDP, Washington</v>
          </cell>
          <cell r="D605">
            <v>9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9</v>
          </cell>
          <cell r="Q605">
            <v>0</v>
          </cell>
          <cell r="R605">
            <v>9</v>
          </cell>
          <cell r="S605">
            <v>0</v>
          </cell>
          <cell r="T605">
            <v>9</v>
          </cell>
        </row>
        <row r="606">
          <cell r="C606" t="str">
            <v>Lake Ketchum CDP, Washington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</row>
        <row r="607">
          <cell r="C607" t="str">
            <v>Lakeland North CDP, Washington</v>
          </cell>
          <cell r="D607">
            <v>941</v>
          </cell>
          <cell r="E607">
            <v>325</v>
          </cell>
          <cell r="F607">
            <v>231</v>
          </cell>
          <cell r="G607">
            <v>87</v>
          </cell>
          <cell r="H607">
            <v>12</v>
          </cell>
          <cell r="I607">
            <v>10</v>
          </cell>
          <cell r="J607">
            <v>6</v>
          </cell>
          <cell r="K607">
            <v>59</v>
          </cell>
          <cell r="L607">
            <v>7</v>
          </cell>
          <cell r="M607">
            <v>0</v>
          </cell>
          <cell r="N607">
            <v>0</v>
          </cell>
          <cell r="O607">
            <v>7</v>
          </cell>
          <cell r="P607">
            <v>616</v>
          </cell>
          <cell r="Q607">
            <v>294</v>
          </cell>
          <cell r="R607">
            <v>322</v>
          </cell>
          <cell r="S607">
            <v>318</v>
          </cell>
          <cell r="T607">
            <v>623</v>
          </cell>
        </row>
        <row r="608">
          <cell r="C608" t="str">
            <v>Lakeland South CDP, Washington</v>
          </cell>
          <cell r="D608">
            <v>665</v>
          </cell>
          <cell r="E608">
            <v>252</v>
          </cell>
          <cell r="F608">
            <v>152</v>
          </cell>
          <cell r="G608">
            <v>100</v>
          </cell>
          <cell r="H608">
            <v>0</v>
          </cell>
          <cell r="I608">
            <v>0</v>
          </cell>
          <cell r="J608">
            <v>16</v>
          </cell>
          <cell r="K608">
            <v>84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413</v>
          </cell>
          <cell r="Q608">
            <v>213</v>
          </cell>
          <cell r="R608">
            <v>200</v>
          </cell>
          <cell r="S608">
            <v>252</v>
          </cell>
          <cell r="T608">
            <v>413</v>
          </cell>
        </row>
        <row r="609">
          <cell r="C609" t="str">
            <v>Lake McMurray CDP, Washington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</row>
        <row r="610">
          <cell r="C610" t="str">
            <v>Lake Marcel-Stillwater CDP, Washington</v>
          </cell>
          <cell r="D610">
            <v>60</v>
          </cell>
          <cell r="E610">
            <v>35</v>
          </cell>
          <cell r="F610">
            <v>35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25</v>
          </cell>
          <cell r="Q610">
            <v>7</v>
          </cell>
          <cell r="R610">
            <v>18</v>
          </cell>
          <cell r="S610">
            <v>35</v>
          </cell>
          <cell r="T610">
            <v>25</v>
          </cell>
        </row>
        <row r="611">
          <cell r="C611" t="str">
            <v>Lake Morton-Berrydale CDP, Washington</v>
          </cell>
          <cell r="D611">
            <v>200</v>
          </cell>
          <cell r="E611">
            <v>155</v>
          </cell>
          <cell r="F611">
            <v>73</v>
          </cell>
          <cell r="G611">
            <v>82</v>
          </cell>
          <cell r="H611">
            <v>0</v>
          </cell>
          <cell r="I611">
            <v>14</v>
          </cell>
          <cell r="J611">
            <v>0</v>
          </cell>
          <cell r="K611">
            <v>68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45</v>
          </cell>
          <cell r="Q611">
            <v>32</v>
          </cell>
          <cell r="R611">
            <v>13</v>
          </cell>
          <cell r="S611">
            <v>155</v>
          </cell>
          <cell r="T611">
            <v>45</v>
          </cell>
        </row>
        <row r="612">
          <cell r="C612" t="str">
            <v>Lake Roesiger CDP, Washington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</row>
        <row r="613">
          <cell r="C613" t="str">
            <v>Lake Shore CDP, Washington</v>
          </cell>
          <cell r="D613">
            <v>99</v>
          </cell>
          <cell r="E613">
            <v>47</v>
          </cell>
          <cell r="F613">
            <v>6</v>
          </cell>
          <cell r="G613">
            <v>37</v>
          </cell>
          <cell r="H613">
            <v>0</v>
          </cell>
          <cell r="I613">
            <v>0</v>
          </cell>
          <cell r="J613">
            <v>0</v>
          </cell>
          <cell r="K613">
            <v>37</v>
          </cell>
          <cell r="L613">
            <v>4</v>
          </cell>
          <cell r="M613">
            <v>0</v>
          </cell>
          <cell r="N613">
            <v>0</v>
          </cell>
          <cell r="O613">
            <v>4</v>
          </cell>
          <cell r="P613">
            <v>52</v>
          </cell>
          <cell r="Q613">
            <v>10</v>
          </cell>
          <cell r="R613">
            <v>42</v>
          </cell>
          <cell r="S613">
            <v>43</v>
          </cell>
          <cell r="T613">
            <v>56</v>
          </cell>
        </row>
        <row r="614">
          <cell r="C614" t="str">
            <v>Lake Stevens city, Washington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</row>
        <row r="615">
          <cell r="C615" t="str">
            <v>Lakeview CDP, Washington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</row>
        <row r="616">
          <cell r="C616" t="str">
            <v>Lakewood city, Washington</v>
          </cell>
          <cell r="D616">
            <v>5181</v>
          </cell>
          <cell r="E616">
            <v>1567</v>
          </cell>
          <cell r="F616">
            <v>635</v>
          </cell>
          <cell r="G616">
            <v>695</v>
          </cell>
          <cell r="H616">
            <v>74</v>
          </cell>
          <cell r="I616">
            <v>16</v>
          </cell>
          <cell r="J616">
            <v>93</v>
          </cell>
          <cell r="K616">
            <v>512</v>
          </cell>
          <cell r="L616">
            <v>237</v>
          </cell>
          <cell r="M616">
            <v>0</v>
          </cell>
          <cell r="N616">
            <v>0</v>
          </cell>
          <cell r="O616">
            <v>237</v>
          </cell>
          <cell r="P616">
            <v>3614</v>
          </cell>
          <cell r="Q616">
            <v>2197</v>
          </cell>
          <cell r="R616">
            <v>1417</v>
          </cell>
          <cell r="S616">
            <v>1330</v>
          </cell>
          <cell r="T616">
            <v>3851</v>
          </cell>
        </row>
        <row r="617">
          <cell r="C617" t="str">
            <v>Lamont town, Washington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</row>
        <row r="618">
          <cell r="C618" t="str">
            <v>Langley city, Washington</v>
          </cell>
          <cell r="D618">
            <v>11</v>
          </cell>
          <cell r="E618">
            <v>9</v>
          </cell>
          <cell r="F618">
            <v>0</v>
          </cell>
          <cell r="G618">
            <v>6</v>
          </cell>
          <cell r="H618">
            <v>3</v>
          </cell>
          <cell r="I618">
            <v>0</v>
          </cell>
          <cell r="J618">
            <v>0</v>
          </cell>
          <cell r="K618">
            <v>3</v>
          </cell>
          <cell r="L618">
            <v>3</v>
          </cell>
          <cell r="M618">
            <v>0</v>
          </cell>
          <cell r="N618">
            <v>0</v>
          </cell>
          <cell r="O618">
            <v>3</v>
          </cell>
          <cell r="P618">
            <v>2</v>
          </cell>
          <cell r="Q618">
            <v>2</v>
          </cell>
          <cell r="R618">
            <v>0</v>
          </cell>
          <cell r="S618">
            <v>6</v>
          </cell>
          <cell r="T618">
            <v>5</v>
          </cell>
        </row>
        <row r="619">
          <cell r="C619" t="str">
            <v>Latah town, Washington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</row>
        <row r="620">
          <cell r="C620" t="str">
            <v>Lea Hill CDP, Washington</v>
          </cell>
          <cell r="D620">
            <v>519</v>
          </cell>
          <cell r="E620">
            <v>146</v>
          </cell>
          <cell r="F620">
            <v>106</v>
          </cell>
          <cell r="G620">
            <v>40</v>
          </cell>
          <cell r="H620">
            <v>0</v>
          </cell>
          <cell r="I620">
            <v>0</v>
          </cell>
          <cell r="J620">
            <v>0</v>
          </cell>
          <cell r="K620">
            <v>40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373</v>
          </cell>
          <cell r="Q620">
            <v>110</v>
          </cell>
          <cell r="R620">
            <v>263</v>
          </cell>
          <cell r="S620">
            <v>146</v>
          </cell>
          <cell r="T620">
            <v>373</v>
          </cell>
        </row>
        <row r="621">
          <cell r="C621" t="str">
            <v>Leavenworth city, Washington</v>
          </cell>
          <cell r="D621">
            <v>7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7</v>
          </cell>
          <cell r="Q621">
            <v>7</v>
          </cell>
          <cell r="R621">
            <v>0</v>
          </cell>
          <cell r="S621">
            <v>0</v>
          </cell>
          <cell r="T621">
            <v>7</v>
          </cell>
        </row>
        <row r="622">
          <cell r="C622" t="str">
            <v>Lebam CDP, Washington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</row>
        <row r="623">
          <cell r="C623" t="str">
            <v>Lewisville CDP, Washington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</row>
        <row r="624">
          <cell r="C624" t="str">
            <v>Liberty Lake CDP, Washington</v>
          </cell>
          <cell r="D624">
            <v>136</v>
          </cell>
          <cell r="E624">
            <v>35</v>
          </cell>
          <cell r="F624">
            <v>9</v>
          </cell>
          <cell r="G624">
            <v>26</v>
          </cell>
          <cell r="H624">
            <v>8</v>
          </cell>
          <cell r="I624">
            <v>0</v>
          </cell>
          <cell r="J624">
            <v>9</v>
          </cell>
          <cell r="K624">
            <v>9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101</v>
          </cell>
          <cell r="Q624">
            <v>70</v>
          </cell>
          <cell r="R624">
            <v>31</v>
          </cell>
          <cell r="S624">
            <v>35</v>
          </cell>
          <cell r="T624">
            <v>101</v>
          </cell>
        </row>
        <row r="625">
          <cell r="C625" t="str">
            <v>Lind town, Washington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</row>
        <row r="626">
          <cell r="C626" t="str">
            <v>Lochsloy CDP, Washington</v>
          </cell>
          <cell r="D626">
            <v>11</v>
          </cell>
          <cell r="E626">
            <v>11</v>
          </cell>
          <cell r="F626">
            <v>0</v>
          </cell>
          <cell r="G626">
            <v>11</v>
          </cell>
          <cell r="H626">
            <v>0</v>
          </cell>
          <cell r="I626">
            <v>0</v>
          </cell>
          <cell r="J626">
            <v>0</v>
          </cell>
          <cell r="K626">
            <v>11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11</v>
          </cell>
          <cell r="T626">
            <v>0</v>
          </cell>
        </row>
        <row r="627">
          <cell r="C627" t="str">
            <v>Long Beach city, Washington</v>
          </cell>
          <cell r="D627">
            <v>24</v>
          </cell>
          <cell r="E627">
            <v>5</v>
          </cell>
          <cell r="F627">
            <v>0</v>
          </cell>
          <cell r="G627">
            <v>5</v>
          </cell>
          <cell r="H627">
            <v>0</v>
          </cell>
          <cell r="I627">
            <v>2</v>
          </cell>
          <cell r="J627">
            <v>0</v>
          </cell>
          <cell r="K627">
            <v>3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19</v>
          </cell>
          <cell r="Q627">
            <v>3</v>
          </cell>
          <cell r="R627">
            <v>16</v>
          </cell>
          <cell r="S627">
            <v>5</v>
          </cell>
          <cell r="T627">
            <v>19</v>
          </cell>
        </row>
        <row r="628">
          <cell r="C628" t="str">
            <v>Longview city, Washington</v>
          </cell>
          <cell r="D628">
            <v>859</v>
          </cell>
          <cell r="E628">
            <v>301</v>
          </cell>
          <cell r="F628">
            <v>186</v>
          </cell>
          <cell r="G628">
            <v>110</v>
          </cell>
          <cell r="H628">
            <v>23</v>
          </cell>
          <cell r="I628">
            <v>18</v>
          </cell>
          <cell r="J628">
            <v>0</v>
          </cell>
          <cell r="K628">
            <v>69</v>
          </cell>
          <cell r="L628">
            <v>5</v>
          </cell>
          <cell r="M628">
            <v>0</v>
          </cell>
          <cell r="N628">
            <v>0</v>
          </cell>
          <cell r="O628">
            <v>5</v>
          </cell>
          <cell r="P628">
            <v>558</v>
          </cell>
          <cell r="Q628">
            <v>288</v>
          </cell>
          <cell r="R628">
            <v>270</v>
          </cell>
          <cell r="S628">
            <v>296</v>
          </cell>
          <cell r="T628">
            <v>563</v>
          </cell>
        </row>
        <row r="629">
          <cell r="C629" t="str">
            <v>Longview Heights CDP, Washington</v>
          </cell>
          <cell r="D629">
            <v>20</v>
          </cell>
          <cell r="E629">
            <v>8</v>
          </cell>
          <cell r="F629">
            <v>8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12</v>
          </cell>
          <cell r="Q629">
            <v>12</v>
          </cell>
          <cell r="R629">
            <v>0</v>
          </cell>
          <cell r="S629">
            <v>8</v>
          </cell>
          <cell r="T629">
            <v>12</v>
          </cell>
        </row>
        <row r="630">
          <cell r="C630" t="str">
            <v>Lyle CDP, Washington</v>
          </cell>
          <cell r="D630">
            <v>12</v>
          </cell>
          <cell r="E630">
            <v>6</v>
          </cell>
          <cell r="F630">
            <v>0</v>
          </cell>
          <cell r="G630">
            <v>6</v>
          </cell>
          <cell r="H630">
            <v>0</v>
          </cell>
          <cell r="I630">
            <v>0</v>
          </cell>
          <cell r="J630">
            <v>6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6</v>
          </cell>
          <cell r="Q630">
            <v>6</v>
          </cell>
          <cell r="R630">
            <v>0</v>
          </cell>
          <cell r="S630">
            <v>6</v>
          </cell>
          <cell r="T630">
            <v>6</v>
          </cell>
        </row>
        <row r="631">
          <cell r="C631" t="str">
            <v>Lyman town, Washington</v>
          </cell>
          <cell r="D631">
            <v>4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4</v>
          </cell>
          <cell r="Q631">
            <v>0</v>
          </cell>
          <cell r="R631">
            <v>4</v>
          </cell>
          <cell r="S631">
            <v>0</v>
          </cell>
          <cell r="T631">
            <v>4</v>
          </cell>
        </row>
        <row r="632">
          <cell r="C632" t="str">
            <v>Lynden city, Washington</v>
          </cell>
          <cell r="D632">
            <v>296</v>
          </cell>
          <cell r="E632">
            <v>70</v>
          </cell>
          <cell r="F632">
            <v>50</v>
          </cell>
          <cell r="G632">
            <v>20</v>
          </cell>
          <cell r="H632">
            <v>7</v>
          </cell>
          <cell r="I632">
            <v>0</v>
          </cell>
          <cell r="J632">
            <v>0</v>
          </cell>
          <cell r="K632">
            <v>13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226</v>
          </cell>
          <cell r="Q632">
            <v>146</v>
          </cell>
          <cell r="R632">
            <v>80</v>
          </cell>
          <cell r="S632">
            <v>70</v>
          </cell>
          <cell r="T632">
            <v>226</v>
          </cell>
        </row>
        <row r="633">
          <cell r="C633" t="str">
            <v>Lynnwood city, Washington</v>
          </cell>
          <cell r="D633">
            <v>4706</v>
          </cell>
          <cell r="E633">
            <v>1187</v>
          </cell>
          <cell r="F633">
            <v>856</v>
          </cell>
          <cell r="G633">
            <v>283</v>
          </cell>
          <cell r="H633">
            <v>44</v>
          </cell>
          <cell r="I633">
            <v>6</v>
          </cell>
          <cell r="J633">
            <v>47</v>
          </cell>
          <cell r="K633">
            <v>186</v>
          </cell>
          <cell r="L633">
            <v>48</v>
          </cell>
          <cell r="M633">
            <v>0</v>
          </cell>
          <cell r="N633">
            <v>0</v>
          </cell>
          <cell r="O633">
            <v>48</v>
          </cell>
          <cell r="P633">
            <v>3519</v>
          </cell>
          <cell r="Q633">
            <v>1976</v>
          </cell>
          <cell r="R633">
            <v>1543</v>
          </cell>
          <cell r="S633">
            <v>1139</v>
          </cell>
          <cell r="T633">
            <v>3567</v>
          </cell>
        </row>
        <row r="634">
          <cell r="C634" t="str">
            <v>Mabton city, Washington</v>
          </cell>
          <cell r="D634">
            <v>20</v>
          </cell>
          <cell r="E634">
            <v>8</v>
          </cell>
          <cell r="F634">
            <v>8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12</v>
          </cell>
          <cell r="Q634">
            <v>4</v>
          </cell>
          <cell r="R634">
            <v>8</v>
          </cell>
          <cell r="S634">
            <v>8</v>
          </cell>
          <cell r="T634">
            <v>12</v>
          </cell>
        </row>
        <row r="635">
          <cell r="C635" t="str">
            <v>McChord AFB CDP, Washington</v>
          </cell>
          <cell r="D635">
            <v>183</v>
          </cell>
          <cell r="E635">
            <v>82</v>
          </cell>
          <cell r="F635">
            <v>16</v>
          </cell>
          <cell r="G635">
            <v>57</v>
          </cell>
          <cell r="H635">
            <v>0</v>
          </cell>
          <cell r="I635">
            <v>8</v>
          </cell>
          <cell r="J635">
            <v>14</v>
          </cell>
          <cell r="K635">
            <v>35</v>
          </cell>
          <cell r="L635">
            <v>9</v>
          </cell>
          <cell r="M635">
            <v>0</v>
          </cell>
          <cell r="N635">
            <v>0</v>
          </cell>
          <cell r="O635">
            <v>9</v>
          </cell>
          <cell r="P635">
            <v>101</v>
          </cell>
          <cell r="Q635">
            <v>72</v>
          </cell>
          <cell r="R635">
            <v>29</v>
          </cell>
          <cell r="S635">
            <v>73</v>
          </cell>
          <cell r="T635">
            <v>110</v>
          </cell>
        </row>
        <row r="636">
          <cell r="C636" t="str">
            <v>McCleary city, Washington</v>
          </cell>
          <cell r="D636">
            <v>2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</v>
          </cell>
          <cell r="Q636">
            <v>2</v>
          </cell>
          <cell r="R636">
            <v>0</v>
          </cell>
          <cell r="S636">
            <v>0</v>
          </cell>
          <cell r="T636">
            <v>2</v>
          </cell>
        </row>
        <row r="637">
          <cell r="C637" t="str">
            <v>Machias CDP, Washington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</row>
        <row r="638">
          <cell r="C638" t="str">
            <v>Malden town, Washington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</row>
        <row r="639">
          <cell r="C639" t="str">
            <v>Malone-Porter CDP, Washington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</row>
        <row r="640">
          <cell r="C640" t="str">
            <v>Maltby CDP, Washington</v>
          </cell>
          <cell r="D640">
            <v>172</v>
          </cell>
          <cell r="E640">
            <v>103</v>
          </cell>
          <cell r="F640">
            <v>82</v>
          </cell>
          <cell r="G640">
            <v>15</v>
          </cell>
          <cell r="H640">
            <v>0</v>
          </cell>
          <cell r="I640">
            <v>0</v>
          </cell>
          <cell r="J640">
            <v>0</v>
          </cell>
          <cell r="K640">
            <v>15</v>
          </cell>
          <cell r="L640">
            <v>6</v>
          </cell>
          <cell r="M640">
            <v>0</v>
          </cell>
          <cell r="N640">
            <v>0</v>
          </cell>
          <cell r="O640">
            <v>6</v>
          </cell>
          <cell r="P640">
            <v>69</v>
          </cell>
          <cell r="Q640">
            <v>61</v>
          </cell>
          <cell r="R640">
            <v>8</v>
          </cell>
          <cell r="S640">
            <v>97</v>
          </cell>
          <cell r="T640">
            <v>75</v>
          </cell>
        </row>
        <row r="641">
          <cell r="C641" t="str">
            <v>Manchester CDP, Washington</v>
          </cell>
          <cell r="D641">
            <v>76</v>
          </cell>
          <cell r="E641">
            <v>11</v>
          </cell>
          <cell r="F641">
            <v>11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65</v>
          </cell>
          <cell r="Q641">
            <v>46</v>
          </cell>
          <cell r="R641">
            <v>19</v>
          </cell>
          <cell r="S641">
            <v>11</v>
          </cell>
          <cell r="T641">
            <v>65</v>
          </cell>
        </row>
        <row r="642">
          <cell r="C642" t="str">
            <v>Mansfield town, Washington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</row>
        <row r="643">
          <cell r="C643" t="str">
            <v>Maple Falls CDP, Washington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</row>
        <row r="644">
          <cell r="C644" t="str">
            <v>Maple Heights-Lake Desire CDP, Washington</v>
          </cell>
          <cell r="D644">
            <v>162</v>
          </cell>
          <cell r="E644">
            <v>65</v>
          </cell>
          <cell r="F644">
            <v>61</v>
          </cell>
          <cell r="G644">
            <v>4</v>
          </cell>
          <cell r="H644">
            <v>0</v>
          </cell>
          <cell r="I644">
            <v>0</v>
          </cell>
          <cell r="J644">
            <v>0</v>
          </cell>
          <cell r="K644">
            <v>4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97</v>
          </cell>
          <cell r="Q644">
            <v>62</v>
          </cell>
          <cell r="R644">
            <v>35</v>
          </cell>
          <cell r="S644">
            <v>65</v>
          </cell>
          <cell r="T644">
            <v>97</v>
          </cell>
        </row>
        <row r="645">
          <cell r="C645" t="str">
            <v>Maple Valley city, Washington</v>
          </cell>
          <cell r="D645">
            <v>385</v>
          </cell>
          <cell r="E645">
            <v>214</v>
          </cell>
          <cell r="F645">
            <v>116</v>
          </cell>
          <cell r="G645">
            <v>91</v>
          </cell>
          <cell r="H645">
            <v>0</v>
          </cell>
          <cell r="I645">
            <v>0</v>
          </cell>
          <cell r="J645">
            <v>15</v>
          </cell>
          <cell r="K645">
            <v>76</v>
          </cell>
          <cell r="L645">
            <v>7</v>
          </cell>
          <cell r="M645">
            <v>0</v>
          </cell>
          <cell r="N645">
            <v>0</v>
          </cell>
          <cell r="O645">
            <v>7</v>
          </cell>
          <cell r="P645">
            <v>171</v>
          </cell>
          <cell r="Q645">
            <v>150</v>
          </cell>
          <cell r="R645">
            <v>21</v>
          </cell>
          <cell r="S645">
            <v>207</v>
          </cell>
          <cell r="T645">
            <v>178</v>
          </cell>
        </row>
        <row r="646">
          <cell r="C646" t="str">
            <v>Marblemount CDP, Washington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</row>
        <row r="647">
          <cell r="C647" t="str">
            <v>Marcus town, Washington</v>
          </cell>
          <cell r="D647">
            <v>4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4</v>
          </cell>
          <cell r="Q647">
            <v>0</v>
          </cell>
          <cell r="R647">
            <v>4</v>
          </cell>
          <cell r="S647">
            <v>0</v>
          </cell>
          <cell r="T647">
            <v>4</v>
          </cell>
        </row>
        <row r="648">
          <cell r="C648" t="str">
            <v>Marietta-Alderwood CDP, Washington</v>
          </cell>
          <cell r="D648">
            <v>170</v>
          </cell>
          <cell r="E648">
            <v>27</v>
          </cell>
          <cell r="F648">
            <v>17</v>
          </cell>
          <cell r="G648">
            <v>10</v>
          </cell>
          <cell r="H648">
            <v>0</v>
          </cell>
          <cell r="I648">
            <v>0</v>
          </cell>
          <cell r="J648">
            <v>5</v>
          </cell>
          <cell r="K648">
            <v>5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143</v>
          </cell>
          <cell r="Q648">
            <v>39</v>
          </cell>
          <cell r="R648">
            <v>104</v>
          </cell>
          <cell r="S648">
            <v>27</v>
          </cell>
          <cell r="T648">
            <v>143</v>
          </cell>
        </row>
        <row r="649">
          <cell r="C649" t="str">
            <v>Markham CDP, Washington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</row>
        <row r="650">
          <cell r="C650" t="str">
            <v>Marrowstone CDP, Washington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</row>
        <row r="651">
          <cell r="C651" t="str">
            <v>Martha Lake CDP, Washington</v>
          </cell>
          <cell r="D651">
            <v>1171</v>
          </cell>
          <cell r="E651">
            <v>427</v>
          </cell>
          <cell r="F651">
            <v>322</v>
          </cell>
          <cell r="G651">
            <v>92</v>
          </cell>
          <cell r="H651">
            <v>5</v>
          </cell>
          <cell r="I651">
            <v>16</v>
          </cell>
          <cell r="J651">
            <v>0</v>
          </cell>
          <cell r="K651">
            <v>71</v>
          </cell>
          <cell r="L651">
            <v>13</v>
          </cell>
          <cell r="M651">
            <v>0</v>
          </cell>
          <cell r="N651">
            <v>0</v>
          </cell>
          <cell r="O651">
            <v>13</v>
          </cell>
          <cell r="P651">
            <v>744</v>
          </cell>
          <cell r="Q651">
            <v>433</v>
          </cell>
          <cell r="R651">
            <v>311</v>
          </cell>
          <cell r="S651">
            <v>414</v>
          </cell>
          <cell r="T651">
            <v>757</v>
          </cell>
        </row>
        <row r="652">
          <cell r="C652" t="str">
            <v>Maryhill CDP, Washington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</row>
        <row r="653">
          <cell r="C653" t="str">
            <v>Marysville city, Washington</v>
          </cell>
          <cell r="D653">
            <v>953</v>
          </cell>
          <cell r="E653">
            <v>353</v>
          </cell>
          <cell r="F653">
            <v>191</v>
          </cell>
          <cell r="G653">
            <v>148</v>
          </cell>
          <cell r="H653">
            <v>16</v>
          </cell>
          <cell r="I653">
            <v>11</v>
          </cell>
          <cell r="J653">
            <v>52</v>
          </cell>
          <cell r="K653">
            <v>69</v>
          </cell>
          <cell r="L653">
            <v>14</v>
          </cell>
          <cell r="M653">
            <v>0</v>
          </cell>
          <cell r="N653">
            <v>0</v>
          </cell>
          <cell r="O653">
            <v>14</v>
          </cell>
          <cell r="P653">
            <v>600</v>
          </cell>
          <cell r="Q653">
            <v>405</v>
          </cell>
          <cell r="R653">
            <v>195</v>
          </cell>
          <cell r="S653">
            <v>339</v>
          </cell>
          <cell r="T653">
            <v>614</v>
          </cell>
        </row>
        <row r="654">
          <cell r="C654" t="str">
            <v>Mattawa town, Washington</v>
          </cell>
          <cell r="D654">
            <v>1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1</v>
          </cell>
          <cell r="Q654">
            <v>1</v>
          </cell>
          <cell r="R654">
            <v>0</v>
          </cell>
          <cell r="S654">
            <v>0</v>
          </cell>
          <cell r="T654">
            <v>1</v>
          </cell>
        </row>
        <row r="655">
          <cell r="C655" t="str">
            <v>May Creek CDP, Washington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</row>
        <row r="656">
          <cell r="C656" t="str">
            <v>Meadow Glade CDP, Washington</v>
          </cell>
          <cell r="D656">
            <v>14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14</v>
          </cell>
          <cell r="Q656">
            <v>0</v>
          </cell>
          <cell r="R656">
            <v>14</v>
          </cell>
          <cell r="S656">
            <v>0</v>
          </cell>
          <cell r="T656">
            <v>14</v>
          </cell>
        </row>
        <row r="657">
          <cell r="C657" t="str">
            <v>Medical Lake city, Washington</v>
          </cell>
          <cell r="D657">
            <v>38</v>
          </cell>
          <cell r="E657">
            <v>21</v>
          </cell>
          <cell r="F657">
            <v>9</v>
          </cell>
          <cell r="G657">
            <v>7</v>
          </cell>
          <cell r="H657">
            <v>0</v>
          </cell>
          <cell r="I657">
            <v>0</v>
          </cell>
          <cell r="J657">
            <v>7</v>
          </cell>
          <cell r="K657">
            <v>0</v>
          </cell>
          <cell r="L657">
            <v>5</v>
          </cell>
          <cell r="M657">
            <v>0</v>
          </cell>
          <cell r="N657">
            <v>0</v>
          </cell>
          <cell r="O657">
            <v>5</v>
          </cell>
          <cell r="P657">
            <v>17</v>
          </cell>
          <cell r="Q657">
            <v>17</v>
          </cell>
          <cell r="R657">
            <v>0</v>
          </cell>
          <cell r="S657">
            <v>16</v>
          </cell>
          <cell r="T657">
            <v>22</v>
          </cell>
        </row>
        <row r="658">
          <cell r="C658" t="str">
            <v>Medina city, Washington</v>
          </cell>
          <cell r="D658">
            <v>97</v>
          </cell>
          <cell r="E658">
            <v>24</v>
          </cell>
          <cell r="F658">
            <v>10</v>
          </cell>
          <cell r="G658">
            <v>8</v>
          </cell>
          <cell r="H658">
            <v>0</v>
          </cell>
          <cell r="I658">
            <v>6</v>
          </cell>
          <cell r="J658">
            <v>2</v>
          </cell>
          <cell r="K658">
            <v>0</v>
          </cell>
          <cell r="L658">
            <v>6</v>
          </cell>
          <cell r="M658">
            <v>0</v>
          </cell>
          <cell r="N658">
            <v>1</v>
          </cell>
          <cell r="O658">
            <v>5</v>
          </cell>
          <cell r="P658">
            <v>73</v>
          </cell>
          <cell r="Q658">
            <v>20</v>
          </cell>
          <cell r="R658">
            <v>53</v>
          </cell>
          <cell r="S658">
            <v>18</v>
          </cell>
          <cell r="T658">
            <v>79</v>
          </cell>
        </row>
        <row r="659">
          <cell r="C659" t="str">
            <v>Mercer Island city, Washington</v>
          </cell>
          <cell r="D659">
            <v>2436</v>
          </cell>
          <cell r="E659">
            <v>1120</v>
          </cell>
          <cell r="F659">
            <v>802</v>
          </cell>
          <cell r="G659">
            <v>295</v>
          </cell>
          <cell r="H659">
            <v>43</v>
          </cell>
          <cell r="I659">
            <v>66</v>
          </cell>
          <cell r="J659">
            <v>20</v>
          </cell>
          <cell r="K659">
            <v>166</v>
          </cell>
          <cell r="L659">
            <v>23</v>
          </cell>
          <cell r="M659">
            <v>0</v>
          </cell>
          <cell r="N659">
            <v>4</v>
          </cell>
          <cell r="O659">
            <v>19</v>
          </cell>
          <cell r="P659">
            <v>1316</v>
          </cell>
          <cell r="Q659">
            <v>832</v>
          </cell>
          <cell r="R659">
            <v>484</v>
          </cell>
          <cell r="S659">
            <v>1097</v>
          </cell>
          <cell r="T659">
            <v>1339</v>
          </cell>
        </row>
        <row r="660">
          <cell r="C660" t="str">
            <v>Mesa city, Washington</v>
          </cell>
          <cell r="D660">
            <v>3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3</v>
          </cell>
          <cell r="Q660">
            <v>0</v>
          </cell>
          <cell r="R660">
            <v>3</v>
          </cell>
          <cell r="S660">
            <v>0</v>
          </cell>
          <cell r="T660">
            <v>3</v>
          </cell>
        </row>
        <row r="661">
          <cell r="C661" t="str">
            <v>Metaline town, Washington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</row>
        <row r="662">
          <cell r="C662" t="str">
            <v>Metaline Falls town, Washington</v>
          </cell>
          <cell r="D662">
            <v>5</v>
          </cell>
          <cell r="E662">
            <v>1</v>
          </cell>
          <cell r="F662">
            <v>1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4</v>
          </cell>
          <cell r="Q662">
            <v>0</v>
          </cell>
          <cell r="R662">
            <v>4</v>
          </cell>
          <cell r="S662">
            <v>1</v>
          </cell>
          <cell r="T662">
            <v>4</v>
          </cell>
        </row>
        <row r="663">
          <cell r="C663" t="str">
            <v>Midland CDP, Washington</v>
          </cell>
          <cell r="D663">
            <v>348</v>
          </cell>
          <cell r="E663">
            <v>77</v>
          </cell>
          <cell r="F663">
            <v>29</v>
          </cell>
          <cell r="G663">
            <v>48</v>
          </cell>
          <cell r="H663">
            <v>0</v>
          </cell>
          <cell r="I663">
            <v>0</v>
          </cell>
          <cell r="J663">
            <v>13</v>
          </cell>
          <cell r="K663">
            <v>35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271</v>
          </cell>
          <cell r="Q663">
            <v>88</v>
          </cell>
          <cell r="R663">
            <v>183</v>
          </cell>
          <cell r="S663">
            <v>77</v>
          </cell>
          <cell r="T663">
            <v>271</v>
          </cell>
        </row>
        <row r="664">
          <cell r="C664" t="str">
            <v>Mill Creek city, Washington</v>
          </cell>
          <cell r="D664">
            <v>1187</v>
          </cell>
          <cell r="E664">
            <v>373</v>
          </cell>
          <cell r="F664">
            <v>293</v>
          </cell>
          <cell r="G664">
            <v>80</v>
          </cell>
          <cell r="H664">
            <v>10</v>
          </cell>
          <cell r="I664">
            <v>6</v>
          </cell>
          <cell r="J664">
            <v>41</v>
          </cell>
          <cell r="K664">
            <v>23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814</v>
          </cell>
          <cell r="Q664">
            <v>548</v>
          </cell>
          <cell r="R664">
            <v>266</v>
          </cell>
          <cell r="S664">
            <v>373</v>
          </cell>
          <cell r="T664">
            <v>814</v>
          </cell>
        </row>
        <row r="665">
          <cell r="C665" t="str">
            <v>Mill Plain CDP, Washington</v>
          </cell>
          <cell r="D665">
            <v>250</v>
          </cell>
          <cell r="E665">
            <v>61</v>
          </cell>
          <cell r="F665">
            <v>23</v>
          </cell>
          <cell r="G665">
            <v>38</v>
          </cell>
          <cell r="H665">
            <v>0</v>
          </cell>
          <cell r="I665">
            <v>0</v>
          </cell>
          <cell r="J665">
            <v>0</v>
          </cell>
          <cell r="K665">
            <v>38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189</v>
          </cell>
          <cell r="Q665">
            <v>62</v>
          </cell>
          <cell r="R665">
            <v>127</v>
          </cell>
          <cell r="S665">
            <v>61</v>
          </cell>
          <cell r="T665">
            <v>189</v>
          </cell>
        </row>
        <row r="666">
          <cell r="C666" t="str">
            <v>Millwood town, Washington</v>
          </cell>
          <cell r="D666">
            <v>7</v>
          </cell>
          <cell r="E666">
            <v>3</v>
          </cell>
          <cell r="F666">
            <v>3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4</v>
          </cell>
          <cell r="Q666">
            <v>4</v>
          </cell>
          <cell r="R666">
            <v>0</v>
          </cell>
          <cell r="S666">
            <v>3</v>
          </cell>
          <cell r="T666">
            <v>4</v>
          </cell>
        </row>
        <row r="667">
          <cell r="C667" t="str">
            <v>Milton city, Washington</v>
          </cell>
          <cell r="D667">
            <v>176</v>
          </cell>
          <cell r="E667">
            <v>103</v>
          </cell>
          <cell r="F667">
            <v>61</v>
          </cell>
          <cell r="G667">
            <v>42</v>
          </cell>
          <cell r="H667">
            <v>0</v>
          </cell>
          <cell r="I667">
            <v>10</v>
          </cell>
          <cell r="J667">
            <v>0</v>
          </cell>
          <cell r="K667">
            <v>32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73</v>
          </cell>
          <cell r="Q667">
            <v>50</v>
          </cell>
          <cell r="R667">
            <v>23</v>
          </cell>
          <cell r="S667">
            <v>103</v>
          </cell>
          <cell r="T667">
            <v>73</v>
          </cell>
        </row>
        <row r="668">
          <cell r="C668" t="str">
            <v>Minnehaha CDP, Washington</v>
          </cell>
          <cell r="D668">
            <v>229</v>
          </cell>
          <cell r="E668">
            <v>75</v>
          </cell>
          <cell r="F668">
            <v>24</v>
          </cell>
          <cell r="G668">
            <v>51</v>
          </cell>
          <cell r="H668">
            <v>0</v>
          </cell>
          <cell r="I668">
            <v>0</v>
          </cell>
          <cell r="J668">
            <v>0</v>
          </cell>
          <cell r="K668">
            <v>51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154</v>
          </cell>
          <cell r="Q668">
            <v>82</v>
          </cell>
          <cell r="R668">
            <v>72</v>
          </cell>
          <cell r="S668">
            <v>75</v>
          </cell>
          <cell r="T668">
            <v>154</v>
          </cell>
        </row>
        <row r="669">
          <cell r="C669" t="str">
            <v>Mirrormont CDP, Washington</v>
          </cell>
          <cell r="D669">
            <v>90</v>
          </cell>
          <cell r="E669">
            <v>16</v>
          </cell>
          <cell r="F669">
            <v>3</v>
          </cell>
          <cell r="G669">
            <v>13</v>
          </cell>
          <cell r="H669">
            <v>0</v>
          </cell>
          <cell r="I669">
            <v>5</v>
          </cell>
          <cell r="J669">
            <v>0</v>
          </cell>
          <cell r="K669">
            <v>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74</v>
          </cell>
          <cell r="Q669">
            <v>12</v>
          </cell>
          <cell r="R669">
            <v>62</v>
          </cell>
          <cell r="S669">
            <v>16</v>
          </cell>
          <cell r="T669">
            <v>74</v>
          </cell>
        </row>
        <row r="670">
          <cell r="C670" t="str">
            <v>Moclips CDP, Washington</v>
          </cell>
          <cell r="D670">
            <v>24</v>
          </cell>
          <cell r="E670">
            <v>24</v>
          </cell>
          <cell r="F670">
            <v>11</v>
          </cell>
          <cell r="G670">
            <v>13</v>
          </cell>
          <cell r="H670">
            <v>0</v>
          </cell>
          <cell r="I670">
            <v>0</v>
          </cell>
          <cell r="J670">
            <v>0</v>
          </cell>
          <cell r="K670">
            <v>13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24</v>
          </cell>
          <cell r="T670">
            <v>0</v>
          </cell>
        </row>
        <row r="671">
          <cell r="C671" t="str">
            <v>Monroe city, Washington</v>
          </cell>
          <cell r="D671">
            <v>275</v>
          </cell>
          <cell r="E671">
            <v>77</v>
          </cell>
          <cell r="F671">
            <v>66</v>
          </cell>
          <cell r="G671">
            <v>11</v>
          </cell>
          <cell r="H671">
            <v>0</v>
          </cell>
          <cell r="I671">
            <v>0</v>
          </cell>
          <cell r="J671">
            <v>0</v>
          </cell>
          <cell r="K671">
            <v>11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198</v>
          </cell>
          <cell r="Q671">
            <v>103</v>
          </cell>
          <cell r="R671">
            <v>95</v>
          </cell>
          <cell r="S671">
            <v>77</v>
          </cell>
          <cell r="T671">
            <v>198</v>
          </cell>
        </row>
        <row r="672">
          <cell r="C672" t="str">
            <v>Montesano city, Washington</v>
          </cell>
          <cell r="D672">
            <v>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7</v>
          </cell>
          <cell r="Q672">
            <v>0</v>
          </cell>
          <cell r="R672">
            <v>7</v>
          </cell>
          <cell r="S672">
            <v>0</v>
          </cell>
          <cell r="T672">
            <v>7</v>
          </cell>
        </row>
        <row r="673">
          <cell r="C673" t="str">
            <v>Morton city, Washington</v>
          </cell>
          <cell r="D673">
            <v>16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16</v>
          </cell>
          <cell r="Q673">
            <v>16</v>
          </cell>
          <cell r="R673">
            <v>0</v>
          </cell>
          <cell r="S673">
            <v>0</v>
          </cell>
          <cell r="T673">
            <v>16</v>
          </cell>
        </row>
        <row r="674">
          <cell r="C674" t="str">
            <v>Moses Lake city, Washington</v>
          </cell>
          <cell r="D674">
            <v>246</v>
          </cell>
          <cell r="E674">
            <v>133</v>
          </cell>
          <cell r="F674">
            <v>54</v>
          </cell>
          <cell r="G674">
            <v>79</v>
          </cell>
          <cell r="H674">
            <v>10</v>
          </cell>
          <cell r="I674">
            <v>0</v>
          </cell>
          <cell r="J674">
            <v>12</v>
          </cell>
          <cell r="K674">
            <v>57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113</v>
          </cell>
          <cell r="Q674">
            <v>66</v>
          </cell>
          <cell r="R674">
            <v>47</v>
          </cell>
          <cell r="S674">
            <v>133</v>
          </cell>
          <cell r="T674">
            <v>113</v>
          </cell>
        </row>
        <row r="675">
          <cell r="C675" t="str">
            <v>Moses Lake North CDP, Washington</v>
          </cell>
          <cell r="D675">
            <v>30</v>
          </cell>
          <cell r="E675">
            <v>14</v>
          </cell>
          <cell r="F675">
            <v>7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7</v>
          </cell>
          <cell r="M675">
            <v>0</v>
          </cell>
          <cell r="N675">
            <v>0</v>
          </cell>
          <cell r="O675">
            <v>7</v>
          </cell>
          <cell r="P675">
            <v>16</v>
          </cell>
          <cell r="Q675">
            <v>4</v>
          </cell>
          <cell r="R675">
            <v>12</v>
          </cell>
          <cell r="S675">
            <v>7</v>
          </cell>
          <cell r="T675">
            <v>23</v>
          </cell>
        </row>
        <row r="676">
          <cell r="C676" t="str">
            <v>Mossyrock city, Washington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</row>
        <row r="677">
          <cell r="C677" t="str">
            <v>Mountlake Terrace city, Washington</v>
          </cell>
          <cell r="D677">
            <v>2347</v>
          </cell>
          <cell r="E677">
            <v>617</v>
          </cell>
          <cell r="F677">
            <v>351</v>
          </cell>
          <cell r="G677">
            <v>223</v>
          </cell>
          <cell r="H677">
            <v>35</v>
          </cell>
          <cell r="I677">
            <v>4</v>
          </cell>
          <cell r="J677">
            <v>20</v>
          </cell>
          <cell r="K677">
            <v>164</v>
          </cell>
          <cell r="L677">
            <v>43</v>
          </cell>
          <cell r="M677">
            <v>0</v>
          </cell>
          <cell r="N677">
            <v>7</v>
          </cell>
          <cell r="O677">
            <v>36</v>
          </cell>
          <cell r="P677">
            <v>1730</v>
          </cell>
          <cell r="Q677">
            <v>829</v>
          </cell>
          <cell r="R677">
            <v>901</v>
          </cell>
          <cell r="S677">
            <v>574</v>
          </cell>
          <cell r="T677">
            <v>1773</v>
          </cell>
        </row>
        <row r="678">
          <cell r="C678" t="str">
            <v>Mount Vernon city, Washington</v>
          </cell>
          <cell r="D678">
            <v>647</v>
          </cell>
          <cell r="E678">
            <v>180</v>
          </cell>
          <cell r="F678">
            <v>103</v>
          </cell>
          <cell r="G678">
            <v>6</v>
          </cell>
          <cell r="H678">
            <v>0</v>
          </cell>
          <cell r="I678">
            <v>0</v>
          </cell>
          <cell r="J678">
            <v>0</v>
          </cell>
          <cell r="K678">
            <v>6</v>
          </cell>
          <cell r="L678">
            <v>71</v>
          </cell>
          <cell r="M678">
            <v>0</v>
          </cell>
          <cell r="N678">
            <v>0</v>
          </cell>
          <cell r="O678">
            <v>71</v>
          </cell>
          <cell r="P678">
            <v>467</v>
          </cell>
          <cell r="Q678">
            <v>172</v>
          </cell>
          <cell r="R678">
            <v>295</v>
          </cell>
          <cell r="S678">
            <v>109</v>
          </cell>
          <cell r="T678">
            <v>538</v>
          </cell>
        </row>
        <row r="679">
          <cell r="C679" t="str">
            <v>Mount Vista CDP, Washington</v>
          </cell>
          <cell r="D679">
            <v>127</v>
          </cell>
          <cell r="E679">
            <v>58</v>
          </cell>
          <cell r="F679">
            <v>16</v>
          </cell>
          <cell r="G679">
            <v>42</v>
          </cell>
          <cell r="H679">
            <v>0</v>
          </cell>
          <cell r="I679">
            <v>0</v>
          </cell>
          <cell r="J679">
            <v>0</v>
          </cell>
          <cell r="K679">
            <v>42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69</v>
          </cell>
          <cell r="Q679">
            <v>14</v>
          </cell>
          <cell r="R679">
            <v>55</v>
          </cell>
          <cell r="S679">
            <v>58</v>
          </cell>
          <cell r="T679">
            <v>69</v>
          </cell>
        </row>
        <row r="680">
          <cell r="C680" t="str">
            <v>Moxee city, Washington</v>
          </cell>
          <cell r="D680">
            <v>8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8</v>
          </cell>
          <cell r="Q680">
            <v>7</v>
          </cell>
          <cell r="R680">
            <v>1</v>
          </cell>
          <cell r="S680">
            <v>0</v>
          </cell>
          <cell r="T680">
            <v>8</v>
          </cell>
        </row>
        <row r="681">
          <cell r="C681" t="str">
            <v>Mukilteo city, Washington</v>
          </cell>
          <cell r="D681">
            <v>2092</v>
          </cell>
          <cell r="E681">
            <v>681</v>
          </cell>
          <cell r="F681">
            <v>336</v>
          </cell>
          <cell r="G681">
            <v>306</v>
          </cell>
          <cell r="H681">
            <v>40</v>
          </cell>
          <cell r="I681">
            <v>26</v>
          </cell>
          <cell r="J681">
            <v>73</v>
          </cell>
          <cell r="K681">
            <v>167</v>
          </cell>
          <cell r="L681">
            <v>39</v>
          </cell>
          <cell r="M681">
            <v>0</v>
          </cell>
          <cell r="N681">
            <v>0</v>
          </cell>
          <cell r="O681">
            <v>39</v>
          </cell>
          <cell r="P681">
            <v>1411</v>
          </cell>
          <cell r="Q681">
            <v>880</v>
          </cell>
          <cell r="R681">
            <v>531</v>
          </cell>
          <cell r="S681">
            <v>642</v>
          </cell>
          <cell r="T681">
            <v>1450</v>
          </cell>
        </row>
        <row r="682">
          <cell r="C682" t="str">
            <v>Naches town, Washington</v>
          </cell>
          <cell r="D682">
            <v>2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2</v>
          </cell>
          <cell r="Q682">
            <v>0</v>
          </cell>
          <cell r="R682">
            <v>2</v>
          </cell>
          <cell r="S682">
            <v>0</v>
          </cell>
          <cell r="T682">
            <v>2</v>
          </cell>
        </row>
        <row r="683">
          <cell r="C683" t="str">
            <v>Napavine city, Washington</v>
          </cell>
          <cell r="D683">
            <v>4</v>
          </cell>
          <cell r="E683">
            <v>3</v>
          </cell>
          <cell r="F683">
            <v>0</v>
          </cell>
          <cell r="G683">
            <v>3</v>
          </cell>
          <cell r="H683">
            <v>3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1</v>
          </cell>
          <cell r="Q683">
            <v>1</v>
          </cell>
          <cell r="R683">
            <v>0</v>
          </cell>
          <cell r="S683">
            <v>3</v>
          </cell>
          <cell r="T683">
            <v>1</v>
          </cell>
        </row>
        <row r="684">
          <cell r="C684" t="str">
            <v>Naselle CDP, Washington</v>
          </cell>
          <cell r="D684">
            <v>3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3</v>
          </cell>
          <cell r="Q684">
            <v>3</v>
          </cell>
          <cell r="R684">
            <v>0</v>
          </cell>
          <cell r="S684">
            <v>0</v>
          </cell>
          <cell r="T684">
            <v>3</v>
          </cell>
        </row>
        <row r="685">
          <cell r="C685" t="str">
            <v>Navy Yard City CDP, Washington</v>
          </cell>
          <cell r="D685">
            <v>186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186</v>
          </cell>
          <cell r="Q685">
            <v>124</v>
          </cell>
          <cell r="R685">
            <v>62</v>
          </cell>
          <cell r="S685">
            <v>0</v>
          </cell>
          <cell r="T685">
            <v>186</v>
          </cell>
        </row>
        <row r="686">
          <cell r="C686" t="str">
            <v>Neah Bay CDP, Washington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</row>
        <row r="687">
          <cell r="C687" t="str">
            <v>Neilton CDP, Washington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</row>
        <row r="688">
          <cell r="C688" t="str">
            <v>Nespelem town, Washington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</row>
        <row r="689">
          <cell r="C689" t="str">
            <v>Nespelem Community CDP, Washington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</row>
        <row r="690">
          <cell r="C690" t="str">
            <v>Newcastle city, Washington</v>
          </cell>
          <cell r="D690">
            <v>1509</v>
          </cell>
          <cell r="E690">
            <v>544</v>
          </cell>
          <cell r="F690">
            <v>396</v>
          </cell>
          <cell r="G690">
            <v>115</v>
          </cell>
          <cell r="H690">
            <v>0</v>
          </cell>
          <cell r="I690">
            <v>18</v>
          </cell>
          <cell r="J690">
            <v>19</v>
          </cell>
          <cell r="K690">
            <v>78</v>
          </cell>
          <cell r="L690">
            <v>33</v>
          </cell>
          <cell r="M690">
            <v>0</v>
          </cell>
          <cell r="N690">
            <v>6</v>
          </cell>
          <cell r="O690">
            <v>27</v>
          </cell>
          <cell r="P690">
            <v>965</v>
          </cell>
          <cell r="Q690">
            <v>546</v>
          </cell>
          <cell r="R690">
            <v>419</v>
          </cell>
          <cell r="S690">
            <v>511</v>
          </cell>
          <cell r="T690">
            <v>998</v>
          </cell>
        </row>
        <row r="691">
          <cell r="C691" t="str">
            <v>Newport city, Washington</v>
          </cell>
          <cell r="D691">
            <v>12</v>
          </cell>
          <cell r="E691">
            <v>6</v>
          </cell>
          <cell r="F691">
            <v>6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6</v>
          </cell>
          <cell r="Q691">
            <v>0</v>
          </cell>
          <cell r="R691">
            <v>6</v>
          </cell>
          <cell r="S691">
            <v>6</v>
          </cell>
          <cell r="T691">
            <v>6</v>
          </cell>
        </row>
        <row r="692">
          <cell r="C692" t="str">
            <v>Nisqually Indian Community CDP, Washington</v>
          </cell>
          <cell r="D692">
            <v>19</v>
          </cell>
          <cell r="E692">
            <v>7</v>
          </cell>
          <cell r="F692">
            <v>0</v>
          </cell>
          <cell r="G692">
            <v>6</v>
          </cell>
          <cell r="H692">
            <v>0</v>
          </cell>
          <cell r="I692">
            <v>0</v>
          </cell>
          <cell r="J692">
            <v>0</v>
          </cell>
          <cell r="K692">
            <v>6</v>
          </cell>
          <cell r="L692">
            <v>1</v>
          </cell>
          <cell r="M692">
            <v>0</v>
          </cell>
          <cell r="N692">
            <v>0</v>
          </cell>
          <cell r="O692">
            <v>1</v>
          </cell>
          <cell r="P692">
            <v>12</v>
          </cell>
          <cell r="Q692">
            <v>12</v>
          </cell>
          <cell r="R692">
            <v>0</v>
          </cell>
          <cell r="S692">
            <v>6</v>
          </cell>
          <cell r="T692">
            <v>13</v>
          </cell>
        </row>
        <row r="693">
          <cell r="C693" t="str">
            <v>Nooksack city, Washington</v>
          </cell>
          <cell r="D693">
            <v>11</v>
          </cell>
          <cell r="E693">
            <v>2</v>
          </cell>
          <cell r="F693">
            <v>0</v>
          </cell>
          <cell r="G693">
            <v>2</v>
          </cell>
          <cell r="H693">
            <v>0</v>
          </cell>
          <cell r="I693">
            <v>0</v>
          </cell>
          <cell r="J693">
            <v>0</v>
          </cell>
          <cell r="K693">
            <v>2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9</v>
          </cell>
          <cell r="Q693">
            <v>0</v>
          </cell>
          <cell r="R693">
            <v>9</v>
          </cell>
          <cell r="S693">
            <v>2</v>
          </cell>
          <cell r="T693">
            <v>9</v>
          </cell>
        </row>
        <row r="694">
          <cell r="C694" t="str">
            <v>Normandy Park city, Washington</v>
          </cell>
          <cell r="D694">
            <v>412</v>
          </cell>
          <cell r="E694">
            <v>152</v>
          </cell>
          <cell r="F694">
            <v>96</v>
          </cell>
          <cell r="G694">
            <v>33</v>
          </cell>
          <cell r="H694">
            <v>0</v>
          </cell>
          <cell r="I694">
            <v>0</v>
          </cell>
          <cell r="J694">
            <v>9</v>
          </cell>
          <cell r="K694">
            <v>24</v>
          </cell>
          <cell r="L694">
            <v>23</v>
          </cell>
          <cell r="M694">
            <v>0</v>
          </cell>
          <cell r="N694">
            <v>5</v>
          </cell>
          <cell r="O694">
            <v>18</v>
          </cell>
          <cell r="P694">
            <v>260</v>
          </cell>
          <cell r="Q694">
            <v>177</v>
          </cell>
          <cell r="R694">
            <v>83</v>
          </cell>
          <cell r="S694">
            <v>129</v>
          </cell>
          <cell r="T694">
            <v>283</v>
          </cell>
        </row>
        <row r="695">
          <cell r="C695" t="str">
            <v>North Bend city, Washington</v>
          </cell>
          <cell r="D695">
            <v>135</v>
          </cell>
          <cell r="E695">
            <v>43</v>
          </cell>
          <cell r="F695">
            <v>25</v>
          </cell>
          <cell r="G695">
            <v>18</v>
          </cell>
          <cell r="H695">
            <v>3</v>
          </cell>
          <cell r="I695">
            <v>15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92</v>
          </cell>
          <cell r="Q695">
            <v>45</v>
          </cell>
          <cell r="R695">
            <v>47</v>
          </cell>
          <cell r="S695">
            <v>43</v>
          </cell>
          <cell r="T695">
            <v>92</v>
          </cell>
        </row>
        <row r="696">
          <cell r="C696" t="str">
            <v>North Bonneville city, Washington</v>
          </cell>
          <cell r="D696">
            <v>12</v>
          </cell>
          <cell r="E696">
            <v>4</v>
          </cell>
          <cell r="F696">
            <v>0</v>
          </cell>
          <cell r="G696">
            <v>4</v>
          </cell>
          <cell r="H696">
            <v>0</v>
          </cell>
          <cell r="I696">
            <v>0</v>
          </cell>
          <cell r="J696">
            <v>0</v>
          </cell>
          <cell r="K696">
            <v>4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8</v>
          </cell>
          <cell r="Q696">
            <v>5</v>
          </cell>
          <cell r="R696">
            <v>3</v>
          </cell>
          <cell r="S696">
            <v>4</v>
          </cell>
          <cell r="T696">
            <v>8</v>
          </cell>
        </row>
        <row r="697">
          <cell r="C697" t="str">
            <v>North Creek CDP, Washington</v>
          </cell>
          <cell r="D697">
            <v>1537</v>
          </cell>
          <cell r="E697">
            <v>570</v>
          </cell>
          <cell r="F697">
            <v>394</v>
          </cell>
          <cell r="G697">
            <v>176</v>
          </cell>
          <cell r="H697">
            <v>28</v>
          </cell>
          <cell r="I697">
            <v>14</v>
          </cell>
          <cell r="J697">
            <v>6</v>
          </cell>
          <cell r="K697">
            <v>128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967</v>
          </cell>
          <cell r="Q697">
            <v>650</v>
          </cell>
          <cell r="R697">
            <v>317</v>
          </cell>
          <cell r="S697">
            <v>570</v>
          </cell>
          <cell r="T697">
            <v>967</v>
          </cell>
        </row>
        <row r="698">
          <cell r="C698" t="str">
            <v>North Marysville CDP, Washington</v>
          </cell>
          <cell r="D698">
            <v>714</v>
          </cell>
          <cell r="E698">
            <v>318</v>
          </cell>
          <cell r="F698">
            <v>206</v>
          </cell>
          <cell r="G698">
            <v>97</v>
          </cell>
          <cell r="H698">
            <v>0</v>
          </cell>
          <cell r="I698">
            <v>27</v>
          </cell>
          <cell r="J698">
            <v>17</v>
          </cell>
          <cell r="K698">
            <v>53</v>
          </cell>
          <cell r="L698">
            <v>15</v>
          </cell>
          <cell r="M698">
            <v>0</v>
          </cell>
          <cell r="N698">
            <v>7</v>
          </cell>
          <cell r="O698">
            <v>8</v>
          </cell>
          <cell r="P698">
            <v>396</v>
          </cell>
          <cell r="Q698">
            <v>218</v>
          </cell>
          <cell r="R698">
            <v>178</v>
          </cell>
          <cell r="S698">
            <v>303</v>
          </cell>
          <cell r="T698">
            <v>411</v>
          </cell>
        </row>
        <row r="699">
          <cell r="C699" t="str">
            <v>North Omak CDP, Washington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</row>
        <row r="700">
          <cell r="C700" t="str">
            <v>Northport town, Washington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</row>
        <row r="701">
          <cell r="C701" t="str">
            <v>North Stanwood CDP, Washington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</row>
        <row r="702">
          <cell r="C702" t="str">
            <v>North Sultan CDP, Washington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</row>
        <row r="703">
          <cell r="C703" t="str">
            <v>Northwest Snohomish CDP, Washington</v>
          </cell>
          <cell r="D703">
            <v>27</v>
          </cell>
          <cell r="E703">
            <v>11</v>
          </cell>
          <cell r="F703">
            <v>11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16</v>
          </cell>
          <cell r="Q703">
            <v>16</v>
          </cell>
          <cell r="R703">
            <v>0</v>
          </cell>
          <cell r="S703">
            <v>11</v>
          </cell>
          <cell r="T703">
            <v>16</v>
          </cell>
        </row>
        <row r="704">
          <cell r="C704" t="str">
            <v>North Yelm CDP, Washington</v>
          </cell>
          <cell r="D704">
            <v>17</v>
          </cell>
          <cell r="E704">
            <v>10</v>
          </cell>
          <cell r="F704">
            <v>10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7</v>
          </cell>
          <cell r="Q704">
            <v>0</v>
          </cell>
          <cell r="R704">
            <v>7</v>
          </cell>
          <cell r="S704">
            <v>10</v>
          </cell>
          <cell r="T704">
            <v>7</v>
          </cell>
        </row>
        <row r="705">
          <cell r="C705" t="str">
            <v>Oakesdale town, Washington</v>
          </cell>
          <cell r="D705">
            <v>2</v>
          </cell>
          <cell r="E705">
            <v>2</v>
          </cell>
          <cell r="F705">
            <v>0</v>
          </cell>
          <cell r="G705">
            <v>2</v>
          </cell>
          <cell r="H705">
            <v>0</v>
          </cell>
          <cell r="I705">
            <v>0</v>
          </cell>
          <cell r="J705">
            <v>0</v>
          </cell>
          <cell r="K705">
            <v>2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</v>
          </cell>
          <cell r="T705">
            <v>0</v>
          </cell>
        </row>
        <row r="706">
          <cell r="C706" t="str">
            <v>Oak Harbor city, Washington</v>
          </cell>
          <cell r="D706">
            <v>1739</v>
          </cell>
          <cell r="E706">
            <v>523</v>
          </cell>
          <cell r="F706">
            <v>227</v>
          </cell>
          <cell r="G706">
            <v>205</v>
          </cell>
          <cell r="H706">
            <v>16</v>
          </cell>
          <cell r="I706">
            <v>30</v>
          </cell>
          <cell r="J706">
            <v>30</v>
          </cell>
          <cell r="K706">
            <v>129</v>
          </cell>
          <cell r="L706">
            <v>91</v>
          </cell>
          <cell r="M706">
            <v>0</v>
          </cell>
          <cell r="N706">
            <v>23</v>
          </cell>
          <cell r="O706">
            <v>68</v>
          </cell>
          <cell r="P706">
            <v>1216</v>
          </cell>
          <cell r="Q706">
            <v>698</v>
          </cell>
          <cell r="R706">
            <v>518</v>
          </cell>
          <cell r="S706">
            <v>432</v>
          </cell>
          <cell r="T706">
            <v>1307</v>
          </cell>
        </row>
        <row r="707">
          <cell r="C707" t="str">
            <v>Oakville city, Washington</v>
          </cell>
          <cell r="D707">
            <v>2</v>
          </cell>
          <cell r="E707">
            <v>2</v>
          </cell>
          <cell r="F707">
            <v>2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</v>
          </cell>
          <cell r="T707">
            <v>0</v>
          </cell>
        </row>
        <row r="708">
          <cell r="C708" t="str">
            <v>Ocean City CDP, Washington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</row>
        <row r="709">
          <cell r="C709" t="str">
            <v>Ocean Park CDP, Washington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</row>
        <row r="710">
          <cell r="C710" t="str">
            <v>Ocean Shores city, Washington</v>
          </cell>
          <cell r="D710">
            <v>67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67</v>
          </cell>
          <cell r="Q710">
            <v>31</v>
          </cell>
          <cell r="R710">
            <v>36</v>
          </cell>
          <cell r="S710">
            <v>0</v>
          </cell>
          <cell r="T710">
            <v>67</v>
          </cell>
        </row>
        <row r="711">
          <cell r="C711" t="str">
            <v>Odessa town, Washington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</row>
        <row r="712">
          <cell r="C712" t="str">
            <v>Okanogan city, Washington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</row>
        <row r="713">
          <cell r="C713" t="str">
            <v>Olympia city, Washington</v>
          </cell>
          <cell r="D713">
            <v>2326</v>
          </cell>
          <cell r="E713">
            <v>767</v>
          </cell>
          <cell r="F713">
            <v>359</v>
          </cell>
          <cell r="G713">
            <v>302</v>
          </cell>
          <cell r="H713">
            <v>67</v>
          </cell>
          <cell r="I713">
            <v>11</v>
          </cell>
          <cell r="J713">
            <v>34</v>
          </cell>
          <cell r="K713">
            <v>190</v>
          </cell>
          <cell r="L713">
            <v>106</v>
          </cell>
          <cell r="M713">
            <v>10</v>
          </cell>
          <cell r="N713">
            <v>5</v>
          </cell>
          <cell r="O713">
            <v>91</v>
          </cell>
          <cell r="P713">
            <v>1559</v>
          </cell>
          <cell r="Q713">
            <v>966</v>
          </cell>
          <cell r="R713">
            <v>593</v>
          </cell>
          <cell r="S713">
            <v>661</v>
          </cell>
          <cell r="T713">
            <v>1665</v>
          </cell>
        </row>
        <row r="714">
          <cell r="C714" t="str">
            <v>Omak city, Washington</v>
          </cell>
          <cell r="D714">
            <v>46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46</v>
          </cell>
          <cell r="Q714">
            <v>7</v>
          </cell>
          <cell r="R714">
            <v>39</v>
          </cell>
          <cell r="S714">
            <v>0</v>
          </cell>
          <cell r="T714">
            <v>46</v>
          </cell>
        </row>
        <row r="715">
          <cell r="C715" t="str">
            <v>Opportunity CDP, Washington</v>
          </cell>
          <cell r="D715">
            <v>301</v>
          </cell>
          <cell r="E715">
            <v>71</v>
          </cell>
          <cell r="F715">
            <v>52</v>
          </cell>
          <cell r="G715">
            <v>19</v>
          </cell>
          <cell r="H715">
            <v>0</v>
          </cell>
          <cell r="I715">
            <v>0</v>
          </cell>
          <cell r="J715">
            <v>10</v>
          </cell>
          <cell r="K715">
            <v>9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230</v>
          </cell>
          <cell r="Q715">
            <v>120</v>
          </cell>
          <cell r="R715">
            <v>110</v>
          </cell>
          <cell r="S715">
            <v>71</v>
          </cell>
          <cell r="T715">
            <v>230</v>
          </cell>
        </row>
        <row r="716">
          <cell r="C716" t="str">
            <v>Orchards CDP, Washington</v>
          </cell>
          <cell r="D716">
            <v>768</v>
          </cell>
          <cell r="E716">
            <v>308</v>
          </cell>
          <cell r="F716">
            <v>136</v>
          </cell>
          <cell r="G716">
            <v>149</v>
          </cell>
          <cell r="H716">
            <v>0</v>
          </cell>
          <cell r="I716">
            <v>0</v>
          </cell>
          <cell r="J716">
            <v>6</v>
          </cell>
          <cell r="K716">
            <v>143</v>
          </cell>
          <cell r="L716">
            <v>23</v>
          </cell>
          <cell r="M716">
            <v>0</v>
          </cell>
          <cell r="N716">
            <v>0</v>
          </cell>
          <cell r="O716">
            <v>23</v>
          </cell>
          <cell r="P716">
            <v>460</v>
          </cell>
          <cell r="Q716">
            <v>215</v>
          </cell>
          <cell r="R716">
            <v>245</v>
          </cell>
          <cell r="S716">
            <v>285</v>
          </cell>
          <cell r="T716">
            <v>483</v>
          </cell>
        </row>
        <row r="717">
          <cell r="C717" t="str">
            <v>Oroville city, Washington</v>
          </cell>
          <cell r="D717">
            <v>6</v>
          </cell>
          <cell r="E717">
            <v>4</v>
          </cell>
          <cell r="F717">
            <v>2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2</v>
          </cell>
          <cell r="M717">
            <v>0</v>
          </cell>
          <cell r="N717">
            <v>0</v>
          </cell>
          <cell r="O717">
            <v>2</v>
          </cell>
          <cell r="P717">
            <v>2</v>
          </cell>
          <cell r="Q717">
            <v>0</v>
          </cell>
          <cell r="R717">
            <v>2</v>
          </cell>
          <cell r="S717">
            <v>2</v>
          </cell>
          <cell r="T717">
            <v>4</v>
          </cell>
        </row>
        <row r="718">
          <cell r="C718" t="str">
            <v>Orting city, Washington</v>
          </cell>
          <cell r="D718">
            <v>48</v>
          </cell>
          <cell r="E718">
            <v>21</v>
          </cell>
          <cell r="F718">
            <v>21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27</v>
          </cell>
          <cell r="Q718">
            <v>4</v>
          </cell>
          <cell r="R718">
            <v>23</v>
          </cell>
          <cell r="S718">
            <v>21</v>
          </cell>
          <cell r="T718">
            <v>27</v>
          </cell>
        </row>
        <row r="719">
          <cell r="C719" t="str">
            <v>Oso CDP, Washington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</row>
        <row r="720">
          <cell r="C720" t="str">
            <v>Othello city, Washington</v>
          </cell>
          <cell r="D720">
            <v>84</v>
          </cell>
          <cell r="E720">
            <v>49</v>
          </cell>
          <cell r="F720">
            <v>32</v>
          </cell>
          <cell r="G720">
            <v>17</v>
          </cell>
          <cell r="H720">
            <v>0</v>
          </cell>
          <cell r="I720">
            <v>3</v>
          </cell>
          <cell r="J720">
            <v>0</v>
          </cell>
          <cell r="K720">
            <v>14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35</v>
          </cell>
          <cell r="Q720">
            <v>25</v>
          </cell>
          <cell r="R720">
            <v>10</v>
          </cell>
          <cell r="S720">
            <v>49</v>
          </cell>
          <cell r="T720">
            <v>35</v>
          </cell>
        </row>
        <row r="721">
          <cell r="C721" t="str">
            <v>Otis Orchards-East Farms CDP, Washington</v>
          </cell>
          <cell r="D721">
            <v>16</v>
          </cell>
          <cell r="E721">
            <v>8</v>
          </cell>
          <cell r="F721">
            <v>0</v>
          </cell>
          <cell r="G721">
            <v>8</v>
          </cell>
          <cell r="H721">
            <v>0</v>
          </cell>
          <cell r="I721">
            <v>0</v>
          </cell>
          <cell r="J721">
            <v>0</v>
          </cell>
          <cell r="K721">
            <v>8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8</v>
          </cell>
          <cell r="Q721">
            <v>8</v>
          </cell>
          <cell r="R721">
            <v>0</v>
          </cell>
          <cell r="S721">
            <v>8</v>
          </cell>
          <cell r="T721">
            <v>8</v>
          </cell>
        </row>
        <row r="722">
          <cell r="C722" t="str">
            <v>Oyehut-Hogans Corner CDP, Washington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</row>
        <row r="723">
          <cell r="C723" t="str">
            <v>Pacific city, Washington</v>
          </cell>
          <cell r="D723">
            <v>199</v>
          </cell>
          <cell r="E723">
            <v>35</v>
          </cell>
          <cell r="F723">
            <v>29</v>
          </cell>
          <cell r="G723">
            <v>6</v>
          </cell>
          <cell r="H723">
            <v>0</v>
          </cell>
          <cell r="I723">
            <v>0</v>
          </cell>
          <cell r="J723">
            <v>6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164</v>
          </cell>
          <cell r="Q723">
            <v>85</v>
          </cell>
          <cell r="R723">
            <v>79</v>
          </cell>
          <cell r="S723">
            <v>35</v>
          </cell>
          <cell r="T723">
            <v>164</v>
          </cell>
        </row>
        <row r="724">
          <cell r="C724" t="str">
            <v>Paine Field-Lake Stickney CDP, Washington</v>
          </cell>
          <cell r="D724">
            <v>1572</v>
          </cell>
          <cell r="E724">
            <v>486</v>
          </cell>
          <cell r="F724">
            <v>282</v>
          </cell>
          <cell r="G724">
            <v>204</v>
          </cell>
          <cell r="H724">
            <v>34</v>
          </cell>
          <cell r="I724">
            <v>16</v>
          </cell>
          <cell r="J724">
            <v>2</v>
          </cell>
          <cell r="K724">
            <v>152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1086</v>
          </cell>
          <cell r="Q724">
            <v>503</v>
          </cell>
          <cell r="R724">
            <v>583</v>
          </cell>
          <cell r="S724">
            <v>486</v>
          </cell>
          <cell r="T724">
            <v>1086</v>
          </cell>
        </row>
        <row r="725">
          <cell r="C725" t="str">
            <v>Palouse city, Washington</v>
          </cell>
          <cell r="D725">
            <v>7</v>
          </cell>
          <cell r="E725">
            <v>2</v>
          </cell>
          <cell r="F725">
            <v>2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5</v>
          </cell>
          <cell r="Q725">
            <v>2</v>
          </cell>
          <cell r="R725">
            <v>3</v>
          </cell>
          <cell r="S725">
            <v>2</v>
          </cell>
          <cell r="T725">
            <v>5</v>
          </cell>
        </row>
        <row r="726">
          <cell r="C726" t="str">
            <v>Parkland CDP, Washington</v>
          </cell>
          <cell r="D726">
            <v>1589</v>
          </cell>
          <cell r="E726">
            <v>439</v>
          </cell>
          <cell r="F726">
            <v>184</v>
          </cell>
          <cell r="G726">
            <v>170</v>
          </cell>
          <cell r="H726">
            <v>12</v>
          </cell>
          <cell r="I726">
            <v>16</v>
          </cell>
          <cell r="J726">
            <v>30</v>
          </cell>
          <cell r="K726">
            <v>112</v>
          </cell>
          <cell r="L726">
            <v>85</v>
          </cell>
          <cell r="M726">
            <v>0</v>
          </cell>
          <cell r="N726">
            <v>14</v>
          </cell>
          <cell r="O726">
            <v>71</v>
          </cell>
          <cell r="P726">
            <v>1150</v>
          </cell>
          <cell r="Q726">
            <v>727</v>
          </cell>
          <cell r="R726">
            <v>423</v>
          </cell>
          <cell r="S726">
            <v>354</v>
          </cell>
          <cell r="T726">
            <v>1235</v>
          </cell>
        </row>
        <row r="727">
          <cell r="C727" t="str">
            <v>Parkwood CDP, Washington</v>
          </cell>
          <cell r="D727">
            <v>358</v>
          </cell>
          <cell r="E727">
            <v>132</v>
          </cell>
          <cell r="F727">
            <v>8</v>
          </cell>
          <cell r="G727">
            <v>79</v>
          </cell>
          <cell r="H727">
            <v>8</v>
          </cell>
          <cell r="I727">
            <v>5</v>
          </cell>
          <cell r="J727">
            <v>15</v>
          </cell>
          <cell r="K727">
            <v>51</v>
          </cell>
          <cell r="L727">
            <v>45</v>
          </cell>
          <cell r="M727">
            <v>0</v>
          </cell>
          <cell r="N727">
            <v>7</v>
          </cell>
          <cell r="O727">
            <v>38</v>
          </cell>
          <cell r="P727">
            <v>226</v>
          </cell>
          <cell r="Q727">
            <v>175</v>
          </cell>
          <cell r="R727">
            <v>51</v>
          </cell>
          <cell r="S727">
            <v>87</v>
          </cell>
          <cell r="T727">
            <v>271</v>
          </cell>
        </row>
        <row r="728">
          <cell r="C728" t="str">
            <v>Pasco city, Washington</v>
          </cell>
          <cell r="D728">
            <v>714</v>
          </cell>
          <cell r="E728">
            <v>254</v>
          </cell>
          <cell r="F728">
            <v>198</v>
          </cell>
          <cell r="G728">
            <v>35</v>
          </cell>
          <cell r="H728">
            <v>5</v>
          </cell>
          <cell r="I728">
            <v>0</v>
          </cell>
          <cell r="J728">
            <v>0</v>
          </cell>
          <cell r="K728">
            <v>30</v>
          </cell>
          <cell r="L728">
            <v>21</v>
          </cell>
          <cell r="M728">
            <v>0</v>
          </cell>
          <cell r="N728">
            <v>0</v>
          </cell>
          <cell r="O728">
            <v>21</v>
          </cell>
          <cell r="P728">
            <v>460</v>
          </cell>
          <cell r="Q728">
            <v>266</v>
          </cell>
          <cell r="R728">
            <v>194</v>
          </cell>
          <cell r="S728">
            <v>233</v>
          </cell>
          <cell r="T728">
            <v>481</v>
          </cell>
        </row>
        <row r="729">
          <cell r="C729" t="str">
            <v>Pateros city, Washington</v>
          </cell>
          <cell r="D729">
            <v>7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</v>
          </cell>
          <cell r="Q729">
            <v>5</v>
          </cell>
          <cell r="R729">
            <v>2</v>
          </cell>
          <cell r="S729">
            <v>0</v>
          </cell>
          <cell r="T729">
            <v>7</v>
          </cell>
        </row>
        <row r="730">
          <cell r="C730" t="str">
            <v>Peaceful Valley CDP, Washington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</row>
        <row r="731">
          <cell r="C731" t="str">
            <v>Pe Ell town, Washington</v>
          </cell>
          <cell r="D731">
            <v>12</v>
          </cell>
          <cell r="E731">
            <v>12</v>
          </cell>
          <cell r="F731">
            <v>0</v>
          </cell>
          <cell r="G731">
            <v>10</v>
          </cell>
          <cell r="H731">
            <v>0</v>
          </cell>
          <cell r="I731">
            <v>0</v>
          </cell>
          <cell r="J731">
            <v>2</v>
          </cell>
          <cell r="K731">
            <v>8</v>
          </cell>
          <cell r="L731">
            <v>2</v>
          </cell>
          <cell r="M731">
            <v>0</v>
          </cell>
          <cell r="N731">
            <v>0</v>
          </cell>
          <cell r="O731">
            <v>2</v>
          </cell>
          <cell r="P731">
            <v>0</v>
          </cell>
          <cell r="Q731">
            <v>0</v>
          </cell>
          <cell r="R731">
            <v>0</v>
          </cell>
          <cell r="S731">
            <v>10</v>
          </cell>
          <cell r="T731">
            <v>2</v>
          </cell>
        </row>
        <row r="732">
          <cell r="C732" t="str">
            <v>Picnic Point-North Lynnwood CDP, Washington</v>
          </cell>
          <cell r="D732">
            <v>2482</v>
          </cell>
          <cell r="E732">
            <v>593</v>
          </cell>
          <cell r="F732">
            <v>321</v>
          </cell>
          <cell r="G732">
            <v>254</v>
          </cell>
          <cell r="H732">
            <v>16</v>
          </cell>
          <cell r="I732">
            <v>39</v>
          </cell>
          <cell r="J732">
            <v>41</v>
          </cell>
          <cell r="K732">
            <v>158</v>
          </cell>
          <cell r="L732">
            <v>18</v>
          </cell>
          <cell r="M732">
            <v>0</v>
          </cell>
          <cell r="N732">
            <v>0</v>
          </cell>
          <cell r="O732">
            <v>18</v>
          </cell>
          <cell r="P732">
            <v>1889</v>
          </cell>
          <cell r="Q732">
            <v>864</v>
          </cell>
          <cell r="R732">
            <v>1025</v>
          </cell>
          <cell r="S732">
            <v>575</v>
          </cell>
          <cell r="T732">
            <v>1907</v>
          </cell>
        </row>
        <row r="733">
          <cell r="C733" t="str">
            <v>Pomeroy city, Washington</v>
          </cell>
          <cell r="D733">
            <v>5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5</v>
          </cell>
          <cell r="Q733">
            <v>5</v>
          </cell>
          <cell r="R733">
            <v>0</v>
          </cell>
          <cell r="S733">
            <v>0</v>
          </cell>
          <cell r="T733">
            <v>5</v>
          </cell>
        </row>
        <row r="734">
          <cell r="C734" t="str">
            <v>Port Angeles city, Washington</v>
          </cell>
          <cell r="D734">
            <v>251</v>
          </cell>
          <cell r="E734">
            <v>67</v>
          </cell>
          <cell r="F734">
            <v>28</v>
          </cell>
          <cell r="G734">
            <v>31</v>
          </cell>
          <cell r="H734">
            <v>9</v>
          </cell>
          <cell r="I734">
            <v>0</v>
          </cell>
          <cell r="J734">
            <v>0</v>
          </cell>
          <cell r="K734">
            <v>22</v>
          </cell>
          <cell r="L734">
            <v>8</v>
          </cell>
          <cell r="M734">
            <v>0</v>
          </cell>
          <cell r="N734">
            <v>0</v>
          </cell>
          <cell r="O734">
            <v>8</v>
          </cell>
          <cell r="P734">
            <v>184</v>
          </cell>
          <cell r="Q734">
            <v>93</v>
          </cell>
          <cell r="R734">
            <v>91</v>
          </cell>
          <cell r="S734">
            <v>59</v>
          </cell>
          <cell r="T734">
            <v>192</v>
          </cell>
        </row>
        <row r="735">
          <cell r="C735" t="str">
            <v>Port Angeles East CDP, Washington</v>
          </cell>
          <cell r="D735">
            <v>51</v>
          </cell>
          <cell r="E735">
            <v>8</v>
          </cell>
          <cell r="F735">
            <v>4</v>
          </cell>
          <cell r="G735">
            <v>4</v>
          </cell>
          <cell r="H735">
            <v>0</v>
          </cell>
          <cell r="I735">
            <v>0</v>
          </cell>
          <cell r="J735">
            <v>0</v>
          </cell>
          <cell r="K735">
            <v>4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43</v>
          </cell>
          <cell r="Q735">
            <v>30</v>
          </cell>
          <cell r="R735">
            <v>13</v>
          </cell>
          <cell r="S735">
            <v>8</v>
          </cell>
          <cell r="T735">
            <v>43</v>
          </cell>
        </row>
        <row r="736">
          <cell r="C736" t="str">
            <v>Port Hadlock-Irondale CDP, Washington</v>
          </cell>
          <cell r="D736">
            <v>75</v>
          </cell>
          <cell r="E736">
            <v>24</v>
          </cell>
          <cell r="F736">
            <v>13</v>
          </cell>
          <cell r="G736">
            <v>11</v>
          </cell>
          <cell r="H736">
            <v>0</v>
          </cell>
          <cell r="I736">
            <v>6</v>
          </cell>
          <cell r="J736">
            <v>0</v>
          </cell>
          <cell r="K736">
            <v>5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51</v>
          </cell>
          <cell r="Q736">
            <v>31</v>
          </cell>
          <cell r="R736">
            <v>20</v>
          </cell>
          <cell r="S736">
            <v>24</v>
          </cell>
          <cell r="T736">
            <v>51</v>
          </cell>
        </row>
        <row r="737">
          <cell r="C737" t="str">
            <v>Port Ludlow CDP, Washington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</row>
        <row r="738">
          <cell r="C738" t="str">
            <v>Port Orchard city, Washington</v>
          </cell>
          <cell r="D738">
            <v>306</v>
          </cell>
          <cell r="E738">
            <v>98</v>
          </cell>
          <cell r="F738">
            <v>44</v>
          </cell>
          <cell r="G738">
            <v>43</v>
          </cell>
          <cell r="H738">
            <v>0</v>
          </cell>
          <cell r="I738">
            <v>13</v>
          </cell>
          <cell r="J738">
            <v>16</v>
          </cell>
          <cell r="K738">
            <v>14</v>
          </cell>
          <cell r="L738">
            <v>11</v>
          </cell>
          <cell r="M738">
            <v>0</v>
          </cell>
          <cell r="N738">
            <v>0</v>
          </cell>
          <cell r="O738">
            <v>11</v>
          </cell>
          <cell r="P738">
            <v>208</v>
          </cell>
          <cell r="Q738">
            <v>180</v>
          </cell>
          <cell r="R738">
            <v>28</v>
          </cell>
          <cell r="S738">
            <v>87</v>
          </cell>
          <cell r="T738">
            <v>219</v>
          </cell>
        </row>
        <row r="739">
          <cell r="C739" t="str">
            <v>Port Townsend city, Washington</v>
          </cell>
          <cell r="D739">
            <v>120</v>
          </cell>
          <cell r="E739">
            <v>51</v>
          </cell>
          <cell r="F739">
            <v>7</v>
          </cell>
          <cell r="G739">
            <v>44</v>
          </cell>
          <cell r="H739">
            <v>19</v>
          </cell>
          <cell r="I739">
            <v>0</v>
          </cell>
          <cell r="J739">
            <v>9</v>
          </cell>
          <cell r="K739">
            <v>16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69</v>
          </cell>
          <cell r="Q739">
            <v>50</v>
          </cell>
          <cell r="R739">
            <v>19</v>
          </cell>
          <cell r="S739">
            <v>51</v>
          </cell>
          <cell r="T739">
            <v>69</v>
          </cell>
        </row>
        <row r="740">
          <cell r="C740" t="str">
            <v>Poulsbo city, Washington</v>
          </cell>
          <cell r="D740">
            <v>223</v>
          </cell>
          <cell r="E740">
            <v>100</v>
          </cell>
          <cell r="F740">
            <v>52</v>
          </cell>
          <cell r="G740">
            <v>40</v>
          </cell>
          <cell r="H740">
            <v>8</v>
          </cell>
          <cell r="I740">
            <v>6</v>
          </cell>
          <cell r="J740">
            <v>0</v>
          </cell>
          <cell r="K740">
            <v>26</v>
          </cell>
          <cell r="L740">
            <v>8</v>
          </cell>
          <cell r="M740">
            <v>0</v>
          </cell>
          <cell r="N740">
            <v>0</v>
          </cell>
          <cell r="O740">
            <v>8</v>
          </cell>
          <cell r="P740">
            <v>123</v>
          </cell>
          <cell r="Q740">
            <v>74</v>
          </cell>
          <cell r="R740">
            <v>49</v>
          </cell>
          <cell r="S740">
            <v>92</v>
          </cell>
          <cell r="T740">
            <v>131</v>
          </cell>
        </row>
        <row r="741">
          <cell r="C741" t="str">
            <v>Prairie Ridge CDP, Washington</v>
          </cell>
          <cell r="D741">
            <v>108</v>
          </cell>
          <cell r="E741">
            <v>27</v>
          </cell>
          <cell r="F741">
            <v>18</v>
          </cell>
          <cell r="G741">
            <v>9</v>
          </cell>
          <cell r="H741">
            <v>0</v>
          </cell>
          <cell r="I741">
            <v>0</v>
          </cell>
          <cell r="J741">
            <v>0</v>
          </cell>
          <cell r="K741">
            <v>9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81</v>
          </cell>
          <cell r="Q741">
            <v>66</v>
          </cell>
          <cell r="R741">
            <v>15</v>
          </cell>
          <cell r="S741">
            <v>27</v>
          </cell>
          <cell r="T741">
            <v>81</v>
          </cell>
        </row>
        <row r="742">
          <cell r="C742" t="str">
            <v>Prescott town, Washington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</row>
        <row r="743">
          <cell r="C743" t="str">
            <v>Priest Point CDP, Washington</v>
          </cell>
          <cell r="D743">
            <v>5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5</v>
          </cell>
          <cell r="Q743">
            <v>5</v>
          </cell>
          <cell r="R743">
            <v>0</v>
          </cell>
          <cell r="S743">
            <v>0</v>
          </cell>
          <cell r="T743">
            <v>5</v>
          </cell>
        </row>
        <row r="744">
          <cell r="C744" t="str">
            <v>Prosser city, Washington</v>
          </cell>
          <cell r="D744">
            <v>17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17</v>
          </cell>
          <cell r="Q744">
            <v>0</v>
          </cell>
          <cell r="R744">
            <v>17</v>
          </cell>
          <cell r="S744">
            <v>0</v>
          </cell>
          <cell r="T744">
            <v>17</v>
          </cell>
        </row>
        <row r="745">
          <cell r="C745" t="str">
            <v>Pullman city, Washington</v>
          </cell>
          <cell r="D745">
            <v>1992</v>
          </cell>
          <cell r="E745">
            <v>495</v>
          </cell>
          <cell r="F745">
            <v>245</v>
          </cell>
          <cell r="G745">
            <v>217</v>
          </cell>
          <cell r="H745">
            <v>0</v>
          </cell>
          <cell r="I745">
            <v>0</v>
          </cell>
          <cell r="J745">
            <v>15</v>
          </cell>
          <cell r="K745">
            <v>202</v>
          </cell>
          <cell r="L745">
            <v>33</v>
          </cell>
          <cell r="M745">
            <v>0</v>
          </cell>
          <cell r="N745">
            <v>0</v>
          </cell>
          <cell r="O745">
            <v>33</v>
          </cell>
          <cell r="P745">
            <v>1497</v>
          </cell>
          <cell r="Q745">
            <v>368</v>
          </cell>
          <cell r="R745">
            <v>1129</v>
          </cell>
          <cell r="S745">
            <v>462</v>
          </cell>
          <cell r="T745">
            <v>1530</v>
          </cell>
        </row>
        <row r="746">
          <cell r="C746" t="str">
            <v>Puyallup city, Washington</v>
          </cell>
          <cell r="D746">
            <v>1057</v>
          </cell>
          <cell r="E746">
            <v>430</v>
          </cell>
          <cell r="F746">
            <v>241</v>
          </cell>
          <cell r="G746">
            <v>175</v>
          </cell>
          <cell r="H746">
            <v>0</v>
          </cell>
          <cell r="I746">
            <v>36</v>
          </cell>
          <cell r="J746">
            <v>20</v>
          </cell>
          <cell r="K746">
            <v>119</v>
          </cell>
          <cell r="L746">
            <v>14</v>
          </cell>
          <cell r="M746">
            <v>0</v>
          </cell>
          <cell r="N746">
            <v>0</v>
          </cell>
          <cell r="O746">
            <v>14</v>
          </cell>
          <cell r="P746">
            <v>627</v>
          </cell>
          <cell r="Q746">
            <v>424</v>
          </cell>
          <cell r="R746">
            <v>203</v>
          </cell>
          <cell r="S746">
            <v>416</v>
          </cell>
          <cell r="T746">
            <v>641</v>
          </cell>
        </row>
        <row r="747">
          <cell r="C747" t="str">
            <v>Quilcene CDP, Washington</v>
          </cell>
          <cell r="D747">
            <v>2</v>
          </cell>
          <cell r="E747">
            <v>2</v>
          </cell>
          <cell r="F747">
            <v>0</v>
          </cell>
          <cell r="G747">
            <v>2</v>
          </cell>
          <cell r="H747">
            <v>0</v>
          </cell>
          <cell r="I747">
            <v>0</v>
          </cell>
          <cell r="J747">
            <v>0</v>
          </cell>
          <cell r="K747">
            <v>2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</v>
          </cell>
          <cell r="T747">
            <v>0</v>
          </cell>
        </row>
        <row r="748">
          <cell r="C748" t="str">
            <v>Quincy city, Washington</v>
          </cell>
          <cell r="D748">
            <v>22</v>
          </cell>
          <cell r="E748">
            <v>22</v>
          </cell>
          <cell r="F748">
            <v>17</v>
          </cell>
          <cell r="G748">
            <v>5</v>
          </cell>
          <cell r="H748">
            <v>0</v>
          </cell>
          <cell r="I748">
            <v>0</v>
          </cell>
          <cell r="J748">
            <v>0</v>
          </cell>
          <cell r="K748">
            <v>5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22</v>
          </cell>
          <cell r="T748">
            <v>0</v>
          </cell>
        </row>
        <row r="749">
          <cell r="C749" t="str">
            <v>Rainier town, Washington</v>
          </cell>
          <cell r="D749">
            <v>24</v>
          </cell>
          <cell r="E749">
            <v>6</v>
          </cell>
          <cell r="F749">
            <v>6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18</v>
          </cell>
          <cell r="Q749">
            <v>15</v>
          </cell>
          <cell r="R749">
            <v>3</v>
          </cell>
          <cell r="S749">
            <v>6</v>
          </cell>
          <cell r="T749">
            <v>18</v>
          </cell>
        </row>
        <row r="750">
          <cell r="C750" t="str">
            <v>Ravensdale CDP, Washington</v>
          </cell>
          <cell r="D750">
            <v>29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29</v>
          </cell>
          <cell r="Q750">
            <v>14</v>
          </cell>
          <cell r="R750">
            <v>15</v>
          </cell>
          <cell r="S750">
            <v>0</v>
          </cell>
          <cell r="T750">
            <v>29</v>
          </cell>
        </row>
        <row r="751">
          <cell r="C751" t="str">
            <v>Raymond city, Washington</v>
          </cell>
          <cell r="D751">
            <v>288</v>
          </cell>
          <cell r="E751">
            <v>91</v>
          </cell>
          <cell r="F751">
            <v>62</v>
          </cell>
          <cell r="G751">
            <v>22</v>
          </cell>
          <cell r="H751">
            <v>0</v>
          </cell>
          <cell r="I751">
            <v>0</v>
          </cell>
          <cell r="J751">
            <v>0</v>
          </cell>
          <cell r="K751">
            <v>22</v>
          </cell>
          <cell r="L751">
            <v>7</v>
          </cell>
          <cell r="M751">
            <v>0</v>
          </cell>
          <cell r="N751">
            <v>0</v>
          </cell>
          <cell r="O751">
            <v>7</v>
          </cell>
          <cell r="P751">
            <v>197</v>
          </cell>
          <cell r="Q751">
            <v>66</v>
          </cell>
          <cell r="R751">
            <v>131</v>
          </cell>
          <cell r="S751">
            <v>84</v>
          </cell>
          <cell r="T751">
            <v>204</v>
          </cell>
        </row>
        <row r="752">
          <cell r="C752" t="str">
            <v>Reardan town, Washington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</row>
        <row r="753">
          <cell r="C753" t="str">
            <v>Redmond city, Washington</v>
          </cell>
          <cell r="D753">
            <v>6028</v>
          </cell>
          <cell r="E753">
            <v>1639</v>
          </cell>
          <cell r="F753">
            <v>909</v>
          </cell>
          <cell r="G753">
            <v>704</v>
          </cell>
          <cell r="H753">
            <v>85</v>
          </cell>
          <cell r="I753">
            <v>77</v>
          </cell>
          <cell r="J753">
            <v>123</v>
          </cell>
          <cell r="K753">
            <v>419</v>
          </cell>
          <cell r="L753">
            <v>26</v>
          </cell>
          <cell r="M753">
            <v>0</v>
          </cell>
          <cell r="N753">
            <v>0</v>
          </cell>
          <cell r="O753">
            <v>26</v>
          </cell>
          <cell r="P753">
            <v>4389</v>
          </cell>
          <cell r="Q753">
            <v>1475</v>
          </cell>
          <cell r="R753">
            <v>2914</v>
          </cell>
          <cell r="S753">
            <v>1613</v>
          </cell>
          <cell r="T753">
            <v>4415</v>
          </cell>
        </row>
        <row r="754">
          <cell r="C754" t="str">
            <v>Renton city, Washington</v>
          </cell>
          <cell r="D754">
            <v>6648</v>
          </cell>
          <cell r="E754">
            <v>2261</v>
          </cell>
          <cell r="F754">
            <v>1508</v>
          </cell>
          <cell r="G754">
            <v>589</v>
          </cell>
          <cell r="H754">
            <v>48</v>
          </cell>
          <cell r="I754">
            <v>48</v>
          </cell>
          <cell r="J754">
            <v>19</v>
          </cell>
          <cell r="K754">
            <v>474</v>
          </cell>
          <cell r="L754">
            <v>164</v>
          </cell>
          <cell r="M754">
            <v>0</v>
          </cell>
          <cell r="N754">
            <v>32</v>
          </cell>
          <cell r="O754">
            <v>132</v>
          </cell>
          <cell r="P754">
            <v>4387</v>
          </cell>
          <cell r="Q754">
            <v>2804</v>
          </cell>
          <cell r="R754">
            <v>1583</v>
          </cell>
          <cell r="S754">
            <v>2097</v>
          </cell>
          <cell r="T754">
            <v>4551</v>
          </cell>
        </row>
        <row r="755">
          <cell r="C755" t="str">
            <v>Republic city, Washington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</row>
        <row r="756">
          <cell r="C756" t="str">
            <v>Richland city, Washington</v>
          </cell>
          <cell r="D756">
            <v>1566</v>
          </cell>
          <cell r="E756">
            <v>462</v>
          </cell>
          <cell r="F756">
            <v>193</v>
          </cell>
          <cell r="G756">
            <v>265</v>
          </cell>
          <cell r="H756">
            <v>28</v>
          </cell>
          <cell r="I756">
            <v>31</v>
          </cell>
          <cell r="J756">
            <v>54</v>
          </cell>
          <cell r="K756">
            <v>152</v>
          </cell>
          <cell r="L756">
            <v>4</v>
          </cell>
          <cell r="M756">
            <v>0</v>
          </cell>
          <cell r="N756">
            <v>0</v>
          </cell>
          <cell r="O756">
            <v>4</v>
          </cell>
          <cell r="P756">
            <v>1104</v>
          </cell>
          <cell r="Q756">
            <v>715</v>
          </cell>
          <cell r="R756">
            <v>389</v>
          </cell>
          <cell r="S756">
            <v>458</v>
          </cell>
          <cell r="T756">
            <v>1108</v>
          </cell>
        </row>
        <row r="757">
          <cell r="C757" t="str">
            <v>Ridgefield city, Washington</v>
          </cell>
          <cell r="D757">
            <v>16</v>
          </cell>
          <cell r="E757">
            <v>9</v>
          </cell>
          <cell r="F757">
            <v>0</v>
          </cell>
          <cell r="G757">
            <v>6</v>
          </cell>
          <cell r="H757">
            <v>0</v>
          </cell>
          <cell r="I757">
            <v>0</v>
          </cell>
          <cell r="J757">
            <v>0</v>
          </cell>
          <cell r="K757">
            <v>6</v>
          </cell>
          <cell r="L757">
            <v>3</v>
          </cell>
          <cell r="M757">
            <v>0</v>
          </cell>
          <cell r="N757">
            <v>0</v>
          </cell>
          <cell r="O757">
            <v>3</v>
          </cell>
          <cell r="P757">
            <v>7</v>
          </cell>
          <cell r="Q757">
            <v>3</v>
          </cell>
          <cell r="R757">
            <v>4</v>
          </cell>
          <cell r="S757">
            <v>6</v>
          </cell>
          <cell r="T757">
            <v>10</v>
          </cell>
        </row>
        <row r="758">
          <cell r="C758" t="str">
            <v>Ritzville city, Washington</v>
          </cell>
          <cell r="D758">
            <v>9</v>
          </cell>
          <cell r="E758">
            <v>4</v>
          </cell>
          <cell r="F758">
            <v>0</v>
          </cell>
          <cell r="G758">
            <v>4</v>
          </cell>
          <cell r="H758">
            <v>0</v>
          </cell>
          <cell r="I758">
            <v>4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5</v>
          </cell>
          <cell r="Q758">
            <v>5</v>
          </cell>
          <cell r="R758">
            <v>0</v>
          </cell>
          <cell r="S758">
            <v>4</v>
          </cell>
          <cell r="T758">
            <v>5</v>
          </cell>
        </row>
        <row r="759">
          <cell r="C759" t="str">
            <v>Riverbend CDP, Washington</v>
          </cell>
          <cell r="D759">
            <v>35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35</v>
          </cell>
          <cell r="Q759">
            <v>35</v>
          </cell>
          <cell r="R759">
            <v>0</v>
          </cell>
          <cell r="S759">
            <v>0</v>
          </cell>
          <cell r="T759">
            <v>35</v>
          </cell>
        </row>
        <row r="760">
          <cell r="C760" t="str">
            <v>River Road CDP, Washington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</row>
        <row r="761">
          <cell r="C761" t="str">
            <v>Riverside town, Washington</v>
          </cell>
          <cell r="D761">
            <v>6</v>
          </cell>
          <cell r="E761">
            <v>2</v>
          </cell>
          <cell r="F761">
            <v>0</v>
          </cell>
          <cell r="G761">
            <v>2</v>
          </cell>
          <cell r="H761">
            <v>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4</v>
          </cell>
          <cell r="Q761">
            <v>2</v>
          </cell>
          <cell r="R761">
            <v>2</v>
          </cell>
          <cell r="S761">
            <v>2</v>
          </cell>
          <cell r="T761">
            <v>4</v>
          </cell>
        </row>
        <row r="762">
          <cell r="C762" t="str">
            <v>Riverton-Boulevard Park CDP, Washington</v>
          </cell>
          <cell r="D762">
            <v>1524</v>
          </cell>
          <cell r="E762">
            <v>526</v>
          </cell>
          <cell r="F762">
            <v>415</v>
          </cell>
          <cell r="G762">
            <v>99</v>
          </cell>
          <cell r="H762">
            <v>11</v>
          </cell>
          <cell r="I762">
            <v>20</v>
          </cell>
          <cell r="J762">
            <v>26</v>
          </cell>
          <cell r="K762">
            <v>42</v>
          </cell>
          <cell r="L762">
            <v>12</v>
          </cell>
          <cell r="M762">
            <v>0</v>
          </cell>
          <cell r="N762">
            <v>0</v>
          </cell>
          <cell r="O762">
            <v>12</v>
          </cell>
          <cell r="P762">
            <v>998</v>
          </cell>
          <cell r="Q762">
            <v>485</v>
          </cell>
          <cell r="R762">
            <v>513</v>
          </cell>
          <cell r="S762">
            <v>514</v>
          </cell>
          <cell r="T762">
            <v>1010</v>
          </cell>
        </row>
        <row r="763">
          <cell r="C763" t="str">
            <v>Rochester CDP, Washington</v>
          </cell>
          <cell r="D763">
            <v>13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13</v>
          </cell>
          <cell r="Q763">
            <v>0</v>
          </cell>
          <cell r="R763">
            <v>13</v>
          </cell>
          <cell r="S763">
            <v>0</v>
          </cell>
          <cell r="T763">
            <v>13</v>
          </cell>
        </row>
        <row r="764">
          <cell r="C764" t="str">
            <v>Rockford town, Washington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</row>
        <row r="765">
          <cell r="C765" t="str">
            <v>Rock Island city, Washington</v>
          </cell>
          <cell r="D765">
            <v>5</v>
          </cell>
          <cell r="E765">
            <v>5</v>
          </cell>
          <cell r="F765">
            <v>5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5</v>
          </cell>
          <cell r="T765">
            <v>0</v>
          </cell>
        </row>
        <row r="766">
          <cell r="C766" t="str">
            <v>Rockport CDP, Washington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</row>
        <row r="767">
          <cell r="C767" t="str">
            <v>Ronald CDP, Washington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</row>
        <row r="768">
          <cell r="C768" t="str">
            <v>Roosevelt CDP, Washington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</row>
        <row r="769">
          <cell r="C769" t="str">
            <v>Rosalia town, Washington</v>
          </cell>
          <cell r="D769">
            <v>8</v>
          </cell>
          <cell r="E769">
            <v>6</v>
          </cell>
          <cell r="F769">
            <v>4</v>
          </cell>
          <cell r="G769">
            <v>2</v>
          </cell>
          <cell r="H769">
            <v>0</v>
          </cell>
          <cell r="I769">
            <v>0</v>
          </cell>
          <cell r="J769">
            <v>0</v>
          </cell>
          <cell r="K769">
            <v>2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2</v>
          </cell>
          <cell r="Q769">
            <v>0</v>
          </cell>
          <cell r="R769">
            <v>2</v>
          </cell>
          <cell r="S769">
            <v>6</v>
          </cell>
          <cell r="T769">
            <v>2</v>
          </cell>
        </row>
        <row r="770">
          <cell r="C770" t="str">
            <v>Roslyn city, Washington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</row>
        <row r="771">
          <cell r="C771" t="str">
            <v>Roy city, Washington</v>
          </cell>
          <cell r="D771">
            <v>4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</v>
          </cell>
          <cell r="Q771">
            <v>4</v>
          </cell>
          <cell r="R771">
            <v>0</v>
          </cell>
          <cell r="S771">
            <v>0</v>
          </cell>
          <cell r="T771">
            <v>4</v>
          </cell>
        </row>
        <row r="772">
          <cell r="C772" t="str">
            <v>Royal City city, Washington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</row>
        <row r="773">
          <cell r="C773" t="str">
            <v>Ruston town, Washington</v>
          </cell>
          <cell r="D773">
            <v>40</v>
          </cell>
          <cell r="E773">
            <v>19</v>
          </cell>
          <cell r="F773">
            <v>17</v>
          </cell>
          <cell r="G773">
            <v>2</v>
          </cell>
          <cell r="H773">
            <v>2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21</v>
          </cell>
          <cell r="Q773">
            <v>18</v>
          </cell>
          <cell r="R773">
            <v>3</v>
          </cell>
          <cell r="S773">
            <v>19</v>
          </cell>
          <cell r="T773">
            <v>21</v>
          </cell>
        </row>
        <row r="774">
          <cell r="C774" t="str">
            <v>St. John town, Washington</v>
          </cell>
          <cell r="D774">
            <v>6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6</v>
          </cell>
          <cell r="Q774">
            <v>6</v>
          </cell>
          <cell r="R774">
            <v>0</v>
          </cell>
          <cell r="S774">
            <v>0</v>
          </cell>
          <cell r="T774">
            <v>6</v>
          </cell>
        </row>
        <row r="775">
          <cell r="C775" t="str">
            <v>Salmon Creek CDP, Washington</v>
          </cell>
          <cell r="D775">
            <v>478</v>
          </cell>
          <cell r="E775">
            <v>101</v>
          </cell>
          <cell r="F775">
            <v>17</v>
          </cell>
          <cell r="G775">
            <v>84</v>
          </cell>
          <cell r="H775">
            <v>6</v>
          </cell>
          <cell r="I775">
            <v>0</v>
          </cell>
          <cell r="J775">
            <v>15</v>
          </cell>
          <cell r="K775">
            <v>63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377</v>
          </cell>
          <cell r="Q775">
            <v>250</v>
          </cell>
          <cell r="R775">
            <v>127</v>
          </cell>
          <cell r="S775">
            <v>101</v>
          </cell>
          <cell r="T775">
            <v>377</v>
          </cell>
        </row>
        <row r="776">
          <cell r="C776" t="str">
            <v>Sammamish city, Washington</v>
          </cell>
          <cell r="D776">
            <v>2530</v>
          </cell>
          <cell r="E776">
            <v>937</v>
          </cell>
          <cell r="F776">
            <v>552</v>
          </cell>
          <cell r="G776">
            <v>372</v>
          </cell>
          <cell r="H776">
            <v>37</v>
          </cell>
          <cell r="I776">
            <v>31</v>
          </cell>
          <cell r="J776">
            <v>34</v>
          </cell>
          <cell r="K776">
            <v>270</v>
          </cell>
          <cell r="L776">
            <v>13</v>
          </cell>
          <cell r="M776">
            <v>0</v>
          </cell>
          <cell r="N776">
            <v>0</v>
          </cell>
          <cell r="O776">
            <v>13</v>
          </cell>
          <cell r="P776">
            <v>1593</v>
          </cell>
          <cell r="Q776">
            <v>699</v>
          </cell>
          <cell r="R776">
            <v>894</v>
          </cell>
          <cell r="S776">
            <v>924</v>
          </cell>
          <cell r="T776">
            <v>1606</v>
          </cell>
        </row>
        <row r="777">
          <cell r="C777" t="str">
            <v>Satsop CDP, Washington</v>
          </cell>
          <cell r="D777">
            <v>1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1</v>
          </cell>
          <cell r="Q777">
            <v>0</v>
          </cell>
          <cell r="R777">
            <v>1</v>
          </cell>
          <cell r="S777">
            <v>0</v>
          </cell>
          <cell r="T777">
            <v>1</v>
          </cell>
        </row>
        <row r="778">
          <cell r="C778" t="str">
            <v>Satus CDP, Washington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</row>
        <row r="779">
          <cell r="C779" t="str">
            <v>SeaTac city, Washington</v>
          </cell>
          <cell r="D779">
            <v>2945</v>
          </cell>
          <cell r="E779">
            <v>915</v>
          </cell>
          <cell r="F779">
            <v>561</v>
          </cell>
          <cell r="G779">
            <v>257</v>
          </cell>
          <cell r="H779">
            <v>18</v>
          </cell>
          <cell r="I779">
            <v>58</v>
          </cell>
          <cell r="J779">
            <v>17</v>
          </cell>
          <cell r="K779">
            <v>164</v>
          </cell>
          <cell r="L779">
            <v>97</v>
          </cell>
          <cell r="M779">
            <v>0</v>
          </cell>
          <cell r="N779">
            <v>0</v>
          </cell>
          <cell r="O779">
            <v>97</v>
          </cell>
          <cell r="P779">
            <v>2030</v>
          </cell>
          <cell r="Q779">
            <v>1017</v>
          </cell>
          <cell r="R779">
            <v>1013</v>
          </cell>
          <cell r="S779">
            <v>818</v>
          </cell>
          <cell r="T779">
            <v>2127</v>
          </cell>
        </row>
        <row r="780">
          <cell r="C780" t="str">
            <v>Seattle city, Washington</v>
          </cell>
          <cell r="D780">
            <v>73849</v>
          </cell>
          <cell r="E780">
            <v>24276</v>
          </cell>
          <cell r="F780">
            <v>16120</v>
          </cell>
          <cell r="G780">
            <v>6983</v>
          </cell>
          <cell r="H780">
            <v>536</v>
          </cell>
          <cell r="I780">
            <v>966</v>
          </cell>
          <cell r="J780">
            <v>843</v>
          </cell>
          <cell r="K780">
            <v>4638</v>
          </cell>
          <cell r="L780">
            <v>1173</v>
          </cell>
          <cell r="M780">
            <v>0</v>
          </cell>
          <cell r="N780">
            <v>173</v>
          </cell>
          <cell r="O780">
            <v>1000</v>
          </cell>
          <cell r="P780">
            <v>49573</v>
          </cell>
          <cell r="Q780">
            <v>26324</v>
          </cell>
          <cell r="R780">
            <v>23249</v>
          </cell>
          <cell r="S780">
            <v>23103</v>
          </cell>
          <cell r="T780">
            <v>50746</v>
          </cell>
        </row>
        <row r="781">
          <cell r="C781" t="str">
            <v>Seattle Hill-Silver Firs CDP, Washington</v>
          </cell>
          <cell r="D781">
            <v>2755</v>
          </cell>
          <cell r="E781">
            <v>1037</v>
          </cell>
          <cell r="F781">
            <v>589</v>
          </cell>
          <cell r="G781">
            <v>386</v>
          </cell>
          <cell r="H781">
            <v>25</v>
          </cell>
          <cell r="I781">
            <v>125</v>
          </cell>
          <cell r="J781">
            <v>20</v>
          </cell>
          <cell r="K781">
            <v>216</v>
          </cell>
          <cell r="L781">
            <v>62</v>
          </cell>
          <cell r="M781">
            <v>0</v>
          </cell>
          <cell r="N781">
            <v>7</v>
          </cell>
          <cell r="O781">
            <v>55</v>
          </cell>
          <cell r="P781">
            <v>1718</v>
          </cell>
          <cell r="Q781">
            <v>1172</v>
          </cell>
          <cell r="R781">
            <v>546</v>
          </cell>
          <cell r="S781">
            <v>975</v>
          </cell>
          <cell r="T781">
            <v>1780</v>
          </cell>
        </row>
        <row r="782">
          <cell r="C782" t="str">
            <v>Sedro-Woolley city, Washington</v>
          </cell>
          <cell r="D782">
            <v>46</v>
          </cell>
          <cell r="E782">
            <v>7</v>
          </cell>
          <cell r="F782">
            <v>7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39</v>
          </cell>
          <cell r="Q782">
            <v>24</v>
          </cell>
          <cell r="R782">
            <v>15</v>
          </cell>
          <cell r="S782">
            <v>7</v>
          </cell>
          <cell r="T782">
            <v>39</v>
          </cell>
        </row>
        <row r="783">
          <cell r="C783" t="str">
            <v>Selah city, Washington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</row>
        <row r="784">
          <cell r="C784" t="str">
            <v>Sequim city, Washington</v>
          </cell>
          <cell r="D784">
            <v>110</v>
          </cell>
          <cell r="E784">
            <v>51</v>
          </cell>
          <cell r="F784">
            <v>34</v>
          </cell>
          <cell r="G784">
            <v>13</v>
          </cell>
          <cell r="H784">
            <v>0</v>
          </cell>
          <cell r="I784">
            <v>0</v>
          </cell>
          <cell r="J784">
            <v>0</v>
          </cell>
          <cell r="K784">
            <v>13</v>
          </cell>
          <cell r="L784">
            <v>4</v>
          </cell>
          <cell r="M784">
            <v>0</v>
          </cell>
          <cell r="N784">
            <v>0</v>
          </cell>
          <cell r="O784">
            <v>4</v>
          </cell>
          <cell r="P784">
            <v>59</v>
          </cell>
          <cell r="Q784">
            <v>26</v>
          </cell>
          <cell r="R784">
            <v>33</v>
          </cell>
          <cell r="S784">
            <v>47</v>
          </cell>
          <cell r="T784">
            <v>63</v>
          </cell>
        </row>
        <row r="785">
          <cell r="C785" t="str">
            <v>Shaker Church CDP, Washington</v>
          </cell>
          <cell r="D785">
            <v>20</v>
          </cell>
          <cell r="E785">
            <v>15</v>
          </cell>
          <cell r="F785">
            <v>3</v>
          </cell>
          <cell r="G785">
            <v>12</v>
          </cell>
          <cell r="H785">
            <v>0</v>
          </cell>
          <cell r="I785">
            <v>0</v>
          </cell>
          <cell r="J785">
            <v>0</v>
          </cell>
          <cell r="K785">
            <v>12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5</v>
          </cell>
          <cell r="Q785">
            <v>5</v>
          </cell>
          <cell r="R785">
            <v>0</v>
          </cell>
          <cell r="S785">
            <v>15</v>
          </cell>
          <cell r="T785">
            <v>5</v>
          </cell>
        </row>
        <row r="786">
          <cell r="C786" t="str">
            <v>Shelton city, Washington</v>
          </cell>
          <cell r="D786">
            <v>92</v>
          </cell>
          <cell r="E786">
            <v>39</v>
          </cell>
          <cell r="F786">
            <v>16</v>
          </cell>
          <cell r="G786">
            <v>23</v>
          </cell>
          <cell r="H786">
            <v>0</v>
          </cell>
          <cell r="I786">
            <v>5</v>
          </cell>
          <cell r="J786">
            <v>18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53</v>
          </cell>
          <cell r="Q786">
            <v>35</v>
          </cell>
          <cell r="R786">
            <v>18</v>
          </cell>
          <cell r="S786">
            <v>39</v>
          </cell>
          <cell r="T786">
            <v>53</v>
          </cell>
        </row>
        <row r="787">
          <cell r="C787" t="str">
            <v>Shoreline city, Washington</v>
          </cell>
          <cell r="D787">
            <v>6613</v>
          </cell>
          <cell r="E787">
            <v>1742</v>
          </cell>
          <cell r="F787">
            <v>1277</v>
          </cell>
          <cell r="G787">
            <v>420</v>
          </cell>
          <cell r="H787">
            <v>69</v>
          </cell>
          <cell r="I787">
            <v>64</v>
          </cell>
          <cell r="J787">
            <v>47</v>
          </cell>
          <cell r="K787">
            <v>240</v>
          </cell>
          <cell r="L787">
            <v>45</v>
          </cell>
          <cell r="M787">
            <v>0</v>
          </cell>
          <cell r="N787">
            <v>0</v>
          </cell>
          <cell r="O787">
            <v>45</v>
          </cell>
          <cell r="P787">
            <v>4871</v>
          </cell>
          <cell r="Q787">
            <v>2857</v>
          </cell>
          <cell r="R787">
            <v>2014</v>
          </cell>
          <cell r="S787">
            <v>1697</v>
          </cell>
          <cell r="T787">
            <v>4916</v>
          </cell>
        </row>
        <row r="788">
          <cell r="C788" t="str">
            <v>Silvana CDP, Washington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</row>
        <row r="789">
          <cell r="C789" t="str">
            <v>Silverdale CDP, Washington</v>
          </cell>
          <cell r="D789">
            <v>1751</v>
          </cell>
          <cell r="E789">
            <v>676</v>
          </cell>
          <cell r="F789">
            <v>202</v>
          </cell>
          <cell r="G789">
            <v>295</v>
          </cell>
          <cell r="H789">
            <v>8</v>
          </cell>
          <cell r="I789">
            <v>39</v>
          </cell>
          <cell r="J789">
            <v>42</v>
          </cell>
          <cell r="K789">
            <v>206</v>
          </cell>
          <cell r="L789">
            <v>179</v>
          </cell>
          <cell r="M789">
            <v>0</v>
          </cell>
          <cell r="N789">
            <v>40</v>
          </cell>
          <cell r="O789">
            <v>139</v>
          </cell>
          <cell r="P789">
            <v>1075</v>
          </cell>
          <cell r="Q789">
            <v>911</v>
          </cell>
          <cell r="R789">
            <v>164</v>
          </cell>
          <cell r="S789">
            <v>497</v>
          </cell>
          <cell r="T789">
            <v>1254</v>
          </cell>
        </row>
        <row r="790">
          <cell r="C790" t="str">
            <v>Skokomish CDP, Washington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</row>
        <row r="791">
          <cell r="C791" t="str">
            <v>Skykomish town, Washington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</row>
        <row r="792">
          <cell r="C792" t="str">
            <v>Smokey Point CDP, Washington</v>
          </cell>
          <cell r="D792">
            <v>68</v>
          </cell>
          <cell r="E792">
            <v>24</v>
          </cell>
          <cell r="F792">
            <v>24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44</v>
          </cell>
          <cell r="Q792">
            <v>31</v>
          </cell>
          <cell r="R792">
            <v>13</v>
          </cell>
          <cell r="S792">
            <v>24</v>
          </cell>
          <cell r="T792">
            <v>44</v>
          </cell>
        </row>
        <row r="793">
          <cell r="C793" t="str">
            <v>Snohomish city, Washington</v>
          </cell>
          <cell r="D793">
            <v>100</v>
          </cell>
          <cell r="E793">
            <v>11</v>
          </cell>
          <cell r="F793">
            <v>7</v>
          </cell>
          <cell r="G793">
            <v>4</v>
          </cell>
          <cell r="H793">
            <v>0</v>
          </cell>
          <cell r="I793">
            <v>0</v>
          </cell>
          <cell r="J793">
            <v>0</v>
          </cell>
          <cell r="K793">
            <v>4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89</v>
          </cell>
          <cell r="Q793">
            <v>81</v>
          </cell>
          <cell r="R793">
            <v>8</v>
          </cell>
          <cell r="S793">
            <v>11</v>
          </cell>
          <cell r="T793">
            <v>89</v>
          </cell>
        </row>
        <row r="794">
          <cell r="C794" t="str">
            <v>Snoqualmie city, Washington</v>
          </cell>
          <cell r="D794">
            <v>48</v>
          </cell>
          <cell r="E794">
            <v>12</v>
          </cell>
          <cell r="F794">
            <v>12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36</v>
          </cell>
          <cell r="Q794">
            <v>31</v>
          </cell>
          <cell r="R794">
            <v>5</v>
          </cell>
          <cell r="S794">
            <v>12</v>
          </cell>
          <cell r="T794">
            <v>36</v>
          </cell>
        </row>
        <row r="795">
          <cell r="C795" t="str">
            <v>Snoqualmie Pass CDP, Washington</v>
          </cell>
          <cell r="D795">
            <v>3</v>
          </cell>
          <cell r="E795">
            <v>3</v>
          </cell>
          <cell r="F795">
            <v>3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3</v>
          </cell>
          <cell r="T795">
            <v>0</v>
          </cell>
        </row>
        <row r="796">
          <cell r="C796" t="str">
            <v>Soap Lake city, Washington</v>
          </cell>
          <cell r="D796">
            <v>2</v>
          </cell>
          <cell r="E796">
            <v>2</v>
          </cell>
          <cell r="F796">
            <v>2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2</v>
          </cell>
          <cell r="T796">
            <v>0</v>
          </cell>
        </row>
        <row r="797">
          <cell r="C797" t="str">
            <v>South Bend city, Washington</v>
          </cell>
          <cell r="D797">
            <v>84</v>
          </cell>
          <cell r="E797">
            <v>27</v>
          </cell>
          <cell r="F797">
            <v>18</v>
          </cell>
          <cell r="G797">
            <v>9</v>
          </cell>
          <cell r="H797">
            <v>0</v>
          </cell>
          <cell r="I797">
            <v>0</v>
          </cell>
          <cell r="J797">
            <v>4</v>
          </cell>
          <cell r="K797">
            <v>5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57</v>
          </cell>
          <cell r="Q797">
            <v>20</v>
          </cell>
          <cell r="R797">
            <v>37</v>
          </cell>
          <cell r="S797">
            <v>27</v>
          </cell>
          <cell r="T797">
            <v>57</v>
          </cell>
        </row>
        <row r="798">
          <cell r="C798" t="str">
            <v>South Cle Elum town, Washington</v>
          </cell>
          <cell r="D798">
            <v>10</v>
          </cell>
          <cell r="E798">
            <v>5</v>
          </cell>
          <cell r="F798">
            <v>0</v>
          </cell>
          <cell r="G798">
            <v>5</v>
          </cell>
          <cell r="H798">
            <v>3</v>
          </cell>
          <cell r="I798">
            <v>2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5</v>
          </cell>
          <cell r="Q798">
            <v>0</v>
          </cell>
          <cell r="R798">
            <v>5</v>
          </cell>
          <cell r="S798">
            <v>5</v>
          </cell>
          <cell r="T798">
            <v>5</v>
          </cell>
        </row>
        <row r="799">
          <cell r="C799" t="str">
            <v>South Hill CDP, Washington</v>
          </cell>
          <cell r="D799">
            <v>963</v>
          </cell>
          <cell r="E799">
            <v>349</v>
          </cell>
          <cell r="F799">
            <v>119</v>
          </cell>
          <cell r="G799">
            <v>193</v>
          </cell>
          <cell r="H799">
            <v>10</v>
          </cell>
          <cell r="I799">
            <v>27</v>
          </cell>
          <cell r="J799">
            <v>58</v>
          </cell>
          <cell r="K799">
            <v>98</v>
          </cell>
          <cell r="L799">
            <v>37</v>
          </cell>
          <cell r="M799">
            <v>0</v>
          </cell>
          <cell r="N799">
            <v>0</v>
          </cell>
          <cell r="O799">
            <v>37</v>
          </cell>
          <cell r="P799">
            <v>614</v>
          </cell>
          <cell r="Q799">
            <v>437</v>
          </cell>
          <cell r="R799">
            <v>177</v>
          </cell>
          <cell r="S799">
            <v>312</v>
          </cell>
          <cell r="T799">
            <v>651</v>
          </cell>
        </row>
        <row r="800">
          <cell r="C800" t="str">
            <v>South Prairie town, Washington</v>
          </cell>
          <cell r="D800">
            <v>13</v>
          </cell>
          <cell r="E800">
            <v>7</v>
          </cell>
          <cell r="F800">
            <v>5</v>
          </cell>
          <cell r="G800">
            <v>2</v>
          </cell>
          <cell r="H800">
            <v>0</v>
          </cell>
          <cell r="I800">
            <v>0</v>
          </cell>
          <cell r="J800">
            <v>0</v>
          </cell>
          <cell r="K800">
            <v>2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</v>
          </cell>
          <cell r="Q800">
            <v>3</v>
          </cell>
          <cell r="R800">
            <v>3</v>
          </cell>
          <cell r="S800">
            <v>7</v>
          </cell>
          <cell r="T800">
            <v>6</v>
          </cell>
        </row>
        <row r="801">
          <cell r="C801" t="str">
            <v>South Wenatchee CDP, Washington</v>
          </cell>
          <cell r="D801">
            <v>6</v>
          </cell>
          <cell r="E801">
            <v>6</v>
          </cell>
          <cell r="F801">
            <v>6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6</v>
          </cell>
          <cell r="T801">
            <v>0</v>
          </cell>
        </row>
        <row r="802">
          <cell r="C802" t="str">
            <v>Spanaway CDP, Washington</v>
          </cell>
          <cell r="D802">
            <v>1275</v>
          </cell>
          <cell r="E802">
            <v>361</v>
          </cell>
          <cell r="F802">
            <v>122</v>
          </cell>
          <cell r="G802">
            <v>107</v>
          </cell>
          <cell r="H802">
            <v>3</v>
          </cell>
          <cell r="I802">
            <v>12</v>
          </cell>
          <cell r="J802">
            <v>36</v>
          </cell>
          <cell r="K802">
            <v>56</v>
          </cell>
          <cell r="L802">
            <v>132</v>
          </cell>
          <cell r="M802">
            <v>0</v>
          </cell>
          <cell r="N802">
            <v>35</v>
          </cell>
          <cell r="O802">
            <v>97</v>
          </cell>
          <cell r="P802">
            <v>914</v>
          </cell>
          <cell r="Q802">
            <v>671</v>
          </cell>
          <cell r="R802">
            <v>243</v>
          </cell>
          <cell r="S802">
            <v>229</v>
          </cell>
          <cell r="T802">
            <v>1046</v>
          </cell>
        </row>
        <row r="803">
          <cell r="C803" t="str">
            <v>Spangle town, Washington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</row>
        <row r="804">
          <cell r="C804" t="str">
            <v>Spokane city, Washington</v>
          </cell>
          <cell r="D804">
            <v>4379</v>
          </cell>
          <cell r="E804">
            <v>1692</v>
          </cell>
          <cell r="F804">
            <v>832</v>
          </cell>
          <cell r="G804">
            <v>676</v>
          </cell>
          <cell r="H804">
            <v>28</v>
          </cell>
          <cell r="I804">
            <v>34</v>
          </cell>
          <cell r="J804">
            <v>19</v>
          </cell>
          <cell r="K804">
            <v>595</v>
          </cell>
          <cell r="L804">
            <v>184</v>
          </cell>
          <cell r="M804">
            <v>0</v>
          </cell>
          <cell r="N804">
            <v>17</v>
          </cell>
          <cell r="O804">
            <v>167</v>
          </cell>
          <cell r="P804">
            <v>2687</v>
          </cell>
          <cell r="Q804">
            <v>1509</v>
          </cell>
          <cell r="R804">
            <v>1178</v>
          </cell>
          <cell r="S804">
            <v>1508</v>
          </cell>
          <cell r="T804">
            <v>2871</v>
          </cell>
        </row>
        <row r="805">
          <cell r="C805" t="str">
            <v>Sprague city, Washington</v>
          </cell>
          <cell r="D805">
            <v>4</v>
          </cell>
          <cell r="E805">
            <v>2</v>
          </cell>
          <cell r="F805">
            <v>2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2</v>
          </cell>
          <cell r="Q805">
            <v>2</v>
          </cell>
          <cell r="R805">
            <v>0</v>
          </cell>
          <cell r="S805">
            <v>2</v>
          </cell>
          <cell r="T805">
            <v>2</v>
          </cell>
        </row>
        <row r="806">
          <cell r="C806" t="str">
            <v>Springdale town, Washington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</row>
        <row r="807">
          <cell r="C807" t="str">
            <v>Stanwood city, Washington</v>
          </cell>
          <cell r="D807">
            <v>68</v>
          </cell>
          <cell r="E807">
            <v>21</v>
          </cell>
          <cell r="F807">
            <v>0</v>
          </cell>
          <cell r="G807">
            <v>16</v>
          </cell>
          <cell r="H807">
            <v>0</v>
          </cell>
          <cell r="I807">
            <v>0</v>
          </cell>
          <cell r="J807">
            <v>6</v>
          </cell>
          <cell r="K807">
            <v>10</v>
          </cell>
          <cell r="L807">
            <v>5</v>
          </cell>
          <cell r="M807">
            <v>0</v>
          </cell>
          <cell r="N807">
            <v>0</v>
          </cell>
          <cell r="O807">
            <v>5</v>
          </cell>
          <cell r="P807">
            <v>47</v>
          </cell>
          <cell r="Q807">
            <v>10</v>
          </cell>
          <cell r="R807">
            <v>37</v>
          </cell>
          <cell r="S807">
            <v>16</v>
          </cell>
          <cell r="T807">
            <v>52</v>
          </cell>
        </row>
        <row r="808">
          <cell r="C808" t="str">
            <v>Starbuck town, Washington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</row>
        <row r="809">
          <cell r="C809" t="str">
            <v>Startup CDP, Washington</v>
          </cell>
          <cell r="D809">
            <v>75</v>
          </cell>
          <cell r="E809">
            <v>44</v>
          </cell>
          <cell r="F809">
            <v>36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8</v>
          </cell>
          <cell r="M809">
            <v>0</v>
          </cell>
          <cell r="N809">
            <v>0</v>
          </cell>
          <cell r="O809">
            <v>8</v>
          </cell>
          <cell r="P809">
            <v>31</v>
          </cell>
          <cell r="Q809">
            <v>13</v>
          </cell>
          <cell r="R809">
            <v>18</v>
          </cell>
          <cell r="S809">
            <v>36</v>
          </cell>
          <cell r="T809">
            <v>39</v>
          </cell>
        </row>
        <row r="810">
          <cell r="C810" t="str">
            <v>Steilacoom town, Washington</v>
          </cell>
          <cell r="D810">
            <v>416</v>
          </cell>
          <cell r="E810">
            <v>99</v>
          </cell>
          <cell r="F810">
            <v>15</v>
          </cell>
          <cell r="G810">
            <v>67</v>
          </cell>
          <cell r="H810">
            <v>0</v>
          </cell>
          <cell r="I810">
            <v>6</v>
          </cell>
          <cell r="J810">
            <v>0</v>
          </cell>
          <cell r="K810">
            <v>61</v>
          </cell>
          <cell r="L810">
            <v>17</v>
          </cell>
          <cell r="M810">
            <v>0</v>
          </cell>
          <cell r="N810">
            <v>0</v>
          </cell>
          <cell r="O810">
            <v>17</v>
          </cell>
          <cell r="P810">
            <v>317</v>
          </cell>
          <cell r="Q810">
            <v>161</v>
          </cell>
          <cell r="R810">
            <v>156</v>
          </cell>
          <cell r="S810">
            <v>82</v>
          </cell>
          <cell r="T810">
            <v>334</v>
          </cell>
        </row>
        <row r="811">
          <cell r="C811" t="str">
            <v>Stevenson city, Washington</v>
          </cell>
          <cell r="D811">
            <v>4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</v>
          </cell>
          <cell r="Q811">
            <v>0</v>
          </cell>
          <cell r="R811">
            <v>4</v>
          </cell>
          <cell r="S811">
            <v>0</v>
          </cell>
          <cell r="T811">
            <v>4</v>
          </cell>
        </row>
        <row r="812">
          <cell r="C812" t="str">
            <v>Stimson Crossing CDP, Washington</v>
          </cell>
          <cell r="D812">
            <v>12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12</v>
          </cell>
          <cell r="Q812">
            <v>10</v>
          </cell>
          <cell r="R812">
            <v>2</v>
          </cell>
          <cell r="S812">
            <v>0</v>
          </cell>
          <cell r="T812">
            <v>12</v>
          </cell>
        </row>
        <row r="813">
          <cell r="C813" t="str">
            <v>Sudden Valley CDP, Washington</v>
          </cell>
          <cell r="D813">
            <v>29</v>
          </cell>
          <cell r="E813">
            <v>14</v>
          </cell>
          <cell r="F813">
            <v>14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15</v>
          </cell>
          <cell r="Q813">
            <v>15</v>
          </cell>
          <cell r="R813">
            <v>0</v>
          </cell>
          <cell r="S813">
            <v>14</v>
          </cell>
          <cell r="T813">
            <v>15</v>
          </cell>
        </row>
        <row r="814">
          <cell r="C814" t="str">
            <v>Sultan city, Washington</v>
          </cell>
          <cell r="D814">
            <v>135</v>
          </cell>
          <cell r="E814">
            <v>42</v>
          </cell>
          <cell r="F814">
            <v>33</v>
          </cell>
          <cell r="G814">
            <v>9</v>
          </cell>
          <cell r="H814">
            <v>0</v>
          </cell>
          <cell r="I814">
            <v>0</v>
          </cell>
          <cell r="J814">
            <v>0</v>
          </cell>
          <cell r="K814">
            <v>9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93</v>
          </cell>
          <cell r="Q814">
            <v>63</v>
          </cell>
          <cell r="R814">
            <v>30</v>
          </cell>
          <cell r="S814">
            <v>42</v>
          </cell>
          <cell r="T814">
            <v>93</v>
          </cell>
        </row>
        <row r="815">
          <cell r="C815" t="str">
            <v>Sumas city, Washington</v>
          </cell>
          <cell r="D815">
            <v>71</v>
          </cell>
          <cell r="E815">
            <v>24</v>
          </cell>
          <cell r="F815">
            <v>12</v>
          </cell>
          <cell r="G815">
            <v>12</v>
          </cell>
          <cell r="H815">
            <v>2</v>
          </cell>
          <cell r="I815">
            <v>0</v>
          </cell>
          <cell r="J815">
            <v>0</v>
          </cell>
          <cell r="K815">
            <v>10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47</v>
          </cell>
          <cell r="Q815">
            <v>13</v>
          </cell>
          <cell r="R815">
            <v>34</v>
          </cell>
          <cell r="S815">
            <v>24</v>
          </cell>
          <cell r="T815">
            <v>47</v>
          </cell>
        </row>
        <row r="816">
          <cell r="C816" t="str">
            <v>Summit CDP, Washington</v>
          </cell>
          <cell r="D816">
            <v>179</v>
          </cell>
          <cell r="E816">
            <v>64</v>
          </cell>
          <cell r="F816">
            <v>21</v>
          </cell>
          <cell r="G816">
            <v>43</v>
          </cell>
          <cell r="H816">
            <v>0</v>
          </cell>
          <cell r="I816">
            <v>0</v>
          </cell>
          <cell r="J816">
            <v>0</v>
          </cell>
          <cell r="K816">
            <v>43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115</v>
          </cell>
          <cell r="Q816">
            <v>69</v>
          </cell>
          <cell r="R816">
            <v>46</v>
          </cell>
          <cell r="S816">
            <v>64</v>
          </cell>
          <cell r="T816">
            <v>115</v>
          </cell>
        </row>
        <row r="817">
          <cell r="C817" t="str">
            <v>Summitview CDP, Washington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</row>
        <row r="818">
          <cell r="C818" t="str">
            <v>Sumner city, Washington</v>
          </cell>
          <cell r="D818">
            <v>84</v>
          </cell>
          <cell r="E818">
            <v>33</v>
          </cell>
          <cell r="F818">
            <v>16</v>
          </cell>
          <cell r="G818">
            <v>17</v>
          </cell>
          <cell r="H818">
            <v>0</v>
          </cell>
          <cell r="I818">
            <v>0</v>
          </cell>
          <cell r="J818">
            <v>7</v>
          </cell>
          <cell r="K818">
            <v>10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51</v>
          </cell>
          <cell r="Q818">
            <v>44</v>
          </cell>
          <cell r="R818">
            <v>7</v>
          </cell>
          <cell r="S818">
            <v>33</v>
          </cell>
          <cell r="T818">
            <v>51</v>
          </cell>
        </row>
        <row r="819">
          <cell r="C819" t="str">
            <v>Sunnyside city, Washington</v>
          </cell>
          <cell r="D819">
            <v>71</v>
          </cell>
          <cell r="E819">
            <v>28</v>
          </cell>
          <cell r="F819">
            <v>20</v>
          </cell>
          <cell r="G819">
            <v>8</v>
          </cell>
          <cell r="H819">
            <v>0</v>
          </cell>
          <cell r="I819">
            <v>0</v>
          </cell>
          <cell r="J819">
            <v>0</v>
          </cell>
          <cell r="K819">
            <v>8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43</v>
          </cell>
          <cell r="Q819">
            <v>22</v>
          </cell>
          <cell r="R819">
            <v>21</v>
          </cell>
          <cell r="S819">
            <v>28</v>
          </cell>
          <cell r="T819">
            <v>43</v>
          </cell>
        </row>
        <row r="820">
          <cell r="C820" t="str">
            <v>Sunnyslope CDP, Washington</v>
          </cell>
          <cell r="D820">
            <v>12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12</v>
          </cell>
          <cell r="Q820">
            <v>12</v>
          </cell>
          <cell r="R820">
            <v>0</v>
          </cell>
          <cell r="S820">
            <v>0</v>
          </cell>
          <cell r="T820">
            <v>12</v>
          </cell>
        </row>
        <row r="821">
          <cell r="C821" t="str">
            <v>Suquamish CDP, Washington</v>
          </cell>
          <cell r="D821">
            <v>95</v>
          </cell>
          <cell r="E821">
            <v>32</v>
          </cell>
          <cell r="F821">
            <v>21</v>
          </cell>
          <cell r="G821">
            <v>10</v>
          </cell>
          <cell r="H821">
            <v>0</v>
          </cell>
          <cell r="I821">
            <v>0</v>
          </cell>
          <cell r="J821">
            <v>1</v>
          </cell>
          <cell r="K821">
            <v>9</v>
          </cell>
          <cell r="L821">
            <v>1</v>
          </cell>
          <cell r="M821">
            <v>0</v>
          </cell>
          <cell r="N821">
            <v>0</v>
          </cell>
          <cell r="O821">
            <v>1</v>
          </cell>
          <cell r="P821">
            <v>63</v>
          </cell>
          <cell r="Q821">
            <v>42</v>
          </cell>
          <cell r="R821">
            <v>21</v>
          </cell>
          <cell r="S821">
            <v>31</v>
          </cell>
          <cell r="T821">
            <v>64</v>
          </cell>
        </row>
        <row r="822">
          <cell r="C822" t="str">
            <v>Tacoma city, Washington</v>
          </cell>
          <cell r="D822">
            <v>14336</v>
          </cell>
          <cell r="E822">
            <v>4358</v>
          </cell>
          <cell r="F822">
            <v>2801</v>
          </cell>
          <cell r="G822">
            <v>1225</v>
          </cell>
          <cell r="H822">
            <v>119</v>
          </cell>
          <cell r="I822">
            <v>115</v>
          </cell>
          <cell r="J822">
            <v>166</v>
          </cell>
          <cell r="K822">
            <v>825</v>
          </cell>
          <cell r="L822">
            <v>332</v>
          </cell>
          <cell r="M822">
            <v>19</v>
          </cell>
          <cell r="N822">
            <v>38</v>
          </cell>
          <cell r="O822">
            <v>275</v>
          </cell>
          <cell r="P822">
            <v>9978</v>
          </cell>
          <cell r="Q822">
            <v>4780</v>
          </cell>
          <cell r="R822">
            <v>5198</v>
          </cell>
          <cell r="S822">
            <v>4026</v>
          </cell>
          <cell r="T822">
            <v>10310</v>
          </cell>
        </row>
        <row r="823">
          <cell r="C823" t="str">
            <v>Taholah CDP, Washington</v>
          </cell>
          <cell r="D823">
            <v>8</v>
          </cell>
          <cell r="E823">
            <v>2</v>
          </cell>
          <cell r="F823">
            <v>2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6</v>
          </cell>
          <cell r="Q823">
            <v>0</v>
          </cell>
          <cell r="R823">
            <v>6</v>
          </cell>
          <cell r="S823">
            <v>2</v>
          </cell>
          <cell r="T823">
            <v>6</v>
          </cell>
        </row>
        <row r="824">
          <cell r="C824" t="str">
            <v>Tanglewilde-Thompson Place CDP, Washington</v>
          </cell>
          <cell r="D824">
            <v>362</v>
          </cell>
          <cell r="E824">
            <v>70</v>
          </cell>
          <cell r="F824">
            <v>42</v>
          </cell>
          <cell r="G824">
            <v>18</v>
          </cell>
          <cell r="H824">
            <v>0</v>
          </cell>
          <cell r="I824">
            <v>0</v>
          </cell>
          <cell r="J824">
            <v>6</v>
          </cell>
          <cell r="K824">
            <v>12</v>
          </cell>
          <cell r="L824">
            <v>10</v>
          </cell>
          <cell r="M824">
            <v>0</v>
          </cell>
          <cell r="N824">
            <v>0</v>
          </cell>
          <cell r="O824">
            <v>10</v>
          </cell>
          <cell r="P824">
            <v>292</v>
          </cell>
          <cell r="Q824">
            <v>198</v>
          </cell>
          <cell r="R824">
            <v>94</v>
          </cell>
          <cell r="S824">
            <v>60</v>
          </cell>
          <cell r="T824">
            <v>302</v>
          </cell>
        </row>
        <row r="825">
          <cell r="C825" t="str">
            <v>Tanner CDP, Washington</v>
          </cell>
          <cell r="D825">
            <v>17</v>
          </cell>
          <cell r="E825">
            <v>8</v>
          </cell>
          <cell r="F825">
            <v>8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9</v>
          </cell>
          <cell r="Q825">
            <v>9</v>
          </cell>
          <cell r="R825">
            <v>0</v>
          </cell>
          <cell r="S825">
            <v>8</v>
          </cell>
          <cell r="T825">
            <v>9</v>
          </cell>
        </row>
        <row r="826">
          <cell r="C826" t="str">
            <v>Tekoa city, Washington</v>
          </cell>
          <cell r="D826">
            <v>4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4</v>
          </cell>
          <cell r="Q826">
            <v>4</v>
          </cell>
          <cell r="R826">
            <v>0</v>
          </cell>
          <cell r="S826">
            <v>0</v>
          </cell>
          <cell r="T826">
            <v>4</v>
          </cell>
        </row>
        <row r="827">
          <cell r="C827" t="str">
            <v>Tenino city, Washington</v>
          </cell>
          <cell r="D827">
            <v>92</v>
          </cell>
          <cell r="E827">
            <v>49</v>
          </cell>
          <cell r="F827">
            <v>37</v>
          </cell>
          <cell r="G827">
            <v>4</v>
          </cell>
          <cell r="H827">
            <v>4</v>
          </cell>
          <cell r="I827">
            <v>0</v>
          </cell>
          <cell r="J827">
            <v>0</v>
          </cell>
          <cell r="K827">
            <v>0</v>
          </cell>
          <cell r="L827">
            <v>8</v>
          </cell>
          <cell r="M827">
            <v>0</v>
          </cell>
          <cell r="N827">
            <v>0</v>
          </cell>
          <cell r="O827">
            <v>8</v>
          </cell>
          <cell r="P827">
            <v>43</v>
          </cell>
          <cell r="Q827">
            <v>7</v>
          </cell>
          <cell r="R827">
            <v>36</v>
          </cell>
          <cell r="S827">
            <v>41</v>
          </cell>
          <cell r="T827">
            <v>51</v>
          </cell>
        </row>
        <row r="828">
          <cell r="C828" t="str">
            <v>Terrace Heights CDP, Washington</v>
          </cell>
          <cell r="D828">
            <v>5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5</v>
          </cell>
          <cell r="Q828">
            <v>5</v>
          </cell>
          <cell r="R828">
            <v>0</v>
          </cell>
          <cell r="S828">
            <v>0</v>
          </cell>
          <cell r="T828">
            <v>5</v>
          </cell>
        </row>
        <row r="829">
          <cell r="C829" t="str">
            <v>Thorp CDP, Washington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</row>
        <row r="830">
          <cell r="C830" t="str">
            <v>Three Lakes CDP, Washington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</row>
        <row r="831">
          <cell r="C831" t="str">
            <v>Tieton town, Washington</v>
          </cell>
          <cell r="D831">
            <v>25</v>
          </cell>
          <cell r="E831">
            <v>10</v>
          </cell>
          <cell r="F831">
            <v>10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15</v>
          </cell>
          <cell r="Q831">
            <v>5</v>
          </cell>
          <cell r="R831">
            <v>10</v>
          </cell>
          <cell r="S831">
            <v>10</v>
          </cell>
          <cell r="T831">
            <v>15</v>
          </cell>
        </row>
        <row r="832">
          <cell r="C832" t="str">
            <v>Tokeland CDP, Washington</v>
          </cell>
          <cell r="D832">
            <v>5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5</v>
          </cell>
          <cell r="Q832">
            <v>0</v>
          </cell>
          <cell r="R832">
            <v>5</v>
          </cell>
          <cell r="S832">
            <v>0</v>
          </cell>
          <cell r="T832">
            <v>5</v>
          </cell>
        </row>
        <row r="833">
          <cell r="C833" t="str">
            <v>Toledo city, Washington</v>
          </cell>
          <cell r="D833">
            <v>4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4</v>
          </cell>
          <cell r="Q833">
            <v>3</v>
          </cell>
          <cell r="R833">
            <v>1</v>
          </cell>
          <cell r="S833">
            <v>0</v>
          </cell>
          <cell r="T833">
            <v>4</v>
          </cell>
        </row>
        <row r="834">
          <cell r="C834" t="str">
            <v>Tonasket city, Washington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</row>
        <row r="835">
          <cell r="C835" t="str">
            <v>Toppenish city, Washington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</row>
        <row r="836">
          <cell r="C836" t="str">
            <v>Touchet CDP, Washington</v>
          </cell>
          <cell r="D836">
            <v>7</v>
          </cell>
          <cell r="E836">
            <v>2</v>
          </cell>
          <cell r="F836">
            <v>2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5</v>
          </cell>
          <cell r="Q836">
            <v>5</v>
          </cell>
          <cell r="R836">
            <v>0</v>
          </cell>
          <cell r="S836">
            <v>2</v>
          </cell>
          <cell r="T836">
            <v>5</v>
          </cell>
        </row>
        <row r="837">
          <cell r="C837" t="str">
            <v>Town and Country CDP, Washington</v>
          </cell>
          <cell r="D837">
            <v>4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4</v>
          </cell>
          <cell r="Q837">
            <v>4</v>
          </cell>
          <cell r="R837">
            <v>0</v>
          </cell>
          <cell r="S837">
            <v>0</v>
          </cell>
          <cell r="T837">
            <v>4</v>
          </cell>
        </row>
        <row r="838">
          <cell r="C838" t="str">
            <v>Tracyton CDP, Washington</v>
          </cell>
          <cell r="D838">
            <v>158</v>
          </cell>
          <cell r="E838">
            <v>73</v>
          </cell>
          <cell r="F838">
            <v>46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27</v>
          </cell>
          <cell r="M838">
            <v>0</v>
          </cell>
          <cell r="N838">
            <v>23</v>
          </cell>
          <cell r="O838">
            <v>4</v>
          </cell>
          <cell r="P838">
            <v>85</v>
          </cell>
          <cell r="Q838">
            <v>48</v>
          </cell>
          <cell r="R838">
            <v>37</v>
          </cell>
          <cell r="S838">
            <v>46</v>
          </cell>
          <cell r="T838">
            <v>112</v>
          </cell>
        </row>
        <row r="839">
          <cell r="C839" t="str">
            <v>Trentwood CDP, Washington</v>
          </cell>
          <cell r="D839">
            <v>116</v>
          </cell>
          <cell r="E839">
            <v>14</v>
          </cell>
          <cell r="F839">
            <v>14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102</v>
          </cell>
          <cell r="Q839">
            <v>46</v>
          </cell>
          <cell r="R839">
            <v>56</v>
          </cell>
          <cell r="S839">
            <v>14</v>
          </cell>
          <cell r="T839">
            <v>102</v>
          </cell>
        </row>
        <row r="840">
          <cell r="C840" t="str">
            <v>Trout Lake CDP, Washington</v>
          </cell>
          <cell r="D840">
            <v>13</v>
          </cell>
          <cell r="E840">
            <v>13</v>
          </cell>
          <cell r="F840">
            <v>11</v>
          </cell>
          <cell r="G840">
            <v>2</v>
          </cell>
          <cell r="H840">
            <v>2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13</v>
          </cell>
          <cell r="T840">
            <v>0</v>
          </cell>
        </row>
        <row r="841">
          <cell r="C841" t="str">
            <v>Tukwila city, Washington</v>
          </cell>
          <cell r="D841">
            <v>1788</v>
          </cell>
          <cell r="E841">
            <v>536</v>
          </cell>
          <cell r="F841">
            <v>339</v>
          </cell>
          <cell r="G841">
            <v>168</v>
          </cell>
          <cell r="H841">
            <v>29</v>
          </cell>
          <cell r="I841">
            <v>35</v>
          </cell>
          <cell r="J841">
            <v>31</v>
          </cell>
          <cell r="K841">
            <v>73</v>
          </cell>
          <cell r="L841">
            <v>29</v>
          </cell>
          <cell r="M841">
            <v>0</v>
          </cell>
          <cell r="N841">
            <v>0</v>
          </cell>
          <cell r="O841">
            <v>29</v>
          </cell>
          <cell r="P841">
            <v>1252</v>
          </cell>
          <cell r="Q841">
            <v>600</v>
          </cell>
          <cell r="R841">
            <v>652</v>
          </cell>
          <cell r="S841">
            <v>507</v>
          </cell>
          <cell r="T841">
            <v>1281</v>
          </cell>
        </row>
        <row r="842">
          <cell r="C842" t="str">
            <v>Tulalip Bay CDP, Washington</v>
          </cell>
          <cell r="D842">
            <v>37</v>
          </cell>
          <cell r="E842">
            <v>9</v>
          </cell>
          <cell r="F842">
            <v>9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28</v>
          </cell>
          <cell r="Q842">
            <v>16</v>
          </cell>
          <cell r="R842">
            <v>12</v>
          </cell>
          <cell r="S842">
            <v>9</v>
          </cell>
          <cell r="T842">
            <v>28</v>
          </cell>
        </row>
        <row r="843">
          <cell r="C843" t="str">
            <v>Tumwater city, Washington</v>
          </cell>
          <cell r="D843">
            <v>479</v>
          </cell>
          <cell r="E843">
            <v>147</v>
          </cell>
          <cell r="F843">
            <v>77</v>
          </cell>
          <cell r="G843">
            <v>51</v>
          </cell>
          <cell r="H843">
            <v>29</v>
          </cell>
          <cell r="I843">
            <v>0</v>
          </cell>
          <cell r="J843">
            <v>0</v>
          </cell>
          <cell r="K843">
            <v>22</v>
          </cell>
          <cell r="L843">
            <v>19</v>
          </cell>
          <cell r="M843">
            <v>0</v>
          </cell>
          <cell r="N843">
            <v>0</v>
          </cell>
          <cell r="O843">
            <v>19</v>
          </cell>
          <cell r="P843">
            <v>332</v>
          </cell>
          <cell r="Q843">
            <v>91</v>
          </cell>
          <cell r="R843">
            <v>241</v>
          </cell>
          <cell r="S843">
            <v>128</v>
          </cell>
          <cell r="T843">
            <v>351</v>
          </cell>
        </row>
        <row r="844">
          <cell r="C844" t="str">
            <v>Twisp town, Washington</v>
          </cell>
          <cell r="D844">
            <v>10</v>
          </cell>
          <cell r="E844">
            <v>10</v>
          </cell>
          <cell r="F844">
            <v>6</v>
          </cell>
          <cell r="G844">
            <v>2</v>
          </cell>
          <cell r="H844">
            <v>0</v>
          </cell>
          <cell r="I844">
            <v>0</v>
          </cell>
          <cell r="J844">
            <v>0</v>
          </cell>
          <cell r="K844">
            <v>2</v>
          </cell>
          <cell r="L844">
            <v>2</v>
          </cell>
          <cell r="M844">
            <v>0</v>
          </cell>
          <cell r="N844">
            <v>0</v>
          </cell>
          <cell r="O844">
            <v>2</v>
          </cell>
          <cell r="P844">
            <v>0</v>
          </cell>
          <cell r="Q844">
            <v>0</v>
          </cell>
          <cell r="R844">
            <v>0</v>
          </cell>
          <cell r="S844">
            <v>8</v>
          </cell>
          <cell r="T844">
            <v>2</v>
          </cell>
        </row>
        <row r="845">
          <cell r="C845" t="str">
            <v>Union Gap city, Washington</v>
          </cell>
          <cell r="D845">
            <v>38</v>
          </cell>
          <cell r="E845">
            <v>23</v>
          </cell>
          <cell r="F845">
            <v>14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9</v>
          </cell>
          <cell r="M845">
            <v>0</v>
          </cell>
          <cell r="N845">
            <v>0</v>
          </cell>
          <cell r="O845">
            <v>9</v>
          </cell>
          <cell r="P845">
            <v>15</v>
          </cell>
          <cell r="Q845">
            <v>7</v>
          </cell>
          <cell r="R845">
            <v>8</v>
          </cell>
          <cell r="S845">
            <v>14</v>
          </cell>
          <cell r="T845">
            <v>24</v>
          </cell>
        </row>
        <row r="846">
          <cell r="C846" t="str">
            <v>Union Hill-Novelty Hill CDP, Washington</v>
          </cell>
          <cell r="D846">
            <v>528</v>
          </cell>
          <cell r="E846">
            <v>202</v>
          </cell>
          <cell r="F846">
            <v>63</v>
          </cell>
          <cell r="G846">
            <v>139</v>
          </cell>
          <cell r="H846">
            <v>17</v>
          </cell>
          <cell r="I846">
            <v>14</v>
          </cell>
          <cell r="J846">
            <v>12</v>
          </cell>
          <cell r="K846">
            <v>96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326</v>
          </cell>
          <cell r="Q846">
            <v>257</v>
          </cell>
          <cell r="R846">
            <v>69</v>
          </cell>
          <cell r="S846">
            <v>202</v>
          </cell>
          <cell r="T846">
            <v>326</v>
          </cell>
        </row>
        <row r="847">
          <cell r="C847" t="str">
            <v>Uniontown town, Washington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</row>
        <row r="848">
          <cell r="C848" t="str">
            <v>University Place city, Washington</v>
          </cell>
          <cell r="D848">
            <v>2311</v>
          </cell>
          <cell r="E848">
            <v>598</v>
          </cell>
          <cell r="F848">
            <v>339</v>
          </cell>
          <cell r="G848">
            <v>226</v>
          </cell>
          <cell r="H848">
            <v>0</v>
          </cell>
          <cell r="I848">
            <v>43</v>
          </cell>
          <cell r="J848">
            <v>23</v>
          </cell>
          <cell r="K848">
            <v>160</v>
          </cell>
          <cell r="L848">
            <v>33</v>
          </cell>
          <cell r="M848">
            <v>0</v>
          </cell>
          <cell r="N848">
            <v>0</v>
          </cell>
          <cell r="O848">
            <v>33</v>
          </cell>
          <cell r="P848">
            <v>1713</v>
          </cell>
          <cell r="Q848">
            <v>1044</v>
          </cell>
          <cell r="R848">
            <v>669</v>
          </cell>
          <cell r="S848">
            <v>565</v>
          </cell>
          <cell r="T848">
            <v>1746</v>
          </cell>
        </row>
        <row r="849">
          <cell r="C849" t="str">
            <v>Vader city, Washington</v>
          </cell>
          <cell r="D849">
            <v>2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</v>
          </cell>
          <cell r="Q849">
            <v>2</v>
          </cell>
          <cell r="R849">
            <v>0</v>
          </cell>
          <cell r="S849">
            <v>0</v>
          </cell>
          <cell r="T849">
            <v>2</v>
          </cell>
        </row>
        <row r="850">
          <cell r="C850" t="str">
            <v>Vancouver city, Washington</v>
          </cell>
          <cell r="D850">
            <v>6155</v>
          </cell>
          <cell r="E850">
            <v>1842</v>
          </cell>
          <cell r="F850">
            <v>755</v>
          </cell>
          <cell r="G850">
            <v>1041</v>
          </cell>
          <cell r="H850">
            <v>53</v>
          </cell>
          <cell r="I850">
            <v>49</v>
          </cell>
          <cell r="J850">
            <v>75</v>
          </cell>
          <cell r="K850">
            <v>864</v>
          </cell>
          <cell r="L850">
            <v>46</v>
          </cell>
          <cell r="M850">
            <v>0</v>
          </cell>
          <cell r="N850">
            <v>12</v>
          </cell>
          <cell r="O850">
            <v>34</v>
          </cell>
          <cell r="P850">
            <v>4313</v>
          </cell>
          <cell r="Q850">
            <v>2184</v>
          </cell>
          <cell r="R850">
            <v>2129</v>
          </cell>
          <cell r="S850">
            <v>1796</v>
          </cell>
          <cell r="T850">
            <v>4359</v>
          </cell>
        </row>
        <row r="851">
          <cell r="C851" t="str">
            <v>Vantage CDP, Washington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</row>
        <row r="852">
          <cell r="C852" t="str">
            <v>Vashon CDP, Washington</v>
          </cell>
          <cell r="D852">
            <v>126</v>
          </cell>
          <cell r="E852">
            <v>26</v>
          </cell>
          <cell r="F852">
            <v>14</v>
          </cell>
          <cell r="G852">
            <v>12</v>
          </cell>
          <cell r="H852">
            <v>12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100</v>
          </cell>
          <cell r="Q852">
            <v>23</v>
          </cell>
          <cell r="R852">
            <v>77</v>
          </cell>
          <cell r="S852">
            <v>26</v>
          </cell>
          <cell r="T852">
            <v>100</v>
          </cell>
        </row>
        <row r="853">
          <cell r="C853" t="str">
            <v>Venersborg CDP, Washington</v>
          </cell>
          <cell r="D853">
            <v>75</v>
          </cell>
          <cell r="E853">
            <v>52</v>
          </cell>
          <cell r="F853">
            <v>0</v>
          </cell>
          <cell r="G853">
            <v>52</v>
          </cell>
          <cell r="H853">
            <v>13</v>
          </cell>
          <cell r="I853">
            <v>0</v>
          </cell>
          <cell r="J853">
            <v>13</v>
          </cell>
          <cell r="K853">
            <v>26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23</v>
          </cell>
          <cell r="Q853">
            <v>12</v>
          </cell>
          <cell r="R853">
            <v>11</v>
          </cell>
          <cell r="S853">
            <v>52</v>
          </cell>
          <cell r="T853">
            <v>23</v>
          </cell>
        </row>
        <row r="854">
          <cell r="C854" t="str">
            <v>Veradale CDP, Washington</v>
          </cell>
          <cell r="D854">
            <v>203</v>
          </cell>
          <cell r="E854">
            <v>67</v>
          </cell>
          <cell r="F854">
            <v>28</v>
          </cell>
          <cell r="G854">
            <v>39</v>
          </cell>
          <cell r="H854">
            <v>0</v>
          </cell>
          <cell r="I854">
            <v>0</v>
          </cell>
          <cell r="J854">
            <v>0</v>
          </cell>
          <cell r="K854">
            <v>39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136</v>
          </cell>
          <cell r="Q854">
            <v>113</v>
          </cell>
          <cell r="R854">
            <v>23</v>
          </cell>
          <cell r="S854">
            <v>67</v>
          </cell>
          <cell r="T854">
            <v>136</v>
          </cell>
        </row>
        <row r="855">
          <cell r="C855" t="str">
            <v>Verlot CDP, Washington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</row>
        <row r="856">
          <cell r="C856" t="str">
            <v>Waitsburg city, Washington</v>
          </cell>
          <cell r="D856">
            <v>15</v>
          </cell>
          <cell r="E856">
            <v>10</v>
          </cell>
          <cell r="F856">
            <v>3</v>
          </cell>
          <cell r="G856">
            <v>5</v>
          </cell>
          <cell r="H856">
            <v>0</v>
          </cell>
          <cell r="I856">
            <v>0</v>
          </cell>
          <cell r="J856">
            <v>0</v>
          </cell>
          <cell r="K856">
            <v>5</v>
          </cell>
          <cell r="L856">
            <v>2</v>
          </cell>
          <cell r="M856">
            <v>0</v>
          </cell>
          <cell r="N856">
            <v>0</v>
          </cell>
          <cell r="O856">
            <v>2</v>
          </cell>
          <cell r="P856">
            <v>5</v>
          </cell>
          <cell r="Q856">
            <v>2</v>
          </cell>
          <cell r="R856">
            <v>3</v>
          </cell>
          <cell r="S856">
            <v>8</v>
          </cell>
          <cell r="T856">
            <v>7</v>
          </cell>
        </row>
        <row r="857">
          <cell r="C857" t="str">
            <v>Walla Walla city, Washington</v>
          </cell>
          <cell r="D857">
            <v>458</v>
          </cell>
          <cell r="E857">
            <v>288</v>
          </cell>
          <cell r="F857">
            <v>129</v>
          </cell>
          <cell r="G857">
            <v>141</v>
          </cell>
          <cell r="H857">
            <v>35</v>
          </cell>
          <cell r="I857">
            <v>0</v>
          </cell>
          <cell r="J857">
            <v>64</v>
          </cell>
          <cell r="K857">
            <v>42</v>
          </cell>
          <cell r="L857">
            <v>18</v>
          </cell>
          <cell r="M857">
            <v>0</v>
          </cell>
          <cell r="N857">
            <v>0</v>
          </cell>
          <cell r="O857">
            <v>18</v>
          </cell>
          <cell r="P857">
            <v>170</v>
          </cell>
          <cell r="Q857">
            <v>117</v>
          </cell>
          <cell r="R857">
            <v>53</v>
          </cell>
          <cell r="S857">
            <v>270</v>
          </cell>
          <cell r="T857">
            <v>188</v>
          </cell>
        </row>
        <row r="858">
          <cell r="C858" t="str">
            <v>Walla Walla East CDP, Washington</v>
          </cell>
          <cell r="D858">
            <v>8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8</v>
          </cell>
          <cell r="Q858">
            <v>8</v>
          </cell>
          <cell r="R858">
            <v>0</v>
          </cell>
          <cell r="S858">
            <v>0</v>
          </cell>
          <cell r="T858">
            <v>8</v>
          </cell>
        </row>
        <row r="859">
          <cell r="C859" t="str">
            <v>Waller CDP, Washington</v>
          </cell>
          <cell r="D859">
            <v>150</v>
          </cell>
          <cell r="E859">
            <v>52</v>
          </cell>
          <cell r="F859">
            <v>20</v>
          </cell>
          <cell r="G859">
            <v>18</v>
          </cell>
          <cell r="H859">
            <v>0</v>
          </cell>
          <cell r="I859">
            <v>6</v>
          </cell>
          <cell r="J859">
            <v>0</v>
          </cell>
          <cell r="K859">
            <v>12</v>
          </cell>
          <cell r="L859">
            <v>14</v>
          </cell>
          <cell r="M859">
            <v>0</v>
          </cell>
          <cell r="N859">
            <v>0</v>
          </cell>
          <cell r="O859">
            <v>14</v>
          </cell>
          <cell r="P859">
            <v>98</v>
          </cell>
          <cell r="Q859">
            <v>78</v>
          </cell>
          <cell r="R859">
            <v>20</v>
          </cell>
          <cell r="S859">
            <v>38</v>
          </cell>
          <cell r="T859">
            <v>112</v>
          </cell>
        </row>
        <row r="860">
          <cell r="C860" t="str">
            <v>Wallula CDP, Washington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</row>
        <row r="861">
          <cell r="C861" t="str">
            <v>Walnut Grove CDP, Washington</v>
          </cell>
          <cell r="D861">
            <v>227</v>
          </cell>
          <cell r="E861">
            <v>57</v>
          </cell>
          <cell r="F861">
            <v>35</v>
          </cell>
          <cell r="G861">
            <v>22</v>
          </cell>
          <cell r="H861">
            <v>0</v>
          </cell>
          <cell r="I861">
            <v>0</v>
          </cell>
          <cell r="J861">
            <v>0</v>
          </cell>
          <cell r="K861">
            <v>22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170</v>
          </cell>
          <cell r="Q861">
            <v>59</v>
          </cell>
          <cell r="R861">
            <v>111</v>
          </cell>
          <cell r="S861">
            <v>57</v>
          </cell>
          <cell r="T861">
            <v>170</v>
          </cell>
        </row>
        <row r="862">
          <cell r="C862" t="str">
            <v>Wapato city, Washington</v>
          </cell>
          <cell r="D862">
            <v>182</v>
          </cell>
          <cell r="E862">
            <v>38</v>
          </cell>
          <cell r="F862">
            <v>24</v>
          </cell>
          <cell r="G862">
            <v>14</v>
          </cell>
          <cell r="H862">
            <v>0</v>
          </cell>
          <cell r="I862">
            <v>0</v>
          </cell>
          <cell r="J862">
            <v>14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144</v>
          </cell>
          <cell r="Q862">
            <v>91</v>
          </cell>
          <cell r="R862">
            <v>53</v>
          </cell>
          <cell r="S862">
            <v>38</v>
          </cell>
          <cell r="T862">
            <v>144</v>
          </cell>
        </row>
        <row r="863">
          <cell r="C863" t="str">
            <v>Warden city, Washington</v>
          </cell>
          <cell r="D863">
            <v>7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7</v>
          </cell>
          <cell r="Q863">
            <v>2</v>
          </cell>
          <cell r="R863">
            <v>5</v>
          </cell>
          <cell r="S863">
            <v>0</v>
          </cell>
          <cell r="T863">
            <v>7</v>
          </cell>
        </row>
        <row r="864">
          <cell r="C864" t="str">
            <v>Warm Beach CDP, Washington</v>
          </cell>
          <cell r="D864">
            <v>26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26</v>
          </cell>
          <cell r="Q864">
            <v>26</v>
          </cell>
          <cell r="R864">
            <v>0</v>
          </cell>
          <cell r="S864">
            <v>0</v>
          </cell>
          <cell r="T864">
            <v>26</v>
          </cell>
        </row>
        <row r="865">
          <cell r="C865" t="str">
            <v>Washougal city, Washington</v>
          </cell>
          <cell r="D865">
            <v>31</v>
          </cell>
          <cell r="E865">
            <v>5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5</v>
          </cell>
          <cell r="M865">
            <v>0</v>
          </cell>
          <cell r="N865">
            <v>0</v>
          </cell>
          <cell r="O865">
            <v>5</v>
          </cell>
          <cell r="P865">
            <v>26</v>
          </cell>
          <cell r="Q865">
            <v>12</v>
          </cell>
          <cell r="R865">
            <v>14</v>
          </cell>
          <cell r="S865">
            <v>0</v>
          </cell>
          <cell r="T865">
            <v>31</v>
          </cell>
        </row>
        <row r="866">
          <cell r="C866" t="str">
            <v>Washtucna town, Washington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</row>
        <row r="867">
          <cell r="C867" t="str">
            <v>Waterville town, Washington</v>
          </cell>
          <cell r="D867">
            <v>3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</v>
          </cell>
          <cell r="Q867">
            <v>0</v>
          </cell>
          <cell r="R867">
            <v>3</v>
          </cell>
          <cell r="S867">
            <v>0</v>
          </cell>
          <cell r="T867">
            <v>3</v>
          </cell>
        </row>
        <row r="868">
          <cell r="C868" t="str">
            <v>Waverly town, Washington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</row>
        <row r="869">
          <cell r="C869" t="str">
            <v>Weallup Lake CDP, Washington</v>
          </cell>
          <cell r="D869">
            <v>6</v>
          </cell>
          <cell r="E869">
            <v>3</v>
          </cell>
          <cell r="F869">
            <v>0</v>
          </cell>
          <cell r="G869">
            <v>3</v>
          </cell>
          <cell r="H869">
            <v>0</v>
          </cell>
          <cell r="I869">
            <v>0</v>
          </cell>
          <cell r="J869">
            <v>0</v>
          </cell>
          <cell r="K869">
            <v>3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3</v>
          </cell>
          <cell r="Q869">
            <v>0</v>
          </cell>
          <cell r="R869">
            <v>3</v>
          </cell>
          <cell r="S869">
            <v>3</v>
          </cell>
          <cell r="T869">
            <v>3</v>
          </cell>
        </row>
        <row r="870">
          <cell r="C870" t="str">
            <v>Wenatchee city, Washington</v>
          </cell>
          <cell r="D870">
            <v>272</v>
          </cell>
          <cell r="E870">
            <v>120</v>
          </cell>
          <cell r="F870">
            <v>59</v>
          </cell>
          <cell r="G870">
            <v>56</v>
          </cell>
          <cell r="H870">
            <v>0</v>
          </cell>
          <cell r="I870">
            <v>0</v>
          </cell>
          <cell r="J870">
            <v>19</v>
          </cell>
          <cell r="K870">
            <v>37</v>
          </cell>
          <cell r="L870">
            <v>5</v>
          </cell>
          <cell r="M870">
            <v>0</v>
          </cell>
          <cell r="N870">
            <v>0</v>
          </cell>
          <cell r="O870">
            <v>5</v>
          </cell>
          <cell r="P870">
            <v>152</v>
          </cell>
          <cell r="Q870">
            <v>112</v>
          </cell>
          <cell r="R870">
            <v>40</v>
          </cell>
          <cell r="S870">
            <v>115</v>
          </cell>
          <cell r="T870">
            <v>157</v>
          </cell>
        </row>
        <row r="871">
          <cell r="C871" t="str">
            <v>West Clarkston-Highland CDP, Washington</v>
          </cell>
          <cell r="D871">
            <v>25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25</v>
          </cell>
          <cell r="Q871">
            <v>8</v>
          </cell>
          <cell r="R871">
            <v>17</v>
          </cell>
          <cell r="S871">
            <v>0</v>
          </cell>
          <cell r="T871">
            <v>25</v>
          </cell>
        </row>
        <row r="872">
          <cell r="C872" t="str">
            <v>West Lake Sammamish CDP, Washington</v>
          </cell>
          <cell r="D872">
            <v>646</v>
          </cell>
          <cell r="E872">
            <v>222</v>
          </cell>
          <cell r="F872">
            <v>145</v>
          </cell>
          <cell r="G872">
            <v>61</v>
          </cell>
          <cell r="H872">
            <v>8</v>
          </cell>
          <cell r="I872">
            <v>0</v>
          </cell>
          <cell r="J872">
            <v>0</v>
          </cell>
          <cell r="K872">
            <v>53</v>
          </cell>
          <cell r="L872">
            <v>16</v>
          </cell>
          <cell r="M872">
            <v>0</v>
          </cell>
          <cell r="N872">
            <v>0</v>
          </cell>
          <cell r="O872">
            <v>16</v>
          </cell>
          <cell r="P872">
            <v>424</v>
          </cell>
          <cell r="Q872">
            <v>280</v>
          </cell>
          <cell r="R872">
            <v>144</v>
          </cell>
          <cell r="S872">
            <v>206</v>
          </cell>
          <cell r="T872">
            <v>440</v>
          </cell>
        </row>
        <row r="873">
          <cell r="C873" t="str">
            <v>West Lake Stevens CDP, Washington</v>
          </cell>
          <cell r="D873">
            <v>408</v>
          </cell>
          <cell r="E873">
            <v>94</v>
          </cell>
          <cell r="F873">
            <v>35</v>
          </cell>
          <cell r="G873">
            <v>36</v>
          </cell>
          <cell r="H873">
            <v>0</v>
          </cell>
          <cell r="I873">
            <v>0</v>
          </cell>
          <cell r="J873">
            <v>0</v>
          </cell>
          <cell r="K873">
            <v>36</v>
          </cell>
          <cell r="L873">
            <v>23</v>
          </cell>
          <cell r="M873">
            <v>0</v>
          </cell>
          <cell r="N873">
            <v>0</v>
          </cell>
          <cell r="O873">
            <v>23</v>
          </cell>
          <cell r="P873">
            <v>314</v>
          </cell>
          <cell r="Q873">
            <v>213</v>
          </cell>
          <cell r="R873">
            <v>101</v>
          </cell>
          <cell r="S873">
            <v>71</v>
          </cell>
          <cell r="T873">
            <v>337</v>
          </cell>
        </row>
        <row r="874">
          <cell r="C874" t="str">
            <v>West Longview CDP, Washington</v>
          </cell>
          <cell r="D874">
            <v>122</v>
          </cell>
          <cell r="E874">
            <v>72</v>
          </cell>
          <cell r="F874">
            <v>0</v>
          </cell>
          <cell r="G874">
            <v>72</v>
          </cell>
          <cell r="H874">
            <v>0</v>
          </cell>
          <cell r="I874">
            <v>0</v>
          </cell>
          <cell r="J874">
            <v>0</v>
          </cell>
          <cell r="K874">
            <v>72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50</v>
          </cell>
          <cell r="Q874">
            <v>13</v>
          </cell>
          <cell r="R874">
            <v>37</v>
          </cell>
          <cell r="S874">
            <v>72</v>
          </cell>
          <cell r="T874">
            <v>50</v>
          </cell>
        </row>
        <row r="875">
          <cell r="C875" t="str">
            <v>West Pasco CDP, Washington</v>
          </cell>
          <cell r="D875">
            <v>78</v>
          </cell>
          <cell r="E875">
            <v>29</v>
          </cell>
          <cell r="F875">
            <v>10</v>
          </cell>
          <cell r="G875">
            <v>12</v>
          </cell>
          <cell r="H875">
            <v>0</v>
          </cell>
          <cell r="I875">
            <v>0</v>
          </cell>
          <cell r="J875">
            <v>0</v>
          </cell>
          <cell r="K875">
            <v>12</v>
          </cell>
          <cell r="L875">
            <v>7</v>
          </cell>
          <cell r="M875">
            <v>0</v>
          </cell>
          <cell r="N875">
            <v>0</v>
          </cell>
          <cell r="O875">
            <v>7</v>
          </cell>
          <cell r="P875">
            <v>49</v>
          </cell>
          <cell r="Q875">
            <v>39</v>
          </cell>
          <cell r="R875">
            <v>10</v>
          </cell>
          <cell r="S875">
            <v>22</v>
          </cell>
          <cell r="T875">
            <v>56</v>
          </cell>
        </row>
        <row r="876">
          <cell r="C876" t="str">
            <v>Westport city, Washington</v>
          </cell>
          <cell r="D876">
            <v>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4</v>
          </cell>
          <cell r="Q876">
            <v>4</v>
          </cell>
          <cell r="R876">
            <v>0</v>
          </cell>
          <cell r="S876">
            <v>0</v>
          </cell>
          <cell r="T876">
            <v>4</v>
          </cell>
        </row>
        <row r="877">
          <cell r="C877" t="str">
            <v>West Richland city, Washington</v>
          </cell>
          <cell r="D877">
            <v>185</v>
          </cell>
          <cell r="E877">
            <v>68</v>
          </cell>
          <cell r="F877">
            <v>65</v>
          </cell>
          <cell r="G877">
            <v>3</v>
          </cell>
          <cell r="H877">
            <v>3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117</v>
          </cell>
          <cell r="Q877">
            <v>92</v>
          </cell>
          <cell r="R877">
            <v>25</v>
          </cell>
          <cell r="S877">
            <v>68</v>
          </cell>
          <cell r="T877">
            <v>117</v>
          </cell>
        </row>
        <row r="878">
          <cell r="C878" t="str">
            <v>West Side Highway CDP, Washington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</row>
        <row r="879">
          <cell r="C879" t="str">
            <v>West Valley CDP, Washington</v>
          </cell>
          <cell r="D879">
            <v>264</v>
          </cell>
          <cell r="E879">
            <v>83</v>
          </cell>
          <cell r="F879">
            <v>63</v>
          </cell>
          <cell r="G879">
            <v>20</v>
          </cell>
          <cell r="H879">
            <v>13</v>
          </cell>
          <cell r="I879">
            <v>0</v>
          </cell>
          <cell r="J879">
            <v>0</v>
          </cell>
          <cell r="K879">
            <v>7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181</v>
          </cell>
          <cell r="Q879">
            <v>84</v>
          </cell>
          <cell r="R879">
            <v>97</v>
          </cell>
          <cell r="S879">
            <v>83</v>
          </cell>
          <cell r="T879">
            <v>181</v>
          </cell>
        </row>
        <row r="880">
          <cell r="C880" t="str">
            <v>West Wenatchee CDP, Washington</v>
          </cell>
          <cell r="D880">
            <v>8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8</v>
          </cell>
          <cell r="Q880">
            <v>8</v>
          </cell>
          <cell r="R880">
            <v>0</v>
          </cell>
          <cell r="S880">
            <v>0</v>
          </cell>
          <cell r="T880">
            <v>8</v>
          </cell>
        </row>
        <row r="881">
          <cell r="C881" t="str">
            <v>White Center CDP, Washington</v>
          </cell>
          <cell r="D881">
            <v>4478</v>
          </cell>
          <cell r="E881">
            <v>1269</v>
          </cell>
          <cell r="F881">
            <v>1112</v>
          </cell>
          <cell r="G881">
            <v>132</v>
          </cell>
          <cell r="H881">
            <v>0</v>
          </cell>
          <cell r="I881">
            <v>0</v>
          </cell>
          <cell r="J881">
            <v>20</v>
          </cell>
          <cell r="K881">
            <v>112</v>
          </cell>
          <cell r="L881">
            <v>25</v>
          </cell>
          <cell r="M881">
            <v>0</v>
          </cell>
          <cell r="N881">
            <v>0</v>
          </cell>
          <cell r="O881">
            <v>25</v>
          </cell>
          <cell r="P881">
            <v>3209</v>
          </cell>
          <cell r="Q881">
            <v>1301</v>
          </cell>
          <cell r="R881">
            <v>1908</v>
          </cell>
          <cell r="S881">
            <v>1244</v>
          </cell>
          <cell r="T881">
            <v>3234</v>
          </cell>
        </row>
        <row r="882">
          <cell r="C882" t="str">
            <v>White Salmon city, Washington</v>
          </cell>
          <cell r="D882">
            <v>5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5</v>
          </cell>
          <cell r="Q882">
            <v>5</v>
          </cell>
          <cell r="R882">
            <v>0</v>
          </cell>
          <cell r="S882">
            <v>0</v>
          </cell>
          <cell r="T882">
            <v>5</v>
          </cell>
        </row>
        <row r="883">
          <cell r="C883" t="str">
            <v>White Swan CDP, Washington</v>
          </cell>
          <cell r="D883">
            <v>11</v>
          </cell>
          <cell r="E883">
            <v>5</v>
          </cell>
          <cell r="F883">
            <v>5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6</v>
          </cell>
          <cell r="Q883">
            <v>6</v>
          </cell>
          <cell r="R883">
            <v>0</v>
          </cell>
          <cell r="S883">
            <v>5</v>
          </cell>
          <cell r="T883">
            <v>6</v>
          </cell>
        </row>
        <row r="884">
          <cell r="C884" t="str">
            <v>Wilbur town, Washington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</row>
        <row r="885">
          <cell r="C885" t="str">
            <v>Wilkeson town, Washington</v>
          </cell>
          <cell r="D885">
            <v>1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1</v>
          </cell>
          <cell r="Q885">
            <v>0</v>
          </cell>
          <cell r="R885">
            <v>1</v>
          </cell>
          <cell r="S885">
            <v>0</v>
          </cell>
          <cell r="T885">
            <v>1</v>
          </cell>
        </row>
        <row r="886">
          <cell r="C886" t="str">
            <v>Wilson Creek town, Washington</v>
          </cell>
          <cell r="D886">
            <v>1</v>
          </cell>
          <cell r="E886">
            <v>1</v>
          </cell>
          <cell r="F886">
            <v>0</v>
          </cell>
          <cell r="G886">
            <v>1</v>
          </cell>
          <cell r="H886">
            <v>0</v>
          </cell>
          <cell r="I886">
            <v>0</v>
          </cell>
          <cell r="J886">
            <v>0</v>
          </cell>
          <cell r="K886">
            <v>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</v>
          </cell>
          <cell r="T886">
            <v>0</v>
          </cell>
        </row>
        <row r="887">
          <cell r="C887" t="str">
            <v>Winlock city, Washington</v>
          </cell>
          <cell r="D887">
            <v>7</v>
          </cell>
          <cell r="E887">
            <v>2</v>
          </cell>
          <cell r="F887">
            <v>2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5</v>
          </cell>
          <cell r="Q887">
            <v>5</v>
          </cell>
          <cell r="R887">
            <v>0</v>
          </cell>
          <cell r="S887">
            <v>2</v>
          </cell>
          <cell r="T887">
            <v>5</v>
          </cell>
        </row>
        <row r="888">
          <cell r="C888" t="str">
            <v>Winthrop town, Washington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</row>
        <row r="889">
          <cell r="C889" t="str">
            <v>Wishram CDP, Washington</v>
          </cell>
          <cell r="D889">
            <v>2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</v>
          </cell>
          <cell r="Q889">
            <v>0</v>
          </cell>
          <cell r="R889">
            <v>2</v>
          </cell>
          <cell r="S889">
            <v>0</v>
          </cell>
          <cell r="T889">
            <v>2</v>
          </cell>
        </row>
        <row r="890">
          <cell r="C890" t="str">
            <v>Woodinville city, Washington</v>
          </cell>
          <cell r="D890">
            <v>757</v>
          </cell>
          <cell r="E890">
            <v>362</v>
          </cell>
          <cell r="F890">
            <v>240</v>
          </cell>
          <cell r="G890">
            <v>115</v>
          </cell>
          <cell r="H890">
            <v>13</v>
          </cell>
          <cell r="I890">
            <v>0</v>
          </cell>
          <cell r="J890">
            <v>11</v>
          </cell>
          <cell r="K890">
            <v>91</v>
          </cell>
          <cell r="L890">
            <v>7</v>
          </cell>
          <cell r="M890">
            <v>0</v>
          </cell>
          <cell r="N890">
            <v>0</v>
          </cell>
          <cell r="O890">
            <v>7</v>
          </cell>
          <cell r="P890">
            <v>395</v>
          </cell>
          <cell r="Q890">
            <v>233</v>
          </cell>
          <cell r="R890">
            <v>162</v>
          </cell>
          <cell r="S890">
            <v>355</v>
          </cell>
          <cell r="T890">
            <v>402</v>
          </cell>
        </row>
        <row r="891">
          <cell r="C891" t="str">
            <v>Woodland city, Washington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</row>
        <row r="892">
          <cell r="C892" t="str">
            <v>Woods Creek CDP, Washington</v>
          </cell>
          <cell r="D892">
            <v>42</v>
          </cell>
          <cell r="E892">
            <v>10</v>
          </cell>
          <cell r="F892">
            <v>0</v>
          </cell>
          <cell r="G892">
            <v>10</v>
          </cell>
          <cell r="H892">
            <v>10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32</v>
          </cell>
          <cell r="Q892">
            <v>21</v>
          </cell>
          <cell r="R892">
            <v>11</v>
          </cell>
          <cell r="S892">
            <v>10</v>
          </cell>
          <cell r="T892">
            <v>32</v>
          </cell>
        </row>
        <row r="893">
          <cell r="C893" t="str">
            <v>Woodway city, Washington</v>
          </cell>
          <cell r="D893">
            <v>43</v>
          </cell>
          <cell r="E893">
            <v>38</v>
          </cell>
          <cell r="F893">
            <v>27</v>
          </cell>
          <cell r="G893">
            <v>11</v>
          </cell>
          <cell r="H893">
            <v>0</v>
          </cell>
          <cell r="I893">
            <v>0</v>
          </cell>
          <cell r="J893">
            <v>2</v>
          </cell>
          <cell r="K893">
            <v>9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5</v>
          </cell>
          <cell r="Q893">
            <v>3</v>
          </cell>
          <cell r="R893">
            <v>2</v>
          </cell>
          <cell r="S893">
            <v>38</v>
          </cell>
          <cell r="T893">
            <v>5</v>
          </cell>
        </row>
        <row r="894">
          <cell r="C894" t="str">
            <v>Yacolt town, Washington</v>
          </cell>
          <cell r="D894">
            <v>2</v>
          </cell>
          <cell r="E894">
            <v>1</v>
          </cell>
          <cell r="F894">
            <v>1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1</v>
          </cell>
          <cell r="Q894">
            <v>1</v>
          </cell>
          <cell r="R894">
            <v>0</v>
          </cell>
          <cell r="S894">
            <v>1</v>
          </cell>
          <cell r="T894">
            <v>1</v>
          </cell>
        </row>
        <row r="895">
          <cell r="C895" t="str">
            <v>Yakima city, Washington</v>
          </cell>
          <cell r="D895">
            <v>791</v>
          </cell>
          <cell r="E895">
            <v>336</v>
          </cell>
          <cell r="F895">
            <v>168</v>
          </cell>
          <cell r="G895">
            <v>138</v>
          </cell>
          <cell r="H895">
            <v>19</v>
          </cell>
          <cell r="I895">
            <v>0</v>
          </cell>
          <cell r="J895">
            <v>12</v>
          </cell>
          <cell r="K895">
            <v>107</v>
          </cell>
          <cell r="L895">
            <v>30</v>
          </cell>
          <cell r="M895">
            <v>0</v>
          </cell>
          <cell r="N895">
            <v>0</v>
          </cell>
          <cell r="O895">
            <v>30</v>
          </cell>
          <cell r="P895">
            <v>455</v>
          </cell>
          <cell r="Q895">
            <v>287</v>
          </cell>
          <cell r="R895">
            <v>168</v>
          </cell>
          <cell r="S895">
            <v>306</v>
          </cell>
          <cell r="T895">
            <v>485</v>
          </cell>
        </row>
        <row r="896">
          <cell r="C896" t="str">
            <v>Yarrow Point town, Washington</v>
          </cell>
          <cell r="D896">
            <v>39</v>
          </cell>
          <cell r="E896">
            <v>29</v>
          </cell>
          <cell r="F896">
            <v>18</v>
          </cell>
          <cell r="G896">
            <v>11</v>
          </cell>
          <cell r="H896">
            <v>0</v>
          </cell>
          <cell r="I896">
            <v>7</v>
          </cell>
          <cell r="J896">
            <v>4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10</v>
          </cell>
          <cell r="Q896">
            <v>10</v>
          </cell>
          <cell r="R896">
            <v>0</v>
          </cell>
          <cell r="S896">
            <v>29</v>
          </cell>
          <cell r="T896">
            <v>10</v>
          </cell>
        </row>
        <row r="897">
          <cell r="C897" t="str">
            <v>Yelm city, Washington</v>
          </cell>
          <cell r="D897">
            <v>66</v>
          </cell>
          <cell r="E897">
            <v>27</v>
          </cell>
          <cell r="F897">
            <v>22</v>
          </cell>
          <cell r="G897">
            <v>5</v>
          </cell>
          <cell r="H897">
            <v>0</v>
          </cell>
          <cell r="I897">
            <v>0</v>
          </cell>
          <cell r="J897">
            <v>0</v>
          </cell>
          <cell r="K897">
            <v>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39</v>
          </cell>
          <cell r="Q897">
            <v>8</v>
          </cell>
          <cell r="R897">
            <v>31</v>
          </cell>
          <cell r="S897">
            <v>27</v>
          </cell>
          <cell r="T897">
            <v>39</v>
          </cell>
        </row>
        <row r="898">
          <cell r="C898" t="str">
            <v>Zillah city, Washington</v>
          </cell>
          <cell r="D898">
            <v>12</v>
          </cell>
          <cell r="E898">
            <v>5</v>
          </cell>
          <cell r="F898">
            <v>5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7</v>
          </cell>
          <cell r="Q898">
            <v>2</v>
          </cell>
          <cell r="R898">
            <v>5</v>
          </cell>
          <cell r="S898">
            <v>5</v>
          </cell>
          <cell r="T898">
            <v>7</v>
          </cell>
        </row>
      </sheetData>
      <sheetData sheetId="8">
        <row r="1">
          <cell r="C1" t="str">
            <v>GEO.display-label</v>
          </cell>
          <cell r="D1" t="str">
            <v>VD01</v>
          </cell>
          <cell r="E1" t="str">
            <v>VD02</v>
          </cell>
          <cell r="F1" t="str">
            <v>VD03</v>
          </cell>
          <cell r="G1" t="str">
            <v>VD04</v>
          </cell>
          <cell r="H1" t="str">
            <v>VD05</v>
          </cell>
          <cell r="I1" t="str">
            <v>VD06</v>
          </cell>
          <cell r="J1" t="str">
            <v>VD07</v>
          </cell>
          <cell r="K1" t="str">
            <v>VD08</v>
          </cell>
          <cell r="L1" t="str">
            <v>VD09</v>
          </cell>
          <cell r="M1" t="str">
            <v>VD10</v>
          </cell>
          <cell r="N1" t="str">
            <v>VD11</v>
          </cell>
          <cell r="O1" t="str">
            <v>VD12</v>
          </cell>
          <cell r="P1" t="str">
            <v>VD13</v>
          </cell>
          <cell r="Q1" t="str">
            <v>VD14</v>
          </cell>
          <cell r="R1" t="str">
            <v>VD15</v>
          </cell>
        </row>
        <row r="2">
          <cell r="C2" t="str">
            <v>Geography</v>
          </cell>
          <cell r="D2" t="str">
            <v>Total:</v>
          </cell>
          <cell r="E2" t="str">
            <v>Native:</v>
          </cell>
          <cell r="F2" t="str">
            <v>Native: - Born in state of residence</v>
          </cell>
          <cell r="G2" t="str">
            <v>Native: - Born in other state in the United States:</v>
          </cell>
          <cell r="H2" t="str">
            <v>Native: - Born in other state in the United States: - Northeast</v>
          </cell>
          <cell r="I2" t="str">
            <v>Native: - Born in other state in the United States: - Midwest</v>
          </cell>
          <cell r="J2" t="str">
            <v>Native: - Born in other state in the United States: - South</v>
          </cell>
          <cell r="K2" t="str">
            <v>Native: - Born in other state in the United States: - West</v>
          </cell>
          <cell r="L2" t="str">
            <v>Native: - Born outside the United States:</v>
          </cell>
          <cell r="M2" t="str">
            <v>Native: - Born outside the United States: - Puerto Rico</v>
          </cell>
          <cell r="N2" t="str">
            <v>Native: - Born outside the United States: - U.S. Island Areas</v>
          </cell>
          <cell r="O2" t="str">
            <v>Native: - Born outside the United States: - Born abroad of American parent(s)</v>
          </cell>
          <cell r="P2" t="str">
            <v>Foreign born:</v>
          </cell>
          <cell r="Q2" t="str">
            <v>Foreign born: - Naturalized citizen</v>
          </cell>
          <cell r="R2" t="str">
            <v>Foreign born: - Not a citizen</v>
          </cell>
          <cell r="S2" t="str">
            <v>Born in US</v>
          </cell>
          <cell r="T2" t="str">
            <v>Born outside US</v>
          </cell>
        </row>
        <row r="3">
          <cell r="C3" t="str">
            <v>King County, Washington</v>
          </cell>
          <cell r="D3">
            <v>8270</v>
          </cell>
          <cell r="E3">
            <v>5961</v>
          </cell>
          <cell r="F3">
            <v>2152</v>
          </cell>
          <cell r="G3">
            <v>2222</v>
          </cell>
          <cell r="H3">
            <v>47</v>
          </cell>
          <cell r="I3">
            <v>95</v>
          </cell>
          <cell r="J3">
            <v>118</v>
          </cell>
          <cell r="K3">
            <v>1962</v>
          </cell>
          <cell r="L3">
            <v>1587</v>
          </cell>
          <cell r="M3">
            <v>0</v>
          </cell>
          <cell r="N3">
            <v>1432</v>
          </cell>
          <cell r="O3">
            <v>155</v>
          </cell>
          <cell r="P3">
            <v>2309</v>
          </cell>
          <cell r="Q3">
            <v>961</v>
          </cell>
          <cell r="R3">
            <v>1348</v>
          </cell>
          <cell r="S3">
            <v>4374</v>
          </cell>
          <cell r="T3">
            <v>3896</v>
          </cell>
        </row>
        <row r="4">
          <cell r="C4" t="str">
            <v>Census Tract 1, King County, Washington</v>
          </cell>
          <cell r="D4">
            <v>100</v>
          </cell>
          <cell r="E4">
            <v>92</v>
          </cell>
          <cell r="F4">
            <v>14</v>
          </cell>
          <cell r="G4">
            <v>50</v>
          </cell>
          <cell r="H4">
            <v>0</v>
          </cell>
          <cell r="I4">
            <v>0</v>
          </cell>
          <cell r="J4">
            <v>17</v>
          </cell>
          <cell r="K4">
            <v>33</v>
          </cell>
          <cell r="L4">
            <v>28</v>
          </cell>
          <cell r="M4">
            <v>0</v>
          </cell>
          <cell r="N4">
            <v>28</v>
          </cell>
          <cell r="O4">
            <v>0</v>
          </cell>
          <cell r="P4">
            <v>8</v>
          </cell>
          <cell r="Q4">
            <v>8</v>
          </cell>
          <cell r="R4">
            <v>0</v>
          </cell>
          <cell r="S4">
            <v>64</v>
          </cell>
          <cell r="T4">
            <v>36</v>
          </cell>
        </row>
        <row r="5">
          <cell r="C5" t="str">
            <v>Census Tract 2, King County, Washington</v>
          </cell>
          <cell r="D5">
            <v>7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7</v>
          </cell>
          <cell r="Q5">
            <v>0</v>
          </cell>
          <cell r="R5">
            <v>7</v>
          </cell>
          <cell r="S5">
            <v>0</v>
          </cell>
          <cell r="T5">
            <v>7</v>
          </cell>
        </row>
        <row r="6">
          <cell r="C6" t="str">
            <v>Census Tract 3, King County, Washington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</row>
        <row r="7">
          <cell r="C7" t="str">
            <v>Census Tract 4.01, King County, Washington</v>
          </cell>
          <cell r="D7">
            <v>11</v>
          </cell>
          <cell r="E7">
            <v>11</v>
          </cell>
          <cell r="F7">
            <v>0</v>
          </cell>
          <cell r="G7">
            <v>11</v>
          </cell>
          <cell r="H7">
            <v>0</v>
          </cell>
          <cell r="I7">
            <v>0</v>
          </cell>
          <cell r="J7">
            <v>0</v>
          </cell>
          <cell r="K7">
            <v>11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11</v>
          </cell>
          <cell r="T7">
            <v>0</v>
          </cell>
        </row>
        <row r="8">
          <cell r="C8" t="str">
            <v>Census Tract 4.02, King County, Washington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C9" t="str">
            <v>Census Tract 5, King County, Washington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</row>
        <row r="10">
          <cell r="C10" t="str">
            <v>Census Tract 6, King County, Washington</v>
          </cell>
          <cell r="D10">
            <v>7</v>
          </cell>
          <cell r="E10">
            <v>7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7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7</v>
          </cell>
          <cell r="T10">
            <v>0</v>
          </cell>
        </row>
        <row r="11">
          <cell r="C11" t="str">
            <v>Census Tract 7, King County, Washington</v>
          </cell>
          <cell r="D11">
            <v>6</v>
          </cell>
          <cell r="E11">
            <v>6</v>
          </cell>
          <cell r="F11">
            <v>0</v>
          </cell>
          <cell r="G11">
            <v>6</v>
          </cell>
          <cell r="H11">
            <v>0</v>
          </cell>
          <cell r="I11">
            <v>0</v>
          </cell>
          <cell r="J11">
            <v>0</v>
          </cell>
          <cell r="K11">
            <v>6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6</v>
          </cell>
          <cell r="T11">
            <v>0</v>
          </cell>
        </row>
        <row r="12">
          <cell r="C12" t="str">
            <v>Census Tract 8, King County, Washington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C13" t="str">
            <v>Census Tract 9, King County, Washington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 t="str">
            <v>Census Tract 10, King County, Washington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C15" t="str">
            <v>Census Tract 11, King County, Washington</v>
          </cell>
          <cell r="D15">
            <v>26</v>
          </cell>
          <cell r="E15">
            <v>26</v>
          </cell>
          <cell r="F15">
            <v>10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16</v>
          </cell>
          <cell r="M15">
            <v>0</v>
          </cell>
          <cell r="N15">
            <v>16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10</v>
          </cell>
          <cell r="T15">
            <v>16</v>
          </cell>
        </row>
        <row r="16">
          <cell r="C16" t="str">
            <v>Census Tract 12, King County, Washington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</row>
        <row r="17">
          <cell r="C17" t="str">
            <v>Census Tract 13, King County, Washington</v>
          </cell>
          <cell r="D17">
            <v>20</v>
          </cell>
          <cell r="E17">
            <v>20</v>
          </cell>
          <cell r="F17">
            <v>0</v>
          </cell>
          <cell r="G17">
            <v>20</v>
          </cell>
          <cell r="H17">
            <v>0</v>
          </cell>
          <cell r="I17">
            <v>0</v>
          </cell>
          <cell r="J17">
            <v>0</v>
          </cell>
          <cell r="K17">
            <v>20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20</v>
          </cell>
          <cell r="T17">
            <v>0</v>
          </cell>
        </row>
        <row r="18">
          <cell r="C18" t="str">
            <v>Census Tract 14, King County, Washington</v>
          </cell>
          <cell r="D18">
            <v>45</v>
          </cell>
          <cell r="E18">
            <v>45</v>
          </cell>
          <cell r="F18">
            <v>0</v>
          </cell>
          <cell r="G18">
            <v>33</v>
          </cell>
          <cell r="H18">
            <v>0</v>
          </cell>
          <cell r="I18">
            <v>0</v>
          </cell>
          <cell r="J18">
            <v>0</v>
          </cell>
          <cell r="K18">
            <v>33</v>
          </cell>
          <cell r="L18">
            <v>12</v>
          </cell>
          <cell r="M18">
            <v>0</v>
          </cell>
          <cell r="N18">
            <v>0</v>
          </cell>
          <cell r="O18">
            <v>12</v>
          </cell>
          <cell r="P18">
            <v>0</v>
          </cell>
          <cell r="Q18">
            <v>0</v>
          </cell>
          <cell r="R18">
            <v>0</v>
          </cell>
          <cell r="S18">
            <v>33</v>
          </cell>
          <cell r="T18">
            <v>12</v>
          </cell>
        </row>
        <row r="19">
          <cell r="C19" t="str">
            <v>Census Tract 15, King County, Washington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 t="str">
            <v>Census Tract 16, King County, Washington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 t="str">
            <v>Census Tract 17, King County, Washington</v>
          </cell>
          <cell r="D21">
            <v>12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12</v>
          </cell>
          <cell r="Q21">
            <v>0</v>
          </cell>
          <cell r="R21">
            <v>12</v>
          </cell>
          <cell r="S21">
            <v>0</v>
          </cell>
          <cell r="T21">
            <v>12</v>
          </cell>
        </row>
        <row r="22">
          <cell r="C22" t="str">
            <v>Census Tract 18, King County, Washington</v>
          </cell>
          <cell r="D22">
            <v>13</v>
          </cell>
          <cell r="E22">
            <v>13</v>
          </cell>
          <cell r="F22">
            <v>0</v>
          </cell>
          <cell r="G22">
            <v>4</v>
          </cell>
          <cell r="H22">
            <v>0</v>
          </cell>
          <cell r="I22">
            <v>0</v>
          </cell>
          <cell r="J22">
            <v>0</v>
          </cell>
          <cell r="K22">
            <v>4</v>
          </cell>
          <cell r="L22">
            <v>9</v>
          </cell>
          <cell r="M22">
            <v>0</v>
          </cell>
          <cell r="N22">
            <v>9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</v>
          </cell>
          <cell r="T22">
            <v>9</v>
          </cell>
        </row>
        <row r="23">
          <cell r="C23" t="str">
            <v>Census Tract 19, King County, Washington</v>
          </cell>
          <cell r="D23">
            <v>8</v>
          </cell>
          <cell r="E23">
            <v>8</v>
          </cell>
          <cell r="F23">
            <v>0</v>
          </cell>
          <cell r="G23">
            <v>8</v>
          </cell>
          <cell r="H23">
            <v>0</v>
          </cell>
          <cell r="I23">
            <v>8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8</v>
          </cell>
          <cell r="T23">
            <v>0</v>
          </cell>
        </row>
        <row r="24">
          <cell r="C24" t="str">
            <v>Census Tract 20, King County, Washington</v>
          </cell>
          <cell r="D24">
            <v>9</v>
          </cell>
          <cell r="E24">
            <v>9</v>
          </cell>
          <cell r="F24">
            <v>0</v>
          </cell>
          <cell r="G24">
            <v>9</v>
          </cell>
          <cell r="H24">
            <v>0</v>
          </cell>
          <cell r="I24">
            <v>0</v>
          </cell>
          <cell r="J24">
            <v>0</v>
          </cell>
          <cell r="K24">
            <v>9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9</v>
          </cell>
          <cell r="T24">
            <v>0</v>
          </cell>
        </row>
        <row r="25">
          <cell r="C25" t="str">
            <v>Census Tract 21, King County, Washington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C26" t="str">
            <v>Census Tract 22, King County, Washington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</row>
        <row r="27">
          <cell r="C27" t="str">
            <v>Census Tract 24, King County, Washington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C28" t="str">
            <v>Census Tract 25, King County, Washington</v>
          </cell>
          <cell r="D28">
            <v>23</v>
          </cell>
          <cell r="E28">
            <v>23</v>
          </cell>
          <cell r="F28">
            <v>0</v>
          </cell>
          <cell r="G28">
            <v>15</v>
          </cell>
          <cell r="H28">
            <v>0</v>
          </cell>
          <cell r="I28">
            <v>0</v>
          </cell>
          <cell r="J28">
            <v>0</v>
          </cell>
          <cell r="K28">
            <v>15</v>
          </cell>
          <cell r="L28">
            <v>8</v>
          </cell>
          <cell r="M28">
            <v>0</v>
          </cell>
          <cell r="N28">
            <v>0</v>
          </cell>
          <cell r="O28">
            <v>8</v>
          </cell>
          <cell r="P28">
            <v>0</v>
          </cell>
          <cell r="Q28">
            <v>0</v>
          </cell>
          <cell r="R28">
            <v>0</v>
          </cell>
          <cell r="S28">
            <v>15</v>
          </cell>
          <cell r="T28">
            <v>8</v>
          </cell>
        </row>
        <row r="29">
          <cell r="C29" t="str">
            <v>Census Tract 26, King County, Washington</v>
          </cell>
          <cell r="D29">
            <v>44</v>
          </cell>
          <cell r="E29">
            <v>44</v>
          </cell>
          <cell r="F29">
            <v>23</v>
          </cell>
          <cell r="G29">
            <v>14</v>
          </cell>
          <cell r="H29">
            <v>0</v>
          </cell>
          <cell r="I29">
            <v>0</v>
          </cell>
          <cell r="J29">
            <v>0</v>
          </cell>
          <cell r="K29">
            <v>14</v>
          </cell>
          <cell r="L29">
            <v>7</v>
          </cell>
          <cell r="M29">
            <v>0</v>
          </cell>
          <cell r="N29">
            <v>7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37</v>
          </cell>
          <cell r="T29">
            <v>7</v>
          </cell>
        </row>
        <row r="30">
          <cell r="C30" t="str">
            <v>Census Tract 27, King County, Washington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 t="str">
            <v>Census Tract 28, King County, Washington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C32" t="str">
            <v>Census Tract 29, King County, Washington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C33" t="str">
            <v>Census Tract 30, King County, Washington</v>
          </cell>
          <cell r="D33">
            <v>37</v>
          </cell>
          <cell r="E33">
            <v>37</v>
          </cell>
          <cell r="F33">
            <v>0</v>
          </cell>
          <cell r="G33">
            <v>19</v>
          </cell>
          <cell r="H33">
            <v>0</v>
          </cell>
          <cell r="I33">
            <v>0</v>
          </cell>
          <cell r="J33">
            <v>0</v>
          </cell>
          <cell r="K33">
            <v>19</v>
          </cell>
          <cell r="L33">
            <v>18</v>
          </cell>
          <cell r="M33">
            <v>0</v>
          </cell>
          <cell r="N33">
            <v>18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19</v>
          </cell>
          <cell r="T33">
            <v>18</v>
          </cell>
        </row>
        <row r="34">
          <cell r="C34" t="str">
            <v>Census Tract 31, King County, Washington</v>
          </cell>
          <cell r="D34">
            <v>19</v>
          </cell>
          <cell r="E34">
            <v>14</v>
          </cell>
          <cell r="F34">
            <v>6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8</v>
          </cell>
          <cell r="M34">
            <v>0</v>
          </cell>
          <cell r="N34">
            <v>0</v>
          </cell>
          <cell r="O34">
            <v>8</v>
          </cell>
          <cell r="P34">
            <v>5</v>
          </cell>
          <cell r="Q34">
            <v>0</v>
          </cell>
          <cell r="R34">
            <v>5</v>
          </cell>
          <cell r="S34">
            <v>6</v>
          </cell>
          <cell r="T34">
            <v>13</v>
          </cell>
        </row>
        <row r="35">
          <cell r="C35" t="str">
            <v>Census Tract 32, King County, Washington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C36" t="str">
            <v>Census Tract 33, King County, Washington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C37" t="str">
            <v>Census Tract 34, King County, Washington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C38" t="str">
            <v>Census Tract 35, King County, Washington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C39" t="str">
            <v>Census Tract 36, King County, Washington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C40" t="str">
            <v>Census Tract 38, King County, Washington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C41" t="str">
            <v>Census Tract 39, King County, Washington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C42" t="str">
            <v>Census Tract 40, King County, Washington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C43" t="str">
            <v>Census Tract 41, King County, Washington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C44" t="str">
            <v>Census Tract 42, King County, Washington</v>
          </cell>
          <cell r="D44">
            <v>73</v>
          </cell>
          <cell r="E44">
            <v>73</v>
          </cell>
          <cell r="F44">
            <v>54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19</v>
          </cell>
          <cell r="M44">
            <v>0</v>
          </cell>
          <cell r="N44">
            <v>19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54</v>
          </cell>
          <cell r="T44">
            <v>19</v>
          </cell>
        </row>
        <row r="45">
          <cell r="C45" t="str">
            <v>Census Tract 43, King County, Washington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C46" t="str">
            <v>Census Tract 44, King County, Washington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C47" t="str">
            <v>Census Tract 45, King County, Washington</v>
          </cell>
          <cell r="D47">
            <v>21</v>
          </cell>
          <cell r="E47">
            <v>21</v>
          </cell>
          <cell r="F47">
            <v>0</v>
          </cell>
          <cell r="G47">
            <v>21</v>
          </cell>
          <cell r="H47">
            <v>0</v>
          </cell>
          <cell r="I47">
            <v>0</v>
          </cell>
          <cell r="J47">
            <v>0</v>
          </cell>
          <cell r="K47">
            <v>21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21</v>
          </cell>
          <cell r="T47">
            <v>0</v>
          </cell>
        </row>
        <row r="48">
          <cell r="C48" t="str">
            <v>Census Tract 46, King County, Washington</v>
          </cell>
          <cell r="D48">
            <v>19</v>
          </cell>
          <cell r="E48">
            <v>13</v>
          </cell>
          <cell r="F48">
            <v>0</v>
          </cell>
          <cell r="G48">
            <v>13</v>
          </cell>
          <cell r="H48">
            <v>0</v>
          </cell>
          <cell r="I48">
            <v>0</v>
          </cell>
          <cell r="J48">
            <v>0</v>
          </cell>
          <cell r="K48">
            <v>13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6</v>
          </cell>
          <cell r="Q48">
            <v>6</v>
          </cell>
          <cell r="R48">
            <v>0</v>
          </cell>
          <cell r="S48">
            <v>13</v>
          </cell>
          <cell r="T48">
            <v>6</v>
          </cell>
        </row>
        <row r="49">
          <cell r="C49" t="str">
            <v>Census Tract 47, King County, Washington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C50" t="str">
            <v>Census Tract 48, King County, Washington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C51" t="str">
            <v>Census Tract 49, King County, Washington</v>
          </cell>
          <cell r="D51">
            <v>8</v>
          </cell>
          <cell r="E51">
            <v>8</v>
          </cell>
          <cell r="F51">
            <v>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8</v>
          </cell>
          <cell r="T51">
            <v>0</v>
          </cell>
        </row>
        <row r="52">
          <cell r="C52" t="str">
            <v>Census Tract 50, King County, Washington</v>
          </cell>
          <cell r="D52">
            <v>26</v>
          </cell>
          <cell r="E52">
            <v>19</v>
          </cell>
          <cell r="F52">
            <v>12</v>
          </cell>
          <cell r="G52">
            <v>7</v>
          </cell>
          <cell r="H52">
            <v>0</v>
          </cell>
          <cell r="I52">
            <v>7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7</v>
          </cell>
          <cell r="Q52">
            <v>0</v>
          </cell>
          <cell r="R52">
            <v>7</v>
          </cell>
          <cell r="S52">
            <v>19</v>
          </cell>
          <cell r="T52">
            <v>7</v>
          </cell>
        </row>
        <row r="53">
          <cell r="C53" t="str">
            <v>Census Tract 51, King County, Washington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C54" t="str">
            <v>Census Tract 52, King County, Washington</v>
          </cell>
          <cell r="D54">
            <v>75</v>
          </cell>
          <cell r="E54">
            <v>67</v>
          </cell>
          <cell r="F54">
            <v>11</v>
          </cell>
          <cell r="G54">
            <v>35</v>
          </cell>
          <cell r="H54">
            <v>13</v>
          </cell>
          <cell r="I54">
            <v>0</v>
          </cell>
          <cell r="J54">
            <v>0</v>
          </cell>
          <cell r="K54">
            <v>22</v>
          </cell>
          <cell r="L54">
            <v>21</v>
          </cell>
          <cell r="M54">
            <v>0</v>
          </cell>
          <cell r="N54">
            <v>21</v>
          </cell>
          <cell r="O54">
            <v>0</v>
          </cell>
          <cell r="P54">
            <v>8</v>
          </cell>
          <cell r="Q54">
            <v>8</v>
          </cell>
          <cell r="R54">
            <v>0</v>
          </cell>
          <cell r="S54">
            <v>46</v>
          </cell>
          <cell r="T54">
            <v>29</v>
          </cell>
        </row>
        <row r="55">
          <cell r="C55" t="str">
            <v>Census Tract 53.01, King County, Washington</v>
          </cell>
          <cell r="D55">
            <v>22</v>
          </cell>
          <cell r="E55">
            <v>22</v>
          </cell>
          <cell r="F55">
            <v>0</v>
          </cell>
          <cell r="G55">
            <v>11</v>
          </cell>
          <cell r="H55">
            <v>0</v>
          </cell>
          <cell r="I55">
            <v>0</v>
          </cell>
          <cell r="J55">
            <v>0</v>
          </cell>
          <cell r="K55">
            <v>11</v>
          </cell>
          <cell r="L55">
            <v>11</v>
          </cell>
          <cell r="M55">
            <v>0</v>
          </cell>
          <cell r="N55">
            <v>11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11</v>
          </cell>
          <cell r="T55">
            <v>11</v>
          </cell>
        </row>
        <row r="56">
          <cell r="C56" t="str">
            <v>Census Tract 53.02, King County, Washington</v>
          </cell>
          <cell r="D56">
            <v>11</v>
          </cell>
          <cell r="E56">
            <v>11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11</v>
          </cell>
          <cell r="M56">
            <v>0</v>
          </cell>
          <cell r="N56">
            <v>11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11</v>
          </cell>
        </row>
        <row r="57">
          <cell r="C57" t="str">
            <v>Census Tract 54, King County, Washington</v>
          </cell>
          <cell r="D57">
            <v>15</v>
          </cell>
          <cell r="E57">
            <v>15</v>
          </cell>
          <cell r="F57">
            <v>0</v>
          </cell>
          <cell r="G57">
            <v>15</v>
          </cell>
          <cell r="H57">
            <v>0</v>
          </cell>
          <cell r="I57">
            <v>0</v>
          </cell>
          <cell r="J57">
            <v>0</v>
          </cell>
          <cell r="K57">
            <v>15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15</v>
          </cell>
          <cell r="T57">
            <v>0</v>
          </cell>
        </row>
        <row r="58">
          <cell r="C58" t="str">
            <v>Census Tract 56, King County, Washington</v>
          </cell>
          <cell r="D58">
            <v>7</v>
          </cell>
          <cell r="E58">
            <v>7</v>
          </cell>
          <cell r="F58">
            <v>0</v>
          </cell>
          <cell r="G58">
            <v>7</v>
          </cell>
          <cell r="H58">
            <v>0</v>
          </cell>
          <cell r="I58">
            <v>7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7</v>
          </cell>
          <cell r="T58">
            <v>0</v>
          </cell>
        </row>
        <row r="59">
          <cell r="C59" t="str">
            <v>Census Tract 57, King County, Washington</v>
          </cell>
          <cell r="D59">
            <v>46</v>
          </cell>
          <cell r="E59">
            <v>35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7</v>
          </cell>
          <cell r="L59">
            <v>28</v>
          </cell>
          <cell r="M59">
            <v>0</v>
          </cell>
          <cell r="N59">
            <v>28</v>
          </cell>
          <cell r="O59">
            <v>0</v>
          </cell>
          <cell r="P59">
            <v>11</v>
          </cell>
          <cell r="Q59">
            <v>0</v>
          </cell>
          <cell r="R59">
            <v>11</v>
          </cell>
          <cell r="S59">
            <v>7</v>
          </cell>
          <cell r="T59">
            <v>39</v>
          </cell>
        </row>
        <row r="60">
          <cell r="C60" t="str">
            <v>Census Tract 58.01, King County, Washington</v>
          </cell>
          <cell r="D60">
            <v>14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</v>
          </cell>
          <cell r="Q60">
            <v>0</v>
          </cell>
          <cell r="R60">
            <v>14</v>
          </cell>
          <cell r="S60">
            <v>0</v>
          </cell>
          <cell r="T60">
            <v>14</v>
          </cell>
        </row>
        <row r="61">
          <cell r="C61" t="str">
            <v>Census Tract 58.02, King County, Washington</v>
          </cell>
          <cell r="D61">
            <v>18</v>
          </cell>
          <cell r="E61">
            <v>18</v>
          </cell>
          <cell r="F61">
            <v>0</v>
          </cell>
          <cell r="G61">
            <v>8</v>
          </cell>
          <cell r="H61">
            <v>0</v>
          </cell>
          <cell r="I61">
            <v>0</v>
          </cell>
          <cell r="J61">
            <v>0</v>
          </cell>
          <cell r="K61">
            <v>8</v>
          </cell>
          <cell r="L61">
            <v>10</v>
          </cell>
          <cell r="M61">
            <v>0</v>
          </cell>
          <cell r="N61">
            <v>10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</v>
          </cell>
          <cell r="T61">
            <v>10</v>
          </cell>
        </row>
        <row r="62">
          <cell r="C62" t="str">
            <v>Census Tract 59, King County, Washington</v>
          </cell>
          <cell r="D62">
            <v>19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19</v>
          </cell>
          <cell r="Q62">
            <v>0</v>
          </cell>
          <cell r="R62">
            <v>19</v>
          </cell>
          <cell r="S62">
            <v>0</v>
          </cell>
          <cell r="T62">
            <v>19</v>
          </cell>
        </row>
        <row r="63">
          <cell r="C63" t="str">
            <v>Census Tract 60, King County, Washington</v>
          </cell>
          <cell r="D63">
            <v>14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14</v>
          </cell>
          <cell r="Q63">
            <v>14</v>
          </cell>
          <cell r="R63">
            <v>0</v>
          </cell>
          <cell r="S63">
            <v>0</v>
          </cell>
          <cell r="T63">
            <v>14</v>
          </cell>
        </row>
        <row r="64">
          <cell r="C64" t="str">
            <v>Census Tract 61, King County, Washington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C65" t="str">
            <v>Census Tract 62, King County, Washington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C66" t="str">
            <v>Census Tract 63, King County, Washington</v>
          </cell>
          <cell r="D66">
            <v>5</v>
          </cell>
          <cell r="E66">
            <v>5</v>
          </cell>
          <cell r="F66">
            <v>5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5</v>
          </cell>
          <cell r="T66">
            <v>0</v>
          </cell>
        </row>
        <row r="67">
          <cell r="C67" t="str">
            <v>Census Tract 64, King County, Washington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C68" t="str">
            <v>Census Tract 65, King County, Washington</v>
          </cell>
          <cell r="D68">
            <v>5</v>
          </cell>
          <cell r="E68">
            <v>5</v>
          </cell>
          <cell r="F68">
            <v>0</v>
          </cell>
          <cell r="G68">
            <v>5</v>
          </cell>
          <cell r="H68">
            <v>0</v>
          </cell>
          <cell r="I68">
            <v>0</v>
          </cell>
          <cell r="J68">
            <v>5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5</v>
          </cell>
          <cell r="T68">
            <v>0</v>
          </cell>
        </row>
        <row r="69">
          <cell r="C69" t="str">
            <v>Census Tract 66, King County, Washington</v>
          </cell>
          <cell r="D69">
            <v>23</v>
          </cell>
          <cell r="E69">
            <v>23</v>
          </cell>
          <cell r="F69">
            <v>0</v>
          </cell>
          <cell r="G69">
            <v>6</v>
          </cell>
          <cell r="H69">
            <v>0</v>
          </cell>
          <cell r="I69">
            <v>0</v>
          </cell>
          <cell r="J69">
            <v>6</v>
          </cell>
          <cell r="K69">
            <v>0</v>
          </cell>
          <cell r="L69">
            <v>17</v>
          </cell>
          <cell r="M69">
            <v>0</v>
          </cell>
          <cell r="N69">
            <v>17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6</v>
          </cell>
          <cell r="T69">
            <v>17</v>
          </cell>
        </row>
        <row r="70">
          <cell r="C70" t="str">
            <v>Census Tract 67, King County, Washington</v>
          </cell>
          <cell r="D70">
            <v>20</v>
          </cell>
          <cell r="E70">
            <v>20</v>
          </cell>
          <cell r="F70">
            <v>0</v>
          </cell>
          <cell r="G70">
            <v>8</v>
          </cell>
          <cell r="H70">
            <v>0</v>
          </cell>
          <cell r="I70">
            <v>0</v>
          </cell>
          <cell r="J70">
            <v>0</v>
          </cell>
          <cell r="K70">
            <v>8</v>
          </cell>
          <cell r="L70">
            <v>12</v>
          </cell>
          <cell r="M70">
            <v>0</v>
          </cell>
          <cell r="N70">
            <v>12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8</v>
          </cell>
          <cell r="T70">
            <v>12</v>
          </cell>
        </row>
        <row r="71">
          <cell r="C71" t="str">
            <v>Census Tract 68, King County, Washington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C72" t="str">
            <v>Census Tract 69, King County, Washington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C73" t="str">
            <v>Census Tract 70, King County, Washington</v>
          </cell>
          <cell r="D73">
            <v>9</v>
          </cell>
          <cell r="E73">
            <v>9</v>
          </cell>
          <cell r="F73">
            <v>0</v>
          </cell>
          <cell r="G73">
            <v>9</v>
          </cell>
          <cell r="H73">
            <v>0</v>
          </cell>
          <cell r="I73">
            <v>0</v>
          </cell>
          <cell r="J73">
            <v>0</v>
          </cell>
          <cell r="K73">
            <v>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9</v>
          </cell>
          <cell r="T73">
            <v>0</v>
          </cell>
        </row>
        <row r="74">
          <cell r="C74" t="str">
            <v>Census Tract 71, King County, Washington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C75" t="str">
            <v>Census Tract 72, King County, Washington</v>
          </cell>
          <cell r="D75">
            <v>6</v>
          </cell>
          <cell r="E75">
            <v>6</v>
          </cell>
          <cell r="F75">
            <v>0</v>
          </cell>
          <cell r="G75">
            <v>6</v>
          </cell>
          <cell r="H75">
            <v>0</v>
          </cell>
          <cell r="I75">
            <v>0</v>
          </cell>
          <cell r="J75">
            <v>6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6</v>
          </cell>
          <cell r="T75">
            <v>0</v>
          </cell>
        </row>
        <row r="76">
          <cell r="C76" t="str">
            <v>Census Tract 73, King County, Washington</v>
          </cell>
          <cell r="D76">
            <v>5</v>
          </cell>
          <cell r="E76">
            <v>5</v>
          </cell>
          <cell r="F76">
            <v>0</v>
          </cell>
          <cell r="G76">
            <v>5</v>
          </cell>
          <cell r="H76">
            <v>0</v>
          </cell>
          <cell r="I76">
            <v>5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5</v>
          </cell>
          <cell r="T76">
            <v>0</v>
          </cell>
        </row>
        <row r="77">
          <cell r="C77" t="str">
            <v>Census Tract 74, King County, Washington</v>
          </cell>
          <cell r="D77">
            <v>28</v>
          </cell>
          <cell r="E77">
            <v>28</v>
          </cell>
          <cell r="F77">
            <v>14</v>
          </cell>
          <cell r="G77">
            <v>7</v>
          </cell>
          <cell r="H77">
            <v>0</v>
          </cell>
          <cell r="I77">
            <v>0</v>
          </cell>
          <cell r="J77">
            <v>0</v>
          </cell>
          <cell r="K77">
            <v>7</v>
          </cell>
          <cell r="L77">
            <v>7</v>
          </cell>
          <cell r="M77">
            <v>0</v>
          </cell>
          <cell r="N77">
            <v>7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21</v>
          </cell>
          <cell r="T77">
            <v>7</v>
          </cell>
        </row>
        <row r="78">
          <cell r="C78" t="str">
            <v>Census Tract 75, King County, Washington</v>
          </cell>
          <cell r="D78">
            <v>8</v>
          </cell>
          <cell r="E78">
            <v>8</v>
          </cell>
          <cell r="F78">
            <v>0</v>
          </cell>
          <cell r="G78">
            <v>8</v>
          </cell>
          <cell r="H78">
            <v>0</v>
          </cell>
          <cell r="I78">
            <v>0</v>
          </cell>
          <cell r="J78">
            <v>0</v>
          </cell>
          <cell r="K78">
            <v>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8</v>
          </cell>
          <cell r="T78">
            <v>0</v>
          </cell>
        </row>
        <row r="79">
          <cell r="C79" t="str">
            <v>Census Tract 76, King County, Washington</v>
          </cell>
          <cell r="D79">
            <v>13</v>
          </cell>
          <cell r="E79">
            <v>13</v>
          </cell>
          <cell r="F79">
            <v>0</v>
          </cell>
          <cell r="G79">
            <v>8</v>
          </cell>
          <cell r="H79">
            <v>0</v>
          </cell>
          <cell r="I79">
            <v>0</v>
          </cell>
          <cell r="J79">
            <v>0</v>
          </cell>
          <cell r="K79">
            <v>8</v>
          </cell>
          <cell r="L79">
            <v>5</v>
          </cell>
          <cell r="M79">
            <v>0</v>
          </cell>
          <cell r="N79">
            <v>0</v>
          </cell>
          <cell r="O79">
            <v>5</v>
          </cell>
          <cell r="P79">
            <v>0</v>
          </cell>
          <cell r="Q79">
            <v>0</v>
          </cell>
          <cell r="R79">
            <v>0</v>
          </cell>
          <cell r="S79">
            <v>8</v>
          </cell>
          <cell r="T79">
            <v>5</v>
          </cell>
        </row>
        <row r="80">
          <cell r="C80" t="str">
            <v>Census Tract 77, King County, Washington</v>
          </cell>
          <cell r="D80">
            <v>6</v>
          </cell>
          <cell r="E80">
            <v>6</v>
          </cell>
          <cell r="F80">
            <v>0</v>
          </cell>
          <cell r="G80">
            <v>6</v>
          </cell>
          <cell r="H80">
            <v>0</v>
          </cell>
          <cell r="I80">
            <v>6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6</v>
          </cell>
          <cell r="T80">
            <v>0</v>
          </cell>
        </row>
        <row r="81">
          <cell r="C81" t="str">
            <v>Census Tract 78, King County, Washington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C82" t="str">
            <v>Census Tract 79, King County, Washington</v>
          </cell>
          <cell r="D82">
            <v>19</v>
          </cell>
          <cell r="E82">
            <v>19</v>
          </cell>
          <cell r="F82">
            <v>0</v>
          </cell>
          <cell r="G82">
            <v>9</v>
          </cell>
          <cell r="H82">
            <v>0</v>
          </cell>
          <cell r="I82">
            <v>0</v>
          </cell>
          <cell r="J82">
            <v>0</v>
          </cell>
          <cell r="K82">
            <v>9</v>
          </cell>
          <cell r="L82">
            <v>10</v>
          </cell>
          <cell r="M82">
            <v>0</v>
          </cell>
          <cell r="N82">
            <v>10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9</v>
          </cell>
          <cell r="T82">
            <v>10</v>
          </cell>
        </row>
        <row r="83">
          <cell r="C83" t="str">
            <v>Census Tract 80.01, King County, Washington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C84" t="str">
            <v>Census Tract 80.02, King County, Washington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C85" t="str">
            <v>Census Tract 81, King County, Washington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C86" t="str">
            <v>Census Tract 82, King County, Washington</v>
          </cell>
          <cell r="D86">
            <v>16</v>
          </cell>
          <cell r="E86">
            <v>16</v>
          </cell>
          <cell r="F86">
            <v>9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7</v>
          </cell>
          <cell r="M86">
            <v>0</v>
          </cell>
          <cell r="N86">
            <v>7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9</v>
          </cell>
          <cell r="T86">
            <v>7</v>
          </cell>
        </row>
        <row r="87">
          <cell r="C87" t="str">
            <v>Census Tract 83, King County, Washington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C88" t="str">
            <v>Census Tract 84, King County, Washington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C89" t="str">
            <v>Census Tract 85, King County, Washington</v>
          </cell>
          <cell r="D89">
            <v>15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15</v>
          </cell>
          <cell r="Q89">
            <v>15</v>
          </cell>
          <cell r="R89">
            <v>0</v>
          </cell>
          <cell r="S89">
            <v>0</v>
          </cell>
          <cell r="T89">
            <v>15</v>
          </cell>
        </row>
        <row r="90">
          <cell r="C90" t="str">
            <v>Census Tract 86, King County, Washington</v>
          </cell>
          <cell r="D90">
            <v>14</v>
          </cell>
          <cell r="E90">
            <v>14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14</v>
          </cell>
          <cell r="M90">
            <v>0</v>
          </cell>
          <cell r="N90">
            <v>14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14</v>
          </cell>
        </row>
        <row r="91">
          <cell r="C91" t="str">
            <v>Census Tract 87, King County, Washington</v>
          </cell>
          <cell r="D91">
            <v>12</v>
          </cell>
          <cell r="E91">
            <v>12</v>
          </cell>
          <cell r="F91">
            <v>7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5</v>
          </cell>
          <cell r="M91">
            <v>0</v>
          </cell>
          <cell r="N91">
            <v>5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7</v>
          </cell>
          <cell r="T91">
            <v>5</v>
          </cell>
        </row>
        <row r="92">
          <cell r="C92" t="str">
            <v>Census Tract 88, King County, Washington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C93" t="str">
            <v>Census Tract 89, King County, Washington</v>
          </cell>
          <cell r="D93">
            <v>23</v>
          </cell>
          <cell r="E93">
            <v>23</v>
          </cell>
          <cell r="F93">
            <v>16</v>
          </cell>
          <cell r="G93">
            <v>7</v>
          </cell>
          <cell r="H93">
            <v>0</v>
          </cell>
          <cell r="I93">
            <v>0</v>
          </cell>
          <cell r="J93">
            <v>0</v>
          </cell>
          <cell r="K93">
            <v>7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23</v>
          </cell>
          <cell r="T93">
            <v>0</v>
          </cell>
        </row>
        <row r="94">
          <cell r="C94" t="str">
            <v>Census Tract 90, King County, Washington</v>
          </cell>
          <cell r="D94">
            <v>7</v>
          </cell>
          <cell r="E94">
            <v>7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7</v>
          </cell>
          <cell r="M94">
            <v>0</v>
          </cell>
          <cell r="N94">
            <v>7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7</v>
          </cell>
        </row>
        <row r="95">
          <cell r="C95" t="str">
            <v>Census Tract 91, King County, Washington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C96" t="str">
            <v>Census Tract 92, King County, Washington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C97" t="str">
            <v>Census Tract 93, King County, Washington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C98" t="str">
            <v>Census Tract 94, King County, Washington</v>
          </cell>
          <cell r="D98">
            <v>13</v>
          </cell>
          <cell r="E98">
            <v>13</v>
          </cell>
          <cell r="F98">
            <v>0</v>
          </cell>
          <cell r="G98">
            <v>13</v>
          </cell>
          <cell r="H98">
            <v>0</v>
          </cell>
          <cell r="I98">
            <v>0</v>
          </cell>
          <cell r="J98">
            <v>0</v>
          </cell>
          <cell r="K98">
            <v>13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13</v>
          </cell>
          <cell r="T98">
            <v>0</v>
          </cell>
        </row>
        <row r="99">
          <cell r="C99" t="str">
            <v>Census Tract 95, King County, Washington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C100" t="str">
            <v>Census Tract 96, King County, Washington</v>
          </cell>
          <cell r="D100">
            <v>14</v>
          </cell>
          <cell r="E100">
            <v>14</v>
          </cell>
          <cell r="F100">
            <v>0</v>
          </cell>
          <cell r="G100">
            <v>14</v>
          </cell>
          <cell r="H100">
            <v>0</v>
          </cell>
          <cell r="I100">
            <v>14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14</v>
          </cell>
          <cell r="T100">
            <v>0</v>
          </cell>
        </row>
        <row r="101">
          <cell r="C101" t="str">
            <v>Census Tract 97.01, King County, Washington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C102" t="str">
            <v>Census Tract 97.02, King County, Washington</v>
          </cell>
          <cell r="D102">
            <v>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</v>
          </cell>
          <cell r="Q102">
            <v>8</v>
          </cell>
          <cell r="R102">
            <v>0</v>
          </cell>
          <cell r="S102">
            <v>0</v>
          </cell>
          <cell r="T102">
            <v>8</v>
          </cell>
        </row>
        <row r="103">
          <cell r="C103" t="str">
            <v>Census Tract 98, King County, Washington</v>
          </cell>
          <cell r="D103">
            <v>10</v>
          </cell>
          <cell r="E103">
            <v>10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10</v>
          </cell>
          <cell r="M103">
            <v>0</v>
          </cell>
          <cell r="N103">
            <v>10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10</v>
          </cell>
        </row>
        <row r="104">
          <cell r="C104" t="str">
            <v>Census Tract 99, King County, Washington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C105" t="str">
            <v>Census Tract 100, King County, Washington</v>
          </cell>
          <cell r="D105">
            <v>130</v>
          </cell>
          <cell r="E105">
            <v>94</v>
          </cell>
          <cell r="F105">
            <v>28</v>
          </cell>
          <cell r="G105">
            <v>60</v>
          </cell>
          <cell r="H105">
            <v>0</v>
          </cell>
          <cell r="I105">
            <v>0</v>
          </cell>
          <cell r="J105">
            <v>0</v>
          </cell>
          <cell r="K105">
            <v>60</v>
          </cell>
          <cell r="L105">
            <v>6</v>
          </cell>
          <cell r="M105">
            <v>0</v>
          </cell>
          <cell r="N105">
            <v>6</v>
          </cell>
          <cell r="O105">
            <v>0</v>
          </cell>
          <cell r="P105">
            <v>36</v>
          </cell>
          <cell r="Q105">
            <v>17</v>
          </cell>
          <cell r="R105">
            <v>19</v>
          </cell>
          <cell r="S105">
            <v>88</v>
          </cell>
          <cell r="T105">
            <v>42</v>
          </cell>
        </row>
        <row r="106">
          <cell r="C106" t="str">
            <v>Census Tract 101, King County, Washington</v>
          </cell>
          <cell r="D106">
            <v>21</v>
          </cell>
          <cell r="E106">
            <v>15</v>
          </cell>
          <cell r="F106">
            <v>15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6</v>
          </cell>
          <cell r="Q106">
            <v>0</v>
          </cell>
          <cell r="R106">
            <v>6</v>
          </cell>
          <cell r="S106">
            <v>15</v>
          </cell>
          <cell r="T106">
            <v>6</v>
          </cell>
        </row>
        <row r="107">
          <cell r="C107" t="str">
            <v>Census Tract 102, King County, Washington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C108" t="str">
            <v>Census Tract 103, King County, Washington</v>
          </cell>
          <cell r="D108">
            <v>153</v>
          </cell>
          <cell r="E108">
            <v>62</v>
          </cell>
          <cell r="F108">
            <v>0</v>
          </cell>
          <cell r="G108">
            <v>35</v>
          </cell>
          <cell r="H108">
            <v>0</v>
          </cell>
          <cell r="I108">
            <v>0</v>
          </cell>
          <cell r="J108">
            <v>0</v>
          </cell>
          <cell r="K108">
            <v>35</v>
          </cell>
          <cell r="L108">
            <v>27</v>
          </cell>
          <cell r="M108">
            <v>0</v>
          </cell>
          <cell r="N108">
            <v>0</v>
          </cell>
          <cell r="O108">
            <v>27</v>
          </cell>
          <cell r="P108">
            <v>91</v>
          </cell>
          <cell r="Q108">
            <v>71</v>
          </cell>
          <cell r="R108">
            <v>20</v>
          </cell>
          <cell r="S108">
            <v>35</v>
          </cell>
          <cell r="T108">
            <v>118</v>
          </cell>
        </row>
        <row r="109">
          <cell r="C109" t="str">
            <v>Census Tract 104, King County, Washington</v>
          </cell>
          <cell r="D109">
            <v>119</v>
          </cell>
          <cell r="E109">
            <v>106</v>
          </cell>
          <cell r="F109">
            <v>59</v>
          </cell>
          <cell r="G109">
            <v>38</v>
          </cell>
          <cell r="H109">
            <v>0</v>
          </cell>
          <cell r="I109">
            <v>0</v>
          </cell>
          <cell r="J109">
            <v>22</v>
          </cell>
          <cell r="K109">
            <v>16</v>
          </cell>
          <cell r="L109">
            <v>9</v>
          </cell>
          <cell r="M109">
            <v>0</v>
          </cell>
          <cell r="N109">
            <v>9</v>
          </cell>
          <cell r="O109">
            <v>0</v>
          </cell>
          <cell r="P109">
            <v>13</v>
          </cell>
          <cell r="Q109">
            <v>6</v>
          </cell>
          <cell r="R109">
            <v>7</v>
          </cell>
          <cell r="S109">
            <v>97</v>
          </cell>
          <cell r="T109">
            <v>22</v>
          </cell>
        </row>
        <row r="110">
          <cell r="C110" t="str">
            <v>Census Tract 105, King County, Washington</v>
          </cell>
          <cell r="D110">
            <v>15</v>
          </cell>
          <cell r="E110">
            <v>15</v>
          </cell>
          <cell r="F110">
            <v>0</v>
          </cell>
          <cell r="G110">
            <v>15</v>
          </cell>
          <cell r="H110">
            <v>0</v>
          </cell>
          <cell r="I110">
            <v>15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15</v>
          </cell>
          <cell r="T110">
            <v>0</v>
          </cell>
        </row>
        <row r="111">
          <cell r="C111" t="str">
            <v>Census Tract 106, King County, Washington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C112" t="str">
            <v>Census Tract 107, King County, Washington</v>
          </cell>
          <cell r="D112">
            <v>186</v>
          </cell>
          <cell r="E112">
            <v>147</v>
          </cell>
          <cell r="F112">
            <v>54</v>
          </cell>
          <cell r="G112">
            <v>64</v>
          </cell>
          <cell r="H112">
            <v>0</v>
          </cell>
          <cell r="I112">
            <v>0</v>
          </cell>
          <cell r="J112">
            <v>0</v>
          </cell>
          <cell r="K112">
            <v>64</v>
          </cell>
          <cell r="L112">
            <v>29</v>
          </cell>
          <cell r="M112">
            <v>0</v>
          </cell>
          <cell r="N112">
            <v>22</v>
          </cell>
          <cell r="O112">
            <v>7</v>
          </cell>
          <cell r="P112">
            <v>39</v>
          </cell>
          <cell r="Q112">
            <v>32</v>
          </cell>
          <cell r="R112">
            <v>7</v>
          </cell>
          <cell r="S112">
            <v>118</v>
          </cell>
          <cell r="T112">
            <v>68</v>
          </cell>
        </row>
        <row r="113">
          <cell r="C113" t="str">
            <v>Census Tract 108, King County, Washington</v>
          </cell>
          <cell r="D113">
            <v>50</v>
          </cell>
          <cell r="E113">
            <v>50</v>
          </cell>
          <cell r="F113">
            <v>0</v>
          </cell>
          <cell r="G113">
            <v>50</v>
          </cell>
          <cell r="H113">
            <v>0</v>
          </cell>
          <cell r="I113">
            <v>0</v>
          </cell>
          <cell r="J113">
            <v>0</v>
          </cell>
          <cell r="K113">
            <v>50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50</v>
          </cell>
          <cell r="T113">
            <v>0</v>
          </cell>
        </row>
        <row r="114">
          <cell r="C114" t="str">
            <v>Census Tract 109, King County, Washington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C115" t="str">
            <v>Census Tract 110, King County, Washington</v>
          </cell>
          <cell r="D115">
            <v>119</v>
          </cell>
          <cell r="E115">
            <v>93</v>
          </cell>
          <cell r="F115">
            <v>24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69</v>
          </cell>
          <cell r="M115">
            <v>0</v>
          </cell>
          <cell r="N115">
            <v>69</v>
          </cell>
          <cell r="O115">
            <v>0</v>
          </cell>
          <cell r="P115">
            <v>26</v>
          </cell>
          <cell r="Q115">
            <v>6</v>
          </cell>
          <cell r="R115">
            <v>20</v>
          </cell>
          <cell r="S115">
            <v>24</v>
          </cell>
          <cell r="T115">
            <v>95</v>
          </cell>
        </row>
        <row r="116">
          <cell r="C116" t="str">
            <v>Census Tract 111.01, King County, Washington</v>
          </cell>
          <cell r="D116">
            <v>12</v>
          </cell>
          <cell r="E116">
            <v>12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12</v>
          </cell>
          <cell r="M116">
            <v>0</v>
          </cell>
          <cell r="N116">
            <v>12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12</v>
          </cell>
        </row>
        <row r="117">
          <cell r="C117" t="str">
            <v>Census Tract 111.02, King County, Washington</v>
          </cell>
          <cell r="D117">
            <v>171</v>
          </cell>
          <cell r="E117">
            <v>141</v>
          </cell>
          <cell r="F117">
            <v>97</v>
          </cell>
          <cell r="G117">
            <v>3</v>
          </cell>
          <cell r="H117">
            <v>0</v>
          </cell>
          <cell r="I117">
            <v>0</v>
          </cell>
          <cell r="J117">
            <v>0</v>
          </cell>
          <cell r="K117">
            <v>3</v>
          </cell>
          <cell r="L117">
            <v>41</v>
          </cell>
          <cell r="M117">
            <v>0</v>
          </cell>
          <cell r="N117">
            <v>31</v>
          </cell>
          <cell r="O117">
            <v>10</v>
          </cell>
          <cell r="P117">
            <v>30</v>
          </cell>
          <cell r="Q117">
            <v>4</v>
          </cell>
          <cell r="R117">
            <v>26</v>
          </cell>
          <cell r="S117">
            <v>100</v>
          </cell>
          <cell r="T117">
            <v>71</v>
          </cell>
        </row>
        <row r="118">
          <cell r="C118" t="str">
            <v>Census Tract 112, King County, Washington</v>
          </cell>
          <cell r="D118">
            <v>56</v>
          </cell>
          <cell r="E118">
            <v>49</v>
          </cell>
          <cell r="F118">
            <v>35</v>
          </cell>
          <cell r="G118">
            <v>14</v>
          </cell>
          <cell r="H118">
            <v>0</v>
          </cell>
          <cell r="I118">
            <v>6</v>
          </cell>
          <cell r="J118">
            <v>0</v>
          </cell>
          <cell r="K118">
            <v>8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7</v>
          </cell>
          <cell r="Q118">
            <v>0</v>
          </cell>
          <cell r="R118">
            <v>7</v>
          </cell>
          <cell r="S118">
            <v>49</v>
          </cell>
          <cell r="T118">
            <v>7</v>
          </cell>
        </row>
        <row r="119">
          <cell r="C119" t="str">
            <v>Census Tract 113, King County, Washington</v>
          </cell>
          <cell r="D119">
            <v>112</v>
          </cell>
          <cell r="E119">
            <v>85</v>
          </cell>
          <cell r="F119">
            <v>42</v>
          </cell>
          <cell r="G119">
            <v>33</v>
          </cell>
          <cell r="H119">
            <v>0</v>
          </cell>
          <cell r="I119">
            <v>0</v>
          </cell>
          <cell r="J119">
            <v>0</v>
          </cell>
          <cell r="K119">
            <v>33</v>
          </cell>
          <cell r="L119">
            <v>10</v>
          </cell>
          <cell r="M119">
            <v>0</v>
          </cell>
          <cell r="N119">
            <v>10</v>
          </cell>
          <cell r="O119">
            <v>0</v>
          </cell>
          <cell r="P119">
            <v>27</v>
          </cell>
          <cell r="Q119">
            <v>12</v>
          </cell>
          <cell r="R119">
            <v>15</v>
          </cell>
          <cell r="S119">
            <v>75</v>
          </cell>
          <cell r="T119">
            <v>37</v>
          </cell>
        </row>
        <row r="120">
          <cell r="C120" t="str">
            <v>Census Tract 114, King County, Washington</v>
          </cell>
          <cell r="D120">
            <v>24</v>
          </cell>
          <cell r="E120">
            <v>24</v>
          </cell>
          <cell r="F120">
            <v>8</v>
          </cell>
          <cell r="G120">
            <v>16</v>
          </cell>
          <cell r="H120">
            <v>0</v>
          </cell>
          <cell r="I120">
            <v>0</v>
          </cell>
          <cell r="J120">
            <v>0</v>
          </cell>
          <cell r="K120">
            <v>16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24</v>
          </cell>
          <cell r="T120">
            <v>0</v>
          </cell>
        </row>
        <row r="121">
          <cell r="C121" t="str">
            <v>Census Tract 115, King County, Washington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C122" t="str">
            <v>Census Tract 116, King County, Washington</v>
          </cell>
          <cell r="D122">
            <v>35</v>
          </cell>
          <cell r="E122">
            <v>35</v>
          </cell>
          <cell r="F122">
            <v>6</v>
          </cell>
          <cell r="G122">
            <v>29</v>
          </cell>
          <cell r="H122">
            <v>0</v>
          </cell>
          <cell r="I122">
            <v>0</v>
          </cell>
          <cell r="J122">
            <v>0</v>
          </cell>
          <cell r="K122">
            <v>29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35</v>
          </cell>
          <cell r="T122">
            <v>0</v>
          </cell>
        </row>
        <row r="123">
          <cell r="C123" t="str">
            <v>Census Tract 117, King County, Washington</v>
          </cell>
          <cell r="D123">
            <v>38</v>
          </cell>
          <cell r="E123">
            <v>38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38</v>
          </cell>
          <cell r="M123">
            <v>0</v>
          </cell>
          <cell r="N123">
            <v>38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38</v>
          </cell>
        </row>
        <row r="124">
          <cell r="C124" t="str">
            <v>Census Tract 118, King County, Washington</v>
          </cell>
          <cell r="D124">
            <v>149</v>
          </cell>
          <cell r="E124">
            <v>120</v>
          </cell>
          <cell r="F124">
            <v>51</v>
          </cell>
          <cell r="G124">
            <v>22</v>
          </cell>
          <cell r="H124">
            <v>0</v>
          </cell>
          <cell r="I124">
            <v>0</v>
          </cell>
          <cell r="J124">
            <v>0</v>
          </cell>
          <cell r="K124">
            <v>22</v>
          </cell>
          <cell r="L124">
            <v>47</v>
          </cell>
          <cell r="M124">
            <v>0</v>
          </cell>
          <cell r="N124">
            <v>47</v>
          </cell>
          <cell r="O124">
            <v>0</v>
          </cell>
          <cell r="P124">
            <v>29</v>
          </cell>
          <cell r="Q124">
            <v>29</v>
          </cell>
          <cell r="R124">
            <v>0</v>
          </cell>
          <cell r="S124">
            <v>73</v>
          </cell>
          <cell r="T124">
            <v>76</v>
          </cell>
        </row>
        <row r="125">
          <cell r="C125" t="str">
            <v>Census Tract 119, King County, Washington</v>
          </cell>
          <cell r="D125">
            <v>44</v>
          </cell>
          <cell r="E125">
            <v>28</v>
          </cell>
          <cell r="F125">
            <v>22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6</v>
          </cell>
          <cell r="M125">
            <v>0</v>
          </cell>
          <cell r="N125">
            <v>0</v>
          </cell>
          <cell r="O125">
            <v>6</v>
          </cell>
          <cell r="P125">
            <v>16</v>
          </cell>
          <cell r="Q125">
            <v>16</v>
          </cell>
          <cell r="R125">
            <v>0</v>
          </cell>
          <cell r="S125">
            <v>22</v>
          </cell>
          <cell r="T125">
            <v>22</v>
          </cell>
        </row>
        <row r="126">
          <cell r="C126" t="str">
            <v>Census Tract 120, King County, Washington</v>
          </cell>
          <cell r="D126">
            <v>26</v>
          </cell>
          <cell r="E126">
            <v>22</v>
          </cell>
          <cell r="F126">
            <v>6</v>
          </cell>
          <cell r="G126">
            <v>10</v>
          </cell>
          <cell r="H126">
            <v>0</v>
          </cell>
          <cell r="I126">
            <v>0</v>
          </cell>
          <cell r="J126">
            <v>0</v>
          </cell>
          <cell r="K126">
            <v>10</v>
          </cell>
          <cell r="L126">
            <v>6</v>
          </cell>
          <cell r="M126">
            <v>0</v>
          </cell>
          <cell r="N126">
            <v>6</v>
          </cell>
          <cell r="O126">
            <v>0</v>
          </cell>
          <cell r="P126">
            <v>4</v>
          </cell>
          <cell r="Q126">
            <v>0</v>
          </cell>
          <cell r="R126">
            <v>4</v>
          </cell>
          <cell r="S126">
            <v>16</v>
          </cell>
          <cell r="T126">
            <v>10</v>
          </cell>
        </row>
        <row r="127">
          <cell r="C127" t="str">
            <v>Census Tract 121, King County, Washington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Census Tract 201, King County, Washington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Census Tract 202, King County, Washington</v>
          </cell>
          <cell r="D129">
            <v>19</v>
          </cell>
          <cell r="E129">
            <v>11</v>
          </cell>
          <cell r="F129">
            <v>0</v>
          </cell>
          <cell r="G129">
            <v>11</v>
          </cell>
          <cell r="H129">
            <v>0</v>
          </cell>
          <cell r="I129">
            <v>0</v>
          </cell>
          <cell r="J129">
            <v>0</v>
          </cell>
          <cell r="K129">
            <v>11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8</v>
          </cell>
          <cell r="Q129">
            <v>0</v>
          </cell>
          <cell r="R129">
            <v>8</v>
          </cell>
          <cell r="S129">
            <v>11</v>
          </cell>
          <cell r="T129">
            <v>8</v>
          </cell>
        </row>
        <row r="130">
          <cell r="C130" t="str">
            <v>Census Tract 203, King County, Washington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Census Tract 204.01, King County, Washington</v>
          </cell>
          <cell r="D131">
            <v>21</v>
          </cell>
          <cell r="E131">
            <v>14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14</v>
          </cell>
          <cell r="M131">
            <v>0</v>
          </cell>
          <cell r="N131">
            <v>14</v>
          </cell>
          <cell r="O131">
            <v>0</v>
          </cell>
          <cell r="P131">
            <v>7</v>
          </cell>
          <cell r="Q131">
            <v>7</v>
          </cell>
          <cell r="R131">
            <v>0</v>
          </cell>
          <cell r="S131">
            <v>0</v>
          </cell>
          <cell r="T131">
            <v>21</v>
          </cell>
        </row>
        <row r="132">
          <cell r="C132" t="str">
            <v>Census Tract 204.02, King County, Washington</v>
          </cell>
          <cell r="D132">
            <v>20</v>
          </cell>
          <cell r="E132">
            <v>20</v>
          </cell>
          <cell r="F132">
            <v>0</v>
          </cell>
          <cell r="G132">
            <v>5</v>
          </cell>
          <cell r="H132">
            <v>0</v>
          </cell>
          <cell r="I132">
            <v>0</v>
          </cell>
          <cell r="J132">
            <v>0</v>
          </cell>
          <cell r="K132">
            <v>5</v>
          </cell>
          <cell r="L132">
            <v>15</v>
          </cell>
          <cell r="M132">
            <v>0</v>
          </cell>
          <cell r="N132">
            <v>15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5</v>
          </cell>
          <cell r="T132">
            <v>15</v>
          </cell>
        </row>
        <row r="133">
          <cell r="C133" t="str">
            <v>Census Tract 205, King County, Washington</v>
          </cell>
          <cell r="D133">
            <v>2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2</v>
          </cell>
          <cell r="Q133">
            <v>0</v>
          </cell>
          <cell r="R133">
            <v>2</v>
          </cell>
          <cell r="S133">
            <v>0</v>
          </cell>
          <cell r="T133">
            <v>2</v>
          </cell>
        </row>
        <row r="134">
          <cell r="C134" t="str">
            <v>Census Tract 206, King County, Washington</v>
          </cell>
          <cell r="D134">
            <v>7</v>
          </cell>
          <cell r="E134">
            <v>7</v>
          </cell>
          <cell r="F134">
            <v>0</v>
          </cell>
          <cell r="G134">
            <v>7</v>
          </cell>
          <cell r="H134">
            <v>0</v>
          </cell>
          <cell r="I134">
            <v>0</v>
          </cell>
          <cell r="J134">
            <v>0</v>
          </cell>
          <cell r="K134">
            <v>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</v>
          </cell>
          <cell r="T134">
            <v>0</v>
          </cell>
        </row>
        <row r="135">
          <cell r="C135" t="str">
            <v>Census Tract 207, King County, Washington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Census Tract 208, King County, Washington</v>
          </cell>
          <cell r="D136">
            <v>14</v>
          </cell>
          <cell r="E136">
            <v>14</v>
          </cell>
          <cell r="F136">
            <v>6</v>
          </cell>
          <cell r="G136">
            <v>3</v>
          </cell>
          <cell r="H136">
            <v>0</v>
          </cell>
          <cell r="I136">
            <v>0</v>
          </cell>
          <cell r="J136">
            <v>0</v>
          </cell>
          <cell r="K136">
            <v>3</v>
          </cell>
          <cell r="L136">
            <v>5</v>
          </cell>
          <cell r="M136">
            <v>0</v>
          </cell>
          <cell r="N136">
            <v>5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9</v>
          </cell>
          <cell r="T136">
            <v>5</v>
          </cell>
        </row>
        <row r="137">
          <cell r="C137" t="str">
            <v>Census Tract 209, King County, Washington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C138" t="str">
            <v>Census Tract 210, King County, Washington</v>
          </cell>
          <cell r="D138">
            <v>129</v>
          </cell>
          <cell r="E138">
            <v>15</v>
          </cell>
          <cell r="F138">
            <v>15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114</v>
          </cell>
          <cell r="Q138">
            <v>20</v>
          </cell>
          <cell r="R138">
            <v>94</v>
          </cell>
          <cell r="S138">
            <v>15</v>
          </cell>
          <cell r="T138">
            <v>114</v>
          </cell>
        </row>
        <row r="139">
          <cell r="C139" t="str">
            <v>Census Tract 211, King County, Washington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Census Tract 213, King County, Washington</v>
          </cell>
          <cell r="D140">
            <v>23</v>
          </cell>
          <cell r="E140">
            <v>23</v>
          </cell>
          <cell r="F140">
            <v>7</v>
          </cell>
          <cell r="G140">
            <v>16</v>
          </cell>
          <cell r="H140">
            <v>0</v>
          </cell>
          <cell r="I140">
            <v>8</v>
          </cell>
          <cell r="J140">
            <v>0</v>
          </cell>
          <cell r="K140">
            <v>8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23</v>
          </cell>
          <cell r="T140">
            <v>0</v>
          </cell>
        </row>
        <row r="141">
          <cell r="C141" t="str">
            <v>Census Tract 214, King County, Washington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C142" t="str">
            <v>Census Tract 215, King County, Washington</v>
          </cell>
          <cell r="D142">
            <v>36</v>
          </cell>
          <cell r="E142">
            <v>21</v>
          </cell>
          <cell r="F142">
            <v>12</v>
          </cell>
          <cell r="G142">
            <v>9</v>
          </cell>
          <cell r="H142">
            <v>0</v>
          </cell>
          <cell r="I142">
            <v>0</v>
          </cell>
          <cell r="J142">
            <v>0</v>
          </cell>
          <cell r="K142">
            <v>9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15</v>
          </cell>
          <cell r="Q142">
            <v>9</v>
          </cell>
          <cell r="R142">
            <v>6</v>
          </cell>
          <cell r="S142">
            <v>21</v>
          </cell>
          <cell r="T142">
            <v>15</v>
          </cell>
        </row>
        <row r="143">
          <cell r="C143" t="str">
            <v>Census Tract 216, King County, Washington</v>
          </cell>
          <cell r="D143">
            <v>19</v>
          </cell>
          <cell r="E143">
            <v>19</v>
          </cell>
          <cell r="F143">
            <v>19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19</v>
          </cell>
          <cell r="T143">
            <v>0</v>
          </cell>
        </row>
        <row r="144">
          <cell r="C144" t="str">
            <v>Census Tract 217, King County, Washington</v>
          </cell>
          <cell r="D144">
            <v>6</v>
          </cell>
          <cell r="E144">
            <v>6</v>
          </cell>
          <cell r="F144">
            <v>0</v>
          </cell>
          <cell r="G144">
            <v>6</v>
          </cell>
          <cell r="H144">
            <v>0</v>
          </cell>
          <cell r="I144">
            <v>0</v>
          </cell>
          <cell r="J144">
            <v>0</v>
          </cell>
          <cell r="K144">
            <v>6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6</v>
          </cell>
          <cell r="T144">
            <v>0</v>
          </cell>
        </row>
        <row r="145">
          <cell r="C145" t="str">
            <v>Census Tract 218.02, King County, Washington</v>
          </cell>
          <cell r="D145">
            <v>7</v>
          </cell>
          <cell r="E145">
            <v>7</v>
          </cell>
          <cell r="F145">
            <v>7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7</v>
          </cell>
          <cell r="T145">
            <v>0</v>
          </cell>
        </row>
        <row r="146">
          <cell r="C146" t="str">
            <v>Census Tract 218.03, King County, Washington</v>
          </cell>
          <cell r="D146">
            <v>26</v>
          </cell>
          <cell r="E146">
            <v>17</v>
          </cell>
          <cell r="F146">
            <v>0</v>
          </cell>
          <cell r="G146">
            <v>8</v>
          </cell>
          <cell r="H146">
            <v>0</v>
          </cell>
          <cell r="I146">
            <v>0</v>
          </cell>
          <cell r="J146">
            <v>0</v>
          </cell>
          <cell r="K146">
            <v>8</v>
          </cell>
          <cell r="L146">
            <v>9</v>
          </cell>
          <cell r="M146">
            <v>0</v>
          </cell>
          <cell r="N146">
            <v>9</v>
          </cell>
          <cell r="O146">
            <v>0</v>
          </cell>
          <cell r="P146">
            <v>9</v>
          </cell>
          <cell r="Q146">
            <v>0</v>
          </cell>
          <cell r="R146">
            <v>9</v>
          </cell>
          <cell r="S146">
            <v>8</v>
          </cell>
          <cell r="T146">
            <v>18</v>
          </cell>
        </row>
        <row r="147">
          <cell r="C147" t="str">
            <v>Census Tract 218.04, King County, Washington</v>
          </cell>
          <cell r="D147">
            <v>6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6</v>
          </cell>
          <cell r="Q147">
            <v>6</v>
          </cell>
          <cell r="R147">
            <v>0</v>
          </cell>
          <cell r="S147">
            <v>0</v>
          </cell>
          <cell r="T147">
            <v>6</v>
          </cell>
        </row>
        <row r="148">
          <cell r="C148" t="str">
            <v>Census Tract 219.03, King County, Washington</v>
          </cell>
          <cell r="D148">
            <v>91</v>
          </cell>
          <cell r="E148">
            <v>74</v>
          </cell>
          <cell r="F148">
            <v>65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9</v>
          </cell>
          <cell r="M148">
            <v>0</v>
          </cell>
          <cell r="N148">
            <v>9</v>
          </cell>
          <cell r="O148">
            <v>0</v>
          </cell>
          <cell r="P148">
            <v>17</v>
          </cell>
          <cell r="Q148">
            <v>17</v>
          </cell>
          <cell r="R148">
            <v>0</v>
          </cell>
          <cell r="S148">
            <v>65</v>
          </cell>
          <cell r="T148">
            <v>26</v>
          </cell>
        </row>
        <row r="149">
          <cell r="C149" t="str">
            <v>Census Tract 219.04, King County, Washington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C150" t="str">
            <v>Census Tract 219.05, King County, Washington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C151" t="str">
            <v>Census Tract 219.06, King County, Washington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C152" t="str">
            <v>Census Tract 220.01, King County, Washington</v>
          </cell>
          <cell r="D152">
            <v>5</v>
          </cell>
          <cell r="E152">
            <v>5</v>
          </cell>
          <cell r="F152">
            <v>0</v>
          </cell>
          <cell r="G152">
            <v>5</v>
          </cell>
          <cell r="H152">
            <v>0</v>
          </cell>
          <cell r="I152">
            <v>0</v>
          </cell>
          <cell r="J152">
            <v>0</v>
          </cell>
          <cell r="K152">
            <v>5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5</v>
          </cell>
          <cell r="T152">
            <v>0</v>
          </cell>
        </row>
        <row r="153">
          <cell r="C153" t="str">
            <v>Census Tract 220.03, King County, Washington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C154" t="str">
            <v>Census Tract 220.05, King County, Washington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C155" t="str">
            <v>Census Tract 220.06, King County, Washington</v>
          </cell>
          <cell r="D155">
            <v>6</v>
          </cell>
          <cell r="E155">
            <v>6</v>
          </cell>
          <cell r="F155">
            <v>0</v>
          </cell>
          <cell r="G155">
            <v>6</v>
          </cell>
          <cell r="H155">
            <v>0</v>
          </cell>
          <cell r="I155">
            <v>0</v>
          </cell>
          <cell r="J155">
            <v>0</v>
          </cell>
          <cell r="K155">
            <v>6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6</v>
          </cell>
          <cell r="T155">
            <v>0</v>
          </cell>
        </row>
        <row r="156">
          <cell r="C156" t="str">
            <v>Census Tract 221.01, King County, Washington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C157" t="str">
            <v>Census Tract 221.02, King County, Washington</v>
          </cell>
          <cell r="D157">
            <v>77</v>
          </cell>
          <cell r="E157">
            <v>77</v>
          </cell>
          <cell r="F157">
            <v>49</v>
          </cell>
          <cell r="G157">
            <v>28</v>
          </cell>
          <cell r="H157">
            <v>12</v>
          </cell>
          <cell r="I157">
            <v>0</v>
          </cell>
          <cell r="J157">
            <v>0</v>
          </cell>
          <cell r="K157">
            <v>16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77</v>
          </cell>
          <cell r="T157">
            <v>0</v>
          </cell>
        </row>
        <row r="158">
          <cell r="C158" t="str">
            <v>Census Tract 222.01, King County, Washington</v>
          </cell>
          <cell r="D158">
            <v>9</v>
          </cell>
          <cell r="E158">
            <v>9</v>
          </cell>
          <cell r="F158">
            <v>2</v>
          </cell>
          <cell r="G158">
            <v>7</v>
          </cell>
          <cell r="H158">
            <v>0</v>
          </cell>
          <cell r="I158">
            <v>0</v>
          </cell>
          <cell r="J158">
            <v>0</v>
          </cell>
          <cell r="K158">
            <v>7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9</v>
          </cell>
          <cell r="T158">
            <v>0</v>
          </cell>
        </row>
        <row r="159">
          <cell r="C159" t="str">
            <v>Census Tract 222.02, King County, Washington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C160" t="str">
            <v>Census Tract 222.03, King County, Washington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C161" t="str">
            <v>Census Tract 223, King County, Washington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C162" t="str">
            <v>Census Tract 224, King County, Washington</v>
          </cell>
          <cell r="D162">
            <v>14</v>
          </cell>
          <cell r="E162">
            <v>14</v>
          </cell>
          <cell r="F162">
            <v>0</v>
          </cell>
          <cell r="G162">
            <v>14</v>
          </cell>
          <cell r="H162">
            <v>0</v>
          </cell>
          <cell r="I162">
            <v>0</v>
          </cell>
          <cell r="J162">
            <v>0</v>
          </cell>
          <cell r="K162">
            <v>14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14</v>
          </cell>
          <cell r="T162">
            <v>0</v>
          </cell>
        </row>
        <row r="163">
          <cell r="C163" t="str">
            <v>Census Tract 225, King County, Washington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C164" t="str">
            <v>Census Tract 226.03, King County, Washington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C165" t="str">
            <v>Census Tract 226.04, King County, Washington</v>
          </cell>
          <cell r="D165">
            <v>22</v>
          </cell>
          <cell r="E165">
            <v>8</v>
          </cell>
          <cell r="F165">
            <v>8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14</v>
          </cell>
          <cell r="Q165">
            <v>0</v>
          </cell>
          <cell r="R165">
            <v>14</v>
          </cell>
          <cell r="S165">
            <v>8</v>
          </cell>
          <cell r="T165">
            <v>14</v>
          </cell>
        </row>
        <row r="166">
          <cell r="C166" t="str">
            <v>Census Tract 226.05, King County, Washington</v>
          </cell>
          <cell r="D166">
            <v>34</v>
          </cell>
          <cell r="E166">
            <v>34</v>
          </cell>
          <cell r="F166">
            <v>8</v>
          </cell>
          <cell r="G166">
            <v>11</v>
          </cell>
          <cell r="H166">
            <v>0</v>
          </cell>
          <cell r="I166">
            <v>0</v>
          </cell>
          <cell r="J166">
            <v>0</v>
          </cell>
          <cell r="K166">
            <v>11</v>
          </cell>
          <cell r="L166">
            <v>15</v>
          </cell>
          <cell r="M166">
            <v>0</v>
          </cell>
          <cell r="N166">
            <v>15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19</v>
          </cell>
          <cell r="T166">
            <v>15</v>
          </cell>
        </row>
        <row r="167">
          <cell r="C167" t="str">
            <v>Census Tract 226.06, King County, Washington</v>
          </cell>
          <cell r="D167">
            <v>9</v>
          </cell>
          <cell r="E167">
            <v>9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9</v>
          </cell>
          <cell r="M167">
            <v>0</v>
          </cell>
          <cell r="N167">
            <v>9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9</v>
          </cell>
        </row>
        <row r="168">
          <cell r="C168" t="str">
            <v>Census Tract 227.01, King County, Washington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C169" t="str">
            <v>Census Tract 227.02, King County, Washington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C170" t="str">
            <v>Census Tract 227.03, King County, Washington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C171" t="str">
            <v>Census Tract 228.01, King County, Washington</v>
          </cell>
          <cell r="D171">
            <v>37</v>
          </cell>
          <cell r="E171">
            <v>37</v>
          </cell>
          <cell r="F171">
            <v>11</v>
          </cell>
          <cell r="G171">
            <v>8</v>
          </cell>
          <cell r="H171">
            <v>8</v>
          </cell>
          <cell r="I171">
            <v>0</v>
          </cell>
          <cell r="J171">
            <v>0</v>
          </cell>
          <cell r="K171">
            <v>0</v>
          </cell>
          <cell r="L171">
            <v>18</v>
          </cell>
          <cell r="M171">
            <v>0</v>
          </cell>
          <cell r="N171">
            <v>10</v>
          </cell>
          <cell r="O171">
            <v>8</v>
          </cell>
          <cell r="P171">
            <v>0</v>
          </cell>
          <cell r="Q171">
            <v>0</v>
          </cell>
          <cell r="R171">
            <v>0</v>
          </cell>
          <cell r="S171">
            <v>19</v>
          </cell>
          <cell r="T171">
            <v>18</v>
          </cell>
        </row>
        <row r="172">
          <cell r="C172" t="str">
            <v>Census Tract 228.02, King County, Washington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C173" t="str">
            <v>Census Tract 228.03, King County, Washington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C174" t="str">
            <v>Census Tract 229.01, King County, Washington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C175" t="str">
            <v>Census Tract 229.02, King County, Washington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C176" t="str">
            <v>Census Tract 230, King County, Washington</v>
          </cell>
          <cell r="D176">
            <v>35</v>
          </cell>
          <cell r="E176">
            <v>7</v>
          </cell>
          <cell r="F176">
            <v>0</v>
          </cell>
          <cell r="G176">
            <v>2</v>
          </cell>
          <cell r="H176">
            <v>0</v>
          </cell>
          <cell r="I176">
            <v>0</v>
          </cell>
          <cell r="J176">
            <v>0</v>
          </cell>
          <cell r="K176">
            <v>2</v>
          </cell>
          <cell r="L176">
            <v>5</v>
          </cell>
          <cell r="M176">
            <v>0</v>
          </cell>
          <cell r="N176">
            <v>5</v>
          </cell>
          <cell r="O176">
            <v>0</v>
          </cell>
          <cell r="P176">
            <v>28</v>
          </cell>
          <cell r="Q176">
            <v>0</v>
          </cell>
          <cell r="R176">
            <v>28</v>
          </cell>
          <cell r="S176">
            <v>2</v>
          </cell>
          <cell r="T176">
            <v>33</v>
          </cell>
        </row>
        <row r="177">
          <cell r="C177" t="str">
            <v>Census Tract 231, King County, Washington</v>
          </cell>
          <cell r="D177">
            <v>37</v>
          </cell>
          <cell r="E177">
            <v>29</v>
          </cell>
          <cell r="F177">
            <v>0</v>
          </cell>
          <cell r="G177">
            <v>22</v>
          </cell>
          <cell r="H177">
            <v>0</v>
          </cell>
          <cell r="I177">
            <v>0</v>
          </cell>
          <cell r="J177">
            <v>0</v>
          </cell>
          <cell r="K177">
            <v>22</v>
          </cell>
          <cell r="L177">
            <v>7</v>
          </cell>
          <cell r="M177">
            <v>0</v>
          </cell>
          <cell r="N177">
            <v>7</v>
          </cell>
          <cell r="O177">
            <v>0</v>
          </cell>
          <cell r="P177">
            <v>8</v>
          </cell>
          <cell r="Q177">
            <v>0</v>
          </cell>
          <cell r="R177">
            <v>8</v>
          </cell>
          <cell r="S177">
            <v>22</v>
          </cell>
          <cell r="T177">
            <v>15</v>
          </cell>
        </row>
        <row r="178">
          <cell r="C178" t="str">
            <v>Census Tract 232.01, King County, Washington</v>
          </cell>
          <cell r="D178">
            <v>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8</v>
          </cell>
          <cell r="Q178">
            <v>0</v>
          </cell>
          <cell r="R178">
            <v>8</v>
          </cell>
          <cell r="S178">
            <v>0</v>
          </cell>
          <cell r="T178">
            <v>8</v>
          </cell>
        </row>
        <row r="179">
          <cell r="C179" t="str">
            <v>Census Tract 232.02, King County, Washington</v>
          </cell>
          <cell r="D179">
            <v>7</v>
          </cell>
          <cell r="E179">
            <v>7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7</v>
          </cell>
          <cell r="M179">
            <v>0</v>
          </cell>
          <cell r="N179">
            <v>7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7</v>
          </cell>
        </row>
        <row r="180">
          <cell r="C180" t="str">
            <v>Census Tract 233, King County, Washington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C181" t="str">
            <v>Census Tract 234.01, King County, Washington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C182" t="str">
            <v>Census Tract 234.02, King County, Washington</v>
          </cell>
          <cell r="D182">
            <v>35</v>
          </cell>
          <cell r="E182">
            <v>9</v>
          </cell>
          <cell r="F182">
            <v>9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26</v>
          </cell>
          <cell r="Q182">
            <v>0</v>
          </cell>
          <cell r="R182">
            <v>26</v>
          </cell>
          <cell r="S182">
            <v>9</v>
          </cell>
          <cell r="T182">
            <v>26</v>
          </cell>
        </row>
        <row r="183">
          <cell r="C183" t="str">
            <v>Census Tract 235, King County, Washington</v>
          </cell>
          <cell r="D183">
            <v>9</v>
          </cell>
          <cell r="E183">
            <v>9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9</v>
          </cell>
          <cell r="M183">
            <v>0</v>
          </cell>
          <cell r="N183">
            <v>9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9</v>
          </cell>
        </row>
        <row r="184">
          <cell r="C184" t="str">
            <v>Census Tract 236.01, King County, Washington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C185" t="str">
            <v>Census Tract 236.03, King County, Washington</v>
          </cell>
          <cell r="D185">
            <v>5</v>
          </cell>
          <cell r="E185">
            <v>5</v>
          </cell>
          <cell r="F185">
            <v>5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5</v>
          </cell>
          <cell r="T185">
            <v>0</v>
          </cell>
        </row>
        <row r="186">
          <cell r="C186" t="str">
            <v>Census Tract 236.04, King County, Washington</v>
          </cell>
          <cell r="D186">
            <v>32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32</v>
          </cell>
          <cell r="Q186">
            <v>0</v>
          </cell>
          <cell r="R186">
            <v>32</v>
          </cell>
          <cell r="S186">
            <v>0</v>
          </cell>
          <cell r="T186">
            <v>32</v>
          </cell>
        </row>
        <row r="187">
          <cell r="C187" t="str">
            <v>Census Tract 237, King County, Washington</v>
          </cell>
          <cell r="D187">
            <v>8</v>
          </cell>
          <cell r="E187">
            <v>8</v>
          </cell>
          <cell r="F187">
            <v>0</v>
          </cell>
          <cell r="G187">
            <v>8</v>
          </cell>
          <cell r="H187">
            <v>0</v>
          </cell>
          <cell r="I187">
            <v>0</v>
          </cell>
          <cell r="J187">
            <v>0</v>
          </cell>
          <cell r="K187">
            <v>8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8</v>
          </cell>
          <cell r="T187">
            <v>0</v>
          </cell>
        </row>
        <row r="188">
          <cell r="C188" t="str">
            <v>Census Tract 238.01, King County, Washington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C189" t="str">
            <v>Census Tract 238.02, King County, Washington</v>
          </cell>
          <cell r="D189">
            <v>19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19</v>
          </cell>
          <cell r="Q189">
            <v>19</v>
          </cell>
          <cell r="R189">
            <v>0</v>
          </cell>
          <cell r="S189">
            <v>0</v>
          </cell>
          <cell r="T189">
            <v>19</v>
          </cell>
        </row>
        <row r="190">
          <cell r="C190" t="str">
            <v>Census Tract 239, King County, Washington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C191" t="str">
            <v>Census Tract 240, King County, Washington</v>
          </cell>
          <cell r="D191">
            <v>13</v>
          </cell>
          <cell r="E191">
            <v>13</v>
          </cell>
          <cell r="F191">
            <v>13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13</v>
          </cell>
          <cell r="T191">
            <v>0</v>
          </cell>
        </row>
        <row r="192">
          <cell r="C192" t="str">
            <v>Census Tract 241, King County, Washington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C193" t="str">
            <v>Census Tract 242, King County, Washington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C194" t="str">
            <v>Census Tract 243, King County, Washington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 t="str">
            <v>Census Tract 244, King County, Washington</v>
          </cell>
          <cell r="D195">
            <v>18</v>
          </cell>
          <cell r="E195">
            <v>18</v>
          </cell>
          <cell r="F195">
            <v>0</v>
          </cell>
          <cell r="G195">
            <v>8</v>
          </cell>
          <cell r="H195">
            <v>0</v>
          </cell>
          <cell r="I195">
            <v>0</v>
          </cell>
          <cell r="J195">
            <v>8</v>
          </cell>
          <cell r="K195">
            <v>0</v>
          </cell>
          <cell r="L195">
            <v>10</v>
          </cell>
          <cell r="M195">
            <v>0</v>
          </cell>
          <cell r="N195">
            <v>10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8</v>
          </cell>
          <cell r="T195">
            <v>10</v>
          </cell>
        </row>
        <row r="196">
          <cell r="C196" t="str">
            <v>Census Tract 245, King County, Washington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C197" t="str">
            <v>Census Tract 246.01, King County, Washington</v>
          </cell>
          <cell r="D197">
            <v>9</v>
          </cell>
          <cell r="E197">
            <v>9</v>
          </cell>
          <cell r="F197">
            <v>0</v>
          </cell>
          <cell r="G197">
            <v>3</v>
          </cell>
          <cell r="H197">
            <v>0</v>
          </cell>
          <cell r="I197">
            <v>0</v>
          </cell>
          <cell r="J197">
            <v>0</v>
          </cell>
          <cell r="K197">
            <v>3</v>
          </cell>
          <cell r="L197">
            <v>6</v>
          </cell>
          <cell r="M197">
            <v>0</v>
          </cell>
          <cell r="N197">
            <v>6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3</v>
          </cell>
          <cell r="T197">
            <v>6</v>
          </cell>
        </row>
        <row r="198">
          <cell r="C198" t="str">
            <v>Census Tract 246.02, King County, Washington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C199" t="str">
            <v>Census Tract 247.01, King County, Washington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C200" t="str">
            <v>Census Tract 247.02, King County, Washington</v>
          </cell>
          <cell r="D200">
            <v>7</v>
          </cell>
          <cell r="E200">
            <v>7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7</v>
          </cell>
          <cell r="M200">
            <v>0</v>
          </cell>
          <cell r="N200">
            <v>7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7</v>
          </cell>
        </row>
        <row r="201">
          <cell r="C201" t="str">
            <v>Census Tract 248, King County, Washington</v>
          </cell>
          <cell r="D201">
            <v>40</v>
          </cell>
          <cell r="E201">
            <v>40</v>
          </cell>
          <cell r="F201">
            <v>22</v>
          </cell>
          <cell r="G201">
            <v>7</v>
          </cell>
          <cell r="H201">
            <v>0</v>
          </cell>
          <cell r="I201">
            <v>0</v>
          </cell>
          <cell r="J201">
            <v>0</v>
          </cell>
          <cell r="K201">
            <v>7</v>
          </cell>
          <cell r="L201">
            <v>11</v>
          </cell>
          <cell r="M201">
            <v>0</v>
          </cell>
          <cell r="N201">
            <v>11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</v>
          </cell>
          <cell r="T201">
            <v>11</v>
          </cell>
        </row>
        <row r="202">
          <cell r="C202" t="str">
            <v>Census Tract 249.01, King County, Washington</v>
          </cell>
          <cell r="D202">
            <v>8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8</v>
          </cell>
          <cell r="Q202">
            <v>0</v>
          </cell>
          <cell r="R202">
            <v>8</v>
          </cell>
          <cell r="S202">
            <v>0</v>
          </cell>
          <cell r="T202">
            <v>8</v>
          </cell>
        </row>
        <row r="203">
          <cell r="C203" t="str">
            <v>Census Tract 249.02, King County, Washington</v>
          </cell>
          <cell r="D203">
            <v>15</v>
          </cell>
          <cell r="E203">
            <v>15</v>
          </cell>
          <cell r="F203">
            <v>0</v>
          </cell>
          <cell r="G203">
            <v>11</v>
          </cell>
          <cell r="H203">
            <v>6</v>
          </cell>
          <cell r="I203">
            <v>5</v>
          </cell>
          <cell r="J203">
            <v>0</v>
          </cell>
          <cell r="K203">
            <v>0</v>
          </cell>
          <cell r="L203">
            <v>4</v>
          </cell>
          <cell r="M203">
            <v>0</v>
          </cell>
          <cell r="N203">
            <v>0</v>
          </cell>
          <cell r="O203">
            <v>4</v>
          </cell>
          <cell r="P203">
            <v>0</v>
          </cell>
          <cell r="Q203">
            <v>0</v>
          </cell>
          <cell r="R203">
            <v>0</v>
          </cell>
          <cell r="S203">
            <v>11</v>
          </cell>
          <cell r="T203">
            <v>4</v>
          </cell>
        </row>
        <row r="204">
          <cell r="C204" t="str">
            <v>Census Tract 249.03, King County, Washington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C205" t="str">
            <v>Census Tract 250.01, King County, Washington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C206" t="str">
            <v>Census Tract 250.03, King County, Washington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C207" t="str">
            <v>Census Tract 250.04, King County, Washington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C208" t="str">
            <v>Census Tract 251.01, King County, Washington</v>
          </cell>
          <cell r="D208">
            <v>6</v>
          </cell>
          <cell r="E208">
            <v>6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6</v>
          </cell>
          <cell r="M208">
            <v>0</v>
          </cell>
          <cell r="N208">
            <v>6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6</v>
          </cell>
        </row>
        <row r="209">
          <cell r="C209" t="str">
            <v>Census Tract 251.02, King County, Washington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C210" t="str">
            <v>Census Tract 252, King County, Washington</v>
          </cell>
          <cell r="D210">
            <v>82</v>
          </cell>
          <cell r="E210">
            <v>70</v>
          </cell>
          <cell r="F210">
            <v>27</v>
          </cell>
          <cell r="G210">
            <v>43</v>
          </cell>
          <cell r="H210">
            <v>0</v>
          </cell>
          <cell r="I210">
            <v>0</v>
          </cell>
          <cell r="J210">
            <v>0</v>
          </cell>
          <cell r="K210">
            <v>43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12</v>
          </cell>
          <cell r="Q210">
            <v>12</v>
          </cell>
          <cell r="R210">
            <v>0</v>
          </cell>
          <cell r="S210">
            <v>70</v>
          </cell>
          <cell r="T210">
            <v>12</v>
          </cell>
        </row>
        <row r="211">
          <cell r="C211" t="str">
            <v>Census Tract 253, King County, Washington</v>
          </cell>
          <cell r="D211">
            <v>27</v>
          </cell>
          <cell r="E211">
            <v>27</v>
          </cell>
          <cell r="F211">
            <v>27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27</v>
          </cell>
          <cell r="T211">
            <v>0</v>
          </cell>
        </row>
        <row r="212">
          <cell r="C212" t="str">
            <v>Census Tract 254, King County, Washington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C213" t="str">
            <v>Census Tract 255, King County, Washington</v>
          </cell>
          <cell r="D213">
            <v>30</v>
          </cell>
          <cell r="E213">
            <v>12</v>
          </cell>
          <cell r="F213">
            <v>12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18</v>
          </cell>
          <cell r="Q213">
            <v>0</v>
          </cell>
          <cell r="R213">
            <v>18</v>
          </cell>
          <cell r="S213">
            <v>12</v>
          </cell>
          <cell r="T213">
            <v>18</v>
          </cell>
        </row>
        <row r="214">
          <cell r="C214" t="str">
            <v>Census Tract 256, King County, Washington</v>
          </cell>
          <cell r="D214">
            <v>5</v>
          </cell>
          <cell r="E214">
            <v>5</v>
          </cell>
          <cell r="F214">
            <v>0</v>
          </cell>
          <cell r="G214">
            <v>5</v>
          </cell>
          <cell r="H214">
            <v>0</v>
          </cell>
          <cell r="I214">
            <v>0</v>
          </cell>
          <cell r="J214">
            <v>0</v>
          </cell>
          <cell r="K214">
            <v>5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5</v>
          </cell>
          <cell r="T214">
            <v>0</v>
          </cell>
        </row>
        <row r="215">
          <cell r="C215" t="str">
            <v>Census Tract 257.01, King County, Washington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C216" t="str">
            <v>Census Tract 257.02, King County, Washington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C217" t="str">
            <v>Census Tract 258.01, King County, Washington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C218" t="str">
            <v>Census Tract 258.03, King County, Washington</v>
          </cell>
          <cell r="D218">
            <v>94</v>
          </cell>
          <cell r="E218">
            <v>88</v>
          </cell>
          <cell r="F218">
            <v>37</v>
          </cell>
          <cell r="G218">
            <v>51</v>
          </cell>
          <cell r="H218">
            <v>0</v>
          </cell>
          <cell r="I218">
            <v>0</v>
          </cell>
          <cell r="J218">
            <v>0</v>
          </cell>
          <cell r="K218">
            <v>51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6</v>
          </cell>
          <cell r="Q218">
            <v>0</v>
          </cell>
          <cell r="R218">
            <v>6</v>
          </cell>
          <cell r="S218">
            <v>88</v>
          </cell>
          <cell r="T218">
            <v>6</v>
          </cell>
        </row>
        <row r="219">
          <cell r="C219" t="str">
            <v>Census Tract 258.04, King County, Washington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C220" t="str">
            <v>Census Tract 260.01, King County, Washington</v>
          </cell>
          <cell r="D220">
            <v>31</v>
          </cell>
          <cell r="E220">
            <v>31</v>
          </cell>
          <cell r="F220">
            <v>18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13</v>
          </cell>
          <cell r="M220">
            <v>0</v>
          </cell>
          <cell r="N220">
            <v>13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18</v>
          </cell>
          <cell r="T220">
            <v>13</v>
          </cell>
        </row>
        <row r="221">
          <cell r="C221" t="str">
            <v>Census Tract 260.02, King County, Washington</v>
          </cell>
          <cell r="D221">
            <v>37</v>
          </cell>
          <cell r="E221">
            <v>10</v>
          </cell>
          <cell r="F221">
            <v>0</v>
          </cell>
          <cell r="G221">
            <v>10</v>
          </cell>
          <cell r="H221">
            <v>0</v>
          </cell>
          <cell r="I221">
            <v>10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27</v>
          </cell>
          <cell r="Q221">
            <v>0</v>
          </cell>
          <cell r="R221">
            <v>27</v>
          </cell>
          <cell r="S221">
            <v>10</v>
          </cell>
          <cell r="T221">
            <v>27</v>
          </cell>
        </row>
        <row r="222">
          <cell r="C222" t="str">
            <v>Census Tract 261, King County, Washington</v>
          </cell>
          <cell r="D222">
            <v>103</v>
          </cell>
          <cell r="E222">
            <v>60</v>
          </cell>
          <cell r="F222">
            <v>0</v>
          </cell>
          <cell r="G222">
            <v>8</v>
          </cell>
          <cell r="H222">
            <v>0</v>
          </cell>
          <cell r="I222">
            <v>0</v>
          </cell>
          <cell r="J222">
            <v>0</v>
          </cell>
          <cell r="K222">
            <v>8</v>
          </cell>
          <cell r="L222">
            <v>52</v>
          </cell>
          <cell r="M222">
            <v>0</v>
          </cell>
          <cell r="N222">
            <v>39</v>
          </cell>
          <cell r="O222">
            <v>13</v>
          </cell>
          <cell r="P222">
            <v>43</v>
          </cell>
          <cell r="Q222">
            <v>0</v>
          </cell>
          <cell r="R222">
            <v>43</v>
          </cell>
          <cell r="S222">
            <v>8</v>
          </cell>
          <cell r="T222">
            <v>95</v>
          </cell>
        </row>
        <row r="223">
          <cell r="C223" t="str">
            <v>Census Tract 262, King County, Washington</v>
          </cell>
          <cell r="D223">
            <v>13</v>
          </cell>
          <cell r="E223">
            <v>13</v>
          </cell>
          <cell r="F223">
            <v>0</v>
          </cell>
          <cell r="G223">
            <v>13</v>
          </cell>
          <cell r="H223">
            <v>0</v>
          </cell>
          <cell r="I223">
            <v>0</v>
          </cell>
          <cell r="J223">
            <v>0</v>
          </cell>
          <cell r="K223">
            <v>13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13</v>
          </cell>
          <cell r="T223">
            <v>0</v>
          </cell>
        </row>
        <row r="224">
          <cell r="C224" t="str">
            <v>Census Tract 263, King County, Washington</v>
          </cell>
          <cell r="D224">
            <v>26</v>
          </cell>
          <cell r="E224">
            <v>15</v>
          </cell>
          <cell r="F224">
            <v>15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11</v>
          </cell>
          <cell r="Q224">
            <v>11</v>
          </cell>
          <cell r="R224">
            <v>0</v>
          </cell>
          <cell r="S224">
            <v>15</v>
          </cell>
          <cell r="T224">
            <v>11</v>
          </cell>
        </row>
        <row r="225">
          <cell r="C225" t="str">
            <v>Census Tract 264, King County, Washington</v>
          </cell>
          <cell r="D225">
            <v>83</v>
          </cell>
          <cell r="E225">
            <v>57</v>
          </cell>
          <cell r="F225">
            <v>26</v>
          </cell>
          <cell r="G225">
            <v>20</v>
          </cell>
          <cell r="H225">
            <v>0</v>
          </cell>
          <cell r="I225">
            <v>0</v>
          </cell>
          <cell r="J225">
            <v>0</v>
          </cell>
          <cell r="K225">
            <v>20</v>
          </cell>
          <cell r="L225">
            <v>11</v>
          </cell>
          <cell r="M225">
            <v>0</v>
          </cell>
          <cell r="N225">
            <v>0</v>
          </cell>
          <cell r="O225">
            <v>11</v>
          </cell>
          <cell r="P225">
            <v>26</v>
          </cell>
          <cell r="Q225">
            <v>26</v>
          </cell>
          <cell r="R225">
            <v>0</v>
          </cell>
          <cell r="S225">
            <v>46</v>
          </cell>
          <cell r="T225">
            <v>37</v>
          </cell>
        </row>
        <row r="226">
          <cell r="C226" t="str">
            <v>Census Tract 265, King County, Washington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C227" t="str">
            <v>Census Tract 266, King County, Washington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C228" t="str">
            <v>Census Tract 267, King County, Washington</v>
          </cell>
          <cell r="D228">
            <v>161</v>
          </cell>
          <cell r="E228">
            <v>96</v>
          </cell>
          <cell r="F228">
            <v>33</v>
          </cell>
          <cell r="G228">
            <v>49</v>
          </cell>
          <cell r="H228">
            <v>0</v>
          </cell>
          <cell r="I228">
            <v>0</v>
          </cell>
          <cell r="J228">
            <v>0</v>
          </cell>
          <cell r="K228">
            <v>49</v>
          </cell>
          <cell r="L228">
            <v>14</v>
          </cell>
          <cell r="M228">
            <v>0</v>
          </cell>
          <cell r="N228">
            <v>14</v>
          </cell>
          <cell r="O228">
            <v>0</v>
          </cell>
          <cell r="P228">
            <v>65</v>
          </cell>
          <cell r="Q228">
            <v>31</v>
          </cell>
          <cell r="R228">
            <v>34</v>
          </cell>
          <cell r="S228">
            <v>82</v>
          </cell>
          <cell r="T228">
            <v>79</v>
          </cell>
        </row>
        <row r="229">
          <cell r="C229" t="str">
            <v>Census Tract 268.01, King County, Washington</v>
          </cell>
          <cell r="D229">
            <v>116</v>
          </cell>
          <cell r="E229">
            <v>116</v>
          </cell>
          <cell r="F229">
            <v>17</v>
          </cell>
          <cell r="G229">
            <v>25</v>
          </cell>
          <cell r="H229">
            <v>0</v>
          </cell>
          <cell r="I229">
            <v>0</v>
          </cell>
          <cell r="J229">
            <v>0</v>
          </cell>
          <cell r="K229">
            <v>25</v>
          </cell>
          <cell r="L229">
            <v>74</v>
          </cell>
          <cell r="M229">
            <v>0</v>
          </cell>
          <cell r="N229">
            <v>74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</v>
          </cell>
          <cell r="T229">
            <v>74</v>
          </cell>
        </row>
        <row r="230">
          <cell r="C230" t="str">
            <v>Census Tract 268.02, King County, Washington</v>
          </cell>
          <cell r="D230">
            <v>182</v>
          </cell>
          <cell r="E230">
            <v>121</v>
          </cell>
          <cell r="F230">
            <v>63</v>
          </cell>
          <cell r="G230">
            <v>43</v>
          </cell>
          <cell r="H230">
            <v>0</v>
          </cell>
          <cell r="I230">
            <v>0</v>
          </cell>
          <cell r="J230">
            <v>0</v>
          </cell>
          <cell r="K230">
            <v>43</v>
          </cell>
          <cell r="L230">
            <v>15</v>
          </cell>
          <cell r="M230">
            <v>0</v>
          </cell>
          <cell r="N230">
            <v>15</v>
          </cell>
          <cell r="O230">
            <v>0</v>
          </cell>
          <cell r="P230">
            <v>61</v>
          </cell>
          <cell r="Q230">
            <v>17</v>
          </cell>
          <cell r="R230">
            <v>44</v>
          </cell>
          <cell r="S230">
            <v>106</v>
          </cell>
          <cell r="T230">
            <v>76</v>
          </cell>
        </row>
        <row r="231">
          <cell r="C231" t="str">
            <v>Census Tract 269, King County, Washington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C232" t="str">
            <v>Census Tract 270, King County, Washington</v>
          </cell>
          <cell r="D232">
            <v>14</v>
          </cell>
          <cell r="E232">
            <v>5</v>
          </cell>
          <cell r="F232">
            <v>0</v>
          </cell>
          <cell r="G232">
            <v>5</v>
          </cell>
          <cell r="H232">
            <v>0</v>
          </cell>
          <cell r="I232">
            <v>0</v>
          </cell>
          <cell r="J232">
            <v>0</v>
          </cell>
          <cell r="K232">
            <v>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9</v>
          </cell>
          <cell r="Q232">
            <v>9</v>
          </cell>
          <cell r="R232">
            <v>0</v>
          </cell>
          <cell r="S232">
            <v>5</v>
          </cell>
          <cell r="T232">
            <v>9</v>
          </cell>
        </row>
        <row r="233">
          <cell r="C233" t="str">
            <v>Census Tract 271, King County, Washington</v>
          </cell>
          <cell r="D233">
            <v>52</v>
          </cell>
          <cell r="E233">
            <v>52</v>
          </cell>
          <cell r="F233">
            <v>6</v>
          </cell>
          <cell r="G233">
            <v>21</v>
          </cell>
          <cell r="H233">
            <v>0</v>
          </cell>
          <cell r="I233">
            <v>0</v>
          </cell>
          <cell r="J233">
            <v>0</v>
          </cell>
          <cell r="K233">
            <v>21</v>
          </cell>
          <cell r="L233">
            <v>25</v>
          </cell>
          <cell r="M233">
            <v>0</v>
          </cell>
          <cell r="N233">
            <v>25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27</v>
          </cell>
          <cell r="T233">
            <v>25</v>
          </cell>
        </row>
        <row r="234">
          <cell r="C234" t="str">
            <v>Census Tract 272, King County, Washington</v>
          </cell>
          <cell r="D234">
            <v>85</v>
          </cell>
          <cell r="E234">
            <v>65</v>
          </cell>
          <cell r="F234">
            <v>59</v>
          </cell>
          <cell r="G234">
            <v>6</v>
          </cell>
          <cell r="H234">
            <v>0</v>
          </cell>
          <cell r="I234">
            <v>0</v>
          </cell>
          <cell r="J234">
            <v>0</v>
          </cell>
          <cell r="K234">
            <v>6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20</v>
          </cell>
          <cell r="Q234">
            <v>0</v>
          </cell>
          <cell r="R234">
            <v>20</v>
          </cell>
          <cell r="S234">
            <v>65</v>
          </cell>
          <cell r="T234">
            <v>20</v>
          </cell>
        </row>
        <row r="235">
          <cell r="C235" t="str">
            <v>Census Tract 273, King County, Washington</v>
          </cell>
          <cell r="D235">
            <v>90</v>
          </cell>
          <cell r="E235">
            <v>41</v>
          </cell>
          <cell r="F235">
            <v>41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49</v>
          </cell>
          <cell r="Q235">
            <v>0</v>
          </cell>
          <cell r="R235">
            <v>49</v>
          </cell>
          <cell r="S235">
            <v>41</v>
          </cell>
          <cell r="T235">
            <v>49</v>
          </cell>
        </row>
        <row r="236">
          <cell r="C236" t="str">
            <v>Census Tract 274, King County, Washington</v>
          </cell>
          <cell r="D236">
            <v>48</v>
          </cell>
          <cell r="E236">
            <v>22</v>
          </cell>
          <cell r="F236">
            <v>22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26</v>
          </cell>
          <cell r="Q236">
            <v>15</v>
          </cell>
          <cell r="R236">
            <v>11</v>
          </cell>
          <cell r="S236">
            <v>22</v>
          </cell>
          <cell r="T236">
            <v>26</v>
          </cell>
        </row>
        <row r="237">
          <cell r="C237" t="str">
            <v>Census Tract 275, King County, Washington</v>
          </cell>
          <cell r="D237">
            <v>13</v>
          </cell>
          <cell r="E237">
            <v>4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4</v>
          </cell>
          <cell r="M237">
            <v>0</v>
          </cell>
          <cell r="N237">
            <v>4</v>
          </cell>
          <cell r="O237">
            <v>0</v>
          </cell>
          <cell r="P237">
            <v>9</v>
          </cell>
          <cell r="Q237">
            <v>0</v>
          </cell>
          <cell r="R237">
            <v>9</v>
          </cell>
          <cell r="S237">
            <v>0</v>
          </cell>
          <cell r="T237">
            <v>13</v>
          </cell>
        </row>
        <row r="238">
          <cell r="C238" t="str">
            <v>Census Tract 276, King County, Washington</v>
          </cell>
          <cell r="D238">
            <v>15</v>
          </cell>
          <cell r="E238">
            <v>5</v>
          </cell>
          <cell r="F238">
            <v>5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10</v>
          </cell>
          <cell r="Q238">
            <v>0</v>
          </cell>
          <cell r="R238">
            <v>10</v>
          </cell>
          <cell r="S238">
            <v>5</v>
          </cell>
          <cell r="T238">
            <v>10</v>
          </cell>
        </row>
        <row r="239">
          <cell r="C239" t="str">
            <v>Census Tract 277.01, King County, Washington</v>
          </cell>
          <cell r="D239">
            <v>8</v>
          </cell>
          <cell r="E239">
            <v>8</v>
          </cell>
          <cell r="F239">
            <v>0</v>
          </cell>
          <cell r="G239">
            <v>8</v>
          </cell>
          <cell r="H239">
            <v>0</v>
          </cell>
          <cell r="I239">
            <v>0</v>
          </cell>
          <cell r="J239">
            <v>0</v>
          </cell>
          <cell r="K239">
            <v>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8</v>
          </cell>
          <cell r="T239">
            <v>0</v>
          </cell>
        </row>
        <row r="240">
          <cell r="C240" t="str">
            <v>Census Tract 277.02, King County, Washington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C241" t="str">
            <v>Census Tract 278, King County, Washington</v>
          </cell>
          <cell r="D241">
            <v>5</v>
          </cell>
          <cell r="E241">
            <v>5</v>
          </cell>
          <cell r="F241">
            <v>0</v>
          </cell>
          <cell r="G241">
            <v>5</v>
          </cell>
          <cell r="H241">
            <v>0</v>
          </cell>
          <cell r="I241">
            <v>0</v>
          </cell>
          <cell r="J241">
            <v>0</v>
          </cell>
          <cell r="K241">
            <v>5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5</v>
          </cell>
          <cell r="T241">
            <v>0</v>
          </cell>
        </row>
        <row r="242">
          <cell r="C242" t="str">
            <v>Census Tract 279, King County, Washington</v>
          </cell>
          <cell r="D242">
            <v>57</v>
          </cell>
          <cell r="E242">
            <v>38</v>
          </cell>
          <cell r="F242">
            <v>0</v>
          </cell>
          <cell r="G242">
            <v>29</v>
          </cell>
          <cell r="H242">
            <v>0</v>
          </cell>
          <cell r="I242">
            <v>0</v>
          </cell>
          <cell r="J242">
            <v>0</v>
          </cell>
          <cell r="K242">
            <v>29</v>
          </cell>
          <cell r="L242">
            <v>9</v>
          </cell>
          <cell r="M242">
            <v>0</v>
          </cell>
          <cell r="N242">
            <v>9</v>
          </cell>
          <cell r="O242">
            <v>0</v>
          </cell>
          <cell r="P242">
            <v>19</v>
          </cell>
          <cell r="Q242">
            <v>19</v>
          </cell>
          <cell r="R242">
            <v>0</v>
          </cell>
          <cell r="S242">
            <v>29</v>
          </cell>
          <cell r="T242">
            <v>28</v>
          </cell>
        </row>
        <row r="243">
          <cell r="C243" t="str">
            <v>Census Tract 280, King County, Washington</v>
          </cell>
          <cell r="D243">
            <v>54</v>
          </cell>
          <cell r="E243">
            <v>34</v>
          </cell>
          <cell r="F243">
            <v>27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7</v>
          </cell>
          <cell r="M243">
            <v>0</v>
          </cell>
          <cell r="N243">
            <v>7</v>
          </cell>
          <cell r="O243">
            <v>0</v>
          </cell>
          <cell r="P243">
            <v>20</v>
          </cell>
          <cell r="Q243">
            <v>11</v>
          </cell>
          <cell r="R243">
            <v>9</v>
          </cell>
          <cell r="S243">
            <v>27</v>
          </cell>
          <cell r="T243">
            <v>27</v>
          </cell>
        </row>
        <row r="244">
          <cell r="C244" t="str">
            <v>Census Tract 281, King County, Washington</v>
          </cell>
          <cell r="D244">
            <v>136</v>
          </cell>
          <cell r="E244">
            <v>136</v>
          </cell>
          <cell r="F244">
            <v>17</v>
          </cell>
          <cell r="G244">
            <v>7</v>
          </cell>
          <cell r="H244">
            <v>0</v>
          </cell>
          <cell r="I244">
            <v>0</v>
          </cell>
          <cell r="J244">
            <v>0</v>
          </cell>
          <cell r="K244">
            <v>7</v>
          </cell>
          <cell r="L244">
            <v>112</v>
          </cell>
          <cell r="M244">
            <v>0</v>
          </cell>
          <cell r="N244">
            <v>112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24</v>
          </cell>
          <cell r="T244">
            <v>112</v>
          </cell>
        </row>
        <row r="245">
          <cell r="C245" t="str">
            <v>Census Tract 282, King County, Washington</v>
          </cell>
          <cell r="D245">
            <v>146</v>
          </cell>
          <cell r="E245">
            <v>39</v>
          </cell>
          <cell r="F245">
            <v>10</v>
          </cell>
          <cell r="G245">
            <v>5</v>
          </cell>
          <cell r="H245">
            <v>0</v>
          </cell>
          <cell r="I245">
            <v>0</v>
          </cell>
          <cell r="J245">
            <v>0</v>
          </cell>
          <cell r="K245">
            <v>5</v>
          </cell>
          <cell r="L245">
            <v>24</v>
          </cell>
          <cell r="M245">
            <v>0</v>
          </cell>
          <cell r="N245">
            <v>12</v>
          </cell>
          <cell r="O245">
            <v>12</v>
          </cell>
          <cell r="P245">
            <v>107</v>
          </cell>
          <cell r="Q245">
            <v>34</v>
          </cell>
          <cell r="R245">
            <v>73</v>
          </cell>
          <cell r="S245">
            <v>15</v>
          </cell>
          <cell r="T245">
            <v>131</v>
          </cell>
        </row>
        <row r="246">
          <cell r="C246" t="str">
            <v>Census Tract 283, King County, Washington</v>
          </cell>
          <cell r="D246">
            <v>8</v>
          </cell>
          <cell r="E246">
            <v>8</v>
          </cell>
          <cell r="F246">
            <v>0</v>
          </cell>
          <cell r="G246">
            <v>8</v>
          </cell>
          <cell r="H246">
            <v>0</v>
          </cell>
          <cell r="I246">
            <v>0</v>
          </cell>
          <cell r="J246">
            <v>0</v>
          </cell>
          <cell r="K246">
            <v>8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8</v>
          </cell>
          <cell r="T246">
            <v>0</v>
          </cell>
        </row>
        <row r="247">
          <cell r="C247" t="str">
            <v>Census Tract 284.02, King County, Washington</v>
          </cell>
          <cell r="D247">
            <v>149</v>
          </cell>
          <cell r="E247">
            <v>87</v>
          </cell>
          <cell r="F247">
            <v>45</v>
          </cell>
          <cell r="G247">
            <v>28</v>
          </cell>
          <cell r="H247">
            <v>0</v>
          </cell>
          <cell r="I247">
            <v>0</v>
          </cell>
          <cell r="J247">
            <v>0</v>
          </cell>
          <cell r="K247">
            <v>28</v>
          </cell>
          <cell r="L247">
            <v>14</v>
          </cell>
          <cell r="M247">
            <v>0</v>
          </cell>
          <cell r="N247">
            <v>14</v>
          </cell>
          <cell r="O247">
            <v>0</v>
          </cell>
          <cell r="P247">
            <v>62</v>
          </cell>
          <cell r="Q247">
            <v>7</v>
          </cell>
          <cell r="R247">
            <v>55</v>
          </cell>
          <cell r="S247">
            <v>73</v>
          </cell>
          <cell r="T247">
            <v>76</v>
          </cell>
        </row>
        <row r="248">
          <cell r="C248" t="str">
            <v>Census Tract 284.03, King County, Washington</v>
          </cell>
          <cell r="D248">
            <v>74</v>
          </cell>
          <cell r="E248">
            <v>74</v>
          </cell>
          <cell r="F248">
            <v>36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38</v>
          </cell>
          <cell r="M248">
            <v>0</v>
          </cell>
          <cell r="N248">
            <v>38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36</v>
          </cell>
          <cell r="T248">
            <v>38</v>
          </cell>
        </row>
        <row r="249">
          <cell r="C249" t="str">
            <v>Census Tract 285, King County, Washington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C250" t="str">
            <v>Census Tract 286, King County, Washington</v>
          </cell>
          <cell r="D250">
            <v>16</v>
          </cell>
          <cell r="E250">
            <v>16</v>
          </cell>
          <cell r="F250">
            <v>0</v>
          </cell>
          <cell r="G250">
            <v>16</v>
          </cell>
          <cell r="H250">
            <v>0</v>
          </cell>
          <cell r="I250">
            <v>0</v>
          </cell>
          <cell r="J250">
            <v>0</v>
          </cell>
          <cell r="K250">
            <v>16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16</v>
          </cell>
          <cell r="T250">
            <v>0</v>
          </cell>
        </row>
        <row r="251">
          <cell r="C251" t="str">
            <v>Census Tract 287, King County, Washington</v>
          </cell>
          <cell r="D251">
            <v>9</v>
          </cell>
          <cell r="E251">
            <v>9</v>
          </cell>
          <cell r="F251">
            <v>0</v>
          </cell>
          <cell r="G251">
            <v>9</v>
          </cell>
          <cell r="H251">
            <v>0</v>
          </cell>
          <cell r="I251">
            <v>0</v>
          </cell>
          <cell r="J251">
            <v>9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9</v>
          </cell>
          <cell r="T251">
            <v>0</v>
          </cell>
        </row>
        <row r="252">
          <cell r="C252" t="str">
            <v>Census Tract 288.01, King County, Washington</v>
          </cell>
          <cell r="D252">
            <v>15</v>
          </cell>
          <cell r="E252">
            <v>7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7</v>
          </cell>
          <cell r="M252">
            <v>0</v>
          </cell>
          <cell r="N252">
            <v>7</v>
          </cell>
          <cell r="O252">
            <v>0</v>
          </cell>
          <cell r="P252">
            <v>8</v>
          </cell>
          <cell r="Q252">
            <v>8</v>
          </cell>
          <cell r="R252">
            <v>0</v>
          </cell>
          <cell r="S252">
            <v>0</v>
          </cell>
          <cell r="T252">
            <v>15</v>
          </cell>
        </row>
        <row r="253">
          <cell r="C253" t="str">
            <v>Census Tract 288.02, King County, Washington</v>
          </cell>
          <cell r="D253">
            <v>179</v>
          </cell>
          <cell r="E253">
            <v>116</v>
          </cell>
          <cell r="F253">
            <v>42</v>
          </cell>
          <cell r="G253">
            <v>17</v>
          </cell>
          <cell r="H253">
            <v>0</v>
          </cell>
          <cell r="I253">
            <v>0</v>
          </cell>
          <cell r="J253">
            <v>0</v>
          </cell>
          <cell r="K253">
            <v>17</v>
          </cell>
          <cell r="L253">
            <v>57</v>
          </cell>
          <cell r="M253">
            <v>0</v>
          </cell>
          <cell r="N253">
            <v>57</v>
          </cell>
          <cell r="O253">
            <v>0</v>
          </cell>
          <cell r="P253">
            <v>63</v>
          </cell>
          <cell r="Q253">
            <v>41</v>
          </cell>
          <cell r="R253">
            <v>22</v>
          </cell>
          <cell r="S253">
            <v>59</v>
          </cell>
          <cell r="T253">
            <v>120</v>
          </cell>
        </row>
        <row r="254">
          <cell r="C254" t="str">
            <v>Census Tract 289.01, King County, Washington</v>
          </cell>
          <cell r="D254">
            <v>39</v>
          </cell>
          <cell r="E254">
            <v>14</v>
          </cell>
          <cell r="F254">
            <v>7</v>
          </cell>
          <cell r="G254">
            <v>7</v>
          </cell>
          <cell r="H254">
            <v>0</v>
          </cell>
          <cell r="I254">
            <v>0</v>
          </cell>
          <cell r="J254">
            <v>0</v>
          </cell>
          <cell r="K254">
            <v>7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25</v>
          </cell>
          <cell r="Q254">
            <v>0</v>
          </cell>
          <cell r="R254">
            <v>25</v>
          </cell>
          <cell r="S254">
            <v>14</v>
          </cell>
          <cell r="T254">
            <v>25</v>
          </cell>
        </row>
        <row r="255">
          <cell r="C255" t="str">
            <v>Census Tract 289.02, King County, Washington</v>
          </cell>
          <cell r="D255">
            <v>288</v>
          </cell>
          <cell r="E255">
            <v>122</v>
          </cell>
          <cell r="F255">
            <v>50</v>
          </cell>
          <cell r="G255">
            <v>25</v>
          </cell>
          <cell r="H255">
            <v>0</v>
          </cell>
          <cell r="I255">
            <v>4</v>
          </cell>
          <cell r="J255">
            <v>0</v>
          </cell>
          <cell r="K255">
            <v>21</v>
          </cell>
          <cell r="L255">
            <v>47</v>
          </cell>
          <cell r="M255">
            <v>0</v>
          </cell>
          <cell r="N255">
            <v>34</v>
          </cell>
          <cell r="O255">
            <v>13</v>
          </cell>
          <cell r="P255">
            <v>166</v>
          </cell>
          <cell r="Q255">
            <v>35</v>
          </cell>
          <cell r="R255">
            <v>131</v>
          </cell>
          <cell r="S255">
            <v>75</v>
          </cell>
          <cell r="T255">
            <v>213</v>
          </cell>
        </row>
        <row r="256">
          <cell r="C256" t="str">
            <v>Census Tract 290.01, King County, Washington</v>
          </cell>
          <cell r="D256">
            <v>11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11</v>
          </cell>
          <cell r="Q256">
            <v>0</v>
          </cell>
          <cell r="R256">
            <v>11</v>
          </cell>
          <cell r="S256">
            <v>0</v>
          </cell>
          <cell r="T256">
            <v>11</v>
          </cell>
        </row>
        <row r="257">
          <cell r="C257" t="str">
            <v>Census Tract 290.03, King County, Washington</v>
          </cell>
          <cell r="D257">
            <v>43</v>
          </cell>
          <cell r="E257">
            <v>34</v>
          </cell>
          <cell r="F257">
            <v>4</v>
          </cell>
          <cell r="G257">
            <v>25</v>
          </cell>
          <cell r="H257">
            <v>0</v>
          </cell>
          <cell r="I257">
            <v>0</v>
          </cell>
          <cell r="J257">
            <v>0</v>
          </cell>
          <cell r="K257">
            <v>25</v>
          </cell>
          <cell r="L257">
            <v>5</v>
          </cell>
          <cell r="M257">
            <v>0</v>
          </cell>
          <cell r="N257">
            <v>5</v>
          </cell>
          <cell r="O257">
            <v>0</v>
          </cell>
          <cell r="P257">
            <v>9</v>
          </cell>
          <cell r="Q257">
            <v>9</v>
          </cell>
          <cell r="R257">
            <v>0</v>
          </cell>
          <cell r="S257">
            <v>29</v>
          </cell>
          <cell r="T257">
            <v>14</v>
          </cell>
        </row>
        <row r="258">
          <cell r="C258" t="str">
            <v>Census Tract 290.04, King County, Washington</v>
          </cell>
          <cell r="D258">
            <v>9</v>
          </cell>
          <cell r="E258">
            <v>9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9</v>
          </cell>
          <cell r="M258">
            <v>0</v>
          </cell>
          <cell r="N258">
            <v>9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9</v>
          </cell>
        </row>
        <row r="259">
          <cell r="C259" t="str">
            <v>Census Tract 291, King County, Washington</v>
          </cell>
          <cell r="D259">
            <v>60</v>
          </cell>
          <cell r="E259">
            <v>50</v>
          </cell>
          <cell r="F259">
            <v>38</v>
          </cell>
          <cell r="G259">
            <v>12</v>
          </cell>
          <cell r="H259">
            <v>0</v>
          </cell>
          <cell r="I259">
            <v>0</v>
          </cell>
          <cell r="J259">
            <v>12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10</v>
          </cell>
          <cell r="Q259">
            <v>6</v>
          </cell>
          <cell r="R259">
            <v>4</v>
          </cell>
          <cell r="S259">
            <v>50</v>
          </cell>
          <cell r="T259">
            <v>10</v>
          </cell>
        </row>
        <row r="260">
          <cell r="C260" t="str">
            <v>Census Tract 292.01, King County, Washington</v>
          </cell>
          <cell r="D260">
            <v>11</v>
          </cell>
          <cell r="E260">
            <v>11</v>
          </cell>
          <cell r="F260">
            <v>0</v>
          </cell>
          <cell r="G260">
            <v>11</v>
          </cell>
          <cell r="H260">
            <v>0</v>
          </cell>
          <cell r="I260">
            <v>0</v>
          </cell>
          <cell r="J260">
            <v>0</v>
          </cell>
          <cell r="K260">
            <v>11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11</v>
          </cell>
          <cell r="T260">
            <v>0</v>
          </cell>
        </row>
        <row r="261">
          <cell r="C261" t="str">
            <v>Census Tract 292.03, King County, Washington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</row>
        <row r="262">
          <cell r="C262" t="str">
            <v>Census Tract 292.04, King County, Washington</v>
          </cell>
          <cell r="D262">
            <v>33</v>
          </cell>
          <cell r="E262">
            <v>33</v>
          </cell>
          <cell r="F262">
            <v>33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33</v>
          </cell>
          <cell r="T262">
            <v>0</v>
          </cell>
        </row>
        <row r="263">
          <cell r="C263" t="str">
            <v>Census Tract 293.03, King County, Washington</v>
          </cell>
          <cell r="D263">
            <v>18</v>
          </cell>
          <cell r="E263">
            <v>10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10</v>
          </cell>
          <cell r="M263">
            <v>0</v>
          </cell>
          <cell r="N263">
            <v>10</v>
          </cell>
          <cell r="O263">
            <v>0</v>
          </cell>
          <cell r="P263">
            <v>8</v>
          </cell>
          <cell r="Q263">
            <v>8</v>
          </cell>
          <cell r="R263">
            <v>0</v>
          </cell>
          <cell r="S263">
            <v>0</v>
          </cell>
          <cell r="T263">
            <v>18</v>
          </cell>
        </row>
        <row r="264">
          <cell r="C264" t="str">
            <v>Census Tract 293.04, King County, Washington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</row>
        <row r="265">
          <cell r="C265" t="str">
            <v>Census Tract 293.05, King County, Washington</v>
          </cell>
          <cell r="D265">
            <v>29</v>
          </cell>
          <cell r="E265">
            <v>13</v>
          </cell>
          <cell r="F265">
            <v>0</v>
          </cell>
          <cell r="G265">
            <v>13</v>
          </cell>
          <cell r="H265">
            <v>0</v>
          </cell>
          <cell r="I265">
            <v>0</v>
          </cell>
          <cell r="J265">
            <v>0</v>
          </cell>
          <cell r="K265">
            <v>13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16</v>
          </cell>
          <cell r="Q265">
            <v>0</v>
          </cell>
          <cell r="R265">
            <v>16</v>
          </cell>
          <cell r="S265">
            <v>13</v>
          </cell>
          <cell r="T265">
            <v>16</v>
          </cell>
        </row>
        <row r="266">
          <cell r="C266" t="str">
            <v>Census Tract 293.06, King County, Washington</v>
          </cell>
          <cell r="D266">
            <v>11</v>
          </cell>
          <cell r="E266">
            <v>11</v>
          </cell>
          <cell r="F266">
            <v>0</v>
          </cell>
          <cell r="G266">
            <v>11</v>
          </cell>
          <cell r="H266">
            <v>0</v>
          </cell>
          <cell r="I266">
            <v>0</v>
          </cell>
          <cell r="J266">
            <v>0</v>
          </cell>
          <cell r="K266">
            <v>11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11</v>
          </cell>
          <cell r="T266">
            <v>0</v>
          </cell>
        </row>
        <row r="267">
          <cell r="C267" t="str">
            <v>Census Tract 293.07, King County, Washington</v>
          </cell>
          <cell r="D267">
            <v>11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11</v>
          </cell>
          <cell r="Q267">
            <v>11</v>
          </cell>
          <cell r="R267">
            <v>0</v>
          </cell>
          <cell r="S267">
            <v>0</v>
          </cell>
          <cell r="T267">
            <v>11</v>
          </cell>
        </row>
        <row r="268">
          <cell r="C268" t="str">
            <v>Census Tract 294.03, King County, Washington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</row>
        <row r="269">
          <cell r="C269" t="str">
            <v>Census Tract 294.05, King County, Washington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C270" t="str">
            <v>Census Tract 294.06, King County, Washington</v>
          </cell>
          <cell r="D270">
            <v>72</v>
          </cell>
          <cell r="E270">
            <v>72</v>
          </cell>
          <cell r="F270">
            <v>0</v>
          </cell>
          <cell r="G270">
            <v>72</v>
          </cell>
          <cell r="H270">
            <v>0</v>
          </cell>
          <cell r="I270">
            <v>0</v>
          </cell>
          <cell r="J270">
            <v>0</v>
          </cell>
          <cell r="K270">
            <v>72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72</v>
          </cell>
          <cell r="T270">
            <v>0</v>
          </cell>
        </row>
        <row r="271">
          <cell r="C271" t="str">
            <v>Census Tract 294.07, King County, Washington</v>
          </cell>
          <cell r="D271">
            <v>142</v>
          </cell>
          <cell r="E271">
            <v>89</v>
          </cell>
          <cell r="F271">
            <v>22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67</v>
          </cell>
          <cell r="M271">
            <v>0</v>
          </cell>
          <cell r="N271">
            <v>67</v>
          </cell>
          <cell r="O271">
            <v>0</v>
          </cell>
          <cell r="P271">
            <v>53</v>
          </cell>
          <cell r="Q271">
            <v>0</v>
          </cell>
          <cell r="R271">
            <v>53</v>
          </cell>
          <cell r="S271">
            <v>22</v>
          </cell>
          <cell r="T271">
            <v>120</v>
          </cell>
        </row>
        <row r="272">
          <cell r="C272" t="str">
            <v>Census Tract 294.08, King County, Washington</v>
          </cell>
          <cell r="D272">
            <v>80</v>
          </cell>
          <cell r="E272">
            <v>42</v>
          </cell>
          <cell r="F272">
            <v>38</v>
          </cell>
          <cell r="G272">
            <v>4</v>
          </cell>
          <cell r="H272">
            <v>0</v>
          </cell>
          <cell r="I272">
            <v>0</v>
          </cell>
          <cell r="J272">
            <v>0</v>
          </cell>
          <cell r="K272">
            <v>4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38</v>
          </cell>
          <cell r="Q272">
            <v>38</v>
          </cell>
          <cell r="R272">
            <v>0</v>
          </cell>
          <cell r="S272">
            <v>42</v>
          </cell>
          <cell r="T272">
            <v>38</v>
          </cell>
        </row>
        <row r="273">
          <cell r="C273" t="str">
            <v>Census Tract 295.02, King County, Washington</v>
          </cell>
          <cell r="D273">
            <v>44</v>
          </cell>
          <cell r="E273">
            <v>40</v>
          </cell>
          <cell r="F273">
            <v>6</v>
          </cell>
          <cell r="G273">
            <v>34</v>
          </cell>
          <cell r="H273">
            <v>0</v>
          </cell>
          <cell r="I273">
            <v>0</v>
          </cell>
          <cell r="J273">
            <v>9</v>
          </cell>
          <cell r="K273">
            <v>25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4</v>
          </cell>
          <cell r="Q273">
            <v>4</v>
          </cell>
          <cell r="R273">
            <v>0</v>
          </cell>
          <cell r="S273">
            <v>40</v>
          </cell>
          <cell r="T273">
            <v>4</v>
          </cell>
        </row>
        <row r="274">
          <cell r="C274" t="str">
            <v>Census Tract 295.03, King County, Washington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C275" t="str">
            <v>Census Tract 295.04, King County, Washington</v>
          </cell>
          <cell r="D275">
            <v>7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7</v>
          </cell>
          <cell r="Q275">
            <v>7</v>
          </cell>
          <cell r="R275">
            <v>0</v>
          </cell>
          <cell r="S275">
            <v>0</v>
          </cell>
          <cell r="T275">
            <v>7</v>
          </cell>
        </row>
        <row r="276">
          <cell r="C276" t="str">
            <v>Census Tract 296.01, King County, Washington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C277" t="str">
            <v>Census Tract 296.02, King County, Washington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C278" t="str">
            <v>Census Tract 297, King County, Washington</v>
          </cell>
          <cell r="D278">
            <v>9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9</v>
          </cell>
          <cell r="Q278">
            <v>0</v>
          </cell>
          <cell r="R278">
            <v>9</v>
          </cell>
          <cell r="S278">
            <v>0</v>
          </cell>
          <cell r="T278">
            <v>9</v>
          </cell>
        </row>
        <row r="279">
          <cell r="C279" t="str">
            <v>Census Tract 298.01, King County, Washington</v>
          </cell>
          <cell r="D279">
            <v>30</v>
          </cell>
          <cell r="E279">
            <v>9</v>
          </cell>
          <cell r="F279">
            <v>0</v>
          </cell>
          <cell r="G279">
            <v>9</v>
          </cell>
          <cell r="H279">
            <v>0</v>
          </cell>
          <cell r="I279">
            <v>0</v>
          </cell>
          <cell r="J279">
            <v>0</v>
          </cell>
          <cell r="K279">
            <v>9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21</v>
          </cell>
          <cell r="Q279">
            <v>0</v>
          </cell>
          <cell r="R279">
            <v>21</v>
          </cell>
          <cell r="S279">
            <v>9</v>
          </cell>
          <cell r="T279">
            <v>21</v>
          </cell>
        </row>
        <row r="280">
          <cell r="C280" t="str">
            <v>Census Tract 298.02, King County, Washington</v>
          </cell>
          <cell r="D280">
            <v>109</v>
          </cell>
          <cell r="E280">
            <v>109</v>
          </cell>
          <cell r="F280">
            <v>48</v>
          </cell>
          <cell r="G280">
            <v>24</v>
          </cell>
          <cell r="H280">
            <v>0</v>
          </cell>
          <cell r="I280">
            <v>0</v>
          </cell>
          <cell r="J280">
            <v>0</v>
          </cell>
          <cell r="K280">
            <v>24</v>
          </cell>
          <cell r="L280">
            <v>37</v>
          </cell>
          <cell r="M280">
            <v>0</v>
          </cell>
          <cell r="N280">
            <v>37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72</v>
          </cell>
          <cell r="T280">
            <v>37</v>
          </cell>
        </row>
        <row r="281">
          <cell r="C281" t="str">
            <v>Census Tract 299.01, King County, Washington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C282" t="str">
            <v>Census Tract 299.02, King County, Washington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C283" t="str">
            <v>Census Tract 300.02, King County, Washington</v>
          </cell>
          <cell r="D283">
            <v>100</v>
          </cell>
          <cell r="E283">
            <v>86</v>
          </cell>
          <cell r="F283">
            <v>32</v>
          </cell>
          <cell r="G283">
            <v>40</v>
          </cell>
          <cell r="H283">
            <v>0</v>
          </cell>
          <cell r="I283">
            <v>0</v>
          </cell>
          <cell r="J283">
            <v>0</v>
          </cell>
          <cell r="K283">
            <v>40</v>
          </cell>
          <cell r="L283">
            <v>14</v>
          </cell>
          <cell r="M283">
            <v>0</v>
          </cell>
          <cell r="N283">
            <v>14</v>
          </cell>
          <cell r="O283">
            <v>0</v>
          </cell>
          <cell r="P283">
            <v>14</v>
          </cell>
          <cell r="Q283">
            <v>0</v>
          </cell>
          <cell r="R283">
            <v>14</v>
          </cell>
          <cell r="S283">
            <v>72</v>
          </cell>
          <cell r="T283">
            <v>28</v>
          </cell>
        </row>
        <row r="284">
          <cell r="C284" t="str">
            <v>Census Tract 300.03, King County, Washington</v>
          </cell>
          <cell r="D284">
            <v>24</v>
          </cell>
          <cell r="E284">
            <v>24</v>
          </cell>
          <cell r="F284">
            <v>10</v>
          </cell>
          <cell r="G284">
            <v>14</v>
          </cell>
          <cell r="H284">
            <v>8</v>
          </cell>
          <cell r="I284">
            <v>0</v>
          </cell>
          <cell r="J284">
            <v>0</v>
          </cell>
          <cell r="K284">
            <v>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24</v>
          </cell>
          <cell r="T284">
            <v>0</v>
          </cell>
        </row>
        <row r="285">
          <cell r="C285" t="str">
            <v>Census Tract 300.04, King County, Washington</v>
          </cell>
          <cell r="D285">
            <v>146</v>
          </cell>
          <cell r="E285">
            <v>99</v>
          </cell>
          <cell r="F285">
            <v>48</v>
          </cell>
          <cell r="G285">
            <v>28</v>
          </cell>
          <cell r="H285">
            <v>0</v>
          </cell>
          <cell r="I285">
            <v>0</v>
          </cell>
          <cell r="J285">
            <v>0</v>
          </cell>
          <cell r="K285">
            <v>28</v>
          </cell>
          <cell r="L285">
            <v>23</v>
          </cell>
          <cell r="M285">
            <v>0</v>
          </cell>
          <cell r="N285">
            <v>23</v>
          </cell>
          <cell r="O285">
            <v>0</v>
          </cell>
          <cell r="P285">
            <v>47</v>
          </cell>
          <cell r="Q285">
            <v>25</v>
          </cell>
          <cell r="R285">
            <v>22</v>
          </cell>
          <cell r="S285">
            <v>76</v>
          </cell>
          <cell r="T285">
            <v>70</v>
          </cell>
        </row>
        <row r="286">
          <cell r="C286" t="str">
            <v>Census Tract 301, King County, Washington</v>
          </cell>
          <cell r="D286">
            <v>19</v>
          </cell>
          <cell r="E286">
            <v>15</v>
          </cell>
          <cell r="F286">
            <v>7</v>
          </cell>
          <cell r="G286">
            <v>8</v>
          </cell>
          <cell r="H286">
            <v>0</v>
          </cell>
          <cell r="I286">
            <v>0</v>
          </cell>
          <cell r="J286">
            <v>0</v>
          </cell>
          <cell r="K286">
            <v>8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4</v>
          </cell>
          <cell r="Q286">
            <v>0</v>
          </cell>
          <cell r="R286">
            <v>4</v>
          </cell>
          <cell r="S286">
            <v>15</v>
          </cell>
          <cell r="T286">
            <v>4</v>
          </cell>
        </row>
        <row r="287">
          <cell r="C287" t="str">
            <v>Census Tract 302.01, King County, Washington</v>
          </cell>
          <cell r="D287">
            <v>25</v>
          </cell>
          <cell r="E287">
            <v>16</v>
          </cell>
          <cell r="F287">
            <v>0</v>
          </cell>
          <cell r="G287">
            <v>16</v>
          </cell>
          <cell r="H287">
            <v>0</v>
          </cell>
          <cell r="I287">
            <v>0</v>
          </cell>
          <cell r="J287">
            <v>0</v>
          </cell>
          <cell r="K287">
            <v>16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9</v>
          </cell>
          <cell r="Q287">
            <v>9</v>
          </cell>
          <cell r="R287">
            <v>0</v>
          </cell>
          <cell r="S287">
            <v>16</v>
          </cell>
          <cell r="T287">
            <v>9</v>
          </cell>
        </row>
        <row r="288">
          <cell r="C288" t="str">
            <v>Census Tract 302.02, King County, Washington</v>
          </cell>
          <cell r="D288">
            <v>99</v>
          </cell>
          <cell r="E288">
            <v>69</v>
          </cell>
          <cell r="F288">
            <v>46</v>
          </cell>
          <cell r="G288">
            <v>11</v>
          </cell>
          <cell r="H288">
            <v>0</v>
          </cell>
          <cell r="I288">
            <v>0</v>
          </cell>
          <cell r="J288">
            <v>0</v>
          </cell>
          <cell r="K288">
            <v>11</v>
          </cell>
          <cell r="L288">
            <v>12</v>
          </cell>
          <cell r="M288">
            <v>0</v>
          </cell>
          <cell r="N288">
            <v>12</v>
          </cell>
          <cell r="O288">
            <v>0</v>
          </cell>
          <cell r="P288">
            <v>30</v>
          </cell>
          <cell r="Q288">
            <v>0</v>
          </cell>
          <cell r="R288">
            <v>30</v>
          </cell>
          <cell r="S288">
            <v>57</v>
          </cell>
          <cell r="T288">
            <v>42</v>
          </cell>
        </row>
        <row r="289">
          <cell r="C289" t="str">
            <v>Census Tract 303.03, King County, Washington</v>
          </cell>
          <cell r="D289">
            <v>119</v>
          </cell>
          <cell r="E289">
            <v>98</v>
          </cell>
          <cell r="F289">
            <v>39</v>
          </cell>
          <cell r="G289">
            <v>33</v>
          </cell>
          <cell r="H289">
            <v>0</v>
          </cell>
          <cell r="I289">
            <v>0</v>
          </cell>
          <cell r="J289">
            <v>0</v>
          </cell>
          <cell r="K289">
            <v>33</v>
          </cell>
          <cell r="L289">
            <v>26</v>
          </cell>
          <cell r="M289">
            <v>0</v>
          </cell>
          <cell r="N289">
            <v>26</v>
          </cell>
          <cell r="O289">
            <v>0</v>
          </cell>
          <cell r="P289">
            <v>21</v>
          </cell>
          <cell r="Q289">
            <v>21</v>
          </cell>
          <cell r="R289">
            <v>0</v>
          </cell>
          <cell r="S289">
            <v>72</v>
          </cell>
          <cell r="T289">
            <v>47</v>
          </cell>
        </row>
        <row r="290">
          <cell r="C290" t="str">
            <v>Census Tract 303.04, King County, Washington</v>
          </cell>
          <cell r="D290">
            <v>4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4</v>
          </cell>
          <cell r="Q290">
            <v>4</v>
          </cell>
          <cell r="R290">
            <v>0</v>
          </cell>
          <cell r="S290">
            <v>0</v>
          </cell>
          <cell r="T290">
            <v>4</v>
          </cell>
        </row>
        <row r="291">
          <cell r="C291" t="str">
            <v>Census Tract 303.05, King County, Washington</v>
          </cell>
          <cell r="D291">
            <v>54</v>
          </cell>
          <cell r="E291">
            <v>30</v>
          </cell>
          <cell r="F291">
            <v>12</v>
          </cell>
          <cell r="G291">
            <v>14</v>
          </cell>
          <cell r="H291">
            <v>0</v>
          </cell>
          <cell r="I291">
            <v>0</v>
          </cell>
          <cell r="J291">
            <v>0</v>
          </cell>
          <cell r="K291">
            <v>14</v>
          </cell>
          <cell r="L291">
            <v>4</v>
          </cell>
          <cell r="M291">
            <v>0</v>
          </cell>
          <cell r="N291">
            <v>0</v>
          </cell>
          <cell r="O291">
            <v>4</v>
          </cell>
          <cell r="P291">
            <v>24</v>
          </cell>
          <cell r="Q291">
            <v>0</v>
          </cell>
          <cell r="R291">
            <v>24</v>
          </cell>
          <cell r="S291">
            <v>26</v>
          </cell>
          <cell r="T291">
            <v>28</v>
          </cell>
        </row>
        <row r="292">
          <cell r="C292" t="str">
            <v>Census Tract 303.06, King County, Washington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C293" t="str">
            <v>Census Tract 303.08, King County, Washington</v>
          </cell>
          <cell r="D293">
            <v>107</v>
          </cell>
          <cell r="E293">
            <v>59</v>
          </cell>
          <cell r="F293">
            <v>13</v>
          </cell>
          <cell r="G293">
            <v>35</v>
          </cell>
          <cell r="H293">
            <v>0</v>
          </cell>
          <cell r="I293">
            <v>0</v>
          </cell>
          <cell r="J293">
            <v>0</v>
          </cell>
          <cell r="K293">
            <v>35</v>
          </cell>
          <cell r="L293">
            <v>11</v>
          </cell>
          <cell r="M293">
            <v>0</v>
          </cell>
          <cell r="N293">
            <v>11</v>
          </cell>
          <cell r="O293">
            <v>0</v>
          </cell>
          <cell r="P293">
            <v>48</v>
          </cell>
          <cell r="Q293">
            <v>21</v>
          </cell>
          <cell r="R293">
            <v>27</v>
          </cell>
          <cell r="S293">
            <v>48</v>
          </cell>
          <cell r="T293">
            <v>59</v>
          </cell>
        </row>
        <row r="294">
          <cell r="C294" t="str">
            <v>Census Tract 303.09, King County, Washington</v>
          </cell>
          <cell r="D294">
            <v>25</v>
          </cell>
          <cell r="E294">
            <v>25</v>
          </cell>
          <cell r="F294">
            <v>17</v>
          </cell>
          <cell r="G294">
            <v>8</v>
          </cell>
          <cell r="H294">
            <v>0</v>
          </cell>
          <cell r="I294">
            <v>0</v>
          </cell>
          <cell r="J294">
            <v>0</v>
          </cell>
          <cell r="K294">
            <v>8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25</v>
          </cell>
          <cell r="T294">
            <v>0</v>
          </cell>
        </row>
        <row r="295">
          <cell r="C295" t="str">
            <v>Census Tract 303.10, King County, Washington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C296" t="str">
            <v>Census Tract 303.11, King County, Washington</v>
          </cell>
          <cell r="D296">
            <v>73</v>
          </cell>
          <cell r="E296">
            <v>73</v>
          </cell>
          <cell r="F296">
            <v>46</v>
          </cell>
          <cell r="G296">
            <v>27</v>
          </cell>
          <cell r="H296">
            <v>0</v>
          </cell>
          <cell r="I296">
            <v>0</v>
          </cell>
          <cell r="J296">
            <v>0</v>
          </cell>
          <cell r="K296">
            <v>27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73</v>
          </cell>
          <cell r="T296">
            <v>0</v>
          </cell>
        </row>
        <row r="297">
          <cell r="C297" t="str">
            <v>Census Tract 303.12, King County, Washington</v>
          </cell>
          <cell r="D297">
            <v>124</v>
          </cell>
          <cell r="E297">
            <v>10</v>
          </cell>
          <cell r="F297">
            <v>0</v>
          </cell>
          <cell r="G297">
            <v>10</v>
          </cell>
          <cell r="H297">
            <v>0</v>
          </cell>
          <cell r="I297">
            <v>0</v>
          </cell>
          <cell r="J297">
            <v>10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114</v>
          </cell>
          <cell r="Q297">
            <v>114</v>
          </cell>
          <cell r="R297">
            <v>0</v>
          </cell>
          <cell r="S297">
            <v>10</v>
          </cell>
          <cell r="T297">
            <v>114</v>
          </cell>
        </row>
        <row r="298">
          <cell r="C298" t="str">
            <v>Census Tract 304.01, King County, Washington</v>
          </cell>
          <cell r="D298">
            <v>50</v>
          </cell>
          <cell r="E298">
            <v>29</v>
          </cell>
          <cell r="F298">
            <v>21</v>
          </cell>
          <cell r="G298">
            <v>8</v>
          </cell>
          <cell r="H298">
            <v>0</v>
          </cell>
          <cell r="I298">
            <v>0</v>
          </cell>
          <cell r="J298">
            <v>0</v>
          </cell>
          <cell r="K298">
            <v>8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21</v>
          </cell>
          <cell r="Q298">
            <v>0</v>
          </cell>
          <cell r="R298">
            <v>21</v>
          </cell>
          <cell r="S298">
            <v>29</v>
          </cell>
          <cell r="T298">
            <v>21</v>
          </cell>
        </row>
        <row r="299">
          <cell r="C299" t="str">
            <v>Census Tract 304.03, King County, Washington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</row>
        <row r="300">
          <cell r="C300" t="str">
            <v>Census Tract 304.04, King County, Washington</v>
          </cell>
          <cell r="D300">
            <v>15</v>
          </cell>
          <cell r="E300">
            <v>15</v>
          </cell>
          <cell r="F300">
            <v>0</v>
          </cell>
          <cell r="G300">
            <v>9</v>
          </cell>
          <cell r="H300">
            <v>0</v>
          </cell>
          <cell r="I300">
            <v>0</v>
          </cell>
          <cell r="J300">
            <v>0</v>
          </cell>
          <cell r="K300">
            <v>9</v>
          </cell>
          <cell r="L300">
            <v>6</v>
          </cell>
          <cell r="M300">
            <v>0</v>
          </cell>
          <cell r="N300">
            <v>6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9</v>
          </cell>
          <cell r="T300">
            <v>6</v>
          </cell>
        </row>
        <row r="301">
          <cell r="C301" t="str">
            <v>Census Tract 305.01, King County, Washington</v>
          </cell>
          <cell r="D301">
            <v>4</v>
          </cell>
          <cell r="E301">
            <v>4</v>
          </cell>
          <cell r="F301">
            <v>0</v>
          </cell>
          <cell r="G301">
            <v>4</v>
          </cell>
          <cell r="H301">
            <v>0</v>
          </cell>
          <cell r="I301">
            <v>0</v>
          </cell>
          <cell r="J301">
            <v>0</v>
          </cell>
          <cell r="K301">
            <v>4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</v>
          </cell>
          <cell r="T301">
            <v>0</v>
          </cell>
        </row>
        <row r="302">
          <cell r="C302" t="str">
            <v>Census Tract 305.03, King County, Washington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</row>
        <row r="303">
          <cell r="C303" t="str">
            <v>Census Tract 305.04, King County, Washington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</row>
        <row r="304">
          <cell r="C304" t="str">
            <v>Census Tract 306, King County, Washington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</row>
        <row r="305">
          <cell r="C305" t="str">
            <v>Census Tract 307, King County, Washington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</row>
        <row r="306">
          <cell r="C306" t="str">
            <v>Census Tract 308.01, King County, Washington</v>
          </cell>
          <cell r="D306">
            <v>20</v>
          </cell>
          <cell r="E306">
            <v>20</v>
          </cell>
          <cell r="F306">
            <v>5</v>
          </cell>
          <cell r="G306">
            <v>15</v>
          </cell>
          <cell r="H306">
            <v>0</v>
          </cell>
          <cell r="I306">
            <v>0</v>
          </cell>
          <cell r="J306">
            <v>0</v>
          </cell>
          <cell r="K306">
            <v>15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20</v>
          </cell>
          <cell r="T306">
            <v>0</v>
          </cell>
        </row>
        <row r="307">
          <cell r="C307" t="str">
            <v>Census Tract 308.02, King County, Washington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</row>
        <row r="308">
          <cell r="C308" t="str">
            <v>Census Tract 309.01, King County, Washington</v>
          </cell>
          <cell r="D308">
            <v>7</v>
          </cell>
          <cell r="E308">
            <v>7</v>
          </cell>
          <cell r="F308">
            <v>7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7</v>
          </cell>
          <cell r="T308">
            <v>0</v>
          </cell>
        </row>
        <row r="309">
          <cell r="C309" t="str">
            <v>Census Tract 309.02, King County, Washington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C310" t="str">
            <v>Census Tract 310, King County, Washington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</row>
        <row r="311">
          <cell r="C311" t="str">
            <v>Census Tract 311, King County, Washington</v>
          </cell>
          <cell r="D311">
            <v>13</v>
          </cell>
          <cell r="E311">
            <v>13</v>
          </cell>
          <cell r="F311">
            <v>0</v>
          </cell>
          <cell r="G311">
            <v>13</v>
          </cell>
          <cell r="H311">
            <v>0</v>
          </cell>
          <cell r="I311">
            <v>0</v>
          </cell>
          <cell r="J311">
            <v>0</v>
          </cell>
          <cell r="K311">
            <v>13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13</v>
          </cell>
          <cell r="T311">
            <v>0</v>
          </cell>
        </row>
        <row r="312">
          <cell r="C312" t="str">
            <v>Census Tract 312.02, King County, Washington</v>
          </cell>
          <cell r="D312">
            <v>52</v>
          </cell>
          <cell r="E312">
            <v>47</v>
          </cell>
          <cell r="F312">
            <v>19</v>
          </cell>
          <cell r="G312">
            <v>12</v>
          </cell>
          <cell r="H312">
            <v>0</v>
          </cell>
          <cell r="I312">
            <v>0</v>
          </cell>
          <cell r="J312">
            <v>0</v>
          </cell>
          <cell r="K312">
            <v>12</v>
          </cell>
          <cell r="L312">
            <v>16</v>
          </cell>
          <cell r="M312">
            <v>0</v>
          </cell>
          <cell r="N312">
            <v>16</v>
          </cell>
          <cell r="O312">
            <v>0</v>
          </cell>
          <cell r="P312">
            <v>5</v>
          </cell>
          <cell r="Q312">
            <v>3</v>
          </cell>
          <cell r="R312">
            <v>2</v>
          </cell>
          <cell r="S312">
            <v>31</v>
          </cell>
          <cell r="T312">
            <v>21</v>
          </cell>
        </row>
        <row r="313">
          <cell r="C313" t="str">
            <v>Census Tract 312.04, King County, Washington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C314" t="str">
            <v>Census Tract 312.05, King County, Washington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C315" t="str">
            <v>Census Tract 312.06, King County, Washington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</row>
        <row r="316">
          <cell r="C316" t="str">
            <v>Census Tract 313.01, King County, Washington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</row>
        <row r="317">
          <cell r="C317" t="str">
            <v>Census Tract 313.02, King County, Washington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</row>
        <row r="318">
          <cell r="C318" t="str">
            <v>Census Tract 314, King County, Washington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C319" t="str">
            <v>Census Tract 315.01, King County, Washington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</row>
        <row r="320">
          <cell r="C320" t="str">
            <v>Census Tract 315.02, King County, Washington</v>
          </cell>
          <cell r="D320">
            <v>7</v>
          </cell>
          <cell r="E320">
            <v>7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7</v>
          </cell>
          <cell r="M320">
            <v>0</v>
          </cell>
          <cell r="N320">
            <v>7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7</v>
          </cell>
        </row>
        <row r="321">
          <cell r="C321" t="str">
            <v>Census Tract 316.01, King County, Washington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</row>
        <row r="322">
          <cell r="C322" t="str">
            <v>Census Tract 316.02, King County, Washington</v>
          </cell>
          <cell r="D322">
            <v>6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6</v>
          </cell>
          <cell r="Q322">
            <v>6</v>
          </cell>
          <cell r="R322">
            <v>0</v>
          </cell>
          <cell r="S322">
            <v>0</v>
          </cell>
          <cell r="T322">
            <v>6</v>
          </cell>
        </row>
        <row r="323">
          <cell r="C323" t="str">
            <v>Census Tract 316.03, King County, Washington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C324" t="str">
            <v>Census Tract 317.02, King County, Washington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</row>
        <row r="325">
          <cell r="C325" t="str">
            <v>Census Tract 317.03, King County, Washington</v>
          </cell>
          <cell r="D325">
            <v>20</v>
          </cell>
          <cell r="E325">
            <v>20</v>
          </cell>
          <cell r="F325">
            <v>2</v>
          </cell>
          <cell r="G325">
            <v>18</v>
          </cell>
          <cell r="H325">
            <v>0</v>
          </cell>
          <cell r="I325">
            <v>0</v>
          </cell>
          <cell r="J325">
            <v>0</v>
          </cell>
          <cell r="K325">
            <v>18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20</v>
          </cell>
          <cell r="T325">
            <v>0</v>
          </cell>
        </row>
        <row r="326">
          <cell r="C326" t="str">
            <v>Census Tract 317.04, King County, Washington</v>
          </cell>
          <cell r="D326">
            <v>12</v>
          </cell>
          <cell r="E326">
            <v>12</v>
          </cell>
          <cell r="F326">
            <v>0</v>
          </cell>
          <cell r="G326">
            <v>12</v>
          </cell>
          <cell r="H326">
            <v>0</v>
          </cell>
          <cell r="I326">
            <v>0</v>
          </cell>
          <cell r="J326">
            <v>0</v>
          </cell>
          <cell r="K326">
            <v>12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12</v>
          </cell>
          <cell r="T326">
            <v>0</v>
          </cell>
        </row>
        <row r="327">
          <cell r="C327" t="str">
            <v>Census Tract 318, King County, Washington</v>
          </cell>
          <cell r="D327">
            <v>22</v>
          </cell>
          <cell r="E327">
            <v>22</v>
          </cell>
          <cell r="F327">
            <v>0</v>
          </cell>
          <cell r="G327">
            <v>11</v>
          </cell>
          <cell r="H327">
            <v>0</v>
          </cell>
          <cell r="I327">
            <v>0</v>
          </cell>
          <cell r="J327">
            <v>0</v>
          </cell>
          <cell r="K327">
            <v>11</v>
          </cell>
          <cell r="L327">
            <v>11</v>
          </cell>
          <cell r="M327">
            <v>0</v>
          </cell>
          <cell r="N327">
            <v>11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11</v>
          </cell>
          <cell r="T327">
            <v>11</v>
          </cell>
        </row>
        <row r="328">
          <cell r="C328" t="str">
            <v>Census Tract 319.03, King County, Washington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C329" t="str">
            <v>Census Tract 319.04, King County, Washington</v>
          </cell>
          <cell r="D329">
            <v>7</v>
          </cell>
          <cell r="E329">
            <v>7</v>
          </cell>
          <cell r="F329">
            <v>7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7</v>
          </cell>
          <cell r="T329">
            <v>0</v>
          </cell>
        </row>
        <row r="330">
          <cell r="C330" t="str">
            <v>Census Tract 319.06, King County, Washington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C331" t="str">
            <v>Census Tract 319.07, King County, Washington</v>
          </cell>
          <cell r="D331">
            <v>25</v>
          </cell>
          <cell r="E331">
            <v>17</v>
          </cell>
          <cell r="F331">
            <v>17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8</v>
          </cell>
          <cell r="Q331">
            <v>0</v>
          </cell>
          <cell r="R331">
            <v>8</v>
          </cell>
          <cell r="S331">
            <v>17</v>
          </cell>
          <cell r="T331">
            <v>8</v>
          </cell>
        </row>
        <row r="332">
          <cell r="C332" t="str">
            <v>Census Tract 319.08, King County, Washington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C333" t="str">
            <v>Census Tract 319.09, King County, Washington</v>
          </cell>
          <cell r="D333">
            <v>7</v>
          </cell>
          <cell r="E333">
            <v>7</v>
          </cell>
          <cell r="F333">
            <v>7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7</v>
          </cell>
          <cell r="T333">
            <v>0</v>
          </cell>
        </row>
        <row r="334">
          <cell r="C334" t="str">
            <v>Census Tract 320.02, King County, Washington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C335" t="str">
            <v>Census Tract 320.03, King County, Washington</v>
          </cell>
          <cell r="D335">
            <v>47</v>
          </cell>
          <cell r="E335">
            <v>7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7</v>
          </cell>
          <cell r="M335">
            <v>0</v>
          </cell>
          <cell r="N335">
            <v>0</v>
          </cell>
          <cell r="O335">
            <v>7</v>
          </cell>
          <cell r="P335">
            <v>40</v>
          </cell>
          <cell r="Q335">
            <v>40</v>
          </cell>
          <cell r="R335">
            <v>0</v>
          </cell>
          <cell r="S335">
            <v>0</v>
          </cell>
          <cell r="T335">
            <v>47</v>
          </cell>
        </row>
        <row r="336">
          <cell r="C336" t="str">
            <v>Census Tract 320.05, King County, Washington</v>
          </cell>
          <cell r="D336">
            <v>58</v>
          </cell>
          <cell r="E336">
            <v>46</v>
          </cell>
          <cell r="F336">
            <v>27</v>
          </cell>
          <cell r="G336">
            <v>3</v>
          </cell>
          <cell r="H336">
            <v>0</v>
          </cell>
          <cell r="I336">
            <v>0</v>
          </cell>
          <cell r="J336">
            <v>3</v>
          </cell>
          <cell r="K336">
            <v>0</v>
          </cell>
          <cell r="L336">
            <v>16</v>
          </cell>
          <cell r="M336">
            <v>0</v>
          </cell>
          <cell r="N336">
            <v>16</v>
          </cell>
          <cell r="O336">
            <v>0</v>
          </cell>
          <cell r="P336">
            <v>12</v>
          </cell>
          <cell r="Q336">
            <v>0</v>
          </cell>
          <cell r="R336">
            <v>12</v>
          </cell>
          <cell r="S336">
            <v>30</v>
          </cell>
          <cell r="T336">
            <v>28</v>
          </cell>
        </row>
        <row r="337">
          <cell r="C337" t="str">
            <v>Census Tract 320.06, King County, Washington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</row>
        <row r="338">
          <cell r="C338" t="str">
            <v>Census Tract 320.07, King County, Washington</v>
          </cell>
          <cell r="D338">
            <v>14</v>
          </cell>
          <cell r="E338">
            <v>7</v>
          </cell>
          <cell r="F338">
            <v>7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7</v>
          </cell>
          <cell r="Q338">
            <v>0</v>
          </cell>
          <cell r="R338">
            <v>7</v>
          </cell>
          <cell r="S338">
            <v>7</v>
          </cell>
          <cell r="T338">
            <v>7</v>
          </cell>
        </row>
        <row r="339">
          <cell r="C339" t="str">
            <v>Census Tract 320.08, King County, Washington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</row>
        <row r="340">
          <cell r="C340" t="str">
            <v>Census Tract 320.09, King County, Washington</v>
          </cell>
          <cell r="D340">
            <v>20</v>
          </cell>
          <cell r="E340">
            <v>12</v>
          </cell>
          <cell r="F340">
            <v>0</v>
          </cell>
          <cell r="G340">
            <v>12</v>
          </cell>
          <cell r="H340">
            <v>0</v>
          </cell>
          <cell r="I340">
            <v>0</v>
          </cell>
          <cell r="J340">
            <v>0</v>
          </cell>
          <cell r="K340">
            <v>12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8</v>
          </cell>
          <cell r="Q340">
            <v>0</v>
          </cell>
          <cell r="R340">
            <v>8</v>
          </cell>
          <cell r="S340">
            <v>12</v>
          </cell>
          <cell r="T340">
            <v>8</v>
          </cell>
        </row>
        <row r="341">
          <cell r="C341" t="str">
            <v>Census Tract 321.02, King County, Washington</v>
          </cell>
          <cell r="D341">
            <v>13</v>
          </cell>
          <cell r="E341">
            <v>13</v>
          </cell>
          <cell r="F341">
            <v>0</v>
          </cell>
          <cell r="G341">
            <v>5</v>
          </cell>
          <cell r="H341">
            <v>0</v>
          </cell>
          <cell r="I341">
            <v>0</v>
          </cell>
          <cell r="J341">
            <v>0</v>
          </cell>
          <cell r="K341">
            <v>5</v>
          </cell>
          <cell r="L341">
            <v>8</v>
          </cell>
          <cell r="M341">
            <v>0</v>
          </cell>
          <cell r="N341">
            <v>8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</v>
          </cell>
          <cell r="T341">
            <v>8</v>
          </cell>
        </row>
        <row r="342">
          <cell r="C342" t="str">
            <v>Census Tract 321.03, King County, Washington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</row>
        <row r="343">
          <cell r="C343" t="str">
            <v>Census Tract 321.04, King County, Washington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</row>
        <row r="344">
          <cell r="C344" t="str">
            <v>Census Tract 322.03, King County, Washington</v>
          </cell>
          <cell r="D344">
            <v>14</v>
          </cell>
          <cell r="E344">
            <v>14</v>
          </cell>
          <cell r="F344">
            <v>7</v>
          </cell>
          <cell r="G344">
            <v>7</v>
          </cell>
          <cell r="H344">
            <v>0</v>
          </cell>
          <cell r="I344">
            <v>0</v>
          </cell>
          <cell r="J344">
            <v>0</v>
          </cell>
          <cell r="K344">
            <v>7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14</v>
          </cell>
          <cell r="T344">
            <v>0</v>
          </cell>
        </row>
        <row r="345">
          <cell r="C345" t="str">
            <v>Census Tract 322.07, King County, Washington</v>
          </cell>
          <cell r="D345">
            <v>20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20</v>
          </cell>
          <cell r="Q345">
            <v>0</v>
          </cell>
          <cell r="R345">
            <v>20</v>
          </cell>
          <cell r="S345">
            <v>0</v>
          </cell>
          <cell r="T345">
            <v>20</v>
          </cell>
        </row>
        <row r="346">
          <cell r="C346" t="str">
            <v>Census Tract 322.08, King County, Washington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C347" t="str">
            <v>Census Tract 322.09, King County, Washington</v>
          </cell>
          <cell r="D347">
            <v>13</v>
          </cell>
          <cell r="E347">
            <v>13</v>
          </cell>
          <cell r="F347">
            <v>5</v>
          </cell>
          <cell r="G347">
            <v>8</v>
          </cell>
          <cell r="H347">
            <v>0</v>
          </cell>
          <cell r="I347">
            <v>0</v>
          </cell>
          <cell r="J347">
            <v>0</v>
          </cell>
          <cell r="K347">
            <v>8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13</v>
          </cell>
          <cell r="T347">
            <v>0</v>
          </cell>
        </row>
        <row r="348">
          <cell r="C348" t="str">
            <v>Census Tract 322.10, King County, Washington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C349" t="str">
            <v>Census Tract 322.11, King County, Washington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</row>
        <row r="350">
          <cell r="C350" t="str">
            <v>Census Tract 322.12, King County, Washington</v>
          </cell>
          <cell r="D350">
            <v>26</v>
          </cell>
          <cell r="E350">
            <v>26</v>
          </cell>
          <cell r="F350">
            <v>26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26</v>
          </cell>
          <cell r="T350">
            <v>0</v>
          </cell>
        </row>
        <row r="351">
          <cell r="C351" t="str">
            <v>Census Tract 323.07, King County, Washington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</row>
        <row r="352">
          <cell r="C352" t="str">
            <v>Census Tract 323.09, King County, Washington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</row>
        <row r="353">
          <cell r="C353" t="str">
            <v>Census Tract 323.11, King County, Washington</v>
          </cell>
          <cell r="D353">
            <v>17</v>
          </cell>
          <cell r="E353">
            <v>17</v>
          </cell>
          <cell r="F353">
            <v>0</v>
          </cell>
          <cell r="G353">
            <v>17</v>
          </cell>
          <cell r="H353">
            <v>0</v>
          </cell>
          <cell r="I353">
            <v>0</v>
          </cell>
          <cell r="J353">
            <v>0</v>
          </cell>
          <cell r="K353">
            <v>17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17</v>
          </cell>
          <cell r="T353">
            <v>0</v>
          </cell>
        </row>
        <row r="354">
          <cell r="C354" t="str">
            <v>Census Tract 323.12, King County, Washington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</row>
        <row r="355">
          <cell r="C355" t="str">
            <v>Census Tract 323.13, King County, Washington</v>
          </cell>
          <cell r="D355">
            <v>86</v>
          </cell>
          <cell r="E355">
            <v>86</v>
          </cell>
          <cell r="F355">
            <v>0</v>
          </cell>
          <cell r="G355">
            <v>86</v>
          </cell>
          <cell r="H355">
            <v>0</v>
          </cell>
          <cell r="I355">
            <v>0</v>
          </cell>
          <cell r="J355">
            <v>0</v>
          </cell>
          <cell r="K355">
            <v>86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86</v>
          </cell>
          <cell r="T355">
            <v>0</v>
          </cell>
        </row>
        <row r="356">
          <cell r="C356" t="str">
            <v>Census Tract 323.14, King County, Washington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</row>
        <row r="357">
          <cell r="C357" t="str">
            <v>Census Tract 323.15, King County, Washington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</row>
        <row r="358">
          <cell r="C358" t="str">
            <v>Census Tract 323.16, King County, Washington</v>
          </cell>
          <cell r="D358">
            <v>11</v>
          </cell>
          <cell r="E358">
            <v>11</v>
          </cell>
          <cell r="F358">
            <v>0</v>
          </cell>
          <cell r="G358">
            <v>11</v>
          </cell>
          <cell r="H358">
            <v>0</v>
          </cell>
          <cell r="I358">
            <v>0</v>
          </cell>
          <cell r="J358">
            <v>0</v>
          </cell>
          <cell r="K358">
            <v>11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11</v>
          </cell>
          <cell r="T358">
            <v>0</v>
          </cell>
        </row>
        <row r="359">
          <cell r="C359" t="str">
            <v>Census Tract 323.17, King County, Washington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</row>
        <row r="360">
          <cell r="C360" t="str">
            <v>Census Tract 323.18, King County, Washington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</row>
        <row r="361">
          <cell r="C361" t="str">
            <v>Census Tract 323.19, King County, Washington</v>
          </cell>
          <cell r="D361">
            <v>7</v>
          </cell>
          <cell r="E361">
            <v>7</v>
          </cell>
          <cell r="F361">
            <v>0</v>
          </cell>
          <cell r="G361">
            <v>7</v>
          </cell>
          <cell r="H361">
            <v>0</v>
          </cell>
          <cell r="I361">
            <v>0</v>
          </cell>
          <cell r="J361">
            <v>0</v>
          </cell>
          <cell r="K361">
            <v>7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7</v>
          </cell>
          <cell r="T361">
            <v>0</v>
          </cell>
        </row>
        <row r="362">
          <cell r="C362" t="str">
            <v>Census Tract 323.20, King County, Washington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</row>
        <row r="363">
          <cell r="C363" t="str">
            <v>Census Tract 323.21, King County, Washington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</row>
        <row r="364">
          <cell r="C364" t="str">
            <v>Census Tract 323.22, King County, Washington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</row>
        <row r="365">
          <cell r="C365" t="str">
            <v>Census Tract 323.23, King County, Washington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</row>
        <row r="366">
          <cell r="C366" t="str">
            <v>Census Tract 323.24, King County, Washington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C367" t="str">
            <v>Census Tract 323.25, King County, Washington</v>
          </cell>
          <cell r="D367">
            <v>6</v>
          </cell>
          <cell r="E367">
            <v>6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6</v>
          </cell>
          <cell r="M367">
            <v>0</v>
          </cell>
          <cell r="N367">
            <v>6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6</v>
          </cell>
        </row>
        <row r="368">
          <cell r="C368" t="str">
            <v>Census Tract 324.01, King County, Washington</v>
          </cell>
          <cell r="D368">
            <v>29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29</v>
          </cell>
          <cell r="Q368">
            <v>29</v>
          </cell>
          <cell r="R368">
            <v>0</v>
          </cell>
          <cell r="S368">
            <v>0</v>
          </cell>
          <cell r="T368">
            <v>29</v>
          </cell>
        </row>
        <row r="369">
          <cell r="C369" t="str">
            <v>Census Tract 324.02, King County, Washington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</row>
        <row r="370">
          <cell r="C370" t="str">
            <v>Census Tract 325, King County, Washington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</row>
        <row r="371">
          <cell r="C371" t="str">
            <v>Census Tract 326.01, King County, Washington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</row>
        <row r="372">
          <cell r="C372" t="str">
            <v>Census Tract 326.02, King County, Washington</v>
          </cell>
          <cell r="D372">
            <v>7</v>
          </cell>
          <cell r="E372">
            <v>7</v>
          </cell>
          <cell r="F372">
            <v>0</v>
          </cell>
          <cell r="G372">
            <v>7</v>
          </cell>
          <cell r="H372">
            <v>0</v>
          </cell>
          <cell r="I372">
            <v>0</v>
          </cell>
          <cell r="J372">
            <v>7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7</v>
          </cell>
          <cell r="T372">
            <v>0</v>
          </cell>
        </row>
        <row r="373">
          <cell r="C373" t="str">
            <v>Census Tract 327.02, King County, Washington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</row>
        <row r="374">
          <cell r="C374" t="str">
            <v>Census Tract 327.03, King County, Washington</v>
          </cell>
          <cell r="D374">
            <v>13</v>
          </cell>
          <cell r="E374">
            <v>13</v>
          </cell>
          <cell r="F374">
            <v>0</v>
          </cell>
          <cell r="G374">
            <v>10</v>
          </cell>
          <cell r="H374">
            <v>0</v>
          </cell>
          <cell r="I374">
            <v>0</v>
          </cell>
          <cell r="J374">
            <v>4</v>
          </cell>
          <cell r="K374">
            <v>6</v>
          </cell>
          <cell r="L374">
            <v>3</v>
          </cell>
          <cell r="M374">
            <v>0</v>
          </cell>
          <cell r="N374">
            <v>3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10</v>
          </cell>
          <cell r="T374">
            <v>3</v>
          </cell>
        </row>
        <row r="375">
          <cell r="C375" t="str">
            <v>Census Tract 327.04, King County, Washington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</row>
        <row r="376">
          <cell r="C376" t="str">
            <v>Census Tract 328, King County, Washington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</row>
        <row r="377">
          <cell r="C377" t="str">
            <v>Aberdeen city, Washington</v>
          </cell>
          <cell r="D377">
            <v>50</v>
          </cell>
          <cell r="E377">
            <v>41</v>
          </cell>
          <cell r="F377">
            <v>0</v>
          </cell>
          <cell r="G377">
            <v>27</v>
          </cell>
          <cell r="H377">
            <v>0</v>
          </cell>
          <cell r="I377">
            <v>0</v>
          </cell>
          <cell r="J377">
            <v>0</v>
          </cell>
          <cell r="K377">
            <v>27</v>
          </cell>
          <cell r="L377">
            <v>14</v>
          </cell>
          <cell r="M377">
            <v>0</v>
          </cell>
          <cell r="N377">
            <v>5</v>
          </cell>
          <cell r="O377">
            <v>9</v>
          </cell>
          <cell r="P377">
            <v>9</v>
          </cell>
          <cell r="Q377">
            <v>9</v>
          </cell>
          <cell r="R377">
            <v>0</v>
          </cell>
          <cell r="S377">
            <v>27</v>
          </cell>
          <cell r="T377">
            <v>23</v>
          </cell>
        </row>
        <row r="378">
          <cell r="C378" t="str">
            <v>Aberdeen Gardens CDP, Washington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</row>
        <row r="379">
          <cell r="C379" t="str">
            <v>Acme CDP, Washington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</row>
        <row r="380">
          <cell r="C380" t="str">
            <v>Ahtanum CDP, Washington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</row>
        <row r="381">
          <cell r="C381" t="str">
            <v>Airway Heights city, Washington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</row>
        <row r="382">
          <cell r="C382" t="str">
            <v>Albion town, Washington</v>
          </cell>
          <cell r="D382">
            <v>10</v>
          </cell>
          <cell r="E382">
            <v>10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10</v>
          </cell>
          <cell r="M382">
            <v>0</v>
          </cell>
          <cell r="N382">
            <v>10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10</v>
          </cell>
        </row>
        <row r="383">
          <cell r="C383" t="str">
            <v>Alderwood Manor CDP, Washington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</row>
        <row r="384">
          <cell r="C384" t="str">
            <v>Alger CDP, Washington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</row>
        <row r="385">
          <cell r="C385" t="str">
            <v>Algona city, Washington</v>
          </cell>
          <cell r="D385">
            <v>7</v>
          </cell>
          <cell r="E385">
            <v>7</v>
          </cell>
          <cell r="F385">
            <v>7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7</v>
          </cell>
          <cell r="T385">
            <v>0</v>
          </cell>
        </row>
        <row r="386">
          <cell r="C386" t="str">
            <v>Allyn-Grapeview CDP, Washington</v>
          </cell>
          <cell r="D386">
            <v>11</v>
          </cell>
          <cell r="E386">
            <v>11</v>
          </cell>
          <cell r="F386">
            <v>1</v>
          </cell>
          <cell r="G386">
            <v>10</v>
          </cell>
          <cell r="H386">
            <v>0</v>
          </cell>
          <cell r="I386">
            <v>0</v>
          </cell>
          <cell r="J386">
            <v>0</v>
          </cell>
          <cell r="K386">
            <v>10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11</v>
          </cell>
          <cell r="T386">
            <v>0</v>
          </cell>
        </row>
        <row r="387">
          <cell r="C387" t="str">
            <v>Almira town, Washington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</row>
        <row r="388">
          <cell r="C388" t="str">
            <v>Amboy CDP, Washington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</row>
        <row r="389">
          <cell r="C389" t="str">
            <v>Ames Lake CDP, Washington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</row>
        <row r="390">
          <cell r="C390" t="str">
            <v>Anacortes city, Washington</v>
          </cell>
          <cell r="D390">
            <v>3</v>
          </cell>
          <cell r="E390">
            <v>3</v>
          </cell>
          <cell r="F390">
            <v>0</v>
          </cell>
          <cell r="G390">
            <v>3</v>
          </cell>
          <cell r="H390">
            <v>0</v>
          </cell>
          <cell r="I390">
            <v>0</v>
          </cell>
          <cell r="J390">
            <v>0</v>
          </cell>
          <cell r="K390">
            <v>3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3</v>
          </cell>
          <cell r="T390">
            <v>0</v>
          </cell>
        </row>
        <row r="391">
          <cell r="C391" t="str">
            <v>Arlington city, Washington</v>
          </cell>
          <cell r="D391">
            <v>34</v>
          </cell>
          <cell r="E391">
            <v>23</v>
          </cell>
          <cell r="F391">
            <v>23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11</v>
          </cell>
          <cell r="Q391">
            <v>0</v>
          </cell>
          <cell r="R391">
            <v>11</v>
          </cell>
          <cell r="S391">
            <v>23</v>
          </cell>
          <cell r="T391">
            <v>11</v>
          </cell>
        </row>
        <row r="392">
          <cell r="C392" t="str">
            <v>Arlington Heights CDP, Washington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</row>
        <row r="393">
          <cell r="C393" t="str">
            <v>Artondale CDP, Washington</v>
          </cell>
          <cell r="D393">
            <v>56</v>
          </cell>
          <cell r="E393">
            <v>56</v>
          </cell>
          <cell r="F393">
            <v>27</v>
          </cell>
          <cell r="G393">
            <v>29</v>
          </cell>
          <cell r="H393">
            <v>0</v>
          </cell>
          <cell r="I393">
            <v>15</v>
          </cell>
          <cell r="J393">
            <v>0</v>
          </cell>
          <cell r="K393">
            <v>14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56</v>
          </cell>
          <cell r="T393">
            <v>0</v>
          </cell>
        </row>
        <row r="394">
          <cell r="C394" t="str">
            <v>Ashford CDP, Washington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</row>
        <row r="395">
          <cell r="C395" t="str">
            <v>Asotin city, Washington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</row>
        <row r="396">
          <cell r="C396" t="str">
            <v>Auburn city, Washington</v>
          </cell>
          <cell r="D396">
            <v>41</v>
          </cell>
          <cell r="E396">
            <v>41</v>
          </cell>
          <cell r="F396">
            <v>5</v>
          </cell>
          <cell r="G396">
            <v>36</v>
          </cell>
          <cell r="H396">
            <v>0</v>
          </cell>
          <cell r="I396">
            <v>0</v>
          </cell>
          <cell r="J396">
            <v>0</v>
          </cell>
          <cell r="K396">
            <v>36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41</v>
          </cell>
          <cell r="T396">
            <v>0</v>
          </cell>
        </row>
        <row r="397">
          <cell r="C397" t="str">
            <v>Ault Field CDP, Washington</v>
          </cell>
          <cell r="D397">
            <v>42</v>
          </cell>
          <cell r="E397">
            <v>42</v>
          </cell>
          <cell r="F397">
            <v>6</v>
          </cell>
          <cell r="G397">
            <v>6</v>
          </cell>
          <cell r="H397">
            <v>0</v>
          </cell>
          <cell r="I397">
            <v>0</v>
          </cell>
          <cell r="J397">
            <v>0</v>
          </cell>
          <cell r="K397">
            <v>6</v>
          </cell>
          <cell r="L397">
            <v>30</v>
          </cell>
          <cell r="M397">
            <v>0</v>
          </cell>
          <cell r="N397">
            <v>30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12</v>
          </cell>
          <cell r="T397">
            <v>30</v>
          </cell>
        </row>
        <row r="398">
          <cell r="C398" t="str">
            <v>Bainbridge Island city, Washington</v>
          </cell>
          <cell r="D398">
            <v>27</v>
          </cell>
          <cell r="E398">
            <v>27</v>
          </cell>
          <cell r="F398">
            <v>16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11</v>
          </cell>
          <cell r="M398">
            <v>0</v>
          </cell>
          <cell r="N398">
            <v>11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16</v>
          </cell>
          <cell r="T398">
            <v>11</v>
          </cell>
        </row>
        <row r="399">
          <cell r="C399" t="str">
            <v>Bangor Trident Base CDP, Washington</v>
          </cell>
          <cell r="D399">
            <v>145</v>
          </cell>
          <cell r="E399">
            <v>126</v>
          </cell>
          <cell r="F399">
            <v>10</v>
          </cell>
          <cell r="G399">
            <v>16</v>
          </cell>
          <cell r="H399">
            <v>0</v>
          </cell>
          <cell r="I399">
            <v>0</v>
          </cell>
          <cell r="J399">
            <v>0</v>
          </cell>
          <cell r="K399">
            <v>16</v>
          </cell>
          <cell r="L399">
            <v>100</v>
          </cell>
          <cell r="M399">
            <v>0</v>
          </cell>
          <cell r="N399">
            <v>91</v>
          </cell>
          <cell r="O399">
            <v>9</v>
          </cell>
          <cell r="P399">
            <v>19</v>
          </cell>
          <cell r="Q399">
            <v>14</v>
          </cell>
          <cell r="R399">
            <v>5</v>
          </cell>
          <cell r="S399">
            <v>26</v>
          </cell>
          <cell r="T399">
            <v>119</v>
          </cell>
        </row>
        <row r="400">
          <cell r="C400" t="str">
            <v>Banks Lake South CDP, Washington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C401" t="str">
            <v>Barberton CDP, Washington</v>
          </cell>
          <cell r="D401">
            <v>30</v>
          </cell>
          <cell r="E401">
            <v>30</v>
          </cell>
          <cell r="F401">
            <v>23</v>
          </cell>
          <cell r="G401">
            <v>7</v>
          </cell>
          <cell r="H401">
            <v>0</v>
          </cell>
          <cell r="I401">
            <v>7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30</v>
          </cell>
          <cell r="T401">
            <v>0</v>
          </cell>
        </row>
        <row r="402">
          <cell r="C402" t="str">
            <v>Baring CDP, Washington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</row>
        <row r="403">
          <cell r="C403" t="str">
            <v>Basin City CDP, Washington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</row>
        <row r="404">
          <cell r="C404" t="str">
            <v>Battle Ground city, Washington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</row>
        <row r="405">
          <cell r="C405" t="str">
            <v>Bay Center CDP, Washington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</row>
        <row r="406">
          <cell r="C406" t="str">
            <v>Bay View CDP, Washington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</row>
        <row r="407">
          <cell r="C407" t="str">
            <v>Beaux Arts Village town, Washington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</row>
        <row r="408">
          <cell r="C408" t="str">
            <v>Bellevue city, Washington</v>
          </cell>
          <cell r="D408">
            <v>258</v>
          </cell>
          <cell r="E408">
            <v>155</v>
          </cell>
          <cell r="F408">
            <v>51</v>
          </cell>
          <cell r="G408">
            <v>47</v>
          </cell>
          <cell r="H408">
            <v>8</v>
          </cell>
          <cell r="I408">
            <v>0</v>
          </cell>
          <cell r="J408">
            <v>0</v>
          </cell>
          <cell r="K408">
            <v>39</v>
          </cell>
          <cell r="L408">
            <v>57</v>
          </cell>
          <cell r="M408">
            <v>0</v>
          </cell>
          <cell r="N408">
            <v>49</v>
          </cell>
          <cell r="O408">
            <v>8</v>
          </cell>
          <cell r="P408">
            <v>103</v>
          </cell>
          <cell r="Q408">
            <v>19</v>
          </cell>
          <cell r="R408">
            <v>84</v>
          </cell>
          <cell r="S408">
            <v>98</v>
          </cell>
          <cell r="T408">
            <v>160</v>
          </cell>
        </row>
        <row r="409">
          <cell r="C409" t="str">
            <v>Bell Hill CDP, Washington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</row>
        <row r="410">
          <cell r="C410" t="str">
            <v>Bellingham city, Washington</v>
          </cell>
          <cell r="D410">
            <v>80</v>
          </cell>
          <cell r="E410">
            <v>65</v>
          </cell>
          <cell r="F410">
            <v>28</v>
          </cell>
          <cell r="G410">
            <v>37</v>
          </cell>
          <cell r="H410">
            <v>0</v>
          </cell>
          <cell r="I410">
            <v>0</v>
          </cell>
          <cell r="J410">
            <v>6</v>
          </cell>
          <cell r="K410">
            <v>31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15</v>
          </cell>
          <cell r="Q410">
            <v>15</v>
          </cell>
          <cell r="R410">
            <v>0</v>
          </cell>
          <cell r="S410">
            <v>65</v>
          </cell>
          <cell r="T410">
            <v>15</v>
          </cell>
        </row>
        <row r="411">
          <cell r="C411" t="str">
            <v>Benton City city, Washington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C412" t="str">
            <v>Bickleton CDP, Washington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C413" t="str">
            <v>Big Lake CDP, Washington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</row>
        <row r="414">
          <cell r="C414" t="str">
            <v>Bingen city, Washington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</row>
        <row r="415">
          <cell r="C415" t="str">
            <v>Birch Bay CDP, Washington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</row>
        <row r="416">
          <cell r="C416" t="str">
            <v>Black Diamond city, Washington</v>
          </cell>
          <cell r="D416">
            <v>6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6</v>
          </cell>
          <cell r="Q416">
            <v>6</v>
          </cell>
          <cell r="R416">
            <v>0</v>
          </cell>
          <cell r="S416">
            <v>0</v>
          </cell>
          <cell r="T416">
            <v>6</v>
          </cell>
        </row>
        <row r="417">
          <cell r="C417" t="str">
            <v>Blaine city, Washington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</row>
        <row r="418">
          <cell r="C418" t="str">
            <v>Blyn CDP, Washington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</row>
        <row r="419">
          <cell r="C419" t="str">
            <v>Bonney Lake city, Washington</v>
          </cell>
          <cell r="D419">
            <v>5</v>
          </cell>
          <cell r="E419">
            <v>5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5</v>
          </cell>
          <cell r="M419">
            <v>0</v>
          </cell>
          <cell r="N419">
            <v>0</v>
          </cell>
          <cell r="O419">
            <v>5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5</v>
          </cell>
        </row>
        <row r="420">
          <cell r="C420" t="str">
            <v>Bothell city, Washington</v>
          </cell>
          <cell r="D420">
            <v>44</v>
          </cell>
          <cell r="E420">
            <v>29</v>
          </cell>
          <cell r="F420">
            <v>7</v>
          </cell>
          <cell r="G420">
            <v>13</v>
          </cell>
          <cell r="H420">
            <v>0</v>
          </cell>
          <cell r="I420">
            <v>0</v>
          </cell>
          <cell r="J420">
            <v>0</v>
          </cell>
          <cell r="K420">
            <v>13</v>
          </cell>
          <cell r="L420">
            <v>9</v>
          </cell>
          <cell r="M420">
            <v>0</v>
          </cell>
          <cell r="N420">
            <v>9</v>
          </cell>
          <cell r="O420">
            <v>0</v>
          </cell>
          <cell r="P420">
            <v>15</v>
          </cell>
          <cell r="Q420">
            <v>6</v>
          </cell>
          <cell r="R420">
            <v>9</v>
          </cell>
          <cell r="S420">
            <v>20</v>
          </cell>
          <cell r="T420">
            <v>24</v>
          </cell>
        </row>
        <row r="421">
          <cell r="C421" t="str">
            <v>Brady CDP, Washington</v>
          </cell>
          <cell r="D421">
            <v>11</v>
          </cell>
          <cell r="E421">
            <v>11</v>
          </cell>
          <cell r="F421">
            <v>11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11</v>
          </cell>
          <cell r="T421">
            <v>0</v>
          </cell>
        </row>
        <row r="422">
          <cell r="C422" t="str">
            <v>Bremerton city, Washington</v>
          </cell>
          <cell r="D422">
            <v>246</v>
          </cell>
          <cell r="E422">
            <v>190</v>
          </cell>
          <cell r="F422">
            <v>59</v>
          </cell>
          <cell r="G422">
            <v>67</v>
          </cell>
          <cell r="H422">
            <v>0</v>
          </cell>
          <cell r="I422">
            <v>9</v>
          </cell>
          <cell r="J422">
            <v>4</v>
          </cell>
          <cell r="K422">
            <v>54</v>
          </cell>
          <cell r="L422">
            <v>64</v>
          </cell>
          <cell r="M422">
            <v>0</v>
          </cell>
          <cell r="N422">
            <v>54</v>
          </cell>
          <cell r="O422">
            <v>10</v>
          </cell>
          <cell r="P422">
            <v>56</v>
          </cell>
          <cell r="Q422">
            <v>23</v>
          </cell>
          <cell r="R422">
            <v>33</v>
          </cell>
          <cell r="S422">
            <v>126</v>
          </cell>
          <cell r="T422">
            <v>120</v>
          </cell>
        </row>
        <row r="423">
          <cell r="C423" t="str">
            <v>Brewster city, Washington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</row>
        <row r="424">
          <cell r="C424" t="str">
            <v>Bridgeport city, Washington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C425" t="str">
            <v>Brier city, Washington</v>
          </cell>
          <cell r="D425">
            <v>13</v>
          </cell>
          <cell r="E425">
            <v>13</v>
          </cell>
          <cell r="F425">
            <v>0</v>
          </cell>
          <cell r="G425">
            <v>13</v>
          </cell>
          <cell r="H425">
            <v>0</v>
          </cell>
          <cell r="I425">
            <v>0</v>
          </cell>
          <cell r="J425">
            <v>0</v>
          </cell>
          <cell r="K425">
            <v>13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13</v>
          </cell>
          <cell r="T425">
            <v>0</v>
          </cell>
        </row>
        <row r="426">
          <cell r="C426" t="str">
            <v>Brinnon CDP, Washington</v>
          </cell>
          <cell r="D426">
            <v>3</v>
          </cell>
          <cell r="E426">
            <v>3</v>
          </cell>
          <cell r="F426">
            <v>3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3</v>
          </cell>
          <cell r="T426">
            <v>0</v>
          </cell>
        </row>
        <row r="427">
          <cell r="C427" t="str">
            <v>Brush Prairie CDP, Washington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</row>
        <row r="428">
          <cell r="C428" t="str">
            <v>Bryn Mawr-Skyway CDP, Washington</v>
          </cell>
          <cell r="D428">
            <v>144</v>
          </cell>
          <cell r="E428">
            <v>101</v>
          </cell>
          <cell r="F428">
            <v>18</v>
          </cell>
          <cell r="G428">
            <v>18</v>
          </cell>
          <cell r="H428">
            <v>0</v>
          </cell>
          <cell r="I428">
            <v>10</v>
          </cell>
          <cell r="J428">
            <v>0</v>
          </cell>
          <cell r="K428">
            <v>8</v>
          </cell>
          <cell r="L428">
            <v>65</v>
          </cell>
          <cell r="M428">
            <v>0</v>
          </cell>
          <cell r="N428">
            <v>52</v>
          </cell>
          <cell r="O428">
            <v>13</v>
          </cell>
          <cell r="P428">
            <v>43</v>
          </cell>
          <cell r="Q428">
            <v>0</v>
          </cell>
          <cell r="R428">
            <v>43</v>
          </cell>
          <cell r="S428">
            <v>36</v>
          </cell>
          <cell r="T428">
            <v>108</v>
          </cell>
        </row>
        <row r="429">
          <cell r="C429" t="str">
            <v>Buckley city, Washington</v>
          </cell>
          <cell r="D429">
            <v>24</v>
          </cell>
          <cell r="E429">
            <v>24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24</v>
          </cell>
          <cell r="M429">
            <v>0</v>
          </cell>
          <cell r="N429">
            <v>24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24</v>
          </cell>
        </row>
        <row r="430">
          <cell r="C430" t="str">
            <v>Bucoda town, Washington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C431" t="str">
            <v>Burbank CDP, Washington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</row>
        <row r="432">
          <cell r="C432" t="str">
            <v>Burien city, Washington</v>
          </cell>
          <cell r="D432">
            <v>355</v>
          </cell>
          <cell r="E432">
            <v>206</v>
          </cell>
          <cell r="F432">
            <v>95</v>
          </cell>
          <cell r="G432">
            <v>76</v>
          </cell>
          <cell r="H432">
            <v>0</v>
          </cell>
          <cell r="I432">
            <v>0</v>
          </cell>
          <cell r="J432">
            <v>0</v>
          </cell>
          <cell r="K432">
            <v>76</v>
          </cell>
          <cell r="L432">
            <v>35</v>
          </cell>
          <cell r="M432">
            <v>0</v>
          </cell>
          <cell r="N432">
            <v>35</v>
          </cell>
          <cell r="O432">
            <v>0</v>
          </cell>
          <cell r="P432">
            <v>149</v>
          </cell>
          <cell r="Q432">
            <v>76</v>
          </cell>
          <cell r="R432">
            <v>73</v>
          </cell>
          <cell r="S432">
            <v>171</v>
          </cell>
          <cell r="T432">
            <v>184</v>
          </cell>
        </row>
        <row r="433">
          <cell r="C433" t="str">
            <v>Burlington city, Washington</v>
          </cell>
          <cell r="D433">
            <v>4</v>
          </cell>
          <cell r="E433">
            <v>4</v>
          </cell>
          <cell r="F433">
            <v>4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4</v>
          </cell>
          <cell r="T433">
            <v>0</v>
          </cell>
        </row>
        <row r="434">
          <cell r="C434" t="str">
            <v>Camano CDP, Washington</v>
          </cell>
          <cell r="D434">
            <v>31</v>
          </cell>
          <cell r="E434">
            <v>31</v>
          </cell>
          <cell r="F434">
            <v>0</v>
          </cell>
          <cell r="G434">
            <v>26</v>
          </cell>
          <cell r="H434">
            <v>0</v>
          </cell>
          <cell r="I434">
            <v>5</v>
          </cell>
          <cell r="J434">
            <v>0</v>
          </cell>
          <cell r="K434">
            <v>21</v>
          </cell>
          <cell r="L434">
            <v>5</v>
          </cell>
          <cell r="M434">
            <v>0</v>
          </cell>
          <cell r="N434">
            <v>5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26</v>
          </cell>
          <cell r="T434">
            <v>5</v>
          </cell>
        </row>
        <row r="435">
          <cell r="C435" t="str">
            <v>Camas city, Washington</v>
          </cell>
          <cell r="D435">
            <v>55</v>
          </cell>
          <cell r="E435">
            <v>55</v>
          </cell>
          <cell r="F435">
            <v>24</v>
          </cell>
          <cell r="G435">
            <v>11</v>
          </cell>
          <cell r="H435">
            <v>0</v>
          </cell>
          <cell r="I435">
            <v>0</v>
          </cell>
          <cell r="J435">
            <v>0</v>
          </cell>
          <cell r="K435">
            <v>11</v>
          </cell>
          <cell r="L435">
            <v>20</v>
          </cell>
          <cell r="M435">
            <v>0</v>
          </cell>
          <cell r="N435">
            <v>20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35</v>
          </cell>
          <cell r="T435">
            <v>20</v>
          </cell>
        </row>
        <row r="436">
          <cell r="C436" t="str">
            <v>Carbonado town, Washington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C437" t="str">
            <v>Carlsborg CDP, Washington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C438" t="str">
            <v>Carnation city, Washington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C439" t="str">
            <v>Carson River Valley CDP, Washington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C440" t="str">
            <v>Cascade-Fairwood CDP, Washington</v>
          </cell>
          <cell r="D440">
            <v>144</v>
          </cell>
          <cell r="E440">
            <v>122</v>
          </cell>
          <cell r="F440">
            <v>61</v>
          </cell>
          <cell r="G440">
            <v>51</v>
          </cell>
          <cell r="H440">
            <v>0</v>
          </cell>
          <cell r="I440">
            <v>0</v>
          </cell>
          <cell r="J440">
            <v>0</v>
          </cell>
          <cell r="K440">
            <v>51</v>
          </cell>
          <cell r="L440">
            <v>10</v>
          </cell>
          <cell r="M440">
            <v>0</v>
          </cell>
          <cell r="N440">
            <v>10</v>
          </cell>
          <cell r="O440">
            <v>0</v>
          </cell>
          <cell r="P440">
            <v>22</v>
          </cell>
          <cell r="Q440">
            <v>8</v>
          </cell>
          <cell r="R440">
            <v>14</v>
          </cell>
          <cell r="S440">
            <v>112</v>
          </cell>
          <cell r="T440">
            <v>32</v>
          </cell>
        </row>
        <row r="441">
          <cell r="C441" t="str">
            <v>Cascade Valley CDP, Washington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C442" t="str">
            <v>Cashmere city, Washington</v>
          </cell>
          <cell r="D442">
            <v>3</v>
          </cell>
          <cell r="E442">
            <v>3</v>
          </cell>
          <cell r="F442">
            <v>0</v>
          </cell>
          <cell r="G442">
            <v>3</v>
          </cell>
          <cell r="H442">
            <v>0</v>
          </cell>
          <cell r="I442">
            <v>0</v>
          </cell>
          <cell r="J442">
            <v>0</v>
          </cell>
          <cell r="K442">
            <v>3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3</v>
          </cell>
          <cell r="T442">
            <v>0</v>
          </cell>
        </row>
        <row r="443">
          <cell r="C443" t="str">
            <v>Castle Rock city, Washington</v>
          </cell>
          <cell r="D443">
            <v>5</v>
          </cell>
          <cell r="E443">
            <v>5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5</v>
          </cell>
          <cell r="M443">
            <v>0</v>
          </cell>
          <cell r="N443">
            <v>5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5</v>
          </cell>
        </row>
        <row r="444">
          <cell r="C444" t="str">
            <v>Cathan CDP, Washington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</row>
        <row r="445">
          <cell r="C445" t="str">
            <v>Cathcart CDP, Washington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C446" t="str">
            <v>Cathlamet town, Washington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C447" t="str">
            <v>Centerville CDP, Washington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C448" t="str">
            <v>Centralia city, Washington</v>
          </cell>
          <cell r="D448">
            <v>82</v>
          </cell>
          <cell r="E448">
            <v>67</v>
          </cell>
          <cell r="F448">
            <v>0</v>
          </cell>
          <cell r="G448">
            <v>31</v>
          </cell>
          <cell r="H448">
            <v>0</v>
          </cell>
          <cell r="I448">
            <v>7</v>
          </cell>
          <cell r="J448">
            <v>0</v>
          </cell>
          <cell r="K448">
            <v>24</v>
          </cell>
          <cell r="L448">
            <v>36</v>
          </cell>
          <cell r="M448">
            <v>0</v>
          </cell>
          <cell r="N448">
            <v>17</v>
          </cell>
          <cell r="O448">
            <v>19</v>
          </cell>
          <cell r="P448">
            <v>15</v>
          </cell>
          <cell r="Q448">
            <v>0</v>
          </cell>
          <cell r="R448">
            <v>15</v>
          </cell>
          <cell r="S448">
            <v>31</v>
          </cell>
          <cell r="T448">
            <v>51</v>
          </cell>
        </row>
        <row r="449">
          <cell r="C449" t="str">
            <v>Central Park CDP, Washington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C450" t="str">
            <v>Chehalis city, Washington</v>
          </cell>
          <cell r="D450">
            <v>15</v>
          </cell>
          <cell r="E450">
            <v>15</v>
          </cell>
          <cell r="F450">
            <v>9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6</v>
          </cell>
          <cell r="M450">
            <v>0</v>
          </cell>
          <cell r="N450">
            <v>6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9</v>
          </cell>
          <cell r="T450">
            <v>6</v>
          </cell>
        </row>
        <row r="451">
          <cell r="C451" t="str">
            <v>Chehalis Village CDP, Washington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C452" t="str">
            <v>Chelan city, Washington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</row>
        <row r="453">
          <cell r="C453" t="str">
            <v>Cheney city, Washington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</row>
        <row r="454">
          <cell r="C454" t="str">
            <v>Cherry Grove CDP, Washington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C455" t="str">
            <v>Chewelah city, Washington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C456" t="str">
            <v>Chinook CDP, Washington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C457" t="str">
            <v>Clarkston city, Washington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C458" t="str">
            <v>Clarkston Heights-Vineland CDP, Washington</v>
          </cell>
          <cell r="D458">
            <v>6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6</v>
          </cell>
          <cell r="M458">
            <v>0</v>
          </cell>
          <cell r="N458">
            <v>6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6</v>
          </cell>
        </row>
        <row r="459">
          <cell r="C459" t="str">
            <v>Clear Lake CDP, Washington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C460" t="str">
            <v>Cle Elum city, Washington</v>
          </cell>
          <cell r="D460">
            <v>29</v>
          </cell>
          <cell r="E460">
            <v>18</v>
          </cell>
          <cell r="F460">
            <v>14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4</v>
          </cell>
          <cell r="M460">
            <v>0</v>
          </cell>
          <cell r="N460">
            <v>4</v>
          </cell>
          <cell r="O460">
            <v>0</v>
          </cell>
          <cell r="P460">
            <v>11</v>
          </cell>
          <cell r="Q460">
            <v>0</v>
          </cell>
          <cell r="R460">
            <v>11</v>
          </cell>
          <cell r="S460">
            <v>14</v>
          </cell>
          <cell r="T460">
            <v>15</v>
          </cell>
        </row>
        <row r="461">
          <cell r="C461" t="str">
            <v>Clinton CDP, Washington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C462" t="str">
            <v>Clyde Hill city, Washington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C463" t="str">
            <v>Cohassett Beach CDP, Washington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C464" t="str">
            <v>Colfax city, Washington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</row>
        <row r="465">
          <cell r="C465" t="str">
            <v>College Place city, Washington</v>
          </cell>
          <cell r="D465">
            <v>14</v>
          </cell>
          <cell r="E465">
            <v>14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14</v>
          </cell>
          <cell r="M465">
            <v>0</v>
          </cell>
          <cell r="N465">
            <v>14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14</v>
          </cell>
        </row>
        <row r="466">
          <cell r="C466" t="str">
            <v>Colton town, Washington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</row>
        <row r="467">
          <cell r="C467" t="str">
            <v>Colville city, Washington</v>
          </cell>
          <cell r="D467">
            <v>8</v>
          </cell>
          <cell r="E467">
            <v>8</v>
          </cell>
          <cell r="F467">
            <v>0</v>
          </cell>
          <cell r="G467">
            <v>8</v>
          </cell>
          <cell r="H467">
            <v>0</v>
          </cell>
          <cell r="I467">
            <v>0</v>
          </cell>
          <cell r="J467">
            <v>0</v>
          </cell>
          <cell r="K467">
            <v>8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8</v>
          </cell>
          <cell r="T467">
            <v>0</v>
          </cell>
        </row>
        <row r="468">
          <cell r="C468" t="str">
            <v>Conconully town, Washington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</row>
        <row r="469">
          <cell r="C469" t="str">
            <v>Concrete town, Washington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</row>
        <row r="470">
          <cell r="C470" t="str">
            <v>Connell city, Washington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</row>
        <row r="471">
          <cell r="C471" t="str">
            <v>Conway CDP, Washington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C472" t="str">
            <v>Copalis Beach CDP, Washington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C473" t="str">
            <v>Cosmopolis city, Washington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</row>
        <row r="474">
          <cell r="C474" t="str">
            <v>Cottage Lake CDP, Washington</v>
          </cell>
          <cell r="D474">
            <v>17</v>
          </cell>
          <cell r="E474">
            <v>17</v>
          </cell>
          <cell r="F474">
            <v>0</v>
          </cell>
          <cell r="G474">
            <v>17</v>
          </cell>
          <cell r="H474">
            <v>0</v>
          </cell>
          <cell r="I474">
            <v>0</v>
          </cell>
          <cell r="J474">
            <v>0</v>
          </cell>
          <cell r="K474">
            <v>17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17</v>
          </cell>
          <cell r="T474">
            <v>0</v>
          </cell>
        </row>
        <row r="475">
          <cell r="C475" t="str">
            <v>Coulee City town, Washington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</row>
        <row r="476">
          <cell r="C476" t="str">
            <v>Coulee Dam town, Washington</v>
          </cell>
          <cell r="D476">
            <v>3</v>
          </cell>
          <cell r="E476">
            <v>3</v>
          </cell>
          <cell r="F476">
            <v>0</v>
          </cell>
          <cell r="G476">
            <v>3</v>
          </cell>
          <cell r="H476">
            <v>0</v>
          </cell>
          <cell r="I476">
            <v>0</v>
          </cell>
          <cell r="J476">
            <v>0</v>
          </cell>
          <cell r="K476">
            <v>3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3</v>
          </cell>
          <cell r="T476">
            <v>0</v>
          </cell>
        </row>
        <row r="477">
          <cell r="C477" t="str">
            <v>Country Homes CDP, Washington</v>
          </cell>
          <cell r="D477">
            <v>53</v>
          </cell>
          <cell r="E477">
            <v>53</v>
          </cell>
          <cell r="F477">
            <v>33</v>
          </cell>
          <cell r="G477">
            <v>20</v>
          </cell>
          <cell r="H477">
            <v>0</v>
          </cell>
          <cell r="I477">
            <v>17</v>
          </cell>
          <cell r="J477">
            <v>0</v>
          </cell>
          <cell r="K477">
            <v>3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53</v>
          </cell>
          <cell r="T477">
            <v>0</v>
          </cell>
        </row>
        <row r="478">
          <cell r="C478" t="str">
            <v>Coupeville town, Washington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</row>
        <row r="479">
          <cell r="C479" t="str">
            <v>Covington city, Washington</v>
          </cell>
          <cell r="D479">
            <v>49</v>
          </cell>
          <cell r="E479">
            <v>30</v>
          </cell>
          <cell r="F479">
            <v>27</v>
          </cell>
          <cell r="G479">
            <v>3</v>
          </cell>
          <cell r="H479">
            <v>0</v>
          </cell>
          <cell r="I479">
            <v>0</v>
          </cell>
          <cell r="J479">
            <v>3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19</v>
          </cell>
          <cell r="Q479">
            <v>0</v>
          </cell>
          <cell r="R479">
            <v>19</v>
          </cell>
          <cell r="S479">
            <v>30</v>
          </cell>
          <cell r="T479">
            <v>19</v>
          </cell>
        </row>
        <row r="480">
          <cell r="C480" t="str">
            <v>Creston town, Washington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</row>
        <row r="481">
          <cell r="C481" t="str">
            <v>Cusick town, Washington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C482" t="str">
            <v>Custer CDP, Washington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C483" t="str">
            <v>Dallesport CDP, Washington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</row>
        <row r="484">
          <cell r="C484" t="str">
            <v>Darrington town, Washington</v>
          </cell>
          <cell r="D484">
            <v>2</v>
          </cell>
          <cell r="E484">
            <v>2</v>
          </cell>
          <cell r="F484">
            <v>0</v>
          </cell>
          <cell r="G484">
            <v>2</v>
          </cell>
          <cell r="H484">
            <v>0</v>
          </cell>
          <cell r="I484">
            <v>0</v>
          </cell>
          <cell r="J484">
            <v>0</v>
          </cell>
          <cell r="K484">
            <v>2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</v>
          </cell>
          <cell r="T484">
            <v>0</v>
          </cell>
        </row>
        <row r="485">
          <cell r="C485" t="str">
            <v>Davenport city, Washington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C486" t="str">
            <v>Dayton city, Washington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</row>
        <row r="487">
          <cell r="C487" t="str">
            <v>Deer Park city, Washington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</row>
        <row r="488">
          <cell r="C488" t="str">
            <v>Deming CDP, Washington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</row>
        <row r="489">
          <cell r="C489" t="str">
            <v>Desert Aire CDP, Washington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</row>
        <row r="490">
          <cell r="C490" t="str">
            <v>Des Moines city, Washington</v>
          </cell>
          <cell r="D490">
            <v>390</v>
          </cell>
          <cell r="E490">
            <v>179</v>
          </cell>
          <cell r="F490">
            <v>61</v>
          </cell>
          <cell r="G490">
            <v>66</v>
          </cell>
          <cell r="H490">
            <v>0</v>
          </cell>
          <cell r="I490">
            <v>4</v>
          </cell>
          <cell r="J490">
            <v>9</v>
          </cell>
          <cell r="K490">
            <v>53</v>
          </cell>
          <cell r="L490">
            <v>52</v>
          </cell>
          <cell r="M490">
            <v>0</v>
          </cell>
          <cell r="N490">
            <v>39</v>
          </cell>
          <cell r="O490">
            <v>13</v>
          </cell>
          <cell r="P490">
            <v>211</v>
          </cell>
          <cell r="Q490">
            <v>44</v>
          </cell>
          <cell r="R490">
            <v>167</v>
          </cell>
          <cell r="S490">
            <v>127</v>
          </cell>
          <cell r="T490">
            <v>263</v>
          </cell>
        </row>
        <row r="491">
          <cell r="C491" t="str">
            <v>Dishman CDP, Washington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</row>
        <row r="492">
          <cell r="C492" t="str">
            <v>Dixie CDP, Washington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</row>
        <row r="493">
          <cell r="C493" t="str">
            <v>Dollar Corner CDP, Washington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</row>
        <row r="494">
          <cell r="C494" t="str">
            <v>DuPont city, Washington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</row>
        <row r="495">
          <cell r="C495" t="str">
            <v>Duvall city, Washington</v>
          </cell>
          <cell r="D495">
            <v>29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29</v>
          </cell>
          <cell r="Q495">
            <v>29</v>
          </cell>
          <cell r="R495">
            <v>0</v>
          </cell>
          <cell r="S495">
            <v>0</v>
          </cell>
          <cell r="T495">
            <v>29</v>
          </cell>
        </row>
        <row r="496">
          <cell r="C496" t="str">
            <v>East Cathlamet CDP, Washington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</row>
        <row r="497">
          <cell r="C497" t="str">
            <v>Eastgate CDP, Washington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</row>
        <row r="498">
          <cell r="C498" t="str">
            <v>East Hill-Meridian CDP, Washington</v>
          </cell>
          <cell r="D498">
            <v>353</v>
          </cell>
          <cell r="E498">
            <v>245</v>
          </cell>
          <cell r="F498">
            <v>60</v>
          </cell>
          <cell r="G498">
            <v>107</v>
          </cell>
          <cell r="H498">
            <v>0</v>
          </cell>
          <cell r="I498">
            <v>0</v>
          </cell>
          <cell r="J498">
            <v>0</v>
          </cell>
          <cell r="K498">
            <v>107</v>
          </cell>
          <cell r="L498">
            <v>78</v>
          </cell>
          <cell r="M498">
            <v>0</v>
          </cell>
          <cell r="N498">
            <v>78</v>
          </cell>
          <cell r="O498">
            <v>0</v>
          </cell>
          <cell r="P498">
            <v>108</v>
          </cell>
          <cell r="Q498">
            <v>39</v>
          </cell>
          <cell r="R498">
            <v>69</v>
          </cell>
          <cell r="S498">
            <v>167</v>
          </cell>
          <cell r="T498">
            <v>186</v>
          </cell>
        </row>
        <row r="499">
          <cell r="C499" t="str">
            <v>Easton CDP, Washington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</row>
        <row r="500">
          <cell r="C500" t="str">
            <v>East Port Orchard CDP, Washington</v>
          </cell>
          <cell r="D500">
            <v>71</v>
          </cell>
          <cell r="E500">
            <v>71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71</v>
          </cell>
          <cell r="M500">
            <v>0</v>
          </cell>
          <cell r="N500">
            <v>46</v>
          </cell>
          <cell r="O500">
            <v>25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71</v>
          </cell>
        </row>
        <row r="501">
          <cell r="C501" t="str">
            <v>East Renton Highlands CDP, Washington</v>
          </cell>
          <cell r="D501">
            <v>12</v>
          </cell>
          <cell r="E501">
            <v>12</v>
          </cell>
          <cell r="F501">
            <v>7</v>
          </cell>
          <cell r="G501">
            <v>5</v>
          </cell>
          <cell r="H501">
            <v>0</v>
          </cell>
          <cell r="I501">
            <v>0</v>
          </cell>
          <cell r="J501">
            <v>0</v>
          </cell>
          <cell r="K501">
            <v>5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12</v>
          </cell>
          <cell r="T501">
            <v>0</v>
          </cell>
        </row>
        <row r="502">
          <cell r="C502" t="str">
            <v>East Wenatchee city, Washington</v>
          </cell>
          <cell r="D502">
            <v>14</v>
          </cell>
          <cell r="E502">
            <v>14</v>
          </cell>
          <cell r="F502">
            <v>11</v>
          </cell>
          <cell r="G502">
            <v>3</v>
          </cell>
          <cell r="H502">
            <v>0</v>
          </cell>
          <cell r="I502">
            <v>0</v>
          </cell>
          <cell r="J502">
            <v>0</v>
          </cell>
          <cell r="K502">
            <v>3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14</v>
          </cell>
          <cell r="T502">
            <v>0</v>
          </cell>
        </row>
        <row r="503">
          <cell r="C503" t="str">
            <v>East Wenatchee Bench CDP, Washington</v>
          </cell>
          <cell r="D503">
            <v>14</v>
          </cell>
          <cell r="E503">
            <v>14</v>
          </cell>
          <cell r="F503">
            <v>12</v>
          </cell>
          <cell r="G503">
            <v>2</v>
          </cell>
          <cell r="H503">
            <v>0</v>
          </cell>
          <cell r="I503">
            <v>0</v>
          </cell>
          <cell r="J503">
            <v>0</v>
          </cell>
          <cell r="K503">
            <v>2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14</v>
          </cell>
          <cell r="T503">
            <v>0</v>
          </cell>
        </row>
        <row r="504">
          <cell r="C504" t="str">
            <v>Eatonville town, Washington</v>
          </cell>
          <cell r="D504">
            <v>2</v>
          </cell>
          <cell r="E504">
            <v>2</v>
          </cell>
          <cell r="F504">
            <v>0</v>
          </cell>
          <cell r="G504">
            <v>2</v>
          </cell>
          <cell r="H504">
            <v>0</v>
          </cell>
          <cell r="I504">
            <v>0</v>
          </cell>
          <cell r="J504">
            <v>0</v>
          </cell>
          <cell r="K504">
            <v>2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</v>
          </cell>
          <cell r="T504">
            <v>0</v>
          </cell>
        </row>
        <row r="505">
          <cell r="C505" t="str">
            <v>Echo Lake CDP, Washington</v>
          </cell>
          <cell r="D505">
            <v>13</v>
          </cell>
          <cell r="E505">
            <v>13</v>
          </cell>
          <cell r="F505">
            <v>7</v>
          </cell>
          <cell r="G505">
            <v>6</v>
          </cell>
          <cell r="H505">
            <v>0</v>
          </cell>
          <cell r="I505">
            <v>0</v>
          </cell>
          <cell r="J505">
            <v>0</v>
          </cell>
          <cell r="K505">
            <v>6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13</v>
          </cell>
          <cell r="T505">
            <v>0</v>
          </cell>
        </row>
        <row r="506">
          <cell r="C506" t="str">
            <v>Edgewood city, Washington</v>
          </cell>
          <cell r="D506">
            <v>66</v>
          </cell>
          <cell r="E506">
            <v>44</v>
          </cell>
          <cell r="F506">
            <v>9</v>
          </cell>
          <cell r="G506">
            <v>24</v>
          </cell>
          <cell r="H506">
            <v>0</v>
          </cell>
          <cell r="I506">
            <v>0</v>
          </cell>
          <cell r="J506">
            <v>14</v>
          </cell>
          <cell r="K506">
            <v>10</v>
          </cell>
          <cell r="L506">
            <v>11</v>
          </cell>
          <cell r="M506">
            <v>0</v>
          </cell>
          <cell r="N506">
            <v>11</v>
          </cell>
          <cell r="O506">
            <v>0</v>
          </cell>
          <cell r="P506">
            <v>22</v>
          </cell>
          <cell r="Q506">
            <v>9</v>
          </cell>
          <cell r="R506">
            <v>13</v>
          </cell>
          <cell r="S506">
            <v>33</v>
          </cell>
          <cell r="T506">
            <v>33</v>
          </cell>
        </row>
        <row r="507">
          <cell r="C507" t="str">
            <v>Edison CDP, Washington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</row>
        <row r="508">
          <cell r="C508" t="str">
            <v>Edmonds city, Washington</v>
          </cell>
          <cell r="D508">
            <v>153</v>
          </cell>
          <cell r="E508">
            <v>111</v>
          </cell>
          <cell r="F508">
            <v>47</v>
          </cell>
          <cell r="G508">
            <v>40</v>
          </cell>
          <cell r="H508">
            <v>0</v>
          </cell>
          <cell r="I508">
            <v>0</v>
          </cell>
          <cell r="J508">
            <v>0</v>
          </cell>
          <cell r="K508">
            <v>40</v>
          </cell>
          <cell r="L508">
            <v>24</v>
          </cell>
          <cell r="M508">
            <v>0</v>
          </cell>
          <cell r="N508">
            <v>13</v>
          </cell>
          <cell r="O508">
            <v>11</v>
          </cell>
          <cell r="P508">
            <v>42</v>
          </cell>
          <cell r="Q508">
            <v>7</v>
          </cell>
          <cell r="R508">
            <v>35</v>
          </cell>
          <cell r="S508">
            <v>87</v>
          </cell>
          <cell r="T508">
            <v>66</v>
          </cell>
        </row>
        <row r="509">
          <cell r="C509" t="str">
            <v>Elbe CDP, Washington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</row>
        <row r="510">
          <cell r="C510" t="str">
            <v>Electric City town, Washington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</row>
        <row r="511">
          <cell r="C511" t="str">
            <v>Elk Plain CDP, Washington</v>
          </cell>
          <cell r="D511">
            <v>218</v>
          </cell>
          <cell r="E511">
            <v>216</v>
          </cell>
          <cell r="F511">
            <v>44</v>
          </cell>
          <cell r="G511">
            <v>28</v>
          </cell>
          <cell r="H511">
            <v>0</v>
          </cell>
          <cell r="I511">
            <v>0</v>
          </cell>
          <cell r="J511">
            <v>0</v>
          </cell>
          <cell r="K511">
            <v>28</v>
          </cell>
          <cell r="L511">
            <v>144</v>
          </cell>
          <cell r="M511">
            <v>0</v>
          </cell>
          <cell r="N511">
            <v>144</v>
          </cell>
          <cell r="O511">
            <v>0</v>
          </cell>
          <cell r="P511">
            <v>2</v>
          </cell>
          <cell r="Q511">
            <v>2</v>
          </cell>
          <cell r="R511">
            <v>0</v>
          </cell>
          <cell r="S511">
            <v>72</v>
          </cell>
          <cell r="T511">
            <v>146</v>
          </cell>
        </row>
        <row r="512">
          <cell r="C512" t="str">
            <v>Ellensburg city, Washington</v>
          </cell>
          <cell r="D512">
            <v>115</v>
          </cell>
          <cell r="E512">
            <v>98</v>
          </cell>
          <cell r="F512">
            <v>29</v>
          </cell>
          <cell r="G512">
            <v>29</v>
          </cell>
          <cell r="H512">
            <v>0</v>
          </cell>
          <cell r="I512">
            <v>0</v>
          </cell>
          <cell r="J512">
            <v>0</v>
          </cell>
          <cell r="K512">
            <v>29</v>
          </cell>
          <cell r="L512">
            <v>40</v>
          </cell>
          <cell r="M512">
            <v>0</v>
          </cell>
          <cell r="N512">
            <v>40</v>
          </cell>
          <cell r="O512">
            <v>0</v>
          </cell>
          <cell r="P512">
            <v>17</v>
          </cell>
          <cell r="Q512">
            <v>17</v>
          </cell>
          <cell r="R512">
            <v>0</v>
          </cell>
          <cell r="S512">
            <v>58</v>
          </cell>
          <cell r="T512">
            <v>57</v>
          </cell>
        </row>
        <row r="513">
          <cell r="C513" t="str">
            <v>Elma city, Washington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</row>
        <row r="514">
          <cell r="C514" t="str">
            <v>Elmer City town, Washington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</row>
        <row r="515">
          <cell r="C515" t="str">
            <v>Endicott town, Washington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</row>
        <row r="516">
          <cell r="C516" t="str">
            <v>Entiat city, Washington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</row>
        <row r="517">
          <cell r="C517" t="str">
            <v>Enumclaw city, Washington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</row>
        <row r="518">
          <cell r="C518" t="str">
            <v>Ephrata city, Washington</v>
          </cell>
          <cell r="D518">
            <v>8</v>
          </cell>
          <cell r="E518">
            <v>8</v>
          </cell>
          <cell r="F518">
            <v>0</v>
          </cell>
          <cell r="G518">
            <v>8</v>
          </cell>
          <cell r="H518">
            <v>0</v>
          </cell>
          <cell r="I518">
            <v>0</v>
          </cell>
          <cell r="J518">
            <v>0</v>
          </cell>
          <cell r="K518">
            <v>8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8</v>
          </cell>
          <cell r="T518">
            <v>0</v>
          </cell>
        </row>
        <row r="519">
          <cell r="C519" t="str">
            <v>Erlands Point-Kitsap Lake CDP, Washington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</row>
        <row r="520">
          <cell r="C520" t="str">
            <v>Eschbach CDP, Washington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</row>
        <row r="521">
          <cell r="C521" t="str">
            <v>Esperance CDP, Washington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</row>
        <row r="522">
          <cell r="C522" t="str">
            <v>Everett city, Washington</v>
          </cell>
          <cell r="D522">
            <v>243</v>
          </cell>
          <cell r="E522">
            <v>161</v>
          </cell>
          <cell r="F522">
            <v>63</v>
          </cell>
          <cell r="G522">
            <v>84</v>
          </cell>
          <cell r="H522">
            <v>0</v>
          </cell>
          <cell r="I522">
            <v>5</v>
          </cell>
          <cell r="J522">
            <v>13</v>
          </cell>
          <cell r="K522">
            <v>66</v>
          </cell>
          <cell r="L522">
            <v>14</v>
          </cell>
          <cell r="M522">
            <v>0</v>
          </cell>
          <cell r="N522">
            <v>14</v>
          </cell>
          <cell r="O522">
            <v>0</v>
          </cell>
          <cell r="P522">
            <v>82</v>
          </cell>
          <cell r="Q522">
            <v>0</v>
          </cell>
          <cell r="R522">
            <v>82</v>
          </cell>
          <cell r="S522">
            <v>147</v>
          </cell>
          <cell r="T522">
            <v>96</v>
          </cell>
        </row>
        <row r="523">
          <cell r="C523" t="str">
            <v>Everson city, Washington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</row>
        <row r="524">
          <cell r="C524" t="str">
            <v>Fairchild AFB CDP, Washington</v>
          </cell>
          <cell r="D524">
            <v>30</v>
          </cell>
          <cell r="E524">
            <v>25</v>
          </cell>
          <cell r="F524">
            <v>0</v>
          </cell>
          <cell r="G524">
            <v>25</v>
          </cell>
          <cell r="H524">
            <v>0</v>
          </cell>
          <cell r="I524">
            <v>0</v>
          </cell>
          <cell r="J524">
            <v>0</v>
          </cell>
          <cell r="K524">
            <v>25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</v>
          </cell>
          <cell r="Q524">
            <v>5</v>
          </cell>
          <cell r="R524">
            <v>0</v>
          </cell>
          <cell r="S524">
            <v>25</v>
          </cell>
          <cell r="T524">
            <v>5</v>
          </cell>
        </row>
        <row r="525">
          <cell r="C525" t="str">
            <v>Fairfield town, Washington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</row>
        <row r="526">
          <cell r="C526" t="str">
            <v>Fairwood CDP, Washington</v>
          </cell>
          <cell r="D526">
            <v>19</v>
          </cell>
          <cell r="E526">
            <v>19</v>
          </cell>
          <cell r="F526">
            <v>0</v>
          </cell>
          <cell r="G526">
            <v>19</v>
          </cell>
          <cell r="H526">
            <v>0</v>
          </cell>
          <cell r="I526">
            <v>0</v>
          </cell>
          <cell r="J526">
            <v>0</v>
          </cell>
          <cell r="K526">
            <v>19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19</v>
          </cell>
          <cell r="T526">
            <v>0</v>
          </cell>
        </row>
        <row r="527">
          <cell r="C527" t="str">
            <v>Fall City CDP, Washington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</row>
        <row r="528">
          <cell r="C528" t="str">
            <v>Farmington town, Washington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</row>
        <row r="529">
          <cell r="C529" t="str">
            <v>Federal Way city, Washington</v>
          </cell>
          <cell r="D529">
            <v>895</v>
          </cell>
          <cell r="E529">
            <v>580</v>
          </cell>
          <cell r="F529">
            <v>260</v>
          </cell>
          <cell r="G529">
            <v>230</v>
          </cell>
          <cell r="H529">
            <v>0</v>
          </cell>
          <cell r="I529">
            <v>0</v>
          </cell>
          <cell r="J529">
            <v>10</v>
          </cell>
          <cell r="K529">
            <v>220</v>
          </cell>
          <cell r="L529">
            <v>90</v>
          </cell>
          <cell r="M529">
            <v>0</v>
          </cell>
          <cell r="N529">
            <v>86</v>
          </cell>
          <cell r="O529">
            <v>4</v>
          </cell>
          <cell r="P529">
            <v>315</v>
          </cell>
          <cell r="Q529">
            <v>194</v>
          </cell>
          <cell r="R529">
            <v>121</v>
          </cell>
          <cell r="S529">
            <v>490</v>
          </cell>
          <cell r="T529">
            <v>405</v>
          </cell>
        </row>
        <row r="530">
          <cell r="C530" t="str">
            <v>Felida CDP, Washington</v>
          </cell>
          <cell r="D530">
            <v>8</v>
          </cell>
          <cell r="E530">
            <v>8</v>
          </cell>
          <cell r="F530">
            <v>0</v>
          </cell>
          <cell r="G530">
            <v>8</v>
          </cell>
          <cell r="H530">
            <v>0</v>
          </cell>
          <cell r="I530">
            <v>0</v>
          </cell>
          <cell r="J530">
            <v>0</v>
          </cell>
          <cell r="K530">
            <v>8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8</v>
          </cell>
          <cell r="T530">
            <v>0</v>
          </cell>
        </row>
        <row r="531">
          <cell r="C531" t="str">
            <v>Ferndale city, Washington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</row>
        <row r="532">
          <cell r="C532" t="str">
            <v>Fife city, Washington</v>
          </cell>
          <cell r="D532">
            <v>69</v>
          </cell>
          <cell r="E532">
            <v>58</v>
          </cell>
          <cell r="F532">
            <v>19</v>
          </cell>
          <cell r="G532">
            <v>18</v>
          </cell>
          <cell r="H532">
            <v>0</v>
          </cell>
          <cell r="I532">
            <v>0</v>
          </cell>
          <cell r="J532">
            <v>0</v>
          </cell>
          <cell r="K532">
            <v>18</v>
          </cell>
          <cell r="L532">
            <v>21</v>
          </cell>
          <cell r="M532">
            <v>0</v>
          </cell>
          <cell r="N532">
            <v>21</v>
          </cell>
          <cell r="O532">
            <v>0</v>
          </cell>
          <cell r="P532">
            <v>11</v>
          </cell>
          <cell r="Q532">
            <v>3</v>
          </cell>
          <cell r="R532">
            <v>8</v>
          </cell>
          <cell r="S532">
            <v>37</v>
          </cell>
          <cell r="T532">
            <v>32</v>
          </cell>
        </row>
        <row r="533">
          <cell r="C533" t="str">
            <v>Finley CDP, Washington</v>
          </cell>
          <cell r="D533">
            <v>26</v>
          </cell>
          <cell r="E533">
            <v>26</v>
          </cell>
          <cell r="F533">
            <v>9</v>
          </cell>
          <cell r="G533">
            <v>17</v>
          </cell>
          <cell r="H533">
            <v>0</v>
          </cell>
          <cell r="I533">
            <v>0</v>
          </cell>
          <cell r="J533">
            <v>9</v>
          </cell>
          <cell r="K533">
            <v>8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26</v>
          </cell>
          <cell r="T533">
            <v>0</v>
          </cell>
        </row>
        <row r="534">
          <cell r="C534" t="str">
            <v>Fircrest city, Washington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</row>
        <row r="535">
          <cell r="C535" t="str">
            <v>Five Corners CDP, Washington</v>
          </cell>
          <cell r="D535">
            <v>11</v>
          </cell>
          <cell r="E535">
            <v>11</v>
          </cell>
          <cell r="F535">
            <v>0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11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11</v>
          </cell>
          <cell r="T535">
            <v>0</v>
          </cell>
        </row>
        <row r="536">
          <cell r="C536" t="str">
            <v>Fords Prairie CDP, Washington</v>
          </cell>
          <cell r="D536">
            <v>4</v>
          </cell>
          <cell r="E536">
            <v>4</v>
          </cell>
          <cell r="F536">
            <v>0</v>
          </cell>
          <cell r="G536">
            <v>4</v>
          </cell>
          <cell r="H536">
            <v>0</v>
          </cell>
          <cell r="I536">
            <v>0</v>
          </cell>
          <cell r="J536">
            <v>0</v>
          </cell>
          <cell r="K536">
            <v>4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4</v>
          </cell>
          <cell r="T536">
            <v>0</v>
          </cell>
        </row>
        <row r="537">
          <cell r="C537" t="str">
            <v>Forks city, Washington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</row>
        <row r="538">
          <cell r="C538" t="str">
            <v>Fort Lewis CDP, Washington</v>
          </cell>
          <cell r="D538">
            <v>317</v>
          </cell>
          <cell r="E538">
            <v>254</v>
          </cell>
          <cell r="F538">
            <v>11</v>
          </cell>
          <cell r="G538">
            <v>57</v>
          </cell>
          <cell r="H538">
            <v>0</v>
          </cell>
          <cell r="I538">
            <v>7</v>
          </cell>
          <cell r="J538">
            <v>21</v>
          </cell>
          <cell r="K538">
            <v>29</v>
          </cell>
          <cell r="L538">
            <v>186</v>
          </cell>
          <cell r="M538">
            <v>0</v>
          </cell>
          <cell r="N538">
            <v>183</v>
          </cell>
          <cell r="O538">
            <v>3</v>
          </cell>
          <cell r="P538">
            <v>63</v>
          </cell>
          <cell r="Q538">
            <v>40</v>
          </cell>
          <cell r="R538">
            <v>23</v>
          </cell>
          <cell r="S538">
            <v>68</v>
          </cell>
          <cell r="T538">
            <v>249</v>
          </cell>
        </row>
        <row r="539">
          <cell r="C539" t="str">
            <v>Fox Island CDP, Washington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</row>
        <row r="540">
          <cell r="C540" t="str">
            <v>Frederickson CDP, Washington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</row>
        <row r="541">
          <cell r="C541" t="str">
            <v>Freeland CDP, Washington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C542" t="str">
            <v>Friday Harbor town, Washington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</row>
        <row r="543">
          <cell r="C543" t="str">
            <v>Garfield town, Washington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</row>
        <row r="544">
          <cell r="C544" t="str">
            <v>Garrett CDP, Washington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</row>
        <row r="545">
          <cell r="C545" t="str">
            <v>Geneva CDP, Washington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</row>
        <row r="546">
          <cell r="C546" t="str">
            <v>George city, Washington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</row>
        <row r="547">
          <cell r="C547" t="str">
            <v>Gig Harbor city, Washington</v>
          </cell>
          <cell r="D547">
            <v>59</v>
          </cell>
          <cell r="E547">
            <v>53</v>
          </cell>
          <cell r="F547">
            <v>34</v>
          </cell>
          <cell r="G547">
            <v>6</v>
          </cell>
          <cell r="H547">
            <v>0</v>
          </cell>
          <cell r="I547">
            <v>0</v>
          </cell>
          <cell r="J547">
            <v>0</v>
          </cell>
          <cell r="K547">
            <v>6</v>
          </cell>
          <cell r="L547">
            <v>13</v>
          </cell>
          <cell r="M547">
            <v>0</v>
          </cell>
          <cell r="N547">
            <v>13</v>
          </cell>
          <cell r="O547">
            <v>0</v>
          </cell>
          <cell r="P547">
            <v>6</v>
          </cell>
          <cell r="Q547">
            <v>0</v>
          </cell>
          <cell r="R547">
            <v>6</v>
          </cell>
          <cell r="S547">
            <v>40</v>
          </cell>
          <cell r="T547">
            <v>19</v>
          </cell>
        </row>
        <row r="548">
          <cell r="C548" t="str">
            <v>Glacier CDP, Washington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</row>
        <row r="549">
          <cell r="C549" t="str">
            <v>Gleed CDP, Washington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</row>
        <row r="550">
          <cell r="C550" t="str">
            <v>Gold Bar city, Washington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</row>
        <row r="551">
          <cell r="C551" t="str">
            <v>Goldendale city, Washington</v>
          </cell>
          <cell r="D551">
            <v>29</v>
          </cell>
          <cell r="E551">
            <v>29</v>
          </cell>
          <cell r="F551">
            <v>7</v>
          </cell>
          <cell r="G551">
            <v>22</v>
          </cell>
          <cell r="H551">
            <v>0</v>
          </cell>
          <cell r="I551">
            <v>0</v>
          </cell>
          <cell r="J551">
            <v>0</v>
          </cell>
          <cell r="K551">
            <v>22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29</v>
          </cell>
          <cell r="T551">
            <v>0</v>
          </cell>
        </row>
        <row r="552">
          <cell r="C552" t="str">
            <v>Graham CDP, Washington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</row>
        <row r="553">
          <cell r="C553" t="str">
            <v>Grand Coulee city, Washington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</row>
        <row r="554">
          <cell r="C554" t="str">
            <v>Grand Mound CDP, Washington</v>
          </cell>
          <cell r="D554">
            <v>60</v>
          </cell>
          <cell r="E554">
            <v>60</v>
          </cell>
          <cell r="F554">
            <v>0</v>
          </cell>
          <cell r="G554">
            <v>10</v>
          </cell>
          <cell r="H554">
            <v>0</v>
          </cell>
          <cell r="I554">
            <v>0</v>
          </cell>
          <cell r="J554">
            <v>0</v>
          </cell>
          <cell r="K554">
            <v>10</v>
          </cell>
          <cell r="L554">
            <v>50</v>
          </cell>
          <cell r="M554">
            <v>0</v>
          </cell>
          <cell r="N554">
            <v>50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10</v>
          </cell>
          <cell r="T554">
            <v>50</v>
          </cell>
        </row>
        <row r="555">
          <cell r="C555" t="str">
            <v>Grandview city, Washington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</row>
        <row r="556">
          <cell r="C556" t="str">
            <v>Granger town, Washington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</row>
        <row r="557">
          <cell r="C557" t="str">
            <v>Granite Falls city, Washington</v>
          </cell>
          <cell r="D557">
            <v>5</v>
          </cell>
          <cell r="E557">
            <v>5</v>
          </cell>
          <cell r="F557">
            <v>0</v>
          </cell>
          <cell r="G557">
            <v>5</v>
          </cell>
          <cell r="H557">
            <v>0</v>
          </cell>
          <cell r="I557">
            <v>0</v>
          </cell>
          <cell r="J557">
            <v>0</v>
          </cell>
          <cell r="K557">
            <v>5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5</v>
          </cell>
          <cell r="T557">
            <v>0</v>
          </cell>
        </row>
        <row r="558">
          <cell r="C558" t="str">
            <v>Grayland CDP, Washington</v>
          </cell>
          <cell r="D558">
            <v>14</v>
          </cell>
          <cell r="E558">
            <v>14</v>
          </cell>
          <cell r="F558">
            <v>14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14</v>
          </cell>
          <cell r="T558">
            <v>0</v>
          </cell>
        </row>
        <row r="559">
          <cell r="C559" t="str">
            <v>Green Acres CDP, Washington</v>
          </cell>
          <cell r="D559">
            <v>8</v>
          </cell>
          <cell r="E559">
            <v>8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8</v>
          </cell>
          <cell r="M559">
            <v>0</v>
          </cell>
          <cell r="N559">
            <v>8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8</v>
          </cell>
        </row>
        <row r="560">
          <cell r="C560" t="str">
            <v>Greenwater CDP, Washington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</row>
        <row r="561">
          <cell r="C561" t="str">
            <v>Hamilton town, Washington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</row>
        <row r="562">
          <cell r="C562" t="str">
            <v>Harrah town, Washington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</row>
        <row r="563">
          <cell r="C563" t="str">
            <v>Harrington city, Washington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C564" t="str">
            <v>Hartline town, Washington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</row>
        <row r="565">
          <cell r="C565" t="str">
            <v>Hatton town, Washington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</row>
        <row r="566">
          <cell r="C566" t="str">
            <v>Hazel Dell North CDP, Washington</v>
          </cell>
          <cell r="D566">
            <v>75</v>
          </cell>
          <cell r="E566">
            <v>75</v>
          </cell>
          <cell r="F566">
            <v>11</v>
          </cell>
          <cell r="G566">
            <v>8</v>
          </cell>
          <cell r="H566">
            <v>0</v>
          </cell>
          <cell r="I566">
            <v>0</v>
          </cell>
          <cell r="J566">
            <v>0</v>
          </cell>
          <cell r="K566">
            <v>8</v>
          </cell>
          <cell r="L566">
            <v>56</v>
          </cell>
          <cell r="M566">
            <v>0</v>
          </cell>
          <cell r="N566">
            <v>56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19</v>
          </cell>
          <cell r="T566">
            <v>56</v>
          </cell>
        </row>
        <row r="567">
          <cell r="C567" t="str">
            <v>Hazel Dell South CDP, Washington</v>
          </cell>
          <cell r="D567">
            <v>4</v>
          </cell>
          <cell r="E567">
            <v>4</v>
          </cell>
          <cell r="F567">
            <v>4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4</v>
          </cell>
          <cell r="T567">
            <v>0</v>
          </cell>
        </row>
        <row r="568">
          <cell r="C568" t="str">
            <v>Highland CDP, Washington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C569" t="str">
            <v>Hobart CDP, Washington</v>
          </cell>
          <cell r="D569">
            <v>47</v>
          </cell>
          <cell r="E569">
            <v>7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7</v>
          </cell>
          <cell r="M569">
            <v>0</v>
          </cell>
          <cell r="N569">
            <v>0</v>
          </cell>
          <cell r="O569">
            <v>7</v>
          </cell>
          <cell r="P569">
            <v>40</v>
          </cell>
          <cell r="Q569">
            <v>40</v>
          </cell>
          <cell r="R569">
            <v>0</v>
          </cell>
          <cell r="S569">
            <v>0</v>
          </cell>
          <cell r="T569">
            <v>47</v>
          </cell>
        </row>
        <row r="570">
          <cell r="C570" t="str">
            <v>Hockinson CDP, Washington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</row>
        <row r="571">
          <cell r="C571" t="str">
            <v>Hoquiam city, Washington</v>
          </cell>
          <cell r="D571">
            <v>9</v>
          </cell>
          <cell r="E571">
            <v>9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9</v>
          </cell>
          <cell r="M571">
            <v>0</v>
          </cell>
          <cell r="N571">
            <v>9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9</v>
          </cell>
        </row>
        <row r="572">
          <cell r="C572" t="str">
            <v>Humptulips CDP, Washington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</row>
        <row r="573">
          <cell r="C573" t="str">
            <v>Hunts Point town, Washington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</row>
        <row r="574">
          <cell r="C574" t="str">
            <v>Ilwaco city, Washington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C575" t="str">
            <v>Inchelium CDP, Washington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C576" t="str">
            <v>Index town, Washington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</row>
        <row r="577">
          <cell r="C577" t="str">
            <v>Indianola CDP, Washington</v>
          </cell>
          <cell r="D577">
            <v>8</v>
          </cell>
          <cell r="E577">
            <v>6</v>
          </cell>
          <cell r="F577">
            <v>0</v>
          </cell>
          <cell r="G577">
            <v>1</v>
          </cell>
          <cell r="H577">
            <v>0</v>
          </cell>
          <cell r="I577">
            <v>0</v>
          </cell>
          <cell r="J577">
            <v>0</v>
          </cell>
          <cell r="K577">
            <v>1</v>
          </cell>
          <cell r="L577">
            <v>5</v>
          </cell>
          <cell r="M577">
            <v>0</v>
          </cell>
          <cell r="N577">
            <v>5</v>
          </cell>
          <cell r="O577">
            <v>0</v>
          </cell>
          <cell r="P577">
            <v>2</v>
          </cell>
          <cell r="Q577">
            <v>0</v>
          </cell>
          <cell r="R577">
            <v>2</v>
          </cell>
          <cell r="S577">
            <v>1</v>
          </cell>
          <cell r="T577">
            <v>7</v>
          </cell>
        </row>
        <row r="578">
          <cell r="C578" t="str">
            <v>Inglewood-Finn Hill CDP, Washington</v>
          </cell>
          <cell r="D578">
            <v>9</v>
          </cell>
          <cell r="E578">
            <v>9</v>
          </cell>
          <cell r="F578">
            <v>2</v>
          </cell>
          <cell r="G578">
            <v>7</v>
          </cell>
          <cell r="H578">
            <v>0</v>
          </cell>
          <cell r="I578">
            <v>0</v>
          </cell>
          <cell r="J578">
            <v>0</v>
          </cell>
          <cell r="K578">
            <v>7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9</v>
          </cell>
          <cell r="T578">
            <v>0</v>
          </cell>
        </row>
        <row r="579">
          <cell r="C579" t="str">
            <v>Ione town, Washington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</row>
        <row r="580">
          <cell r="C580" t="str">
            <v>Issaquah city, Washington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</row>
        <row r="581">
          <cell r="C581" t="str">
            <v>John Sam Lake CDP, Washington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C582" t="str">
            <v>Jordan Road-Canyon Creek CDP, Washington</v>
          </cell>
          <cell r="D582">
            <v>8</v>
          </cell>
          <cell r="E582">
            <v>8</v>
          </cell>
          <cell r="F582">
            <v>0</v>
          </cell>
          <cell r="G582">
            <v>8</v>
          </cell>
          <cell r="H582">
            <v>0</v>
          </cell>
          <cell r="I582">
            <v>0</v>
          </cell>
          <cell r="J582">
            <v>0</v>
          </cell>
          <cell r="K582">
            <v>8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8</v>
          </cell>
          <cell r="T582">
            <v>0</v>
          </cell>
        </row>
        <row r="583">
          <cell r="C583" t="str">
            <v>Junction City CDP, Washington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</row>
        <row r="584">
          <cell r="C584" t="str">
            <v>Kahlotus city, Washington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</row>
        <row r="585">
          <cell r="C585" t="str">
            <v>Kalama city, Washington</v>
          </cell>
          <cell r="D585">
            <v>1</v>
          </cell>
          <cell r="E585">
            <v>1</v>
          </cell>
          <cell r="F585">
            <v>1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1</v>
          </cell>
          <cell r="T585">
            <v>0</v>
          </cell>
        </row>
        <row r="586">
          <cell r="C586" t="str">
            <v>Kelso city, Washington</v>
          </cell>
          <cell r="D586">
            <v>36</v>
          </cell>
          <cell r="E586">
            <v>31</v>
          </cell>
          <cell r="F586">
            <v>8</v>
          </cell>
          <cell r="G586">
            <v>23</v>
          </cell>
          <cell r="H586">
            <v>0</v>
          </cell>
          <cell r="I586">
            <v>0</v>
          </cell>
          <cell r="J586">
            <v>0</v>
          </cell>
          <cell r="K586">
            <v>23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5</v>
          </cell>
          <cell r="Q586">
            <v>5</v>
          </cell>
          <cell r="R586">
            <v>0</v>
          </cell>
          <cell r="S586">
            <v>31</v>
          </cell>
          <cell r="T586">
            <v>5</v>
          </cell>
        </row>
        <row r="587">
          <cell r="C587" t="str">
            <v>Kendall CDP, Washington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</row>
        <row r="588">
          <cell r="C588" t="str">
            <v>Kenmore city, Washington</v>
          </cell>
          <cell r="D588">
            <v>102</v>
          </cell>
          <cell r="E588">
            <v>102</v>
          </cell>
          <cell r="F588">
            <v>68</v>
          </cell>
          <cell r="G588">
            <v>34</v>
          </cell>
          <cell r="H588">
            <v>12</v>
          </cell>
          <cell r="I588">
            <v>0</v>
          </cell>
          <cell r="J588">
            <v>0</v>
          </cell>
          <cell r="K588">
            <v>22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102</v>
          </cell>
          <cell r="T588">
            <v>0</v>
          </cell>
        </row>
        <row r="589">
          <cell r="C589" t="str">
            <v>Kennewick city, Washington</v>
          </cell>
          <cell r="D589">
            <v>80</v>
          </cell>
          <cell r="E589">
            <v>80</v>
          </cell>
          <cell r="F589">
            <v>16</v>
          </cell>
          <cell r="G589">
            <v>48</v>
          </cell>
          <cell r="H589">
            <v>6</v>
          </cell>
          <cell r="I589">
            <v>0</v>
          </cell>
          <cell r="J589">
            <v>0</v>
          </cell>
          <cell r="K589">
            <v>42</v>
          </cell>
          <cell r="L589">
            <v>16</v>
          </cell>
          <cell r="M589">
            <v>0</v>
          </cell>
          <cell r="N589">
            <v>16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64</v>
          </cell>
          <cell r="T589">
            <v>16</v>
          </cell>
        </row>
        <row r="590">
          <cell r="C590" t="str">
            <v>Kent city, Washington</v>
          </cell>
          <cell r="D590">
            <v>258</v>
          </cell>
          <cell r="E590">
            <v>197</v>
          </cell>
          <cell r="F590">
            <v>89</v>
          </cell>
          <cell r="G590">
            <v>99</v>
          </cell>
          <cell r="H590">
            <v>8</v>
          </cell>
          <cell r="I590">
            <v>0</v>
          </cell>
          <cell r="J590">
            <v>21</v>
          </cell>
          <cell r="K590">
            <v>70</v>
          </cell>
          <cell r="L590">
            <v>9</v>
          </cell>
          <cell r="M590">
            <v>0</v>
          </cell>
          <cell r="N590">
            <v>9</v>
          </cell>
          <cell r="O590">
            <v>0</v>
          </cell>
          <cell r="P590">
            <v>61</v>
          </cell>
          <cell r="Q590">
            <v>27</v>
          </cell>
          <cell r="R590">
            <v>34</v>
          </cell>
          <cell r="S590">
            <v>188</v>
          </cell>
          <cell r="T590">
            <v>70</v>
          </cell>
        </row>
        <row r="591">
          <cell r="C591" t="str">
            <v>Kettle Falls city, Washington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</row>
        <row r="592">
          <cell r="C592" t="str">
            <v>Kingsgate CDP, Washington</v>
          </cell>
          <cell r="D592">
            <v>91</v>
          </cell>
          <cell r="E592">
            <v>74</v>
          </cell>
          <cell r="F592">
            <v>65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9</v>
          </cell>
          <cell r="M592">
            <v>0</v>
          </cell>
          <cell r="N592">
            <v>9</v>
          </cell>
          <cell r="O592">
            <v>0</v>
          </cell>
          <cell r="P592">
            <v>17</v>
          </cell>
          <cell r="Q592">
            <v>17</v>
          </cell>
          <cell r="R592">
            <v>0</v>
          </cell>
          <cell r="S592">
            <v>65</v>
          </cell>
          <cell r="T592">
            <v>26</v>
          </cell>
        </row>
        <row r="593">
          <cell r="C593" t="str">
            <v>Kingston CDP, Washington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</row>
        <row r="594">
          <cell r="C594" t="str">
            <v>Kirkland city, Washington</v>
          </cell>
          <cell r="D594">
            <v>76</v>
          </cell>
          <cell r="E594">
            <v>62</v>
          </cell>
          <cell r="F594">
            <v>16</v>
          </cell>
          <cell r="G594">
            <v>31</v>
          </cell>
          <cell r="H594">
            <v>0</v>
          </cell>
          <cell r="I594">
            <v>0</v>
          </cell>
          <cell r="J594">
            <v>0</v>
          </cell>
          <cell r="K594">
            <v>31</v>
          </cell>
          <cell r="L594">
            <v>15</v>
          </cell>
          <cell r="M594">
            <v>0</v>
          </cell>
          <cell r="N594">
            <v>15</v>
          </cell>
          <cell r="O594">
            <v>0</v>
          </cell>
          <cell r="P594">
            <v>14</v>
          </cell>
          <cell r="Q594">
            <v>0</v>
          </cell>
          <cell r="R594">
            <v>14</v>
          </cell>
          <cell r="S594">
            <v>47</v>
          </cell>
          <cell r="T594">
            <v>29</v>
          </cell>
        </row>
        <row r="595">
          <cell r="C595" t="str">
            <v>Kittitas city, Washington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</row>
        <row r="596">
          <cell r="C596" t="str">
            <v>Klickitat CDP, Washington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</row>
        <row r="597">
          <cell r="C597" t="str">
            <v>Krupp town, Washington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</row>
        <row r="598">
          <cell r="C598" t="str">
            <v>La Center city, Washington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</row>
        <row r="599">
          <cell r="C599" t="str">
            <v>Lacey city, Washington</v>
          </cell>
          <cell r="D599">
            <v>349</v>
          </cell>
          <cell r="E599">
            <v>343</v>
          </cell>
          <cell r="F599">
            <v>39</v>
          </cell>
          <cell r="G599">
            <v>162</v>
          </cell>
          <cell r="H599">
            <v>23</v>
          </cell>
          <cell r="I599">
            <v>8</v>
          </cell>
          <cell r="J599">
            <v>22</v>
          </cell>
          <cell r="K599">
            <v>109</v>
          </cell>
          <cell r="L599">
            <v>142</v>
          </cell>
          <cell r="M599">
            <v>0</v>
          </cell>
          <cell r="N599">
            <v>122</v>
          </cell>
          <cell r="O599">
            <v>20</v>
          </cell>
          <cell r="P599">
            <v>6</v>
          </cell>
          <cell r="Q599">
            <v>0</v>
          </cell>
          <cell r="R599">
            <v>6</v>
          </cell>
          <cell r="S599">
            <v>201</v>
          </cell>
          <cell r="T599">
            <v>148</v>
          </cell>
        </row>
        <row r="600">
          <cell r="C600" t="str">
            <v>La Conner town, Washington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</row>
        <row r="601">
          <cell r="C601" t="str">
            <v>La Crosse town, Washington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</row>
        <row r="602">
          <cell r="C602" t="str">
            <v>Lake Bosworth CDP, Washington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</row>
        <row r="603">
          <cell r="C603" t="str">
            <v>Lake Cavanaugh CDP, Washington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</row>
        <row r="604">
          <cell r="C604" t="str">
            <v>Lake Forest Park city, Washington</v>
          </cell>
          <cell r="D604">
            <v>68</v>
          </cell>
          <cell r="E604">
            <v>53</v>
          </cell>
          <cell r="F604">
            <v>12</v>
          </cell>
          <cell r="G604">
            <v>30</v>
          </cell>
          <cell r="H604">
            <v>0</v>
          </cell>
          <cell r="I604">
            <v>8</v>
          </cell>
          <cell r="J604">
            <v>0</v>
          </cell>
          <cell r="K604">
            <v>22</v>
          </cell>
          <cell r="L604">
            <v>11</v>
          </cell>
          <cell r="M604">
            <v>0</v>
          </cell>
          <cell r="N604">
            <v>11</v>
          </cell>
          <cell r="O604">
            <v>0</v>
          </cell>
          <cell r="P604">
            <v>15</v>
          </cell>
          <cell r="Q604">
            <v>9</v>
          </cell>
          <cell r="R604">
            <v>6</v>
          </cell>
          <cell r="S604">
            <v>42</v>
          </cell>
          <cell r="T604">
            <v>26</v>
          </cell>
        </row>
        <row r="605">
          <cell r="C605" t="str">
            <v>Lake Goodwin CDP, Washington</v>
          </cell>
          <cell r="D605">
            <v>4</v>
          </cell>
          <cell r="E605">
            <v>4</v>
          </cell>
          <cell r="F605">
            <v>0</v>
          </cell>
          <cell r="G605">
            <v>4</v>
          </cell>
          <cell r="H605">
            <v>0</v>
          </cell>
          <cell r="I605">
            <v>0</v>
          </cell>
          <cell r="J605">
            <v>0</v>
          </cell>
          <cell r="K605">
            <v>4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4</v>
          </cell>
          <cell r="T605">
            <v>0</v>
          </cell>
        </row>
        <row r="606">
          <cell r="C606" t="str">
            <v>Lake Ketchum CDP, Washington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</row>
        <row r="607">
          <cell r="C607" t="str">
            <v>Lakeland North CDP, Washington</v>
          </cell>
          <cell r="D607">
            <v>109</v>
          </cell>
          <cell r="E607">
            <v>109</v>
          </cell>
          <cell r="F607">
            <v>48</v>
          </cell>
          <cell r="G607">
            <v>24</v>
          </cell>
          <cell r="H607">
            <v>0</v>
          </cell>
          <cell r="I607">
            <v>0</v>
          </cell>
          <cell r="J607">
            <v>0</v>
          </cell>
          <cell r="K607">
            <v>24</v>
          </cell>
          <cell r="L607">
            <v>37</v>
          </cell>
          <cell r="M607">
            <v>0</v>
          </cell>
          <cell r="N607">
            <v>37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72</v>
          </cell>
          <cell r="T607">
            <v>37</v>
          </cell>
        </row>
        <row r="608">
          <cell r="C608" t="str">
            <v>Lakeland South CDP, Washington</v>
          </cell>
          <cell r="D608">
            <v>65</v>
          </cell>
          <cell r="E608">
            <v>44</v>
          </cell>
          <cell r="F608">
            <v>21</v>
          </cell>
          <cell r="G608">
            <v>17</v>
          </cell>
          <cell r="H608">
            <v>0</v>
          </cell>
          <cell r="I608">
            <v>0</v>
          </cell>
          <cell r="J608">
            <v>0</v>
          </cell>
          <cell r="K608">
            <v>17</v>
          </cell>
          <cell r="L608">
            <v>6</v>
          </cell>
          <cell r="M608">
            <v>0</v>
          </cell>
          <cell r="N608">
            <v>6</v>
          </cell>
          <cell r="O608">
            <v>0</v>
          </cell>
          <cell r="P608">
            <v>21</v>
          </cell>
          <cell r="Q608">
            <v>0</v>
          </cell>
          <cell r="R608">
            <v>21</v>
          </cell>
          <cell r="S608">
            <v>38</v>
          </cell>
          <cell r="T608">
            <v>27</v>
          </cell>
        </row>
        <row r="609">
          <cell r="C609" t="str">
            <v>Lake McMurray CDP, Washington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</row>
        <row r="610">
          <cell r="C610" t="str">
            <v>Lake Marcel-Stillwater CDP, Washington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</row>
        <row r="611">
          <cell r="C611" t="str">
            <v>Lake Morton-Berrydale CDP, Washington</v>
          </cell>
          <cell r="D611">
            <v>9</v>
          </cell>
          <cell r="E611">
            <v>9</v>
          </cell>
          <cell r="F611">
            <v>0</v>
          </cell>
          <cell r="G611">
            <v>9</v>
          </cell>
          <cell r="H611">
            <v>0</v>
          </cell>
          <cell r="I611">
            <v>0</v>
          </cell>
          <cell r="J611">
            <v>0</v>
          </cell>
          <cell r="K611">
            <v>9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9</v>
          </cell>
          <cell r="T611">
            <v>0</v>
          </cell>
        </row>
        <row r="612">
          <cell r="C612" t="str">
            <v>Lake Roesiger CDP, Washington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</row>
        <row r="613">
          <cell r="C613" t="str">
            <v>Lake Shore CDP, Washington</v>
          </cell>
          <cell r="D613">
            <v>7</v>
          </cell>
          <cell r="E613">
            <v>7</v>
          </cell>
          <cell r="F613">
            <v>0</v>
          </cell>
          <cell r="G613">
            <v>7</v>
          </cell>
          <cell r="H613">
            <v>0</v>
          </cell>
          <cell r="I613">
            <v>0</v>
          </cell>
          <cell r="J613">
            <v>0</v>
          </cell>
          <cell r="K613">
            <v>7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7</v>
          </cell>
          <cell r="T613">
            <v>0</v>
          </cell>
        </row>
        <row r="614">
          <cell r="C614" t="str">
            <v>Lake Stevens city, Washington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</row>
        <row r="615">
          <cell r="C615" t="str">
            <v>Lakeview CDP, Washington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</row>
        <row r="616">
          <cell r="C616" t="str">
            <v>Lakewood city, Washington</v>
          </cell>
          <cell r="D616">
            <v>746</v>
          </cell>
          <cell r="E616">
            <v>640</v>
          </cell>
          <cell r="F616">
            <v>135</v>
          </cell>
          <cell r="G616">
            <v>252</v>
          </cell>
          <cell r="H616">
            <v>0</v>
          </cell>
          <cell r="I616">
            <v>8</v>
          </cell>
          <cell r="J616">
            <v>55</v>
          </cell>
          <cell r="K616">
            <v>189</v>
          </cell>
          <cell r="L616">
            <v>253</v>
          </cell>
          <cell r="M616">
            <v>0</v>
          </cell>
          <cell r="N616">
            <v>242</v>
          </cell>
          <cell r="O616">
            <v>11</v>
          </cell>
          <cell r="P616">
            <v>106</v>
          </cell>
          <cell r="Q616">
            <v>86</v>
          </cell>
          <cell r="R616">
            <v>20</v>
          </cell>
          <cell r="S616">
            <v>387</v>
          </cell>
          <cell r="T616">
            <v>359</v>
          </cell>
        </row>
        <row r="617">
          <cell r="C617" t="str">
            <v>Lamont town, Washington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</row>
        <row r="618">
          <cell r="C618" t="str">
            <v>Langley city, Washington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</row>
        <row r="619">
          <cell r="C619" t="str">
            <v>Latah town, Washington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</row>
        <row r="620">
          <cell r="C620" t="str">
            <v>Lea Hill CDP, Washington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</row>
        <row r="621">
          <cell r="C621" t="str">
            <v>Leavenworth city, Washington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</row>
        <row r="622">
          <cell r="C622" t="str">
            <v>Lebam CDP, Washington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</row>
        <row r="623">
          <cell r="C623" t="str">
            <v>Lewisville CDP, Washington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</row>
        <row r="624">
          <cell r="C624" t="str">
            <v>Liberty Lake CDP, Washington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</row>
        <row r="625">
          <cell r="C625" t="str">
            <v>Lind town, Washington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</row>
        <row r="626">
          <cell r="C626" t="str">
            <v>Lochsloy CDP, Washington</v>
          </cell>
          <cell r="D626">
            <v>30</v>
          </cell>
          <cell r="E626">
            <v>17</v>
          </cell>
          <cell r="F626">
            <v>12</v>
          </cell>
          <cell r="G626">
            <v>5</v>
          </cell>
          <cell r="H626">
            <v>0</v>
          </cell>
          <cell r="I626">
            <v>0</v>
          </cell>
          <cell r="J626">
            <v>0</v>
          </cell>
          <cell r="K626">
            <v>5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13</v>
          </cell>
          <cell r="Q626">
            <v>0</v>
          </cell>
          <cell r="R626">
            <v>13</v>
          </cell>
          <cell r="S626">
            <v>17</v>
          </cell>
          <cell r="T626">
            <v>13</v>
          </cell>
        </row>
        <row r="627">
          <cell r="C627" t="str">
            <v>Long Beach city, Washington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</row>
        <row r="628">
          <cell r="C628" t="str">
            <v>Longview city, Washington</v>
          </cell>
          <cell r="D628">
            <v>37</v>
          </cell>
          <cell r="E628">
            <v>37</v>
          </cell>
          <cell r="F628">
            <v>13</v>
          </cell>
          <cell r="G628">
            <v>24</v>
          </cell>
          <cell r="H628">
            <v>0</v>
          </cell>
          <cell r="I628">
            <v>0</v>
          </cell>
          <cell r="J628">
            <v>0</v>
          </cell>
          <cell r="K628">
            <v>24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37</v>
          </cell>
          <cell r="T628">
            <v>0</v>
          </cell>
        </row>
        <row r="629">
          <cell r="C629" t="str">
            <v>Longview Heights CDP, Washington</v>
          </cell>
          <cell r="D629">
            <v>39</v>
          </cell>
          <cell r="E629">
            <v>39</v>
          </cell>
          <cell r="F629">
            <v>29</v>
          </cell>
          <cell r="G629">
            <v>10</v>
          </cell>
          <cell r="H629">
            <v>0</v>
          </cell>
          <cell r="I629">
            <v>0</v>
          </cell>
          <cell r="J629">
            <v>0</v>
          </cell>
          <cell r="K629">
            <v>10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39</v>
          </cell>
          <cell r="T629">
            <v>0</v>
          </cell>
        </row>
        <row r="630">
          <cell r="C630" t="str">
            <v>Lyle CDP, Washington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</row>
        <row r="631">
          <cell r="C631" t="str">
            <v>Lyman town, Washington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</row>
        <row r="632">
          <cell r="C632" t="str">
            <v>Lynden city, Washington</v>
          </cell>
          <cell r="D632">
            <v>8</v>
          </cell>
          <cell r="E632">
            <v>8</v>
          </cell>
          <cell r="F632">
            <v>0</v>
          </cell>
          <cell r="G632">
            <v>8</v>
          </cell>
          <cell r="H632">
            <v>0</v>
          </cell>
          <cell r="I632">
            <v>0</v>
          </cell>
          <cell r="J632">
            <v>0</v>
          </cell>
          <cell r="K632">
            <v>8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8</v>
          </cell>
          <cell r="T632">
            <v>0</v>
          </cell>
        </row>
        <row r="633">
          <cell r="C633" t="str">
            <v>Lynnwood city, Washington</v>
          </cell>
          <cell r="D633">
            <v>172</v>
          </cell>
          <cell r="E633">
            <v>137</v>
          </cell>
          <cell r="F633">
            <v>57</v>
          </cell>
          <cell r="G633">
            <v>39</v>
          </cell>
          <cell r="H633">
            <v>0</v>
          </cell>
          <cell r="I633">
            <v>0</v>
          </cell>
          <cell r="J633">
            <v>0</v>
          </cell>
          <cell r="K633">
            <v>39</v>
          </cell>
          <cell r="L633">
            <v>41</v>
          </cell>
          <cell r="M633">
            <v>0</v>
          </cell>
          <cell r="N633">
            <v>41</v>
          </cell>
          <cell r="O633">
            <v>0</v>
          </cell>
          <cell r="P633">
            <v>35</v>
          </cell>
          <cell r="Q633">
            <v>6</v>
          </cell>
          <cell r="R633">
            <v>29</v>
          </cell>
          <cell r="S633">
            <v>96</v>
          </cell>
          <cell r="T633">
            <v>76</v>
          </cell>
        </row>
        <row r="634">
          <cell r="C634" t="str">
            <v>Mabton city, Washington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</row>
        <row r="635">
          <cell r="C635" t="str">
            <v>McChord AFB CDP, Washington</v>
          </cell>
          <cell r="D635">
            <v>11</v>
          </cell>
          <cell r="E635">
            <v>11</v>
          </cell>
          <cell r="F635">
            <v>0</v>
          </cell>
          <cell r="G635">
            <v>7</v>
          </cell>
          <cell r="H635">
            <v>0</v>
          </cell>
          <cell r="I635">
            <v>0</v>
          </cell>
          <cell r="J635">
            <v>0</v>
          </cell>
          <cell r="K635">
            <v>7</v>
          </cell>
          <cell r="L635">
            <v>4</v>
          </cell>
          <cell r="M635">
            <v>0</v>
          </cell>
          <cell r="N635">
            <v>4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7</v>
          </cell>
          <cell r="T635">
            <v>4</v>
          </cell>
        </row>
        <row r="636">
          <cell r="C636" t="str">
            <v>McCleary city, Washington</v>
          </cell>
          <cell r="D636">
            <v>2</v>
          </cell>
          <cell r="E636">
            <v>2</v>
          </cell>
          <cell r="F636">
            <v>0</v>
          </cell>
          <cell r="G636">
            <v>2</v>
          </cell>
          <cell r="H636">
            <v>0</v>
          </cell>
          <cell r="I636">
            <v>0</v>
          </cell>
          <cell r="J636">
            <v>0</v>
          </cell>
          <cell r="K636">
            <v>2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</v>
          </cell>
          <cell r="T636">
            <v>0</v>
          </cell>
        </row>
        <row r="637">
          <cell r="C637" t="str">
            <v>Machias CDP, Washington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</row>
        <row r="638">
          <cell r="C638" t="str">
            <v>Malden town, Washington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</row>
        <row r="639">
          <cell r="C639" t="str">
            <v>Malone-Porter CDP, Washington</v>
          </cell>
          <cell r="D639">
            <v>4</v>
          </cell>
          <cell r="E639">
            <v>4</v>
          </cell>
          <cell r="F639">
            <v>0</v>
          </cell>
          <cell r="G639">
            <v>4</v>
          </cell>
          <cell r="H639">
            <v>0</v>
          </cell>
          <cell r="I639">
            <v>0</v>
          </cell>
          <cell r="J639">
            <v>0</v>
          </cell>
          <cell r="K639">
            <v>4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4</v>
          </cell>
          <cell r="T639">
            <v>0</v>
          </cell>
        </row>
        <row r="640">
          <cell r="C640" t="str">
            <v>Maltby CDP, Washington</v>
          </cell>
          <cell r="D640">
            <v>10</v>
          </cell>
          <cell r="E640">
            <v>10</v>
          </cell>
          <cell r="F640">
            <v>0</v>
          </cell>
          <cell r="G640">
            <v>10</v>
          </cell>
          <cell r="H640">
            <v>0</v>
          </cell>
          <cell r="I640">
            <v>5</v>
          </cell>
          <cell r="J640">
            <v>0</v>
          </cell>
          <cell r="K640">
            <v>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10</v>
          </cell>
          <cell r="T640">
            <v>0</v>
          </cell>
        </row>
        <row r="641">
          <cell r="C641" t="str">
            <v>Manchester CDP, Washington</v>
          </cell>
          <cell r="D641">
            <v>81</v>
          </cell>
          <cell r="E641">
            <v>81</v>
          </cell>
          <cell r="F641">
            <v>68</v>
          </cell>
          <cell r="G641">
            <v>13</v>
          </cell>
          <cell r="H641">
            <v>0</v>
          </cell>
          <cell r="I641">
            <v>0</v>
          </cell>
          <cell r="J641">
            <v>0</v>
          </cell>
          <cell r="K641">
            <v>13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81</v>
          </cell>
          <cell r="T641">
            <v>0</v>
          </cell>
        </row>
        <row r="642">
          <cell r="C642" t="str">
            <v>Mansfield town, Washington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</row>
        <row r="643">
          <cell r="C643" t="str">
            <v>Maple Falls CDP, Washington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</row>
        <row r="644">
          <cell r="C644" t="str">
            <v>Maple Heights-Lake Desire CDP, Washington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</row>
        <row r="645">
          <cell r="C645" t="str">
            <v>Maple Valley city, Washington</v>
          </cell>
          <cell r="D645">
            <v>20</v>
          </cell>
          <cell r="E645">
            <v>12</v>
          </cell>
          <cell r="F645">
            <v>0</v>
          </cell>
          <cell r="G645">
            <v>12</v>
          </cell>
          <cell r="H645">
            <v>0</v>
          </cell>
          <cell r="I645">
            <v>0</v>
          </cell>
          <cell r="J645">
            <v>0</v>
          </cell>
          <cell r="K645">
            <v>12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8</v>
          </cell>
          <cell r="Q645">
            <v>0</v>
          </cell>
          <cell r="R645">
            <v>8</v>
          </cell>
          <cell r="S645">
            <v>12</v>
          </cell>
          <cell r="T645">
            <v>8</v>
          </cell>
        </row>
        <row r="646">
          <cell r="C646" t="str">
            <v>Marblemount CDP, Washington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</row>
        <row r="647">
          <cell r="C647" t="str">
            <v>Marcus town, Washington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</row>
        <row r="648">
          <cell r="C648" t="str">
            <v>Marietta-Alderwood CDP, Washington</v>
          </cell>
          <cell r="D648">
            <v>16</v>
          </cell>
          <cell r="E648">
            <v>16</v>
          </cell>
          <cell r="F648">
            <v>8</v>
          </cell>
          <cell r="G648">
            <v>8</v>
          </cell>
          <cell r="H648">
            <v>0</v>
          </cell>
          <cell r="I648">
            <v>0</v>
          </cell>
          <cell r="J648">
            <v>0</v>
          </cell>
          <cell r="K648">
            <v>8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16</v>
          </cell>
          <cell r="T648">
            <v>0</v>
          </cell>
        </row>
        <row r="649">
          <cell r="C649" t="str">
            <v>Markham CDP, Washington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</row>
        <row r="650">
          <cell r="C650" t="str">
            <v>Marrowstone CDP, Washington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</row>
        <row r="651">
          <cell r="C651" t="str">
            <v>Martha Lake CDP, Washington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</row>
        <row r="652">
          <cell r="C652" t="str">
            <v>Maryhill CDP, Washington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</row>
        <row r="653">
          <cell r="C653" t="str">
            <v>Marysville city, Washington</v>
          </cell>
          <cell r="D653">
            <v>23</v>
          </cell>
          <cell r="E653">
            <v>23</v>
          </cell>
          <cell r="F653">
            <v>0</v>
          </cell>
          <cell r="G653">
            <v>15</v>
          </cell>
          <cell r="H653">
            <v>0</v>
          </cell>
          <cell r="I653">
            <v>0</v>
          </cell>
          <cell r="J653">
            <v>0</v>
          </cell>
          <cell r="K653">
            <v>15</v>
          </cell>
          <cell r="L653">
            <v>8</v>
          </cell>
          <cell r="M653">
            <v>0</v>
          </cell>
          <cell r="N653">
            <v>8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15</v>
          </cell>
          <cell r="T653">
            <v>8</v>
          </cell>
        </row>
        <row r="654">
          <cell r="C654" t="str">
            <v>Mattawa town, Washington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</row>
        <row r="655">
          <cell r="C655" t="str">
            <v>May Creek CDP, Washington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</row>
        <row r="656">
          <cell r="C656" t="str">
            <v>Meadow Glade CDP, Washington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</row>
        <row r="657">
          <cell r="C657" t="str">
            <v>Medical Lake city, Washington</v>
          </cell>
          <cell r="D657">
            <v>13</v>
          </cell>
          <cell r="E657">
            <v>13</v>
          </cell>
          <cell r="F657">
            <v>4</v>
          </cell>
          <cell r="G657">
            <v>9</v>
          </cell>
          <cell r="H657">
            <v>0</v>
          </cell>
          <cell r="I657">
            <v>4</v>
          </cell>
          <cell r="J657">
            <v>0</v>
          </cell>
          <cell r="K657">
            <v>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13</v>
          </cell>
          <cell r="T657">
            <v>0</v>
          </cell>
        </row>
        <row r="658">
          <cell r="C658" t="str">
            <v>Medina city, Washington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</row>
        <row r="659">
          <cell r="C659" t="str">
            <v>Mercer Island city, Washington</v>
          </cell>
          <cell r="D659">
            <v>27</v>
          </cell>
          <cell r="E659">
            <v>27</v>
          </cell>
          <cell r="F659">
            <v>0</v>
          </cell>
          <cell r="G659">
            <v>11</v>
          </cell>
          <cell r="H659">
            <v>0</v>
          </cell>
          <cell r="I659">
            <v>0</v>
          </cell>
          <cell r="J659">
            <v>8</v>
          </cell>
          <cell r="K659">
            <v>3</v>
          </cell>
          <cell r="L659">
            <v>16</v>
          </cell>
          <cell r="M659">
            <v>0</v>
          </cell>
          <cell r="N659">
            <v>16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11</v>
          </cell>
          <cell r="T659">
            <v>16</v>
          </cell>
        </row>
        <row r="660">
          <cell r="C660" t="str">
            <v>Mesa city, Washington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</row>
        <row r="661">
          <cell r="C661" t="str">
            <v>Metaline town, Washington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</row>
        <row r="662">
          <cell r="C662" t="str">
            <v>Metaline Falls town, Washington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</row>
        <row r="663">
          <cell r="C663" t="str">
            <v>Midland CDP, Washington</v>
          </cell>
          <cell r="D663">
            <v>107</v>
          </cell>
          <cell r="E663">
            <v>79</v>
          </cell>
          <cell r="F663">
            <v>9</v>
          </cell>
          <cell r="G663">
            <v>70</v>
          </cell>
          <cell r="H663">
            <v>0</v>
          </cell>
          <cell r="I663">
            <v>0</v>
          </cell>
          <cell r="J663">
            <v>0</v>
          </cell>
          <cell r="K663">
            <v>70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28</v>
          </cell>
          <cell r="Q663">
            <v>28</v>
          </cell>
          <cell r="R663">
            <v>0</v>
          </cell>
          <cell r="S663">
            <v>79</v>
          </cell>
          <cell r="T663">
            <v>28</v>
          </cell>
        </row>
        <row r="664">
          <cell r="C664" t="str">
            <v>Mill Creek city, Washington</v>
          </cell>
          <cell r="D664">
            <v>34</v>
          </cell>
          <cell r="E664">
            <v>34</v>
          </cell>
          <cell r="F664">
            <v>0</v>
          </cell>
          <cell r="G664">
            <v>19</v>
          </cell>
          <cell r="H664">
            <v>0</v>
          </cell>
          <cell r="I664">
            <v>0</v>
          </cell>
          <cell r="J664">
            <v>0</v>
          </cell>
          <cell r="K664">
            <v>19</v>
          </cell>
          <cell r="L664">
            <v>15</v>
          </cell>
          <cell r="M664">
            <v>0</v>
          </cell>
          <cell r="N664">
            <v>15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19</v>
          </cell>
          <cell r="T664">
            <v>15</v>
          </cell>
        </row>
        <row r="665">
          <cell r="C665" t="str">
            <v>Mill Plain CDP, Washington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</row>
        <row r="666">
          <cell r="C666" t="str">
            <v>Millwood town, Washington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</row>
        <row r="667">
          <cell r="C667" t="str">
            <v>Milton city, Washington</v>
          </cell>
          <cell r="D667">
            <v>12</v>
          </cell>
          <cell r="E667">
            <v>12</v>
          </cell>
          <cell r="F667">
            <v>0</v>
          </cell>
          <cell r="G667">
            <v>12</v>
          </cell>
          <cell r="H667">
            <v>0</v>
          </cell>
          <cell r="I667">
            <v>0</v>
          </cell>
          <cell r="J667">
            <v>0</v>
          </cell>
          <cell r="K667">
            <v>12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12</v>
          </cell>
          <cell r="T667">
            <v>0</v>
          </cell>
        </row>
        <row r="668">
          <cell r="C668" t="str">
            <v>Minnehaha CDP, Washington</v>
          </cell>
          <cell r="D668">
            <v>7</v>
          </cell>
          <cell r="E668">
            <v>7</v>
          </cell>
          <cell r="F668">
            <v>0</v>
          </cell>
          <cell r="G668">
            <v>7</v>
          </cell>
          <cell r="H668">
            <v>0</v>
          </cell>
          <cell r="I668">
            <v>0</v>
          </cell>
          <cell r="J668">
            <v>0</v>
          </cell>
          <cell r="K668">
            <v>7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7</v>
          </cell>
          <cell r="T668">
            <v>0</v>
          </cell>
        </row>
        <row r="669">
          <cell r="C669" t="str">
            <v>Mirrormont CDP, Washington</v>
          </cell>
          <cell r="D669">
            <v>10</v>
          </cell>
          <cell r="E669">
            <v>10</v>
          </cell>
          <cell r="F669">
            <v>0</v>
          </cell>
          <cell r="G669">
            <v>5</v>
          </cell>
          <cell r="H669">
            <v>0</v>
          </cell>
          <cell r="I669">
            <v>0</v>
          </cell>
          <cell r="J669">
            <v>0</v>
          </cell>
          <cell r="K669">
            <v>5</v>
          </cell>
          <cell r="L669">
            <v>5</v>
          </cell>
          <cell r="M669">
            <v>0</v>
          </cell>
          <cell r="N669">
            <v>5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5</v>
          </cell>
          <cell r="T669">
            <v>5</v>
          </cell>
        </row>
        <row r="670">
          <cell r="C670" t="str">
            <v>Moclips CDP, Washington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</row>
        <row r="671">
          <cell r="C671" t="str">
            <v>Monroe city, Washington</v>
          </cell>
          <cell r="D671">
            <v>23</v>
          </cell>
          <cell r="E671">
            <v>17</v>
          </cell>
          <cell r="F671">
            <v>0</v>
          </cell>
          <cell r="G671">
            <v>17</v>
          </cell>
          <cell r="H671">
            <v>0</v>
          </cell>
          <cell r="I671">
            <v>0</v>
          </cell>
          <cell r="J671">
            <v>0</v>
          </cell>
          <cell r="K671">
            <v>17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6</v>
          </cell>
          <cell r="Q671">
            <v>6</v>
          </cell>
          <cell r="R671">
            <v>0</v>
          </cell>
          <cell r="S671">
            <v>17</v>
          </cell>
          <cell r="T671">
            <v>6</v>
          </cell>
        </row>
        <row r="672">
          <cell r="C672" t="str">
            <v>Montesano city, Washington</v>
          </cell>
          <cell r="D672">
            <v>23</v>
          </cell>
          <cell r="E672">
            <v>23</v>
          </cell>
          <cell r="F672">
            <v>0</v>
          </cell>
          <cell r="G672">
            <v>23</v>
          </cell>
          <cell r="H672">
            <v>0</v>
          </cell>
          <cell r="I672">
            <v>0</v>
          </cell>
          <cell r="J672">
            <v>0</v>
          </cell>
          <cell r="K672">
            <v>23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23</v>
          </cell>
          <cell r="T672">
            <v>0</v>
          </cell>
        </row>
        <row r="673">
          <cell r="C673" t="str">
            <v>Morton city, Washington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</row>
        <row r="674">
          <cell r="C674" t="str">
            <v>Moses Lake city, Washington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</row>
        <row r="675">
          <cell r="C675" t="str">
            <v>Moses Lake North CDP, Washington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</row>
        <row r="676">
          <cell r="C676" t="str">
            <v>Mossyrock city, Washington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</row>
        <row r="677">
          <cell r="C677" t="str">
            <v>Mountlake Terrace city, Washington</v>
          </cell>
          <cell r="D677">
            <v>30</v>
          </cell>
          <cell r="E677">
            <v>30</v>
          </cell>
          <cell r="F677">
            <v>7</v>
          </cell>
          <cell r="G677">
            <v>17</v>
          </cell>
          <cell r="H677">
            <v>0</v>
          </cell>
          <cell r="I677">
            <v>0</v>
          </cell>
          <cell r="J677">
            <v>0</v>
          </cell>
          <cell r="K677">
            <v>17</v>
          </cell>
          <cell r="L677">
            <v>6</v>
          </cell>
          <cell r="M677">
            <v>0</v>
          </cell>
          <cell r="N677">
            <v>6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24</v>
          </cell>
          <cell r="T677">
            <v>6</v>
          </cell>
        </row>
        <row r="678">
          <cell r="C678" t="str">
            <v>Mount Vernon city, Washington</v>
          </cell>
          <cell r="D678">
            <v>40</v>
          </cell>
          <cell r="E678">
            <v>40</v>
          </cell>
          <cell r="F678">
            <v>16</v>
          </cell>
          <cell r="G678">
            <v>24</v>
          </cell>
          <cell r="H678">
            <v>0</v>
          </cell>
          <cell r="I678">
            <v>0</v>
          </cell>
          <cell r="J678">
            <v>9</v>
          </cell>
          <cell r="K678">
            <v>15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40</v>
          </cell>
          <cell r="T678">
            <v>0</v>
          </cell>
        </row>
        <row r="679">
          <cell r="C679" t="str">
            <v>Mount Vista CDP, Washington</v>
          </cell>
          <cell r="D679">
            <v>13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13</v>
          </cell>
          <cell r="Q679">
            <v>13</v>
          </cell>
          <cell r="R679">
            <v>0</v>
          </cell>
          <cell r="S679">
            <v>0</v>
          </cell>
          <cell r="T679">
            <v>13</v>
          </cell>
        </row>
        <row r="680">
          <cell r="C680" t="str">
            <v>Moxee city, Washington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</row>
        <row r="681">
          <cell r="C681" t="str">
            <v>Mukilteo city, Washington</v>
          </cell>
          <cell r="D681">
            <v>31</v>
          </cell>
          <cell r="E681">
            <v>31</v>
          </cell>
          <cell r="F681">
            <v>31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31</v>
          </cell>
          <cell r="T681">
            <v>0</v>
          </cell>
        </row>
        <row r="682">
          <cell r="C682" t="str">
            <v>Naches town, Washington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</row>
        <row r="683">
          <cell r="C683" t="str">
            <v>Napavine city, Washington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</row>
        <row r="684">
          <cell r="C684" t="str">
            <v>Naselle CDP, Washington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</row>
        <row r="685">
          <cell r="C685" t="str">
            <v>Navy Yard City CDP, Washington</v>
          </cell>
          <cell r="D685">
            <v>54</v>
          </cell>
          <cell r="E685">
            <v>54</v>
          </cell>
          <cell r="F685">
            <v>0</v>
          </cell>
          <cell r="G685">
            <v>54</v>
          </cell>
          <cell r="H685">
            <v>0</v>
          </cell>
          <cell r="I685">
            <v>0</v>
          </cell>
          <cell r="J685">
            <v>0</v>
          </cell>
          <cell r="K685">
            <v>54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54</v>
          </cell>
          <cell r="T685">
            <v>0</v>
          </cell>
        </row>
        <row r="686">
          <cell r="C686" t="str">
            <v>Neah Bay CDP, Washington</v>
          </cell>
          <cell r="D686">
            <v>7</v>
          </cell>
          <cell r="E686">
            <v>7</v>
          </cell>
          <cell r="F686">
            <v>2</v>
          </cell>
          <cell r="G686">
            <v>5</v>
          </cell>
          <cell r="H686">
            <v>0</v>
          </cell>
          <cell r="I686">
            <v>0</v>
          </cell>
          <cell r="J686">
            <v>0</v>
          </cell>
          <cell r="K686">
            <v>5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7</v>
          </cell>
          <cell r="T686">
            <v>0</v>
          </cell>
        </row>
        <row r="687">
          <cell r="C687" t="str">
            <v>Neilton CDP, Washington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</row>
        <row r="688">
          <cell r="C688" t="str">
            <v>Nespelem town, Washington</v>
          </cell>
          <cell r="D688">
            <v>3</v>
          </cell>
          <cell r="E688">
            <v>3</v>
          </cell>
          <cell r="F688">
            <v>0</v>
          </cell>
          <cell r="G688">
            <v>3</v>
          </cell>
          <cell r="H688">
            <v>0</v>
          </cell>
          <cell r="I688">
            <v>0</v>
          </cell>
          <cell r="J688">
            <v>0</v>
          </cell>
          <cell r="K688">
            <v>3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3</v>
          </cell>
          <cell r="T688">
            <v>0</v>
          </cell>
        </row>
        <row r="689">
          <cell r="C689" t="str">
            <v>Nespelem Community CDP, Washington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</row>
        <row r="690">
          <cell r="C690" t="str">
            <v>Newcastle city, Washington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</row>
        <row r="691">
          <cell r="C691" t="str">
            <v>Newport city, Washington</v>
          </cell>
          <cell r="D691">
            <v>7</v>
          </cell>
          <cell r="E691">
            <v>7</v>
          </cell>
          <cell r="F691">
            <v>2</v>
          </cell>
          <cell r="G691">
            <v>5</v>
          </cell>
          <cell r="H691">
            <v>0</v>
          </cell>
          <cell r="I691">
            <v>0</v>
          </cell>
          <cell r="J691">
            <v>0</v>
          </cell>
          <cell r="K691">
            <v>5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7</v>
          </cell>
          <cell r="T691">
            <v>0</v>
          </cell>
        </row>
        <row r="692">
          <cell r="C692" t="str">
            <v>Nisqually Indian Community CDP, Washington</v>
          </cell>
          <cell r="D692">
            <v>18</v>
          </cell>
          <cell r="E692">
            <v>18</v>
          </cell>
          <cell r="F692">
            <v>2</v>
          </cell>
          <cell r="G692">
            <v>12</v>
          </cell>
          <cell r="H692">
            <v>0</v>
          </cell>
          <cell r="I692">
            <v>0</v>
          </cell>
          <cell r="J692">
            <v>0</v>
          </cell>
          <cell r="K692">
            <v>12</v>
          </cell>
          <cell r="L692">
            <v>4</v>
          </cell>
          <cell r="M692">
            <v>0</v>
          </cell>
          <cell r="N692">
            <v>4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14</v>
          </cell>
          <cell r="T692">
            <v>4</v>
          </cell>
        </row>
        <row r="693">
          <cell r="C693" t="str">
            <v>Nooksack city, Washington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</row>
        <row r="694">
          <cell r="C694" t="str">
            <v>Normandy Park city, Washington</v>
          </cell>
          <cell r="D694">
            <v>16</v>
          </cell>
          <cell r="E694">
            <v>16</v>
          </cell>
          <cell r="F694">
            <v>0</v>
          </cell>
          <cell r="G694">
            <v>16</v>
          </cell>
          <cell r="H694">
            <v>0</v>
          </cell>
          <cell r="I694">
            <v>0</v>
          </cell>
          <cell r="J694">
            <v>0</v>
          </cell>
          <cell r="K694">
            <v>16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16</v>
          </cell>
          <cell r="T694">
            <v>0</v>
          </cell>
        </row>
        <row r="695">
          <cell r="C695" t="str">
            <v>North Bend city, Washington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</row>
        <row r="696">
          <cell r="C696" t="str">
            <v>North Bonneville city, Washington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</row>
        <row r="697">
          <cell r="C697" t="str">
            <v>North Creek CDP, Washington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</row>
        <row r="698">
          <cell r="C698" t="str">
            <v>North Marysville CDP, Washington</v>
          </cell>
          <cell r="D698">
            <v>23</v>
          </cell>
          <cell r="E698">
            <v>23</v>
          </cell>
          <cell r="F698">
            <v>11</v>
          </cell>
          <cell r="G698">
            <v>12</v>
          </cell>
          <cell r="H698">
            <v>0</v>
          </cell>
          <cell r="I698">
            <v>5</v>
          </cell>
          <cell r="J698">
            <v>0</v>
          </cell>
          <cell r="K698">
            <v>7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23</v>
          </cell>
          <cell r="T698">
            <v>0</v>
          </cell>
        </row>
        <row r="699">
          <cell r="C699" t="str">
            <v>North Omak CDP, Washington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</row>
        <row r="700">
          <cell r="C700" t="str">
            <v>Northport town, Washington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</row>
        <row r="701">
          <cell r="C701" t="str">
            <v>North Stanwood CDP, Washington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</row>
        <row r="702">
          <cell r="C702" t="str">
            <v>North Sultan CDP, Washington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</row>
        <row r="703">
          <cell r="C703" t="str">
            <v>Northwest Snohomish CDP, Washington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</row>
        <row r="704">
          <cell r="C704" t="str">
            <v>North Yelm CDP, Washington</v>
          </cell>
          <cell r="D704">
            <v>71</v>
          </cell>
          <cell r="E704">
            <v>71</v>
          </cell>
          <cell r="F704">
            <v>0</v>
          </cell>
          <cell r="G704">
            <v>11</v>
          </cell>
          <cell r="H704">
            <v>0</v>
          </cell>
          <cell r="I704">
            <v>0</v>
          </cell>
          <cell r="J704">
            <v>4</v>
          </cell>
          <cell r="K704">
            <v>7</v>
          </cell>
          <cell r="L704">
            <v>60</v>
          </cell>
          <cell r="M704">
            <v>0</v>
          </cell>
          <cell r="N704">
            <v>60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11</v>
          </cell>
          <cell r="T704">
            <v>60</v>
          </cell>
        </row>
        <row r="705">
          <cell r="C705" t="str">
            <v>Oakesdale town, Washington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</row>
        <row r="706">
          <cell r="C706" t="str">
            <v>Oak Harbor city, Washington</v>
          </cell>
          <cell r="D706">
            <v>145</v>
          </cell>
          <cell r="E706">
            <v>145</v>
          </cell>
          <cell r="F706">
            <v>12</v>
          </cell>
          <cell r="G706">
            <v>77</v>
          </cell>
          <cell r="H706">
            <v>4</v>
          </cell>
          <cell r="I706">
            <v>0</v>
          </cell>
          <cell r="J706">
            <v>10</v>
          </cell>
          <cell r="K706">
            <v>63</v>
          </cell>
          <cell r="L706">
            <v>56</v>
          </cell>
          <cell r="M706">
            <v>0</v>
          </cell>
          <cell r="N706">
            <v>49</v>
          </cell>
          <cell r="O706">
            <v>7</v>
          </cell>
          <cell r="P706">
            <v>0</v>
          </cell>
          <cell r="Q706">
            <v>0</v>
          </cell>
          <cell r="R706">
            <v>0</v>
          </cell>
          <cell r="S706">
            <v>89</v>
          </cell>
          <cell r="T706">
            <v>56</v>
          </cell>
        </row>
        <row r="707">
          <cell r="C707" t="str">
            <v>Oakville city, Washington</v>
          </cell>
          <cell r="D707">
            <v>7</v>
          </cell>
          <cell r="E707">
            <v>7</v>
          </cell>
          <cell r="F707">
            <v>3</v>
          </cell>
          <cell r="G707">
            <v>2</v>
          </cell>
          <cell r="H707">
            <v>0</v>
          </cell>
          <cell r="I707">
            <v>0</v>
          </cell>
          <cell r="J707">
            <v>0</v>
          </cell>
          <cell r="K707">
            <v>2</v>
          </cell>
          <cell r="L707">
            <v>2</v>
          </cell>
          <cell r="M707">
            <v>0</v>
          </cell>
          <cell r="N707">
            <v>2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5</v>
          </cell>
          <cell r="T707">
            <v>2</v>
          </cell>
        </row>
        <row r="708">
          <cell r="C708" t="str">
            <v>Ocean City CDP, Washington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</row>
        <row r="709">
          <cell r="C709" t="str">
            <v>Ocean Park CDP, Washington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</row>
        <row r="710">
          <cell r="C710" t="str">
            <v>Ocean Shores city, Washington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</row>
        <row r="711">
          <cell r="C711" t="str">
            <v>Odessa town, Washington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</row>
        <row r="712">
          <cell r="C712" t="str">
            <v>Okanogan city, Washington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</row>
        <row r="713">
          <cell r="C713" t="str">
            <v>Olympia city, Washington</v>
          </cell>
          <cell r="D713">
            <v>97</v>
          </cell>
          <cell r="E713">
            <v>97</v>
          </cell>
          <cell r="F713">
            <v>7</v>
          </cell>
          <cell r="G713">
            <v>69</v>
          </cell>
          <cell r="H713">
            <v>7</v>
          </cell>
          <cell r="I713">
            <v>0</v>
          </cell>
          <cell r="J713">
            <v>13</v>
          </cell>
          <cell r="K713">
            <v>49</v>
          </cell>
          <cell r="L713">
            <v>21</v>
          </cell>
          <cell r="M713">
            <v>0</v>
          </cell>
          <cell r="N713">
            <v>21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76</v>
          </cell>
          <cell r="T713">
            <v>21</v>
          </cell>
        </row>
        <row r="714">
          <cell r="C714" t="str">
            <v>Omak city, Washington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</row>
        <row r="715">
          <cell r="C715" t="str">
            <v>Opportunity CDP, Washington</v>
          </cell>
          <cell r="D715">
            <v>65</v>
          </cell>
          <cell r="E715">
            <v>56</v>
          </cell>
          <cell r="F715">
            <v>9</v>
          </cell>
          <cell r="G715">
            <v>23</v>
          </cell>
          <cell r="H715">
            <v>0</v>
          </cell>
          <cell r="I715">
            <v>0</v>
          </cell>
          <cell r="J715">
            <v>0</v>
          </cell>
          <cell r="K715">
            <v>23</v>
          </cell>
          <cell r="L715">
            <v>24</v>
          </cell>
          <cell r="M715">
            <v>0</v>
          </cell>
          <cell r="N715">
            <v>24</v>
          </cell>
          <cell r="O715">
            <v>0</v>
          </cell>
          <cell r="P715">
            <v>9</v>
          </cell>
          <cell r="Q715">
            <v>9</v>
          </cell>
          <cell r="R715">
            <v>0</v>
          </cell>
          <cell r="S715">
            <v>32</v>
          </cell>
          <cell r="T715">
            <v>33</v>
          </cell>
        </row>
        <row r="716">
          <cell r="C716" t="str">
            <v>Orchards CDP, Washington</v>
          </cell>
          <cell r="D716">
            <v>57</v>
          </cell>
          <cell r="E716">
            <v>44</v>
          </cell>
          <cell r="F716">
            <v>22</v>
          </cell>
          <cell r="G716">
            <v>22</v>
          </cell>
          <cell r="H716">
            <v>0</v>
          </cell>
          <cell r="I716">
            <v>0</v>
          </cell>
          <cell r="J716">
            <v>0</v>
          </cell>
          <cell r="K716">
            <v>22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13</v>
          </cell>
          <cell r="Q716">
            <v>13</v>
          </cell>
          <cell r="R716">
            <v>0</v>
          </cell>
          <cell r="S716">
            <v>44</v>
          </cell>
          <cell r="T716">
            <v>13</v>
          </cell>
        </row>
        <row r="717">
          <cell r="C717" t="str">
            <v>Oroville city, Washington</v>
          </cell>
          <cell r="D717">
            <v>13</v>
          </cell>
          <cell r="E717">
            <v>13</v>
          </cell>
          <cell r="F717">
            <v>0</v>
          </cell>
          <cell r="G717">
            <v>13</v>
          </cell>
          <cell r="H717">
            <v>0</v>
          </cell>
          <cell r="I717">
            <v>0</v>
          </cell>
          <cell r="J717">
            <v>0</v>
          </cell>
          <cell r="K717">
            <v>13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13</v>
          </cell>
          <cell r="T717">
            <v>0</v>
          </cell>
        </row>
        <row r="718">
          <cell r="C718" t="str">
            <v>Orting city, Washington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</row>
        <row r="719">
          <cell r="C719" t="str">
            <v>Oso CDP, Washington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</row>
        <row r="720">
          <cell r="C720" t="str">
            <v>Othello city, Washington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</row>
        <row r="721">
          <cell r="C721" t="str">
            <v>Otis Orchards-East Farms CDP, Washington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</row>
        <row r="722">
          <cell r="C722" t="str">
            <v>Oyehut-Hogans Corner CDP, Washington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</row>
        <row r="723">
          <cell r="C723" t="str">
            <v>Pacific city, Washington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</row>
        <row r="724">
          <cell r="C724" t="str">
            <v>Paine Field-Lake Stickney CDP, Washington</v>
          </cell>
          <cell r="D724">
            <v>128</v>
          </cell>
          <cell r="E724">
            <v>101</v>
          </cell>
          <cell r="F724">
            <v>57</v>
          </cell>
          <cell r="G724">
            <v>44</v>
          </cell>
          <cell r="H724">
            <v>0</v>
          </cell>
          <cell r="I724">
            <v>0</v>
          </cell>
          <cell r="J724">
            <v>0</v>
          </cell>
          <cell r="K724">
            <v>44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27</v>
          </cell>
          <cell r="Q724">
            <v>0</v>
          </cell>
          <cell r="R724">
            <v>27</v>
          </cell>
          <cell r="S724">
            <v>101</v>
          </cell>
          <cell r="T724">
            <v>27</v>
          </cell>
        </row>
        <row r="725">
          <cell r="C725" t="str">
            <v>Palouse city, Washington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</row>
        <row r="726">
          <cell r="C726" t="str">
            <v>Parkland CDP, Washington</v>
          </cell>
          <cell r="D726">
            <v>415</v>
          </cell>
          <cell r="E726">
            <v>399</v>
          </cell>
          <cell r="F726">
            <v>133</v>
          </cell>
          <cell r="G726">
            <v>114</v>
          </cell>
          <cell r="H726">
            <v>11</v>
          </cell>
          <cell r="I726">
            <v>11</v>
          </cell>
          <cell r="J726">
            <v>30</v>
          </cell>
          <cell r="K726">
            <v>62</v>
          </cell>
          <cell r="L726">
            <v>152</v>
          </cell>
          <cell r="M726">
            <v>0</v>
          </cell>
          <cell r="N726">
            <v>152</v>
          </cell>
          <cell r="O726">
            <v>0</v>
          </cell>
          <cell r="P726">
            <v>16</v>
          </cell>
          <cell r="Q726">
            <v>8</v>
          </cell>
          <cell r="R726">
            <v>8</v>
          </cell>
          <cell r="S726">
            <v>247</v>
          </cell>
          <cell r="T726">
            <v>168</v>
          </cell>
        </row>
        <row r="727">
          <cell r="C727" t="str">
            <v>Parkwood CDP, Washington</v>
          </cell>
          <cell r="D727">
            <v>14</v>
          </cell>
          <cell r="E727">
            <v>14</v>
          </cell>
          <cell r="F727">
            <v>7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7</v>
          </cell>
          <cell r="M727">
            <v>0</v>
          </cell>
          <cell r="N727">
            <v>7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7</v>
          </cell>
          <cell r="T727">
            <v>7</v>
          </cell>
        </row>
        <row r="728">
          <cell r="C728" t="str">
            <v>Pasco city, Washington</v>
          </cell>
          <cell r="D728">
            <v>18</v>
          </cell>
          <cell r="E728">
            <v>18</v>
          </cell>
          <cell r="F728">
            <v>0</v>
          </cell>
          <cell r="G728">
            <v>18</v>
          </cell>
          <cell r="H728">
            <v>0</v>
          </cell>
          <cell r="I728">
            <v>0</v>
          </cell>
          <cell r="J728">
            <v>0</v>
          </cell>
          <cell r="K728">
            <v>18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18</v>
          </cell>
          <cell r="T728">
            <v>0</v>
          </cell>
        </row>
        <row r="729">
          <cell r="C729" t="str">
            <v>Pateros city, Washington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</row>
        <row r="730">
          <cell r="C730" t="str">
            <v>Peaceful Valley CDP, Washington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</row>
        <row r="731">
          <cell r="C731" t="str">
            <v>Pe Ell town, Washington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</row>
        <row r="732">
          <cell r="C732" t="str">
            <v>Picnic Point-North Lynnwood CDP, Washington</v>
          </cell>
          <cell r="D732">
            <v>65</v>
          </cell>
          <cell r="E732">
            <v>54</v>
          </cell>
          <cell r="F732">
            <v>30</v>
          </cell>
          <cell r="G732">
            <v>14</v>
          </cell>
          <cell r="H732">
            <v>0</v>
          </cell>
          <cell r="I732">
            <v>0</v>
          </cell>
          <cell r="J732">
            <v>0</v>
          </cell>
          <cell r="K732">
            <v>14</v>
          </cell>
          <cell r="L732">
            <v>10</v>
          </cell>
          <cell r="M732">
            <v>0</v>
          </cell>
          <cell r="N732">
            <v>10</v>
          </cell>
          <cell r="O732">
            <v>0</v>
          </cell>
          <cell r="P732">
            <v>11</v>
          </cell>
          <cell r="Q732">
            <v>0</v>
          </cell>
          <cell r="R732">
            <v>11</v>
          </cell>
          <cell r="S732">
            <v>44</v>
          </cell>
          <cell r="T732">
            <v>21</v>
          </cell>
        </row>
        <row r="733">
          <cell r="C733" t="str">
            <v>Pomeroy city, Washington</v>
          </cell>
          <cell r="D733">
            <v>2</v>
          </cell>
          <cell r="E733">
            <v>2</v>
          </cell>
          <cell r="F733">
            <v>2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</v>
          </cell>
          <cell r="T733">
            <v>0</v>
          </cell>
        </row>
        <row r="734">
          <cell r="C734" t="str">
            <v>Port Angeles city, Washington</v>
          </cell>
          <cell r="D734">
            <v>21</v>
          </cell>
          <cell r="E734">
            <v>3</v>
          </cell>
          <cell r="F734">
            <v>3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18</v>
          </cell>
          <cell r="Q734">
            <v>0</v>
          </cell>
          <cell r="R734">
            <v>18</v>
          </cell>
          <cell r="S734">
            <v>3</v>
          </cell>
          <cell r="T734">
            <v>18</v>
          </cell>
        </row>
        <row r="735">
          <cell r="C735" t="str">
            <v>Port Angeles East CDP, Washington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</row>
        <row r="736">
          <cell r="C736" t="str">
            <v>Port Hadlock-Irondale CDP, Washington</v>
          </cell>
          <cell r="D736">
            <v>5</v>
          </cell>
          <cell r="E736">
            <v>5</v>
          </cell>
          <cell r="F736">
            <v>5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5</v>
          </cell>
          <cell r="T736">
            <v>0</v>
          </cell>
        </row>
        <row r="737">
          <cell r="C737" t="str">
            <v>Port Ludlow CDP, Washington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</row>
        <row r="738">
          <cell r="C738" t="str">
            <v>Port Orchard city, Washington</v>
          </cell>
          <cell r="D738">
            <v>29</v>
          </cell>
          <cell r="E738">
            <v>29</v>
          </cell>
          <cell r="F738">
            <v>0</v>
          </cell>
          <cell r="G738">
            <v>11</v>
          </cell>
          <cell r="H738">
            <v>0</v>
          </cell>
          <cell r="I738">
            <v>0</v>
          </cell>
          <cell r="J738">
            <v>0</v>
          </cell>
          <cell r="K738">
            <v>11</v>
          </cell>
          <cell r="L738">
            <v>18</v>
          </cell>
          <cell r="M738">
            <v>0</v>
          </cell>
          <cell r="N738">
            <v>18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11</v>
          </cell>
          <cell r="T738">
            <v>18</v>
          </cell>
        </row>
        <row r="739">
          <cell r="C739" t="str">
            <v>Port Townsend city, Washington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</row>
        <row r="740">
          <cell r="C740" t="str">
            <v>Poulsbo city, Washington</v>
          </cell>
          <cell r="D740">
            <v>81</v>
          </cell>
          <cell r="E740">
            <v>81</v>
          </cell>
          <cell r="F740">
            <v>34</v>
          </cell>
          <cell r="G740">
            <v>19</v>
          </cell>
          <cell r="H740">
            <v>0</v>
          </cell>
          <cell r="I740">
            <v>0</v>
          </cell>
          <cell r="J740">
            <v>0</v>
          </cell>
          <cell r="K740">
            <v>19</v>
          </cell>
          <cell r="L740">
            <v>28</v>
          </cell>
          <cell r="M740">
            <v>0</v>
          </cell>
          <cell r="N740">
            <v>28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53</v>
          </cell>
          <cell r="T740">
            <v>28</v>
          </cell>
        </row>
        <row r="741">
          <cell r="C741" t="str">
            <v>Prairie Ridge CDP, Washington</v>
          </cell>
          <cell r="D741">
            <v>10</v>
          </cell>
          <cell r="E741">
            <v>10</v>
          </cell>
          <cell r="F741">
            <v>0</v>
          </cell>
          <cell r="G741">
            <v>10</v>
          </cell>
          <cell r="H741">
            <v>0</v>
          </cell>
          <cell r="I741">
            <v>0</v>
          </cell>
          <cell r="J741">
            <v>0</v>
          </cell>
          <cell r="K741">
            <v>10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10</v>
          </cell>
          <cell r="T741">
            <v>0</v>
          </cell>
        </row>
        <row r="742">
          <cell r="C742" t="str">
            <v>Prescott town, Washington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</row>
        <row r="743">
          <cell r="C743" t="str">
            <v>Priest Point CDP, Washington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</row>
        <row r="744">
          <cell r="C744" t="str">
            <v>Prosser city, Washington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</row>
        <row r="745">
          <cell r="C745" t="str">
            <v>Pullman city, Washington</v>
          </cell>
          <cell r="D745">
            <v>101</v>
          </cell>
          <cell r="E745">
            <v>92</v>
          </cell>
          <cell r="F745">
            <v>27</v>
          </cell>
          <cell r="G745">
            <v>45</v>
          </cell>
          <cell r="H745">
            <v>0</v>
          </cell>
          <cell r="I745">
            <v>0</v>
          </cell>
          <cell r="J745">
            <v>0</v>
          </cell>
          <cell r="K745">
            <v>45</v>
          </cell>
          <cell r="L745">
            <v>20</v>
          </cell>
          <cell r="M745">
            <v>0</v>
          </cell>
          <cell r="N745">
            <v>20</v>
          </cell>
          <cell r="O745">
            <v>0</v>
          </cell>
          <cell r="P745">
            <v>9</v>
          </cell>
          <cell r="Q745">
            <v>0</v>
          </cell>
          <cell r="R745">
            <v>9</v>
          </cell>
          <cell r="S745">
            <v>72</v>
          </cell>
          <cell r="T745">
            <v>29</v>
          </cell>
        </row>
        <row r="746">
          <cell r="C746" t="str">
            <v>Puyallup city, Washington</v>
          </cell>
          <cell r="D746">
            <v>186</v>
          </cell>
          <cell r="E746">
            <v>170</v>
          </cell>
          <cell r="F746">
            <v>54</v>
          </cell>
          <cell r="G746">
            <v>37</v>
          </cell>
          <cell r="H746">
            <v>0</v>
          </cell>
          <cell r="I746">
            <v>0</v>
          </cell>
          <cell r="J746">
            <v>4</v>
          </cell>
          <cell r="K746">
            <v>33</v>
          </cell>
          <cell r="L746">
            <v>79</v>
          </cell>
          <cell r="M746">
            <v>0</v>
          </cell>
          <cell r="N746">
            <v>70</v>
          </cell>
          <cell r="O746">
            <v>9</v>
          </cell>
          <cell r="P746">
            <v>16</v>
          </cell>
          <cell r="Q746">
            <v>8</v>
          </cell>
          <cell r="R746">
            <v>8</v>
          </cell>
          <cell r="S746">
            <v>91</v>
          </cell>
          <cell r="T746">
            <v>95</v>
          </cell>
        </row>
        <row r="747">
          <cell r="C747" t="str">
            <v>Quilcene CDP, Washington</v>
          </cell>
          <cell r="D747">
            <v>4</v>
          </cell>
          <cell r="E747">
            <v>4</v>
          </cell>
          <cell r="F747">
            <v>2</v>
          </cell>
          <cell r="G747">
            <v>2</v>
          </cell>
          <cell r="H747">
            <v>2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4</v>
          </cell>
          <cell r="T747">
            <v>0</v>
          </cell>
        </row>
        <row r="748">
          <cell r="C748" t="str">
            <v>Quincy city, Washington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</row>
        <row r="749">
          <cell r="C749" t="str">
            <v>Rainier town, Washington</v>
          </cell>
          <cell r="D749">
            <v>10</v>
          </cell>
          <cell r="E749">
            <v>10</v>
          </cell>
          <cell r="F749">
            <v>5</v>
          </cell>
          <cell r="G749">
            <v>5</v>
          </cell>
          <cell r="H749">
            <v>0</v>
          </cell>
          <cell r="I749">
            <v>0</v>
          </cell>
          <cell r="J749">
            <v>0</v>
          </cell>
          <cell r="K749">
            <v>5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10</v>
          </cell>
          <cell r="T749">
            <v>0</v>
          </cell>
        </row>
        <row r="750">
          <cell r="C750" t="str">
            <v>Ravensdale CDP, Washington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</row>
        <row r="751">
          <cell r="C751" t="str">
            <v>Raymond city, Washington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</row>
        <row r="752">
          <cell r="C752" t="str">
            <v>Reardan town, Washington</v>
          </cell>
          <cell r="D752">
            <v>10</v>
          </cell>
          <cell r="E752">
            <v>7</v>
          </cell>
          <cell r="F752">
            <v>7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3</v>
          </cell>
          <cell r="Q752">
            <v>0</v>
          </cell>
          <cell r="R752">
            <v>3</v>
          </cell>
          <cell r="S752">
            <v>7</v>
          </cell>
          <cell r="T752">
            <v>3</v>
          </cell>
        </row>
        <row r="753">
          <cell r="C753" t="str">
            <v>Redmond city, Washington</v>
          </cell>
          <cell r="D753">
            <v>101</v>
          </cell>
          <cell r="E753">
            <v>101</v>
          </cell>
          <cell r="F753">
            <v>0</v>
          </cell>
          <cell r="G753">
            <v>86</v>
          </cell>
          <cell r="H753">
            <v>0</v>
          </cell>
          <cell r="I753">
            <v>0</v>
          </cell>
          <cell r="J753">
            <v>0</v>
          </cell>
          <cell r="K753">
            <v>86</v>
          </cell>
          <cell r="L753">
            <v>15</v>
          </cell>
          <cell r="M753">
            <v>0</v>
          </cell>
          <cell r="N753">
            <v>15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86</v>
          </cell>
          <cell r="T753">
            <v>15</v>
          </cell>
        </row>
        <row r="754">
          <cell r="C754" t="str">
            <v>Renton city, Washington</v>
          </cell>
          <cell r="D754">
            <v>179</v>
          </cell>
          <cell r="E754">
            <v>122</v>
          </cell>
          <cell r="F754">
            <v>66</v>
          </cell>
          <cell r="G754">
            <v>43</v>
          </cell>
          <cell r="H754">
            <v>0</v>
          </cell>
          <cell r="I754">
            <v>0</v>
          </cell>
          <cell r="J754">
            <v>0</v>
          </cell>
          <cell r="K754">
            <v>43</v>
          </cell>
          <cell r="L754">
            <v>13</v>
          </cell>
          <cell r="M754">
            <v>0</v>
          </cell>
          <cell r="N754">
            <v>13</v>
          </cell>
          <cell r="O754">
            <v>0</v>
          </cell>
          <cell r="P754">
            <v>57</v>
          </cell>
          <cell r="Q754">
            <v>12</v>
          </cell>
          <cell r="R754">
            <v>45</v>
          </cell>
          <cell r="S754">
            <v>109</v>
          </cell>
          <cell r="T754">
            <v>70</v>
          </cell>
        </row>
        <row r="755">
          <cell r="C755" t="str">
            <v>Republic city, Washington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</row>
        <row r="756">
          <cell r="C756" t="str">
            <v>Richland city, Washington</v>
          </cell>
          <cell r="D756">
            <v>25</v>
          </cell>
          <cell r="E756">
            <v>25</v>
          </cell>
          <cell r="F756">
            <v>0</v>
          </cell>
          <cell r="G756">
            <v>25</v>
          </cell>
          <cell r="H756">
            <v>0</v>
          </cell>
          <cell r="I756">
            <v>0</v>
          </cell>
          <cell r="J756">
            <v>0</v>
          </cell>
          <cell r="K756">
            <v>25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25</v>
          </cell>
          <cell r="T756">
            <v>0</v>
          </cell>
        </row>
        <row r="757">
          <cell r="C757" t="str">
            <v>Ridgefield city, Washington</v>
          </cell>
          <cell r="D757">
            <v>11</v>
          </cell>
          <cell r="E757">
            <v>11</v>
          </cell>
          <cell r="F757">
            <v>4</v>
          </cell>
          <cell r="G757">
            <v>5</v>
          </cell>
          <cell r="H757">
            <v>0</v>
          </cell>
          <cell r="I757">
            <v>0</v>
          </cell>
          <cell r="J757">
            <v>0</v>
          </cell>
          <cell r="K757">
            <v>5</v>
          </cell>
          <cell r="L757">
            <v>2</v>
          </cell>
          <cell r="M757">
            <v>0</v>
          </cell>
          <cell r="N757">
            <v>2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9</v>
          </cell>
          <cell r="T757">
            <v>2</v>
          </cell>
        </row>
        <row r="758">
          <cell r="C758" t="str">
            <v>Ritzville city, Washington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</row>
        <row r="759">
          <cell r="C759" t="str">
            <v>Riverbend CDP, Washington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</row>
        <row r="760">
          <cell r="C760" t="str">
            <v>River Road CDP, Washington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</row>
        <row r="761">
          <cell r="C761" t="str">
            <v>Riverside town, Washington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</row>
        <row r="762">
          <cell r="C762" t="str">
            <v>Riverton-Boulevard Park CDP, Washington</v>
          </cell>
          <cell r="D762">
            <v>115</v>
          </cell>
          <cell r="E762">
            <v>89</v>
          </cell>
          <cell r="F762">
            <v>32</v>
          </cell>
          <cell r="G762">
            <v>46</v>
          </cell>
          <cell r="H762">
            <v>0</v>
          </cell>
          <cell r="I762">
            <v>0</v>
          </cell>
          <cell r="J762">
            <v>0</v>
          </cell>
          <cell r="K762">
            <v>46</v>
          </cell>
          <cell r="L762">
            <v>11</v>
          </cell>
          <cell r="M762">
            <v>0</v>
          </cell>
          <cell r="N762">
            <v>0</v>
          </cell>
          <cell r="O762">
            <v>11</v>
          </cell>
          <cell r="P762">
            <v>26</v>
          </cell>
          <cell r="Q762">
            <v>26</v>
          </cell>
          <cell r="R762">
            <v>0</v>
          </cell>
          <cell r="S762">
            <v>78</v>
          </cell>
          <cell r="T762">
            <v>37</v>
          </cell>
        </row>
        <row r="763">
          <cell r="C763" t="str">
            <v>Rochester CDP, Washington</v>
          </cell>
          <cell r="D763">
            <v>10</v>
          </cell>
          <cell r="E763">
            <v>10</v>
          </cell>
          <cell r="F763">
            <v>10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10</v>
          </cell>
          <cell r="T763">
            <v>0</v>
          </cell>
        </row>
        <row r="764">
          <cell r="C764" t="str">
            <v>Rockford town, Washington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</row>
        <row r="765">
          <cell r="C765" t="str">
            <v>Rock Island city, Washington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</row>
        <row r="766">
          <cell r="C766" t="str">
            <v>Rockport CDP, Washington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</row>
        <row r="767">
          <cell r="C767" t="str">
            <v>Ronald CDP, Washington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</row>
        <row r="768">
          <cell r="C768" t="str">
            <v>Roosevelt CDP, Washington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</row>
        <row r="769">
          <cell r="C769" t="str">
            <v>Rosalia town, Washington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</row>
        <row r="770">
          <cell r="C770" t="str">
            <v>Roslyn city, Washington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</row>
        <row r="771">
          <cell r="C771" t="str">
            <v>Roy city, Washington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</row>
        <row r="772">
          <cell r="C772" t="str">
            <v>Royal City city, Washington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</row>
        <row r="773">
          <cell r="C773" t="str">
            <v>Ruston town, Washington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</row>
        <row r="774">
          <cell r="C774" t="str">
            <v>St. John town, Washington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</row>
        <row r="775">
          <cell r="C775" t="str">
            <v>Salmon Creek CDP, Washington</v>
          </cell>
          <cell r="D775">
            <v>27</v>
          </cell>
          <cell r="E775">
            <v>27</v>
          </cell>
          <cell r="F775">
            <v>10</v>
          </cell>
          <cell r="G775">
            <v>17</v>
          </cell>
          <cell r="H775">
            <v>0</v>
          </cell>
          <cell r="I775">
            <v>0</v>
          </cell>
          <cell r="J775">
            <v>0</v>
          </cell>
          <cell r="K775">
            <v>17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27</v>
          </cell>
          <cell r="T775">
            <v>0</v>
          </cell>
        </row>
        <row r="776">
          <cell r="C776" t="str">
            <v>Sammamish city, Washington</v>
          </cell>
          <cell r="D776">
            <v>58</v>
          </cell>
          <cell r="E776">
            <v>38</v>
          </cell>
          <cell r="F776">
            <v>12</v>
          </cell>
          <cell r="G776">
            <v>26</v>
          </cell>
          <cell r="H776">
            <v>0</v>
          </cell>
          <cell r="I776">
            <v>0</v>
          </cell>
          <cell r="J776">
            <v>0</v>
          </cell>
          <cell r="K776">
            <v>26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20</v>
          </cell>
          <cell r="Q776">
            <v>0</v>
          </cell>
          <cell r="R776">
            <v>20</v>
          </cell>
          <cell r="S776">
            <v>38</v>
          </cell>
          <cell r="T776">
            <v>20</v>
          </cell>
        </row>
        <row r="777">
          <cell r="C777" t="str">
            <v>Satsop CDP, Washington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</row>
        <row r="778">
          <cell r="C778" t="str">
            <v>Satus CDP, Washington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</row>
        <row r="779">
          <cell r="C779" t="str">
            <v>SeaTac city, Washington</v>
          </cell>
          <cell r="D779">
            <v>614</v>
          </cell>
          <cell r="E779">
            <v>446</v>
          </cell>
          <cell r="F779">
            <v>166</v>
          </cell>
          <cell r="G779">
            <v>52</v>
          </cell>
          <cell r="H779">
            <v>0</v>
          </cell>
          <cell r="I779">
            <v>0</v>
          </cell>
          <cell r="J779">
            <v>0</v>
          </cell>
          <cell r="K779">
            <v>52</v>
          </cell>
          <cell r="L779">
            <v>228</v>
          </cell>
          <cell r="M779">
            <v>0</v>
          </cell>
          <cell r="N779">
            <v>228</v>
          </cell>
          <cell r="O779">
            <v>0</v>
          </cell>
          <cell r="P779">
            <v>168</v>
          </cell>
          <cell r="Q779">
            <v>56</v>
          </cell>
          <cell r="R779">
            <v>112</v>
          </cell>
          <cell r="S779">
            <v>218</v>
          </cell>
          <cell r="T779">
            <v>396</v>
          </cell>
        </row>
        <row r="780">
          <cell r="C780" t="str">
            <v>Seattle city, Washington</v>
          </cell>
          <cell r="D780">
            <v>2514</v>
          </cell>
          <cell r="E780">
            <v>2056</v>
          </cell>
          <cell r="F780">
            <v>636</v>
          </cell>
          <cell r="G780">
            <v>820</v>
          </cell>
          <cell r="H780">
            <v>13</v>
          </cell>
          <cell r="I780">
            <v>68</v>
          </cell>
          <cell r="J780">
            <v>56</v>
          </cell>
          <cell r="K780">
            <v>683</v>
          </cell>
          <cell r="L780">
            <v>600</v>
          </cell>
          <cell r="M780">
            <v>0</v>
          </cell>
          <cell r="N780">
            <v>517</v>
          </cell>
          <cell r="O780">
            <v>83</v>
          </cell>
          <cell r="P780">
            <v>458</v>
          </cell>
          <cell r="Q780">
            <v>252</v>
          </cell>
          <cell r="R780">
            <v>206</v>
          </cell>
          <cell r="S780">
            <v>1456</v>
          </cell>
          <cell r="T780">
            <v>1058</v>
          </cell>
        </row>
        <row r="781">
          <cell r="C781" t="str">
            <v>Seattle Hill-Silver Firs CDP, Washington</v>
          </cell>
          <cell r="D781">
            <v>15</v>
          </cell>
          <cell r="E781">
            <v>7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7</v>
          </cell>
          <cell r="M781">
            <v>0</v>
          </cell>
          <cell r="N781">
            <v>7</v>
          </cell>
          <cell r="O781">
            <v>0</v>
          </cell>
          <cell r="P781">
            <v>8</v>
          </cell>
          <cell r="Q781">
            <v>8</v>
          </cell>
          <cell r="R781">
            <v>0</v>
          </cell>
          <cell r="S781">
            <v>0</v>
          </cell>
          <cell r="T781">
            <v>15</v>
          </cell>
        </row>
        <row r="782">
          <cell r="C782" t="str">
            <v>Sedro-Woolley city, Washington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</row>
        <row r="783">
          <cell r="C783" t="str">
            <v>Selah city, Washington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</row>
        <row r="784">
          <cell r="C784" t="str">
            <v>Sequim city, Washington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</row>
        <row r="785">
          <cell r="C785" t="str">
            <v>Shaker Church CDP, Washington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</row>
        <row r="786">
          <cell r="C786" t="str">
            <v>Shelton city, Washington</v>
          </cell>
          <cell r="D786">
            <v>81</v>
          </cell>
          <cell r="E786">
            <v>74</v>
          </cell>
          <cell r="F786">
            <v>61</v>
          </cell>
          <cell r="G786">
            <v>5</v>
          </cell>
          <cell r="H786">
            <v>0</v>
          </cell>
          <cell r="I786">
            <v>0</v>
          </cell>
          <cell r="J786">
            <v>0</v>
          </cell>
          <cell r="K786">
            <v>5</v>
          </cell>
          <cell r="L786">
            <v>8</v>
          </cell>
          <cell r="M786">
            <v>0</v>
          </cell>
          <cell r="N786">
            <v>8</v>
          </cell>
          <cell r="O786">
            <v>0</v>
          </cell>
          <cell r="P786">
            <v>7</v>
          </cell>
          <cell r="Q786">
            <v>7</v>
          </cell>
          <cell r="R786">
            <v>0</v>
          </cell>
          <cell r="S786">
            <v>66</v>
          </cell>
          <cell r="T786">
            <v>15</v>
          </cell>
        </row>
        <row r="787">
          <cell r="C787" t="str">
            <v>Shoreline city, Washington</v>
          </cell>
          <cell r="D787">
            <v>203</v>
          </cell>
          <cell r="E787">
            <v>72</v>
          </cell>
          <cell r="F787">
            <v>28</v>
          </cell>
          <cell r="G787">
            <v>21</v>
          </cell>
          <cell r="H787">
            <v>0</v>
          </cell>
          <cell r="I787">
            <v>0</v>
          </cell>
          <cell r="J787">
            <v>0</v>
          </cell>
          <cell r="K787">
            <v>21</v>
          </cell>
          <cell r="L787">
            <v>23</v>
          </cell>
          <cell r="M787">
            <v>0</v>
          </cell>
          <cell r="N787">
            <v>23</v>
          </cell>
          <cell r="O787">
            <v>0</v>
          </cell>
          <cell r="P787">
            <v>131</v>
          </cell>
          <cell r="Q787">
            <v>27</v>
          </cell>
          <cell r="R787">
            <v>104</v>
          </cell>
          <cell r="S787">
            <v>49</v>
          </cell>
          <cell r="T787">
            <v>154</v>
          </cell>
        </row>
        <row r="788">
          <cell r="C788" t="str">
            <v>Silvana CDP, Washington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</row>
        <row r="789">
          <cell r="C789" t="str">
            <v>Silverdale CDP, Washington</v>
          </cell>
          <cell r="D789">
            <v>162</v>
          </cell>
          <cell r="E789">
            <v>137</v>
          </cell>
          <cell r="F789">
            <v>16</v>
          </cell>
          <cell r="G789">
            <v>37</v>
          </cell>
          <cell r="H789">
            <v>0</v>
          </cell>
          <cell r="I789">
            <v>0</v>
          </cell>
          <cell r="J789">
            <v>0</v>
          </cell>
          <cell r="K789">
            <v>37</v>
          </cell>
          <cell r="L789">
            <v>84</v>
          </cell>
          <cell r="M789">
            <v>0</v>
          </cell>
          <cell r="N789">
            <v>72</v>
          </cell>
          <cell r="O789">
            <v>12</v>
          </cell>
          <cell r="P789">
            <v>25</v>
          </cell>
          <cell r="Q789">
            <v>25</v>
          </cell>
          <cell r="R789">
            <v>0</v>
          </cell>
          <cell r="S789">
            <v>53</v>
          </cell>
          <cell r="T789">
            <v>109</v>
          </cell>
        </row>
        <row r="790">
          <cell r="C790" t="str">
            <v>Skokomish CDP, Washington</v>
          </cell>
          <cell r="D790">
            <v>3</v>
          </cell>
          <cell r="E790">
            <v>3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3</v>
          </cell>
          <cell r="M790">
            <v>0</v>
          </cell>
          <cell r="N790">
            <v>3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3</v>
          </cell>
        </row>
        <row r="791">
          <cell r="C791" t="str">
            <v>Skykomish town, Washington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</row>
        <row r="792">
          <cell r="C792" t="str">
            <v>Smokey Point CDP, Washington</v>
          </cell>
          <cell r="D792">
            <v>35</v>
          </cell>
          <cell r="E792">
            <v>35</v>
          </cell>
          <cell r="F792">
            <v>15</v>
          </cell>
          <cell r="G792">
            <v>20</v>
          </cell>
          <cell r="H792">
            <v>0</v>
          </cell>
          <cell r="I792">
            <v>0</v>
          </cell>
          <cell r="J792">
            <v>0</v>
          </cell>
          <cell r="K792">
            <v>20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35</v>
          </cell>
          <cell r="T792">
            <v>0</v>
          </cell>
        </row>
        <row r="793">
          <cell r="C793" t="str">
            <v>Snohomish city, Washington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</row>
        <row r="794">
          <cell r="C794" t="str">
            <v>Snoqualmie city, Washington</v>
          </cell>
          <cell r="D794">
            <v>20</v>
          </cell>
          <cell r="E794">
            <v>20</v>
          </cell>
          <cell r="F794">
            <v>0</v>
          </cell>
          <cell r="G794">
            <v>17</v>
          </cell>
          <cell r="H794">
            <v>0</v>
          </cell>
          <cell r="I794">
            <v>0</v>
          </cell>
          <cell r="J794">
            <v>11</v>
          </cell>
          <cell r="K794">
            <v>6</v>
          </cell>
          <cell r="L794">
            <v>3</v>
          </cell>
          <cell r="M794">
            <v>0</v>
          </cell>
          <cell r="N794">
            <v>3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17</v>
          </cell>
          <cell r="T794">
            <v>3</v>
          </cell>
        </row>
        <row r="795">
          <cell r="C795" t="str">
            <v>Snoqualmie Pass CDP, Washington</v>
          </cell>
          <cell r="D795">
            <v>5</v>
          </cell>
          <cell r="E795">
            <v>3</v>
          </cell>
          <cell r="F795">
            <v>0</v>
          </cell>
          <cell r="G795">
            <v>3</v>
          </cell>
          <cell r="H795">
            <v>0</v>
          </cell>
          <cell r="I795">
            <v>0</v>
          </cell>
          <cell r="J795">
            <v>0</v>
          </cell>
          <cell r="K795">
            <v>3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2</v>
          </cell>
          <cell r="Q795">
            <v>0</v>
          </cell>
          <cell r="R795">
            <v>2</v>
          </cell>
          <cell r="S795">
            <v>3</v>
          </cell>
          <cell r="T795">
            <v>2</v>
          </cell>
        </row>
        <row r="796">
          <cell r="C796" t="str">
            <v>Soap Lake city, Washington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</row>
        <row r="797">
          <cell r="C797" t="str">
            <v>South Bend city, Washington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</row>
        <row r="798">
          <cell r="C798" t="str">
            <v>South Cle Elum town, Washington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</row>
        <row r="799">
          <cell r="C799" t="str">
            <v>South Hill CDP, Washington</v>
          </cell>
          <cell r="D799">
            <v>51</v>
          </cell>
          <cell r="E799">
            <v>46</v>
          </cell>
          <cell r="F799">
            <v>15</v>
          </cell>
          <cell r="G799">
            <v>22</v>
          </cell>
          <cell r="H799">
            <v>14</v>
          </cell>
          <cell r="I799">
            <v>0</v>
          </cell>
          <cell r="J799">
            <v>0</v>
          </cell>
          <cell r="K799">
            <v>8</v>
          </cell>
          <cell r="L799">
            <v>9</v>
          </cell>
          <cell r="M799">
            <v>0</v>
          </cell>
          <cell r="N799">
            <v>8</v>
          </cell>
          <cell r="O799">
            <v>1</v>
          </cell>
          <cell r="P799">
            <v>5</v>
          </cell>
          <cell r="Q799">
            <v>5</v>
          </cell>
          <cell r="R799">
            <v>0</v>
          </cell>
          <cell r="S799">
            <v>37</v>
          </cell>
          <cell r="T799">
            <v>14</v>
          </cell>
        </row>
        <row r="800">
          <cell r="C800" t="str">
            <v>South Prairie town, Washington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</row>
        <row r="801">
          <cell r="C801" t="str">
            <v>South Wenatchee CDP, Washington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</row>
        <row r="802">
          <cell r="C802" t="str">
            <v>Spanaway CDP, Washington</v>
          </cell>
          <cell r="D802">
            <v>578</v>
          </cell>
          <cell r="E802">
            <v>558</v>
          </cell>
          <cell r="F802">
            <v>104</v>
          </cell>
          <cell r="G802">
            <v>135</v>
          </cell>
          <cell r="H802">
            <v>0</v>
          </cell>
          <cell r="I802">
            <v>0</v>
          </cell>
          <cell r="J802">
            <v>15</v>
          </cell>
          <cell r="K802">
            <v>120</v>
          </cell>
          <cell r="L802">
            <v>319</v>
          </cell>
          <cell r="M802">
            <v>0</v>
          </cell>
          <cell r="N802">
            <v>283</v>
          </cell>
          <cell r="O802">
            <v>36</v>
          </cell>
          <cell r="P802">
            <v>20</v>
          </cell>
          <cell r="Q802">
            <v>6</v>
          </cell>
          <cell r="R802">
            <v>14</v>
          </cell>
          <cell r="S802">
            <v>239</v>
          </cell>
          <cell r="T802">
            <v>339</v>
          </cell>
        </row>
        <row r="803">
          <cell r="C803" t="str">
            <v>Spangle town, Washington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</row>
        <row r="804">
          <cell r="C804" t="str">
            <v>Spokane city, Washington</v>
          </cell>
          <cell r="D804">
            <v>422</v>
          </cell>
          <cell r="E804">
            <v>354</v>
          </cell>
          <cell r="F804">
            <v>90</v>
          </cell>
          <cell r="G804">
            <v>170</v>
          </cell>
          <cell r="H804">
            <v>0</v>
          </cell>
          <cell r="I804">
            <v>4</v>
          </cell>
          <cell r="J804">
            <v>4</v>
          </cell>
          <cell r="K804">
            <v>162</v>
          </cell>
          <cell r="L804">
            <v>94</v>
          </cell>
          <cell r="M804">
            <v>0</v>
          </cell>
          <cell r="N804">
            <v>77</v>
          </cell>
          <cell r="O804">
            <v>17</v>
          </cell>
          <cell r="P804">
            <v>68</v>
          </cell>
          <cell r="Q804">
            <v>40</v>
          </cell>
          <cell r="R804">
            <v>28</v>
          </cell>
          <cell r="S804">
            <v>260</v>
          </cell>
          <cell r="T804">
            <v>162</v>
          </cell>
        </row>
        <row r="805">
          <cell r="C805" t="str">
            <v>Sprague city, Washington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</row>
        <row r="806">
          <cell r="C806" t="str">
            <v>Springdale town, Washington</v>
          </cell>
          <cell r="D806">
            <v>5</v>
          </cell>
          <cell r="E806">
            <v>5</v>
          </cell>
          <cell r="F806">
            <v>3</v>
          </cell>
          <cell r="G806">
            <v>2</v>
          </cell>
          <cell r="H806">
            <v>0</v>
          </cell>
          <cell r="I806">
            <v>2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5</v>
          </cell>
          <cell r="T806">
            <v>0</v>
          </cell>
        </row>
        <row r="807">
          <cell r="C807" t="str">
            <v>Stanwood city, Washington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</row>
        <row r="808">
          <cell r="C808" t="str">
            <v>Starbuck town, Washington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</row>
        <row r="809">
          <cell r="C809" t="str">
            <v>Startup CDP, Washington</v>
          </cell>
          <cell r="D809">
            <v>9</v>
          </cell>
          <cell r="E809">
            <v>9</v>
          </cell>
          <cell r="F809">
            <v>9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9</v>
          </cell>
          <cell r="T809">
            <v>0</v>
          </cell>
        </row>
        <row r="810">
          <cell r="C810" t="str">
            <v>Steilacoom town, Washington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</row>
        <row r="811">
          <cell r="C811" t="str">
            <v>Stevenson city, Washington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</row>
        <row r="812">
          <cell r="C812" t="str">
            <v>Stimson Crossing CDP, Washington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</row>
        <row r="813">
          <cell r="C813" t="str">
            <v>Sudden Valley CDP, Washington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</row>
        <row r="814">
          <cell r="C814" t="str">
            <v>Sultan city, Washington</v>
          </cell>
          <cell r="D814">
            <v>5</v>
          </cell>
          <cell r="E814">
            <v>5</v>
          </cell>
          <cell r="F814">
            <v>0</v>
          </cell>
          <cell r="G814">
            <v>5</v>
          </cell>
          <cell r="H814">
            <v>0</v>
          </cell>
          <cell r="I814">
            <v>0</v>
          </cell>
          <cell r="J814">
            <v>0</v>
          </cell>
          <cell r="K814">
            <v>5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5</v>
          </cell>
          <cell r="T814">
            <v>0</v>
          </cell>
        </row>
        <row r="815">
          <cell r="C815" t="str">
            <v>Sumas city, Washington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</row>
        <row r="816">
          <cell r="C816" t="str">
            <v>Summit CDP, Washington</v>
          </cell>
          <cell r="D816">
            <v>27</v>
          </cell>
          <cell r="E816">
            <v>27</v>
          </cell>
          <cell r="F816">
            <v>27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27</v>
          </cell>
          <cell r="T816">
            <v>0</v>
          </cell>
        </row>
        <row r="817">
          <cell r="C817" t="str">
            <v>Summitview CDP, Washington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</row>
        <row r="818">
          <cell r="C818" t="str">
            <v>Sumner city, Washington</v>
          </cell>
          <cell r="D818">
            <v>29</v>
          </cell>
          <cell r="E818">
            <v>29</v>
          </cell>
          <cell r="F818">
            <v>16</v>
          </cell>
          <cell r="G818">
            <v>9</v>
          </cell>
          <cell r="H818">
            <v>0</v>
          </cell>
          <cell r="I818">
            <v>0</v>
          </cell>
          <cell r="J818">
            <v>0</v>
          </cell>
          <cell r="K818">
            <v>9</v>
          </cell>
          <cell r="L818">
            <v>4</v>
          </cell>
          <cell r="M818">
            <v>0</v>
          </cell>
          <cell r="N818">
            <v>4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25</v>
          </cell>
          <cell r="T818">
            <v>4</v>
          </cell>
        </row>
        <row r="819">
          <cell r="C819" t="str">
            <v>Sunnyside city, Washington</v>
          </cell>
          <cell r="D819">
            <v>58</v>
          </cell>
          <cell r="E819">
            <v>40</v>
          </cell>
          <cell r="F819">
            <v>40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18</v>
          </cell>
          <cell r="Q819">
            <v>9</v>
          </cell>
          <cell r="R819">
            <v>9</v>
          </cell>
          <cell r="S819">
            <v>40</v>
          </cell>
          <cell r="T819">
            <v>18</v>
          </cell>
        </row>
        <row r="820">
          <cell r="C820" t="str">
            <v>Sunnyslope CDP, Washington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</row>
        <row r="821">
          <cell r="C821" t="str">
            <v>Suquamish CDP, Washington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</row>
        <row r="822">
          <cell r="C822" t="str">
            <v>Tacoma city, Washington</v>
          </cell>
          <cell r="D822">
            <v>1347</v>
          </cell>
          <cell r="E822">
            <v>1154</v>
          </cell>
          <cell r="F822">
            <v>260</v>
          </cell>
          <cell r="G822">
            <v>459</v>
          </cell>
          <cell r="H822">
            <v>12</v>
          </cell>
          <cell r="I822">
            <v>8</v>
          </cell>
          <cell r="J822">
            <v>46</v>
          </cell>
          <cell r="K822">
            <v>393</v>
          </cell>
          <cell r="L822">
            <v>435</v>
          </cell>
          <cell r="M822">
            <v>0</v>
          </cell>
          <cell r="N822">
            <v>410</v>
          </cell>
          <cell r="O822">
            <v>25</v>
          </cell>
          <cell r="P822">
            <v>193</v>
          </cell>
          <cell r="Q822">
            <v>88</v>
          </cell>
          <cell r="R822">
            <v>105</v>
          </cell>
          <cell r="S822">
            <v>719</v>
          </cell>
          <cell r="T822">
            <v>628</v>
          </cell>
        </row>
        <row r="823">
          <cell r="C823" t="str">
            <v>Taholah CDP, Washington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</row>
        <row r="824">
          <cell r="C824" t="str">
            <v>Tanglewilde-Thompson Place CDP, Washington</v>
          </cell>
          <cell r="D824">
            <v>65</v>
          </cell>
          <cell r="E824">
            <v>65</v>
          </cell>
          <cell r="F824">
            <v>0</v>
          </cell>
          <cell r="G824">
            <v>14</v>
          </cell>
          <cell r="H824">
            <v>7</v>
          </cell>
          <cell r="I824">
            <v>7</v>
          </cell>
          <cell r="J824">
            <v>0</v>
          </cell>
          <cell r="K824">
            <v>0</v>
          </cell>
          <cell r="L824">
            <v>51</v>
          </cell>
          <cell r="M824">
            <v>0</v>
          </cell>
          <cell r="N824">
            <v>44</v>
          </cell>
          <cell r="O824">
            <v>7</v>
          </cell>
          <cell r="P824">
            <v>0</v>
          </cell>
          <cell r="Q824">
            <v>0</v>
          </cell>
          <cell r="R824">
            <v>0</v>
          </cell>
          <cell r="S824">
            <v>14</v>
          </cell>
          <cell r="T824">
            <v>51</v>
          </cell>
        </row>
        <row r="825">
          <cell r="C825" t="str">
            <v>Tanner CDP, Washington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</row>
        <row r="826">
          <cell r="C826" t="str">
            <v>Tekoa city, Washington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</row>
        <row r="827">
          <cell r="C827" t="str">
            <v>Tenino city, Washington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</row>
        <row r="828">
          <cell r="C828" t="str">
            <v>Terrace Heights CDP, Washington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</row>
        <row r="829">
          <cell r="C829" t="str">
            <v>Thorp CDP, Washington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</row>
        <row r="830">
          <cell r="C830" t="str">
            <v>Three Lakes CDP, Washington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</row>
        <row r="831">
          <cell r="C831" t="str">
            <v>Tieton town, Washington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</row>
        <row r="832">
          <cell r="C832" t="str">
            <v>Tokeland CDP, Washington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</row>
        <row r="833">
          <cell r="C833" t="str">
            <v>Toledo city, Washington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</row>
        <row r="834">
          <cell r="C834" t="str">
            <v>Tonasket city, Washington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</row>
        <row r="835">
          <cell r="C835" t="str">
            <v>Toppenish city, Washington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</row>
        <row r="836">
          <cell r="C836" t="str">
            <v>Touchet CDP, Washington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</row>
        <row r="837">
          <cell r="C837" t="str">
            <v>Town and Country CDP, Washington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</row>
        <row r="838">
          <cell r="C838" t="str">
            <v>Tracyton CDP, Washington</v>
          </cell>
          <cell r="D838">
            <v>35</v>
          </cell>
          <cell r="E838">
            <v>35</v>
          </cell>
          <cell r="F838">
            <v>6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29</v>
          </cell>
          <cell r="M838">
            <v>0</v>
          </cell>
          <cell r="N838">
            <v>29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6</v>
          </cell>
          <cell r="T838">
            <v>29</v>
          </cell>
        </row>
        <row r="839">
          <cell r="C839" t="str">
            <v>Trentwood CDP, Washington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</row>
        <row r="840">
          <cell r="C840" t="str">
            <v>Trout Lake CDP, Washington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</row>
        <row r="841">
          <cell r="C841" t="str">
            <v>Tukwila city, Washington</v>
          </cell>
          <cell r="D841">
            <v>332</v>
          </cell>
          <cell r="E841">
            <v>180</v>
          </cell>
          <cell r="F841">
            <v>99</v>
          </cell>
          <cell r="G841">
            <v>32</v>
          </cell>
          <cell r="H841">
            <v>0</v>
          </cell>
          <cell r="I841">
            <v>0</v>
          </cell>
          <cell r="J841">
            <v>0</v>
          </cell>
          <cell r="K841">
            <v>32</v>
          </cell>
          <cell r="L841">
            <v>49</v>
          </cell>
          <cell r="M841">
            <v>0</v>
          </cell>
          <cell r="N841">
            <v>37</v>
          </cell>
          <cell r="O841">
            <v>12</v>
          </cell>
          <cell r="P841">
            <v>152</v>
          </cell>
          <cell r="Q841">
            <v>45</v>
          </cell>
          <cell r="R841">
            <v>107</v>
          </cell>
          <cell r="S841">
            <v>131</v>
          </cell>
          <cell r="T841">
            <v>201</v>
          </cell>
        </row>
        <row r="842">
          <cell r="C842" t="str">
            <v>Tulalip Bay CDP, Washington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</row>
        <row r="843">
          <cell r="C843" t="str">
            <v>Tumwater city, Washington</v>
          </cell>
          <cell r="D843">
            <v>82</v>
          </cell>
          <cell r="E843">
            <v>82</v>
          </cell>
          <cell r="F843">
            <v>17</v>
          </cell>
          <cell r="G843">
            <v>22</v>
          </cell>
          <cell r="H843">
            <v>0</v>
          </cell>
          <cell r="I843">
            <v>8</v>
          </cell>
          <cell r="J843">
            <v>0</v>
          </cell>
          <cell r="K843">
            <v>14</v>
          </cell>
          <cell r="L843">
            <v>43</v>
          </cell>
          <cell r="M843">
            <v>0</v>
          </cell>
          <cell r="N843">
            <v>43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39</v>
          </cell>
          <cell r="T843">
            <v>43</v>
          </cell>
        </row>
        <row r="844">
          <cell r="C844" t="str">
            <v>Twisp town, Washington</v>
          </cell>
          <cell r="D844">
            <v>2</v>
          </cell>
          <cell r="E844">
            <v>2</v>
          </cell>
          <cell r="F844">
            <v>0</v>
          </cell>
          <cell r="G844">
            <v>2</v>
          </cell>
          <cell r="H844">
            <v>0</v>
          </cell>
          <cell r="I844">
            <v>0</v>
          </cell>
          <cell r="J844">
            <v>0</v>
          </cell>
          <cell r="K844">
            <v>2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2</v>
          </cell>
          <cell r="T844">
            <v>0</v>
          </cell>
        </row>
        <row r="845">
          <cell r="C845" t="str">
            <v>Union Gap city, Washington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</row>
        <row r="846">
          <cell r="C846" t="str">
            <v>Union Hill-Novelty Hill CDP, Washington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</row>
        <row r="847">
          <cell r="C847" t="str">
            <v>Uniontown town, Washington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</row>
        <row r="848">
          <cell r="C848" t="str">
            <v>University Place city, Washington</v>
          </cell>
          <cell r="D848">
            <v>170</v>
          </cell>
          <cell r="E848">
            <v>122</v>
          </cell>
          <cell r="F848">
            <v>16</v>
          </cell>
          <cell r="G848">
            <v>58</v>
          </cell>
          <cell r="H848">
            <v>0</v>
          </cell>
          <cell r="I848">
            <v>0</v>
          </cell>
          <cell r="J848">
            <v>0</v>
          </cell>
          <cell r="K848">
            <v>58</v>
          </cell>
          <cell r="L848">
            <v>48</v>
          </cell>
          <cell r="M848">
            <v>0</v>
          </cell>
          <cell r="N848">
            <v>43</v>
          </cell>
          <cell r="O848">
            <v>5</v>
          </cell>
          <cell r="P848">
            <v>48</v>
          </cell>
          <cell r="Q848">
            <v>14</v>
          </cell>
          <cell r="R848">
            <v>34</v>
          </cell>
          <cell r="S848">
            <v>74</v>
          </cell>
          <cell r="T848">
            <v>96</v>
          </cell>
        </row>
        <row r="849">
          <cell r="C849" t="str">
            <v>Vader city, Washington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</row>
        <row r="850">
          <cell r="C850" t="str">
            <v>Vancouver city, Washington</v>
          </cell>
          <cell r="D850">
            <v>943</v>
          </cell>
          <cell r="E850">
            <v>811</v>
          </cell>
          <cell r="F850">
            <v>137</v>
          </cell>
          <cell r="G850">
            <v>472</v>
          </cell>
          <cell r="H850">
            <v>29</v>
          </cell>
          <cell r="I850">
            <v>0</v>
          </cell>
          <cell r="J850">
            <v>28</v>
          </cell>
          <cell r="K850">
            <v>415</v>
          </cell>
          <cell r="L850">
            <v>202</v>
          </cell>
          <cell r="M850">
            <v>0</v>
          </cell>
          <cell r="N850">
            <v>201</v>
          </cell>
          <cell r="O850">
            <v>1</v>
          </cell>
          <cell r="P850">
            <v>132</v>
          </cell>
          <cell r="Q850">
            <v>22</v>
          </cell>
          <cell r="R850">
            <v>110</v>
          </cell>
          <cell r="S850">
            <v>609</v>
          </cell>
          <cell r="T850">
            <v>334</v>
          </cell>
        </row>
        <row r="851">
          <cell r="C851" t="str">
            <v>Vantage CDP, Washington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</row>
        <row r="852">
          <cell r="C852" t="str">
            <v>Vashon CDP, Washington</v>
          </cell>
          <cell r="D852">
            <v>8</v>
          </cell>
          <cell r="E852">
            <v>8</v>
          </cell>
          <cell r="F852">
            <v>0</v>
          </cell>
          <cell r="G852">
            <v>8</v>
          </cell>
          <cell r="H852">
            <v>0</v>
          </cell>
          <cell r="I852">
            <v>0</v>
          </cell>
          <cell r="J852">
            <v>0</v>
          </cell>
          <cell r="K852">
            <v>8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8</v>
          </cell>
          <cell r="T852">
            <v>0</v>
          </cell>
        </row>
        <row r="853">
          <cell r="C853" t="str">
            <v>Venersborg CDP, Washington</v>
          </cell>
          <cell r="D853">
            <v>13</v>
          </cell>
          <cell r="E853">
            <v>13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13</v>
          </cell>
          <cell r="M853">
            <v>0</v>
          </cell>
          <cell r="N853">
            <v>13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13</v>
          </cell>
        </row>
        <row r="854">
          <cell r="C854" t="str">
            <v>Veradale CDP, Washington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</row>
        <row r="855">
          <cell r="C855" t="str">
            <v>Verlot CDP, Washington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</row>
        <row r="856">
          <cell r="C856" t="str">
            <v>Waitsburg city, Washington</v>
          </cell>
          <cell r="D856">
            <v>2</v>
          </cell>
          <cell r="E856">
            <v>2</v>
          </cell>
          <cell r="F856">
            <v>2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</v>
          </cell>
          <cell r="T856">
            <v>0</v>
          </cell>
        </row>
        <row r="857">
          <cell r="C857" t="str">
            <v>Walla Walla city, Washington</v>
          </cell>
          <cell r="D857">
            <v>21</v>
          </cell>
          <cell r="E857">
            <v>21</v>
          </cell>
          <cell r="F857">
            <v>21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21</v>
          </cell>
          <cell r="T857">
            <v>0</v>
          </cell>
        </row>
        <row r="858">
          <cell r="C858" t="str">
            <v>Walla Walla East CDP, Washington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</row>
        <row r="859">
          <cell r="C859" t="str">
            <v>Waller CDP, Washington</v>
          </cell>
          <cell r="D859">
            <v>11</v>
          </cell>
          <cell r="E859">
            <v>11</v>
          </cell>
          <cell r="F859">
            <v>8</v>
          </cell>
          <cell r="G859">
            <v>3</v>
          </cell>
          <cell r="H859">
            <v>0</v>
          </cell>
          <cell r="I859">
            <v>0</v>
          </cell>
          <cell r="J859">
            <v>0</v>
          </cell>
          <cell r="K859">
            <v>3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11</v>
          </cell>
          <cell r="T859">
            <v>0</v>
          </cell>
        </row>
        <row r="860">
          <cell r="C860" t="str">
            <v>Wallula CDP, Washington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</row>
        <row r="861">
          <cell r="C861" t="str">
            <v>Walnut Grove CDP, Washington</v>
          </cell>
          <cell r="D861">
            <v>14</v>
          </cell>
          <cell r="E861">
            <v>14</v>
          </cell>
          <cell r="F861">
            <v>0</v>
          </cell>
          <cell r="G861">
            <v>14</v>
          </cell>
          <cell r="H861">
            <v>0</v>
          </cell>
          <cell r="I861">
            <v>0</v>
          </cell>
          <cell r="J861">
            <v>0</v>
          </cell>
          <cell r="K861">
            <v>14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14</v>
          </cell>
          <cell r="T861">
            <v>0</v>
          </cell>
        </row>
        <row r="862">
          <cell r="C862" t="str">
            <v>Wapato city, Washington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</row>
        <row r="863">
          <cell r="C863" t="str">
            <v>Warden city, Washington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</row>
        <row r="864">
          <cell r="C864" t="str">
            <v>Warm Beach CDP, Washington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</row>
        <row r="865">
          <cell r="C865" t="str">
            <v>Washougal city, Washington</v>
          </cell>
          <cell r="D865">
            <v>13</v>
          </cell>
          <cell r="E865">
            <v>13</v>
          </cell>
          <cell r="F865">
            <v>6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7</v>
          </cell>
          <cell r="M865">
            <v>0</v>
          </cell>
          <cell r="N865">
            <v>7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6</v>
          </cell>
          <cell r="T865">
            <v>7</v>
          </cell>
        </row>
        <row r="866">
          <cell r="C866" t="str">
            <v>Washtucna town, Washington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</row>
        <row r="867">
          <cell r="C867" t="str">
            <v>Waterville town, Washington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</row>
        <row r="868">
          <cell r="C868" t="str">
            <v>Waverly town, Washington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</row>
        <row r="869">
          <cell r="C869" t="str">
            <v>Weallup Lake CDP, Washington</v>
          </cell>
          <cell r="D869">
            <v>5</v>
          </cell>
          <cell r="E869">
            <v>5</v>
          </cell>
          <cell r="F869">
            <v>0</v>
          </cell>
          <cell r="G869">
            <v>5</v>
          </cell>
          <cell r="H869">
            <v>0</v>
          </cell>
          <cell r="I869">
            <v>0</v>
          </cell>
          <cell r="J869">
            <v>3</v>
          </cell>
          <cell r="K869">
            <v>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5</v>
          </cell>
          <cell r="T869">
            <v>0</v>
          </cell>
        </row>
        <row r="870">
          <cell r="C870" t="str">
            <v>Wenatchee city, Washington</v>
          </cell>
          <cell r="D870">
            <v>12</v>
          </cell>
          <cell r="E870">
            <v>12</v>
          </cell>
          <cell r="F870">
            <v>0</v>
          </cell>
          <cell r="G870">
            <v>12</v>
          </cell>
          <cell r="H870">
            <v>0</v>
          </cell>
          <cell r="I870">
            <v>0</v>
          </cell>
          <cell r="J870">
            <v>0</v>
          </cell>
          <cell r="K870">
            <v>12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12</v>
          </cell>
          <cell r="T870">
            <v>0</v>
          </cell>
        </row>
        <row r="871">
          <cell r="C871" t="str">
            <v>West Clarkston-Highland CDP, Washington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</row>
        <row r="872">
          <cell r="C872" t="str">
            <v>West Lake Sammamish CDP, Washington</v>
          </cell>
          <cell r="D872">
            <v>35</v>
          </cell>
          <cell r="E872">
            <v>9</v>
          </cell>
          <cell r="F872">
            <v>9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26</v>
          </cell>
          <cell r="Q872">
            <v>0</v>
          </cell>
          <cell r="R872">
            <v>26</v>
          </cell>
          <cell r="S872">
            <v>9</v>
          </cell>
          <cell r="T872">
            <v>26</v>
          </cell>
        </row>
        <row r="873">
          <cell r="C873" t="str">
            <v>West Lake Stevens CDP, Washington</v>
          </cell>
          <cell r="D873">
            <v>13</v>
          </cell>
          <cell r="E873">
            <v>10</v>
          </cell>
          <cell r="F873">
            <v>0</v>
          </cell>
          <cell r="G873">
            <v>7</v>
          </cell>
          <cell r="H873">
            <v>0</v>
          </cell>
          <cell r="I873">
            <v>0</v>
          </cell>
          <cell r="J873">
            <v>7</v>
          </cell>
          <cell r="K873">
            <v>0</v>
          </cell>
          <cell r="L873">
            <v>3</v>
          </cell>
          <cell r="M873">
            <v>0</v>
          </cell>
          <cell r="N873">
            <v>3</v>
          </cell>
          <cell r="O873">
            <v>0</v>
          </cell>
          <cell r="P873">
            <v>3</v>
          </cell>
          <cell r="Q873">
            <v>0</v>
          </cell>
          <cell r="R873">
            <v>3</v>
          </cell>
          <cell r="S873">
            <v>7</v>
          </cell>
          <cell r="T873">
            <v>6</v>
          </cell>
        </row>
        <row r="874">
          <cell r="C874" t="str">
            <v>West Longview CDP, Washington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</row>
        <row r="875">
          <cell r="C875" t="str">
            <v>West Pasco CDP, Washington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</row>
        <row r="876">
          <cell r="C876" t="str">
            <v>Westport city, Washington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</row>
        <row r="877">
          <cell r="C877" t="str">
            <v>West Richland city, Washington</v>
          </cell>
          <cell r="D877">
            <v>7</v>
          </cell>
          <cell r="E877">
            <v>7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7</v>
          </cell>
          <cell r="M877">
            <v>0</v>
          </cell>
          <cell r="N877">
            <v>7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7</v>
          </cell>
        </row>
        <row r="878">
          <cell r="C878" t="str">
            <v>West Side Highway CDP, Washington</v>
          </cell>
          <cell r="D878">
            <v>8</v>
          </cell>
          <cell r="E878">
            <v>8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8</v>
          </cell>
          <cell r="M878">
            <v>0</v>
          </cell>
          <cell r="N878">
            <v>8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8</v>
          </cell>
        </row>
        <row r="879">
          <cell r="C879" t="str">
            <v>West Valley CDP, Washington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</row>
        <row r="880">
          <cell r="C880" t="str">
            <v>West Wenatchee CDP, Washington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</row>
        <row r="881">
          <cell r="C881" t="str">
            <v>White Center CDP, Washington</v>
          </cell>
          <cell r="D881">
            <v>305</v>
          </cell>
          <cell r="E881">
            <v>235</v>
          </cell>
          <cell r="F881">
            <v>72</v>
          </cell>
          <cell r="G881">
            <v>75</v>
          </cell>
          <cell r="H881">
            <v>0</v>
          </cell>
          <cell r="I881">
            <v>0</v>
          </cell>
          <cell r="J881">
            <v>0</v>
          </cell>
          <cell r="K881">
            <v>75</v>
          </cell>
          <cell r="L881">
            <v>88</v>
          </cell>
          <cell r="M881">
            <v>0</v>
          </cell>
          <cell r="N881">
            <v>88</v>
          </cell>
          <cell r="O881">
            <v>0</v>
          </cell>
          <cell r="P881">
            <v>70</v>
          </cell>
          <cell r="Q881">
            <v>26</v>
          </cell>
          <cell r="R881">
            <v>44</v>
          </cell>
          <cell r="S881">
            <v>147</v>
          </cell>
          <cell r="T881">
            <v>158</v>
          </cell>
        </row>
        <row r="882">
          <cell r="C882" t="str">
            <v>White Salmon city, Washington</v>
          </cell>
          <cell r="D882">
            <v>2</v>
          </cell>
          <cell r="E882">
            <v>2</v>
          </cell>
          <cell r="F882">
            <v>0</v>
          </cell>
          <cell r="G882">
            <v>2</v>
          </cell>
          <cell r="H882">
            <v>0</v>
          </cell>
          <cell r="I882">
            <v>0</v>
          </cell>
          <cell r="J882">
            <v>0</v>
          </cell>
          <cell r="K882">
            <v>2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2</v>
          </cell>
          <cell r="T882">
            <v>0</v>
          </cell>
        </row>
        <row r="883">
          <cell r="C883" t="str">
            <v>White Swan CDP, Washington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</row>
        <row r="884">
          <cell r="C884" t="str">
            <v>Wilbur town, Washington</v>
          </cell>
          <cell r="D884">
            <v>3</v>
          </cell>
          <cell r="E884">
            <v>3</v>
          </cell>
          <cell r="F884">
            <v>0</v>
          </cell>
          <cell r="G884">
            <v>3</v>
          </cell>
          <cell r="H884">
            <v>0</v>
          </cell>
          <cell r="I884">
            <v>0</v>
          </cell>
          <cell r="J884">
            <v>0</v>
          </cell>
          <cell r="K884">
            <v>3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3</v>
          </cell>
          <cell r="T884">
            <v>0</v>
          </cell>
        </row>
        <row r="885">
          <cell r="C885" t="str">
            <v>Wilkeson town, Washington</v>
          </cell>
          <cell r="D885">
            <v>3</v>
          </cell>
          <cell r="E885">
            <v>3</v>
          </cell>
          <cell r="F885">
            <v>1</v>
          </cell>
          <cell r="G885">
            <v>2</v>
          </cell>
          <cell r="H885">
            <v>0</v>
          </cell>
          <cell r="I885">
            <v>0</v>
          </cell>
          <cell r="J885">
            <v>2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3</v>
          </cell>
          <cell r="T885">
            <v>0</v>
          </cell>
        </row>
        <row r="886">
          <cell r="C886" t="str">
            <v>Wilson Creek town, Washington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</row>
        <row r="887">
          <cell r="C887" t="str">
            <v>Winlock city, Washington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</row>
        <row r="888">
          <cell r="C888" t="str">
            <v>Winthrop town, Washington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</row>
        <row r="889">
          <cell r="C889" t="str">
            <v>Wishram CDP, Washington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</row>
        <row r="890">
          <cell r="C890" t="str">
            <v>Woodinville city, Washington</v>
          </cell>
          <cell r="D890">
            <v>7</v>
          </cell>
          <cell r="E890">
            <v>7</v>
          </cell>
          <cell r="F890">
            <v>0</v>
          </cell>
          <cell r="G890">
            <v>7</v>
          </cell>
          <cell r="H890">
            <v>0</v>
          </cell>
          <cell r="I890">
            <v>0</v>
          </cell>
          <cell r="J890">
            <v>0</v>
          </cell>
          <cell r="K890">
            <v>7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7</v>
          </cell>
          <cell r="T890">
            <v>0</v>
          </cell>
        </row>
        <row r="891">
          <cell r="C891" t="str">
            <v>Woodland city, Washington</v>
          </cell>
          <cell r="D891">
            <v>6</v>
          </cell>
          <cell r="E891">
            <v>6</v>
          </cell>
          <cell r="F891">
            <v>0</v>
          </cell>
          <cell r="G891">
            <v>6</v>
          </cell>
          <cell r="H891">
            <v>0</v>
          </cell>
          <cell r="I891">
            <v>0</v>
          </cell>
          <cell r="J891">
            <v>0</v>
          </cell>
          <cell r="K891">
            <v>6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6</v>
          </cell>
          <cell r="T891">
            <v>0</v>
          </cell>
        </row>
        <row r="892">
          <cell r="C892" t="str">
            <v>Woods Creek CDP, Washington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</row>
        <row r="893">
          <cell r="C893" t="str">
            <v>Woodway city, Washington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</row>
        <row r="894">
          <cell r="C894" t="str">
            <v>Yacolt town, Washington</v>
          </cell>
          <cell r="D894">
            <v>5</v>
          </cell>
          <cell r="E894">
            <v>5</v>
          </cell>
          <cell r="F894">
            <v>0</v>
          </cell>
          <cell r="G894">
            <v>3</v>
          </cell>
          <cell r="H894">
            <v>0</v>
          </cell>
          <cell r="I894">
            <v>0</v>
          </cell>
          <cell r="J894">
            <v>0</v>
          </cell>
          <cell r="K894">
            <v>3</v>
          </cell>
          <cell r="L894">
            <v>2</v>
          </cell>
          <cell r="M894">
            <v>0</v>
          </cell>
          <cell r="N894">
            <v>2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3</v>
          </cell>
          <cell r="T894">
            <v>2</v>
          </cell>
        </row>
        <row r="895">
          <cell r="C895" t="str">
            <v>Yakima city, Washington</v>
          </cell>
          <cell r="D895">
            <v>70</v>
          </cell>
          <cell r="E895">
            <v>59</v>
          </cell>
          <cell r="F895">
            <v>8</v>
          </cell>
          <cell r="G895">
            <v>36</v>
          </cell>
          <cell r="H895">
            <v>0</v>
          </cell>
          <cell r="I895">
            <v>0</v>
          </cell>
          <cell r="J895">
            <v>0</v>
          </cell>
          <cell r="K895">
            <v>36</v>
          </cell>
          <cell r="L895">
            <v>15</v>
          </cell>
          <cell r="M895">
            <v>0</v>
          </cell>
          <cell r="N895">
            <v>8</v>
          </cell>
          <cell r="O895">
            <v>7</v>
          </cell>
          <cell r="P895">
            <v>11</v>
          </cell>
          <cell r="Q895">
            <v>11</v>
          </cell>
          <cell r="R895">
            <v>0</v>
          </cell>
          <cell r="S895">
            <v>44</v>
          </cell>
          <cell r="T895">
            <v>26</v>
          </cell>
        </row>
        <row r="896">
          <cell r="C896" t="str">
            <v>Yarrow Point town, Washington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</row>
        <row r="897">
          <cell r="C897" t="str">
            <v>Yelm city, Washington</v>
          </cell>
          <cell r="D897">
            <v>27</v>
          </cell>
          <cell r="E897">
            <v>27</v>
          </cell>
          <cell r="F897">
            <v>5</v>
          </cell>
          <cell r="G897">
            <v>12</v>
          </cell>
          <cell r="H897">
            <v>0</v>
          </cell>
          <cell r="I897">
            <v>0</v>
          </cell>
          <cell r="J897">
            <v>0</v>
          </cell>
          <cell r="K897">
            <v>12</v>
          </cell>
          <cell r="L897">
            <v>10</v>
          </cell>
          <cell r="M897">
            <v>0</v>
          </cell>
          <cell r="N897">
            <v>10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17</v>
          </cell>
          <cell r="T897">
            <v>10</v>
          </cell>
        </row>
        <row r="898">
          <cell r="C898" t="str">
            <v>Zillah city, Washington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</row>
      </sheetData>
      <sheetData sheetId="9">
        <row r="1">
          <cell r="C1" t="str">
            <v>GEO.display-label</v>
          </cell>
          <cell r="D1" t="str">
            <v>VD01</v>
          </cell>
          <cell r="E1" t="str">
            <v>VD02</v>
          </cell>
          <cell r="F1" t="str">
            <v>VD03</v>
          </cell>
          <cell r="G1" t="str">
            <v>VD04</v>
          </cell>
          <cell r="H1" t="str">
            <v>VD05</v>
          </cell>
          <cell r="I1" t="str">
            <v>VD06</v>
          </cell>
          <cell r="J1" t="str">
            <v>VD07</v>
          </cell>
          <cell r="K1" t="str">
            <v>VD08</v>
          </cell>
          <cell r="L1" t="str">
            <v>VD09</v>
          </cell>
          <cell r="M1" t="str">
            <v>VD10</v>
          </cell>
          <cell r="N1" t="str">
            <v>VD11</v>
          </cell>
          <cell r="O1" t="str">
            <v>VD12</v>
          </cell>
          <cell r="P1" t="str">
            <v>VD13</v>
          </cell>
          <cell r="Q1" t="str">
            <v>VD14</v>
          </cell>
          <cell r="R1" t="str">
            <v>VD15</v>
          </cell>
        </row>
        <row r="2">
          <cell r="C2" t="str">
            <v>Geography</v>
          </cell>
          <cell r="D2" t="str">
            <v>Total:</v>
          </cell>
          <cell r="E2" t="str">
            <v>Native:</v>
          </cell>
          <cell r="F2" t="str">
            <v>Native: - Born in state of residence</v>
          </cell>
          <cell r="G2" t="str">
            <v>Native: - Born in other state in the United States:</v>
          </cell>
          <cell r="H2" t="str">
            <v>Native: - Born in other state in the United States: - Northeast</v>
          </cell>
          <cell r="I2" t="str">
            <v>Native: - Born in other state in the United States: - Midwest</v>
          </cell>
          <cell r="J2" t="str">
            <v>Native: - Born in other state in the United States: - South</v>
          </cell>
          <cell r="K2" t="str">
            <v>Native: - Born in other state in the United States: - West</v>
          </cell>
          <cell r="L2" t="str">
            <v>Native: - Born outside the United States:</v>
          </cell>
          <cell r="M2" t="str">
            <v>Native: - Born outside the United States: - Puerto Rico</v>
          </cell>
          <cell r="N2" t="str">
            <v>Native: - Born outside the United States: - U.S. Island Areas</v>
          </cell>
          <cell r="O2" t="str">
            <v>Native: - Born outside the United States: - Born abroad of American parent(s)</v>
          </cell>
          <cell r="P2" t="str">
            <v>Foreign born:</v>
          </cell>
          <cell r="Q2" t="str">
            <v>Foreign born: - Naturalized citizen</v>
          </cell>
          <cell r="R2" t="str">
            <v>Foreign born: - Not a citizen</v>
          </cell>
          <cell r="S2" t="str">
            <v>Born in US</v>
          </cell>
          <cell r="T2" t="str">
            <v>Born outside US</v>
          </cell>
        </row>
        <row r="3">
          <cell r="C3" t="str">
            <v>King County, Washington</v>
          </cell>
          <cell r="D3">
            <v>44239</v>
          </cell>
          <cell r="E3">
            <v>21932</v>
          </cell>
          <cell r="F3">
            <v>10828</v>
          </cell>
          <cell r="G3">
            <v>10513</v>
          </cell>
          <cell r="H3">
            <v>807</v>
          </cell>
          <cell r="I3">
            <v>925</v>
          </cell>
          <cell r="J3">
            <v>1936</v>
          </cell>
          <cell r="K3">
            <v>6845</v>
          </cell>
          <cell r="L3">
            <v>591</v>
          </cell>
          <cell r="M3">
            <v>268</v>
          </cell>
          <cell r="N3">
            <v>0</v>
          </cell>
          <cell r="O3">
            <v>323</v>
          </cell>
          <cell r="P3">
            <v>22307</v>
          </cell>
          <cell r="Q3">
            <v>4677</v>
          </cell>
          <cell r="R3">
            <v>17630</v>
          </cell>
          <cell r="S3">
            <v>21341</v>
          </cell>
          <cell r="T3">
            <v>22898</v>
          </cell>
        </row>
        <row r="4">
          <cell r="C4" t="str">
            <v>Census Tract 1, King County, Washington</v>
          </cell>
          <cell r="D4">
            <v>299</v>
          </cell>
          <cell r="E4">
            <v>99</v>
          </cell>
          <cell r="F4">
            <v>44</v>
          </cell>
          <cell r="G4">
            <v>38</v>
          </cell>
          <cell r="H4">
            <v>0</v>
          </cell>
          <cell r="I4">
            <v>0</v>
          </cell>
          <cell r="J4">
            <v>8</v>
          </cell>
          <cell r="K4">
            <v>30</v>
          </cell>
          <cell r="L4">
            <v>17</v>
          </cell>
          <cell r="M4">
            <v>12</v>
          </cell>
          <cell r="N4">
            <v>0</v>
          </cell>
          <cell r="O4">
            <v>5</v>
          </cell>
          <cell r="P4">
            <v>200</v>
          </cell>
          <cell r="Q4">
            <v>40</v>
          </cell>
          <cell r="R4">
            <v>160</v>
          </cell>
          <cell r="S4">
            <v>82</v>
          </cell>
          <cell r="T4">
            <v>217</v>
          </cell>
        </row>
        <row r="5">
          <cell r="C5" t="str">
            <v>Census Tract 2, King County, Washington</v>
          </cell>
          <cell r="D5">
            <v>127</v>
          </cell>
          <cell r="E5">
            <v>69</v>
          </cell>
          <cell r="F5">
            <v>37</v>
          </cell>
          <cell r="G5">
            <v>32</v>
          </cell>
          <cell r="H5">
            <v>0</v>
          </cell>
          <cell r="I5">
            <v>2</v>
          </cell>
          <cell r="J5">
            <v>0</v>
          </cell>
          <cell r="K5">
            <v>30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58</v>
          </cell>
          <cell r="Q5">
            <v>16</v>
          </cell>
          <cell r="R5">
            <v>42</v>
          </cell>
          <cell r="S5">
            <v>69</v>
          </cell>
          <cell r="T5">
            <v>58</v>
          </cell>
        </row>
        <row r="6">
          <cell r="C6" t="str">
            <v>Census Tract 3, King County, Washington</v>
          </cell>
          <cell r="D6">
            <v>27</v>
          </cell>
          <cell r="E6">
            <v>27</v>
          </cell>
          <cell r="F6">
            <v>14</v>
          </cell>
          <cell r="G6">
            <v>7</v>
          </cell>
          <cell r="H6">
            <v>0</v>
          </cell>
          <cell r="I6">
            <v>0</v>
          </cell>
          <cell r="J6">
            <v>4</v>
          </cell>
          <cell r="K6">
            <v>3</v>
          </cell>
          <cell r="L6">
            <v>6</v>
          </cell>
          <cell r="M6">
            <v>0</v>
          </cell>
          <cell r="N6">
            <v>0</v>
          </cell>
          <cell r="O6">
            <v>6</v>
          </cell>
          <cell r="P6">
            <v>0</v>
          </cell>
          <cell r="Q6">
            <v>0</v>
          </cell>
          <cell r="R6">
            <v>0</v>
          </cell>
          <cell r="S6">
            <v>21</v>
          </cell>
          <cell r="T6">
            <v>6</v>
          </cell>
        </row>
        <row r="7">
          <cell r="C7" t="str">
            <v>Census Tract 4.01, King County, Washington</v>
          </cell>
          <cell r="D7">
            <v>184</v>
          </cell>
          <cell r="E7">
            <v>153</v>
          </cell>
          <cell r="F7">
            <v>98</v>
          </cell>
          <cell r="G7">
            <v>45</v>
          </cell>
          <cell r="H7">
            <v>0</v>
          </cell>
          <cell r="I7">
            <v>9</v>
          </cell>
          <cell r="J7">
            <v>12</v>
          </cell>
          <cell r="K7">
            <v>24</v>
          </cell>
          <cell r="L7">
            <v>10</v>
          </cell>
          <cell r="M7">
            <v>0</v>
          </cell>
          <cell r="N7">
            <v>0</v>
          </cell>
          <cell r="O7">
            <v>10</v>
          </cell>
          <cell r="P7">
            <v>31</v>
          </cell>
          <cell r="Q7">
            <v>18</v>
          </cell>
          <cell r="R7">
            <v>13</v>
          </cell>
          <cell r="S7">
            <v>143</v>
          </cell>
          <cell r="T7">
            <v>41</v>
          </cell>
        </row>
        <row r="8">
          <cell r="C8" t="str">
            <v>Census Tract 4.02, King County, Washington</v>
          </cell>
          <cell r="D8">
            <v>112</v>
          </cell>
          <cell r="E8">
            <v>34</v>
          </cell>
          <cell r="F8">
            <v>0</v>
          </cell>
          <cell r="G8">
            <v>24</v>
          </cell>
          <cell r="H8">
            <v>0</v>
          </cell>
          <cell r="I8">
            <v>0</v>
          </cell>
          <cell r="J8">
            <v>10</v>
          </cell>
          <cell r="K8">
            <v>14</v>
          </cell>
          <cell r="L8">
            <v>10</v>
          </cell>
          <cell r="M8">
            <v>10</v>
          </cell>
          <cell r="N8">
            <v>0</v>
          </cell>
          <cell r="O8">
            <v>0</v>
          </cell>
          <cell r="P8">
            <v>78</v>
          </cell>
          <cell r="Q8">
            <v>9</v>
          </cell>
          <cell r="R8">
            <v>69</v>
          </cell>
          <cell r="S8">
            <v>24</v>
          </cell>
          <cell r="T8">
            <v>88</v>
          </cell>
        </row>
        <row r="9">
          <cell r="C9" t="str">
            <v>Census Tract 5, King County, Washington</v>
          </cell>
          <cell r="D9">
            <v>55</v>
          </cell>
          <cell r="E9">
            <v>44</v>
          </cell>
          <cell r="F9">
            <v>29</v>
          </cell>
          <cell r="G9">
            <v>15</v>
          </cell>
          <cell r="H9">
            <v>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11</v>
          </cell>
          <cell r="Q9">
            <v>11</v>
          </cell>
          <cell r="R9">
            <v>0</v>
          </cell>
          <cell r="S9">
            <v>44</v>
          </cell>
          <cell r="T9">
            <v>11</v>
          </cell>
        </row>
        <row r="10">
          <cell r="C10" t="str">
            <v>Census Tract 6, King County, Washington</v>
          </cell>
          <cell r="D10">
            <v>108</v>
          </cell>
          <cell r="E10">
            <v>46</v>
          </cell>
          <cell r="F10">
            <v>0</v>
          </cell>
          <cell r="G10">
            <v>46</v>
          </cell>
          <cell r="H10">
            <v>0</v>
          </cell>
          <cell r="I10">
            <v>0</v>
          </cell>
          <cell r="J10">
            <v>16</v>
          </cell>
          <cell r="K10">
            <v>30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62</v>
          </cell>
          <cell r="Q10">
            <v>34</v>
          </cell>
          <cell r="R10">
            <v>28</v>
          </cell>
          <cell r="S10">
            <v>46</v>
          </cell>
          <cell r="T10">
            <v>62</v>
          </cell>
        </row>
        <row r="11">
          <cell r="C11" t="str">
            <v>Census Tract 7, King County, Washington</v>
          </cell>
          <cell r="D11">
            <v>217</v>
          </cell>
          <cell r="E11">
            <v>130</v>
          </cell>
          <cell r="F11">
            <v>35</v>
          </cell>
          <cell r="G11">
            <v>95</v>
          </cell>
          <cell r="H11">
            <v>35</v>
          </cell>
          <cell r="I11">
            <v>0</v>
          </cell>
          <cell r="J11">
            <v>6</v>
          </cell>
          <cell r="K11">
            <v>54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87</v>
          </cell>
          <cell r="Q11">
            <v>11</v>
          </cell>
          <cell r="R11">
            <v>76</v>
          </cell>
          <cell r="S11">
            <v>130</v>
          </cell>
          <cell r="T11">
            <v>87</v>
          </cell>
        </row>
        <row r="12">
          <cell r="C12" t="str">
            <v>Census Tract 8, King County, Washington</v>
          </cell>
          <cell r="D12">
            <v>52</v>
          </cell>
          <cell r="E12">
            <v>25</v>
          </cell>
          <cell r="F12">
            <v>20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5</v>
          </cell>
          <cell r="M12">
            <v>0</v>
          </cell>
          <cell r="N12">
            <v>0</v>
          </cell>
          <cell r="O12">
            <v>5</v>
          </cell>
          <cell r="P12">
            <v>27</v>
          </cell>
          <cell r="Q12">
            <v>15</v>
          </cell>
          <cell r="R12">
            <v>12</v>
          </cell>
          <cell r="S12">
            <v>20</v>
          </cell>
          <cell r="T12">
            <v>32</v>
          </cell>
        </row>
        <row r="13">
          <cell r="C13" t="str">
            <v>Census Tract 9, King County, Washington</v>
          </cell>
          <cell r="D13">
            <v>32</v>
          </cell>
          <cell r="E13">
            <v>23</v>
          </cell>
          <cell r="F13">
            <v>3</v>
          </cell>
          <cell r="G13">
            <v>20</v>
          </cell>
          <cell r="H13">
            <v>0</v>
          </cell>
          <cell r="I13">
            <v>5</v>
          </cell>
          <cell r="J13">
            <v>6</v>
          </cell>
          <cell r="K13">
            <v>9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9</v>
          </cell>
          <cell r="Q13">
            <v>0</v>
          </cell>
          <cell r="R13">
            <v>9</v>
          </cell>
          <cell r="S13">
            <v>23</v>
          </cell>
          <cell r="T13">
            <v>9</v>
          </cell>
        </row>
        <row r="14">
          <cell r="C14" t="str">
            <v>Census Tract 10, King County, Washington</v>
          </cell>
          <cell r="D14">
            <v>48</v>
          </cell>
          <cell r="E14">
            <v>29</v>
          </cell>
          <cell r="F14">
            <v>5</v>
          </cell>
          <cell r="G14">
            <v>24</v>
          </cell>
          <cell r="H14">
            <v>24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19</v>
          </cell>
          <cell r="Q14">
            <v>19</v>
          </cell>
          <cell r="R14">
            <v>0</v>
          </cell>
          <cell r="S14">
            <v>29</v>
          </cell>
          <cell r="T14">
            <v>19</v>
          </cell>
        </row>
        <row r="15">
          <cell r="C15" t="str">
            <v>Census Tract 11, King County, Washington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C16" t="str">
            <v>Census Tract 12, King County, Washington</v>
          </cell>
          <cell r="D16">
            <v>145</v>
          </cell>
          <cell r="E16">
            <v>75</v>
          </cell>
          <cell r="F16">
            <v>75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70</v>
          </cell>
          <cell r="Q16">
            <v>28</v>
          </cell>
          <cell r="R16">
            <v>42</v>
          </cell>
          <cell r="S16">
            <v>75</v>
          </cell>
          <cell r="T16">
            <v>70</v>
          </cell>
        </row>
        <row r="17">
          <cell r="C17" t="str">
            <v>Census Tract 13, King County, Washington</v>
          </cell>
          <cell r="D17">
            <v>90</v>
          </cell>
          <cell r="E17">
            <v>49</v>
          </cell>
          <cell r="F17">
            <v>36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13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41</v>
          </cell>
          <cell r="Q17">
            <v>21</v>
          </cell>
          <cell r="R17">
            <v>20</v>
          </cell>
          <cell r="S17">
            <v>49</v>
          </cell>
          <cell r="T17">
            <v>41</v>
          </cell>
        </row>
        <row r="18">
          <cell r="C18" t="str">
            <v>Census Tract 14, King County, Washington</v>
          </cell>
          <cell r="D18">
            <v>83</v>
          </cell>
          <cell r="E18">
            <v>58</v>
          </cell>
          <cell r="F18">
            <v>13</v>
          </cell>
          <cell r="G18">
            <v>45</v>
          </cell>
          <cell r="H18">
            <v>0</v>
          </cell>
          <cell r="I18">
            <v>0</v>
          </cell>
          <cell r="J18">
            <v>0</v>
          </cell>
          <cell r="K18">
            <v>45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25</v>
          </cell>
          <cell r="Q18">
            <v>0</v>
          </cell>
          <cell r="R18">
            <v>25</v>
          </cell>
          <cell r="S18">
            <v>58</v>
          </cell>
          <cell r="T18">
            <v>25</v>
          </cell>
        </row>
        <row r="19">
          <cell r="C19" t="str">
            <v>Census Tract 15, King County, Washington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 t="str">
            <v>Census Tract 16, King County, Washington</v>
          </cell>
          <cell r="D20">
            <v>19</v>
          </cell>
          <cell r="E20">
            <v>8</v>
          </cell>
          <cell r="F20">
            <v>0</v>
          </cell>
          <cell r="G20">
            <v>8</v>
          </cell>
          <cell r="H20">
            <v>0</v>
          </cell>
          <cell r="I20">
            <v>0</v>
          </cell>
          <cell r="J20">
            <v>0</v>
          </cell>
          <cell r="K20">
            <v>8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11</v>
          </cell>
          <cell r="Q20">
            <v>6</v>
          </cell>
          <cell r="R20">
            <v>5</v>
          </cell>
          <cell r="S20">
            <v>8</v>
          </cell>
          <cell r="T20">
            <v>11</v>
          </cell>
        </row>
        <row r="21">
          <cell r="C21" t="str">
            <v>Census Tract 17, King County, Washington</v>
          </cell>
          <cell r="D21">
            <v>115</v>
          </cell>
          <cell r="E21">
            <v>59</v>
          </cell>
          <cell r="F21">
            <v>36</v>
          </cell>
          <cell r="G21">
            <v>23</v>
          </cell>
          <cell r="H21">
            <v>0</v>
          </cell>
          <cell r="I21">
            <v>0</v>
          </cell>
          <cell r="J21">
            <v>13</v>
          </cell>
          <cell r="K21">
            <v>10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56</v>
          </cell>
          <cell r="Q21">
            <v>8</v>
          </cell>
          <cell r="R21">
            <v>48</v>
          </cell>
          <cell r="S21">
            <v>59</v>
          </cell>
          <cell r="T21">
            <v>56</v>
          </cell>
        </row>
        <row r="22">
          <cell r="C22" t="str">
            <v>Census Tract 18, King County, Washington</v>
          </cell>
          <cell r="D22">
            <v>170</v>
          </cell>
          <cell r="E22">
            <v>63</v>
          </cell>
          <cell r="F22">
            <v>25</v>
          </cell>
          <cell r="G22">
            <v>38</v>
          </cell>
          <cell r="H22">
            <v>6</v>
          </cell>
          <cell r="I22">
            <v>0</v>
          </cell>
          <cell r="J22">
            <v>6</v>
          </cell>
          <cell r="K22">
            <v>26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107</v>
          </cell>
          <cell r="Q22">
            <v>16</v>
          </cell>
          <cell r="R22">
            <v>91</v>
          </cell>
          <cell r="S22">
            <v>63</v>
          </cell>
          <cell r="T22">
            <v>107</v>
          </cell>
        </row>
        <row r="23">
          <cell r="C23" t="str">
            <v>Census Tract 19, King County, Washington</v>
          </cell>
          <cell r="D23">
            <v>57</v>
          </cell>
          <cell r="E23">
            <v>39</v>
          </cell>
          <cell r="F23">
            <v>34</v>
          </cell>
          <cell r="G23">
            <v>5</v>
          </cell>
          <cell r="H23">
            <v>0</v>
          </cell>
          <cell r="I23">
            <v>0</v>
          </cell>
          <cell r="J23">
            <v>0</v>
          </cell>
          <cell r="K23">
            <v>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18</v>
          </cell>
          <cell r="Q23">
            <v>0</v>
          </cell>
          <cell r="R23">
            <v>18</v>
          </cell>
          <cell r="S23">
            <v>39</v>
          </cell>
          <cell r="T23">
            <v>18</v>
          </cell>
        </row>
        <row r="24">
          <cell r="C24" t="str">
            <v>Census Tract 20, King County, Washington</v>
          </cell>
          <cell r="D24">
            <v>70</v>
          </cell>
          <cell r="E24">
            <v>51</v>
          </cell>
          <cell r="F24">
            <v>17</v>
          </cell>
          <cell r="G24">
            <v>34</v>
          </cell>
          <cell r="H24">
            <v>9</v>
          </cell>
          <cell r="I24">
            <v>5</v>
          </cell>
          <cell r="J24">
            <v>0</v>
          </cell>
          <cell r="K24">
            <v>20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19</v>
          </cell>
          <cell r="Q24">
            <v>6</v>
          </cell>
          <cell r="R24">
            <v>13</v>
          </cell>
          <cell r="S24">
            <v>51</v>
          </cell>
          <cell r="T24">
            <v>19</v>
          </cell>
        </row>
        <row r="25">
          <cell r="C25" t="str">
            <v>Census Tract 21, King County, Washington</v>
          </cell>
          <cell r="D25">
            <v>17</v>
          </cell>
          <cell r="E25">
            <v>5</v>
          </cell>
          <cell r="F25">
            <v>0</v>
          </cell>
          <cell r="G25">
            <v>5</v>
          </cell>
          <cell r="H25">
            <v>0</v>
          </cell>
          <cell r="I25">
            <v>0</v>
          </cell>
          <cell r="J25">
            <v>0</v>
          </cell>
          <cell r="K25">
            <v>5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12</v>
          </cell>
          <cell r="Q25">
            <v>12</v>
          </cell>
          <cell r="R25">
            <v>0</v>
          </cell>
          <cell r="S25">
            <v>5</v>
          </cell>
          <cell r="T25">
            <v>12</v>
          </cell>
        </row>
        <row r="26">
          <cell r="C26" t="str">
            <v>Census Tract 22, King County, Washington</v>
          </cell>
          <cell r="D26">
            <v>90</v>
          </cell>
          <cell r="E26">
            <v>45</v>
          </cell>
          <cell r="F26">
            <v>36</v>
          </cell>
          <cell r="G26">
            <v>9</v>
          </cell>
          <cell r="H26">
            <v>0</v>
          </cell>
          <cell r="I26">
            <v>0</v>
          </cell>
          <cell r="J26">
            <v>0</v>
          </cell>
          <cell r="K26">
            <v>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45</v>
          </cell>
          <cell r="Q26">
            <v>6</v>
          </cell>
          <cell r="R26">
            <v>39</v>
          </cell>
          <cell r="S26">
            <v>45</v>
          </cell>
          <cell r="T26">
            <v>45</v>
          </cell>
        </row>
        <row r="27">
          <cell r="C27" t="str">
            <v>Census Tract 24, King County, Washington</v>
          </cell>
          <cell r="D27">
            <v>12</v>
          </cell>
          <cell r="E27">
            <v>12</v>
          </cell>
          <cell r="F27">
            <v>6</v>
          </cell>
          <cell r="G27">
            <v>6</v>
          </cell>
          <cell r="H27">
            <v>6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12</v>
          </cell>
          <cell r="T27">
            <v>0</v>
          </cell>
        </row>
        <row r="28">
          <cell r="C28" t="str">
            <v>Census Tract 25, King County, Washington</v>
          </cell>
          <cell r="D28">
            <v>82</v>
          </cell>
          <cell r="E28">
            <v>47</v>
          </cell>
          <cell r="F28">
            <v>13</v>
          </cell>
          <cell r="G28">
            <v>34</v>
          </cell>
          <cell r="H28">
            <v>0</v>
          </cell>
          <cell r="I28">
            <v>7</v>
          </cell>
          <cell r="J28">
            <v>0</v>
          </cell>
          <cell r="K28">
            <v>27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35</v>
          </cell>
          <cell r="Q28">
            <v>19</v>
          </cell>
          <cell r="R28">
            <v>16</v>
          </cell>
          <cell r="S28">
            <v>47</v>
          </cell>
          <cell r="T28">
            <v>35</v>
          </cell>
        </row>
        <row r="29">
          <cell r="C29" t="str">
            <v>Census Tract 26, King County, Washington</v>
          </cell>
          <cell r="D29">
            <v>23</v>
          </cell>
          <cell r="E29">
            <v>14</v>
          </cell>
          <cell r="F29">
            <v>8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6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9</v>
          </cell>
          <cell r="Q29">
            <v>0</v>
          </cell>
          <cell r="R29">
            <v>9</v>
          </cell>
          <cell r="S29">
            <v>14</v>
          </cell>
          <cell r="T29">
            <v>9</v>
          </cell>
        </row>
        <row r="30">
          <cell r="C30" t="str">
            <v>Census Tract 27, King County, Washington</v>
          </cell>
          <cell r="D30">
            <v>56</v>
          </cell>
          <cell r="E30">
            <v>21</v>
          </cell>
          <cell r="F30">
            <v>0</v>
          </cell>
          <cell r="G30">
            <v>21</v>
          </cell>
          <cell r="H30">
            <v>0</v>
          </cell>
          <cell r="I30">
            <v>0</v>
          </cell>
          <cell r="J30">
            <v>0</v>
          </cell>
          <cell r="K30">
            <v>21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</v>
          </cell>
          <cell r="Q30">
            <v>10</v>
          </cell>
          <cell r="R30">
            <v>25</v>
          </cell>
          <cell r="S30">
            <v>21</v>
          </cell>
          <cell r="T30">
            <v>35</v>
          </cell>
        </row>
        <row r="31">
          <cell r="C31" t="str">
            <v>Census Tract 28, King County, Washington</v>
          </cell>
          <cell r="D31">
            <v>7</v>
          </cell>
          <cell r="E31">
            <v>7</v>
          </cell>
          <cell r="F31">
            <v>0</v>
          </cell>
          <cell r="G31">
            <v>7</v>
          </cell>
          <cell r="H31">
            <v>0</v>
          </cell>
          <cell r="I31">
            <v>0</v>
          </cell>
          <cell r="J31">
            <v>7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7</v>
          </cell>
          <cell r="T31">
            <v>0</v>
          </cell>
        </row>
        <row r="32">
          <cell r="C32" t="str">
            <v>Census Tract 29, King County, Washington</v>
          </cell>
          <cell r="D32">
            <v>42</v>
          </cell>
          <cell r="E32">
            <v>17</v>
          </cell>
          <cell r="F32">
            <v>12</v>
          </cell>
          <cell r="G32">
            <v>5</v>
          </cell>
          <cell r="H32">
            <v>0</v>
          </cell>
          <cell r="I32">
            <v>0</v>
          </cell>
          <cell r="J32">
            <v>0</v>
          </cell>
          <cell r="K32">
            <v>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25</v>
          </cell>
          <cell r="Q32">
            <v>25</v>
          </cell>
          <cell r="R32">
            <v>0</v>
          </cell>
          <cell r="S32">
            <v>17</v>
          </cell>
          <cell r="T32">
            <v>25</v>
          </cell>
        </row>
        <row r="33">
          <cell r="C33" t="str">
            <v>Census Tract 30, King County, Washington</v>
          </cell>
          <cell r="D33">
            <v>84</v>
          </cell>
          <cell r="E33">
            <v>84</v>
          </cell>
          <cell r="F33">
            <v>51</v>
          </cell>
          <cell r="G33">
            <v>33</v>
          </cell>
          <cell r="H33">
            <v>0</v>
          </cell>
          <cell r="I33">
            <v>0</v>
          </cell>
          <cell r="J33">
            <v>17</v>
          </cell>
          <cell r="K33">
            <v>16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84</v>
          </cell>
          <cell r="T33">
            <v>0</v>
          </cell>
        </row>
        <row r="34">
          <cell r="C34" t="str">
            <v>Census Tract 31, King County, Washington</v>
          </cell>
          <cell r="D34">
            <v>32</v>
          </cell>
          <cell r="E34">
            <v>28</v>
          </cell>
          <cell r="F34">
            <v>6</v>
          </cell>
          <cell r="G34">
            <v>22</v>
          </cell>
          <cell r="H34">
            <v>7</v>
          </cell>
          <cell r="I34">
            <v>0</v>
          </cell>
          <cell r="J34">
            <v>8</v>
          </cell>
          <cell r="K34">
            <v>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4</v>
          </cell>
          <cell r="Q34">
            <v>4</v>
          </cell>
          <cell r="R34">
            <v>0</v>
          </cell>
          <cell r="S34">
            <v>28</v>
          </cell>
          <cell r="T34">
            <v>4</v>
          </cell>
        </row>
        <row r="35">
          <cell r="C35" t="str">
            <v>Census Tract 32, King County, Washington</v>
          </cell>
          <cell r="D35">
            <v>49</v>
          </cell>
          <cell r="E35">
            <v>27</v>
          </cell>
          <cell r="F35">
            <v>14</v>
          </cell>
          <cell r="G35">
            <v>13</v>
          </cell>
          <cell r="H35">
            <v>0</v>
          </cell>
          <cell r="I35">
            <v>0</v>
          </cell>
          <cell r="J35">
            <v>0</v>
          </cell>
          <cell r="K35">
            <v>13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22</v>
          </cell>
          <cell r="Q35">
            <v>0</v>
          </cell>
          <cell r="R35">
            <v>22</v>
          </cell>
          <cell r="S35">
            <v>27</v>
          </cell>
          <cell r="T35">
            <v>22</v>
          </cell>
        </row>
        <row r="36">
          <cell r="C36" t="str">
            <v>Census Tract 33, King County, Washington</v>
          </cell>
          <cell r="D36">
            <v>104</v>
          </cell>
          <cell r="E36">
            <v>104</v>
          </cell>
          <cell r="F36">
            <v>40</v>
          </cell>
          <cell r="G36">
            <v>64</v>
          </cell>
          <cell r="H36">
            <v>0</v>
          </cell>
          <cell r="I36">
            <v>0</v>
          </cell>
          <cell r="J36">
            <v>26</v>
          </cell>
          <cell r="K36">
            <v>38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104</v>
          </cell>
          <cell r="T36">
            <v>0</v>
          </cell>
        </row>
        <row r="37">
          <cell r="C37" t="str">
            <v>Census Tract 34, King County, Washington</v>
          </cell>
          <cell r="D37">
            <v>6</v>
          </cell>
          <cell r="E37">
            <v>6</v>
          </cell>
          <cell r="F37">
            <v>0</v>
          </cell>
          <cell r="G37">
            <v>6</v>
          </cell>
          <cell r="H37">
            <v>0</v>
          </cell>
          <cell r="I37">
            <v>6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6</v>
          </cell>
          <cell r="T37">
            <v>0</v>
          </cell>
        </row>
        <row r="38">
          <cell r="C38" t="str">
            <v>Census Tract 35, King County, Washington</v>
          </cell>
          <cell r="D38">
            <v>45</v>
          </cell>
          <cell r="E38">
            <v>45</v>
          </cell>
          <cell r="F38">
            <v>38</v>
          </cell>
          <cell r="G38">
            <v>7</v>
          </cell>
          <cell r="H38">
            <v>0</v>
          </cell>
          <cell r="I38">
            <v>0</v>
          </cell>
          <cell r="J38">
            <v>0</v>
          </cell>
          <cell r="K38">
            <v>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45</v>
          </cell>
          <cell r="T38">
            <v>0</v>
          </cell>
        </row>
        <row r="39">
          <cell r="C39" t="str">
            <v>Census Tract 36, King County, Washington</v>
          </cell>
          <cell r="D39">
            <v>9</v>
          </cell>
          <cell r="E39">
            <v>9</v>
          </cell>
          <cell r="F39">
            <v>0</v>
          </cell>
          <cell r="G39">
            <v>9</v>
          </cell>
          <cell r="H39">
            <v>0</v>
          </cell>
          <cell r="I39">
            <v>9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9</v>
          </cell>
          <cell r="T39">
            <v>0</v>
          </cell>
        </row>
        <row r="40">
          <cell r="C40" t="str">
            <v>Census Tract 38, King County, Washington</v>
          </cell>
          <cell r="D40">
            <v>30</v>
          </cell>
          <cell r="E40">
            <v>16</v>
          </cell>
          <cell r="F40">
            <v>16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14</v>
          </cell>
          <cell r="Q40">
            <v>14</v>
          </cell>
          <cell r="R40">
            <v>0</v>
          </cell>
          <cell r="S40">
            <v>16</v>
          </cell>
          <cell r="T40">
            <v>14</v>
          </cell>
        </row>
        <row r="41">
          <cell r="C41" t="str">
            <v>Census Tract 39, King County, Washington</v>
          </cell>
          <cell r="D41">
            <v>44</v>
          </cell>
          <cell r="E41">
            <v>44</v>
          </cell>
          <cell r="F41">
            <v>35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9</v>
          </cell>
          <cell r="M41">
            <v>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35</v>
          </cell>
          <cell r="T41">
            <v>9</v>
          </cell>
        </row>
        <row r="42">
          <cell r="C42" t="str">
            <v>Census Tract 40, King County, Washington</v>
          </cell>
          <cell r="D42">
            <v>6</v>
          </cell>
          <cell r="E42">
            <v>6</v>
          </cell>
          <cell r="F42">
            <v>0</v>
          </cell>
          <cell r="G42">
            <v>6</v>
          </cell>
          <cell r="H42">
            <v>0</v>
          </cell>
          <cell r="I42">
            <v>6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6</v>
          </cell>
          <cell r="T42">
            <v>0</v>
          </cell>
        </row>
        <row r="43">
          <cell r="C43" t="str">
            <v>Census Tract 41, King County, Washington</v>
          </cell>
          <cell r="D43">
            <v>39</v>
          </cell>
          <cell r="E43">
            <v>11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11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28</v>
          </cell>
          <cell r="Q43">
            <v>7</v>
          </cell>
          <cell r="R43">
            <v>21</v>
          </cell>
          <cell r="S43">
            <v>11</v>
          </cell>
          <cell r="T43">
            <v>28</v>
          </cell>
        </row>
        <row r="44">
          <cell r="C44" t="str">
            <v>Census Tract 42, King County, Washington</v>
          </cell>
          <cell r="D44">
            <v>24</v>
          </cell>
          <cell r="E44">
            <v>17</v>
          </cell>
          <cell r="F44">
            <v>0</v>
          </cell>
          <cell r="G44">
            <v>17</v>
          </cell>
          <cell r="H44">
            <v>0</v>
          </cell>
          <cell r="I44">
            <v>9</v>
          </cell>
          <cell r="J44">
            <v>0</v>
          </cell>
          <cell r="K44">
            <v>8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7</v>
          </cell>
          <cell r="Q44">
            <v>0</v>
          </cell>
          <cell r="R44">
            <v>7</v>
          </cell>
          <cell r="S44">
            <v>17</v>
          </cell>
          <cell r="T44">
            <v>7</v>
          </cell>
        </row>
        <row r="45">
          <cell r="C45" t="str">
            <v>Census Tract 43, King County, Washington</v>
          </cell>
          <cell r="D45">
            <v>118</v>
          </cell>
          <cell r="E45">
            <v>97</v>
          </cell>
          <cell r="F45">
            <v>61</v>
          </cell>
          <cell r="G45">
            <v>36</v>
          </cell>
          <cell r="H45">
            <v>6</v>
          </cell>
          <cell r="I45">
            <v>0</v>
          </cell>
          <cell r="J45">
            <v>0</v>
          </cell>
          <cell r="K45">
            <v>30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21</v>
          </cell>
          <cell r="Q45">
            <v>13</v>
          </cell>
          <cell r="R45">
            <v>8</v>
          </cell>
          <cell r="S45">
            <v>97</v>
          </cell>
          <cell r="T45">
            <v>21</v>
          </cell>
        </row>
        <row r="46">
          <cell r="C46" t="str">
            <v>Census Tract 44, King County, Washington</v>
          </cell>
          <cell r="D46">
            <v>91</v>
          </cell>
          <cell r="E46">
            <v>60</v>
          </cell>
          <cell r="F46">
            <v>0</v>
          </cell>
          <cell r="G46">
            <v>60</v>
          </cell>
          <cell r="H46">
            <v>9</v>
          </cell>
          <cell r="I46">
            <v>0</v>
          </cell>
          <cell r="J46">
            <v>20</v>
          </cell>
          <cell r="K46">
            <v>31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31</v>
          </cell>
          <cell r="Q46">
            <v>31</v>
          </cell>
          <cell r="R46">
            <v>0</v>
          </cell>
          <cell r="S46">
            <v>60</v>
          </cell>
          <cell r="T46">
            <v>31</v>
          </cell>
        </row>
        <row r="47">
          <cell r="C47" t="str">
            <v>Census Tract 45, King County, Washington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C48" t="str">
            <v>Census Tract 46, King County, Washington</v>
          </cell>
          <cell r="D48">
            <v>13</v>
          </cell>
          <cell r="E48">
            <v>5</v>
          </cell>
          <cell r="F48">
            <v>0</v>
          </cell>
          <cell r="G48">
            <v>5</v>
          </cell>
          <cell r="H48">
            <v>0</v>
          </cell>
          <cell r="I48">
            <v>0</v>
          </cell>
          <cell r="J48">
            <v>0</v>
          </cell>
          <cell r="K48">
            <v>5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8</v>
          </cell>
          <cell r="Q48">
            <v>0</v>
          </cell>
          <cell r="R48">
            <v>8</v>
          </cell>
          <cell r="S48">
            <v>5</v>
          </cell>
          <cell r="T48">
            <v>8</v>
          </cell>
        </row>
        <row r="49">
          <cell r="C49" t="str">
            <v>Census Tract 47, King County, Washington</v>
          </cell>
          <cell r="D49">
            <v>226</v>
          </cell>
          <cell r="E49">
            <v>97</v>
          </cell>
          <cell r="F49">
            <v>27</v>
          </cell>
          <cell r="G49">
            <v>70</v>
          </cell>
          <cell r="H49">
            <v>0</v>
          </cell>
          <cell r="I49">
            <v>7</v>
          </cell>
          <cell r="J49">
            <v>8</v>
          </cell>
          <cell r="K49">
            <v>55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129</v>
          </cell>
          <cell r="Q49">
            <v>67</v>
          </cell>
          <cell r="R49">
            <v>62</v>
          </cell>
          <cell r="S49">
            <v>97</v>
          </cell>
          <cell r="T49">
            <v>129</v>
          </cell>
        </row>
        <row r="50">
          <cell r="C50" t="str">
            <v>Census Tract 48, King County, Washington</v>
          </cell>
          <cell r="D50">
            <v>22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22</v>
          </cell>
          <cell r="Q50">
            <v>0</v>
          </cell>
          <cell r="R50">
            <v>22</v>
          </cell>
          <cell r="S50">
            <v>0</v>
          </cell>
          <cell r="T50">
            <v>22</v>
          </cell>
        </row>
        <row r="51">
          <cell r="C51" t="str">
            <v>Census Tract 49, King County, Washington</v>
          </cell>
          <cell r="D51">
            <v>88</v>
          </cell>
          <cell r="E51">
            <v>88</v>
          </cell>
          <cell r="F51">
            <v>0</v>
          </cell>
          <cell r="G51">
            <v>81</v>
          </cell>
          <cell r="H51">
            <v>17</v>
          </cell>
          <cell r="I51">
            <v>28</v>
          </cell>
          <cell r="J51">
            <v>0</v>
          </cell>
          <cell r="K51">
            <v>36</v>
          </cell>
          <cell r="L51">
            <v>7</v>
          </cell>
          <cell r="M51">
            <v>0</v>
          </cell>
          <cell r="N51">
            <v>0</v>
          </cell>
          <cell r="O51">
            <v>7</v>
          </cell>
          <cell r="P51">
            <v>0</v>
          </cell>
          <cell r="Q51">
            <v>0</v>
          </cell>
          <cell r="R51">
            <v>0</v>
          </cell>
          <cell r="S51">
            <v>81</v>
          </cell>
          <cell r="T51">
            <v>7</v>
          </cell>
        </row>
        <row r="52">
          <cell r="C52" t="str">
            <v>Census Tract 50, King County, Washington</v>
          </cell>
          <cell r="D52">
            <v>70</v>
          </cell>
          <cell r="E52">
            <v>60</v>
          </cell>
          <cell r="F52">
            <v>28</v>
          </cell>
          <cell r="G52">
            <v>32</v>
          </cell>
          <cell r="H52">
            <v>0</v>
          </cell>
          <cell r="I52">
            <v>0</v>
          </cell>
          <cell r="J52">
            <v>18</v>
          </cell>
          <cell r="K52">
            <v>14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10</v>
          </cell>
          <cell r="Q52">
            <v>5</v>
          </cell>
          <cell r="R52">
            <v>5</v>
          </cell>
          <cell r="S52">
            <v>60</v>
          </cell>
          <cell r="T52">
            <v>10</v>
          </cell>
        </row>
        <row r="53">
          <cell r="C53" t="str">
            <v>Census Tract 51, King County, Washington</v>
          </cell>
          <cell r="D53">
            <v>18</v>
          </cell>
          <cell r="E53">
            <v>12</v>
          </cell>
          <cell r="F53">
            <v>9</v>
          </cell>
          <cell r="G53">
            <v>3</v>
          </cell>
          <cell r="H53">
            <v>0</v>
          </cell>
          <cell r="I53">
            <v>0</v>
          </cell>
          <cell r="J53">
            <v>3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6</v>
          </cell>
          <cell r="Q53">
            <v>6</v>
          </cell>
          <cell r="R53">
            <v>0</v>
          </cell>
          <cell r="S53">
            <v>12</v>
          </cell>
          <cell r="T53">
            <v>6</v>
          </cell>
        </row>
        <row r="54">
          <cell r="C54" t="str">
            <v>Census Tract 52, King County, Washington</v>
          </cell>
          <cell r="D54">
            <v>100</v>
          </cell>
          <cell r="E54">
            <v>86</v>
          </cell>
          <cell r="F54">
            <v>20</v>
          </cell>
          <cell r="G54">
            <v>56</v>
          </cell>
          <cell r="H54">
            <v>12</v>
          </cell>
          <cell r="I54">
            <v>0</v>
          </cell>
          <cell r="J54">
            <v>8</v>
          </cell>
          <cell r="K54">
            <v>36</v>
          </cell>
          <cell r="L54">
            <v>10</v>
          </cell>
          <cell r="M54">
            <v>0</v>
          </cell>
          <cell r="N54">
            <v>0</v>
          </cell>
          <cell r="O54">
            <v>10</v>
          </cell>
          <cell r="P54">
            <v>14</v>
          </cell>
          <cell r="Q54">
            <v>10</v>
          </cell>
          <cell r="R54">
            <v>4</v>
          </cell>
          <cell r="S54">
            <v>76</v>
          </cell>
          <cell r="T54">
            <v>24</v>
          </cell>
        </row>
        <row r="55">
          <cell r="C55" t="str">
            <v>Census Tract 53.01, King County, Washington</v>
          </cell>
          <cell r="D55">
            <v>138</v>
          </cell>
          <cell r="E55">
            <v>98</v>
          </cell>
          <cell r="F55">
            <v>33</v>
          </cell>
          <cell r="G55">
            <v>50</v>
          </cell>
          <cell r="H55">
            <v>8</v>
          </cell>
          <cell r="I55">
            <v>0</v>
          </cell>
          <cell r="J55">
            <v>27</v>
          </cell>
          <cell r="K55">
            <v>15</v>
          </cell>
          <cell r="L55">
            <v>15</v>
          </cell>
          <cell r="M55">
            <v>0</v>
          </cell>
          <cell r="N55">
            <v>0</v>
          </cell>
          <cell r="O55">
            <v>15</v>
          </cell>
          <cell r="P55">
            <v>40</v>
          </cell>
          <cell r="Q55">
            <v>0</v>
          </cell>
          <cell r="R55">
            <v>40</v>
          </cell>
          <cell r="S55">
            <v>83</v>
          </cell>
          <cell r="T55">
            <v>55</v>
          </cell>
        </row>
        <row r="56">
          <cell r="C56" t="str">
            <v>Census Tract 53.02, King County, Washington</v>
          </cell>
          <cell r="D56">
            <v>57</v>
          </cell>
          <cell r="E56">
            <v>57</v>
          </cell>
          <cell r="F56">
            <v>23</v>
          </cell>
          <cell r="G56">
            <v>34</v>
          </cell>
          <cell r="H56">
            <v>12</v>
          </cell>
          <cell r="I56">
            <v>9</v>
          </cell>
          <cell r="J56">
            <v>0</v>
          </cell>
          <cell r="K56">
            <v>13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57</v>
          </cell>
          <cell r="T56">
            <v>0</v>
          </cell>
        </row>
        <row r="57">
          <cell r="C57" t="str">
            <v>Census Tract 54, King County, Washington</v>
          </cell>
          <cell r="D57">
            <v>12</v>
          </cell>
          <cell r="E57">
            <v>12</v>
          </cell>
          <cell r="F57">
            <v>0</v>
          </cell>
          <cell r="G57">
            <v>12</v>
          </cell>
          <cell r="H57">
            <v>12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12</v>
          </cell>
          <cell r="T57">
            <v>0</v>
          </cell>
        </row>
        <row r="58">
          <cell r="C58" t="str">
            <v>Census Tract 56, King County, Washington</v>
          </cell>
          <cell r="D58">
            <v>42</v>
          </cell>
          <cell r="E58">
            <v>10</v>
          </cell>
          <cell r="F58">
            <v>10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32</v>
          </cell>
          <cell r="Q58">
            <v>26</v>
          </cell>
          <cell r="R58">
            <v>6</v>
          </cell>
          <cell r="S58">
            <v>10</v>
          </cell>
          <cell r="T58">
            <v>32</v>
          </cell>
        </row>
        <row r="59">
          <cell r="C59" t="str">
            <v>Census Tract 57, King County, Washington</v>
          </cell>
          <cell r="D59">
            <v>84</v>
          </cell>
          <cell r="E59">
            <v>84</v>
          </cell>
          <cell r="F59">
            <v>29</v>
          </cell>
          <cell r="G59">
            <v>55</v>
          </cell>
          <cell r="H59">
            <v>8</v>
          </cell>
          <cell r="I59">
            <v>0</v>
          </cell>
          <cell r="J59">
            <v>19</v>
          </cell>
          <cell r="K59">
            <v>28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84</v>
          </cell>
          <cell r="T59">
            <v>0</v>
          </cell>
        </row>
        <row r="60">
          <cell r="C60" t="str">
            <v>Census Tract 58.01, King County, Washington</v>
          </cell>
          <cell r="D60">
            <v>73</v>
          </cell>
          <cell r="E60">
            <v>52</v>
          </cell>
          <cell r="F60">
            <v>32</v>
          </cell>
          <cell r="G60">
            <v>10</v>
          </cell>
          <cell r="H60">
            <v>0</v>
          </cell>
          <cell r="I60">
            <v>0</v>
          </cell>
          <cell r="J60">
            <v>0</v>
          </cell>
          <cell r="K60">
            <v>10</v>
          </cell>
          <cell r="L60">
            <v>10</v>
          </cell>
          <cell r="M60">
            <v>0</v>
          </cell>
          <cell r="N60">
            <v>0</v>
          </cell>
          <cell r="O60">
            <v>10</v>
          </cell>
          <cell r="P60">
            <v>21</v>
          </cell>
          <cell r="Q60">
            <v>0</v>
          </cell>
          <cell r="R60">
            <v>21</v>
          </cell>
          <cell r="S60">
            <v>42</v>
          </cell>
          <cell r="T60">
            <v>31</v>
          </cell>
        </row>
        <row r="61">
          <cell r="C61" t="str">
            <v>Census Tract 58.02, King County, Washington</v>
          </cell>
          <cell r="D61">
            <v>46</v>
          </cell>
          <cell r="E61">
            <v>37</v>
          </cell>
          <cell r="F61">
            <v>10</v>
          </cell>
          <cell r="G61">
            <v>17</v>
          </cell>
          <cell r="H61">
            <v>0</v>
          </cell>
          <cell r="I61">
            <v>0</v>
          </cell>
          <cell r="J61">
            <v>0</v>
          </cell>
          <cell r="K61">
            <v>17</v>
          </cell>
          <cell r="L61">
            <v>10</v>
          </cell>
          <cell r="M61">
            <v>10</v>
          </cell>
          <cell r="N61">
            <v>0</v>
          </cell>
          <cell r="O61">
            <v>0</v>
          </cell>
          <cell r="P61">
            <v>9</v>
          </cell>
          <cell r="Q61">
            <v>0</v>
          </cell>
          <cell r="R61">
            <v>9</v>
          </cell>
          <cell r="S61">
            <v>27</v>
          </cell>
          <cell r="T61">
            <v>19</v>
          </cell>
        </row>
        <row r="62">
          <cell r="C62" t="str">
            <v>Census Tract 59, King County, Washington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C63" t="str">
            <v>Census Tract 60, King County, Washington</v>
          </cell>
          <cell r="D63">
            <v>67</v>
          </cell>
          <cell r="E63">
            <v>45</v>
          </cell>
          <cell r="F63">
            <v>22</v>
          </cell>
          <cell r="G63">
            <v>14</v>
          </cell>
          <cell r="H63">
            <v>14</v>
          </cell>
          <cell r="I63">
            <v>0</v>
          </cell>
          <cell r="J63">
            <v>0</v>
          </cell>
          <cell r="K63">
            <v>0</v>
          </cell>
          <cell r="L63">
            <v>9</v>
          </cell>
          <cell r="M63">
            <v>0</v>
          </cell>
          <cell r="N63">
            <v>0</v>
          </cell>
          <cell r="O63">
            <v>9</v>
          </cell>
          <cell r="P63">
            <v>22</v>
          </cell>
          <cell r="Q63">
            <v>22</v>
          </cell>
          <cell r="R63">
            <v>0</v>
          </cell>
          <cell r="S63">
            <v>36</v>
          </cell>
          <cell r="T63">
            <v>31</v>
          </cell>
        </row>
        <row r="64">
          <cell r="C64" t="str">
            <v>Census Tract 61, King County, Washington</v>
          </cell>
          <cell r="D64">
            <v>39</v>
          </cell>
          <cell r="E64">
            <v>21</v>
          </cell>
          <cell r="F64">
            <v>0</v>
          </cell>
          <cell r="G64">
            <v>21</v>
          </cell>
          <cell r="H64">
            <v>0</v>
          </cell>
          <cell r="I64">
            <v>0</v>
          </cell>
          <cell r="J64">
            <v>0</v>
          </cell>
          <cell r="K64">
            <v>21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18</v>
          </cell>
          <cell r="Q64">
            <v>10</v>
          </cell>
          <cell r="R64">
            <v>8</v>
          </cell>
          <cell r="S64">
            <v>21</v>
          </cell>
          <cell r="T64">
            <v>18</v>
          </cell>
        </row>
        <row r="65">
          <cell r="C65" t="str">
            <v>Census Tract 62, King County, Washington</v>
          </cell>
          <cell r="D65">
            <v>11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11</v>
          </cell>
          <cell r="Q65">
            <v>5</v>
          </cell>
          <cell r="R65">
            <v>6</v>
          </cell>
          <cell r="S65">
            <v>0</v>
          </cell>
          <cell r="T65">
            <v>11</v>
          </cell>
        </row>
        <row r="66">
          <cell r="C66" t="str">
            <v>Census Tract 63, King County, Washington</v>
          </cell>
          <cell r="D66">
            <v>28</v>
          </cell>
          <cell r="E66">
            <v>9</v>
          </cell>
          <cell r="F66">
            <v>0</v>
          </cell>
          <cell r="G66">
            <v>9</v>
          </cell>
          <cell r="H66">
            <v>0</v>
          </cell>
          <cell r="I66">
            <v>0</v>
          </cell>
          <cell r="J66">
            <v>9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19</v>
          </cell>
          <cell r="Q66">
            <v>12</v>
          </cell>
          <cell r="R66">
            <v>7</v>
          </cell>
          <cell r="S66">
            <v>9</v>
          </cell>
          <cell r="T66">
            <v>19</v>
          </cell>
        </row>
        <row r="67">
          <cell r="C67" t="str">
            <v>Census Tract 64, King County, Washington</v>
          </cell>
          <cell r="D67">
            <v>16</v>
          </cell>
          <cell r="E67">
            <v>9</v>
          </cell>
          <cell r="F67">
            <v>0</v>
          </cell>
          <cell r="G67">
            <v>9</v>
          </cell>
          <cell r="H67">
            <v>0</v>
          </cell>
          <cell r="I67">
            <v>0</v>
          </cell>
          <cell r="J67">
            <v>0</v>
          </cell>
          <cell r="K67">
            <v>9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</v>
          </cell>
          <cell r="Q67">
            <v>7</v>
          </cell>
          <cell r="R67">
            <v>0</v>
          </cell>
          <cell r="S67">
            <v>9</v>
          </cell>
          <cell r="T67">
            <v>7</v>
          </cell>
        </row>
        <row r="68">
          <cell r="C68" t="str">
            <v>Census Tract 65, King County, Washington</v>
          </cell>
          <cell r="D68">
            <v>60</v>
          </cell>
          <cell r="E68">
            <v>40</v>
          </cell>
          <cell r="F68">
            <v>21</v>
          </cell>
          <cell r="G68">
            <v>19</v>
          </cell>
          <cell r="H68">
            <v>0</v>
          </cell>
          <cell r="I68">
            <v>13</v>
          </cell>
          <cell r="J68">
            <v>0</v>
          </cell>
          <cell r="K68">
            <v>6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20</v>
          </cell>
          <cell r="Q68">
            <v>12</v>
          </cell>
          <cell r="R68">
            <v>8</v>
          </cell>
          <cell r="S68">
            <v>40</v>
          </cell>
          <cell r="T68">
            <v>20</v>
          </cell>
        </row>
        <row r="69">
          <cell r="C69" t="str">
            <v>Census Tract 66, King County, Washington</v>
          </cell>
          <cell r="D69">
            <v>57</v>
          </cell>
          <cell r="E69">
            <v>32</v>
          </cell>
          <cell r="F69">
            <v>5</v>
          </cell>
          <cell r="G69">
            <v>20</v>
          </cell>
          <cell r="H69">
            <v>0</v>
          </cell>
          <cell r="I69">
            <v>0</v>
          </cell>
          <cell r="J69">
            <v>14</v>
          </cell>
          <cell r="K69">
            <v>6</v>
          </cell>
          <cell r="L69">
            <v>7</v>
          </cell>
          <cell r="M69">
            <v>0</v>
          </cell>
          <cell r="N69">
            <v>0</v>
          </cell>
          <cell r="O69">
            <v>7</v>
          </cell>
          <cell r="P69">
            <v>25</v>
          </cell>
          <cell r="Q69">
            <v>8</v>
          </cell>
          <cell r="R69">
            <v>17</v>
          </cell>
          <cell r="S69">
            <v>25</v>
          </cell>
          <cell r="T69">
            <v>32</v>
          </cell>
        </row>
        <row r="70">
          <cell r="C70" t="str">
            <v>Census Tract 67, King County, Washington</v>
          </cell>
          <cell r="D70">
            <v>39</v>
          </cell>
          <cell r="E70">
            <v>29</v>
          </cell>
          <cell r="F70">
            <v>10</v>
          </cell>
          <cell r="G70">
            <v>19</v>
          </cell>
          <cell r="H70">
            <v>0</v>
          </cell>
          <cell r="I70">
            <v>0</v>
          </cell>
          <cell r="J70">
            <v>19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10</v>
          </cell>
          <cell r="Q70">
            <v>0</v>
          </cell>
          <cell r="R70">
            <v>10</v>
          </cell>
          <cell r="S70">
            <v>29</v>
          </cell>
          <cell r="T70">
            <v>10</v>
          </cell>
        </row>
        <row r="71">
          <cell r="C71" t="str">
            <v>Census Tract 68, King County, Washington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C72" t="str">
            <v>Census Tract 69, King County, Washington</v>
          </cell>
          <cell r="D72">
            <v>36</v>
          </cell>
          <cell r="E72">
            <v>22</v>
          </cell>
          <cell r="F72">
            <v>8</v>
          </cell>
          <cell r="G72">
            <v>14</v>
          </cell>
          <cell r="H72">
            <v>0</v>
          </cell>
          <cell r="I72">
            <v>0</v>
          </cell>
          <cell r="J72">
            <v>0</v>
          </cell>
          <cell r="K72">
            <v>14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14</v>
          </cell>
          <cell r="Q72">
            <v>14</v>
          </cell>
          <cell r="R72">
            <v>0</v>
          </cell>
          <cell r="S72">
            <v>22</v>
          </cell>
          <cell r="T72">
            <v>14</v>
          </cell>
        </row>
        <row r="73">
          <cell r="C73" t="str">
            <v>Census Tract 70, King County, Washington</v>
          </cell>
          <cell r="D73">
            <v>62</v>
          </cell>
          <cell r="E73">
            <v>33</v>
          </cell>
          <cell r="F73">
            <v>7</v>
          </cell>
          <cell r="G73">
            <v>18</v>
          </cell>
          <cell r="H73">
            <v>0</v>
          </cell>
          <cell r="I73">
            <v>0</v>
          </cell>
          <cell r="J73">
            <v>0</v>
          </cell>
          <cell r="K73">
            <v>18</v>
          </cell>
          <cell r="L73">
            <v>8</v>
          </cell>
          <cell r="M73">
            <v>0</v>
          </cell>
          <cell r="N73">
            <v>0</v>
          </cell>
          <cell r="O73">
            <v>8</v>
          </cell>
          <cell r="P73">
            <v>29</v>
          </cell>
          <cell r="Q73">
            <v>12</v>
          </cell>
          <cell r="R73">
            <v>17</v>
          </cell>
          <cell r="S73">
            <v>25</v>
          </cell>
          <cell r="T73">
            <v>37</v>
          </cell>
        </row>
        <row r="74">
          <cell r="C74" t="str">
            <v>Census Tract 71, King County, Washington</v>
          </cell>
          <cell r="D74">
            <v>60</v>
          </cell>
          <cell r="E74">
            <v>42</v>
          </cell>
          <cell r="F74">
            <v>7</v>
          </cell>
          <cell r="G74">
            <v>35</v>
          </cell>
          <cell r="H74">
            <v>0</v>
          </cell>
          <cell r="I74">
            <v>8</v>
          </cell>
          <cell r="J74">
            <v>8</v>
          </cell>
          <cell r="K74">
            <v>19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18</v>
          </cell>
          <cell r="Q74">
            <v>0</v>
          </cell>
          <cell r="R74">
            <v>18</v>
          </cell>
          <cell r="S74">
            <v>42</v>
          </cell>
          <cell r="T74">
            <v>18</v>
          </cell>
        </row>
        <row r="75">
          <cell r="C75" t="str">
            <v>Census Tract 72, King County, Washington</v>
          </cell>
          <cell r="D75">
            <v>59</v>
          </cell>
          <cell r="E75">
            <v>46</v>
          </cell>
          <cell r="F75">
            <v>0</v>
          </cell>
          <cell r="G75">
            <v>46</v>
          </cell>
          <cell r="H75">
            <v>0</v>
          </cell>
          <cell r="I75">
            <v>0</v>
          </cell>
          <cell r="J75">
            <v>6</v>
          </cell>
          <cell r="K75">
            <v>40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13</v>
          </cell>
          <cell r="Q75">
            <v>0</v>
          </cell>
          <cell r="R75">
            <v>13</v>
          </cell>
          <cell r="S75">
            <v>46</v>
          </cell>
          <cell r="T75">
            <v>13</v>
          </cell>
        </row>
        <row r="76">
          <cell r="C76" t="str">
            <v>Census Tract 73, King County, Washington</v>
          </cell>
          <cell r="D76">
            <v>112</v>
          </cell>
          <cell r="E76">
            <v>85</v>
          </cell>
          <cell r="F76">
            <v>17</v>
          </cell>
          <cell r="G76">
            <v>68</v>
          </cell>
          <cell r="H76">
            <v>0</v>
          </cell>
          <cell r="I76">
            <v>11</v>
          </cell>
          <cell r="J76">
            <v>11</v>
          </cell>
          <cell r="K76">
            <v>46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27</v>
          </cell>
          <cell r="Q76">
            <v>0</v>
          </cell>
          <cell r="R76">
            <v>27</v>
          </cell>
          <cell r="S76">
            <v>85</v>
          </cell>
          <cell r="T76">
            <v>27</v>
          </cell>
        </row>
        <row r="77">
          <cell r="C77" t="str">
            <v>Census Tract 74, King County, Washington</v>
          </cell>
          <cell r="D77">
            <v>230</v>
          </cell>
          <cell r="E77">
            <v>138</v>
          </cell>
          <cell r="F77">
            <v>50</v>
          </cell>
          <cell r="G77">
            <v>67</v>
          </cell>
          <cell r="H77">
            <v>15</v>
          </cell>
          <cell r="I77">
            <v>0</v>
          </cell>
          <cell r="J77">
            <v>6</v>
          </cell>
          <cell r="K77">
            <v>46</v>
          </cell>
          <cell r="L77">
            <v>21</v>
          </cell>
          <cell r="M77">
            <v>21</v>
          </cell>
          <cell r="N77">
            <v>0</v>
          </cell>
          <cell r="O77">
            <v>0</v>
          </cell>
          <cell r="P77">
            <v>92</v>
          </cell>
          <cell r="Q77">
            <v>6</v>
          </cell>
          <cell r="R77">
            <v>86</v>
          </cell>
          <cell r="S77">
            <v>117</v>
          </cell>
          <cell r="T77">
            <v>113</v>
          </cell>
        </row>
        <row r="78">
          <cell r="C78" t="str">
            <v>Census Tract 75, King County, Washington</v>
          </cell>
          <cell r="D78">
            <v>103</v>
          </cell>
          <cell r="E78">
            <v>67</v>
          </cell>
          <cell r="F78">
            <v>7</v>
          </cell>
          <cell r="G78">
            <v>28</v>
          </cell>
          <cell r="H78">
            <v>0</v>
          </cell>
          <cell r="I78">
            <v>0</v>
          </cell>
          <cell r="J78">
            <v>9</v>
          </cell>
          <cell r="K78">
            <v>19</v>
          </cell>
          <cell r="L78">
            <v>32</v>
          </cell>
          <cell r="M78">
            <v>32</v>
          </cell>
          <cell r="N78">
            <v>0</v>
          </cell>
          <cell r="O78">
            <v>0</v>
          </cell>
          <cell r="P78">
            <v>36</v>
          </cell>
          <cell r="Q78">
            <v>36</v>
          </cell>
          <cell r="R78">
            <v>0</v>
          </cell>
          <cell r="S78">
            <v>35</v>
          </cell>
          <cell r="T78">
            <v>68</v>
          </cell>
        </row>
        <row r="79">
          <cell r="C79" t="str">
            <v>Census Tract 76, King County, Washington</v>
          </cell>
          <cell r="D79">
            <v>25</v>
          </cell>
          <cell r="E79">
            <v>19</v>
          </cell>
          <cell r="F79">
            <v>7</v>
          </cell>
          <cell r="G79">
            <v>12</v>
          </cell>
          <cell r="H79">
            <v>0</v>
          </cell>
          <cell r="I79">
            <v>0</v>
          </cell>
          <cell r="J79">
            <v>8</v>
          </cell>
          <cell r="K79">
            <v>4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6</v>
          </cell>
          <cell r="Q79">
            <v>0</v>
          </cell>
          <cell r="R79">
            <v>6</v>
          </cell>
          <cell r="S79">
            <v>19</v>
          </cell>
          <cell r="T79">
            <v>6</v>
          </cell>
        </row>
        <row r="80">
          <cell r="C80" t="str">
            <v>Census Tract 77, King County, Washington</v>
          </cell>
          <cell r="D80">
            <v>56</v>
          </cell>
          <cell r="E80">
            <v>40</v>
          </cell>
          <cell r="F80">
            <v>15</v>
          </cell>
          <cell r="G80">
            <v>25</v>
          </cell>
          <cell r="H80">
            <v>0</v>
          </cell>
          <cell r="I80">
            <v>0</v>
          </cell>
          <cell r="J80">
            <v>16</v>
          </cell>
          <cell r="K80">
            <v>9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16</v>
          </cell>
          <cell r="Q80">
            <v>0</v>
          </cell>
          <cell r="R80">
            <v>16</v>
          </cell>
          <cell r="S80">
            <v>40</v>
          </cell>
          <cell r="T80">
            <v>16</v>
          </cell>
        </row>
        <row r="81">
          <cell r="C81" t="str">
            <v>Census Tract 78, King County, Washington</v>
          </cell>
          <cell r="D81">
            <v>11</v>
          </cell>
          <cell r="E81">
            <v>11</v>
          </cell>
          <cell r="F81">
            <v>11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11</v>
          </cell>
          <cell r="T81">
            <v>0</v>
          </cell>
        </row>
        <row r="82">
          <cell r="C82" t="str">
            <v>Census Tract 79, King County, Washington</v>
          </cell>
          <cell r="D82">
            <v>35</v>
          </cell>
          <cell r="E82">
            <v>13</v>
          </cell>
          <cell r="F82">
            <v>13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22</v>
          </cell>
          <cell r="Q82">
            <v>0</v>
          </cell>
          <cell r="R82">
            <v>22</v>
          </cell>
          <cell r="S82">
            <v>13</v>
          </cell>
          <cell r="T82">
            <v>22</v>
          </cell>
        </row>
        <row r="83">
          <cell r="C83" t="str">
            <v>Census Tract 80.01, King County, Washington</v>
          </cell>
          <cell r="D83">
            <v>58</v>
          </cell>
          <cell r="E83">
            <v>33</v>
          </cell>
          <cell r="F83">
            <v>22</v>
          </cell>
          <cell r="G83">
            <v>11</v>
          </cell>
          <cell r="H83">
            <v>0</v>
          </cell>
          <cell r="I83">
            <v>0</v>
          </cell>
          <cell r="J83">
            <v>0</v>
          </cell>
          <cell r="K83">
            <v>11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25</v>
          </cell>
          <cell r="Q83">
            <v>12</v>
          </cell>
          <cell r="R83">
            <v>13</v>
          </cell>
          <cell r="S83">
            <v>33</v>
          </cell>
          <cell r="T83">
            <v>25</v>
          </cell>
        </row>
        <row r="84">
          <cell r="C84" t="str">
            <v>Census Tract 80.02, King County, Washington</v>
          </cell>
          <cell r="D84">
            <v>47</v>
          </cell>
          <cell r="E84">
            <v>12</v>
          </cell>
          <cell r="F84">
            <v>0</v>
          </cell>
          <cell r="G84">
            <v>12</v>
          </cell>
          <cell r="H84">
            <v>0</v>
          </cell>
          <cell r="I84">
            <v>0</v>
          </cell>
          <cell r="J84">
            <v>0</v>
          </cell>
          <cell r="K84">
            <v>12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35</v>
          </cell>
          <cell r="Q84">
            <v>27</v>
          </cell>
          <cell r="R84">
            <v>8</v>
          </cell>
          <cell r="S84">
            <v>12</v>
          </cell>
          <cell r="T84">
            <v>35</v>
          </cell>
        </row>
        <row r="85">
          <cell r="C85" t="str">
            <v>Census Tract 81, King County, Washington</v>
          </cell>
          <cell r="D85">
            <v>88</v>
          </cell>
          <cell r="E85">
            <v>43</v>
          </cell>
          <cell r="F85">
            <v>0</v>
          </cell>
          <cell r="G85">
            <v>31</v>
          </cell>
          <cell r="H85">
            <v>0</v>
          </cell>
          <cell r="I85">
            <v>0</v>
          </cell>
          <cell r="J85">
            <v>0</v>
          </cell>
          <cell r="K85">
            <v>31</v>
          </cell>
          <cell r="L85">
            <v>12</v>
          </cell>
          <cell r="M85">
            <v>12</v>
          </cell>
          <cell r="N85">
            <v>0</v>
          </cell>
          <cell r="O85">
            <v>0</v>
          </cell>
          <cell r="P85">
            <v>45</v>
          </cell>
          <cell r="Q85">
            <v>22</v>
          </cell>
          <cell r="R85">
            <v>23</v>
          </cell>
          <cell r="S85">
            <v>31</v>
          </cell>
          <cell r="T85">
            <v>57</v>
          </cell>
        </row>
        <row r="86">
          <cell r="C86" t="str">
            <v>Census Tract 82, King County, Washington</v>
          </cell>
          <cell r="D86">
            <v>70</v>
          </cell>
          <cell r="E86">
            <v>21</v>
          </cell>
          <cell r="F86">
            <v>0</v>
          </cell>
          <cell r="G86">
            <v>21</v>
          </cell>
          <cell r="H86">
            <v>0</v>
          </cell>
          <cell r="I86">
            <v>14</v>
          </cell>
          <cell r="J86">
            <v>0</v>
          </cell>
          <cell r="K86">
            <v>7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49</v>
          </cell>
          <cell r="Q86">
            <v>8</v>
          </cell>
          <cell r="R86">
            <v>41</v>
          </cell>
          <cell r="S86">
            <v>21</v>
          </cell>
          <cell r="T86">
            <v>49</v>
          </cell>
        </row>
        <row r="87">
          <cell r="C87" t="str">
            <v>Census Tract 83, King County, Washington</v>
          </cell>
          <cell r="D87">
            <v>79</v>
          </cell>
          <cell r="E87">
            <v>54</v>
          </cell>
          <cell r="F87">
            <v>0</v>
          </cell>
          <cell r="G87">
            <v>54</v>
          </cell>
          <cell r="H87">
            <v>0</v>
          </cell>
          <cell r="I87">
            <v>11</v>
          </cell>
          <cell r="J87">
            <v>0</v>
          </cell>
          <cell r="K87">
            <v>43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25</v>
          </cell>
          <cell r="Q87">
            <v>0</v>
          </cell>
          <cell r="R87">
            <v>25</v>
          </cell>
          <cell r="S87">
            <v>54</v>
          </cell>
          <cell r="T87">
            <v>25</v>
          </cell>
        </row>
        <row r="88">
          <cell r="C88" t="str">
            <v>Census Tract 84, King County, Washington</v>
          </cell>
          <cell r="D88">
            <v>65</v>
          </cell>
          <cell r="E88">
            <v>54</v>
          </cell>
          <cell r="F88">
            <v>11</v>
          </cell>
          <cell r="G88">
            <v>43</v>
          </cell>
          <cell r="H88">
            <v>11</v>
          </cell>
          <cell r="I88">
            <v>10</v>
          </cell>
          <cell r="J88">
            <v>0</v>
          </cell>
          <cell r="K88">
            <v>22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11</v>
          </cell>
          <cell r="Q88">
            <v>11</v>
          </cell>
          <cell r="R88">
            <v>0</v>
          </cell>
          <cell r="S88">
            <v>54</v>
          </cell>
          <cell r="T88">
            <v>11</v>
          </cell>
        </row>
        <row r="89">
          <cell r="C89" t="str">
            <v>Census Tract 85, King County, Washington</v>
          </cell>
          <cell r="D89">
            <v>213</v>
          </cell>
          <cell r="E89">
            <v>89</v>
          </cell>
          <cell r="F89">
            <v>54</v>
          </cell>
          <cell r="G89">
            <v>35</v>
          </cell>
          <cell r="H89">
            <v>0</v>
          </cell>
          <cell r="I89">
            <v>11</v>
          </cell>
          <cell r="J89">
            <v>8</v>
          </cell>
          <cell r="K89">
            <v>16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124</v>
          </cell>
          <cell r="Q89">
            <v>10</v>
          </cell>
          <cell r="R89">
            <v>114</v>
          </cell>
          <cell r="S89">
            <v>89</v>
          </cell>
          <cell r="T89">
            <v>124</v>
          </cell>
        </row>
        <row r="90">
          <cell r="C90" t="str">
            <v>Census Tract 86, King County, Washington</v>
          </cell>
          <cell r="D90">
            <v>198</v>
          </cell>
          <cell r="E90">
            <v>107</v>
          </cell>
          <cell r="F90">
            <v>24</v>
          </cell>
          <cell r="G90">
            <v>77</v>
          </cell>
          <cell r="H90">
            <v>14</v>
          </cell>
          <cell r="I90">
            <v>0</v>
          </cell>
          <cell r="J90">
            <v>28</v>
          </cell>
          <cell r="K90">
            <v>35</v>
          </cell>
          <cell r="L90">
            <v>6</v>
          </cell>
          <cell r="M90">
            <v>0</v>
          </cell>
          <cell r="N90">
            <v>0</v>
          </cell>
          <cell r="O90">
            <v>6</v>
          </cell>
          <cell r="P90">
            <v>91</v>
          </cell>
          <cell r="Q90">
            <v>16</v>
          </cell>
          <cell r="R90">
            <v>75</v>
          </cell>
          <cell r="S90">
            <v>101</v>
          </cell>
          <cell r="T90">
            <v>97</v>
          </cell>
        </row>
        <row r="91">
          <cell r="C91" t="str">
            <v>Census Tract 87, King County, Washington</v>
          </cell>
          <cell r="D91">
            <v>158</v>
          </cell>
          <cell r="E91">
            <v>38</v>
          </cell>
          <cell r="F91">
            <v>33</v>
          </cell>
          <cell r="G91">
            <v>5</v>
          </cell>
          <cell r="H91">
            <v>0</v>
          </cell>
          <cell r="I91">
            <v>5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120</v>
          </cell>
          <cell r="Q91">
            <v>25</v>
          </cell>
          <cell r="R91">
            <v>95</v>
          </cell>
          <cell r="S91">
            <v>38</v>
          </cell>
          <cell r="T91">
            <v>120</v>
          </cell>
        </row>
        <row r="92">
          <cell r="C92" t="str">
            <v>Census Tract 88, King County, Washington</v>
          </cell>
          <cell r="D92">
            <v>139</v>
          </cell>
          <cell r="E92">
            <v>59</v>
          </cell>
          <cell r="F92">
            <v>50</v>
          </cell>
          <cell r="G92">
            <v>9</v>
          </cell>
          <cell r="H92">
            <v>0</v>
          </cell>
          <cell r="I92">
            <v>0</v>
          </cell>
          <cell r="J92">
            <v>7</v>
          </cell>
          <cell r="K92">
            <v>2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80</v>
          </cell>
          <cell r="Q92">
            <v>58</v>
          </cell>
          <cell r="R92">
            <v>22</v>
          </cell>
          <cell r="S92">
            <v>59</v>
          </cell>
          <cell r="T92">
            <v>80</v>
          </cell>
        </row>
        <row r="93">
          <cell r="C93" t="str">
            <v>Census Tract 89, King County, Washington</v>
          </cell>
          <cell r="D93">
            <v>157</v>
          </cell>
          <cell r="E93">
            <v>69</v>
          </cell>
          <cell r="F93">
            <v>27</v>
          </cell>
          <cell r="G93">
            <v>42</v>
          </cell>
          <cell r="H93">
            <v>6</v>
          </cell>
          <cell r="I93">
            <v>0</v>
          </cell>
          <cell r="J93">
            <v>17</v>
          </cell>
          <cell r="K93">
            <v>19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88</v>
          </cell>
          <cell r="Q93">
            <v>19</v>
          </cell>
          <cell r="R93">
            <v>69</v>
          </cell>
          <cell r="S93">
            <v>69</v>
          </cell>
          <cell r="T93">
            <v>88</v>
          </cell>
        </row>
        <row r="94">
          <cell r="C94" t="str">
            <v>Census Tract 90, King County, Washington</v>
          </cell>
          <cell r="D94">
            <v>94</v>
          </cell>
          <cell r="E94">
            <v>32</v>
          </cell>
          <cell r="F94">
            <v>32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62</v>
          </cell>
          <cell r="Q94">
            <v>10</v>
          </cell>
          <cell r="R94">
            <v>52</v>
          </cell>
          <cell r="S94">
            <v>32</v>
          </cell>
          <cell r="T94">
            <v>62</v>
          </cell>
        </row>
        <row r="95">
          <cell r="C95" t="str">
            <v>Census Tract 91, King County, Washington</v>
          </cell>
          <cell r="D95">
            <v>24</v>
          </cell>
          <cell r="E95">
            <v>6</v>
          </cell>
          <cell r="F95">
            <v>0</v>
          </cell>
          <cell r="G95">
            <v>6</v>
          </cell>
          <cell r="H95">
            <v>0</v>
          </cell>
          <cell r="I95">
            <v>0</v>
          </cell>
          <cell r="J95">
            <v>6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18</v>
          </cell>
          <cell r="Q95">
            <v>0</v>
          </cell>
          <cell r="R95">
            <v>18</v>
          </cell>
          <cell r="S95">
            <v>6</v>
          </cell>
          <cell r="T95">
            <v>18</v>
          </cell>
        </row>
        <row r="96">
          <cell r="C96" t="str">
            <v>Census Tract 92, King County, Washington</v>
          </cell>
          <cell r="D96">
            <v>36</v>
          </cell>
          <cell r="E96">
            <v>11</v>
          </cell>
          <cell r="F96">
            <v>6</v>
          </cell>
          <cell r="G96">
            <v>5</v>
          </cell>
          <cell r="H96">
            <v>0</v>
          </cell>
          <cell r="I96">
            <v>0</v>
          </cell>
          <cell r="J96">
            <v>5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25</v>
          </cell>
          <cell r="Q96">
            <v>0</v>
          </cell>
          <cell r="R96">
            <v>25</v>
          </cell>
          <cell r="S96">
            <v>11</v>
          </cell>
          <cell r="T96">
            <v>25</v>
          </cell>
        </row>
        <row r="97">
          <cell r="C97" t="str">
            <v>Census Tract 93, King County, Washington</v>
          </cell>
          <cell r="D97">
            <v>142</v>
          </cell>
          <cell r="E97">
            <v>115</v>
          </cell>
          <cell r="F97">
            <v>22</v>
          </cell>
          <cell r="G97">
            <v>93</v>
          </cell>
          <cell r="H97">
            <v>0</v>
          </cell>
          <cell r="I97">
            <v>72</v>
          </cell>
          <cell r="J97">
            <v>10</v>
          </cell>
          <cell r="K97">
            <v>11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27</v>
          </cell>
          <cell r="Q97">
            <v>5</v>
          </cell>
          <cell r="R97">
            <v>22</v>
          </cell>
          <cell r="S97">
            <v>115</v>
          </cell>
          <cell r="T97">
            <v>27</v>
          </cell>
        </row>
        <row r="98">
          <cell r="C98" t="str">
            <v>Census Tract 94, King County, Washington</v>
          </cell>
          <cell r="D98">
            <v>379</v>
          </cell>
          <cell r="E98">
            <v>216</v>
          </cell>
          <cell r="F98">
            <v>184</v>
          </cell>
          <cell r="G98">
            <v>32</v>
          </cell>
          <cell r="H98">
            <v>0</v>
          </cell>
          <cell r="I98">
            <v>0</v>
          </cell>
          <cell r="J98">
            <v>0</v>
          </cell>
          <cell r="K98">
            <v>32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163</v>
          </cell>
          <cell r="Q98">
            <v>63</v>
          </cell>
          <cell r="R98">
            <v>100</v>
          </cell>
          <cell r="S98">
            <v>216</v>
          </cell>
          <cell r="T98">
            <v>163</v>
          </cell>
        </row>
        <row r="99">
          <cell r="C99" t="str">
            <v>Census Tract 95, King County, Washington</v>
          </cell>
          <cell r="D99">
            <v>25</v>
          </cell>
          <cell r="E99">
            <v>25</v>
          </cell>
          <cell r="F99">
            <v>18</v>
          </cell>
          <cell r="G99">
            <v>7</v>
          </cell>
          <cell r="H99">
            <v>0</v>
          </cell>
          <cell r="I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25</v>
          </cell>
          <cell r="T99">
            <v>0</v>
          </cell>
        </row>
        <row r="100">
          <cell r="C100" t="str">
            <v>Census Tract 96, King County, Washington</v>
          </cell>
          <cell r="D100">
            <v>30</v>
          </cell>
          <cell r="E100">
            <v>21</v>
          </cell>
          <cell r="F100">
            <v>0</v>
          </cell>
          <cell r="G100">
            <v>21</v>
          </cell>
          <cell r="H100">
            <v>0</v>
          </cell>
          <cell r="I100">
            <v>0</v>
          </cell>
          <cell r="J100">
            <v>0</v>
          </cell>
          <cell r="K100">
            <v>21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9</v>
          </cell>
          <cell r="Q100">
            <v>9</v>
          </cell>
          <cell r="R100">
            <v>0</v>
          </cell>
          <cell r="S100">
            <v>21</v>
          </cell>
          <cell r="T100">
            <v>9</v>
          </cell>
        </row>
        <row r="101">
          <cell r="C101" t="str">
            <v>Census Tract 97.01, King County, Washington</v>
          </cell>
          <cell r="D101">
            <v>76</v>
          </cell>
          <cell r="E101">
            <v>39</v>
          </cell>
          <cell r="F101">
            <v>20</v>
          </cell>
          <cell r="G101">
            <v>19</v>
          </cell>
          <cell r="H101">
            <v>0</v>
          </cell>
          <cell r="I101">
            <v>8</v>
          </cell>
          <cell r="J101">
            <v>0</v>
          </cell>
          <cell r="K101">
            <v>11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37</v>
          </cell>
          <cell r="Q101">
            <v>0</v>
          </cell>
          <cell r="R101">
            <v>37</v>
          </cell>
          <cell r="S101">
            <v>39</v>
          </cell>
          <cell r="T101">
            <v>37</v>
          </cell>
        </row>
        <row r="102">
          <cell r="C102" t="str">
            <v>Census Tract 97.02, King County, Washington</v>
          </cell>
          <cell r="D102">
            <v>10</v>
          </cell>
          <cell r="E102">
            <v>10</v>
          </cell>
          <cell r="F102">
            <v>0</v>
          </cell>
          <cell r="G102">
            <v>10</v>
          </cell>
          <cell r="H102">
            <v>0</v>
          </cell>
          <cell r="I102">
            <v>0</v>
          </cell>
          <cell r="J102">
            <v>0</v>
          </cell>
          <cell r="K102">
            <v>10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10</v>
          </cell>
          <cell r="T102">
            <v>0</v>
          </cell>
        </row>
        <row r="103">
          <cell r="C103" t="str">
            <v>Census Tract 98, King County, Washington</v>
          </cell>
          <cell r="D103">
            <v>84</v>
          </cell>
          <cell r="E103">
            <v>65</v>
          </cell>
          <cell r="F103">
            <v>24</v>
          </cell>
          <cell r="G103">
            <v>41</v>
          </cell>
          <cell r="H103">
            <v>0</v>
          </cell>
          <cell r="I103">
            <v>9</v>
          </cell>
          <cell r="J103">
            <v>0</v>
          </cell>
          <cell r="K103">
            <v>32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19</v>
          </cell>
          <cell r="Q103">
            <v>8</v>
          </cell>
          <cell r="R103">
            <v>11</v>
          </cell>
          <cell r="S103">
            <v>65</v>
          </cell>
          <cell r="T103">
            <v>19</v>
          </cell>
        </row>
        <row r="104">
          <cell r="C104" t="str">
            <v>Census Tract 99, King County, Washington</v>
          </cell>
          <cell r="D104">
            <v>195</v>
          </cell>
          <cell r="E104">
            <v>55</v>
          </cell>
          <cell r="F104">
            <v>29</v>
          </cell>
          <cell r="G104">
            <v>26</v>
          </cell>
          <cell r="H104">
            <v>7</v>
          </cell>
          <cell r="I104">
            <v>0</v>
          </cell>
          <cell r="J104">
            <v>0</v>
          </cell>
          <cell r="K104">
            <v>19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140</v>
          </cell>
          <cell r="Q104">
            <v>5</v>
          </cell>
          <cell r="R104">
            <v>135</v>
          </cell>
          <cell r="S104">
            <v>55</v>
          </cell>
          <cell r="T104">
            <v>140</v>
          </cell>
        </row>
        <row r="105">
          <cell r="C105" t="str">
            <v>Census Tract 100, King County, Washington</v>
          </cell>
          <cell r="D105">
            <v>303</v>
          </cell>
          <cell r="E105">
            <v>159</v>
          </cell>
          <cell r="F105">
            <v>77</v>
          </cell>
          <cell r="G105">
            <v>72</v>
          </cell>
          <cell r="H105">
            <v>5</v>
          </cell>
          <cell r="I105">
            <v>0</v>
          </cell>
          <cell r="J105">
            <v>0</v>
          </cell>
          <cell r="K105">
            <v>67</v>
          </cell>
          <cell r="L105">
            <v>10</v>
          </cell>
          <cell r="M105">
            <v>10</v>
          </cell>
          <cell r="N105">
            <v>0</v>
          </cell>
          <cell r="O105">
            <v>0</v>
          </cell>
          <cell r="P105">
            <v>144</v>
          </cell>
          <cell r="Q105">
            <v>22</v>
          </cell>
          <cell r="R105">
            <v>122</v>
          </cell>
          <cell r="S105">
            <v>149</v>
          </cell>
          <cell r="T105">
            <v>154</v>
          </cell>
        </row>
        <row r="106">
          <cell r="C106" t="str">
            <v>Census Tract 101, King County, Washington</v>
          </cell>
          <cell r="D106">
            <v>233</v>
          </cell>
          <cell r="E106">
            <v>123</v>
          </cell>
          <cell r="F106">
            <v>65</v>
          </cell>
          <cell r="G106">
            <v>58</v>
          </cell>
          <cell r="H106">
            <v>20</v>
          </cell>
          <cell r="I106">
            <v>12</v>
          </cell>
          <cell r="J106">
            <v>18</v>
          </cell>
          <cell r="K106">
            <v>8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110</v>
          </cell>
          <cell r="Q106">
            <v>0</v>
          </cell>
          <cell r="R106">
            <v>110</v>
          </cell>
          <cell r="S106">
            <v>123</v>
          </cell>
          <cell r="T106">
            <v>110</v>
          </cell>
        </row>
        <row r="107">
          <cell r="C107" t="str">
            <v>Census Tract 102, King County, Washington</v>
          </cell>
          <cell r="D107">
            <v>21</v>
          </cell>
          <cell r="E107">
            <v>21</v>
          </cell>
          <cell r="F107">
            <v>0</v>
          </cell>
          <cell r="G107">
            <v>21</v>
          </cell>
          <cell r="H107">
            <v>0</v>
          </cell>
          <cell r="I107">
            <v>0</v>
          </cell>
          <cell r="J107">
            <v>13</v>
          </cell>
          <cell r="K107">
            <v>8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21</v>
          </cell>
          <cell r="T107">
            <v>0</v>
          </cell>
        </row>
        <row r="108">
          <cell r="C108" t="str">
            <v>Census Tract 103, King County, Washington</v>
          </cell>
          <cell r="D108">
            <v>323</v>
          </cell>
          <cell r="E108">
            <v>65</v>
          </cell>
          <cell r="F108">
            <v>57</v>
          </cell>
          <cell r="G108">
            <v>8</v>
          </cell>
          <cell r="H108">
            <v>0</v>
          </cell>
          <cell r="I108">
            <v>0</v>
          </cell>
          <cell r="J108">
            <v>0</v>
          </cell>
          <cell r="K108">
            <v>8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258</v>
          </cell>
          <cell r="Q108">
            <v>41</v>
          </cell>
          <cell r="R108">
            <v>217</v>
          </cell>
          <cell r="S108">
            <v>65</v>
          </cell>
          <cell r="T108">
            <v>258</v>
          </cell>
        </row>
        <row r="109">
          <cell r="C109" t="str">
            <v>Census Tract 104, King County, Washington</v>
          </cell>
          <cell r="D109">
            <v>229</v>
          </cell>
          <cell r="E109">
            <v>137</v>
          </cell>
          <cell r="F109">
            <v>39</v>
          </cell>
          <cell r="G109">
            <v>98</v>
          </cell>
          <cell r="H109">
            <v>0</v>
          </cell>
          <cell r="I109">
            <v>0</v>
          </cell>
          <cell r="J109">
            <v>60</v>
          </cell>
          <cell r="K109">
            <v>38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92</v>
          </cell>
          <cell r="Q109">
            <v>23</v>
          </cell>
          <cell r="R109">
            <v>69</v>
          </cell>
          <cell r="S109">
            <v>137</v>
          </cell>
          <cell r="T109">
            <v>92</v>
          </cell>
        </row>
        <row r="110">
          <cell r="C110" t="str">
            <v>Census Tract 105, King County, Washington</v>
          </cell>
          <cell r="D110">
            <v>177</v>
          </cell>
          <cell r="E110">
            <v>106</v>
          </cell>
          <cell r="F110">
            <v>52</v>
          </cell>
          <cell r="G110">
            <v>46</v>
          </cell>
          <cell r="H110">
            <v>9</v>
          </cell>
          <cell r="I110">
            <v>0</v>
          </cell>
          <cell r="J110">
            <v>21</v>
          </cell>
          <cell r="K110">
            <v>16</v>
          </cell>
          <cell r="L110">
            <v>8</v>
          </cell>
          <cell r="M110">
            <v>0</v>
          </cell>
          <cell r="N110">
            <v>0</v>
          </cell>
          <cell r="O110">
            <v>8</v>
          </cell>
          <cell r="P110">
            <v>71</v>
          </cell>
          <cell r="Q110">
            <v>10</v>
          </cell>
          <cell r="R110">
            <v>61</v>
          </cell>
          <cell r="S110">
            <v>98</v>
          </cell>
          <cell r="T110">
            <v>79</v>
          </cell>
        </row>
        <row r="111">
          <cell r="C111" t="str">
            <v>Census Tract 106, King County, Washington</v>
          </cell>
          <cell r="D111">
            <v>85</v>
          </cell>
          <cell r="E111">
            <v>63</v>
          </cell>
          <cell r="F111">
            <v>26</v>
          </cell>
          <cell r="G111">
            <v>26</v>
          </cell>
          <cell r="H111">
            <v>0</v>
          </cell>
          <cell r="I111">
            <v>0</v>
          </cell>
          <cell r="J111">
            <v>0</v>
          </cell>
          <cell r="K111">
            <v>26</v>
          </cell>
          <cell r="L111">
            <v>11</v>
          </cell>
          <cell r="M111">
            <v>11</v>
          </cell>
          <cell r="N111">
            <v>0</v>
          </cell>
          <cell r="O111">
            <v>0</v>
          </cell>
          <cell r="P111">
            <v>22</v>
          </cell>
          <cell r="Q111">
            <v>0</v>
          </cell>
          <cell r="R111">
            <v>22</v>
          </cell>
          <cell r="S111">
            <v>52</v>
          </cell>
          <cell r="T111">
            <v>33</v>
          </cell>
        </row>
        <row r="112">
          <cell r="C112" t="str">
            <v>Census Tract 107, King County, Washington</v>
          </cell>
          <cell r="D112">
            <v>351</v>
          </cell>
          <cell r="E112">
            <v>261</v>
          </cell>
          <cell r="F112">
            <v>173</v>
          </cell>
          <cell r="G112">
            <v>88</v>
          </cell>
          <cell r="H112">
            <v>0</v>
          </cell>
          <cell r="I112">
            <v>7</v>
          </cell>
          <cell r="J112">
            <v>48</v>
          </cell>
          <cell r="K112">
            <v>33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90</v>
          </cell>
          <cell r="Q112">
            <v>26</v>
          </cell>
          <cell r="R112">
            <v>64</v>
          </cell>
          <cell r="S112">
            <v>261</v>
          </cell>
          <cell r="T112">
            <v>90</v>
          </cell>
        </row>
        <row r="113">
          <cell r="C113" t="str">
            <v>Census Tract 108, King County, Washington</v>
          </cell>
          <cell r="D113">
            <v>266</v>
          </cell>
          <cell r="E113">
            <v>145</v>
          </cell>
          <cell r="F113">
            <v>77</v>
          </cell>
          <cell r="G113">
            <v>68</v>
          </cell>
          <cell r="H113">
            <v>0</v>
          </cell>
          <cell r="I113">
            <v>0</v>
          </cell>
          <cell r="J113">
            <v>21</v>
          </cell>
          <cell r="K113">
            <v>47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121</v>
          </cell>
          <cell r="Q113">
            <v>10</v>
          </cell>
          <cell r="R113">
            <v>111</v>
          </cell>
          <cell r="S113">
            <v>145</v>
          </cell>
          <cell r="T113">
            <v>121</v>
          </cell>
        </row>
        <row r="114">
          <cell r="C114" t="str">
            <v>Census Tract 109, King County, Washington</v>
          </cell>
          <cell r="D114">
            <v>57</v>
          </cell>
          <cell r="E114">
            <v>27</v>
          </cell>
          <cell r="F114">
            <v>11</v>
          </cell>
          <cell r="G114">
            <v>16</v>
          </cell>
          <cell r="H114">
            <v>0</v>
          </cell>
          <cell r="I114">
            <v>0</v>
          </cell>
          <cell r="J114">
            <v>0</v>
          </cell>
          <cell r="K114">
            <v>16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30</v>
          </cell>
          <cell r="Q114">
            <v>11</v>
          </cell>
          <cell r="R114">
            <v>19</v>
          </cell>
          <cell r="S114">
            <v>27</v>
          </cell>
          <cell r="T114">
            <v>30</v>
          </cell>
        </row>
        <row r="115">
          <cell r="C115" t="str">
            <v>Census Tract 110, King County, Washington</v>
          </cell>
          <cell r="D115">
            <v>200</v>
          </cell>
          <cell r="E115">
            <v>65</v>
          </cell>
          <cell r="F115">
            <v>48</v>
          </cell>
          <cell r="G115">
            <v>17</v>
          </cell>
          <cell r="H115">
            <v>0</v>
          </cell>
          <cell r="I115">
            <v>0</v>
          </cell>
          <cell r="J115">
            <v>17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135</v>
          </cell>
          <cell r="Q115">
            <v>41</v>
          </cell>
          <cell r="R115">
            <v>94</v>
          </cell>
          <cell r="S115">
            <v>65</v>
          </cell>
          <cell r="T115">
            <v>135</v>
          </cell>
        </row>
        <row r="116">
          <cell r="C116" t="str">
            <v>Census Tract 111.01, King County, Washington</v>
          </cell>
          <cell r="D116">
            <v>132</v>
          </cell>
          <cell r="E116">
            <v>37</v>
          </cell>
          <cell r="F116">
            <v>22</v>
          </cell>
          <cell r="G116">
            <v>15</v>
          </cell>
          <cell r="H116">
            <v>0</v>
          </cell>
          <cell r="I116">
            <v>0</v>
          </cell>
          <cell r="J116">
            <v>8</v>
          </cell>
          <cell r="K116">
            <v>7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95</v>
          </cell>
          <cell r="Q116">
            <v>39</v>
          </cell>
          <cell r="R116">
            <v>56</v>
          </cell>
          <cell r="S116">
            <v>37</v>
          </cell>
          <cell r="T116">
            <v>95</v>
          </cell>
        </row>
        <row r="117">
          <cell r="C117" t="str">
            <v>Census Tract 111.02, King County, Washington</v>
          </cell>
          <cell r="D117">
            <v>291</v>
          </cell>
          <cell r="E117">
            <v>87</v>
          </cell>
          <cell r="F117">
            <v>65</v>
          </cell>
          <cell r="G117">
            <v>22</v>
          </cell>
          <cell r="H117">
            <v>0</v>
          </cell>
          <cell r="I117">
            <v>0</v>
          </cell>
          <cell r="J117">
            <v>0</v>
          </cell>
          <cell r="K117">
            <v>22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204</v>
          </cell>
          <cell r="Q117">
            <v>53</v>
          </cell>
          <cell r="R117">
            <v>151</v>
          </cell>
          <cell r="S117">
            <v>87</v>
          </cell>
          <cell r="T117">
            <v>204</v>
          </cell>
        </row>
        <row r="118">
          <cell r="C118" t="str">
            <v>Census Tract 112, King County, Washington</v>
          </cell>
          <cell r="D118">
            <v>874</v>
          </cell>
          <cell r="E118">
            <v>391</v>
          </cell>
          <cell r="F118">
            <v>187</v>
          </cell>
          <cell r="G118">
            <v>201</v>
          </cell>
          <cell r="H118">
            <v>0</v>
          </cell>
          <cell r="I118">
            <v>19</v>
          </cell>
          <cell r="J118">
            <v>40</v>
          </cell>
          <cell r="K118">
            <v>142</v>
          </cell>
          <cell r="L118">
            <v>3</v>
          </cell>
          <cell r="M118">
            <v>0</v>
          </cell>
          <cell r="N118">
            <v>0</v>
          </cell>
          <cell r="O118">
            <v>3</v>
          </cell>
          <cell r="P118">
            <v>483</v>
          </cell>
          <cell r="Q118">
            <v>96</v>
          </cell>
          <cell r="R118">
            <v>387</v>
          </cell>
          <cell r="S118">
            <v>388</v>
          </cell>
          <cell r="T118">
            <v>486</v>
          </cell>
        </row>
        <row r="119">
          <cell r="C119" t="str">
            <v>Census Tract 113, King County, Washington</v>
          </cell>
          <cell r="D119">
            <v>312</v>
          </cell>
          <cell r="E119">
            <v>99</v>
          </cell>
          <cell r="F119">
            <v>75</v>
          </cell>
          <cell r="G119">
            <v>24</v>
          </cell>
          <cell r="H119">
            <v>0</v>
          </cell>
          <cell r="I119">
            <v>0</v>
          </cell>
          <cell r="J119">
            <v>0</v>
          </cell>
          <cell r="K119">
            <v>24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213</v>
          </cell>
          <cell r="Q119">
            <v>15</v>
          </cell>
          <cell r="R119">
            <v>198</v>
          </cell>
          <cell r="S119">
            <v>99</v>
          </cell>
          <cell r="T119">
            <v>213</v>
          </cell>
        </row>
        <row r="120">
          <cell r="C120" t="str">
            <v>Census Tract 114, King County, Washington</v>
          </cell>
          <cell r="D120">
            <v>903</v>
          </cell>
          <cell r="E120">
            <v>475</v>
          </cell>
          <cell r="F120">
            <v>226</v>
          </cell>
          <cell r="G120">
            <v>244</v>
          </cell>
          <cell r="H120">
            <v>0</v>
          </cell>
          <cell r="I120">
            <v>0</v>
          </cell>
          <cell r="J120">
            <v>132</v>
          </cell>
          <cell r="K120">
            <v>112</v>
          </cell>
          <cell r="L120">
            <v>5</v>
          </cell>
          <cell r="M120">
            <v>0</v>
          </cell>
          <cell r="N120">
            <v>0</v>
          </cell>
          <cell r="O120">
            <v>5</v>
          </cell>
          <cell r="P120">
            <v>428</v>
          </cell>
          <cell r="Q120">
            <v>65</v>
          </cell>
          <cell r="R120">
            <v>363</v>
          </cell>
          <cell r="S120">
            <v>470</v>
          </cell>
          <cell r="T120">
            <v>433</v>
          </cell>
        </row>
        <row r="121">
          <cell r="C121" t="str">
            <v>Census Tract 115, King County, Washington</v>
          </cell>
          <cell r="D121">
            <v>89</v>
          </cell>
          <cell r="E121">
            <v>60</v>
          </cell>
          <cell r="F121">
            <v>43</v>
          </cell>
          <cell r="G121">
            <v>17</v>
          </cell>
          <cell r="H121">
            <v>0</v>
          </cell>
          <cell r="I121">
            <v>0</v>
          </cell>
          <cell r="J121">
            <v>0</v>
          </cell>
          <cell r="K121">
            <v>17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29</v>
          </cell>
          <cell r="Q121">
            <v>0</v>
          </cell>
          <cell r="R121">
            <v>29</v>
          </cell>
          <cell r="S121">
            <v>60</v>
          </cell>
          <cell r="T121">
            <v>29</v>
          </cell>
        </row>
        <row r="122">
          <cell r="C122" t="str">
            <v>Census Tract 116, King County, Washington</v>
          </cell>
          <cell r="D122">
            <v>35</v>
          </cell>
          <cell r="E122">
            <v>18</v>
          </cell>
          <cell r="F122">
            <v>8</v>
          </cell>
          <cell r="G122">
            <v>10</v>
          </cell>
          <cell r="H122">
            <v>0</v>
          </cell>
          <cell r="I122">
            <v>0</v>
          </cell>
          <cell r="J122">
            <v>10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17</v>
          </cell>
          <cell r="Q122">
            <v>7</v>
          </cell>
          <cell r="R122">
            <v>10</v>
          </cell>
          <cell r="S122">
            <v>18</v>
          </cell>
          <cell r="T122">
            <v>17</v>
          </cell>
        </row>
        <row r="123">
          <cell r="C123" t="str">
            <v>Census Tract 117, King County, Washington</v>
          </cell>
          <cell r="D123">
            <v>183</v>
          </cell>
          <cell r="E123">
            <v>74</v>
          </cell>
          <cell r="F123">
            <v>34</v>
          </cell>
          <cell r="G123">
            <v>40</v>
          </cell>
          <cell r="H123">
            <v>0</v>
          </cell>
          <cell r="I123">
            <v>0</v>
          </cell>
          <cell r="J123">
            <v>14</v>
          </cell>
          <cell r="K123">
            <v>26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109</v>
          </cell>
          <cell r="Q123">
            <v>3</v>
          </cell>
          <cell r="R123">
            <v>106</v>
          </cell>
          <cell r="S123">
            <v>74</v>
          </cell>
          <cell r="T123">
            <v>109</v>
          </cell>
        </row>
        <row r="124">
          <cell r="C124" t="str">
            <v>Census Tract 118, King County, Washington</v>
          </cell>
          <cell r="D124">
            <v>305</v>
          </cell>
          <cell r="E124">
            <v>97</v>
          </cell>
          <cell r="F124">
            <v>30</v>
          </cell>
          <cell r="G124">
            <v>67</v>
          </cell>
          <cell r="H124">
            <v>0</v>
          </cell>
          <cell r="I124">
            <v>0</v>
          </cell>
          <cell r="J124">
            <v>0</v>
          </cell>
          <cell r="K124">
            <v>67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208</v>
          </cell>
          <cell r="Q124">
            <v>42</v>
          </cell>
          <cell r="R124">
            <v>166</v>
          </cell>
          <cell r="S124">
            <v>97</v>
          </cell>
          <cell r="T124">
            <v>208</v>
          </cell>
        </row>
        <row r="125">
          <cell r="C125" t="str">
            <v>Census Tract 119, King County, Washington</v>
          </cell>
          <cell r="D125">
            <v>48</v>
          </cell>
          <cell r="E125">
            <v>48</v>
          </cell>
          <cell r="F125">
            <v>0</v>
          </cell>
          <cell r="G125">
            <v>48</v>
          </cell>
          <cell r="H125">
            <v>4</v>
          </cell>
          <cell r="I125">
            <v>8</v>
          </cell>
          <cell r="J125">
            <v>16</v>
          </cell>
          <cell r="K125">
            <v>20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48</v>
          </cell>
          <cell r="T125">
            <v>0</v>
          </cell>
        </row>
        <row r="126">
          <cell r="C126" t="str">
            <v>Census Tract 120, King County, Washington</v>
          </cell>
          <cell r="D126">
            <v>73</v>
          </cell>
          <cell r="E126">
            <v>38</v>
          </cell>
          <cell r="F126">
            <v>21</v>
          </cell>
          <cell r="G126">
            <v>17</v>
          </cell>
          <cell r="H126">
            <v>0</v>
          </cell>
          <cell r="I126">
            <v>0</v>
          </cell>
          <cell r="J126">
            <v>5</v>
          </cell>
          <cell r="K126">
            <v>12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35</v>
          </cell>
          <cell r="Q126">
            <v>8</v>
          </cell>
          <cell r="R126">
            <v>27</v>
          </cell>
          <cell r="S126">
            <v>38</v>
          </cell>
          <cell r="T126">
            <v>35</v>
          </cell>
        </row>
        <row r="127">
          <cell r="C127" t="str">
            <v>Census Tract 121, King County, Washington</v>
          </cell>
          <cell r="D127">
            <v>24</v>
          </cell>
          <cell r="E127">
            <v>17</v>
          </cell>
          <cell r="F127">
            <v>0</v>
          </cell>
          <cell r="G127">
            <v>17</v>
          </cell>
          <cell r="H127">
            <v>0</v>
          </cell>
          <cell r="I127">
            <v>0</v>
          </cell>
          <cell r="J127">
            <v>17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7</v>
          </cell>
          <cell r="Q127">
            <v>7</v>
          </cell>
          <cell r="R127">
            <v>0</v>
          </cell>
          <cell r="S127">
            <v>17</v>
          </cell>
          <cell r="T127">
            <v>7</v>
          </cell>
        </row>
        <row r="128">
          <cell r="C128" t="str">
            <v>Census Tract 201, King County, Washington</v>
          </cell>
          <cell r="D128">
            <v>18</v>
          </cell>
          <cell r="E128">
            <v>18</v>
          </cell>
          <cell r="F128">
            <v>13</v>
          </cell>
          <cell r="G128">
            <v>5</v>
          </cell>
          <cell r="H128">
            <v>0</v>
          </cell>
          <cell r="I128">
            <v>0</v>
          </cell>
          <cell r="J128">
            <v>0</v>
          </cell>
          <cell r="K128">
            <v>5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18</v>
          </cell>
          <cell r="T128">
            <v>0</v>
          </cell>
        </row>
        <row r="129">
          <cell r="C129" t="str">
            <v>Census Tract 202, King County, Washington</v>
          </cell>
          <cell r="D129">
            <v>9</v>
          </cell>
          <cell r="E129">
            <v>9</v>
          </cell>
          <cell r="F129">
            <v>9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9</v>
          </cell>
          <cell r="T129">
            <v>0</v>
          </cell>
        </row>
        <row r="130">
          <cell r="C130" t="str">
            <v>Census Tract 203, King County, Washington</v>
          </cell>
          <cell r="D130">
            <v>139</v>
          </cell>
          <cell r="E130">
            <v>91</v>
          </cell>
          <cell r="F130">
            <v>38</v>
          </cell>
          <cell r="G130">
            <v>53</v>
          </cell>
          <cell r="H130">
            <v>0</v>
          </cell>
          <cell r="I130">
            <v>0</v>
          </cell>
          <cell r="J130">
            <v>20</v>
          </cell>
          <cell r="K130">
            <v>33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48</v>
          </cell>
          <cell r="Q130">
            <v>40</v>
          </cell>
          <cell r="R130">
            <v>8</v>
          </cell>
          <cell r="S130">
            <v>91</v>
          </cell>
          <cell r="T130">
            <v>48</v>
          </cell>
        </row>
        <row r="131">
          <cell r="C131" t="str">
            <v>Census Tract 204.01, King County, Washington</v>
          </cell>
          <cell r="D131">
            <v>86</v>
          </cell>
          <cell r="E131">
            <v>62</v>
          </cell>
          <cell r="F131">
            <v>25</v>
          </cell>
          <cell r="G131">
            <v>37</v>
          </cell>
          <cell r="H131">
            <v>10</v>
          </cell>
          <cell r="I131">
            <v>6</v>
          </cell>
          <cell r="J131">
            <v>0</v>
          </cell>
          <cell r="K131">
            <v>21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24</v>
          </cell>
          <cell r="Q131">
            <v>9</v>
          </cell>
          <cell r="R131">
            <v>15</v>
          </cell>
          <cell r="S131">
            <v>62</v>
          </cell>
          <cell r="T131">
            <v>24</v>
          </cell>
        </row>
        <row r="132">
          <cell r="C132" t="str">
            <v>Census Tract 204.02, King County, Washington</v>
          </cell>
          <cell r="D132">
            <v>100</v>
          </cell>
          <cell r="E132">
            <v>53</v>
          </cell>
          <cell r="F132">
            <v>20</v>
          </cell>
          <cell r="G132">
            <v>29</v>
          </cell>
          <cell r="H132">
            <v>0</v>
          </cell>
          <cell r="I132">
            <v>8</v>
          </cell>
          <cell r="J132">
            <v>0</v>
          </cell>
          <cell r="K132">
            <v>21</v>
          </cell>
          <cell r="L132">
            <v>4</v>
          </cell>
          <cell r="M132">
            <v>0</v>
          </cell>
          <cell r="N132">
            <v>0</v>
          </cell>
          <cell r="O132">
            <v>4</v>
          </cell>
          <cell r="P132">
            <v>47</v>
          </cell>
          <cell r="Q132">
            <v>0</v>
          </cell>
          <cell r="R132">
            <v>47</v>
          </cell>
          <cell r="S132">
            <v>49</v>
          </cell>
          <cell r="T132">
            <v>51</v>
          </cell>
        </row>
        <row r="133">
          <cell r="C133" t="str">
            <v>Census Tract 205, King County, Washington</v>
          </cell>
          <cell r="D133">
            <v>125</v>
          </cell>
          <cell r="E133">
            <v>49</v>
          </cell>
          <cell r="F133">
            <v>21</v>
          </cell>
          <cell r="G133">
            <v>28</v>
          </cell>
          <cell r="H133">
            <v>0</v>
          </cell>
          <cell r="I133">
            <v>0</v>
          </cell>
          <cell r="J133">
            <v>0</v>
          </cell>
          <cell r="K133">
            <v>28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76</v>
          </cell>
          <cell r="Q133">
            <v>41</v>
          </cell>
          <cell r="R133">
            <v>35</v>
          </cell>
          <cell r="S133">
            <v>49</v>
          </cell>
          <cell r="T133">
            <v>76</v>
          </cell>
        </row>
        <row r="134">
          <cell r="C134" t="str">
            <v>Census Tract 206, King County, Washington</v>
          </cell>
          <cell r="D134">
            <v>51</v>
          </cell>
          <cell r="E134">
            <v>5</v>
          </cell>
          <cell r="F134">
            <v>5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46</v>
          </cell>
          <cell r="Q134">
            <v>0</v>
          </cell>
          <cell r="R134">
            <v>46</v>
          </cell>
          <cell r="S134">
            <v>5</v>
          </cell>
          <cell r="T134">
            <v>46</v>
          </cell>
        </row>
        <row r="135">
          <cell r="C135" t="str">
            <v>Census Tract 207, King County, Washington</v>
          </cell>
          <cell r="D135">
            <v>133</v>
          </cell>
          <cell r="E135">
            <v>48</v>
          </cell>
          <cell r="F135">
            <v>35</v>
          </cell>
          <cell r="G135">
            <v>13</v>
          </cell>
          <cell r="H135">
            <v>0</v>
          </cell>
          <cell r="I135">
            <v>4</v>
          </cell>
          <cell r="J135">
            <v>9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85</v>
          </cell>
          <cell r="Q135">
            <v>0</v>
          </cell>
          <cell r="R135">
            <v>85</v>
          </cell>
          <cell r="S135">
            <v>48</v>
          </cell>
          <cell r="T135">
            <v>85</v>
          </cell>
        </row>
        <row r="136">
          <cell r="C136" t="str">
            <v>Census Tract 208, King County, Washington</v>
          </cell>
          <cell r="D136">
            <v>107</v>
          </cell>
          <cell r="E136">
            <v>13</v>
          </cell>
          <cell r="F136">
            <v>4</v>
          </cell>
          <cell r="G136">
            <v>9</v>
          </cell>
          <cell r="H136">
            <v>5</v>
          </cell>
          <cell r="I136">
            <v>0</v>
          </cell>
          <cell r="J136">
            <v>4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94</v>
          </cell>
          <cell r="Q136">
            <v>0</v>
          </cell>
          <cell r="R136">
            <v>94</v>
          </cell>
          <cell r="S136">
            <v>13</v>
          </cell>
          <cell r="T136">
            <v>94</v>
          </cell>
        </row>
        <row r="137">
          <cell r="C137" t="str">
            <v>Census Tract 209, King County, Washington</v>
          </cell>
          <cell r="D137">
            <v>14</v>
          </cell>
          <cell r="E137">
            <v>14</v>
          </cell>
          <cell r="F137">
            <v>0</v>
          </cell>
          <cell r="G137">
            <v>14</v>
          </cell>
          <cell r="H137">
            <v>0</v>
          </cell>
          <cell r="I137">
            <v>0</v>
          </cell>
          <cell r="J137">
            <v>0</v>
          </cell>
          <cell r="K137">
            <v>14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14</v>
          </cell>
          <cell r="T137">
            <v>0</v>
          </cell>
        </row>
        <row r="138">
          <cell r="C138" t="str">
            <v>Census Tract 210, King County, Washington</v>
          </cell>
          <cell r="D138">
            <v>104</v>
          </cell>
          <cell r="E138">
            <v>40</v>
          </cell>
          <cell r="F138">
            <v>14</v>
          </cell>
          <cell r="G138">
            <v>26</v>
          </cell>
          <cell r="H138">
            <v>0</v>
          </cell>
          <cell r="I138">
            <v>0</v>
          </cell>
          <cell r="J138">
            <v>12</v>
          </cell>
          <cell r="K138">
            <v>14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64</v>
          </cell>
          <cell r="Q138">
            <v>16</v>
          </cell>
          <cell r="R138">
            <v>48</v>
          </cell>
          <cell r="S138">
            <v>40</v>
          </cell>
          <cell r="T138">
            <v>64</v>
          </cell>
        </row>
        <row r="139">
          <cell r="C139" t="str">
            <v>Census Tract 211, King County, Washington</v>
          </cell>
          <cell r="D139">
            <v>92</v>
          </cell>
          <cell r="E139">
            <v>49</v>
          </cell>
          <cell r="F139">
            <v>25</v>
          </cell>
          <cell r="G139">
            <v>24</v>
          </cell>
          <cell r="H139">
            <v>0</v>
          </cell>
          <cell r="I139">
            <v>24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43</v>
          </cell>
          <cell r="Q139">
            <v>10</v>
          </cell>
          <cell r="R139">
            <v>33</v>
          </cell>
          <cell r="S139">
            <v>49</v>
          </cell>
          <cell r="T139">
            <v>43</v>
          </cell>
        </row>
        <row r="140">
          <cell r="C140" t="str">
            <v>Census Tract 213, King County, Washington</v>
          </cell>
          <cell r="D140">
            <v>114</v>
          </cell>
          <cell r="E140">
            <v>37</v>
          </cell>
          <cell r="F140">
            <v>22</v>
          </cell>
          <cell r="G140">
            <v>15</v>
          </cell>
          <cell r="H140">
            <v>0</v>
          </cell>
          <cell r="I140">
            <v>0</v>
          </cell>
          <cell r="J140">
            <v>0</v>
          </cell>
          <cell r="K140">
            <v>15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77</v>
          </cell>
          <cell r="Q140">
            <v>0</v>
          </cell>
          <cell r="R140">
            <v>77</v>
          </cell>
          <cell r="S140">
            <v>37</v>
          </cell>
          <cell r="T140">
            <v>77</v>
          </cell>
        </row>
        <row r="141">
          <cell r="C141" t="str">
            <v>Census Tract 214, King County, Washington</v>
          </cell>
          <cell r="D141">
            <v>92</v>
          </cell>
          <cell r="E141">
            <v>92</v>
          </cell>
          <cell r="F141">
            <v>54</v>
          </cell>
          <cell r="G141">
            <v>30</v>
          </cell>
          <cell r="H141">
            <v>0</v>
          </cell>
          <cell r="I141">
            <v>6</v>
          </cell>
          <cell r="J141">
            <v>4</v>
          </cell>
          <cell r="K141">
            <v>20</v>
          </cell>
          <cell r="L141">
            <v>8</v>
          </cell>
          <cell r="M141">
            <v>0</v>
          </cell>
          <cell r="N141">
            <v>0</v>
          </cell>
          <cell r="O141">
            <v>8</v>
          </cell>
          <cell r="P141">
            <v>0</v>
          </cell>
          <cell r="Q141">
            <v>0</v>
          </cell>
          <cell r="R141">
            <v>0</v>
          </cell>
          <cell r="S141">
            <v>84</v>
          </cell>
          <cell r="T141">
            <v>8</v>
          </cell>
        </row>
        <row r="142">
          <cell r="C142" t="str">
            <v>Census Tract 215, King County, Washington</v>
          </cell>
          <cell r="D142">
            <v>7</v>
          </cell>
          <cell r="E142">
            <v>7</v>
          </cell>
          <cell r="F142">
            <v>0</v>
          </cell>
          <cell r="G142">
            <v>7</v>
          </cell>
          <cell r="H142">
            <v>0</v>
          </cell>
          <cell r="I142">
            <v>0</v>
          </cell>
          <cell r="J142">
            <v>0</v>
          </cell>
          <cell r="K142">
            <v>7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7</v>
          </cell>
          <cell r="T142">
            <v>0</v>
          </cell>
        </row>
        <row r="143">
          <cell r="C143" t="str">
            <v>Census Tract 216, King County, Washington</v>
          </cell>
          <cell r="D143">
            <v>47</v>
          </cell>
          <cell r="E143">
            <v>28</v>
          </cell>
          <cell r="F143">
            <v>7</v>
          </cell>
          <cell r="G143">
            <v>21</v>
          </cell>
          <cell r="H143">
            <v>6</v>
          </cell>
          <cell r="I143">
            <v>9</v>
          </cell>
          <cell r="J143">
            <v>0</v>
          </cell>
          <cell r="K143">
            <v>6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19</v>
          </cell>
          <cell r="Q143">
            <v>19</v>
          </cell>
          <cell r="R143">
            <v>0</v>
          </cell>
          <cell r="S143">
            <v>28</v>
          </cell>
          <cell r="T143">
            <v>19</v>
          </cell>
        </row>
        <row r="144">
          <cell r="C144" t="str">
            <v>Census Tract 217, King County, Washington</v>
          </cell>
          <cell r="D144">
            <v>134</v>
          </cell>
          <cell r="E144">
            <v>123</v>
          </cell>
          <cell r="F144">
            <v>25</v>
          </cell>
          <cell r="G144">
            <v>98</v>
          </cell>
          <cell r="H144">
            <v>0</v>
          </cell>
          <cell r="I144">
            <v>0</v>
          </cell>
          <cell r="J144">
            <v>34</v>
          </cell>
          <cell r="K144">
            <v>64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</v>
          </cell>
          <cell r="Q144">
            <v>11</v>
          </cell>
          <cell r="R144">
            <v>0</v>
          </cell>
          <cell r="S144">
            <v>123</v>
          </cell>
          <cell r="T144">
            <v>11</v>
          </cell>
        </row>
        <row r="145">
          <cell r="C145" t="str">
            <v>Census Tract 218.02, King County, Washington</v>
          </cell>
          <cell r="D145">
            <v>159</v>
          </cell>
          <cell r="E145">
            <v>62</v>
          </cell>
          <cell r="F145">
            <v>29</v>
          </cell>
          <cell r="G145">
            <v>33</v>
          </cell>
          <cell r="H145">
            <v>0</v>
          </cell>
          <cell r="I145">
            <v>3</v>
          </cell>
          <cell r="J145">
            <v>11</v>
          </cell>
          <cell r="K145">
            <v>19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97</v>
          </cell>
          <cell r="Q145">
            <v>11</v>
          </cell>
          <cell r="R145">
            <v>86</v>
          </cell>
          <cell r="S145">
            <v>62</v>
          </cell>
          <cell r="T145">
            <v>97</v>
          </cell>
        </row>
        <row r="146">
          <cell r="C146" t="str">
            <v>Census Tract 218.03, King County, Washington</v>
          </cell>
          <cell r="D146">
            <v>87</v>
          </cell>
          <cell r="E146">
            <v>51</v>
          </cell>
          <cell r="F146">
            <v>34</v>
          </cell>
          <cell r="G146">
            <v>9</v>
          </cell>
          <cell r="H146">
            <v>0</v>
          </cell>
          <cell r="I146">
            <v>0</v>
          </cell>
          <cell r="J146">
            <v>9</v>
          </cell>
          <cell r="K146">
            <v>0</v>
          </cell>
          <cell r="L146">
            <v>8</v>
          </cell>
          <cell r="M146">
            <v>8</v>
          </cell>
          <cell r="N146">
            <v>0</v>
          </cell>
          <cell r="O146">
            <v>0</v>
          </cell>
          <cell r="P146">
            <v>36</v>
          </cell>
          <cell r="Q146">
            <v>28</v>
          </cell>
          <cell r="R146">
            <v>8</v>
          </cell>
          <cell r="S146">
            <v>43</v>
          </cell>
          <cell r="T146">
            <v>44</v>
          </cell>
        </row>
        <row r="147">
          <cell r="C147" t="str">
            <v>Census Tract 218.04, King County, Washington</v>
          </cell>
          <cell r="D147">
            <v>163</v>
          </cell>
          <cell r="E147">
            <v>83</v>
          </cell>
          <cell r="F147">
            <v>35</v>
          </cell>
          <cell r="G147">
            <v>48</v>
          </cell>
          <cell r="H147">
            <v>27</v>
          </cell>
          <cell r="I147">
            <v>0</v>
          </cell>
          <cell r="J147">
            <v>10</v>
          </cell>
          <cell r="K147">
            <v>11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80</v>
          </cell>
          <cell r="Q147">
            <v>16</v>
          </cell>
          <cell r="R147">
            <v>64</v>
          </cell>
          <cell r="S147">
            <v>83</v>
          </cell>
          <cell r="T147">
            <v>80</v>
          </cell>
        </row>
        <row r="148">
          <cell r="C148" t="str">
            <v>Census Tract 219.03, King County, Washington</v>
          </cell>
          <cell r="D148">
            <v>174</v>
          </cell>
          <cell r="E148">
            <v>159</v>
          </cell>
          <cell r="F148">
            <v>59</v>
          </cell>
          <cell r="G148">
            <v>100</v>
          </cell>
          <cell r="H148">
            <v>0</v>
          </cell>
          <cell r="I148">
            <v>0</v>
          </cell>
          <cell r="J148">
            <v>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15</v>
          </cell>
          <cell r="Q148">
            <v>15</v>
          </cell>
          <cell r="R148">
            <v>0</v>
          </cell>
          <cell r="S148">
            <v>159</v>
          </cell>
          <cell r="T148">
            <v>15</v>
          </cell>
        </row>
        <row r="149">
          <cell r="C149" t="str">
            <v>Census Tract 219.04, King County, Washington</v>
          </cell>
          <cell r="D149">
            <v>141</v>
          </cell>
          <cell r="E149">
            <v>23</v>
          </cell>
          <cell r="F149">
            <v>23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118</v>
          </cell>
          <cell r="Q149">
            <v>23</v>
          </cell>
          <cell r="R149">
            <v>95</v>
          </cell>
          <cell r="S149">
            <v>23</v>
          </cell>
          <cell r="T149">
            <v>118</v>
          </cell>
        </row>
        <row r="150">
          <cell r="C150" t="str">
            <v>Census Tract 219.05, King County, Washington</v>
          </cell>
          <cell r="D150">
            <v>37</v>
          </cell>
          <cell r="E150">
            <v>13</v>
          </cell>
          <cell r="F150">
            <v>13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24</v>
          </cell>
          <cell r="Q150">
            <v>0</v>
          </cell>
          <cell r="R150">
            <v>24</v>
          </cell>
          <cell r="S150">
            <v>13</v>
          </cell>
          <cell r="T150">
            <v>24</v>
          </cell>
        </row>
        <row r="151">
          <cell r="C151" t="str">
            <v>Census Tract 219.06, King County, Washington</v>
          </cell>
          <cell r="D151">
            <v>27</v>
          </cell>
          <cell r="E151">
            <v>9</v>
          </cell>
          <cell r="F151">
            <v>9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18</v>
          </cell>
          <cell r="Q151">
            <v>18</v>
          </cell>
          <cell r="R151">
            <v>0</v>
          </cell>
          <cell r="S151">
            <v>9</v>
          </cell>
          <cell r="T151">
            <v>18</v>
          </cell>
        </row>
        <row r="152">
          <cell r="C152" t="str">
            <v>Census Tract 220.01, King County, Washington</v>
          </cell>
          <cell r="D152">
            <v>35</v>
          </cell>
          <cell r="E152">
            <v>35</v>
          </cell>
          <cell r="F152">
            <v>22</v>
          </cell>
          <cell r="G152">
            <v>13</v>
          </cell>
          <cell r="H152">
            <v>6</v>
          </cell>
          <cell r="I152">
            <v>0</v>
          </cell>
          <cell r="J152">
            <v>0</v>
          </cell>
          <cell r="K152">
            <v>7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35</v>
          </cell>
          <cell r="T152">
            <v>0</v>
          </cell>
        </row>
        <row r="153">
          <cell r="C153" t="str">
            <v>Census Tract 220.03, King County, Washington</v>
          </cell>
          <cell r="D153">
            <v>107</v>
          </cell>
          <cell r="E153">
            <v>41</v>
          </cell>
          <cell r="F153">
            <v>31</v>
          </cell>
          <cell r="G153">
            <v>10</v>
          </cell>
          <cell r="H153">
            <v>0</v>
          </cell>
          <cell r="I153">
            <v>0</v>
          </cell>
          <cell r="J153">
            <v>0</v>
          </cell>
          <cell r="K153">
            <v>10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66</v>
          </cell>
          <cell r="Q153">
            <v>16</v>
          </cell>
          <cell r="R153">
            <v>50</v>
          </cell>
          <cell r="S153">
            <v>41</v>
          </cell>
          <cell r="T153">
            <v>66</v>
          </cell>
        </row>
        <row r="154">
          <cell r="C154" t="str">
            <v>Census Tract 220.05, King County, Washington</v>
          </cell>
          <cell r="D154">
            <v>38</v>
          </cell>
          <cell r="E154">
            <v>38</v>
          </cell>
          <cell r="F154">
            <v>20</v>
          </cell>
          <cell r="G154">
            <v>18</v>
          </cell>
          <cell r="H154">
            <v>0</v>
          </cell>
          <cell r="I154">
            <v>9</v>
          </cell>
          <cell r="J154">
            <v>9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38</v>
          </cell>
          <cell r="T154">
            <v>0</v>
          </cell>
        </row>
        <row r="155">
          <cell r="C155" t="str">
            <v>Census Tract 220.06, King County, Washington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C156" t="str">
            <v>Census Tract 221.01, King County, Washington</v>
          </cell>
          <cell r="D156">
            <v>21</v>
          </cell>
          <cell r="E156">
            <v>16</v>
          </cell>
          <cell r="F156">
            <v>16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5</v>
          </cell>
          <cell r="Q156">
            <v>5</v>
          </cell>
          <cell r="R156">
            <v>0</v>
          </cell>
          <cell r="S156">
            <v>16</v>
          </cell>
          <cell r="T156">
            <v>5</v>
          </cell>
        </row>
        <row r="157">
          <cell r="C157" t="str">
            <v>Census Tract 221.02, King County, Washington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C158" t="str">
            <v>Census Tract 222.01, King County, Washington</v>
          </cell>
          <cell r="D158">
            <v>47</v>
          </cell>
          <cell r="E158">
            <v>40</v>
          </cell>
          <cell r="F158">
            <v>17</v>
          </cell>
          <cell r="G158">
            <v>23</v>
          </cell>
          <cell r="H158">
            <v>0</v>
          </cell>
          <cell r="I158">
            <v>6</v>
          </cell>
          <cell r="J158">
            <v>0</v>
          </cell>
          <cell r="K158">
            <v>17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7</v>
          </cell>
          <cell r="Q158">
            <v>1</v>
          </cell>
          <cell r="R158">
            <v>6</v>
          </cell>
          <cell r="S158">
            <v>40</v>
          </cell>
          <cell r="T158">
            <v>7</v>
          </cell>
        </row>
        <row r="159">
          <cell r="C159" t="str">
            <v>Census Tract 222.02, King County, Washington</v>
          </cell>
          <cell r="D159">
            <v>119</v>
          </cell>
          <cell r="E159">
            <v>88</v>
          </cell>
          <cell r="F159">
            <v>15</v>
          </cell>
          <cell r="G159">
            <v>73</v>
          </cell>
          <cell r="H159">
            <v>34</v>
          </cell>
          <cell r="I159">
            <v>7</v>
          </cell>
          <cell r="J159">
            <v>0</v>
          </cell>
          <cell r="K159">
            <v>32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31</v>
          </cell>
          <cell r="Q159">
            <v>14</v>
          </cell>
          <cell r="R159">
            <v>17</v>
          </cell>
          <cell r="S159">
            <v>88</v>
          </cell>
          <cell r="T159">
            <v>31</v>
          </cell>
        </row>
        <row r="160">
          <cell r="C160" t="str">
            <v>Census Tract 222.03, King County, Washington</v>
          </cell>
          <cell r="D160">
            <v>43</v>
          </cell>
          <cell r="E160">
            <v>35</v>
          </cell>
          <cell r="F160">
            <v>19</v>
          </cell>
          <cell r="G160">
            <v>8</v>
          </cell>
          <cell r="H160">
            <v>0</v>
          </cell>
          <cell r="I160">
            <v>0</v>
          </cell>
          <cell r="J160">
            <v>0</v>
          </cell>
          <cell r="K160">
            <v>8</v>
          </cell>
          <cell r="L160">
            <v>8</v>
          </cell>
          <cell r="M160">
            <v>8</v>
          </cell>
          <cell r="N160">
            <v>0</v>
          </cell>
          <cell r="O160">
            <v>0</v>
          </cell>
          <cell r="P160">
            <v>8</v>
          </cell>
          <cell r="Q160">
            <v>8</v>
          </cell>
          <cell r="R160">
            <v>0</v>
          </cell>
          <cell r="S160">
            <v>27</v>
          </cell>
          <cell r="T160">
            <v>16</v>
          </cell>
        </row>
        <row r="161">
          <cell r="C161" t="str">
            <v>Census Tract 223, King County, Washington</v>
          </cell>
          <cell r="D161">
            <v>9</v>
          </cell>
          <cell r="E161">
            <v>9</v>
          </cell>
          <cell r="F161">
            <v>9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9</v>
          </cell>
          <cell r="T161">
            <v>0</v>
          </cell>
        </row>
        <row r="162">
          <cell r="C162" t="str">
            <v>Census Tract 224, King County, Washington</v>
          </cell>
          <cell r="D162">
            <v>43</v>
          </cell>
          <cell r="E162">
            <v>34</v>
          </cell>
          <cell r="F162">
            <v>10</v>
          </cell>
          <cell r="G162">
            <v>24</v>
          </cell>
          <cell r="H162">
            <v>0</v>
          </cell>
          <cell r="I162">
            <v>0</v>
          </cell>
          <cell r="J162">
            <v>0</v>
          </cell>
          <cell r="K162">
            <v>24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9</v>
          </cell>
          <cell r="Q162">
            <v>9</v>
          </cell>
          <cell r="R162">
            <v>0</v>
          </cell>
          <cell r="S162">
            <v>34</v>
          </cell>
          <cell r="T162">
            <v>9</v>
          </cell>
        </row>
        <row r="163">
          <cell r="C163" t="str">
            <v>Census Tract 225, King County, Washington</v>
          </cell>
          <cell r="D163">
            <v>24</v>
          </cell>
          <cell r="E163">
            <v>24</v>
          </cell>
          <cell r="F163">
            <v>0</v>
          </cell>
          <cell r="G163">
            <v>24</v>
          </cell>
          <cell r="H163">
            <v>12</v>
          </cell>
          <cell r="I163">
            <v>0</v>
          </cell>
          <cell r="J163">
            <v>0</v>
          </cell>
          <cell r="K163">
            <v>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24</v>
          </cell>
          <cell r="T163">
            <v>0</v>
          </cell>
        </row>
        <row r="164">
          <cell r="C164" t="str">
            <v>Census Tract 226.03, King County, Washington</v>
          </cell>
          <cell r="D164">
            <v>53</v>
          </cell>
          <cell r="E164">
            <v>24</v>
          </cell>
          <cell r="F164">
            <v>12</v>
          </cell>
          <cell r="G164">
            <v>12</v>
          </cell>
          <cell r="H164">
            <v>0</v>
          </cell>
          <cell r="I164">
            <v>0</v>
          </cell>
          <cell r="J164">
            <v>0</v>
          </cell>
          <cell r="K164">
            <v>12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29</v>
          </cell>
          <cell r="Q164">
            <v>5</v>
          </cell>
          <cell r="R164">
            <v>24</v>
          </cell>
          <cell r="S164">
            <v>24</v>
          </cell>
          <cell r="T164">
            <v>29</v>
          </cell>
        </row>
        <row r="165">
          <cell r="C165" t="str">
            <v>Census Tract 226.04, King County, Washington</v>
          </cell>
          <cell r="D165">
            <v>137</v>
          </cell>
          <cell r="E165">
            <v>88</v>
          </cell>
          <cell r="F165">
            <v>42</v>
          </cell>
          <cell r="G165">
            <v>46</v>
          </cell>
          <cell r="H165">
            <v>0</v>
          </cell>
          <cell r="I165">
            <v>15</v>
          </cell>
          <cell r="J165">
            <v>0</v>
          </cell>
          <cell r="K165">
            <v>31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49</v>
          </cell>
          <cell r="Q165">
            <v>28</v>
          </cell>
          <cell r="R165">
            <v>21</v>
          </cell>
          <cell r="S165">
            <v>88</v>
          </cell>
          <cell r="T165">
            <v>49</v>
          </cell>
        </row>
        <row r="166">
          <cell r="C166" t="str">
            <v>Census Tract 226.05, King County, Washington</v>
          </cell>
          <cell r="D166">
            <v>232</v>
          </cell>
          <cell r="E166">
            <v>53</v>
          </cell>
          <cell r="F166">
            <v>41</v>
          </cell>
          <cell r="G166">
            <v>12</v>
          </cell>
          <cell r="H166">
            <v>0</v>
          </cell>
          <cell r="I166">
            <v>12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179</v>
          </cell>
          <cell r="Q166">
            <v>11</v>
          </cell>
          <cell r="R166">
            <v>168</v>
          </cell>
          <cell r="S166">
            <v>53</v>
          </cell>
          <cell r="T166">
            <v>179</v>
          </cell>
        </row>
        <row r="167">
          <cell r="C167" t="str">
            <v>Census Tract 226.06, King County, Washington</v>
          </cell>
          <cell r="D167">
            <v>36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36</v>
          </cell>
          <cell r="Q167">
            <v>0</v>
          </cell>
          <cell r="R167">
            <v>36</v>
          </cell>
          <cell r="S167">
            <v>0</v>
          </cell>
          <cell r="T167">
            <v>36</v>
          </cell>
        </row>
        <row r="168">
          <cell r="C168" t="str">
            <v>Census Tract 227.01, King County, Washington</v>
          </cell>
          <cell r="D168">
            <v>29</v>
          </cell>
          <cell r="E168">
            <v>11</v>
          </cell>
          <cell r="F168">
            <v>0</v>
          </cell>
          <cell r="G168">
            <v>11</v>
          </cell>
          <cell r="H168">
            <v>0</v>
          </cell>
          <cell r="I168">
            <v>0</v>
          </cell>
          <cell r="J168">
            <v>0</v>
          </cell>
          <cell r="K168">
            <v>11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18</v>
          </cell>
          <cell r="Q168">
            <v>12</v>
          </cell>
          <cell r="R168">
            <v>6</v>
          </cell>
          <cell r="S168">
            <v>11</v>
          </cell>
          <cell r="T168">
            <v>18</v>
          </cell>
        </row>
        <row r="169">
          <cell r="C169" t="str">
            <v>Census Tract 227.02, King County, Washington</v>
          </cell>
          <cell r="D169">
            <v>15</v>
          </cell>
          <cell r="E169">
            <v>15</v>
          </cell>
          <cell r="F169">
            <v>15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15</v>
          </cell>
          <cell r="T169">
            <v>0</v>
          </cell>
        </row>
        <row r="170">
          <cell r="C170" t="str">
            <v>Census Tract 227.03, King County, Washington</v>
          </cell>
          <cell r="D170">
            <v>22</v>
          </cell>
          <cell r="E170">
            <v>22</v>
          </cell>
          <cell r="F170">
            <v>12</v>
          </cell>
          <cell r="G170">
            <v>10</v>
          </cell>
          <cell r="H170">
            <v>0</v>
          </cell>
          <cell r="I170">
            <v>0</v>
          </cell>
          <cell r="J170">
            <v>0</v>
          </cell>
          <cell r="K170">
            <v>10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22</v>
          </cell>
          <cell r="T170">
            <v>0</v>
          </cell>
        </row>
        <row r="171">
          <cell r="C171" t="str">
            <v>Census Tract 228.01, King County, Washington</v>
          </cell>
          <cell r="D171">
            <v>373</v>
          </cell>
          <cell r="E171">
            <v>136</v>
          </cell>
          <cell r="F171">
            <v>51</v>
          </cell>
          <cell r="G171">
            <v>74</v>
          </cell>
          <cell r="H171">
            <v>0</v>
          </cell>
          <cell r="I171">
            <v>0</v>
          </cell>
          <cell r="J171">
            <v>22</v>
          </cell>
          <cell r="K171">
            <v>52</v>
          </cell>
          <cell r="L171">
            <v>11</v>
          </cell>
          <cell r="M171">
            <v>0</v>
          </cell>
          <cell r="N171">
            <v>0</v>
          </cell>
          <cell r="O171">
            <v>11</v>
          </cell>
          <cell r="P171">
            <v>237</v>
          </cell>
          <cell r="Q171">
            <v>25</v>
          </cell>
          <cell r="R171">
            <v>212</v>
          </cell>
          <cell r="S171">
            <v>125</v>
          </cell>
          <cell r="T171">
            <v>248</v>
          </cell>
        </row>
        <row r="172">
          <cell r="C172" t="str">
            <v>Census Tract 228.02, King County, Washington</v>
          </cell>
          <cell r="D172">
            <v>106</v>
          </cell>
          <cell r="E172">
            <v>22</v>
          </cell>
          <cell r="F172">
            <v>22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84</v>
          </cell>
          <cell r="Q172">
            <v>19</v>
          </cell>
          <cell r="R172">
            <v>65</v>
          </cell>
          <cell r="S172">
            <v>22</v>
          </cell>
          <cell r="T172">
            <v>84</v>
          </cell>
        </row>
        <row r="173">
          <cell r="C173" t="str">
            <v>Census Tract 228.03, King County, Washington</v>
          </cell>
          <cell r="D173">
            <v>73</v>
          </cell>
          <cell r="E173">
            <v>52</v>
          </cell>
          <cell r="F173">
            <v>0</v>
          </cell>
          <cell r="G173">
            <v>52</v>
          </cell>
          <cell r="H173">
            <v>0</v>
          </cell>
          <cell r="I173">
            <v>12</v>
          </cell>
          <cell r="J173">
            <v>29</v>
          </cell>
          <cell r="K173">
            <v>11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21</v>
          </cell>
          <cell r="Q173">
            <v>0</v>
          </cell>
          <cell r="R173">
            <v>21</v>
          </cell>
          <cell r="S173">
            <v>52</v>
          </cell>
          <cell r="T173">
            <v>21</v>
          </cell>
        </row>
        <row r="174">
          <cell r="C174" t="str">
            <v>Census Tract 229.01, King County, Washington</v>
          </cell>
          <cell r="D174">
            <v>31</v>
          </cell>
          <cell r="E174">
            <v>19</v>
          </cell>
          <cell r="F174">
            <v>0</v>
          </cell>
          <cell r="G174">
            <v>19</v>
          </cell>
          <cell r="H174">
            <v>0</v>
          </cell>
          <cell r="I174">
            <v>4</v>
          </cell>
          <cell r="J174">
            <v>0</v>
          </cell>
          <cell r="K174">
            <v>15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12</v>
          </cell>
          <cell r="Q174">
            <v>12</v>
          </cell>
          <cell r="R174">
            <v>0</v>
          </cell>
          <cell r="S174">
            <v>19</v>
          </cell>
          <cell r="T174">
            <v>12</v>
          </cell>
        </row>
        <row r="175">
          <cell r="C175" t="str">
            <v>Census Tract 229.02, King County, Washington</v>
          </cell>
          <cell r="D175">
            <v>6</v>
          </cell>
          <cell r="E175">
            <v>6</v>
          </cell>
          <cell r="F175">
            <v>0</v>
          </cell>
          <cell r="G175">
            <v>6</v>
          </cell>
          <cell r="H175">
            <v>0</v>
          </cell>
          <cell r="I175">
            <v>6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6</v>
          </cell>
          <cell r="T175">
            <v>0</v>
          </cell>
        </row>
        <row r="176">
          <cell r="C176" t="str">
            <v>Census Tract 230, King County, Washington</v>
          </cell>
          <cell r="D176">
            <v>68</v>
          </cell>
          <cell r="E176">
            <v>30</v>
          </cell>
          <cell r="F176">
            <v>25</v>
          </cell>
          <cell r="G176">
            <v>5</v>
          </cell>
          <cell r="H176">
            <v>0</v>
          </cell>
          <cell r="I176">
            <v>5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38</v>
          </cell>
          <cell r="Q176">
            <v>18</v>
          </cell>
          <cell r="R176">
            <v>20</v>
          </cell>
          <cell r="S176">
            <v>30</v>
          </cell>
          <cell r="T176">
            <v>38</v>
          </cell>
        </row>
        <row r="177">
          <cell r="C177" t="str">
            <v>Census Tract 231, King County, Washington</v>
          </cell>
          <cell r="D177">
            <v>148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148</v>
          </cell>
          <cell r="Q177">
            <v>0</v>
          </cell>
          <cell r="R177">
            <v>148</v>
          </cell>
          <cell r="S177">
            <v>0</v>
          </cell>
          <cell r="T177">
            <v>148</v>
          </cell>
        </row>
        <row r="178">
          <cell r="C178" t="str">
            <v>Census Tract 232.01, King County, Washington</v>
          </cell>
          <cell r="D178">
            <v>249</v>
          </cell>
          <cell r="E178">
            <v>43</v>
          </cell>
          <cell r="F178">
            <v>15</v>
          </cell>
          <cell r="G178">
            <v>28</v>
          </cell>
          <cell r="H178">
            <v>5</v>
          </cell>
          <cell r="I178">
            <v>0</v>
          </cell>
          <cell r="J178">
            <v>0</v>
          </cell>
          <cell r="K178">
            <v>23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206</v>
          </cell>
          <cell r="Q178">
            <v>60</v>
          </cell>
          <cell r="R178">
            <v>146</v>
          </cell>
          <cell r="S178">
            <v>43</v>
          </cell>
          <cell r="T178">
            <v>206</v>
          </cell>
        </row>
        <row r="179">
          <cell r="C179" t="str">
            <v>Census Tract 232.02, King County, Washington</v>
          </cell>
          <cell r="D179">
            <v>379</v>
          </cell>
          <cell r="E179">
            <v>88</v>
          </cell>
          <cell r="F179">
            <v>63</v>
          </cell>
          <cell r="G179">
            <v>25</v>
          </cell>
          <cell r="H179">
            <v>9</v>
          </cell>
          <cell r="I179">
            <v>0</v>
          </cell>
          <cell r="J179">
            <v>0</v>
          </cell>
          <cell r="K179">
            <v>16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291</v>
          </cell>
          <cell r="Q179">
            <v>58</v>
          </cell>
          <cell r="R179">
            <v>233</v>
          </cell>
          <cell r="S179">
            <v>88</v>
          </cell>
          <cell r="T179">
            <v>291</v>
          </cell>
        </row>
        <row r="180">
          <cell r="C180" t="str">
            <v>Census Tract 233, King County, Washington</v>
          </cell>
          <cell r="D180">
            <v>190</v>
          </cell>
          <cell r="E180">
            <v>42</v>
          </cell>
          <cell r="F180">
            <v>11</v>
          </cell>
          <cell r="G180">
            <v>31</v>
          </cell>
          <cell r="H180">
            <v>0</v>
          </cell>
          <cell r="I180">
            <v>5</v>
          </cell>
          <cell r="J180">
            <v>0</v>
          </cell>
          <cell r="K180">
            <v>26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148</v>
          </cell>
          <cell r="Q180">
            <v>18</v>
          </cell>
          <cell r="R180">
            <v>130</v>
          </cell>
          <cell r="S180">
            <v>42</v>
          </cell>
          <cell r="T180">
            <v>148</v>
          </cell>
        </row>
        <row r="181">
          <cell r="C181" t="str">
            <v>Census Tract 234.01, King County, Washington</v>
          </cell>
          <cell r="D181">
            <v>49</v>
          </cell>
          <cell r="E181">
            <v>30</v>
          </cell>
          <cell r="F181">
            <v>7</v>
          </cell>
          <cell r="G181">
            <v>23</v>
          </cell>
          <cell r="H181">
            <v>0</v>
          </cell>
          <cell r="I181">
            <v>0</v>
          </cell>
          <cell r="J181">
            <v>0</v>
          </cell>
          <cell r="K181">
            <v>23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19</v>
          </cell>
          <cell r="Q181">
            <v>6</v>
          </cell>
          <cell r="R181">
            <v>13</v>
          </cell>
          <cell r="S181">
            <v>30</v>
          </cell>
          <cell r="T181">
            <v>19</v>
          </cell>
        </row>
        <row r="182">
          <cell r="C182" t="str">
            <v>Census Tract 234.02, King County, Washington</v>
          </cell>
          <cell r="D182">
            <v>6</v>
          </cell>
          <cell r="E182">
            <v>6</v>
          </cell>
          <cell r="F182">
            <v>0</v>
          </cell>
          <cell r="G182">
            <v>6</v>
          </cell>
          <cell r="H182">
            <v>0</v>
          </cell>
          <cell r="I182">
            <v>0</v>
          </cell>
          <cell r="J182">
            <v>0</v>
          </cell>
          <cell r="K182">
            <v>6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6</v>
          </cell>
          <cell r="T182">
            <v>0</v>
          </cell>
        </row>
        <row r="183">
          <cell r="C183" t="str">
            <v>Census Tract 235, King County, Washington</v>
          </cell>
          <cell r="D183">
            <v>38</v>
          </cell>
          <cell r="E183">
            <v>27</v>
          </cell>
          <cell r="F183">
            <v>0</v>
          </cell>
          <cell r="G183">
            <v>27</v>
          </cell>
          <cell r="H183">
            <v>0</v>
          </cell>
          <cell r="I183">
            <v>0</v>
          </cell>
          <cell r="J183">
            <v>4</v>
          </cell>
          <cell r="K183">
            <v>23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11</v>
          </cell>
          <cell r="Q183">
            <v>11</v>
          </cell>
          <cell r="R183">
            <v>0</v>
          </cell>
          <cell r="S183">
            <v>27</v>
          </cell>
          <cell r="T183">
            <v>11</v>
          </cell>
        </row>
        <row r="184">
          <cell r="C184" t="str">
            <v>Census Tract 236.01, King County, Washington</v>
          </cell>
          <cell r="D184">
            <v>140</v>
          </cell>
          <cell r="E184">
            <v>44</v>
          </cell>
          <cell r="F184">
            <v>21</v>
          </cell>
          <cell r="G184">
            <v>23</v>
          </cell>
          <cell r="H184">
            <v>0</v>
          </cell>
          <cell r="I184">
            <v>0</v>
          </cell>
          <cell r="J184">
            <v>0</v>
          </cell>
          <cell r="K184">
            <v>23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96</v>
          </cell>
          <cell r="Q184">
            <v>63</v>
          </cell>
          <cell r="R184">
            <v>33</v>
          </cell>
          <cell r="S184">
            <v>44</v>
          </cell>
          <cell r="T184">
            <v>96</v>
          </cell>
        </row>
        <row r="185">
          <cell r="C185" t="str">
            <v>Census Tract 236.03, King County, Washington</v>
          </cell>
          <cell r="D185">
            <v>511</v>
          </cell>
          <cell r="E185">
            <v>157</v>
          </cell>
          <cell r="F185">
            <v>9</v>
          </cell>
          <cell r="G185">
            <v>148</v>
          </cell>
          <cell r="H185">
            <v>51</v>
          </cell>
          <cell r="I185">
            <v>0</v>
          </cell>
          <cell r="J185">
            <v>30</v>
          </cell>
          <cell r="K185">
            <v>67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354</v>
          </cell>
          <cell r="Q185">
            <v>49</v>
          </cell>
          <cell r="R185">
            <v>305</v>
          </cell>
          <cell r="S185">
            <v>157</v>
          </cell>
          <cell r="T185">
            <v>354</v>
          </cell>
        </row>
        <row r="186">
          <cell r="C186" t="str">
            <v>Census Tract 236.04, King County, Washington</v>
          </cell>
          <cell r="D186">
            <v>313</v>
          </cell>
          <cell r="E186">
            <v>42</v>
          </cell>
          <cell r="F186">
            <v>18</v>
          </cell>
          <cell r="G186">
            <v>24</v>
          </cell>
          <cell r="H186">
            <v>0</v>
          </cell>
          <cell r="I186">
            <v>16</v>
          </cell>
          <cell r="J186">
            <v>0</v>
          </cell>
          <cell r="K186">
            <v>8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271</v>
          </cell>
          <cell r="Q186">
            <v>107</v>
          </cell>
          <cell r="R186">
            <v>164</v>
          </cell>
          <cell r="S186">
            <v>42</v>
          </cell>
          <cell r="T186">
            <v>271</v>
          </cell>
        </row>
        <row r="187">
          <cell r="C187" t="str">
            <v>Census Tract 237, King County, Washington</v>
          </cell>
          <cell r="D187">
            <v>36</v>
          </cell>
          <cell r="E187">
            <v>19</v>
          </cell>
          <cell r="F187">
            <v>8</v>
          </cell>
          <cell r="G187">
            <v>11</v>
          </cell>
          <cell r="H187">
            <v>0</v>
          </cell>
          <cell r="I187">
            <v>0</v>
          </cell>
          <cell r="J187">
            <v>0</v>
          </cell>
          <cell r="K187">
            <v>11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17</v>
          </cell>
          <cell r="Q187">
            <v>17</v>
          </cell>
          <cell r="R187">
            <v>0</v>
          </cell>
          <cell r="S187">
            <v>19</v>
          </cell>
          <cell r="T187">
            <v>17</v>
          </cell>
        </row>
        <row r="188">
          <cell r="C188" t="str">
            <v>Census Tract 238.01, King County, Washington</v>
          </cell>
          <cell r="D188">
            <v>12</v>
          </cell>
          <cell r="E188">
            <v>12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12</v>
          </cell>
          <cell r="M188">
            <v>12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12</v>
          </cell>
        </row>
        <row r="189">
          <cell r="C189" t="str">
            <v>Census Tract 238.02, King County, Washington</v>
          </cell>
          <cell r="D189">
            <v>11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11</v>
          </cell>
          <cell r="Q189">
            <v>3</v>
          </cell>
          <cell r="R189">
            <v>8</v>
          </cell>
          <cell r="S189">
            <v>0</v>
          </cell>
          <cell r="T189">
            <v>11</v>
          </cell>
        </row>
        <row r="190">
          <cell r="C190" t="str">
            <v>Census Tract 239, King County, Washington</v>
          </cell>
          <cell r="D190">
            <v>104</v>
          </cell>
          <cell r="E190">
            <v>57</v>
          </cell>
          <cell r="F190">
            <v>6</v>
          </cell>
          <cell r="G190">
            <v>43</v>
          </cell>
          <cell r="H190">
            <v>8</v>
          </cell>
          <cell r="I190">
            <v>0</v>
          </cell>
          <cell r="J190">
            <v>0</v>
          </cell>
          <cell r="K190">
            <v>35</v>
          </cell>
          <cell r="L190">
            <v>8</v>
          </cell>
          <cell r="M190">
            <v>0</v>
          </cell>
          <cell r="N190">
            <v>0</v>
          </cell>
          <cell r="O190">
            <v>8</v>
          </cell>
          <cell r="P190">
            <v>47</v>
          </cell>
          <cell r="Q190">
            <v>43</v>
          </cell>
          <cell r="R190">
            <v>4</v>
          </cell>
          <cell r="S190">
            <v>49</v>
          </cell>
          <cell r="T190">
            <v>55</v>
          </cell>
        </row>
        <row r="191">
          <cell r="C191" t="str">
            <v>Census Tract 240, King County, Washington</v>
          </cell>
          <cell r="D191">
            <v>150</v>
          </cell>
          <cell r="E191">
            <v>55</v>
          </cell>
          <cell r="F191">
            <v>29</v>
          </cell>
          <cell r="G191">
            <v>26</v>
          </cell>
          <cell r="H191">
            <v>0</v>
          </cell>
          <cell r="I191">
            <v>0</v>
          </cell>
          <cell r="J191">
            <v>19</v>
          </cell>
          <cell r="K191">
            <v>7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95</v>
          </cell>
          <cell r="Q191">
            <v>95</v>
          </cell>
          <cell r="R191">
            <v>0</v>
          </cell>
          <cell r="S191">
            <v>55</v>
          </cell>
          <cell r="T191">
            <v>95</v>
          </cell>
        </row>
        <row r="192">
          <cell r="C192" t="str">
            <v>Census Tract 241, King County, Washington</v>
          </cell>
          <cell r="D192">
            <v>31</v>
          </cell>
          <cell r="E192">
            <v>24</v>
          </cell>
          <cell r="F192">
            <v>23</v>
          </cell>
          <cell r="G192">
            <v>1</v>
          </cell>
          <cell r="H192">
            <v>0</v>
          </cell>
          <cell r="I192">
            <v>0</v>
          </cell>
          <cell r="J192">
            <v>0</v>
          </cell>
          <cell r="K192">
            <v>1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7</v>
          </cell>
          <cell r="Q192">
            <v>4</v>
          </cell>
          <cell r="R192">
            <v>3</v>
          </cell>
          <cell r="S192">
            <v>24</v>
          </cell>
          <cell r="T192">
            <v>7</v>
          </cell>
        </row>
        <row r="193">
          <cell r="C193" t="str">
            <v>Census Tract 242, King County, Washington</v>
          </cell>
          <cell r="D193">
            <v>13</v>
          </cell>
          <cell r="E193">
            <v>8</v>
          </cell>
          <cell r="F193">
            <v>0</v>
          </cell>
          <cell r="G193">
            <v>8</v>
          </cell>
          <cell r="H193">
            <v>1</v>
          </cell>
          <cell r="I193">
            <v>0</v>
          </cell>
          <cell r="J193">
            <v>4</v>
          </cell>
          <cell r="K193">
            <v>3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5</v>
          </cell>
          <cell r="Q193">
            <v>5</v>
          </cell>
          <cell r="R193">
            <v>0</v>
          </cell>
          <cell r="S193">
            <v>8</v>
          </cell>
          <cell r="T193">
            <v>5</v>
          </cell>
        </row>
        <row r="194">
          <cell r="C194" t="str">
            <v>Census Tract 243, King County, Washington</v>
          </cell>
          <cell r="D194">
            <v>70</v>
          </cell>
          <cell r="E194">
            <v>55</v>
          </cell>
          <cell r="F194">
            <v>10</v>
          </cell>
          <cell r="G194">
            <v>28</v>
          </cell>
          <cell r="H194">
            <v>0</v>
          </cell>
          <cell r="I194">
            <v>6</v>
          </cell>
          <cell r="J194">
            <v>0</v>
          </cell>
          <cell r="K194">
            <v>22</v>
          </cell>
          <cell r="L194">
            <v>17</v>
          </cell>
          <cell r="M194">
            <v>0</v>
          </cell>
          <cell r="N194">
            <v>0</v>
          </cell>
          <cell r="O194">
            <v>17</v>
          </cell>
          <cell r="P194">
            <v>15</v>
          </cell>
          <cell r="Q194">
            <v>8</v>
          </cell>
          <cell r="R194">
            <v>7</v>
          </cell>
          <cell r="S194">
            <v>38</v>
          </cell>
          <cell r="T194">
            <v>32</v>
          </cell>
        </row>
        <row r="195">
          <cell r="C195" t="str">
            <v>Census Tract 244, King County, Washington</v>
          </cell>
          <cell r="D195">
            <v>5</v>
          </cell>
          <cell r="E195">
            <v>5</v>
          </cell>
          <cell r="F195">
            <v>5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5</v>
          </cell>
          <cell r="T195">
            <v>0</v>
          </cell>
        </row>
        <row r="196">
          <cell r="C196" t="str">
            <v>Census Tract 245, King County, Washington</v>
          </cell>
          <cell r="D196">
            <v>11</v>
          </cell>
          <cell r="E196">
            <v>6</v>
          </cell>
          <cell r="F196">
            <v>0</v>
          </cell>
          <cell r="G196">
            <v>6</v>
          </cell>
          <cell r="H196">
            <v>0</v>
          </cell>
          <cell r="I196">
            <v>0</v>
          </cell>
          <cell r="J196">
            <v>0</v>
          </cell>
          <cell r="K196">
            <v>6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</v>
          </cell>
          <cell r="Q196">
            <v>5</v>
          </cell>
          <cell r="R196">
            <v>0</v>
          </cell>
          <cell r="S196">
            <v>6</v>
          </cell>
          <cell r="T196">
            <v>5</v>
          </cell>
        </row>
        <row r="197">
          <cell r="C197" t="str">
            <v>Census Tract 246.01, King County, Washington</v>
          </cell>
          <cell r="D197">
            <v>9</v>
          </cell>
          <cell r="E197">
            <v>9</v>
          </cell>
          <cell r="F197">
            <v>4</v>
          </cell>
          <cell r="G197">
            <v>5</v>
          </cell>
          <cell r="H197">
            <v>0</v>
          </cell>
          <cell r="I197">
            <v>0</v>
          </cell>
          <cell r="J197">
            <v>0</v>
          </cell>
          <cell r="K197">
            <v>5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9</v>
          </cell>
          <cell r="T197">
            <v>0</v>
          </cell>
        </row>
        <row r="198">
          <cell r="C198" t="str">
            <v>Census Tract 246.02, King County, Washington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C199" t="str">
            <v>Census Tract 247.01, King County, Washington</v>
          </cell>
          <cell r="D199">
            <v>37</v>
          </cell>
          <cell r="E199">
            <v>21</v>
          </cell>
          <cell r="F199">
            <v>8</v>
          </cell>
          <cell r="G199">
            <v>13</v>
          </cell>
          <cell r="H199">
            <v>7</v>
          </cell>
          <cell r="I199">
            <v>0</v>
          </cell>
          <cell r="J199">
            <v>6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16</v>
          </cell>
          <cell r="Q199">
            <v>3</v>
          </cell>
          <cell r="R199">
            <v>13</v>
          </cell>
          <cell r="S199">
            <v>21</v>
          </cell>
          <cell r="T199">
            <v>16</v>
          </cell>
        </row>
        <row r="200">
          <cell r="C200" t="str">
            <v>Census Tract 247.02, King County, Washington</v>
          </cell>
          <cell r="D200">
            <v>80</v>
          </cell>
          <cell r="E200">
            <v>16</v>
          </cell>
          <cell r="F200">
            <v>16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64</v>
          </cell>
          <cell r="Q200">
            <v>6</v>
          </cell>
          <cell r="R200">
            <v>58</v>
          </cell>
          <cell r="S200">
            <v>16</v>
          </cell>
          <cell r="T200">
            <v>64</v>
          </cell>
        </row>
        <row r="201">
          <cell r="C201" t="str">
            <v>Census Tract 248, King County, Washington</v>
          </cell>
          <cell r="D201">
            <v>59</v>
          </cell>
          <cell r="E201">
            <v>40</v>
          </cell>
          <cell r="F201">
            <v>13</v>
          </cell>
          <cell r="G201">
            <v>27</v>
          </cell>
          <cell r="H201">
            <v>9</v>
          </cell>
          <cell r="I201">
            <v>0</v>
          </cell>
          <cell r="J201">
            <v>0</v>
          </cell>
          <cell r="K201">
            <v>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19</v>
          </cell>
          <cell r="Q201">
            <v>9</v>
          </cell>
          <cell r="R201">
            <v>10</v>
          </cell>
          <cell r="S201">
            <v>40</v>
          </cell>
          <cell r="T201">
            <v>19</v>
          </cell>
        </row>
        <row r="202">
          <cell r="C202" t="str">
            <v>Census Tract 249.01, King County, Washington</v>
          </cell>
          <cell r="D202">
            <v>9</v>
          </cell>
          <cell r="E202">
            <v>9</v>
          </cell>
          <cell r="F202">
            <v>0</v>
          </cell>
          <cell r="G202">
            <v>9</v>
          </cell>
          <cell r="H202">
            <v>9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9</v>
          </cell>
          <cell r="T202">
            <v>0</v>
          </cell>
        </row>
        <row r="203">
          <cell r="C203" t="str">
            <v>Census Tract 249.02, King County, Washington</v>
          </cell>
          <cell r="D203">
            <v>18</v>
          </cell>
          <cell r="E203">
            <v>8</v>
          </cell>
          <cell r="F203">
            <v>0</v>
          </cell>
          <cell r="G203">
            <v>8</v>
          </cell>
          <cell r="H203">
            <v>0</v>
          </cell>
          <cell r="I203">
            <v>0</v>
          </cell>
          <cell r="J203">
            <v>0</v>
          </cell>
          <cell r="K203">
            <v>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10</v>
          </cell>
          <cell r="Q203">
            <v>0</v>
          </cell>
          <cell r="R203">
            <v>10</v>
          </cell>
          <cell r="S203">
            <v>8</v>
          </cell>
          <cell r="T203">
            <v>10</v>
          </cell>
        </row>
        <row r="204">
          <cell r="C204" t="str">
            <v>Census Tract 249.03, King County, Washington</v>
          </cell>
          <cell r="D204">
            <v>27</v>
          </cell>
          <cell r="E204">
            <v>27</v>
          </cell>
          <cell r="F204">
            <v>0</v>
          </cell>
          <cell r="G204">
            <v>27</v>
          </cell>
          <cell r="H204">
            <v>9</v>
          </cell>
          <cell r="I204">
            <v>0</v>
          </cell>
          <cell r="J204">
            <v>0</v>
          </cell>
          <cell r="K204">
            <v>18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27</v>
          </cell>
          <cell r="T204">
            <v>0</v>
          </cell>
        </row>
        <row r="205">
          <cell r="C205" t="str">
            <v>Census Tract 250.01, King County, Washington</v>
          </cell>
          <cell r="D205">
            <v>44</v>
          </cell>
          <cell r="E205">
            <v>26</v>
          </cell>
          <cell r="F205">
            <v>22</v>
          </cell>
          <cell r="G205">
            <v>4</v>
          </cell>
          <cell r="H205">
            <v>0</v>
          </cell>
          <cell r="I205">
            <v>0</v>
          </cell>
          <cell r="J205">
            <v>0</v>
          </cell>
          <cell r="K205">
            <v>4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</v>
          </cell>
          <cell r="Q205">
            <v>5</v>
          </cell>
          <cell r="R205">
            <v>13</v>
          </cell>
          <cell r="S205">
            <v>26</v>
          </cell>
          <cell r="T205">
            <v>18</v>
          </cell>
        </row>
        <row r="206">
          <cell r="C206" t="str">
            <v>Census Tract 250.03, King County, Washington</v>
          </cell>
          <cell r="D206">
            <v>36</v>
          </cell>
          <cell r="E206">
            <v>36</v>
          </cell>
          <cell r="F206">
            <v>24</v>
          </cell>
          <cell r="G206">
            <v>12</v>
          </cell>
          <cell r="H206">
            <v>0</v>
          </cell>
          <cell r="I206">
            <v>0</v>
          </cell>
          <cell r="J206">
            <v>0</v>
          </cell>
          <cell r="K206">
            <v>12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36</v>
          </cell>
          <cell r="T206">
            <v>0</v>
          </cell>
        </row>
        <row r="207">
          <cell r="C207" t="str">
            <v>Census Tract 250.04, King County, Washington</v>
          </cell>
          <cell r="D207">
            <v>88</v>
          </cell>
          <cell r="E207">
            <v>35</v>
          </cell>
          <cell r="F207">
            <v>35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53</v>
          </cell>
          <cell r="Q207">
            <v>7</v>
          </cell>
          <cell r="R207">
            <v>46</v>
          </cell>
          <cell r="S207">
            <v>35</v>
          </cell>
          <cell r="T207">
            <v>53</v>
          </cell>
        </row>
        <row r="208">
          <cell r="C208" t="str">
            <v>Census Tract 251.01, King County, Washington</v>
          </cell>
          <cell r="D208">
            <v>150</v>
          </cell>
          <cell r="E208">
            <v>77</v>
          </cell>
          <cell r="F208">
            <v>32</v>
          </cell>
          <cell r="G208">
            <v>45</v>
          </cell>
          <cell r="H208">
            <v>0</v>
          </cell>
          <cell r="I208">
            <v>5</v>
          </cell>
          <cell r="J208">
            <v>0</v>
          </cell>
          <cell r="K208">
            <v>40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73</v>
          </cell>
          <cell r="Q208">
            <v>8</v>
          </cell>
          <cell r="R208">
            <v>65</v>
          </cell>
          <cell r="S208">
            <v>77</v>
          </cell>
          <cell r="T208">
            <v>73</v>
          </cell>
        </row>
        <row r="209">
          <cell r="C209" t="str">
            <v>Census Tract 251.02, King County, Washington</v>
          </cell>
          <cell r="D209">
            <v>12</v>
          </cell>
          <cell r="E209">
            <v>12</v>
          </cell>
          <cell r="F209">
            <v>0</v>
          </cell>
          <cell r="G209">
            <v>12</v>
          </cell>
          <cell r="H209">
            <v>0</v>
          </cell>
          <cell r="I209">
            <v>0</v>
          </cell>
          <cell r="J209">
            <v>0</v>
          </cell>
          <cell r="K209">
            <v>12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12</v>
          </cell>
          <cell r="T209">
            <v>0</v>
          </cell>
        </row>
        <row r="210">
          <cell r="C210" t="str">
            <v>Census Tract 252, King County, Washington</v>
          </cell>
          <cell r="D210">
            <v>230</v>
          </cell>
          <cell r="E210">
            <v>102</v>
          </cell>
          <cell r="F210">
            <v>24</v>
          </cell>
          <cell r="G210">
            <v>78</v>
          </cell>
          <cell r="H210">
            <v>0</v>
          </cell>
          <cell r="I210">
            <v>0</v>
          </cell>
          <cell r="J210">
            <v>27</v>
          </cell>
          <cell r="K210">
            <v>51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128</v>
          </cell>
          <cell r="Q210">
            <v>0</v>
          </cell>
          <cell r="R210">
            <v>128</v>
          </cell>
          <cell r="S210">
            <v>102</v>
          </cell>
          <cell r="T210">
            <v>128</v>
          </cell>
        </row>
        <row r="211">
          <cell r="C211" t="str">
            <v>Census Tract 253, King County, Washington</v>
          </cell>
          <cell r="D211">
            <v>179</v>
          </cell>
          <cell r="E211">
            <v>64</v>
          </cell>
          <cell r="F211">
            <v>47</v>
          </cell>
          <cell r="G211">
            <v>17</v>
          </cell>
          <cell r="H211">
            <v>0</v>
          </cell>
          <cell r="I211">
            <v>0</v>
          </cell>
          <cell r="J211">
            <v>0</v>
          </cell>
          <cell r="K211">
            <v>17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115</v>
          </cell>
          <cell r="Q211">
            <v>14</v>
          </cell>
          <cell r="R211">
            <v>101</v>
          </cell>
          <cell r="S211">
            <v>64</v>
          </cell>
          <cell r="T211">
            <v>115</v>
          </cell>
        </row>
        <row r="212">
          <cell r="C212" t="str">
            <v>Census Tract 254, King County, Washington</v>
          </cell>
          <cell r="D212">
            <v>325</v>
          </cell>
          <cell r="E212">
            <v>219</v>
          </cell>
          <cell r="F212">
            <v>96</v>
          </cell>
          <cell r="G212">
            <v>123</v>
          </cell>
          <cell r="H212">
            <v>9</v>
          </cell>
          <cell r="I212">
            <v>0</v>
          </cell>
          <cell r="J212">
            <v>27</v>
          </cell>
          <cell r="K212">
            <v>87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106</v>
          </cell>
          <cell r="Q212">
            <v>26</v>
          </cell>
          <cell r="R212">
            <v>80</v>
          </cell>
          <cell r="S212">
            <v>219</v>
          </cell>
          <cell r="T212">
            <v>106</v>
          </cell>
        </row>
        <row r="213">
          <cell r="C213" t="str">
            <v>Census Tract 255, King County, Washington</v>
          </cell>
          <cell r="D213">
            <v>240</v>
          </cell>
          <cell r="E213">
            <v>43</v>
          </cell>
          <cell r="F213">
            <v>19</v>
          </cell>
          <cell r="G213">
            <v>24</v>
          </cell>
          <cell r="H213">
            <v>0</v>
          </cell>
          <cell r="I213">
            <v>0</v>
          </cell>
          <cell r="J213">
            <v>0</v>
          </cell>
          <cell r="K213">
            <v>24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197</v>
          </cell>
          <cell r="Q213">
            <v>0</v>
          </cell>
          <cell r="R213">
            <v>197</v>
          </cell>
          <cell r="S213">
            <v>43</v>
          </cell>
          <cell r="T213">
            <v>197</v>
          </cell>
        </row>
        <row r="214">
          <cell r="C214" t="str">
            <v>Census Tract 256, King County, Washington</v>
          </cell>
          <cell r="D214">
            <v>309</v>
          </cell>
          <cell r="E214">
            <v>42</v>
          </cell>
          <cell r="F214">
            <v>25</v>
          </cell>
          <cell r="G214">
            <v>17</v>
          </cell>
          <cell r="H214">
            <v>0</v>
          </cell>
          <cell r="I214">
            <v>0</v>
          </cell>
          <cell r="J214">
            <v>0</v>
          </cell>
          <cell r="K214">
            <v>17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267</v>
          </cell>
          <cell r="Q214">
            <v>20</v>
          </cell>
          <cell r="R214">
            <v>247</v>
          </cell>
          <cell r="S214">
            <v>42</v>
          </cell>
          <cell r="T214">
            <v>267</v>
          </cell>
        </row>
        <row r="215">
          <cell r="C215" t="str">
            <v>Census Tract 257.01, King County, Washington</v>
          </cell>
          <cell r="D215">
            <v>267</v>
          </cell>
          <cell r="E215">
            <v>92</v>
          </cell>
          <cell r="F215">
            <v>61</v>
          </cell>
          <cell r="G215">
            <v>31</v>
          </cell>
          <cell r="H215">
            <v>0</v>
          </cell>
          <cell r="I215">
            <v>0</v>
          </cell>
          <cell r="J215">
            <v>9</v>
          </cell>
          <cell r="K215">
            <v>22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175</v>
          </cell>
          <cell r="Q215">
            <v>35</v>
          </cell>
          <cell r="R215">
            <v>140</v>
          </cell>
          <cell r="S215">
            <v>92</v>
          </cell>
          <cell r="T215">
            <v>175</v>
          </cell>
        </row>
        <row r="216">
          <cell r="C216" t="str">
            <v>Census Tract 257.02, King County, Washington</v>
          </cell>
          <cell r="D216">
            <v>50</v>
          </cell>
          <cell r="E216">
            <v>50</v>
          </cell>
          <cell r="F216">
            <v>17</v>
          </cell>
          <cell r="G216">
            <v>26</v>
          </cell>
          <cell r="H216">
            <v>8</v>
          </cell>
          <cell r="I216">
            <v>0</v>
          </cell>
          <cell r="J216">
            <v>0</v>
          </cell>
          <cell r="K216">
            <v>18</v>
          </cell>
          <cell r="L216">
            <v>7</v>
          </cell>
          <cell r="M216">
            <v>0</v>
          </cell>
          <cell r="N216">
            <v>0</v>
          </cell>
          <cell r="O216">
            <v>7</v>
          </cell>
          <cell r="P216">
            <v>0</v>
          </cell>
          <cell r="Q216">
            <v>0</v>
          </cell>
          <cell r="R216">
            <v>0</v>
          </cell>
          <cell r="S216">
            <v>43</v>
          </cell>
          <cell r="T216">
            <v>7</v>
          </cell>
        </row>
        <row r="217">
          <cell r="C217" t="str">
            <v>Census Tract 258.01, King County, Washington</v>
          </cell>
          <cell r="D217">
            <v>327</v>
          </cell>
          <cell r="E217">
            <v>254</v>
          </cell>
          <cell r="F217">
            <v>113</v>
          </cell>
          <cell r="G217">
            <v>141</v>
          </cell>
          <cell r="H217">
            <v>10</v>
          </cell>
          <cell r="I217">
            <v>13</v>
          </cell>
          <cell r="J217">
            <v>29</v>
          </cell>
          <cell r="K217">
            <v>89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73</v>
          </cell>
          <cell r="Q217">
            <v>36</v>
          </cell>
          <cell r="R217">
            <v>37</v>
          </cell>
          <cell r="S217">
            <v>254</v>
          </cell>
          <cell r="T217">
            <v>73</v>
          </cell>
        </row>
        <row r="218">
          <cell r="C218" t="str">
            <v>Census Tract 258.03, King County, Washington</v>
          </cell>
          <cell r="D218">
            <v>202</v>
          </cell>
          <cell r="E218">
            <v>144</v>
          </cell>
          <cell r="F218">
            <v>67</v>
          </cell>
          <cell r="G218">
            <v>72</v>
          </cell>
          <cell r="H218">
            <v>0</v>
          </cell>
          <cell r="I218">
            <v>9</v>
          </cell>
          <cell r="J218">
            <v>0</v>
          </cell>
          <cell r="K218">
            <v>63</v>
          </cell>
          <cell r="L218">
            <v>5</v>
          </cell>
          <cell r="M218">
            <v>0</v>
          </cell>
          <cell r="N218">
            <v>0</v>
          </cell>
          <cell r="O218">
            <v>5</v>
          </cell>
          <cell r="P218">
            <v>58</v>
          </cell>
          <cell r="Q218">
            <v>22</v>
          </cell>
          <cell r="R218">
            <v>36</v>
          </cell>
          <cell r="S218">
            <v>139</v>
          </cell>
          <cell r="T218">
            <v>63</v>
          </cell>
        </row>
        <row r="219">
          <cell r="C219" t="str">
            <v>Census Tract 258.04, King County, Washington</v>
          </cell>
          <cell r="D219">
            <v>46</v>
          </cell>
          <cell r="E219">
            <v>46</v>
          </cell>
          <cell r="F219">
            <v>19</v>
          </cell>
          <cell r="G219">
            <v>27</v>
          </cell>
          <cell r="H219">
            <v>0</v>
          </cell>
          <cell r="I219">
            <v>5</v>
          </cell>
          <cell r="J219">
            <v>22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46</v>
          </cell>
          <cell r="T219">
            <v>0</v>
          </cell>
        </row>
        <row r="220">
          <cell r="C220" t="str">
            <v>Census Tract 260.01, King County, Washington</v>
          </cell>
          <cell r="D220">
            <v>170</v>
          </cell>
          <cell r="E220">
            <v>48</v>
          </cell>
          <cell r="F220">
            <v>18</v>
          </cell>
          <cell r="G220">
            <v>30</v>
          </cell>
          <cell r="H220">
            <v>0</v>
          </cell>
          <cell r="I220">
            <v>1</v>
          </cell>
          <cell r="J220">
            <v>12</v>
          </cell>
          <cell r="K220">
            <v>17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122</v>
          </cell>
          <cell r="Q220">
            <v>1</v>
          </cell>
          <cell r="R220">
            <v>121</v>
          </cell>
          <cell r="S220">
            <v>48</v>
          </cell>
          <cell r="T220">
            <v>122</v>
          </cell>
        </row>
        <row r="221">
          <cell r="C221" t="str">
            <v>Census Tract 260.02, King County, Washington</v>
          </cell>
          <cell r="D221">
            <v>179</v>
          </cell>
          <cell r="E221">
            <v>130</v>
          </cell>
          <cell r="F221">
            <v>100</v>
          </cell>
          <cell r="G221">
            <v>19</v>
          </cell>
          <cell r="H221">
            <v>0</v>
          </cell>
          <cell r="I221">
            <v>0</v>
          </cell>
          <cell r="J221">
            <v>0</v>
          </cell>
          <cell r="K221">
            <v>19</v>
          </cell>
          <cell r="L221">
            <v>11</v>
          </cell>
          <cell r="M221">
            <v>11</v>
          </cell>
          <cell r="N221">
            <v>0</v>
          </cell>
          <cell r="O221">
            <v>0</v>
          </cell>
          <cell r="P221">
            <v>49</v>
          </cell>
          <cell r="Q221">
            <v>0</v>
          </cell>
          <cell r="R221">
            <v>49</v>
          </cell>
          <cell r="S221">
            <v>119</v>
          </cell>
          <cell r="T221">
            <v>60</v>
          </cell>
        </row>
        <row r="222">
          <cell r="C222" t="str">
            <v>Census Tract 261, King County, Washington</v>
          </cell>
          <cell r="D222">
            <v>163</v>
          </cell>
          <cell r="E222">
            <v>87</v>
          </cell>
          <cell r="F222">
            <v>67</v>
          </cell>
          <cell r="G222">
            <v>20</v>
          </cell>
          <cell r="H222">
            <v>9</v>
          </cell>
          <cell r="I222">
            <v>0</v>
          </cell>
          <cell r="J222">
            <v>8</v>
          </cell>
          <cell r="K222">
            <v>3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76</v>
          </cell>
          <cell r="Q222">
            <v>30</v>
          </cell>
          <cell r="R222">
            <v>46</v>
          </cell>
          <cell r="S222">
            <v>87</v>
          </cell>
          <cell r="T222">
            <v>76</v>
          </cell>
        </row>
        <row r="223">
          <cell r="C223" t="str">
            <v>Census Tract 262, King County, Washington</v>
          </cell>
          <cell r="D223">
            <v>158</v>
          </cell>
          <cell r="E223">
            <v>72</v>
          </cell>
          <cell r="F223">
            <v>21</v>
          </cell>
          <cell r="G223">
            <v>51</v>
          </cell>
          <cell r="H223">
            <v>0</v>
          </cell>
          <cell r="I223">
            <v>0</v>
          </cell>
          <cell r="J223">
            <v>11</v>
          </cell>
          <cell r="K223">
            <v>40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86</v>
          </cell>
          <cell r="Q223">
            <v>18</v>
          </cell>
          <cell r="R223">
            <v>68</v>
          </cell>
          <cell r="S223">
            <v>72</v>
          </cell>
          <cell r="T223">
            <v>86</v>
          </cell>
        </row>
        <row r="224">
          <cell r="C224" t="str">
            <v>Census Tract 263, King County, Washington</v>
          </cell>
          <cell r="D224">
            <v>45</v>
          </cell>
          <cell r="E224">
            <v>18</v>
          </cell>
          <cell r="F224">
            <v>8</v>
          </cell>
          <cell r="G224">
            <v>10</v>
          </cell>
          <cell r="H224">
            <v>0</v>
          </cell>
          <cell r="I224">
            <v>0</v>
          </cell>
          <cell r="J224">
            <v>0</v>
          </cell>
          <cell r="K224">
            <v>10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27</v>
          </cell>
          <cell r="Q224">
            <v>3</v>
          </cell>
          <cell r="R224">
            <v>24</v>
          </cell>
          <cell r="S224">
            <v>18</v>
          </cell>
          <cell r="T224">
            <v>27</v>
          </cell>
        </row>
        <row r="225">
          <cell r="C225" t="str">
            <v>Census Tract 264, King County, Washington</v>
          </cell>
          <cell r="D225">
            <v>544</v>
          </cell>
          <cell r="E225">
            <v>332</v>
          </cell>
          <cell r="F225">
            <v>231</v>
          </cell>
          <cell r="G225">
            <v>101</v>
          </cell>
          <cell r="H225">
            <v>0</v>
          </cell>
          <cell r="I225">
            <v>0</v>
          </cell>
          <cell r="J225">
            <v>14</v>
          </cell>
          <cell r="K225">
            <v>87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212</v>
          </cell>
          <cell r="Q225">
            <v>24</v>
          </cell>
          <cell r="R225">
            <v>188</v>
          </cell>
          <cell r="S225">
            <v>332</v>
          </cell>
          <cell r="T225">
            <v>212</v>
          </cell>
        </row>
        <row r="226">
          <cell r="C226" t="str">
            <v>Census Tract 265, King County, Washington</v>
          </cell>
          <cell r="D226">
            <v>81</v>
          </cell>
          <cell r="E226">
            <v>49</v>
          </cell>
          <cell r="F226">
            <v>6</v>
          </cell>
          <cell r="G226">
            <v>43</v>
          </cell>
          <cell r="H226">
            <v>0</v>
          </cell>
          <cell r="I226">
            <v>0</v>
          </cell>
          <cell r="J226">
            <v>7</v>
          </cell>
          <cell r="K226">
            <v>36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32</v>
          </cell>
          <cell r="Q226">
            <v>0</v>
          </cell>
          <cell r="R226">
            <v>32</v>
          </cell>
          <cell r="S226">
            <v>49</v>
          </cell>
          <cell r="T226">
            <v>32</v>
          </cell>
        </row>
        <row r="227">
          <cell r="C227" t="str">
            <v>Census Tract 266, King County, Washington</v>
          </cell>
          <cell r="D227">
            <v>69</v>
          </cell>
          <cell r="E227">
            <v>15</v>
          </cell>
          <cell r="F227">
            <v>0</v>
          </cell>
          <cell r="G227">
            <v>15</v>
          </cell>
          <cell r="H227">
            <v>0</v>
          </cell>
          <cell r="I227">
            <v>0</v>
          </cell>
          <cell r="J227">
            <v>0</v>
          </cell>
          <cell r="K227">
            <v>15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54</v>
          </cell>
          <cell r="Q227">
            <v>26</v>
          </cell>
          <cell r="R227">
            <v>28</v>
          </cell>
          <cell r="S227">
            <v>15</v>
          </cell>
          <cell r="T227">
            <v>54</v>
          </cell>
        </row>
        <row r="228">
          <cell r="C228" t="str">
            <v>Census Tract 267, King County, Washington</v>
          </cell>
          <cell r="D228">
            <v>319</v>
          </cell>
          <cell r="E228">
            <v>97</v>
          </cell>
          <cell r="F228">
            <v>59</v>
          </cell>
          <cell r="G228">
            <v>38</v>
          </cell>
          <cell r="H228">
            <v>11</v>
          </cell>
          <cell r="I228">
            <v>0</v>
          </cell>
          <cell r="J228">
            <v>0</v>
          </cell>
          <cell r="K228">
            <v>27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222</v>
          </cell>
          <cell r="Q228">
            <v>26</v>
          </cell>
          <cell r="R228">
            <v>196</v>
          </cell>
          <cell r="S228">
            <v>97</v>
          </cell>
          <cell r="T228">
            <v>222</v>
          </cell>
        </row>
        <row r="229">
          <cell r="C229" t="str">
            <v>Census Tract 268.01, King County, Washington</v>
          </cell>
          <cell r="D229">
            <v>480</v>
          </cell>
          <cell r="E229">
            <v>186</v>
          </cell>
          <cell r="F229">
            <v>58</v>
          </cell>
          <cell r="G229">
            <v>128</v>
          </cell>
          <cell r="H229">
            <v>0</v>
          </cell>
          <cell r="I229">
            <v>18</v>
          </cell>
          <cell r="J229">
            <v>15</v>
          </cell>
          <cell r="K229">
            <v>95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294</v>
          </cell>
          <cell r="Q229">
            <v>31</v>
          </cell>
          <cell r="R229">
            <v>263</v>
          </cell>
          <cell r="S229">
            <v>186</v>
          </cell>
          <cell r="T229">
            <v>294</v>
          </cell>
        </row>
        <row r="230">
          <cell r="C230" t="str">
            <v>Census Tract 268.02, King County, Washington</v>
          </cell>
          <cell r="D230">
            <v>493</v>
          </cell>
          <cell r="E230">
            <v>214</v>
          </cell>
          <cell r="F230">
            <v>100</v>
          </cell>
          <cell r="G230">
            <v>102</v>
          </cell>
          <cell r="H230">
            <v>0</v>
          </cell>
          <cell r="I230">
            <v>39</v>
          </cell>
          <cell r="J230">
            <v>0</v>
          </cell>
          <cell r="K230">
            <v>63</v>
          </cell>
          <cell r="L230">
            <v>12</v>
          </cell>
          <cell r="M230">
            <v>12</v>
          </cell>
          <cell r="N230">
            <v>0</v>
          </cell>
          <cell r="O230">
            <v>0</v>
          </cell>
          <cell r="P230">
            <v>279</v>
          </cell>
          <cell r="Q230">
            <v>38</v>
          </cell>
          <cell r="R230">
            <v>241</v>
          </cell>
          <cell r="S230">
            <v>202</v>
          </cell>
          <cell r="T230">
            <v>291</v>
          </cell>
        </row>
        <row r="231">
          <cell r="C231" t="str">
            <v>Census Tract 269, King County, Washington</v>
          </cell>
          <cell r="D231">
            <v>144</v>
          </cell>
          <cell r="E231">
            <v>66</v>
          </cell>
          <cell r="F231">
            <v>59</v>
          </cell>
          <cell r="G231">
            <v>7</v>
          </cell>
          <cell r="H231">
            <v>0</v>
          </cell>
          <cell r="I231">
            <v>0</v>
          </cell>
          <cell r="J231">
            <v>0</v>
          </cell>
          <cell r="K231">
            <v>7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78</v>
          </cell>
          <cell r="Q231">
            <v>6</v>
          </cell>
          <cell r="R231">
            <v>72</v>
          </cell>
          <cell r="S231">
            <v>66</v>
          </cell>
          <cell r="T231">
            <v>78</v>
          </cell>
        </row>
        <row r="232">
          <cell r="C232" t="str">
            <v>Census Tract 270, King County, Washington</v>
          </cell>
          <cell r="D232">
            <v>322</v>
          </cell>
          <cell r="E232">
            <v>61</v>
          </cell>
          <cell r="F232">
            <v>50</v>
          </cell>
          <cell r="G232">
            <v>11</v>
          </cell>
          <cell r="H232">
            <v>0</v>
          </cell>
          <cell r="I232">
            <v>0</v>
          </cell>
          <cell r="J232">
            <v>6</v>
          </cell>
          <cell r="K232">
            <v>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261</v>
          </cell>
          <cell r="Q232">
            <v>6</v>
          </cell>
          <cell r="R232">
            <v>255</v>
          </cell>
          <cell r="S232">
            <v>61</v>
          </cell>
          <cell r="T232">
            <v>261</v>
          </cell>
        </row>
        <row r="233">
          <cell r="C233" t="str">
            <v>Census Tract 271, King County, Washington</v>
          </cell>
          <cell r="D233">
            <v>304</v>
          </cell>
          <cell r="E233">
            <v>181</v>
          </cell>
          <cell r="F233">
            <v>154</v>
          </cell>
          <cell r="G233">
            <v>27</v>
          </cell>
          <cell r="H233">
            <v>0</v>
          </cell>
          <cell r="I233">
            <v>8</v>
          </cell>
          <cell r="J233">
            <v>19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123</v>
          </cell>
          <cell r="Q233">
            <v>13</v>
          </cell>
          <cell r="R233">
            <v>110</v>
          </cell>
          <cell r="S233">
            <v>181</v>
          </cell>
          <cell r="T233">
            <v>123</v>
          </cell>
        </row>
        <row r="234">
          <cell r="C234" t="str">
            <v>Census Tract 272, King County, Washington</v>
          </cell>
          <cell r="D234">
            <v>107</v>
          </cell>
          <cell r="E234">
            <v>55</v>
          </cell>
          <cell r="F234">
            <v>24</v>
          </cell>
          <cell r="G234">
            <v>31</v>
          </cell>
          <cell r="H234">
            <v>0</v>
          </cell>
          <cell r="I234">
            <v>6</v>
          </cell>
          <cell r="J234">
            <v>0</v>
          </cell>
          <cell r="K234">
            <v>25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52</v>
          </cell>
          <cell r="Q234">
            <v>32</v>
          </cell>
          <cell r="R234">
            <v>20</v>
          </cell>
          <cell r="S234">
            <v>55</v>
          </cell>
          <cell r="T234">
            <v>52</v>
          </cell>
        </row>
        <row r="235">
          <cell r="C235" t="str">
            <v>Census Tract 273, King County, Washington</v>
          </cell>
          <cell r="D235">
            <v>587</v>
          </cell>
          <cell r="E235">
            <v>179</v>
          </cell>
          <cell r="F235">
            <v>114</v>
          </cell>
          <cell r="G235">
            <v>65</v>
          </cell>
          <cell r="H235">
            <v>0</v>
          </cell>
          <cell r="I235">
            <v>7</v>
          </cell>
          <cell r="J235">
            <v>6</v>
          </cell>
          <cell r="K235">
            <v>52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408</v>
          </cell>
          <cell r="Q235">
            <v>17</v>
          </cell>
          <cell r="R235">
            <v>391</v>
          </cell>
          <cell r="S235">
            <v>179</v>
          </cell>
          <cell r="T235">
            <v>408</v>
          </cell>
        </row>
        <row r="236">
          <cell r="C236" t="str">
            <v>Census Tract 274, King County, Washington</v>
          </cell>
          <cell r="D236">
            <v>265</v>
          </cell>
          <cell r="E236">
            <v>177</v>
          </cell>
          <cell r="F236">
            <v>89</v>
          </cell>
          <cell r="G236">
            <v>88</v>
          </cell>
          <cell r="H236">
            <v>0</v>
          </cell>
          <cell r="I236">
            <v>0</v>
          </cell>
          <cell r="J236">
            <v>11</v>
          </cell>
          <cell r="K236">
            <v>77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88</v>
          </cell>
          <cell r="Q236">
            <v>14</v>
          </cell>
          <cell r="R236">
            <v>74</v>
          </cell>
          <cell r="S236">
            <v>177</v>
          </cell>
          <cell r="T236">
            <v>88</v>
          </cell>
        </row>
        <row r="237">
          <cell r="C237" t="str">
            <v>Census Tract 275, King County, Washington</v>
          </cell>
          <cell r="D237">
            <v>182</v>
          </cell>
          <cell r="E237">
            <v>60</v>
          </cell>
          <cell r="F237">
            <v>60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122</v>
          </cell>
          <cell r="Q237">
            <v>70</v>
          </cell>
          <cell r="R237">
            <v>52</v>
          </cell>
          <cell r="S237">
            <v>60</v>
          </cell>
          <cell r="T237">
            <v>122</v>
          </cell>
        </row>
        <row r="238">
          <cell r="C238" t="str">
            <v>Census Tract 276, King County, Washington</v>
          </cell>
          <cell r="D238">
            <v>368</v>
          </cell>
          <cell r="E238">
            <v>148</v>
          </cell>
          <cell r="F238">
            <v>115</v>
          </cell>
          <cell r="G238">
            <v>33</v>
          </cell>
          <cell r="H238">
            <v>0</v>
          </cell>
          <cell r="I238">
            <v>0</v>
          </cell>
          <cell r="J238">
            <v>6</v>
          </cell>
          <cell r="K238">
            <v>27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220</v>
          </cell>
          <cell r="Q238">
            <v>4</v>
          </cell>
          <cell r="R238">
            <v>216</v>
          </cell>
          <cell r="S238">
            <v>148</v>
          </cell>
          <cell r="T238">
            <v>220</v>
          </cell>
        </row>
        <row r="239">
          <cell r="C239" t="str">
            <v>Census Tract 277.01, King County, Washington</v>
          </cell>
          <cell r="D239">
            <v>67</v>
          </cell>
          <cell r="E239">
            <v>6</v>
          </cell>
          <cell r="F239">
            <v>6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61</v>
          </cell>
          <cell r="Q239">
            <v>14</v>
          </cell>
          <cell r="R239">
            <v>47</v>
          </cell>
          <cell r="S239">
            <v>6</v>
          </cell>
          <cell r="T239">
            <v>61</v>
          </cell>
        </row>
        <row r="240">
          <cell r="C240" t="str">
            <v>Census Tract 277.02, King County, Washington</v>
          </cell>
          <cell r="D240">
            <v>65</v>
          </cell>
          <cell r="E240">
            <v>36</v>
          </cell>
          <cell r="F240">
            <v>27</v>
          </cell>
          <cell r="G240">
            <v>9</v>
          </cell>
          <cell r="H240">
            <v>0</v>
          </cell>
          <cell r="I240">
            <v>0</v>
          </cell>
          <cell r="J240">
            <v>0</v>
          </cell>
          <cell r="K240">
            <v>9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29</v>
          </cell>
          <cell r="Q240">
            <v>0</v>
          </cell>
          <cell r="R240">
            <v>29</v>
          </cell>
          <cell r="S240">
            <v>36</v>
          </cell>
          <cell r="T240">
            <v>29</v>
          </cell>
        </row>
        <row r="241">
          <cell r="C241" t="str">
            <v>Census Tract 278, King County, Washington</v>
          </cell>
          <cell r="D241">
            <v>14</v>
          </cell>
          <cell r="E241">
            <v>10</v>
          </cell>
          <cell r="F241">
            <v>10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4</v>
          </cell>
          <cell r="Q241">
            <v>0</v>
          </cell>
          <cell r="R241">
            <v>4</v>
          </cell>
          <cell r="S241">
            <v>10</v>
          </cell>
          <cell r="T241">
            <v>4</v>
          </cell>
        </row>
        <row r="242">
          <cell r="C242" t="str">
            <v>Census Tract 279, King County, Washington</v>
          </cell>
          <cell r="D242">
            <v>268</v>
          </cell>
          <cell r="E242">
            <v>119</v>
          </cell>
          <cell r="F242">
            <v>68</v>
          </cell>
          <cell r="G242">
            <v>51</v>
          </cell>
          <cell r="H242">
            <v>9</v>
          </cell>
          <cell r="I242">
            <v>0</v>
          </cell>
          <cell r="J242">
            <v>11</v>
          </cell>
          <cell r="K242">
            <v>31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149</v>
          </cell>
          <cell r="Q242">
            <v>56</v>
          </cell>
          <cell r="R242">
            <v>93</v>
          </cell>
          <cell r="S242">
            <v>119</v>
          </cell>
          <cell r="T242">
            <v>149</v>
          </cell>
        </row>
        <row r="243">
          <cell r="C243" t="str">
            <v>Census Tract 280, King County, Washington</v>
          </cell>
          <cell r="D243">
            <v>301</v>
          </cell>
          <cell r="E243">
            <v>161</v>
          </cell>
          <cell r="F243">
            <v>147</v>
          </cell>
          <cell r="G243">
            <v>7</v>
          </cell>
          <cell r="H243">
            <v>0</v>
          </cell>
          <cell r="I243">
            <v>0</v>
          </cell>
          <cell r="J243">
            <v>7</v>
          </cell>
          <cell r="K243">
            <v>0</v>
          </cell>
          <cell r="L243">
            <v>7</v>
          </cell>
          <cell r="M243">
            <v>7</v>
          </cell>
          <cell r="N243">
            <v>0</v>
          </cell>
          <cell r="O243">
            <v>0</v>
          </cell>
          <cell r="P243">
            <v>140</v>
          </cell>
          <cell r="Q243">
            <v>0</v>
          </cell>
          <cell r="R243">
            <v>140</v>
          </cell>
          <cell r="S243">
            <v>154</v>
          </cell>
          <cell r="T243">
            <v>147</v>
          </cell>
        </row>
        <row r="244">
          <cell r="C244" t="str">
            <v>Census Tract 281, King County, Washington</v>
          </cell>
          <cell r="D244">
            <v>258</v>
          </cell>
          <cell r="E244">
            <v>124</v>
          </cell>
          <cell r="F244">
            <v>93</v>
          </cell>
          <cell r="G244">
            <v>23</v>
          </cell>
          <cell r="H244">
            <v>0</v>
          </cell>
          <cell r="I244">
            <v>0</v>
          </cell>
          <cell r="J244">
            <v>5</v>
          </cell>
          <cell r="K244">
            <v>18</v>
          </cell>
          <cell r="L244">
            <v>8</v>
          </cell>
          <cell r="M244">
            <v>0</v>
          </cell>
          <cell r="N244">
            <v>0</v>
          </cell>
          <cell r="O244">
            <v>8</v>
          </cell>
          <cell r="P244">
            <v>134</v>
          </cell>
          <cell r="Q244">
            <v>22</v>
          </cell>
          <cell r="R244">
            <v>112</v>
          </cell>
          <cell r="S244">
            <v>116</v>
          </cell>
          <cell r="T244">
            <v>142</v>
          </cell>
        </row>
        <row r="245">
          <cell r="C245" t="str">
            <v>Census Tract 282, King County, Washington</v>
          </cell>
          <cell r="D245">
            <v>519</v>
          </cell>
          <cell r="E245">
            <v>146</v>
          </cell>
          <cell r="F245">
            <v>71</v>
          </cell>
          <cell r="G245">
            <v>68</v>
          </cell>
          <cell r="H245">
            <v>0</v>
          </cell>
          <cell r="I245">
            <v>0</v>
          </cell>
          <cell r="J245">
            <v>25</v>
          </cell>
          <cell r="K245">
            <v>43</v>
          </cell>
          <cell r="L245">
            <v>7</v>
          </cell>
          <cell r="M245">
            <v>0</v>
          </cell>
          <cell r="N245">
            <v>0</v>
          </cell>
          <cell r="O245">
            <v>7</v>
          </cell>
          <cell r="P245">
            <v>373</v>
          </cell>
          <cell r="Q245">
            <v>100</v>
          </cell>
          <cell r="R245">
            <v>273</v>
          </cell>
          <cell r="S245">
            <v>139</v>
          </cell>
          <cell r="T245">
            <v>380</v>
          </cell>
        </row>
        <row r="246">
          <cell r="C246" t="str">
            <v>Census Tract 283, King County, Washington</v>
          </cell>
          <cell r="D246">
            <v>69</v>
          </cell>
          <cell r="E246">
            <v>34</v>
          </cell>
          <cell r="F246">
            <v>5</v>
          </cell>
          <cell r="G246">
            <v>29</v>
          </cell>
          <cell r="H246">
            <v>0</v>
          </cell>
          <cell r="I246">
            <v>0</v>
          </cell>
          <cell r="J246">
            <v>7</v>
          </cell>
          <cell r="K246">
            <v>22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35</v>
          </cell>
          <cell r="Q246">
            <v>4</v>
          </cell>
          <cell r="R246">
            <v>31</v>
          </cell>
          <cell r="S246">
            <v>34</v>
          </cell>
          <cell r="T246">
            <v>35</v>
          </cell>
        </row>
        <row r="247">
          <cell r="C247" t="str">
            <v>Census Tract 284.02, King County, Washington</v>
          </cell>
          <cell r="D247">
            <v>343</v>
          </cell>
          <cell r="E247">
            <v>200</v>
          </cell>
          <cell r="F247">
            <v>105</v>
          </cell>
          <cell r="G247">
            <v>89</v>
          </cell>
          <cell r="H247">
            <v>7</v>
          </cell>
          <cell r="I247">
            <v>0</v>
          </cell>
          <cell r="J247">
            <v>0</v>
          </cell>
          <cell r="K247">
            <v>82</v>
          </cell>
          <cell r="L247">
            <v>6</v>
          </cell>
          <cell r="M247">
            <v>6</v>
          </cell>
          <cell r="N247">
            <v>0</v>
          </cell>
          <cell r="O247">
            <v>0</v>
          </cell>
          <cell r="P247">
            <v>143</v>
          </cell>
          <cell r="Q247">
            <v>0</v>
          </cell>
          <cell r="R247">
            <v>143</v>
          </cell>
          <cell r="S247">
            <v>194</v>
          </cell>
          <cell r="T247">
            <v>149</v>
          </cell>
        </row>
        <row r="248">
          <cell r="C248" t="str">
            <v>Census Tract 284.03, King County, Washington</v>
          </cell>
          <cell r="D248">
            <v>432</v>
          </cell>
          <cell r="E248">
            <v>132</v>
          </cell>
          <cell r="F248">
            <v>40</v>
          </cell>
          <cell r="G248">
            <v>92</v>
          </cell>
          <cell r="H248">
            <v>0</v>
          </cell>
          <cell r="I248">
            <v>10</v>
          </cell>
          <cell r="J248">
            <v>17</v>
          </cell>
          <cell r="K248">
            <v>65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300</v>
          </cell>
          <cell r="Q248">
            <v>28</v>
          </cell>
          <cell r="R248">
            <v>272</v>
          </cell>
          <cell r="S248">
            <v>132</v>
          </cell>
          <cell r="T248">
            <v>300</v>
          </cell>
        </row>
        <row r="249">
          <cell r="C249" t="str">
            <v>Census Tract 285, King County, Washington</v>
          </cell>
          <cell r="D249">
            <v>188</v>
          </cell>
          <cell r="E249">
            <v>75</v>
          </cell>
          <cell r="F249">
            <v>54</v>
          </cell>
          <cell r="G249">
            <v>11</v>
          </cell>
          <cell r="H249">
            <v>5</v>
          </cell>
          <cell r="I249">
            <v>0</v>
          </cell>
          <cell r="J249">
            <v>0</v>
          </cell>
          <cell r="K249">
            <v>6</v>
          </cell>
          <cell r="L249">
            <v>10</v>
          </cell>
          <cell r="M249">
            <v>10</v>
          </cell>
          <cell r="N249">
            <v>0</v>
          </cell>
          <cell r="O249">
            <v>0</v>
          </cell>
          <cell r="P249">
            <v>113</v>
          </cell>
          <cell r="Q249">
            <v>32</v>
          </cell>
          <cell r="R249">
            <v>81</v>
          </cell>
          <cell r="S249">
            <v>65</v>
          </cell>
          <cell r="T249">
            <v>123</v>
          </cell>
        </row>
        <row r="250">
          <cell r="C250" t="str">
            <v>Census Tract 286, King County, Washington</v>
          </cell>
          <cell r="D250">
            <v>77</v>
          </cell>
          <cell r="E250">
            <v>77</v>
          </cell>
          <cell r="F250">
            <v>0</v>
          </cell>
          <cell r="G250">
            <v>77</v>
          </cell>
          <cell r="H250">
            <v>0</v>
          </cell>
          <cell r="I250">
            <v>0</v>
          </cell>
          <cell r="J250">
            <v>18</v>
          </cell>
          <cell r="K250">
            <v>59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77</v>
          </cell>
          <cell r="T250">
            <v>0</v>
          </cell>
        </row>
        <row r="251">
          <cell r="C251" t="str">
            <v>Census Tract 287, King County, Washington</v>
          </cell>
          <cell r="D251">
            <v>37</v>
          </cell>
          <cell r="E251">
            <v>29</v>
          </cell>
          <cell r="F251">
            <v>29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8</v>
          </cell>
          <cell r="Q251">
            <v>8</v>
          </cell>
          <cell r="R251">
            <v>0</v>
          </cell>
          <cell r="S251">
            <v>29</v>
          </cell>
          <cell r="T251">
            <v>8</v>
          </cell>
        </row>
        <row r="252">
          <cell r="C252" t="str">
            <v>Census Tract 288.01, King County, Washington</v>
          </cell>
          <cell r="D252">
            <v>232</v>
          </cell>
          <cell r="E252">
            <v>109</v>
          </cell>
          <cell r="F252">
            <v>10</v>
          </cell>
          <cell r="G252">
            <v>99</v>
          </cell>
          <cell r="H252">
            <v>8</v>
          </cell>
          <cell r="I252">
            <v>19</v>
          </cell>
          <cell r="J252">
            <v>0</v>
          </cell>
          <cell r="K252">
            <v>72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123</v>
          </cell>
          <cell r="Q252">
            <v>32</v>
          </cell>
          <cell r="R252">
            <v>91</v>
          </cell>
          <cell r="S252">
            <v>109</v>
          </cell>
          <cell r="T252">
            <v>123</v>
          </cell>
        </row>
        <row r="253">
          <cell r="C253" t="str">
            <v>Census Tract 288.02, King County, Washington</v>
          </cell>
          <cell r="D253">
            <v>382</v>
          </cell>
          <cell r="E253">
            <v>69</v>
          </cell>
          <cell r="F253">
            <v>34</v>
          </cell>
          <cell r="G253">
            <v>35</v>
          </cell>
          <cell r="H253">
            <v>0</v>
          </cell>
          <cell r="I253">
            <v>0</v>
          </cell>
          <cell r="J253">
            <v>0</v>
          </cell>
          <cell r="K253">
            <v>35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313</v>
          </cell>
          <cell r="Q253">
            <v>22</v>
          </cell>
          <cell r="R253">
            <v>291</v>
          </cell>
          <cell r="S253">
            <v>69</v>
          </cell>
          <cell r="T253">
            <v>313</v>
          </cell>
        </row>
        <row r="254">
          <cell r="C254" t="str">
            <v>Census Tract 289.01, King County, Washington</v>
          </cell>
          <cell r="D254">
            <v>86</v>
          </cell>
          <cell r="E254">
            <v>55</v>
          </cell>
          <cell r="F254">
            <v>10</v>
          </cell>
          <cell r="G254">
            <v>45</v>
          </cell>
          <cell r="H254">
            <v>0</v>
          </cell>
          <cell r="I254">
            <v>0</v>
          </cell>
          <cell r="J254">
            <v>0</v>
          </cell>
          <cell r="K254">
            <v>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31</v>
          </cell>
          <cell r="Q254">
            <v>31</v>
          </cell>
          <cell r="R254">
            <v>0</v>
          </cell>
          <cell r="S254">
            <v>55</v>
          </cell>
          <cell r="T254">
            <v>31</v>
          </cell>
        </row>
        <row r="255">
          <cell r="C255" t="str">
            <v>Census Tract 289.02, King County, Washington</v>
          </cell>
          <cell r="D255">
            <v>458</v>
          </cell>
          <cell r="E255">
            <v>107</v>
          </cell>
          <cell r="F255">
            <v>70</v>
          </cell>
          <cell r="G255">
            <v>37</v>
          </cell>
          <cell r="H255">
            <v>5</v>
          </cell>
          <cell r="I255">
            <v>0</v>
          </cell>
          <cell r="J255">
            <v>12</v>
          </cell>
          <cell r="K255">
            <v>20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351</v>
          </cell>
          <cell r="Q255">
            <v>19</v>
          </cell>
          <cell r="R255">
            <v>332</v>
          </cell>
          <cell r="S255">
            <v>107</v>
          </cell>
          <cell r="T255">
            <v>351</v>
          </cell>
        </row>
        <row r="256">
          <cell r="C256" t="str">
            <v>Census Tract 290.01, King County, Washington</v>
          </cell>
          <cell r="D256">
            <v>60</v>
          </cell>
          <cell r="E256">
            <v>32</v>
          </cell>
          <cell r="F256">
            <v>22</v>
          </cell>
          <cell r="G256">
            <v>10</v>
          </cell>
          <cell r="H256">
            <v>0</v>
          </cell>
          <cell r="I256">
            <v>0</v>
          </cell>
          <cell r="J256">
            <v>0</v>
          </cell>
          <cell r="K256">
            <v>10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28</v>
          </cell>
          <cell r="Q256">
            <v>15</v>
          </cell>
          <cell r="R256">
            <v>13</v>
          </cell>
          <cell r="S256">
            <v>32</v>
          </cell>
          <cell r="T256">
            <v>28</v>
          </cell>
        </row>
        <row r="257">
          <cell r="C257" t="str">
            <v>Census Tract 290.03, King County, Washington</v>
          </cell>
          <cell r="D257">
            <v>202</v>
          </cell>
          <cell r="E257">
            <v>70</v>
          </cell>
          <cell r="F257">
            <v>41</v>
          </cell>
          <cell r="G257">
            <v>29</v>
          </cell>
          <cell r="H257">
            <v>0</v>
          </cell>
          <cell r="I257">
            <v>0</v>
          </cell>
          <cell r="J257">
            <v>6</v>
          </cell>
          <cell r="K257">
            <v>23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132</v>
          </cell>
          <cell r="Q257">
            <v>33</v>
          </cell>
          <cell r="R257">
            <v>99</v>
          </cell>
          <cell r="S257">
            <v>70</v>
          </cell>
          <cell r="T257">
            <v>132</v>
          </cell>
        </row>
        <row r="258">
          <cell r="C258" t="str">
            <v>Census Tract 290.04, King County, Washington</v>
          </cell>
          <cell r="D258">
            <v>409</v>
          </cell>
          <cell r="E258">
            <v>116</v>
          </cell>
          <cell r="F258">
            <v>116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293</v>
          </cell>
          <cell r="Q258">
            <v>42</v>
          </cell>
          <cell r="R258">
            <v>251</v>
          </cell>
          <cell r="S258">
            <v>116</v>
          </cell>
          <cell r="T258">
            <v>293</v>
          </cell>
        </row>
        <row r="259">
          <cell r="C259" t="str">
            <v>Census Tract 291, King County, Washington</v>
          </cell>
          <cell r="D259">
            <v>199</v>
          </cell>
          <cell r="E259">
            <v>78</v>
          </cell>
          <cell r="F259">
            <v>56</v>
          </cell>
          <cell r="G259">
            <v>22</v>
          </cell>
          <cell r="H259">
            <v>6</v>
          </cell>
          <cell r="I259">
            <v>7</v>
          </cell>
          <cell r="J259">
            <v>5</v>
          </cell>
          <cell r="K259">
            <v>4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121</v>
          </cell>
          <cell r="Q259">
            <v>88</v>
          </cell>
          <cell r="R259">
            <v>33</v>
          </cell>
          <cell r="S259">
            <v>78</v>
          </cell>
          <cell r="T259">
            <v>121</v>
          </cell>
        </row>
        <row r="260">
          <cell r="C260" t="str">
            <v>Census Tract 292.01, King County, Washington</v>
          </cell>
          <cell r="D260">
            <v>724</v>
          </cell>
          <cell r="E260">
            <v>250</v>
          </cell>
          <cell r="F260">
            <v>140</v>
          </cell>
          <cell r="G260">
            <v>110</v>
          </cell>
          <cell r="H260">
            <v>0</v>
          </cell>
          <cell r="I260">
            <v>0</v>
          </cell>
          <cell r="J260">
            <v>0</v>
          </cell>
          <cell r="K260">
            <v>110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474</v>
          </cell>
          <cell r="Q260">
            <v>124</v>
          </cell>
          <cell r="R260">
            <v>350</v>
          </cell>
          <cell r="S260">
            <v>250</v>
          </cell>
          <cell r="T260">
            <v>474</v>
          </cell>
        </row>
        <row r="261">
          <cell r="C261" t="str">
            <v>Census Tract 292.03, King County, Washington</v>
          </cell>
          <cell r="D261">
            <v>143</v>
          </cell>
          <cell r="E261">
            <v>91</v>
          </cell>
          <cell r="F261">
            <v>14</v>
          </cell>
          <cell r="G261">
            <v>77</v>
          </cell>
          <cell r="H261">
            <v>0</v>
          </cell>
          <cell r="I261">
            <v>0</v>
          </cell>
          <cell r="J261">
            <v>0</v>
          </cell>
          <cell r="K261">
            <v>77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52</v>
          </cell>
          <cell r="Q261">
            <v>0</v>
          </cell>
          <cell r="R261">
            <v>52</v>
          </cell>
          <cell r="S261">
            <v>91</v>
          </cell>
          <cell r="T261">
            <v>52</v>
          </cell>
        </row>
        <row r="262">
          <cell r="C262" t="str">
            <v>Census Tract 292.04, King County, Washington</v>
          </cell>
          <cell r="D262">
            <v>329</v>
          </cell>
          <cell r="E262">
            <v>93</v>
          </cell>
          <cell r="F262">
            <v>67</v>
          </cell>
          <cell r="G262">
            <v>26</v>
          </cell>
          <cell r="H262">
            <v>7</v>
          </cell>
          <cell r="I262">
            <v>0</v>
          </cell>
          <cell r="J262">
            <v>11</v>
          </cell>
          <cell r="K262">
            <v>8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236</v>
          </cell>
          <cell r="Q262">
            <v>15</v>
          </cell>
          <cell r="R262">
            <v>221</v>
          </cell>
          <cell r="S262">
            <v>93</v>
          </cell>
          <cell r="T262">
            <v>236</v>
          </cell>
        </row>
        <row r="263">
          <cell r="C263" t="str">
            <v>Census Tract 293.03, King County, Washington</v>
          </cell>
          <cell r="D263">
            <v>192</v>
          </cell>
          <cell r="E263">
            <v>131</v>
          </cell>
          <cell r="F263">
            <v>78</v>
          </cell>
          <cell r="G263">
            <v>53</v>
          </cell>
          <cell r="H263">
            <v>0</v>
          </cell>
          <cell r="I263">
            <v>33</v>
          </cell>
          <cell r="J263">
            <v>0</v>
          </cell>
          <cell r="K263">
            <v>20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61</v>
          </cell>
          <cell r="Q263">
            <v>16</v>
          </cell>
          <cell r="R263">
            <v>45</v>
          </cell>
          <cell r="S263">
            <v>131</v>
          </cell>
          <cell r="T263">
            <v>61</v>
          </cell>
        </row>
        <row r="264">
          <cell r="C264" t="str">
            <v>Census Tract 293.04, King County, Washington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</row>
        <row r="265">
          <cell r="C265" t="str">
            <v>Census Tract 293.05, King County, Washington</v>
          </cell>
          <cell r="D265">
            <v>59</v>
          </cell>
          <cell r="E265">
            <v>31</v>
          </cell>
          <cell r="F265">
            <v>24</v>
          </cell>
          <cell r="G265">
            <v>7</v>
          </cell>
          <cell r="H265">
            <v>0</v>
          </cell>
          <cell r="I265">
            <v>0</v>
          </cell>
          <cell r="J265">
            <v>0</v>
          </cell>
          <cell r="K265">
            <v>7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28</v>
          </cell>
          <cell r="Q265">
            <v>8</v>
          </cell>
          <cell r="R265">
            <v>20</v>
          </cell>
          <cell r="S265">
            <v>31</v>
          </cell>
          <cell r="T265">
            <v>28</v>
          </cell>
        </row>
        <row r="266">
          <cell r="C266" t="str">
            <v>Census Tract 293.06, King County, Washington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</row>
        <row r="267">
          <cell r="C267" t="str">
            <v>Census Tract 293.07, King County, Washington</v>
          </cell>
          <cell r="D267">
            <v>36</v>
          </cell>
          <cell r="E267">
            <v>22</v>
          </cell>
          <cell r="F267">
            <v>22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14</v>
          </cell>
          <cell r="Q267">
            <v>0</v>
          </cell>
          <cell r="R267">
            <v>14</v>
          </cell>
          <cell r="S267">
            <v>22</v>
          </cell>
          <cell r="T267">
            <v>14</v>
          </cell>
        </row>
        <row r="268">
          <cell r="C268" t="str">
            <v>Census Tract 294.03, King County, Washington</v>
          </cell>
          <cell r="D268">
            <v>75</v>
          </cell>
          <cell r="E268">
            <v>28</v>
          </cell>
          <cell r="F268">
            <v>14</v>
          </cell>
          <cell r="G268">
            <v>14</v>
          </cell>
          <cell r="H268">
            <v>0</v>
          </cell>
          <cell r="I268">
            <v>0</v>
          </cell>
          <cell r="J268">
            <v>0</v>
          </cell>
          <cell r="K268">
            <v>14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47</v>
          </cell>
          <cell r="Q268">
            <v>8</v>
          </cell>
          <cell r="R268">
            <v>39</v>
          </cell>
          <cell r="S268">
            <v>28</v>
          </cell>
          <cell r="T268">
            <v>47</v>
          </cell>
        </row>
        <row r="269">
          <cell r="C269" t="str">
            <v>Census Tract 294.05, King County, Washington</v>
          </cell>
          <cell r="D269">
            <v>42</v>
          </cell>
          <cell r="E269">
            <v>42</v>
          </cell>
          <cell r="F269">
            <v>0</v>
          </cell>
          <cell r="G269">
            <v>32</v>
          </cell>
          <cell r="H269">
            <v>0</v>
          </cell>
          <cell r="I269">
            <v>0</v>
          </cell>
          <cell r="J269">
            <v>0</v>
          </cell>
          <cell r="K269">
            <v>32</v>
          </cell>
          <cell r="L269">
            <v>10</v>
          </cell>
          <cell r="M269">
            <v>0</v>
          </cell>
          <cell r="N269">
            <v>0</v>
          </cell>
          <cell r="O269">
            <v>10</v>
          </cell>
          <cell r="P269">
            <v>0</v>
          </cell>
          <cell r="Q269">
            <v>0</v>
          </cell>
          <cell r="R269">
            <v>0</v>
          </cell>
          <cell r="S269">
            <v>32</v>
          </cell>
          <cell r="T269">
            <v>10</v>
          </cell>
        </row>
        <row r="270">
          <cell r="C270" t="str">
            <v>Census Tract 294.06, King County, Washington</v>
          </cell>
          <cell r="D270">
            <v>7</v>
          </cell>
          <cell r="E270">
            <v>7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7</v>
          </cell>
          <cell r="M270">
            <v>0</v>
          </cell>
          <cell r="N270">
            <v>0</v>
          </cell>
          <cell r="O270">
            <v>7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7</v>
          </cell>
        </row>
        <row r="271">
          <cell r="C271" t="str">
            <v>Census Tract 294.07, King County, Washington</v>
          </cell>
          <cell r="D271">
            <v>111</v>
          </cell>
          <cell r="E271">
            <v>50</v>
          </cell>
          <cell r="F271">
            <v>41</v>
          </cell>
          <cell r="G271">
            <v>9</v>
          </cell>
          <cell r="H271">
            <v>0</v>
          </cell>
          <cell r="I271">
            <v>0</v>
          </cell>
          <cell r="J271">
            <v>0</v>
          </cell>
          <cell r="K271">
            <v>9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61</v>
          </cell>
          <cell r="Q271">
            <v>0</v>
          </cell>
          <cell r="R271">
            <v>61</v>
          </cell>
          <cell r="S271">
            <v>50</v>
          </cell>
          <cell r="T271">
            <v>61</v>
          </cell>
        </row>
        <row r="272">
          <cell r="C272" t="str">
            <v>Census Tract 294.08, King County, Washington</v>
          </cell>
          <cell r="D272">
            <v>176</v>
          </cell>
          <cell r="E272">
            <v>108</v>
          </cell>
          <cell r="F272">
            <v>19</v>
          </cell>
          <cell r="G272">
            <v>89</v>
          </cell>
          <cell r="H272">
            <v>0</v>
          </cell>
          <cell r="I272">
            <v>11</v>
          </cell>
          <cell r="J272">
            <v>0</v>
          </cell>
          <cell r="K272">
            <v>78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68</v>
          </cell>
          <cell r="Q272">
            <v>10</v>
          </cell>
          <cell r="R272">
            <v>58</v>
          </cell>
          <cell r="S272">
            <v>108</v>
          </cell>
          <cell r="T272">
            <v>68</v>
          </cell>
        </row>
        <row r="273">
          <cell r="C273" t="str">
            <v>Census Tract 295.02, King County, Washington</v>
          </cell>
          <cell r="D273">
            <v>44</v>
          </cell>
          <cell r="E273">
            <v>44</v>
          </cell>
          <cell r="F273">
            <v>32</v>
          </cell>
          <cell r="G273">
            <v>12</v>
          </cell>
          <cell r="H273">
            <v>0</v>
          </cell>
          <cell r="I273">
            <v>0</v>
          </cell>
          <cell r="J273">
            <v>6</v>
          </cell>
          <cell r="K273">
            <v>6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44</v>
          </cell>
          <cell r="T273">
            <v>0</v>
          </cell>
        </row>
        <row r="274">
          <cell r="C274" t="str">
            <v>Census Tract 295.03, King County, Washington</v>
          </cell>
          <cell r="D274">
            <v>558</v>
          </cell>
          <cell r="E274">
            <v>252</v>
          </cell>
          <cell r="F274">
            <v>55</v>
          </cell>
          <cell r="G274">
            <v>192</v>
          </cell>
          <cell r="H274">
            <v>28</v>
          </cell>
          <cell r="I274">
            <v>38</v>
          </cell>
          <cell r="J274">
            <v>43</v>
          </cell>
          <cell r="K274">
            <v>83</v>
          </cell>
          <cell r="L274">
            <v>5</v>
          </cell>
          <cell r="M274">
            <v>0</v>
          </cell>
          <cell r="N274">
            <v>0</v>
          </cell>
          <cell r="O274">
            <v>5</v>
          </cell>
          <cell r="P274">
            <v>306</v>
          </cell>
          <cell r="Q274">
            <v>42</v>
          </cell>
          <cell r="R274">
            <v>264</v>
          </cell>
          <cell r="S274">
            <v>247</v>
          </cell>
          <cell r="T274">
            <v>311</v>
          </cell>
        </row>
        <row r="275">
          <cell r="C275" t="str">
            <v>Census Tract 295.04, King County, Washington</v>
          </cell>
          <cell r="D275">
            <v>93</v>
          </cell>
          <cell r="E275">
            <v>61</v>
          </cell>
          <cell r="F275">
            <v>44</v>
          </cell>
          <cell r="G275">
            <v>17</v>
          </cell>
          <cell r="H275">
            <v>0</v>
          </cell>
          <cell r="I275">
            <v>0</v>
          </cell>
          <cell r="J275">
            <v>0</v>
          </cell>
          <cell r="K275">
            <v>17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32</v>
          </cell>
          <cell r="Q275">
            <v>13</v>
          </cell>
          <cell r="R275">
            <v>19</v>
          </cell>
          <cell r="S275">
            <v>61</v>
          </cell>
          <cell r="T275">
            <v>32</v>
          </cell>
        </row>
        <row r="276">
          <cell r="C276" t="str">
            <v>Census Tract 296.01, King County, Washington</v>
          </cell>
          <cell r="D276">
            <v>152</v>
          </cell>
          <cell r="E276">
            <v>152</v>
          </cell>
          <cell r="F276">
            <v>121</v>
          </cell>
          <cell r="G276">
            <v>31</v>
          </cell>
          <cell r="H276">
            <v>0</v>
          </cell>
          <cell r="I276">
            <v>0</v>
          </cell>
          <cell r="J276">
            <v>26</v>
          </cell>
          <cell r="K276">
            <v>5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152</v>
          </cell>
          <cell r="T276">
            <v>0</v>
          </cell>
        </row>
        <row r="277">
          <cell r="C277" t="str">
            <v>Census Tract 296.02, King County, Washington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C278" t="str">
            <v>Census Tract 297, King County, Washington</v>
          </cell>
          <cell r="D278">
            <v>184</v>
          </cell>
          <cell r="E278">
            <v>76</v>
          </cell>
          <cell r="F278">
            <v>56</v>
          </cell>
          <cell r="G278">
            <v>20</v>
          </cell>
          <cell r="H278">
            <v>10</v>
          </cell>
          <cell r="I278">
            <v>0</v>
          </cell>
          <cell r="J278">
            <v>10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108</v>
          </cell>
          <cell r="Q278">
            <v>34</v>
          </cell>
          <cell r="R278">
            <v>74</v>
          </cell>
          <cell r="S278">
            <v>76</v>
          </cell>
          <cell r="T278">
            <v>108</v>
          </cell>
        </row>
        <row r="279">
          <cell r="C279" t="str">
            <v>Census Tract 298.01, King County, Washington</v>
          </cell>
          <cell r="D279">
            <v>200</v>
          </cell>
          <cell r="E279">
            <v>120</v>
          </cell>
          <cell r="F279">
            <v>66</v>
          </cell>
          <cell r="G279">
            <v>54</v>
          </cell>
          <cell r="H279">
            <v>0</v>
          </cell>
          <cell r="I279">
            <v>8</v>
          </cell>
          <cell r="J279">
            <v>8</v>
          </cell>
          <cell r="K279">
            <v>38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80</v>
          </cell>
          <cell r="Q279">
            <v>6</v>
          </cell>
          <cell r="R279">
            <v>74</v>
          </cell>
          <cell r="S279">
            <v>120</v>
          </cell>
          <cell r="T279">
            <v>80</v>
          </cell>
        </row>
        <row r="280">
          <cell r="C280" t="str">
            <v>Census Tract 298.02, King County, Washington</v>
          </cell>
          <cell r="D280">
            <v>159</v>
          </cell>
          <cell r="E280">
            <v>86</v>
          </cell>
          <cell r="F280">
            <v>74</v>
          </cell>
          <cell r="G280">
            <v>12</v>
          </cell>
          <cell r="H280">
            <v>0</v>
          </cell>
          <cell r="I280">
            <v>9</v>
          </cell>
          <cell r="J280">
            <v>0</v>
          </cell>
          <cell r="K280">
            <v>3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73</v>
          </cell>
          <cell r="Q280">
            <v>21</v>
          </cell>
          <cell r="R280">
            <v>52</v>
          </cell>
          <cell r="S280">
            <v>86</v>
          </cell>
          <cell r="T280">
            <v>73</v>
          </cell>
        </row>
        <row r="281">
          <cell r="C281" t="str">
            <v>Census Tract 299.01, King County, Washington</v>
          </cell>
          <cell r="D281">
            <v>63</v>
          </cell>
          <cell r="E281">
            <v>56</v>
          </cell>
          <cell r="F281">
            <v>14</v>
          </cell>
          <cell r="G281">
            <v>42</v>
          </cell>
          <cell r="H281">
            <v>10</v>
          </cell>
          <cell r="I281">
            <v>0</v>
          </cell>
          <cell r="J281">
            <v>16</v>
          </cell>
          <cell r="K281">
            <v>16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</v>
          </cell>
          <cell r="Q281">
            <v>7</v>
          </cell>
          <cell r="R281">
            <v>0</v>
          </cell>
          <cell r="S281">
            <v>56</v>
          </cell>
          <cell r="T281">
            <v>7</v>
          </cell>
        </row>
        <row r="282">
          <cell r="C282" t="str">
            <v>Census Tract 299.02, King County, Washington</v>
          </cell>
          <cell r="D282">
            <v>49</v>
          </cell>
          <cell r="E282">
            <v>31</v>
          </cell>
          <cell r="F282">
            <v>0</v>
          </cell>
          <cell r="G282">
            <v>31</v>
          </cell>
          <cell r="H282">
            <v>0</v>
          </cell>
          <cell r="I282">
            <v>0</v>
          </cell>
          <cell r="J282">
            <v>0</v>
          </cell>
          <cell r="K282">
            <v>31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18</v>
          </cell>
          <cell r="Q282">
            <v>18</v>
          </cell>
          <cell r="R282">
            <v>0</v>
          </cell>
          <cell r="S282">
            <v>31</v>
          </cell>
          <cell r="T282">
            <v>18</v>
          </cell>
        </row>
        <row r="283">
          <cell r="C283" t="str">
            <v>Census Tract 300.02, King County, Washington</v>
          </cell>
          <cell r="D283">
            <v>483</v>
          </cell>
          <cell r="E283">
            <v>314</v>
          </cell>
          <cell r="F283">
            <v>134</v>
          </cell>
          <cell r="G283">
            <v>140</v>
          </cell>
          <cell r="H283">
            <v>0</v>
          </cell>
          <cell r="I283">
            <v>17</v>
          </cell>
          <cell r="J283">
            <v>32</v>
          </cell>
          <cell r="K283">
            <v>91</v>
          </cell>
          <cell r="L283">
            <v>40</v>
          </cell>
          <cell r="M283">
            <v>12</v>
          </cell>
          <cell r="N283">
            <v>0</v>
          </cell>
          <cell r="O283">
            <v>28</v>
          </cell>
          <cell r="P283">
            <v>169</v>
          </cell>
          <cell r="Q283">
            <v>27</v>
          </cell>
          <cell r="R283">
            <v>142</v>
          </cell>
          <cell r="S283">
            <v>274</v>
          </cell>
          <cell r="T283">
            <v>209</v>
          </cell>
        </row>
        <row r="284">
          <cell r="C284" t="str">
            <v>Census Tract 300.03, King County, Washington</v>
          </cell>
          <cell r="D284">
            <v>63</v>
          </cell>
          <cell r="E284">
            <v>33</v>
          </cell>
          <cell r="F284">
            <v>0</v>
          </cell>
          <cell r="G284">
            <v>33</v>
          </cell>
          <cell r="H284">
            <v>0</v>
          </cell>
          <cell r="I284">
            <v>0</v>
          </cell>
          <cell r="J284">
            <v>7</v>
          </cell>
          <cell r="K284">
            <v>26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30</v>
          </cell>
          <cell r="Q284">
            <v>0</v>
          </cell>
          <cell r="R284">
            <v>30</v>
          </cell>
          <cell r="S284">
            <v>33</v>
          </cell>
          <cell r="T284">
            <v>30</v>
          </cell>
        </row>
        <row r="285">
          <cell r="C285" t="str">
            <v>Census Tract 300.04, King County, Washington</v>
          </cell>
          <cell r="D285">
            <v>916</v>
          </cell>
          <cell r="E285">
            <v>379</v>
          </cell>
          <cell r="F285">
            <v>179</v>
          </cell>
          <cell r="G285">
            <v>189</v>
          </cell>
          <cell r="H285">
            <v>15</v>
          </cell>
          <cell r="I285">
            <v>10</v>
          </cell>
          <cell r="J285">
            <v>59</v>
          </cell>
          <cell r="K285">
            <v>105</v>
          </cell>
          <cell r="L285">
            <v>11</v>
          </cell>
          <cell r="M285">
            <v>11</v>
          </cell>
          <cell r="N285">
            <v>0</v>
          </cell>
          <cell r="O285">
            <v>0</v>
          </cell>
          <cell r="P285">
            <v>537</v>
          </cell>
          <cell r="Q285">
            <v>68</v>
          </cell>
          <cell r="R285">
            <v>469</v>
          </cell>
          <cell r="S285">
            <v>368</v>
          </cell>
          <cell r="T285">
            <v>548</v>
          </cell>
        </row>
        <row r="286">
          <cell r="C286" t="str">
            <v>Census Tract 301, King County, Washington</v>
          </cell>
          <cell r="D286">
            <v>230</v>
          </cell>
          <cell r="E286">
            <v>72</v>
          </cell>
          <cell r="F286">
            <v>30</v>
          </cell>
          <cell r="G286">
            <v>42</v>
          </cell>
          <cell r="H286">
            <v>0</v>
          </cell>
          <cell r="I286">
            <v>5</v>
          </cell>
          <cell r="J286">
            <v>0</v>
          </cell>
          <cell r="K286">
            <v>37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158</v>
          </cell>
          <cell r="Q286">
            <v>27</v>
          </cell>
          <cell r="R286">
            <v>131</v>
          </cell>
          <cell r="S286">
            <v>72</v>
          </cell>
          <cell r="T286">
            <v>158</v>
          </cell>
        </row>
        <row r="287">
          <cell r="C287" t="str">
            <v>Census Tract 302.01, King County, Washington</v>
          </cell>
          <cell r="D287">
            <v>160</v>
          </cell>
          <cell r="E287">
            <v>88</v>
          </cell>
          <cell r="F287">
            <v>19</v>
          </cell>
          <cell r="G287">
            <v>69</v>
          </cell>
          <cell r="H287">
            <v>17</v>
          </cell>
          <cell r="I287">
            <v>0</v>
          </cell>
          <cell r="J287">
            <v>0</v>
          </cell>
          <cell r="K287">
            <v>52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72</v>
          </cell>
          <cell r="Q287">
            <v>19</v>
          </cell>
          <cell r="R287">
            <v>53</v>
          </cell>
          <cell r="S287">
            <v>88</v>
          </cell>
          <cell r="T287">
            <v>72</v>
          </cell>
        </row>
        <row r="288">
          <cell r="C288" t="str">
            <v>Census Tract 302.02, King County, Washington</v>
          </cell>
          <cell r="D288">
            <v>207</v>
          </cell>
          <cell r="E288">
            <v>160</v>
          </cell>
          <cell r="F288">
            <v>67</v>
          </cell>
          <cell r="G288">
            <v>93</v>
          </cell>
          <cell r="H288">
            <v>11</v>
          </cell>
          <cell r="I288">
            <v>0</v>
          </cell>
          <cell r="J288">
            <v>43</v>
          </cell>
          <cell r="K288">
            <v>39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47</v>
          </cell>
          <cell r="Q288">
            <v>12</v>
          </cell>
          <cell r="R288">
            <v>35</v>
          </cell>
          <cell r="S288">
            <v>160</v>
          </cell>
          <cell r="T288">
            <v>47</v>
          </cell>
        </row>
        <row r="289">
          <cell r="C289" t="str">
            <v>Census Tract 303.03, King County, Washington</v>
          </cell>
          <cell r="D289">
            <v>234</v>
          </cell>
          <cell r="E289">
            <v>135</v>
          </cell>
          <cell r="F289">
            <v>99</v>
          </cell>
          <cell r="G289">
            <v>36</v>
          </cell>
          <cell r="H289">
            <v>0</v>
          </cell>
          <cell r="I289">
            <v>0</v>
          </cell>
          <cell r="J289">
            <v>0</v>
          </cell>
          <cell r="K289">
            <v>36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99</v>
          </cell>
          <cell r="Q289">
            <v>50</v>
          </cell>
          <cell r="R289">
            <v>49</v>
          </cell>
          <cell r="S289">
            <v>135</v>
          </cell>
          <cell r="T289">
            <v>99</v>
          </cell>
        </row>
        <row r="290">
          <cell r="C290" t="str">
            <v>Census Tract 303.04, King County, Washington</v>
          </cell>
          <cell r="D290">
            <v>15</v>
          </cell>
          <cell r="E290">
            <v>15</v>
          </cell>
          <cell r="F290">
            <v>15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15</v>
          </cell>
          <cell r="T290">
            <v>0</v>
          </cell>
        </row>
        <row r="291">
          <cell r="C291" t="str">
            <v>Census Tract 303.05, King County, Washington</v>
          </cell>
          <cell r="D291">
            <v>101</v>
          </cell>
          <cell r="E291">
            <v>84</v>
          </cell>
          <cell r="F291">
            <v>61</v>
          </cell>
          <cell r="G291">
            <v>16</v>
          </cell>
          <cell r="H291">
            <v>0</v>
          </cell>
          <cell r="I291">
            <v>0</v>
          </cell>
          <cell r="J291">
            <v>0</v>
          </cell>
          <cell r="K291">
            <v>16</v>
          </cell>
          <cell r="L291">
            <v>7</v>
          </cell>
          <cell r="M291">
            <v>0</v>
          </cell>
          <cell r="N291">
            <v>0</v>
          </cell>
          <cell r="O291">
            <v>7</v>
          </cell>
          <cell r="P291">
            <v>17</v>
          </cell>
          <cell r="Q291">
            <v>17</v>
          </cell>
          <cell r="R291">
            <v>0</v>
          </cell>
          <cell r="S291">
            <v>77</v>
          </cell>
          <cell r="T291">
            <v>24</v>
          </cell>
        </row>
        <row r="292">
          <cell r="C292" t="str">
            <v>Census Tract 303.06, King County, Washington</v>
          </cell>
          <cell r="D292">
            <v>113</v>
          </cell>
          <cell r="E292">
            <v>61</v>
          </cell>
          <cell r="F292">
            <v>48</v>
          </cell>
          <cell r="G292">
            <v>13</v>
          </cell>
          <cell r="H292">
            <v>7</v>
          </cell>
          <cell r="I292">
            <v>0</v>
          </cell>
          <cell r="J292">
            <v>0</v>
          </cell>
          <cell r="K292">
            <v>6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52</v>
          </cell>
          <cell r="Q292">
            <v>22</v>
          </cell>
          <cell r="R292">
            <v>30</v>
          </cell>
          <cell r="S292">
            <v>61</v>
          </cell>
          <cell r="T292">
            <v>52</v>
          </cell>
        </row>
        <row r="293">
          <cell r="C293" t="str">
            <v>Census Tract 303.08, King County, Washington</v>
          </cell>
          <cell r="D293">
            <v>207</v>
          </cell>
          <cell r="E293">
            <v>134</v>
          </cell>
          <cell r="F293">
            <v>63</v>
          </cell>
          <cell r="G293">
            <v>65</v>
          </cell>
          <cell r="H293">
            <v>0</v>
          </cell>
          <cell r="I293">
            <v>4</v>
          </cell>
          <cell r="J293">
            <v>25</v>
          </cell>
          <cell r="K293">
            <v>36</v>
          </cell>
          <cell r="L293">
            <v>6</v>
          </cell>
          <cell r="M293">
            <v>6</v>
          </cell>
          <cell r="N293">
            <v>0</v>
          </cell>
          <cell r="O293">
            <v>0</v>
          </cell>
          <cell r="P293">
            <v>73</v>
          </cell>
          <cell r="Q293">
            <v>9</v>
          </cell>
          <cell r="R293">
            <v>64</v>
          </cell>
          <cell r="S293">
            <v>128</v>
          </cell>
          <cell r="T293">
            <v>79</v>
          </cell>
        </row>
        <row r="294">
          <cell r="C294" t="str">
            <v>Census Tract 303.09, King County, Washington</v>
          </cell>
          <cell r="D294">
            <v>152</v>
          </cell>
          <cell r="E294">
            <v>117</v>
          </cell>
          <cell r="F294">
            <v>31</v>
          </cell>
          <cell r="G294">
            <v>65</v>
          </cell>
          <cell r="H294">
            <v>10</v>
          </cell>
          <cell r="I294">
            <v>12</v>
          </cell>
          <cell r="J294">
            <v>0</v>
          </cell>
          <cell r="K294">
            <v>43</v>
          </cell>
          <cell r="L294">
            <v>21</v>
          </cell>
          <cell r="M294">
            <v>10</v>
          </cell>
          <cell r="N294">
            <v>0</v>
          </cell>
          <cell r="O294">
            <v>11</v>
          </cell>
          <cell r="P294">
            <v>35</v>
          </cell>
          <cell r="Q294">
            <v>0</v>
          </cell>
          <cell r="R294">
            <v>35</v>
          </cell>
          <cell r="S294">
            <v>96</v>
          </cell>
          <cell r="T294">
            <v>56</v>
          </cell>
        </row>
        <row r="295">
          <cell r="C295" t="str">
            <v>Census Tract 303.10, King County, Washington</v>
          </cell>
          <cell r="D295">
            <v>70</v>
          </cell>
          <cell r="E295">
            <v>35</v>
          </cell>
          <cell r="F295">
            <v>0</v>
          </cell>
          <cell r="G295">
            <v>30</v>
          </cell>
          <cell r="H295">
            <v>0</v>
          </cell>
          <cell r="I295">
            <v>0</v>
          </cell>
          <cell r="J295">
            <v>0</v>
          </cell>
          <cell r="K295">
            <v>30</v>
          </cell>
          <cell r="L295">
            <v>5</v>
          </cell>
          <cell r="M295">
            <v>0</v>
          </cell>
          <cell r="N295">
            <v>0</v>
          </cell>
          <cell r="O295">
            <v>5</v>
          </cell>
          <cell r="P295">
            <v>35</v>
          </cell>
          <cell r="Q295">
            <v>0</v>
          </cell>
          <cell r="R295">
            <v>35</v>
          </cell>
          <cell r="S295">
            <v>30</v>
          </cell>
          <cell r="T295">
            <v>40</v>
          </cell>
        </row>
        <row r="296">
          <cell r="C296" t="str">
            <v>Census Tract 303.11, King County, Washington</v>
          </cell>
          <cell r="D296">
            <v>110</v>
          </cell>
          <cell r="E296">
            <v>103</v>
          </cell>
          <cell r="F296">
            <v>77</v>
          </cell>
          <cell r="G296">
            <v>26</v>
          </cell>
          <cell r="H296">
            <v>0</v>
          </cell>
          <cell r="I296">
            <v>0</v>
          </cell>
          <cell r="J296">
            <v>26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</v>
          </cell>
          <cell r="Q296">
            <v>0</v>
          </cell>
          <cell r="R296">
            <v>7</v>
          </cell>
          <cell r="S296">
            <v>103</v>
          </cell>
          <cell r="T296">
            <v>7</v>
          </cell>
        </row>
        <row r="297">
          <cell r="C297" t="str">
            <v>Census Tract 303.12, King County, Washington</v>
          </cell>
          <cell r="D297">
            <v>83</v>
          </cell>
          <cell r="E297">
            <v>83</v>
          </cell>
          <cell r="F297">
            <v>22</v>
          </cell>
          <cell r="G297">
            <v>61</v>
          </cell>
          <cell r="H297">
            <v>46</v>
          </cell>
          <cell r="I297">
            <v>0</v>
          </cell>
          <cell r="J297">
            <v>4</v>
          </cell>
          <cell r="K297">
            <v>11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83</v>
          </cell>
          <cell r="T297">
            <v>0</v>
          </cell>
        </row>
        <row r="298">
          <cell r="C298" t="str">
            <v>Census Tract 304.01, King County, Washington</v>
          </cell>
          <cell r="D298">
            <v>103</v>
          </cell>
          <cell r="E298">
            <v>85</v>
          </cell>
          <cell r="F298">
            <v>67</v>
          </cell>
          <cell r="G298">
            <v>18</v>
          </cell>
          <cell r="H298">
            <v>18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18</v>
          </cell>
          <cell r="Q298">
            <v>0</v>
          </cell>
          <cell r="R298">
            <v>18</v>
          </cell>
          <cell r="S298">
            <v>85</v>
          </cell>
          <cell r="T298">
            <v>18</v>
          </cell>
        </row>
        <row r="299">
          <cell r="C299" t="str">
            <v>Census Tract 304.03, King County, Washington</v>
          </cell>
          <cell r="D299">
            <v>44</v>
          </cell>
          <cell r="E299">
            <v>44</v>
          </cell>
          <cell r="F299">
            <v>0</v>
          </cell>
          <cell r="G299">
            <v>44</v>
          </cell>
          <cell r="H299">
            <v>0</v>
          </cell>
          <cell r="I299">
            <v>0</v>
          </cell>
          <cell r="J299">
            <v>18</v>
          </cell>
          <cell r="K299">
            <v>26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44</v>
          </cell>
          <cell r="T299">
            <v>0</v>
          </cell>
        </row>
        <row r="300">
          <cell r="C300" t="str">
            <v>Census Tract 304.04, King County, Washington</v>
          </cell>
          <cell r="D300">
            <v>9</v>
          </cell>
          <cell r="E300">
            <v>9</v>
          </cell>
          <cell r="F300">
            <v>0</v>
          </cell>
          <cell r="G300">
            <v>9</v>
          </cell>
          <cell r="H300">
            <v>0</v>
          </cell>
          <cell r="I300">
            <v>0</v>
          </cell>
          <cell r="J300">
            <v>0</v>
          </cell>
          <cell r="K300">
            <v>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9</v>
          </cell>
          <cell r="T300">
            <v>0</v>
          </cell>
        </row>
        <row r="301">
          <cell r="C301" t="str">
            <v>Census Tract 305.01, King County, Washington</v>
          </cell>
          <cell r="D301">
            <v>30</v>
          </cell>
          <cell r="E301">
            <v>30</v>
          </cell>
          <cell r="F301">
            <v>30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30</v>
          </cell>
          <cell r="T301">
            <v>0</v>
          </cell>
        </row>
        <row r="302">
          <cell r="C302" t="str">
            <v>Census Tract 305.03, King County, Washington</v>
          </cell>
          <cell r="D302">
            <v>190</v>
          </cell>
          <cell r="E302">
            <v>142</v>
          </cell>
          <cell r="F302">
            <v>77</v>
          </cell>
          <cell r="G302">
            <v>65</v>
          </cell>
          <cell r="H302">
            <v>0</v>
          </cell>
          <cell r="I302">
            <v>21</v>
          </cell>
          <cell r="J302">
            <v>0</v>
          </cell>
          <cell r="K302">
            <v>44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48</v>
          </cell>
          <cell r="Q302">
            <v>19</v>
          </cell>
          <cell r="R302">
            <v>29</v>
          </cell>
          <cell r="S302">
            <v>142</v>
          </cell>
          <cell r="T302">
            <v>48</v>
          </cell>
        </row>
        <row r="303">
          <cell r="C303" t="str">
            <v>Census Tract 305.04, King County, Washington</v>
          </cell>
          <cell r="D303">
            <v>300</v>
          </cell>
          <cell r="E303">
            <v>132</v>
          </cell>
          <cell r="F303">
            <v>116</v>
          </cell>
          <cell r="G303">
            <v>16</v>
          </cell>
          <cell r="H303">
            <v>0</v>
          </cell>
          <cell r="I303">
            <v>16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168</v>
          </cell>
          <cell r="Q303">
            <v>37</v>
          </cell>
          <cell r="R303">
            <v>131</v>
          </cell>
          <cell r="S303">
            <v>132</v>
          </cell>
          <cell r="T303">
            <v>168</v>
          </cell>
        </row>
        <row r="304">
          <cell r="C304" t="str">
            <v>Census Tract 306, King County, Washington</v>
          </cell>
          <cell r="D304">
            <v>130</v>
          </cell>
          <cell r="E304">
            <v>58</v>
          </cell>
          <cell r="F304">
            <v>19</v>
          </cell>
          <cell r="G304">
            <v>31</v>
          </cell>
          <cell r="H304">
            <v>0</v>
          </cell>
          <cell r="I304">
            <v>0</v>
          </cell>
          <cell r="J304">
            <v>0</v>
          </cell>
          <cell r="K304">
            <v>31</v>
          </cell>
          <cell r="L304">
            <v>8</v>
          </cell>
          <cell r="M304">
            <v>0</v>
          </cell>
          <cell r="N304">
            <v>0</v>
          </cell>
          <cell r="O304">
            <v>8</v>
          </cell>
          <cell r="P304">
            <v>72</v>
          </cell>
          <cell r="Q304">
            <v>0</v>
          </cell>
          <cell r="R304">
            <v>72</v>
          </cell>
          <cell r="S304">
            <v>50</v>
          </cell>
          <cell r="T304">
            <v>80</v>
          </cell>
        </row>
        <row r="305">
          <cell r="C305" t="str">
            <v>Census Tract 307, King County, Washington</v>
          </cell>
          <cell r="D305">
            <v>137</v>
          </cell>
          <cell r="E305">
            <v>58</v>
          </cell>
          <cell r="F305">
            <v>45</v>
          </cell>
          <cell r="G305">
            <v>6</v>
          </cell>
          <cell r="H305">
            <v>0</v>
          </cell>
          <cell r="I305">
            <v>0</v>
          </cell>
          <cell r="J305">
            <v>0</v>
          </cell>
          <cell r="K305">
            <v>6</v>
          </cell>
          <cell r="L305">
            <v>7</v>
          </cell>
          <cell r="M305">
            <v>0</v>
          </cell>
          <cell r="N305">
            <v>0</v>
          </cell>
          <cell r="O305">
            <v>7</v>
          </cell>
          <cell r="P305">
            <v>79</v>
          </cell>
          <cell r="Q305">
            <v>13</v>
          </cell>
          <cell r="R305">
            <v>66</v>
          </cell>
          <cell r="S305">
            <v>51</v>
          </cell>
          <cell r="T305">
            <v>86</v>
          </cell>
        </row>
        <row r="306">
          <cell r="C306" t="str">
            <v>Census Tract 308.01, King County, Washington</v>
          </cell>
          <cell r="D306">
            <v>272</v>
          </cell>
          <cell r="E306">
            <v>52</v>
          </cell>
          <cell r="F306">
            <v>25</v>
          </cell>
          <cell r="G306">
            <v>27</v>
          </cell>
          <cell r="H306">
            <v>0</v>
          </cell>
          <cell r="I306">
            <v>0</v>
          </cell>
          <cell r="J306">
            <v>6</v>
          </cell>
          <cell r="K306">
            <v>21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220</v>
          </cell>
          <cell r="Q306">
            <v>35</v>
          </cell>
          <cell r="R306">
            <v>185</v>
          </cell>
          <cell r="S306">
            <v>52</v>
          </cell>
          <cell r="T306">
            <v>220</v>
          </cell>
        </row>
        <row r="307">
          <cell r="C307" t="str">
            <v>Census Tract 308.02, King County, Washington</v>
          </cell>
          <cell r="D307">
            <v>287</v>
          </cell>
          <cell r="E307">
            <v>119</v>
          </cell>
          <cell r="F307">
            <v>88</v>
          </cell>
          <cell r="G307">
            <v>31</v>
          </cell>
          <cell r="H307">
            <v>0</v>
          </cell>
          <cell r="I307">
            <v>12</v>
          </cell>
          <cell r="J307">
            <v>9</v>
          </cell>
          <cell r="K307">
            <v>10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168</v>
          </cell>
          <cell r="Q307">
            <v>36</v>
          </cell>
          <cell r="R307">
            <v>132</v>
          </cell>
          <cell r="S307">
            <v>119</v>
          </cell>
          <cell r="T307">
            <v>168</v>
          </cell>
        </row>
        <row r="308">
          <cell r="C308" t="str">
            <v>Census Tract 309.01, King County, Washington</v>
          </cell>
          <cell r="D308">
            <v>44</v>
          </cell>
          <cell r="E308">
            <v>6</v>
          </cell>
          <cell r="F308">
            <v>0</v>
          </cell>
          <cell r="G308">
            <v>6</v>
          </cell>
          <cell r="H308">
            <v>0</v>
          </cell>
          <cell r="I308">
            <v>0</v>
          </cell>
          <cell r="J308">
            <v>0</v>
          </cell>
          <cell r="K308">
            <v>6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38</v>
          </cell>
          <cell r="Q308">
            <v>25</v>
          </cell>
          <cell r="R308">
            <v>13</v>
          </cell>
          <cell r="S308">
            <v>6</v>
          </cell>
          <cell r="T308">
            <v>38</v>
          </cell>
        </row>
        <row r="309">
          <cell r="C309" t="str">
            <v>Census Tract 309.02, King County, Washington</v>
          </cell>
          <cell r="D309">
            <v>120</v>
          </cell>
          <cell r="E309">
            <v>97</v>
          </cell>
          <cell r="F309">
            <v>81</v>
          </cell>
          <cell r="G309">
            <v>16</v>
          </cell>
          <cell r="H309">
            <v>2</v>
          </cell>
          <cell r="I309">
            <v>0</v>
          </cell>
          <cell r="J309">
            <v>0</v>
          </cell>
          <cell r="K309">
            <v>14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23</v>
          </cell>
          <cell r="Q309">
            <v>0</v>
          </cell>
          <cell r="R309">
            <v>23</v>
          </cell>
          <cell r="S309">
            <v>97</v>
          </cell>
          <cell r="T309">
            <v>23</v>
          </cell>
        </row>
        <row r="310">
          <cell r="C310" t="str">
            <v>Census Tract 310, King County, Washington</v>
          </cell>
          <cell r="D310">
            <v>21</v>
          </cell>
          <cell r="E310">
            <v>14</v>
          </cell>
          <cell r="F310">
            <v>6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8</v>
          </cell>
          <cell r="M310">
            <v>8</v>
          </cell>
          <cell r="N310">
            <v>0</v>
          </cell>
          <cell r="O310">
            <v>0</v>
          </cell>
          <cell r="P310">
            <v>7</v>
          </cell>
          <cell r="Q310">
            <v>7</v>
          </cell>
          <cell r="R310">
            <v>0</v>
          </cell>
          <cell r="S310">
            <v>6</v>
          </cell>
          <cell r="T310">
            <v>15</v>
          </cell>
        </row>
        <row r="311">
          <cell r="C311" t="str">
            <v>Census Tract 311, King County, Washington</v>
          </cell>
          <cell r="D311">
            <v>229</v>
          </cell>
          <cell r="E311">
            <v>139</v>
          </cell>
          <cell r="F311">
            <v>85</v>
          </cell>
          <cell r="G311">
            <v>54</v>
          </cell>
          <cell r="H311">
            <v>0</v>
          </cell>
          <cell r="I311">
            <v>23</v>
          </cell>
          <cell r="J311">
            <v>8</v>
          </cell>
          <cell r="K311">
            <v>23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90</v>
          </cell>
          <cell r="Q311">
            <v>23</v>
          </cell>
          <cell r="R311">
            <v>67</v>
          </cell>
          <cell r="S311">
            <v>139</v>
          </cell>
          <cell r="T311">
            <v>90</v>
          </cell>
        </row>
        <row r="312">
          <cell r="C312" t="str">
            <v>Census Tract 312.02, King County, Washington</v>
          </cell>
          <cell r="D312">
            <v>120</v>
          </cell>
          <cell r="E312">
            <v>76</v>
          </cell>
          <cell r="F312">
            <v>60</v>
          </cell>
          <cell r="G312">
            <v>16</v>
          </cell>
          <cell r="H312">
            <v>0</v>
          </cell>
          <cell r="I312">
            <v>2</v>
          </cell>
          <cell r="J312">
            <v>0</v>
          </cell>
          <cell r="K312">
            <v>14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44</v>
          </cell>
          <cell r="Q312">
            <v>7</v>
          </cell>
          <cell r="R312">
            <v>37</v>
          </cell>
          <cell r="S312">
            <v>76</v>
          </cell>
          <cell r="T312">
            <v>44</v>
          </cell>
        </row>
        <row r="313">
          <cell r="C313" t="str">
            <v>Census Tract 312.04, King County, Washington</v>
          </cell>
          <cell r="D313">
            <v>29</v>
          </cell>
          <cell r="E313">
            <v>29</v>
          </cell>
          <cell r="F313">
            <v>20</v>
          </cell>
          <cell r="G313">
            <v>9</v>
          </cell>
          <cell r="H313">
            <v>0</v>
          </cell>
          <cell r="I313">
            <v>0</v>
          </cell>
          <cell r="J313">
            <v>9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29</v>
          </cell>
          <cell r="T313">
            <v>0</v>
          </cell>
        </row>
        <row r="314">
          <cell r="C314" t="str">
            <v>Census Tract 312.05, King County, Washington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C315" t="str">
            <v>Census Tract 312.06, King County, Washington</v>
          </cell>
          <cell r="D315">
            <v>134</v>
          </cell>
          <cell r="E315">
            <v>63</v>
          </cell>
          <cell r="F315">
            <v>22</v>
          </cell>
          <cell r="G315">
            <v>41</v>
          </cell>
          <cell r="H315">
            <v>0</v>
          </cell>
          <cell r="I315">
            <v>0</v>
          </cell>
          <cell r="J315">
            <v>0</v>
          </cell>
          <cell r="K315">
            <v>41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71</v>
          </cell>
          <cell r="Q315">
            <v>0</v>
          </cell>
          <cell r="R315">
            <v>71</v>
          </cell>
          <cell r="S315">
            <v>63</v>
          </cell>
          <cell r="T315">
            <v>71</v>
          </cell>
        </row>
        <row r="316">
          <cell r="C316" t="str">
            <v>Census Tract 313.01, King County, Washington</v>
          </cell>
          <cell r="D316">
            <v>96</v>
          </cell>
          <cell r="E316">
            <v>53</v>
          </cell>
          <cell r="F316">
            <v>53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43</v>
          </cell>
          <cell r="Q316">
            <v>17</v>
          </cell>
          <cell r="R316">
            <v>26</v>
          </cell>
          <cell r="S316">
            <v>53</v>
          </cell>
          <cell r="T316">
            <v>43</v>
          </cell>
        </row>
        <row r="317">
          <cell r="C317" t="str">
            <v>Census Tract 313.02, King County, Washington</v>
          </cell>
          <cell r="D317">
            <v>104</v>
          </cell>
          <cell r="E317">
            <v>17</v>
          </cell>
          <cell r="F317">
            <v>0</v>
          </cell>
          <cell r="G317">
            <v>17</v>
          </cell>
          <cell r="H317">
            <v>0</v>
          </cell>
          <cell r="I317">
            <v>17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87</v>
          </cell>
          <cell r="Q317">
            <v>0</v>
          </cell>
          <cell r="R317">
            <v>87</v>
          </cell>
          <cell r="S317">
            <v>17</v>
          </cell>
          <cell r="T317">
            <v>87</v>
          </cell>
        </row>
        <row r="318">
          <cell r="C318" t="str">
            <v>Census Tract 314, King County, Washington</v>
          </cell>
          <cell r="D318">
            <v>60</v>
          </cell>
          <cell r="E318">
            <v>30</v>
          </cell>
          <cell r="F318">
            <v>20</v>
          </cell>
          <cell r="G318">
            <v>10</v>
          </cell>
          <cell r="H318">
            <v>0</v>
          </cell>
          <cell r="I318">
            <v>0</v>
          </cell>
          <cell r="J318">
            <v>0</v>
          </cell>
          <cell r="K318">
            <v>10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30</v>
          </cell>
          <cell r="Q318">
            <v>17</v>
          </cell>
          <cell r="R318">
            <v>13</v>
          </cell>
          <cell r="S318">
            <v>30</v>
          </cell>
          <cell r="T318">
            <v>30</v>
          </cell>
        </row>
        <row r="319">
          <cell r="C319" t="str">
            <v>Census Tract 315.01, King County, Washington</v>
          </cell>
          <cell r="D319">
            <v>24</v>
          </cell>
          <cell r="E319">
            <v>24</v>
          </cell>
          <cell r="F319">
            <v>9</v>
          </cell>
          <cell r="G319">
            <v>9</v>
          </cell>
          <cell r="H319">
            <v>0</v>
          </cell>
          <cell r="I319">
            <v>0</v>
          </cell>
          <cell r="J319">
            <v>0</v>
          </cell>
          <cell r="K319">
            <v>9</v>
          </cell>
          <cell r="L319">
            <v>6</v>
          </cell>
          <cell r="M319">
            <v>0</v>
          </cell>
          <cell r="N319">
            <v>0</v>
          </cell>
          <cell r="O319">
            <v>6</v>
          </cell>
          <cell r="P319">
            <v>0</v>
          </cell>
          <cell r="Q319">
            <v>0</v>
          </cell>
          <cell r="R319">
            <v>0</v>
          </cell>
          <cell r="S319">
            <v>18</v>
          </cell>
          <cell r="T319">
            <v>6</v>
          </cell>
        </row>
        <row r="320">
          <cell r="C320" t="str">
            <v>Census Tract 315.02, King County, Washington</v>
          </cell>
          <cell r="D320">
            <v>33</v>
          </cell>
          <cell r="E320">
            <v>27</v>
          </cell>
          <cell r="F320">
            <v>8</v>
          </cell>
          <cell r="G320">
            <v>19</v>
          </cell>
          <cell r="H320">
            <v>0</v>
          </cell>
          <cell r="I320">
            <v>0</v>
          </cell>
          <cell r="J320">
            <v>0</v>
          </cell>
          <cell r="K320">
            <v>19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6</v>
          </cell>
          <cell r="Q320">
            <v>6</v>
          </cell>
          <cell r="R320">
            <v>0</v>
          </cell>
          <cell r="S320">
            <v>27</v>
          </cell>
          <cell r="T320">
            <v>6</v>
          </cell>
        </row>
        <row r="321">
          <cell r="C321" t="str">
            <v>Census Tract 316.01, King County, Washington</v>
          </cell>
          <cell r="D321">
            <v>42</v>
          </cell>
          <cell r="E321">
            <v>28</v>
          </cell>
          <cell r="F321">
            <v>0</v>
          </cell>
          <cell r="G321">
            <v>28</v>
          </cell>
          <cell r="H321">
            <v>0</v>
          </cell>
          <cell r="I321">
            <v>0</v>
          </cell>
          <cell r="J321">
            <v>0</v>
          </cell>
          <cell r="K321">
            <v>28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14</v>
          </cell>
          <cell r="Q321">
            <v>0</v>
          </cell>
          <cell r="R321">
            <v>14</v>
          </cell>
          <cell r="S321">
            <v>28</v>
          </cell>
          <cell r="T321">
            <v>14</v>
          </cell>
        </row>
        <row r="322">
          <cell r="C322" t="str">
            <v>Census Tract 316.02, King County, Washington</v>
          </cell>
          <cell r="D322">
            <v>47</v>
          </cell>
          <cell r="E322">
            <v>47</v>
          </cell>
          <cell r="F322">
            <v>18</v>
          </cell>
          <cell r="G322">
            <v>29</v>
          </cell>
          <cell r="H322">
            <v>0</v>
          </cell>
          <cell r="I322">
            <v>0</v>
          </cell>
          <cell r="J322">
            <v>10</v>
          </cell>
          <cell r="K322">
            <v>19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47</v>
          </cell>
          <cell r="T322">
            <v>0</v>
          </cell>
        </row>
        <row r="323">
          <cell r="C323" t="str">
            <v>Census Tract 316.03, King County, Washington</v>
          </cell>
          <cell r="D323">
            <v>48</v>
          </cell>
          <cell r="E323">
            <v>48</v>
          </cell>
          <cell r="F323">
            <v>36</v>
          </cell>
          <cell r="G323">
            <v>12</v>
          </cell>
          <cell r="H323">
            <v>0</v>
          </cell>
          <cell r="I323">
            <v>0</v>
          </cell>
          <cell r="J323">
            <v>0</v>
          </cell>
          <cell r="K323">
            <v>12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48</v>
          </cell>
          <cell r="T323">
            <v>0</v>
          </cell>
        </row>
        <row r="324">
          <cell r="C324" t="str">
            <v>Census Tract 317.02, King County, Washington</v>
          </cell>
          <cell r="D324">
            <v>105</v>
          </cell>
          <cell r="E324">
            <v>77</v>
          </cell>
          <cell r="F324">
            <v>37</v>
          </cell>
          <cell r="G324">
            <v>40</v>
          </cell>
          <cell r="H324">
            <v>0</v>
          </cell>
          <cell r="I324">
            <v>0</v>
          </cell>
          <cell r="J324">
            <v>30</v>
          </cell>
          <cell r="K324">
            <v>10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28</v>
          </cell>
          <cell r="Q324">
            <v>17</v>
          </cell>
          <cell r="R324">
            <v>11</v>
          </cell>
          <cell r="S324">
            <v>77</v>
          </cell>
          <cell r="T324">
            <v>28</v>
          </cell>
        </row>
        <row r="325">
          <cell r="C325" t="str">
            <v>Census Tract 317.03, King County, Washington</v>
          </cell>
          <cell r="D325">
            <v>107</v>
          </cell>
          <cell r="E325">
            <v>68</v>
          </cell>
          <cell r="F325">
            <v>49</v>
          </cell>
          <cell r="G325">
            <v>19</v>
          </cell>
          <cell r="H325">
            <v>0</v>
          </cell>
          <cell r="I325">
            <v>0</v>
          </cell>
          <cell r="J325">
            <v>0</v>
          </cell>
          <cell r="K325">
            <v>19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39</v>
          </cell>
          <cell r="Q325">
            <v>25</v>
          </cell>
          <cell r="R325">
            <v>14</v>
          </cell>
          <cell r="S325">
            <v>68</v>
          </cell>
          <cell r="T325">
            <v>39</v>
          </cell>
        </row>
        <row r="326">
          <cell r="C326" t="str">
            <v>Census Tract 317.04, King County, Washington</v>
          </cell>
          <cell r="D326">
            <v>57</v>
          </cell>
          <cell r="E326">
            <v>57</v>
          </cell>
          <cell r="F326">
            <v>0</v>
          </cell>
          <cell r="G326">
            <v>57</v>
          </cell>
          <cell r="H326">
            <v>13</v>
          </cell>
          <cell r="I326">
            <v>0</v>
          </cell>
          <cell r="J326">
            <v>0</v>
          </cell>
          <cell r="K326">
            <v>44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57</v>
          </cell>
          <cell r="T326">
            <v>0</v>
          </cell>
        </row>
        <row r="327">
          <cell r="C327" t="str">
            <v>Census Tract 318, King County, Washington</v>
          </cell>
          <cell r="D327">
            <v>7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7</v>
          </cell>
          <cell r="Q327">
            <v>7</v>
          </cell>
          <cell r="R327">
            <v>0</v>
          </cell>
          <cell r="S327">
            <v>0</v>
          </cell>
          <cell r="T327">
            <v>7</v>
          </cell>
        </row>
        <row r="328">
          <cell r="C328" t="str">
            <v>Census Tract 319.03, King County, Washington</v>
          </cell>
          <cell r="D328">
            <v>76</v>
          </cell>
          <cell r="E328">
            <v>65</v>
          </cell>
          <cell r="F328">
            <v>58</v>
          </cell>
          <cell r="G328">
            <v>7</v>
          </cell>
          <cell r="H328">
            <v>0</v>
          </cell>
          <cell r="I328">
            <v>0</v>
          </cell>
          <cell r="J328">
            <v>0</v>
          </cell>
          <cell r="K328">
            <v>7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11</v>
          </cell>
          <cell r="Q328">
            <v>0</v>
          </cell>
          <cell r="R328">
            <v>11</v>
          </cell>
          <cell r="S328">
            <v>65</v>
          </cell>
          <cell r="T328">
            <v>11</v>
          </cell>
        </row>
        <row r="329">
          <cell r="C329" t="str">
            <v>Census Tract 319.04, King County, Washington</v>
          </cell>
          <cell r="D329">
            <v>26</v>
          </cell>
          <cell r="E329">
            <v>19</v>
          </cell>
          <cell r="F329">
            <v>0</v>
          </cell>
          <cell r="G329">
            <v>19</v>
          </cell>
          <cell r="H329">
            <v>0</v>
          </cell>
          <cell r="I329">
            <v>0</v>
          </cell>
          <cell r="J329">
            <v>0</v>
          </cell>
          <cell r="K329">
            <v>19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7</v>
          </cell>
          <cell r="Q329">
            <v>7</v>
          </cell>
          <cell r="R329">
            <v>0</v>
          </cell>
          <cell r="S329">
            <v>19</v>
          </cell>
          <cell r="T329">
            <v>7</v>
          </cell>
        </row>
        <row r="330">
          <cell r="C330" t="str">
            <v>Census Tract 319.06, King County, Washington</v>
          </cell>
          <cell r="D330">
            <v>2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2</v>
          </cell>
          <cell r="Q330">
            <v>0</v>
          </cell>
          <cell r="R330">
            <v>2</v>
          </cell>
          <cell r="S330">
            <v>0</v>
          </cell>
          <cell r="T330">
            <v>2</v>
          </cell>
        </row>
        <row r="331">
          <cell r="C331" t="str">
            <v>Census Tract 319.07, King County, Washington</v>
          </cell>
          <cell r="D331">
            <v>93</v>
          </cell>
          <cell r="E331">
            <v>44</v>
          </cell>
          <cell r="F331">
            <v>20</v>
          </cell>
          <cell r="G331">
            <v>8</v>
          </cell>
          <cell r="H331">
            <v>0</v>
          </cell>
          <cell r="I331">
            <v>0</v>
          </cell>
          <cell r="J331">
            <v>0</v>
          </cell>
          <cell r="K331">
            <v>8</v>
          </cell>
          <cell r="L331">
            <v>16</v>
          </cell>
          <cell r="M331">
            <v>0</v>
          </cell>
          <cell r="N331">
            <v>0</v>
          </cell>
          <cell r="O331">
            <v>16</v>
          </cell>
          <cell r="P331">
            <v>49</v>
          </cell>
          <cell r="Q331">
            <v>0</v>
          </cell>
          <cell r="R331">
            <v>49</v>
          </cell>
          <cell r="S331">
            <v>28</v>
          </cell>
          <cell r="T331">
            <v>65</v>
          </cell>
        </row>
        <row r="332">
          <cell r="C332" t="str">
            <v>Census Tract 319.08, King County, Washington</v>
          </cell>
          <cell r="D332">
            <v>80</v>
          </cell>
          <cell r="E332">
            <v>49</v>
          </cell>
          <cell r="F332">
            <v>42</v>
          </cell>
          <cell r="G332">
            <v>7</v>
          </cell>
          <cell r="H332">
            <v>0</v>
          </cell>
          <cell r="I332">
            <v>0</v>
          </cell>
          <cell r="J332">
            <v>0</v>
          </cell>
          <cell r="K332">
            <v>7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31</v>
          </cell>
          <cell r="Q332">
            <v>0</v>
          </cell>
          <cell r="R332">
            <v>31</v>
          </cell>
          <cell r="S332">
            <v>49</v>
          </cell>
          <cell r="T332">
            <v>31</v>
          </cell>
        </row>
        <row r="333">
          <cell r="C333" t="str">
            <v>Census Tract 319.09, King County, Washington</v>
          </cell>
          <cell r="D333">
            <v>8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8</v>
          </cell>
          <cell r="Q333">
            <v>8</v>
          </cell>
          <cell r="R333">
            <v>0</v>
          </cell>
          <cell r="S333">
            <v>0</v>
          </cell>
          <cell r="T333">
            <v>8</v>
          </cell>
        </row>
        <row r="334">
          <cell r="C334" t="str">
            <v>Census Tract 320.02, King County, Washington</v>
          </cell>
          <cell r="D334">
            <v>39</v>
          </cell>
          <cell r="E334">
            <v>33</v>
          </cell>
          <cell r="F334">
            <v>33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6</v>
          </cell>
          <cell r="Q334">
            <v>0</v>
          </cell>
          <cell r="R334">
            <v>6</v>
          </cell>
          <cell r="S334">
            <v>33</v>
          </cell>
          <cell r="T334">
            <v>6</v>
          </cell>
        </row>
        <row r="335">
          <cell r="C335" t="str">
            <v>Census Tract 320.03, King County, Washington</v>
          </cell>
          <cell r="D335">
            <v>9</v>
          </cell>
          <cell r="E335">
            <v>6</v>
          </cell>
          <cell r="F335">
            <v>3</v>
          </cell>
          <cell r="G335">
            <v>3</v>
          </cell>
          <cell r="H335">
            <v>0</v>
          </cell>
          <cell r="I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3</v>
          </cell>
          <cell r="Q335">
            <v>3</v>
          </cell>
          <cell r="R335">
            <v>0</v>
          </cell>
          <cell r="S335">
            <v>6</v>
          </cell>
          <cell r="T335">
            <v>3</v>
          </cell>
        </row>
        <row r="336">
          <cell r="C336" t="str">
            <v>Census Tract 320.05, King County, Washington</v>
          </cell>
          <cell r="D336">
            <v>222</v>
          </cell>
          <cell r="E336">
            <v>173</v>
          </cell>
          <cell r="F336">
            <v>85</v>
          </cell>
          <cell r="G336">
            <v>88</v>
          </cell>
          <cell r="H336">
            <v>0</v>
          </cell>
          <cell r="I336">
            <v>0</v>
          </cell>
          <cell r="J336">
            <v>3</v>
          </cell>
          <cell r="K336">
            <v>85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49</v>
          </cell>
          <cell r="Q336">
            <v>13</v>
          </cell>
          <cell r="R336">
            <v>36</v>
          </cell>
          <cell r="S336">
            <v>173</v>
          </cell>
          <cell r="T336">
            <v>49</v>
          </cell>
        </row>
        <row r="337">
          <cell r="C337" t="str">
            <v>Census Tract 320.06, King County, Washington</v>
          </cell>
          <cell r="D337">
            <v>45</v>
          </cell>
          <cell r="E337">
            <v>45</v>
          </cell>
          <cell r="F337">
            <v>26</v>
          </cell>
          <cell r="G337">
            <v>19</v>
          </cell>
          <cell r="H337">
            <v>0</v>
          </cell>
          <cell r="I337">
            <v>0</v>
          </cell>
          <cell r="J337">
            <v>0</v>
          </cell>
          <cell r="K337">
            <v>19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45</v>
          </cell>
          <cell r="T337">
            <v>0</v>
          </cell>
        </row>
        <row r="338">
          <cell r="C338" t="str">
            <v>Census Tract 320.07, King County, Washington</v>
          </cell>
          <cell r="D338">
            <v>49</v>
          </cell>
          <cell r="E338">
            <v>35</v>
          </cell>
          <cell r="F338">
            <v>0</v>
          </cell>
          <cell r="G338">
            <v>35</v>
          </cell>
          <cell r="H338">
            <v>0</v>
          </cell>
          <cell r="I338">
            <v>0</v>
          </cell>
          <cell r="J338">
            <v>15</v>
          </cell>
          <cell r="K338">
            <v>20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14</v>
          </cell>
          <cell r="Q338">
            <v>0</v>
          </cell>
          <cell r="R338">
            <v>14</v>
          </cell>
          <cell r="S338">
            <v>35</v>
          </cell>
          <cell r="T338">
            <v>14</v>
          </cell>
        </row>
        <row r="339">
          <cell r="C339" t="str">
            <v>Census Tract 320.08, King County, Washington</v>
          </cell>
          <cell r="D339">
            <v>85</v>
          </cell>
          <cell r="E339">
            <v>64</v>
          </cell>
          <cell r="F339">
            <v>50</v>
          </cell>
          <cell r="G339">
            <v>14</v>
          </cell>
          <cell r="H339">
            <v>0</v>
          </cell>
          <cell r="I339">
            <v>0</v>
          </cell>
          <cell r="J339">
            <v>0</v>
          </cell>
          <cell r="K339">
            <v>14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21</v>
          </cell>
          <cell r="Q339">
            <v>0</v>
          </cell>
          <cell r="R339">
            <v>21</v>
          </cell>
          <cell r="S339">
            <v>64</v>
          </cell>
          <cell r="T339">
            <v>21</v>
          </cell>
        </row>
        <row r="340">
          <cell r="C340" t="str">
            <v>Census Tract 320.09, King County, Washington</v>
          </cell>
          <cell r="D340">
            <v>32</v>
          </cell>
          <cell r="E340">
            <v>24</v>
          </cell>
          <cell r="F340">
            <v>9</v>
          </cell>
          <cell r="G340">
            <v>15</v>
          </cell>
          <cell r="H340">
            <v>0</v>
          </cell>
          <cell r="I340">
            <v>0</v>
          </cell>
          <cell r="J340">
            <v>0</v>
          </cell>
          <cell r="K340">
            <v>15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8</v>
          </cell>
          <cell r="Q340">
            <v>8</v>
          </cell>
          <cell r="R340">
            <v>0</v>
          </cell>
          <cell r="S340">
            <v>24</v>
          </cell>
          <cell r="T340">
            <v>8</v>
          </cell>
        </row>
        <row r="341">
          <cell r="C341" t="str">
            <v>Census Tract 321.02, King County, Washington</v>
          </cell>
          <cell r="D341">
            <v>27</v>
          </cell>
          <cell r="E341">
            <v>27</v>
          </cell>
          <cell r="F341">
            <v>7</v>
          </cell>
          <cell r="G341">
            <v>20</v>
          </cell>
          <cell r="H341">
            <v>0</v>
          </cell>
          <cell r="I341">
            <v>10</v>
          </cell>
          <cell r="J341">
            <v>10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27</v>
          </cell>
          <cell r="T341">
            <v>0</v>
          </cell>
        </row>
        <row r="342">
          <cell r="C342" t="str">
            <v>Census Tract 321.03, King County, Washington</v>
          </cell>
          <cell r="D342">
            <v>56</v>
          </cell>
          <cell r="E342">
            <v>19</v>
          </cell>
          <cell r="F342">
            <v>9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10</v>
          </cell>
          <cell r="M342">
            <v>0</v>
          </cell>
          <cell r="N342">
            <v>0</v>
          </cell>
          <cell r="O342">
            <v>10</v>
          </cell>
          <cell r="P342">
            <v>37</v>
          </cell>
          <cell r="Q342">
            <v>15</v>
          </cell>
          <cell r="R342">
            <v>22</v>
          </cell>
          <cell r="S342">
            <v>9</v>
          </cell>
          <cell r="T342">
            <v>47</v>
          </cell>
        </row>
        <row r="343">
          <cell r="C343" t="str">
            <v>Census Tract 321.04, King County, Washington</v>
          </cell>
          <cell r="D343">
            <v>50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50</v>
          </cell>
          <cell r="Q343">
            <v>9</v>
          </cell>
          <cell r="R343">
            <v>41</v>
          </cell>
          <cell r="S343">
            <v>0</v>
          </cell>
          <cell r="T343">
            <v>50</v>
          </cell>
        </row>
        <row r="344">
          <cell r="C344" t="str">
            <v>Census Tract 322.03, King County, Washington</v>
          </cell>
          <cell r="D344">
            <v>46</v>
          </cell>
          <cell r="E344">
            <v>30</v>
          </cell>
          <cell r="F344">
            <v>0</v>
          </cell>
          <cell r="G344">
            <v>30</v>
          </cell>
          <cell r="H344">
            <v>0</v>
          </cell>
          <cell r="I344">
            <v>0</v>
          </cell>
          <cell r="J344">
            <v>14</v>
          </cell>
          <cell r="K344">
            <v>16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16</v>
          </cell>
          <cell r="Q344">
            <v>8</v>
          </cell>
          <cell r="R344">
            <v>8</v>
          </cell>
          <cell r="S344">
            <v>30</v>
          </cell>
          <cell r="T344">
            <v>16</v>
          </cell>
        </row>
        <row r="345">
          <cell r="C345" t="str">
            <v>Census Tract 322.07, King County, Washington</v>
          </cell>
          <cell r="D345">
            <v>10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10</v>
          </cell>
          <cell r="Q345">
            <v>0</v>
          </cell>
          <cell r="R345">
            <v>10</v>
          </cell>
          <cell r="S345">
            <v>0</v>
          </cell>
          <cell r="T345">
            <v>10</v>
          </cell>
        </row>
        <row r="346">
          <cell r="C346" t="str">
            <v>Census Tract 322.08, King County, Washington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C347" t="str">
            <v>Census Tract 322.09, King County, Washington</v>
          </cell>
          <cell r="D347">
            <v>87</v>
          </cell>
          <cell r="E347">
            <v>66</v>
          </cell>
          <cell r="F347">
            <v>7</v>
          </cell>
          <cell r="G347">
            <v>59</v>
          </cell>
          <cell r="H347">
            <v>6</v>
          </cell>
          <cell r="I347">
            <v>0</v>
          </cell>
          <cell r="J347">
            <v>0</v>
          </cell>
          <cell r="K347">
            <v>53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21</v>
          </cell>
          <cell r="Q347">
            <v>11</v>
          </cell>
          <cell r="R347">
            <v>10</v>
          </cell>
          <cell r="S347">
            <v>66</v>
          </cell>
          <cell r="T347">
            <v>21</v>
          </cell>
        </row>
        <row r="348">
          <cell r="C348" t="str">
            <v>Census Tract 322.10, King County, Washington</v>
          </cell>
          <cell r="D348">
            <v>9</v>
          </cell>
          <cell r="E348">
            <v>9</v>
          </cell>
          <cell r="F348">
            <v>9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9</v>
          </cell>
          <cell r="T348">
            <v>0</v>
          </cell>
        </row>
        <row r="349">
          <cell r="C349" t="str">
            <v>Census Tract 322.11, King County, Washington</v>
          </cell>
          <cell r="D349">
            <v>84</v>
          </cell>
          <cell r="E349">
            <v>73</v>
          </cell>
          <cell r="F349">
            <v>21</v>
          </cell>
          <cell r="G349">
            <v>47</v>
          </cell>
          <cell r="H349">
            <v>6</v>
          </cell>
          <cell r="I349">
            <v>7</v>
          </cell>
          <cell r="J349">
            <v>12</v>
          </cell>
          <cell r="K349">
            <v>22</v>
          </cell>
          <cell r="L349">
            <v>5</v>
          </cell>
          <cell r="M349">
            <v>5</v>
          </cell>
          <cell r="N349">
            <v>0</v>
          </cell>
          <cell r="O349">
            <v>0</v>
          </cell>
          <cell r="P349">
            <v>11</v>
          </cell>
          <cell r="Q349">
            <v>0</v>
          </cell>
          <cell r="R349">
            <v>11</v>
          </cell>
          <cell r="S349">
            <v>68</v>
          </cell>
          <cell r="T349">
            <v>16</v>
          </cell>
        </row>
        <row r="350">
          <cell r="C350" t="str">
            <v>Census Tract 322.12, King County, Washington</v>
          </cell>
          <cell r="D350">
            <v>46</v>
          </cell>
          <cell r="E350">
            <v>46</v>
          </cell>
          <cell r="F350">
            <v>39</v>
          </cell>
          <cell r="G350">
            <v>7</v>
          </cell>
          <cell r="H350">
            <v>0</v>
          </cell>
          <cell r="I350">
            <v>0</v>
          </cell>
          <cell r="J350">
            <v>0</v>
          </cell>
          <cell r="K350">
            <v>7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46</v>
          </cell>
          <cell r="T350">
            <v>0</v>
          </cell>
        </row>
        <row r="351">
          <cell r="C351" t="str">
            <v>Census Tract 323.07, King County, Washington</v>
          </cell>
          <cell r="D351">
            <v>79</v>
          </cell>
          <cell r="E351">
            <v>79</v>
          </cell>
          <cell r="F351">
            <v>22</v>
          </cell>
          <cell r="G351">
            <v>57</v>
          </cell>
          <cell r="H351">
            <v>0</v>
          </cell>
          <cell r="I351">
            <v>0</v>
          </cell>
          <cell r="J351">
            <v>0</v>
          </cell>
          <cell r="K351">
            <v>57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79</v>
          </cell>
          <cell r="T351">
            <v>0</v>
          </cell>
        </row>
        <row r="352">
          <cell r="C352" t="str">
            <v>Census Tract 323.09, King County, Washington</v>
          </cell>
          <cell r="D352">
            <v>102</v>
          </cell>
          <cell r="E352">
            <v>37</v>
          </cell>
          <cell r="F352">
            <v>12</v>
          </cell>
          <cell r="G352">
            <v>16</v>
          </cell>
          <cell r="H352">
            <v>0</v>
          </cell>
          <cell r="I352">
            <v>0</v>
          </cell>
          <cell r="J352">
            <v>0</v>
          </cell>
          <cell r="K352">
            <v>16</v>
          </cell>
          <cell r="L352">
            <v>9</v>
          </cell>
          <cell r="M352">
            <v>9</v>
          </cell>
          <cell r="N352">
            <v>0</v>
          </cell>
          <cell r="O352">
            <v>0</v>
          </cell>
          <cell r="P352">
            <v>65</v>
          </cell>
          <cell r="Q352">
            <v>9</v>
          </cell>
          <cell r="R352">
            <v>56</v>
          </cell>
          <cell r="S352">
            <v>28</v>
          </cell>
          <cell r="T352">
            <v>74</v>
          </cell>
        </row>
        <row r="353">
          <cell r="C353" t="str">
            <v>Census Tract 323.11, King County, Washington</v>
          </cell>
          <cell r="D353">
            <v>82</v>
          </cell>
          <cell r="E353">
            <v>69</v>
          </cell>
          <cell r="F353">
            <v>18</v>
          </cell>
          <cell r="G353">
            <v>51</v>
          </cell>
          <cell r="H353">
            <v>0</v>
          </cell>
          <cell r="I353">
            <v>0</v>
          </cell>
          <cell r="J353">
            <v>11</v>
          </cell>
          <cell r="K353">
            <v>40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13</v>
          </cell>
          <cell r="Q353">
            <v>0</v>
          </cell>
          <cell r="R353">
            <v>13</v>
          </cell>
          <cell r="S353">
            <v>69</v>
          </cell>
          <cell r="T353">
            <v>13</v>
          </cell>
        </row>
        <row r="354">
          <cell r="C354" t="str">
            <v>Census Tract 323.12, King County, Washington</v>
          </cell>
          <cell r="D354">
            <v>100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100</v>
          </cell>
          <cell r="Q354">
            <v>19</v>
          </cell>
          <cell r="R354">
            <v>81</v>
          </cell>
          <cell r="S354">
            <v>0</v>
          </cell>
          <cell r="T354">
            <v>100</v>
          </cell>
        </row>
        <row r="355">
          <cell r="C355" t="str">
            <v>Census Tract 323.13, King County, Washington</v>
          </cell>
          <cell r="D355">
            <v>248</v>
          </cell>
          <cell r="E355">
            <v>75</v>
          </cell>
          <cell r="F355">
            <v>29</v>
          </cell>
          <cell r="G355">
            <v>32</v>
          </cell>
          <cell r="H355">
            <v>0</v>
          </cell>
          <cell r="I355">
            <v>0</v>
          </cell>
          <cell r="J355">
            <v>0</v>
          </cell>
          <cell r="K355">
            <v>32</v>
          </cell>
          <cell r="L355">
            <v>14</v>
          </cell>
          <cell r="M355">
            <v>0</v>
          </cell>
          <cell r="N355">
            <v>0</v>
          </cell>
          <cell r="O355">
            <v>14</v>
          </cell>
          <cell r="P355">
            <v>173</v>
          </cell>
          <cell r="Q355">
            <v>21</v>
          </cell>
          <cell r="R355">
            <v>152</v>
          </cell>
          <cell r="S355">
            <v>61</v>
          </cell>
          <cell r="T355">
            <v>187</v>
          </cell>
        </row>
        <row r="356">
          <cell r="C356" t="str">
            <v>Census Tract 323.14, King County, Washington</v>
          </cell>
          <cell r="D356">
            <v>50</v>
          </cell>
          <cell r="E356">
            <v>42</v>
          </cell>
          <cell r="F356">
            <v>0</v>
          </cell>
          <cell r="G356">
            <v>42</v>
          </cell>
          <cell r="H356">
            <v>0</v>
          </cell>
          <cell r="I356">
            <v>0</v>
          </cell>
          <cell r="J356">
            <v>0</v>
          </cell>
          <cell r="K356">
            <v>42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</v>
          </cell>
          <cell r="Q356">
            <v>0</v>
          </cell>
          <cell r="R356">
            <v>8</v>
          </cell>
          <cell r="S356">
            <v>42</v>
          </cell>
          <cell r="T356">
            <v>8</v>
          </cell>
        </row>
        <row r="357">
          <cell r="C357" t="str">
            <v>Census Tract 323.15, King County, Washington</v>
          </cell>
          <cell r="D357">
            <v>36</v>
          </cell>
          <cell r="E357">
            <v>28</v>
          </cell>
          <cell r="F357">
            <v>10</v>
          </cell>
          <cell r="G357">
            <v>18</v>
          </cell>
          <cell r="H357">
            <v>0</v>
          </cell>
          <cell r="I357">
            <v>0</v>
          </cell>
          <cell r="J357">
            <v>0</v>
          </cell>
          <cell r="K357">
            <v>18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8</v>
          </cell>
          <cell r="Q357">
            <v>0</v>
          </cell>
          <cell r="R357">
            <v>8</v>
          </cell>
          <cell r="S357">
            <v>28</v>
          </cell>
          <cell r="T357">
            <v>8</v>
          </cell>
        </row>
        <row r="358">
          <cell r="C358" t="str">
            <v>Census Tract 323.16, King County, Washington</v>
          </cell>
          <cell r="D358">
            <v>12</v>
          </cell>
          <cell r="E358">
            <v>12</v>
          </cell>
          <cell r="F358">
            <v>0</v>
          </cell>
          <cell r="G358">
            <v>12</v>
          </cell>
          <cell r="H358">
            <v>3</v>
          </cell>
          <cell r="I358">
            <v>0</v>
          </cell>
          <cell r="J358">
            <v>0</v>
          </cell>
          <cell r="K358">
            <v>9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12</v>
          </cell>
          <cell r="T358">
            <v>0</v>
          </cell>
        </row>
        <row r="359">
          <cell r="C359" t="str">
            <v>Census Tract 323.17, King County, Washington</v>
          </cell>
          <cell r="D359">
            <v>28</v>
          </cell>
          <cell r="E359">
            <v>23</v>
          </cell>
          <cell r="F359">
            <v>0</v>
          </cell>
          <cell r="G359">
            <v>23</v>
          </cell>
          <cell r="H359">
            <v>0</v>
          </cell>
          <cell r="I359">
            <v>0</v>
          </cell>
          <cell r="J359">
            <v>0</v>
          </cell>
          <cell r="K359">
            <v>23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5</v>
          </cell>
          <cell r="Q359">
            <v>0</v>
          </cell>
          <cell r="R359">
            <v>5</v>
          </cell>
          <cell r="S359">
            <v>23</v>
          </cell>
          <cell r="T359">
            <v>5</v>
          </cell>
        </row>
        <row r="360">
          <cell r="C360" t="str">
            <v>Census Tract 323.18, King County, Washington</v>
          </cell>
          <cell r="D360">
            <v>35</v>
          </cell>
          <cell r="E360">
            <v>35</v>
          </cell>
          <cell r="F360">
            <v>28</v>
          </cell>
          <cell r="G360">
            <v>7</v>
          </cell>
          <cell r="H360">
            <v>7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35</v>
          </cell>
          <cell r="T360">
            <v>0</v>
          </cell>
        </row>
        <row r="361">
          <cell r="C361" t="str">
            <v>Census Tract 323.19, King County, Washington</v>
          </cell>
          <cell r="D361">
            <v>301</v>
          </cell>
          <cell r="E361">
            <v>62</v>
          </cell>
          <cell r="F361">
            <v>50</v>
          </cell>
          <cell r="G361">
            <v>12</v>
          </cell>
          <cell r="H361">
            <v>0</v>
          </cell>
          <cell r="I361">
            <v>6</v>
          </cell>
          <cell r="J361">
            <v>0</v>
          </cell>
          <cell r="K361">
            <v>6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239</v>
          </cell>
          <cell r="Q361">
            <v>31</v>
          </cell>
          <cell r="R361">
            <v>208</v>
          </cell>
          <cell r="S361">
            <v>62</v>
          </cell>
          <cell r="T361">
            <v>239</v>
          </cell>
        </row>
        <row r="362">
          <cell r="C362" t="str">
            <v>Census Tract 323.20, King County, Washington</v>
          </cell>
          <cell r="D362">
            <v>87</v>
          </cell>
          <cell r="E362">
            <v>62</v>
          </cell>
          <cell r="F362">
            <v>42</v>
          </cell>
          <cell r="G362">
            <v>20</v>
          </cell>
          <cell r="H362">
            <v>0</v>
          </cell>
          <cell r="I362">
            <v>0</v>
          </cell>
          <cell r="J362">
            <v>0</v>
          </cell>
          <cell r="K362">
            <v>20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25</v>
          </cell>
          <cell r="Q362">
            <v>8</v>
          </cell>
          <cell r="R362">
            <v>17</v>
          </cell>
          <cell r="S362">
            <v>62</v>
          </cell>
          <cell r="T362">
            <v>25</v>
          </cell>
        </row>
        <row r="363">
          <cell r="C363" t="str">
            <v>Census Tract 323.21, King County, Washington</v>
          </cell>
          <cell r="D363">
            <v>25</v>
          </cell>
          <cell r="E363">
            <v>13</v>
          </cell>
          <cell r="F363">
            <v>0</v>
          </cell>
          <cell r="G363">
            <v>13</v>
          </cell>
          <cell r="H363">
            <v>0</v>
          </cell>
          <cell r="I363">
            <v>0</v>
          </cell>
          <cell r="J363">
            <v>0</v>
          </cell>
          <cell r="K363">
            <v>13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12</v>
          </cell>
          <cell r="Q363">
            <v>12</v>
          </cell>
          <cell r="R363">
            <v>0</v>
          </cell>
          <cell r="S363">
            <v>13</v>
          </cell>
          <cell r="T363">
            <v>12</v>
          </cell>
        </row>
        <row r="364">
          <cell r="C364" t="str">
            <v>Census Tract 323.22, King County, Washington</v>
          </cell>
          <cell r="D364">
            <v>12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12</v>
          </cell>
          <cell r="Q364">
            <v>12</v>
          </cell>
          <cell r="R364">
            <v>0</v>
          </cell>
          <cell r="S364">
            <v>0</v>
          </cell>
          <cell r="T364">
            <v>12</v>
          </cell>
        </row>
        <row r="365">
          <cell r="C365" t="str">
            <v>Census Tract 323.23, King County, Washington</v>
          </cell>
          <cell r="D365">
            <v>60</v>
          </cell>
          <cell r="E365">
            <v>48</v>
          </cell>
          <cell r="F365">
            <v>22</v>
          </cell>
          <cell r="G365">
            <v>26</v>
          </cell>
          <cell r="H365">
            <v>0</v>
          </cell>
          <cell r="I365">
            <v>0</v>
          </cell>
          <cell r="J365">
            <v>0</v>
          </cell>
          <cell r="K365">
            <v>26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12</v>
          </cell>
          <cell r="Q365">
            <v>0</v>
          </cell>
          <cell r="R365">
            <v>12</v>
          </cell>
          <cell r="S365">
            <v>48</v>
          </cell>
          <cell r="T365">
            <v>12</v>
          </cell>
        </row>
        <row r="366">
          <cell r="C366" t="str">
            <v>Census Tract 323.24, King County, Washington</v>
          </cell>
          <cell r="D366">
            <v>114</v>
          </cell>
          <cell r="E366">
            <v>36</v>
          </cell>
          <cell r="F366">
            <v>20</v>
          </cell>
          <cell r="G366">
            <v>10</v>
          </cell>
          <cell r="H366">
            <v>0</v>
          </cell>
          <cell r="I366">
            <v>0</v>
          </cell>
          <cell r="J366">
            <v>0</v>
          </cell>
          <cell r="K366">
            <v>10</v>
          </cell>
          <cell r="L366">
            <v>6</v>
          </cell>
          <cell r="M366">
            <v>6</v>
          </cell>
          <cell r="N366">
            <v>0</v>
          </cell>
          <cell r="O366">
            <v>0</v>
          </cell>
          <cell r="P366">
            <v>78</v>
          </cell>
          <cell r="Q366">
            <v>0</v>
          </cell>
          <cell r="R366">
            <v>78</v>
          </cell>
          <cell r="S366">
            <v>30</v>
          </cell>
          <cell r="T366">
            <v>84</v>
          </cell>
        </row>
        <row r="367">
          <cell r="C367" t="str">
            <v>Census Tract 323.25, King County, Washington</v>
          </cell>
          <cell r="D367">
            <v>84</v>
          </cell>
          <cell r="E367">
            <v>48</v>
          </cell>
          <cell r="F367">
            <v>13</v>
          </cell>
          <cell r="G367">
            <v>35</v>
          </cell>
          <cell r="H367">
            <v>0</v>
          </cell>
          <cell r="I367">
            <v>0</v>
          </cell>
          <cell r="J367">
            <v>0</v>
          </cell>
          <cell r="K367">
            <v>35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36</v>
          </cell>
          <cell r="Q367">
            <v>0</v>
          </cell>
          <cell r="R367">
            <v>36</v>
          </cell>
          <cell r="S367">
            <v>48</v>
          </cell>
          <cell r="T367">
            <v>36</v>
          </cell>
        </row>
        <row r="368">
          <cell r="C368" t="str">
            <v>Census Tract 324.01, King County, Washington</v>
          </cell>
          <cell r="D368">
            <v>56</v>
          </cell>
          <cell r="E368">
            <v>33</v>
          </cell>
          <cell r="F368">
            <v>33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23</v>
          </cell>
          <cell r="Q368">
            <v>23</v>
          </cell>
          <cell r="R368">
            <v>0</v>
          </cell>
          <cell r="S368">
            <v>33</v>
          </cell>
          <cell r="T368">
            <v>23</v>
          </cell>
        </row>
        <row r="369">
          <cell r="C369" t="str">
            <v>Census Tract 324.02, King County, Washington</v>
          </cell>
          <cell r="D369">
            <v>74</v>
          </cell>
          <cell r="E369">
            <v>18</v>
          </cell>
          <cell r="F369">
            <v>0</v>
          </cell>
          <cell r="G369">
            <v>18</v>
          </cell>
          <cell r="H369">
            <v>0</v>
          </cell>
          <cell r="I369">
            <v>0</v>
          </cell>
          <cell r="J369">
            <v>18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56</v>
          </cell>
          <cell r="Q369">
            <v>0</v>
          </cell>
          <cell r="R369">
            <v>56</v>
          </cell>
          <cell r="S369">
            <v>18</v>
          </cell>
          <cell r="T369">
            <v>56</v>
          </cell>
        </row>
        <row r="370">
          <cell r="C370" t="str">
            <v>Census Tract 325, King County, Washington</v>
          </cell>
          <cell r="D370">
            <v>48</v>
          </cell>
          <cell r="E370">
            <v>29</v>
          </cell>
          <cell r="F370">
            <v>16</v>
          </cell>
          <cell r="G370">
            <v>13</v>
          </cell>
          <cell r="H370">
            <v>0</v>
          </cell>
          <cell r="I370">
            <v>2</v>
          </cell>
          <cell r="J370">
            <v>0</v>
          </cell>
          <cell r="K370">
            <v>11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19</v>
          </cell>
          <cell r="Q370">
            <v>10</v>
          </cell>
          <cell r="R370">
            <v>9</v>
          </cell>
          <cell r="S370">
            <v>29</v>
          </cell>
          <cell r="T370">
            <v>19</v>
          </cell>
        </row>
        <row r="371">
          <cell r="C371" t="str">
            <v>Census Tract 326.01, King County, Washington</v>
          </cell>
          <cell r="D371">
            <v>27</v>
          </cell>
          <cell r="E371">
            <v>13</v>
          </cell>
          <cell r="F371">
            <v>0</v>
          </cell>
          <cell r="G371">
            <v>13</v>
          </cell>
          <cell r="H371">
            <v>0</v>
          </cell>
          <cell r="I371">
            <v>13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14</v>
          </cell>
          <cell r="Q371">
            <v>0</v>
          </cell>
          <cell r="R371">
            <v>14</v>
          </cell>
          <cell r="S371">
            <v>13</v>
          </cell>
          <cell r="T371">
            <v>14</v>
          </cell>
        </row>
        <row r="372">
          <cell r="C372" t="str">
            <v>Census Tract 326.02, King County, Washington</v>
          </cell>
          <cell r="D372">
            <v>22</v>
          </cell>
          <cell r="E372">
            <v>17</v>
          </cell>
          <cell r="F372">
            <v>0</v>
          </cell>
          <cell r="G372">
            <v>17</v>
          </cell>
          <cell r="H372">
            <v>0</v>
          </cell>
          <cell r="I372">
            <v>0</v>
          </cell>
          <cell r="J372">
            <v>0</v>
          </cell>
          <cell r="K372">
            <v>17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5</v>
          </cell>
          <cell r="Q372">
            <v>0</v>
          </cell>
          <cell r="R372">
            <v>5</v>
          </cell>
          <cell r="S372">
            <v>17</v>
          </cell>
          <cell r="T372">
            <v>5</v>
          </cell>
        </row>
        <row r="373">
          <cell r="C373" t="str">
            <v>Census Tract 327.02, King County, Washington</v>
          </cell>
          <cell r="D373">
            <v>84</v>
          </cell>
          <cell r="E373">
            <v>52</v>
          </cell>
          <cell r="F373">
            <v>41</v>
          </cell>
          <cell r="G373">
            <v>11</v>
          </cell>
          <cell r="H373">
            <v>5</v>
          </cell>
          <cell r="I373">
            <v>0</v>
          </cell>
          <cell r="J373">
            <v>0</v>
          </cell>
          <cell r="K373">
            <v>6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32</v>
          </cell>
          <cell r="Q373">
            <v>14</v>
          </cell>
          <cell r="R373">
            <v>18</v>
          </cell>
          <cell r="S373">
            <v>52</v>
          </cell>
          <cell r="T373">
            <v>32</v>
          </cell>
        </row>
        <row r="374">
          <cell r="C374" t="str">
            <v>Census Tract 327.03, King County, Washington</v>
          </cell>
          <cell r="D374">
            <v>23</v>
          </cell>
          <cell r="E374">
            <v>6</v>
          </cell>
          <cell r="F374">
            <v>6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17</v>
          </cell>
          <cell r="Q374">
            <v>0</v>
          </cell>
          <cell r="R374">
            <v>17</v>
          </cell>
          <cell r="S374">
            <v>6</v>
          </cell>
          <cell r="T374">
            <v>17</v>
          </cell>
        </row>
        <row r="375">
          <cell r="C375" t="str">
            <v>Census Tract 327.04, King County, Washington</v>
          </cell>
          <cell r="D375">
            <v>105</v>
          </cell>
          <cell r="E375">
            <v>78</v>
          </cell>
          <cell r="F375">
            <v>69</v>
          </cell>
          <cell r="G375">
            <v>9</v>
          </cell>
          <cell r="H375">
            <v>0</v>
          </cell>
          <cell r="I375">
            <v>9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27</v>
          </cell>
          <cell r="Q375">
            <v>0</v>
          </cell>
          <cell r="R375">
            <v>27</v>
          </cell>
          <cell r="S375">
            <v>78</v>
          </cell>
          <cell r="T375">
            <v>27</v>
          </cell>
        </row>
        <row r="376">
          <cell r="C376" t="str">
            <v>Census Tract 328, King County, Washington</v>
          </cell>
          <cell r="D376">
            <v>16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16</v>
          </cell>
          <cell r="Q376">
            <v>0</v>
          </cell>
          <cell r="R376">
            <v>16</v>
          </cell>
          <cell r="S376">
            <v>0</v>
          </cell>
          <cell r="T376">
            <v>16</v>
          </cell>
        </row>
        <row r="377">
          <cell r="C377" t="str">
            <v>Aberdeen city, Washington</v>
          </cell>
          <cell r="D377">
            <v>622</v>
          </cell>
          <cell r="E377">
            <v>230</v>
          </cell>
          <cell r="F377">
            <v>108</v>
          </cell>
          <cell r="G377">
            <v>122</v>
          </cell>
          <cell r="H377">
            <v>0</v>
          </cell>
          <cell r="I377">
            <v>0</v>
          </cell>
          <cell r="J377">
            <v>8</v>
          </cell>
          <cell r="K377">
            <v>114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392</v>
          </cell>
          <cell r="Q377">
            <v>40</v>
          </cell>
          <cell r="R377">
            <v>352</v>
          </cell>
          <cell r="S377">
            <v>230</v>
          </cell>
          <cell r="T377">
            <v>392</v>
          </cell>
        </row>
        <row r="378">
          <cell r="C378" t="str">
            <v>Aberdeen Gardens CDP, Washington</v>
          </cell>
          <cell r="D378">
            <v>23</v>
          </cell>
          <cell r="E378">
            <v>17</v>
          </cell>
          <cell r="F378">
            <v>17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6</v>
          </cell>
          <cell r="Q378">
            <v>0</v>
          </cell>
          <cell r="R378">
            <v>6</v>
          </cell>
          <cell r="S378">
            <v>17</v>
          </cell>
          <cell r="T378">
            <v>6</v>
          </cell>
        </row>
        <row r="379">
          <cell r="C379" t="str">
            <v>Acme CDP, Washington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</row>
        <row r="380">
          <cell r="C380" t="str">
            <v>Ahtanum CDP, Washington</v>
          </cell>
          <cell r="D380">
            <v>238</v>
          </cell>
          <cell r="E380">
            <v>142</v>
          </cell>
          <cell r="F380">
            <v>110</v>
          </cell>
          <cell r="G380">
            <v>32</v>
          </cell>
          <cell r="H380">
            <v>0</v>
          </cell>
          <cell r="I380">
            <v>0</v>
          </cell>
          <cell r="J380">
            <v>0</v>
          </cell>
          <cell r="K380">
            <v>32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96</v>
          </cell>
          <cell r="Q380">
            <v>7</v>
          </cell>
          <cell r="R380">
            <v>89</v>
          </cell>
          <cell r="S380">
            <v>142</v>
          </cell>
          <cell r="T380">
            <v>96</v>
          </cell>
        </row>
        <row r="381">
          <cell r="C381" t="str">
            <v>Airway Heights city, Washington</v>
          </cell>
          <cell r="D381">
            <v>15</v>
          </cell>
          <cell r="E381">
            <v>15</v>
          </cell>
          <cell r="F381">
            <v>0</v>
          </cell>
          <cell r="G381">
            <v>15</v>
          </cell>
          <cell r="H381">
            <v>0</v>
          </cell>
          <cell r="I381">
            <v>0</v>
          </cell>
          <cell r="J381">
            <v>6</v>
          </cell>
          <cell r="K381">
            <v>9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15</v>
          </cell>
          <cell r="T381">
            <v>0</v>
          </cell>
        </row>
        <row r="382">
          <cell r="C382" t="str">
            <v>Albion town, Washington</v>
          </cell>
          <cell r="D382">
            <v>14</v>
          </cell>
          <cell r="E382">
            <v>10</v>
          </cell>
          <cell r="F382">
            <v>2</v>
          </cell>
          <cell r="G382">
            <v>8</v>
          </cell>
          <cell r="H382">
            <v>0</v>
          </cell>
          <cell r="I382">
            <v>0</v>
          </cell>
          <cell r="J382">
            <v>0</v>
          </cell>
          <cell r="K382">
            <v>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4</v>
          </cell>
          <cell r="Q382">
            <v>2</v>
          </cell>
          <cell r="R382">
            <v>2</v>
          </cell>
          <cell r="S382">
            <v>10</v>
          </cell>
          <cell r="T382">
            <v>4</v>
          </cell>
        </row>
        <row r="383">
          <cell r="C383" t="str">
            <v>Alderwood Manor CDP, Washington</v>
          </cell>
          <cell r="D383">
            <v>174</v>
          </cell>
          <cell r="E383">
            <v>136</v>
          </cell>
          <cell r="F383">
            <v>46</v>
          </cell>
          <cell r="G383">
            <v>82</v>
          </cell>
          <cell r="H383">
            <v>13</v>
          </cell>
          <cell r="I383">
            <v>8</v>
          </cell>
          <cell r="J383">
            <v>28</v>
          </cell>
          <cell r="K383">
            <v>33</v>
          </cell>
          <cell r="L383">
            <v>8</v>
          </cell>
          <cell r="M383">
            <v>8</v>
          </cell>
          <cell r="N383">
            <v>0</v>
          </cell>
          <cell r="O383">
            <v>0</v>
          </cell>
          <cell r="P383">
            <v>38</v>
          </cell>
          <cell r="Q383">
            <v>19</v>
          </cell>
          <cell r="R383">
            <v>19</v>
          </cell>
          <cell r="S383">
            <v>128</v>
          </cell>
          <cell r="T383">
            <v>46</v>
          </cell>
        </row>
        <row r="384">
          <cell r="C384" t="str">
            <v>Alger CDP, Washington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</row>
        <row r="385">
          <cell r="C385" t="str">
            <v>Algona city, Washington</v>
          </cell>
          <cell r="D385">
            <v>44</v>
          </cell>
          <cell r="E385">
            <v>6</v>
          </cell>
          <cell r="F385">
            <v>0</v>
          </cell>
          <cell r="G385">
            <v>6</v>
          </cell>
          <cell r="H385">
            <v>0</v>
          </cell>
          <cell r="I385">
            <v>0</v>
          </cell>
          <cell r="J385">
            <v>0</v>
          </cell>
          <cell r="K385">
            <v>6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38</v>
          </cell>
          <cell r="Q385">
            <v>25</v>
          </cell>
          <cell r="R385">
            <v>13</v>
          </cell>
          <cell r="S385">
            <v>6</v>
          </cell>
          <cell r="T385">
            <v>38</v>
          </cell>
        </row>
        <row r="386">
          <cell r="C386" t="str">
            <v>Allyn-Grapeview CDP, Washington</v>
          </cell>
          <cell r="D386">
            <v>8</v>
          </cell>
          <cell r="E386">
            <v>8</v>
          </cell>
          <cell r="F386">
            <v>3</v>
          </cell>
          <cell r="G386">
            <v>5</v>
          </cell>
          <cell r="H386">
            <v>0</v>
          </cell>
          <cell r="I386">
            <v>5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8</v>
          </cell>
          <cell r="T386">
            <v>0</v>
          </cell>
        </row>
        <row r="387">
          <cell r="C387" t="str">
            <v>Almira town, Washington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</row>
        <row r="388">
          <cell r="C388" t="str">
            <v>Amboy CDP, Washington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</row>
        <row r="389">
          <cell r="C389" t="str">
            <v>Ames Lake CDP, Washington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</row>
        <row r="390">
          <cell r="C390" t="str">
            <v>Anacortes city, Washington</v>
          </cell>
          <cell r="D390">
            <v>266</v>
          </cell>
          <cell r="E390">
            <v>187</v>
          </cell>
          <cell r="F390">
            <v>140</v>
          </cell>
          <cell r="G390">
            <v>47</v>
          </cell>
          <cell r="H390">
            <v>0</v>
          </cell>
          <cell r="I390">
            <v>7</v>
          </cell>
          <cell r="J390">
            <v>5</v>
          </cell>
          <cell r="K390">
            <v>35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79</v>
          </cell>
          <cell r="Q390">
            <v>28</v>
          </cell>
          <cell r="R390">
            <v>51</v>
          </cell>
          <cell r="S390">
            <v>187</v>
          </cell>
          <cell r="T390">
            <v>79</v>
          </cell>
        </row>
        <row r="391">
          <cell r="C391" t="str">
            <v>Arlington city, Washington</v>
          </cell>
          <cell r="D391">
            <v>358</v>
          </cell>
          <cell r="E391">
            <v>221</v>
          </cell>
          <cell r="F391">
            <v>81</v>
          </cell>
          <cell r="G391">
            <v>110</v>
          </cell>
          <cell r="H391">
            <v>0</v>
          </cell>
          <cell r="I391">
            <v>29</v>
          </cell>
          <cell r="J391">
            <v>26</v>
          </cell>
          <cell r="K391">
            <v>55</v>
          </cell>
          <cell r="L391">
            <v>30</v>
          </cell>
          <cell r="M391">
            <v>0</v>
          </cell>
          <cell r="N391">
            <v>0</v>
          </cell>
          <cell r="O391">
            <v>30</v>
          </cell>
          <cell r="P391">
            <v>137</v>
          </cell>
          <cell r="Q391">
            <v>25</v>
          </cell>
          <cell r="R391">
            <v>112</v>
          </cell>
          <cell r="S391">
            <v>191</v>
          </cell>
          <cell r="T391">
            <v>167</v>
          </cell>
        </row>
        <row r="392">
          <cell r="C392" t="str">
            <v>Arlington Heights CDP, Washington</v>
          </cell>
          <cell r="D392">
            <v>16</v>
          </cell>
          <cell r="E392">
            <v>16</v>
          </cell>
          <cell r="F392">
            <v>0</v>
          </cell>
          <cell r="G392">
            <v>16</v>
          </cell>
          <cell r="H392">
            <v>0</v>
          </cell>
          <cell r="I392">
            <v>0</v>
          </cell>
          <cell r="J392">
            <v>10</v>
          </cell>
          <cell r="K392">
            <v>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16</v>
          </cell>
          <cell r="T392">
            <v>0</v>
          </cell>
        </row>
        <row r="393">
          <cell r="C393" t="str">
            <v>Artondale CDP, Washington</v>
          </cell>
          <cell r="D393">
            <v>125</v>
          </cell>
          <cell r="E393">
            <v>109</v>
          </cell>
          <cell r="F393">
            <v>26</v>
          </cell>
          <cell r="G393">
            <v>83</v>
          </cell>
          <cell r="H393">
            <v>21</v>
          </cell>
          <cell r="I393">
            <v>0</v>
          </cell>
          <cell r="J393">
            <v>0</v>
          </cell>
          <cell r="K393">
            <v>62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16</v>
          </cell>
          <cell r="Q393">
            <v>0</v>
          </cell>
          <cell r="R393">
            <v>16</v>
          </cell>
          <cell r="S393">
            <v>109</v>
          </cell>
          <cell r="T393">
            <v>16</v>
          </cell>
        </row>
        <row r="394">
          <cell r="C394" t="str">
            <v>Ashford CDP, Washington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</row>
        <row r="395">
          <cell r="C395" t="str">
            <v>Asotin city, Washington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</row>
        <row r="396">
          <cell r="C396" t="str">
            <v>Auburn city, Washington</v>
          </cell>
          <cell r="D396">
            <v>1621</v>
          </cell>
          <cell r="E396">
            <v>744</v>
          </cell>
          <cell r="F396">
            <v>491</v>
          </cell>
          <cell r="G396">
            <v>230</v>
          </cell>
          <cell r="H396">
            <v>0</v>
          </cell>
          <cell r="I396">
            <v>72</v>
          </cell>
          <cell r="J396">
            <v>23</v>
          </cell>
          <cell r="K396">
            <v>135</v>
          </cell>
          <cell r="L396">
            <v>23</v>
          </cell>
          <cell r="M396">
            <v>8</v>
          </cell>
          <cell r="N396">
            <v>0</v>
          </cell>
          <cell r="O396">
            <v>15</v>
          </cell>
          <cell r="P396">
            <v>877</v>
          </cell>
          <cell r="Q396">
            <v>188</v>
          </cell>
          <cell r="R396">
            <v>689</v>
          </cell>
          <cell r="S396">
            <v>721</v>
          </cell>
          <cell r="T396">
            <v>900</v>
          </cell>
        </row>
        <row r="397">
          <cell r="C397" t="str">
            <v>Ault Field CDP, Washington</v>
          </cell>
          <cell r="D397">
            <v>89</v>
          </cell>
          <cell r="E397">
            <v>62</v>
          </cell>
          <cell r="F397">
            <v>5</v>
          </cell>
          <cell r="G397">
            <v>45</v>
          </cell>
          <cell r="H397">
            <v>0</v>
          </cell>
          <cell r="I397">
            <v>0</v>
          </cell>
          <cell r="J397">
            <v>12</v>
          </cell>
          <cell r="K397">
            <v>33</v>
          </cell>
          <cell r="L397">
            <v>12</v>
          </cell>
          <cell r="M397">
            <v>6</v>
          </cell>
          <cell r="N397">
            <v>0</v>
          </cell>
          <cell r="O397">
            <v>6</v>
          </cell>
          <cell r="P397">
            <v>27</v>
          </cell>
          <cell r="Q397">
            <v>11</v>
          </cell>
          <cell r="R397">
            <v>16</v>
          </cell>
          <cell r="S397">
            <v>50</v>
          </cell>
          <cell r="T397">
            <v>39</v>
          </cell>
        </row>
        <row r="398">
          <cell r="C398" t="str">
            <v>Bainbridge Island city, Washington</v>
          </cell>
          <cell r="D398">
            <v>140</v>
          </cell>
          <cell r="E398">
            <v>59</v>
          </cell>
          <cell r="F398">
            <v>0</v>
          </cell>
          <cell r="G398">
            <v>59</v>
          </cell>
          <cell r="H398">
            <v>0</v>
          </cell>
          <cell r="I398">
            <v>0</v>
          </cell>
          <cell r="J398">
            <v>9</v>
          </cell>
          <cell r="K398">
            <v>50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81</v>
          </cell>
          <cell r="Q398">
            <v>4</v>
          </cell>
          <cell r="R398">
            <v>77</v>
          </cell>
          <cell r="S398">
            <v>59</v>
          </cell>
          <cell r="T398">
            <v>81</v>
          </cell>
        </row>
        <row r="399">
          <cell r="C399" t="str">
            <v>Bangor Trident Base CDP, Washington</v>
          </cell>
          <cell r="D399">
            <v>305</v>
          </cell>
          <cell r="E399">
            <v>293</v>
          </cell>
          <cell r="F399">
            <v>25</v>
          </cell>
          <cell r="G399">
            <v>261</v>
          </cell>
          <cell r="H399">
            <v>11</v>
          </cell>
          <cell r="I399">
            <v>6</v>
          </cell>
          <cell r="J399">
            <v>80</v>
          </cell>
          <cell r="K399">
            <v>164</v>
          </cell>
          <cell r="L399">
            <v>7</v>
          </cell>
          <cell r="M399">
            <v>7</v>
          </cell>
          <cell r="N399">
            <v>0</v>
          </cell>
          <cell r="O399">
            <v>0</v>
          </cell>
          <cell r="P399">
            <v>12</v>
          </cell>
          <cell r="Q399">
            <v>0</v>
          </cell>
          <cell r="R399">
            <v>12</v>
          </cell>
          <cell r="S399">
            <v>286</v>
          </cell>
          <cell r="T399">
            <v>19</v>
          </cell>
        </row>
        <row r="400">
          <cell r="C400" t="str">
            <v>Banks Lake South CDP, Washington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C401" t="str">
            <v>Barberton CDP, Washington</v>
          </cell>
          <cell r="D401">
            <v>62</v>
          </cell>
          <cell r="E401">
            <v>48</v>
          </cell>
          <cell r="F401">
            <v>7</v>
          </cell>
          <cell r="G401">
            <v>41</v>
          </cell>
          <cell r="H401">
            <v>0</v>
          </cell>
          <cell r="I401">
            <v>9</v>
          </cell>
          <cell r="J401">
            <v>0</v>
          </cell>
          <cell r="K401">
            <v>32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14</v>
          </cell>
          <cell r="Q401">
            <v>0</v>
          </cell>
          <cell r="R401">
            <v>14</v>
          </cell>
          <cell r="S401">
            <v>48</v>
          </cell>
          <cell r="T401">
            <v>14</v>
          </cell>
        </row>
        <row r="402">
          <cell r="C402" t="str">
            <v>Baring CDP, Washington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</row>
        <row r="403">
          <cell r="C403" t="str">
            <v>Basin City CDP, Washington</v>
          </cell>
          <cell r="D403">
            <v>230</v>
          </cell>
          <cell r="E403">
            <v>134</v>
          </cell>
          <cell r="F403">
            <v>123</v>
          </cell>
          <cell r="G403">
            <v>11</v>
          </cell>
          <cell r="H403">
            <v>0</v>
          </cell>
          <cell r="I403">
            <v>0</v>
          </cell>
          <cell r="J403">
            <v>11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96</v>
          </cell>
          <cell r="Q403">
            <v>10</v>
          </cell>
          <cell r="R403">
            <v>86</v>
          </cell>
          <cell r="S403">
            <v>134</v>
          </cell>
          <cell r="T403">
            <v>96</v>
          </cell>
        </row>
        <row r="404">
          <cell r="C404" t="str">
            <v>Battle Ground city, Washington</v>
          </cell>
          <cell r="D404">
            <v>184</v>
          </cell>
          <cell r="E404">
            <v>156</v>
          </cell>
          <cell r="F404">
            <v>44</v>
          </cell>
          <cell r="G404">
            <v>98</v>
          </cell>
          <cell r="H404">
            <v>0</v>
          </cell>
          <cell r="I404">
            <v>0</v>
          </cell>
          <cell r="J404">
            <v>20</v>
          </cell>
          <cell r="K404">
            <v>78</v>
          </cell>
          <cell r="L404">
            <v>14</v>
          </cell>
          <cell r="M404">
            <v>7</v>
          </cell>
          <cell r="N404">
            <v>0</v>
          </cell>
          <cell r="O404">
            <v>7</v>
          </cell>
          <cell r="P404">
            <v>28</v>
          </cell>
          <cell r="Q404">
            <v>0</v>
          </cell>
          <cell r="R404">
            <v>28</v>
          </cell>
          <cell r="S404">
            <v>142</v>
          </cell>
          <cell r="T404">
            <v>42</v>
          </cell>
        </row>
        <row r="405">
          <cell r="C405" t="str">
            <v>Bay Center CDP, Washington</v>
          </cell>
          <cell r="D405">
            <v>5</v>
          </cell>
          <cell r="E405">
            <v>5</v>
          </cell>
          <cell r="F405">
            <v>5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5</v>
          </cell>
          <cell r="T405">
            <v>0</v>
          </cell>
        </row>
        <row r="406">
          <cell r="C406" t="str">
            <v>Bay View CDP, Washington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</row>
        <row r="407">
          <cell r="C407" t="str">
            <v>Beaux Arts Village town, Washington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</row>
        <row r="408">
          <cell r="C408" t="str">
            <v>Bellevue city, Washington</v>
          </cell>
          <cell r="D408">
            <v>2953</v>
          </cell>
          <cell r="E408">
            <v>926</v>
          </cell>
          <cell r="F408">
            <v>292</v>
          </cell>
          <cell r="G408">
            <v>603</v>
          </cell>
          <cell r="H408">
            <v>107</v>
          </cell>
          <cell r="I408">
            <v>30</v>
          </cell>
          <cell r="J408">
            <v>81</v>
          </cell>
          <cell r="K408">
            <v>385</v>
          </cell>
          <cell r="L408">
            <v>31</v>
          </cell>
          <cell r="M408">
            <v>12</v>
          </cell>
          <cell r="N408">
            <v>0</v>
          </cell>
          <cell r="O408">
            <v>19</v>
          </cell>
          <cell r="P408">
            <v>2027</v>
          </cell>
          <cell r="Q408">
            <v>588</v>
          </cell>
          <cell r="R408">
            <v>1439</v>
          </cell>
          <cell r="S408">
            <v>895</v>
          </cell>
          <cell r="T408">
            <v>2058</v>
          </cell>
        </row>
        <row r="409">
          <cell r="C409" t="str">
            <v>Bell Hill CDP, Washington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</row>
        <row r="410">
          <cell r="C410" t="str">
            <v>Bellingham city, Washington</v>
          </cell>
          <cell r="D410">
            <v>1409</v>
          </cell>
          <cell r="E410">
            <v>770</v>
          </cell>
          <cell r="F410">
            <v>424</v>
          </cell>
          <cell r="G410">
            <v>329</v>
          </cell>
          <cell r="H410">
            <v>5</v>
          </cell>
          <cell r="I410">
            <v>18</v>
          </cell>
          <cell r="J410">
            <v>59</v>
          </cell>
          <cell r="K410">
            <v>247</v>
          </cell>
          <cell r="L410">
            <v>17</v>
          </cell>
          <cell r="M410">
            <v>17</v>
          </cell>
          <cell r="N410">
            <v>0</v>
          </cell>
          <cell r="O410">
            <v>0</v>
          </cell>
          <cell r="P410">
            <v>639</v>
          </cell>
          <cell r="Q410">
            <v>197</v>
          </cell>
          <cell r="R410">
            <v>442</v>
          </cell>
          <cell r="S410">
            <v>753</v>
          </cell>
          <cell r="T410">
            <v>656</v>
          </cell>
        </row>
        <row r="411">
          <cell r="C411" t="str">
            <v>Benton City city, Washington</v>
          </cell>
          <cell r="D411">
            <v>175</v>
          </cell>
          <cell r="E411">
            <v>98</v>
          </cell>
          <cell r="F411">
            <v>56</v>
          </cell>
          <cell r="G411">
            <v>42</v>
          </cell>
          <cell r="H411">
            <v>0</v>
          </cell>
          <cell r="I411">
            <v>0</v>
          </cell>
          <cell r="J411">
            <v>16</v>
          </cell>
          <cell r="K411">
            <v>26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77</v>
          </cell>
          <cell r="Q411">
            <v>30</v>
          </cell>
          <cell r="R411">
            <v>47</v>
          </cell>
          <cell r="S411">
            <v>98</v>
          </cell>
          <cell r="T411">
            <v>77</v>
          </cell>
        </row>
        <row r="412">
          <cell r="C412" t="str">
            <v>Bickleton CDP, Washington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C413" t="str">
            <v>Big Lake CDP, Washington</v>
          </cell>
          <cell r="D413">
            <v>43</v>
          </cell>
          <cell r="E413">
            <v>43</v>
          </cell>
          <cell r="F413">
            <v>43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43</v>
          </cell>
          <cell r="T413">
            <v>0</v>
          </cell>
        </row>
        <row r="414">
          <cell r="C414" t="str">
            <v>Bingen city, Washington</v>
          </cell>
          <cell r="D414">
            <v>120</v>
          </cell>
          <cell r="E414">
            <v>38</v>
          </cell>
          <cell r="F414">
            <v>13</v>
          </cell>
          <cell r="G414">
            <v>25</v>
          </cell>
          <cell r="H414">
            <v>0</v>
          </cell>
          <cell r="I414">
            <v>0</v>
          </cell>
          <cell r="J414">
            <v>0</v>
          </cell>
          <cell r="K414">
            <v>25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82</v>
          </cell>
          <cell r="Q414">
            <v>8</v>
          </cell>
          <cell r="R414">
            <v>74</v>
          </cell>
          <cell r="S414">
            <v>38</v>
          </cell>
          <cell r="T414">
            <v>82</v>
          </cell>
        </row>
        <row r="415">
          <cell r="C415" t="str">
            <v>Birch Bay CDP, Washington</v>
          </cell>
          <cell r="D415">
            <v>189</v>
          </cell>
          <cell r="E415">
            <v>106</v>
          </cell>
          <cell r="F415">
            <v>80</v>
          </cell>
          <cell r="G415">
            <v>26</v>
          </cell>
          <cell r="H415">
            <v>0</v>
          </cell>
          <cell r="I415">
            <v>13</v>
          </cell>
          <cell r="J415">
            <v>13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83</v>
          </cell>
          <cell r="Q415">
            <v>36</v>
          </cell>
          <cell r="R415">
            <v>47</v>
          </cell>
          <cell r="S415">
            <v>106</v>
          </cell>
          <cell r="T415">
            <v>83</v>
          </cell>
        </row>
        <row r="416">
          <cell r="C416" t="str">
            <v>Black Diamond city, Washington</v>
          </cell>
          <cell r="D416">
            <v>65</v>
          </cell>
          <cell r="E416">
            <v>65</v>
          </cell>
          <cell r="F416">
            <v>42</v>
          </cell>
          <cell r="G416">
            <v>23</v>
          </cell>
          <cell r="H416">
            <v>0</v>
          </cell>
          <cell r="I416">
            <v>0</v>
          </cell>
          <cell r="J416">
            <v>0</v>
          </cell>
          <cell r="K416">
            <v>23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65</v>
          </cell>
          <cell r="T416">
            <v>0</v>
          </cell>
        </row>
        <row r="417">
          <cell r="C417" t="str">
            <v>Blaine city, Washington</v>
          </cell>
          <cell r="D417">
            <v>88</v>
          </cell>
          <cell r="E417">
            <v>44</v>
          </cell>
          <cell r="F417">
            <v>18</v>
          </cell>
          <cell r="G417">
            <v>26</v>
          </cell>
          <cell r="H417">
            <v>0</v>
          </cell>
          <cell r="I417">
            <v>0</v>
          </cell>
          <cell r="J417">
            <v>0</v>
          </cell>
          <cell r="K417">
            <v>26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44</v>
          </cell>
          <cell r="Q417">
            <v>10</v>
          </cell>
          <cell r="R417">
            <v>34</v>
          </cell>
          <cell r="S417">
            <v>44</v>
          </cell>
          <cell r="T417">
            <v>44</v>
          </cell>
        </row>
        <row r="418">
          <cell r="C418" t="str">
            <v>Blyn CDP, Washington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</row>
        <row r="419">
          <cell r="C419" t="str">
            <v>Bonney Lake city, Washington</v>
          </cell>
          <cell r="D419">
            <v>28</v>
          </cell>
          <cell r="E419">
            <v>28</v>
          </cell>
          <cell r="F419">
            <v>22</v>
          </cell>
          <cell r="G419">
            <v>6</v>
          </cell>
          <cell r="H419">
            <v>0</v>
          </cell>
          <cell r="I419">
            <v>0</v>
          </cell>
          <cell r="J419">
            <v>6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</v>
          </cell>
          <cell r="T419">
            <v>0</v>
          </cell>
        </row>
        <row r="420">
          <cell r="C420" t="str">
            <v>Bothell city, Washington</v>
          </cell>
          <cell r="D420">
            <v>518</v>
          </cell>
          <cell r="E420">
            <v>301</v>
          </cell>
          <cell r="F420">
            <v>122</v>
          </cell>
          <cell r="G420">
            <v>171</v>
          </cell>
          <cell r="H420">
            <v>33</v>
          </cell>
          <cell r="I420">
            <v>3</v>
          </cell>
          <cell r="J420">
            <v>70</v>
          </cell>
          <cell r="K420">
            <v>65</v>
          </cell>
          <cell r="L420">
            <v>8</v>
          </cell>
          <cell r="M420">
            <v>8</v>
          </cell>
          <cell r="N420">
            <v>0</v>
          </cell>
          <cell r="O420">
            <v>0</v>
          </cell>
          <cell r="P420">
            <v>217</v>
          </cell>
          <cell r="Q420">
            <v>35</v>
          </cell>
          <cell r="R420">
            <v>182</v>
          </cell>
          <cell r="S420">
            <v>293</v>
          </cell>
          <cell r="T420">
            <v>225</v>
          </cell>
        </row>
        <row r="421">
          <cell r="C421" t="str">
            <v>Brady CDP, Washington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</row>
        <row r="422">
          <cell r="C422" t="str">
            <v>Bremerton city, Washington</v>
          </cell>
          <cell r="D422">
            <v>999</v>
          </cell>
          <cell r="E422">
            <v>849</v>
          </cell>
          <cell r="F422">
            <v>163</v>
          </cell>
          <cell r="G422">
            <v>642</v>
          </cell>
          <cell r="H422">
            <v>48</v>
          </cell>
          <cell r="I422">
            <v>71</v>
          </cell>
          <cell r="J422">
            <v>141</v>
          </cell>
          <cell r="K422">
            <v>382</v>
          </cell>
          <cell r="L422">
            <v>44</v>
          </cell>
          <cell r="M422">
            <v>31</v>
          </cell>
          <cell r="N422">
            <v>0</v>
          </cell>
          <cell r="O422">
            <v>13</v>
          </cell>
          <cell r="P422">
            <v>150</v>
          </cell>
          <cell r="Q422">
            <v>48</v>
          </cell>
          <cell r="R422">
            <v>102</v>
          </cell>
          <cell r="S422">
            <v>805</v>
          </cell>
          <cell r="T422">
            <v>194</v>
          </cell>
        </row>
        <row r="423">
          <cell r="C423" t="str">
            <v>Brewster city, Washington</v>
          </cell>
          <cell r="D423">
            <v>874</v>
          </cell>
          <cell r="E423">
            <v>312</v>
          </cell>
          <cell r="F423">
            <v>264</v>
          </cell>
          <cell r="G423">
            <v>48</v>
          </cell>
          <cell r="H423">
            <v>0</v>
          </cell>
          <cell r="I423">
            <v>0</v>
          </cell>
          <cell r="J423">
            <v>14</v>
          </cell>
          <cell r="K423">
            <v>34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562</v>
          </cell>
          <cell r="Q423">
            <v>52</v>
          </cell>
          <cell r="R423">
            <v>510</v>
          </cell>
          <cell r="S423">
            <v>312</v>
          </cell>
          <cell r="T423">
            <v>562</v>
          </cell>
        </row>
        <row r="424">
          <cell r="C424" t="str">
            <v>Bridgeport city, Washington</v>
          </cell>
          <cell r="D424">
            <v>686</v>
          </cell>
          <cell r="E424">
            <v>225</v>
          </cell>
          <cell r="F424">
            <v>177</v>
          </cell>
          <cell r="G424">
            <v>43</v>
          </cell>
          <cell r="H424">
            <v>0</v>
          </cell>
          <cell r="I424">
            <v>0</v>
          </cell>
          <cell r="J424">
            <v>5</v>
          </cell>
          <cell r="K424">
            <v>38</v>
          </cell>
          <cell r="L424">
            <v>5</v>
          </cell>
          <cell r="M424">
            <v>0</v>
          </cell>
          <cell r="N424">
            <v>0</v>
          </cell>
          <cell r="O424">
            <v>5</v>
          </cell>
          <cell r="P424">
            <v>461</v>
          </cell>
          <cell r="Q424">
            <v>29</v>
          </cell>
          <cell r="R424">
            <v>432</v>
          </cell>
          <cell r="S424">
            <v>220</v>
          </cell>
          <cell r="T424">
            <v>466</v>
          </cell>
        </row>
        <row r="425">
          <cell r="C425" t="str">
            <v>Brier city, Washington</v>
          </cell>
          <cell r="D425">
            <v>9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</v>
          </cell>
          <cell r="Q425">
            <v>9</v>
          </cell>
          <cell r="R425">
            <v>0</v>
          </cell>
          <cell r="S425">
            <v>0</v>
          </cell>
          <cell r="T425">
            <v>9</v>
          </cell>
        </row>
        <row r="426">
          <cell r="C426" t="str">
            <v>Brinnon CDP, Washington</v>
          </cell>
          <cell r="D426">
            <v>9</v>
          </cell>
          <cell r="E426">
            <v>7</v>
          </cell>
          <cell r="F426">
            <v>2</v>
          </cell>
          <cell r="G426">
            <v>5</v>
          </cell>
          <cell r="H426">
            <v>0</v>
          </cell>
          <cell r="I426">
            <v>2</v>
          </cell>
          <cell r="J426">
            <v>0</v>
          </cell>
          <cell r="K426">
            <v>3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2</v>
          </cell>
          <cell r="Q426">
            <v>2</v>
          </cell>
          <cell r="R426">
            <v>0</v>
          </cell>
          <cell r="S426">
            <v>7</v>
          </cell>
          <cell r="T426">
            <v>2</v>
          </cell>
        </row>
        <row r="427">
          <cell r="C427" t="str">
            <v>Brush Prairie CDP, Washington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</row>
        <row r="428">
          <cell r="C428" t="str">
            <v>Bryn Mawr-Skyway CDP, Washington</v>
          </cell>
          <cell r="D428">
            <v>363</v>
          </cell>
          <cell r="E428">
            <v>165</v>
          </cell>
          <cell r="F428">
            <v>85</v>
          </cell>
          <cell r="G428">
            <v>69</v>
          </cell>
          <cell r="H428">
            <v>9</v>
          </cell>
          <cell r="I428">
            <v>1</v>
          </cell>
          <cell r="J428">
            <v>20</v>
          </cell>
          <cell r="K428">
            <v>39</v>
          </cell>
          <cell r="L428">
            <v>11</v>
          </cell>
          <cell r="M428">
            <v>11</v>
          </cell>
          <cell r="N428">
            <v>0</v>
          </cell>
          <cell r="O428">
            <v>0</v>
          </cell>
          <cell r="P428">
            <v>198</v>
          </cell>
          <cell r="Q428">
            <v>31</v>
          </cell>
          <cell r="R428">
            <v>167</v>
          </cell>
          <cell r="S428">
            <v>154</v>
          </cell>
          <cell r="T428">
            <v>209</v>
          </cell>
        </row>
        <row r="429">
          <cell r="C429" t="str">
            <v>Buckley city, Washington</v>
          </cell>
          <cell r="D429">
            <v>9</v>
          </cell>
          <cell r="E429">
            <v>9</v>
          </cell>
          <cell r="F429">
            <v>0</v>
          </cell>
          <cell r="G429">
            <v>9</v>
          </cell>
          <cell r="H429">
            <v>0</v>
          </cell>
          <cell r="I429">
            <v>0</v>
          </cell>
          <cell r="J429">
            <v>0</v>
          </cell>
          <cell r="K429">
            <v>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9</v>
          </cell>
          <cell r="T429">
            <v>0</v>
          </cell>
        </row>
        <row r="430">
          <cell r="C430" t="str">
            <v>Bucoda town, Washington</v>
          </cell>
          <cell r="D430">
            <v>14</v>
          </cell>
          <cell r="E430">
            <v>5</v>
          </cell>
          <cell r="F430">
            <v>0</v>
          </cell>
          <cell r="G430">
            <v>5</v>
          </cell>
          <cell r="H430">
            <v>0</v>
          </cell>
          <cell r="I430">
            <v>0</v>
          </cell>
          <cell r="J430">
            <v>0</v>
          </cell>
          <cell r="K430">
            <v>5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9</v>
          </cell>
          <cell r="Q430">
            <v>0</v>
          </cell>
          <cell r="R430">
            <v>9</v>
          </cell>
          <cell r="S430">
            <v>5</v>
          </cell>
          <cell r="T430">
            <v>9</v>
          </cell>
        </row>
        <row r="431">
          <cell r="C431" t="str">
            <v>Burbank CDP, Washington</v>
          </cell>
          <cell r="D431">
            <v>188</v>
          </cell>
          <cell r="E431">
            <v>112</v>
          </cell>
          <cell r="F431">
            <v>42</v>
          </cell>
          <cell r="G431">
            <v>70</v>
          </cell>
          <cell r="H431">
            <v>0</v>
          </cell>
          <cell r="I431">
            <v>0</v>
          </cell>
          <cell r="J431">
            <v>45</v>
          </cell>
          <cell r="K431">
            <v>25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76</v>
          </cell>
          <cell r="Q431">
            <v>24</v>
          </cell>
          <cell r="R431">
            <v>52</v>
          </cell>
          <cell r="S431">
            <v>112</v>
          </cell>
          <cell r="T431">
            <v>76</v>
          </cell>
        </row>
        <row r="432">
          <cell r="C432" t="str">
            <v>Burien city, Washington</v>
          </cell>
          <cell r="D432">
            <v>1799</v>
          </cell>
          <cell r="E432">
            <v>776</v>
          </cell>
          <cell r="F432">
            <v>551</v>
          </cell>
          <cell r="G432">
            <v>208</v>
          </cell>
          <cell r="H432">
            <v>25</v>
          </cell>
          <cell r="I432">
            <v>0</v>
          </cell>
          <cell r="J432">
            <v>35</v>
          </cell>
          <cell r="K432">
            <v>148</v>
          </cell>
          <cell r="L432">
            <v>17</v>
          </cell>
          <cell r="M432">
            <v>17</v>
          </cell>
          <cell r="N432">
            <v>0</v>
          </cell>
          <cell r="O432">
            <v>0</v>
          </cell>
          <cell r="P432">
            <v>1023</v>
          </cell>
          <cell r="Q432">
            <v>196</v>
          </cell>
          <cell r="R432">
            <v>827</v>
          </cell>
          <cell r="S432">
            <v>759</v>
          </cell>
          <cell r="T432">
            <v>1040</v>
          </cell>
        </row>
        <row r="433">
          <cell r="C433" t="str">
            <v>Burlington city, Washington</v>
          </cell>
          <cell r="D433">
            <v>1124</v>
          </cell>
          <cell r="E433">
            <v>655</v>
          </cell>
          <cell r="F433">
            <v>446</v>
          </cell>
          <cell r="G433">
            <v>209</v>
          </cell>
          <cell r="H433">
            <v>0</v>
          </cell>
          <cell r="I433">
            <v>0</v>
          </cell>
          <cell r="J433">
            <v>97</v>
          </cell>
          <cell r="K433">
            <v>112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469</v>
          </cell>
          <cell r="Q433">
            <v>148</v>
          </cell>
          <cell r="R433">
            <v>321</v>
          </cell>
          <cell r="S433">
            <v>655</v>
          </cell>
          <cell r="T433">
            <v>469</v>
          </cell>
        </row>
        <row r="434">
          <cell r="C434" t="str">
            <v>Camano CDP, Washington</v>
          </cell>
          <cell r="D434">
            <v>60</v>
          </cell>
          <cell r="E434">
            <v>49</v>
          </cell>
          <cell r="F434">
            <v>21</v>
          </cell>
          <cell r="G434">
            <v>28</v>
          </cell>
          <cell r="H434">
            <v>0</v>
          </cell>
          <cell r="I434">
            <v>0</v>
          </cell>
          <cell r="J434">
            <v>0</v>
          </cell>
          <cell r="K434">
            <v>28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11</v>
          </cell>
          <cell r="Q434">
            <v>11</v>
          </cell>
          <cell r="R434">
            <v>0</v>
          </cell>
          <cell r="S434">
            <v>49</v>
          </cell>
          <cell r="T434">
            <v>11</v>
          </cell>
        </row>
        <row r="435">
          <cell r="C435" t="str">
            <v>Camas city, Washington</v>
          </cell>
          <cell r="D435">
            <v>147</v>
          </cell>
          <cell r="E435">
            <v>118</v>
          </cell>
          <cell r="F435">
            <v>40</v>
          </cell>
          <cell r="G435">
            <v>78</v>
          </cell>
          <cell r="H435">
            <v>0</v>
          </cell>
          <cell r="I435">
            <v>0</v>
          </cell>
          <cell r="J435">
            <v>26</v>
          </cell>
          <cell r="K435">
            <v>52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29</v>
          </cell>
          <cell r="Q435">
            <v>8</v>
          </cell>
          <cell r="R435">
            <v>21</v>
          </cell>
          <cell r="S435">
            <v>118</v>
          </cell>
          <cell r="T435">
            <v>29</v>
          </cell>
        </row>
        <row r="436">
          <cell r="C436" t="str">
            <v>Carbonado town, Washington</v>
          </cell>
          <cell r="D436">
            <v>2</v>
          </cell>
          <cell r="E436">
            <v>2</v>
          </cell>
          <cell r="F436">
            <v>0</v>
          </cell>
          <cell r="G436">
            <v>2</v>
          </cell>
          <cell r="H436">
            <v>0</v>
          </cell>
          <cell r="I436">
            <v>0</v>
          </cell>
          <cell r="J436">
            <v>0</v>
          </cell>
          <cell r="K436">
            <v>2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</v>
          </cell>
          <cell r="T436">
            <v>0</v>
          </cell>
        </row>
        <row r="437">
          <cell r="C437" t="str">
            <v>Carlsborg CDP, Washington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C438" t="str">
            <v>Carnation city, Washington</v>
          </cell>
          <cell r="D438">
            <v>39</v>
          </cell>
          <cell r="E438">
            <v>25</v>
          </cell>
          <cell r="F438">
            <v>12</v>
          </cell>
          <cell r="G438">
            <v>13</v>
          </cell>
          <cell r="H438">
            <v>0</v>
          </cell>
          <cell r="I438">
            <v>2</v>
          </cell>
          <cell r="J438">
            <v>0</v>
          </cell>
          <cell r="K438">
            <v>11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14</v>
          </cell>
          <cell r="Q438">
            <v>8</v>
          </cell>
          <cell r="R438">
            <v>6</v>
          </cell>
          <cell r="S438">
            <v>25</v>
          </cell>
          <cell r="T438">
            <v>14</v>
          </cell>
        </row>
        <row r="439">
          <cell r="C439" t="str">
            <v>Carson River Valley CDP, Washington</v>
          </cell>
          <cell r="D439">
            <v>32</v>
          </cell>
          <cell r="E439">
            <v>17</v>
          </cell>
          <cell r="F439">
            <v>17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15</v>
          </cell>
          <cell r="Q439">
            <v>0</v>
          </cell>
          <cell r="R439">
            <v>15</v>
          </cell>
          <cell r="S439">
            <v>17</v>
          </cell>
          <cell r="T439">
            <v>15</v>
          </cell>
        </row>
        <row r="440">
          <cell r="C440" t="str">
            <v>Cascade-Fairwood CDP, Washington</v>
          </cell>
          <cell r="D440">
            <v>790</v>
          </cell>
          <cell r="E440">
            <v>561</v>
          </cell>
          <cell r="F440">
            <v>265</v>
          </cell>
          <cell r="G440">
            <v>268</v>
          </cell>
          <cell r="H440">
            <v>18</v>
          </cell>
          <cell r="I440">
            <v>25</v>
          </cell>
          <cell r="J440">
            <v>29</v>
          </cell>
          <cell r="K440">
            <v>196</v>
          </cell>
          <cell r="L440">
            <v>28</v>
          </cell>
          <cell r="M440">
            <v>0</v>
          </cell>
          <cell r="N440">
            <v>0</v>
          </cell>
          <cell r="O440">
            <v>28</v>
          </cell>
          <cell r="P440">
            <v>229</v>
          </cell>
          <cell r="Q440">
            <v>68</v>
          </cell>
          <cell r="R440">
            <v>161</v>
          </cell>
          <cell r="S440">
            <v>533</v>
          </cell>
          <cell r="T440">
            <v>257</v>
          </cell>
        </row>
        <row r="441">
          <cell r="C441" t="str">
            <v>Cascade Valley CDP, Washington</v>
          </cell>
          <cell r="D441">
            <v>234</v>
          </cell>
          <cell r="E441">
            <v>157</v>
          </cell>
          <cell r="F441">
            <v>60</v>
          </cell>
          <cell r="G441">
            <v>97</v>
          </cell>
          <cell r="H441">
            <v>0</v>
          </cell>
          <cell r="I441">
            <v>24</v>
          </cell>
          <cell r="J441">
            <v>27</v>
          </cell>
          <cell r="K441">
            <v>46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77</v>
          </cell>
          <cell r="Q441">
            <v>0</v>
          </cell>
          <cell r="R441">
            <v>77</v>
          </cell>
          <cell r="S441">
            <v>157</v>
          </cell>
          <cell r="T441">
            <v>77</v>
          </cell>
        </row>
        <row r="442">
          <cell r="C442" t="str">
            <v>Cashmere city, Washington</v>
          </cell>
          <cell r="D442">
            <v>195</v>
          </cell>
          <cell r="E442">
            <v>61</v>
          </cell>
          <cell r="F442">
            <v>38</v>
          </cell>
          <cell r="G442">
            <v>23</v>
          </cell>
          <cell r="H442">
            <v>0</v>
          </cell>
          <cell r="I442">
            <v>0</v>
          </cell>
          <cell r="J442">
            <v>6</v>
          </cell>
          <cell r="K442">
            <v>17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134</v>
          </cell>
          <cell r="Q442">
            <v>35</v>
          </cell>
          <cell r="R442">
            <v>99</v>
          </cell>
          <cell r="S442">
            <v>61</v>
          </cell>
          <cell r="T442">
            <v>134</v>
          </cell>
        </row>
        <row r="443">
          <cell r="C443" t="str">
            <v>Castle Rock city, Washington</v>
          </cell>
          <cell r="D443">
            <v>25</v>
          </cell>
          <cell r="E443">
            <v>21</v>
          </cell>
          <cell r="F443">
            <v>16</v>
          </cell>
          <cell r="G443">
            <v>5</v>
          </cell>
          <cell r="H443">
            <v>0</v>
          </cell>
          <cell r="I443">
            <v>0</v>
          </cell>
          <cell r="J443">
            <v>0</v>
          </cell>
          <cell r="K443">
            <v>5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4</v>
          </cell>
          <cell r="Q443">
            <v>4</v>
          </cell>
          <cell r="R443">
            <v>0</v>
          </cell>
          <cell r="S443">
            <v>21</v>
          </cell>
          <cell r="T443">
            <v>4</v>
          </cell>
        </row>
        <row r="444">
          <cell r="C444" t="str">
            <v>Cathan CDP, Washington</v>
          </cell>
          <cell r="D444">
            <v>2</v>
          </cell>
          <cell r="E444">
            <v>2</v>
          </cell>
          <cell r="F444">
            <v>0</v>
          </cell>
          <cell r="G444">
            <v>2</v>
          </cell>
          <cell r="H444">
            <v>0</v>
          </cell>
          <cell r="I444">
            <v>0</v>
          </cell>
          <cell r="J444">
            <v>0</v>
          </cell>
          <cell r="K444">
            <v>2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</v>
          </cell>
          <cell r="T444">
            <v>0</v>
          </cell>
        </row>
        <row r="445">
          <cell r="C445" t="str">
            <v>Cathcart CDP, Washington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C446" t="str">
            <v>Cathlamet town, Washington</v>
          </cell>
          <cell r="D446">
            <v>9</v>
          </cell>
          <cell r="E446">
            <v>6</v>
          </cell>
          <cell r="F446">
            <v>4</v>
          </cell>
          <cell r="G446">
            <v>2</v>
          </cell>
          <cell r="H446">
            <v>0</v>
          </cell>
          <cell r="I446">
            <v>2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3</v>
          </cell>
          <cell r="Q446">
            <v>3</v>
          </cell>
          <cell r="R446">
            <v>0</v>
          </cell>
          <cell r="S446">
            <v>6</v>
          </cell>
          <cell r="T446">
            <v>3</v>
          </cell>
        </row>
        <row r="447">
          <cell r="C447" t="str">
            <v>Centerville CDP, Washington</v>
          </cell>
          <cell r="D447">
            <v>2</v>
          </cell>
          <cell r="E447">
            <v>2</v>
          </cell>
          <cell r="F447">
            <v>2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</v>
          </cell>
          <cell r="T447">
            <v>0</v>
          </cell>
        </row>
        <row r="448">
          <cell r="C448" t="str">
            <v>Centralia city, Washington</v>
          </cell>
          <cell r="D448">
            <v>806</v>
          </cell>
          <cell r="E448">
            <v>336</v>
          </cell>
          <cell r="F448">
            <v>218</v>
          </cell>
          <cell r="G448">
            <v>118</v>
          </cell>
          <cell r="H448">
            <v>0</v>
          </cell>
          <cell r="I448">
            <v>11</v>
          </cell>
          <cell r="J448">
            <v>33</v>
          </cell>
          <cell r="K448">
            <v>74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470</v>
          </cell>
          <cell r="Q448">
            <v>51</v>
          </cell>
          <cell r="R448">
            <v>419</v>
          </cell>
          <cell r="S448">
            <v>336</v>
          </cell>
          <cell r="T448">
            <v>470</v>
          </cell>
        </row>
        <row r="449">
          <cell r="C449" t="str">
            <v>Central Park CDP, Washington</v>
          </cell>
          <cell r="D449">
            <v>8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8</v>
          </cell>
          <cell r="Q449">
            <v>0</v>
          </cell>
          <cell r="R449">
            <v>8</v>
          </cell>
          <cell r="S449">
            <v>0</v>
          </cell>
          <cell r="T449">
            <v>8</v>
          </cell>
        </row>
        <row r="450">
          <cell r="C450" t="str">
            <v>Chehalis city, Washington</v>
          </cell>
          <cell r="D450">
            <v>317</v>
          </cell>
          <cell r="E450">
            <v>149</v>
          </cell>
          <cell r="F450">
            <v>113</v>
          </cell>
          <cell r="G450">
            <v>36</v>
          </cell>
          <cell r="H450">
            <v>0</v>
          </cell>
          <cell r="I450">
            <v>0</v>
          </cell>
          <cell r="J450">
            <v>11</v>
          </cell>
          <cell r="K450">
            <v>25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168</v>
          </cell>
          <cell r="Q450">
            <v>8</v>
          </cell>
          <cell r="R450">
            <v>160</v>
          </cell>
          <cell r="S450">
            <v>149</v>
          </cell>
          <cell r="T450">
            <v>168</v>
          </cell>
        </row>
        <row r="451">
          <cell r="C451" t="str">
            <v>Chehalis Village CDP, Washington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C452" t="str">
            <v>Chelan city, Washington</v>
          </cell>
          <cell r="D452">
            <v>404</v>
          </cell>
          <cell r="E452">
            <v>127</v>
          </cell>
          <cell r="F452">
            <v>88</v>
          </cell>
          <cell r="G452">
            <v>39</v>
          </cell>
          <cell r="H452">
            <v>0</v>
          </cell>
          <cell r="I452">
            <v>0</v>
          </cell>
          <cell r="J452">
            <v>11</v>
          </cell>
          <cell r="K452">
            <v>28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277</v>
          </cell>
          <cell r="Q452">
            <v>48</v>
          </cell>
          <cell r="R452">
            <v>229</v>
          </cell>
          <cell r="S452">
            <v>127</v>
          </cell>
          <cell r="T452">
            <v>277</v>
          </cell>
        </row>
        <row r="453">
          <cell r="C453" t="str">
            <v>Cheney city, Washington</v>
          </cell>
          <cell r="D453">
            <v>144</v>
          </cell>
          <cell r="E453">
            <v>109</v>
          </cell>
          <cell r="F453">
            <v>85</v>
          </cell>
          <cell r="G453">
            <v>24</v>
          </cell>
          <cell r="H453">
            <v>0</v>
          </cell>
          <cell r="I453">
            <v>11</v>
          </cell>
          <cell r="J453">
            <v>13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35</v>
          </cell>
          <cell r="Q453">
            <v>0</v>
          </cell>
          <cell r="R453">
            <v>35</v>
          </cell>
          <cell r="S453">
            <v>109</v>
          </cell>
          <cell r="T453">
            <v>35</v>
          </cell>
        </row>
        <row r="454">
          <cell r="C454" t="str">
            <v>Cherry Grove CDP, Washington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C455" t="str">
            <v>Chewelah city, Washington</v>
          </cell>
          <cell r="D455">
            <v>14</v>
          </cell>
          <cell r="E455">
            <v>14</v>
          </cell>
          <cell r="F455">
            <v>3</v>
          </cell>
          <cell r="G455">
            <v>11</v>
          </cell>
          <cell r="H455">
            <v>0</v>
          </cell>
          <cell r="I455">
            <v>6</v>
          </cell>
          <cell r="J455">
            <v>0</v>
          </cell>
          <cell r="K455">
            <v>5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14</v>
          </cell>
          <cell r="T455">
            <v>0</v>
          </cell>
        </row>
        <row r="456">
          <cell r="C456" t="str">
            <v>Chinook CDP, Washington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C457" t="str">
            <v>Clarkston city, Washington</v>
          </cell>
          <cell r="D457">
            <v>67</v>
          </cell>
          <cell r="E457">
            <v>58</v>
          </cell>
          <cell r="F457">
            <v>23</v>
          </cell>
          <cell r="G457">
            <v>35</v>
          </cell>
          <cell r="H457">
            <v>0</v>
          </cell>
          <cell r="I457">
            <v>0</v>
          </cell>
          <cell r="J457">
            <v>0</v>
          </cell>
          <cell r="K457">
            <v>35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9</v>
          </cell>
          <cell r="Q457">
            <v>0</v>
          </cell>
          <cell r="R457">
            <v>9</v>
          </cell>
          <cell r="S457">
            <v>58</v>
          </cell>
          <cell r="T457">
            <v>9</v>
          </cell>
        </row>
        <row r="458">
          <cell r="C458" t="str">
            <v>Clarkston Heights-Vineland CDP, Washington</v>
          </cell>
          <cell r="D458">
            <v>16</v>
          </cell>
          <cell r="E458">
            <v>13</v>
          </cell>
          <cell r="F458">
            <v>5</v>
          </cell>
          <cell r="G458">
            <v>8</v>
          </cell>
          <cell r="H458">
            <v>0</v>
          </cell>
          <cell r="I458">
            <v>0</v>
          </cell>
          <cell r="J458">
            <v>8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3</v>
          </cell>
          <cell r="Q458">
            <v>3</v>
          </cell>
          <cell r="R458">
            <v>0</v>
          </cell>
          <cell r="S458">
            <v>13</v>
          </cell>
          <cell r="T458">
            <v>3</v>
          </cell>
        </row>
        <row r="459">
          <cell r="C459" t="str">
            <v>Clear Lake CDP, Washington</v>
          </cell>
          <cell r="D459">
            <v>9</v>
          </cell>
          <cell r="E459">
            <v>9</v>
          </cell>
          <cell r="F459">
            <v>0</v>
          </cell>
          <cell r="G459">
            <v>9</v>
          </cell>
          <cell r="H459">
            <v>0</v>
          </cell>
          <cell r="I459">
            <v>4</v>
          </cell>
          <cell r="J459">
            <v>0</v>
          </cell>
          <cell r="K459">
            <v>5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9</v>
          </cell>
          <cell r="T459">
            <v>0</v>
          </cell>
        </row>
        <row r="460">
          <cell r="C460" t="str">
            <v>Cle Elum city, Washington</v>
          </cell>
          <cell r="D460">
            <v>13</v>
          </cell>
          <cell r="E460">
            <v>9</v>
          </cell>
          <cell r="F460">
            <v>9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4</v>
          </cell>
          <cell r="Q460">
            <v>0</v>
          </cell>
          <cell r="R460">
            <v>4</v>
          </cell>
          <cell r="S460">
            <v>9</v>
          </cell>
          <cell r="T460">
            <v>4</v>
          </cell>
        </row>
        <row r="461">
          <cell r="C461" t="str">
            <v>Clinton CDP, Washington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C462" t="str">
            <v>Clyde Hill city, Washington</v>
          </cell>
          <cell r="D462">
            <v>27</v>
          </cell>
          <cell r="E462">
            <v>23</v>
          </cell>
          <cell r="F462">
            <v>23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4</v>
          </cell>
          <cell r="Q462">
            <v>4</v>
          </cell>
          <cell r="R462">
            <v>0</v>
          </cell>
          <cell r="S462">
            <v>23</v>
          </cell>
          <cell r="T462">
            <v>4</v>
          </cell>
        </row>
        <row r="463">
          <cell r="C463" t="str">
            <v>Cohassett Beach CDP, Washington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C464" t="str">
            <v>Colfax city, Washington</v>
          </cell>
          <cell r="D464">
            <v>12</v>
          </cell>
          <cell r="E464">
            <v>6</v>
          </cell>
          <cell r="F464">
            <v>0</v>
          </cell>
          <cell r="G464">
            <v>6</v>
          </cell>
          <cell r="H464">
            <v>0</v>
          </cell>
          <cell r="I464">
            <v>0</v>
          </cell>
          <cell r="J464">
            <v>0</v>
          </cell>
          <cell r="K464">
            <v>6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6</v>
          </cell>
          <cell r="Q464">
            <v>0</v>
          </cell>
          <cell r="R464">
            <v>6</v>
          </cell>
          <cell r="S464">
            <v>6</v>
          </cell>
          <cell r="T464">
            <v>6</v>
          </cell>
        </row>
        <row r="465">
          <cell r="C465" t="str">
            <v>College Place city, Washington</v>
          </cell>
          <cell r="D465">
            <v>518</v>
          </cell>
          <cell r="E465">
            <v>334</v>
          </cell>
          <cell r="F465">
            <v>218</v>
          </cell>
          <cell r="G465">
            <v>116</v>
          </cell>
          <cell r="H465">
            <v>0</v>
          </cell>
          <cell r="I465">
            <v>0</v>
          </cell>
          <cell r="J465">
            <v>22</v>
          </cell>
          <cell r="K465">
            <v>94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184</v>
          </cell>
          <cell r="Q465">
            <v>80</v>
          </cell>
          <cell r="R465">
            <v>104</v>
          </cell>
          <cell r="S465">
            <v>334</v>
          </cell>
          <cell r="T465">
            <v>184</v>
          </cell>
        </row>
        <row r="466">
          <cell r="C466" t="str">
            <v>Colton town, Washington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</row>
        <row r="467">
          <cell r="C467" t="str">
            <v>Colville city, Washington</v>
          </cell>
          <cell r="D467">
            <v>33</v>
          </cell>
          <cell r="E467">
            <v>12</v>
          </cell>
          <cell r="F467">
            <v>12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21</v>
          </cell>
          <cell r="Q467">
            <v>14</v>
          </cell>
          <cell r="R467">
            <v>7</v>
          </cell>
          <cell r="S467">
            <v>12</v>
          </cell>
          <cell r="T467">
            <v>21</v>
          </cell>
        </row>
        <row r="468">
          <cell r="C468" t="str">
            <v>Conconully town, Washington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</row>
        <row r="469">
          <cell r="C469" t="str">
            <v>Concrete town, Washington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</row>
        <row r="470">
          <cell r="C470" t="str">
            <v>Connell city, Washington</v>
          </cell>
          <cell r="D470">
            <v>640</v>
          </cell>
          <cell r="E470">
            <v>303</v>
          </cell>
          <cell r="F470">
            <v>206</v>
          </cell>
          <cell r="G470">
            <v>97</v>
          </cell>
          <cell r="H470">
            <v>0</v>
          </cell>
          <cell r="I470">
            <v>0</v>
          </cell>
          <cell r="J470">
            <v>29</v>
          </cell>
          <cell r="K470">
            <v>68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337</v>
          </cell>
          <cell r="Q470">
            <v>63</v>
          </cell>
          <cell r="R470">
            <v>274</v>
          </cell>
          <cell r="S470">
            <v>303</v>
          </cell>
          <cell r="T470">
            <v>337</v>
          </cell>
        </row>
        <row r="471">
          <cell r="C471" t="str">
            <v>Conway CDP, Washington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C472" t="str">
            <v>Copalis Beach CDP, Washington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C473" t="str">
            <v>Cosmopolis city, Washington</v>
          </cell>
          <cell r="D473">
            <v>40</v>
          </cell>
          <cell r="E473">
            <v>20</v>
          </cell>
          <cell r="F473">
            <v>17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3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20</v>
          </cell>
          <cell r="Q473">
            <v>4</v>
          </cell>
          <cell r="R473">
            <v>16</v>
          </cell>
          <cell r="S473">
            <v>20</v>
          </cell>
          <cell r="T473">
            <v>20</v>
          </cell>
        </row>
        <row r="474">
          <cell r="C474" t="str">
            <v>Cottage Lake CDP, Washington</v>
          </cell>
          <cell r="D474">
            <v>268</v>
          </cell>
          <cell r="E474">
            <v>218</v>
          </cell>
          <cell r="F474">
            <v>82</v>
          </cell>
          <cell r="G474">
            <v>136</v>
          </cell>
          <cell r="H474">
            <v>0</v>
          </cell>
          <cell r="I474">
            <v>0</v>
          </cell>
          <cell r="J474">
            <v>11</v>
          </cell>
          <cell r="K474">
            <v>125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50</v>
          </cell>
          <cell r="Q474">
            <v>20</v>
          </cell>
          <cell r="R474">
            <v>30</v>
          </cell>
          <cell r="S474">
            <v>218</v>
          </cell>
          <cell r="T474">
            <v>50</v>
          </cell>
        </row>
        <row r="475">
          <cell r="C475" t="str">
            <v>Coulee City town, Washington</v>
          </cell>
          <cell r="D475">
            <v>2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2</v>
          </cell>
          <cell r="Q475">
            <v>2</v>
          </cell>
          <cell r="R475">
            <v>0</v>
          </cell>
          <cell r="S475">
            <v>0</v>
          </cell>
          <cell r="T475">
            <v>2</v>
          </cell>
        </row>
        <row r="476">
          <cell r="C476" t="str">
            <v>Coulee Dam town, Washington</v>
          </cell>
          <cell r="D476">
            <v>9</v>
          </cell>
          <cell r="E476">
            <v>5</v>
          </cell>
          <cell r="F476">
            <v>3</v>
          </cell>
          <cell r="G476">
            <v>2</v>
          </cell>
          <cell r="H476">
            <v>0</v>
          </cell>
          <cell r="I476">
            <v>0</v>
          </cell>
          <cell r="J476">
            <v>0</v>
          </cell>
          <cell r="K476">
            <v>2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4</v>
          </cell>
          <cell r="Q476">
            <v>0</v>
          </cell>
          <cell r="R476">
            <v>4</v>
          </cell>
          <cell r="S476">
            <v>5</v>
          </cell>
          <cell r="T476">
            <v>4</v>
          </cell>
        </row>
        <row r="477">
          <cell r="C477" t="str">
            <v>Country Homes CDP, Washington</v>
          </cell>
          <cell r="D477">
            <v>72</v>
          </cell>
          <cell r="E477">
            <v>56</v>
          </cell>
          <cell r="F477">
            <v>37</v>
          </cell>
          <cell r="G477">
            <v>19</v>
          </cell>
          <cell r="H477">
            <v>0</v>
          </cell>
          <cell r="I477">
            <v>19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16</v>
          </cell>
          <cell r="Q477">
            <v>8</v>
          </cell>
          <cell r="R477">
            <v>8</v>
          </cell>
          <cell r="S477">
            <v>56</v>
          </cell>
          <cell r="T477">
            <v>16</v>
          </cell>
        </row>
        <row r="478">
          <cell r="C478" t="str">
            <v>Coupeville town, Washington</v>
          </cell>
          <cell r="D478">
            <v>40</v>
          </cell>
          <cell r="E478">
            <v>2</v>
          </cell>
          <cell r="F478">
            <v>0</v>
          </cell>
          <cell r="G478">
            <v>2</v>
          </cell>
          <cell r="H478">
            <v>0</v>
          </cell>
          <cell r="I478">
            <v>0</v>
          </cell>
          <cell r="J478">
            <v>0</v>
          </cell>
          <cell r="K478">
            <v>2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38</v>
          </cell>
          <cell r="Q478">
            <v>0</v>
          </cell>
          <cell r="R478">
            <v>38</v>
          </cell>
          <cell r="S478">
            <v>2</v>
          </cell>
          <cell r="T478">
            <v>38</v>
          </cell>
        </row>
        <row r="479">
          <cell r="C479" t="str">
            <v>Covington city, Washington</v>
          </cell>
          <cell r="D479">
            <v>327</v>
          </cell>
          <cell r="E479">
            <v>250</v>
          </cell>
          <cell r="F479">
            <v>122</v>
          </cell>
          <cell r="G479">
            <v>128</v>
          </cell>
          <cell r="H479">
            <v>0</v>
          </cell>
          <cell r="I479">
            <v>0</v>
          </cell>
          <cell r="J479">
            <v>33</v>
          </cell>
          <cell r="K479">
            <v>95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77</v>
          </cell>
          <cell r="Q479">
            <v>30</v>
          </cell>
          <cell r="R479">
            <v>47</v>
          </cell>
          <cell r="S479">
            <v>250</v>
          </cell>
          <cell r="T479">
            <v>77</v>
          </cell>
        </row>
        <row r="480">
          <cell r="C480" t="str">
            <v>Creston town, Washington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</row>
        <row r="481">
          <cell r="C481" t="str">
            <v>Cusick town, Washington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C482" t="str">
            <v>Custer CDP, Washington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C483" t="str">
            <v>Dallesport CDP, Washington</v>
          </cell>
          <cell r="D483">
            <v>65</v>
          </cell>
          <cell r="E483">
            <v>29</v>
          </cell>
          <cell r="F483">
            <v>11</v>
          </cell>
          <cell r="G483">
            <v>18</v>
          </cell>
          <cell r="H483">
            <v>0</v>
          </cell>
          <cell r="I483">
            <v>0</v>
          </cell>
          <cell r="J483">
            <v>4</v>
          </cell>
          <cell r="K483">
            <v>14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36</v>
          </cell>
          <cell r="Q483">
            <v>8</v>
          </cell>
          <cell r="R483">
            <v>28</v>
          </cell>
          <cell r="S483">
            <v>29</v>
          </cell>
          <cell r="T483">
            <v>36</v>
          </cell>
        </row>
        <row r="484">
          <cell r="C484" t="str">
            <v>Darrington town, Washington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</row>
        <row r="485">
          <cell r="C485" t="str">
            <v>Davenport city, Washington</v>
          </cell>
          <cell r="D485">
            <v>7</v>
          </cell>
          <cell r="E485">
            <v>7</v>
          </cell>
          <cell r="F485">
            <v>2</v>
          </cell>
          <cell r="G485">
            <v>5</v>
          </cell>
          <cell r="H485">
            <v>0</v>
          </cell>
          <cell r="I485">
            <v>2</v>
          </cell>
          <cell r="J485">
            <v>0</v>
          </cell>
          <cell r="K485">
            <v>3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7</v>
          </cell>
          <cell r="T485">
            <v>0</v>
          </cell>
        </row>
        <row r="486">
          <cell r="C486" t="str">
            <v>Dayton city, Washington</v>
          </cell>
          <cell r="D486">
            <v>145</v>
          </cell>
          <cell r="E486">
            <v>80</v>
          </cell>
          <cell r="F486">
            <v>49</v>
          </cell>
          <cell r="G486">
            <v>31</v>
          </cell>
          <cell r="H486">
            <v>0</v>
          </cell>
          <cell r="I486">
            <v>0</v>
          </cell>
          <cell r="J486">
            <v>27</v>
          </cell>
          <cell r="K486">
            <v>4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65</v>
          </cell>
          <cell r="Q486">
            <v>30</v>
          </cell>
          <cell r="R486">
            <v>35</v>
          </cell>
          <cell r="S486">
            <v>80</v>
          </cell>
          <cell r="T486">
            <v>65</v>
          </cell>
        </row>
        <row r="487">
          <cell r="C487" t="str">
            <v>Deer Park city, Washington</v>
          </cell>
          <cell r="D487">
            <v>44</v>
          </cell>
          <cell r="E487">
            <v>34</v>
          </cell>
          <cell r="F487">
            <v>14</v>
          </cell>
          <cell r="G487">
            <v>20</v>
          </cell>
          <cell r="H487">
            <v>0</v>
          </cell>
          <cell r="I487">
            <v>0</v>
          </cell>
          <cell r="J487">
            <v>4</v>
          </cell>
          <cell r="K487">
            <v>16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10</v>
          </cell>
          <cell r="Q487">
            <v>10</v>
          </cell>
          <cell r="R487">
            <v>0</v>
          </cell>
          <cell r="S487">
            <v>34</v>
          </cell>
          <cell r="T487">
            <v>10</v>
          </cell>
        </row>
        <row r="488">
          <cell r="C488" t="str">
            <v>Deming CDP, Washington</v>
          </cell>
          <cell r="D488">
            <v>2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2</v>
          </cell>
          <cell r="Q488">
            <v>0</v>
          </cell>
          <cell r="R488">
            <v>2</v>
          </cell>
          <cell r="S488">
            <v>0</v>
          </cell>
          <cell r="T488">
            <v>2</v>
          </cell>
        </row>
        <row r="489">
          <cell r="C489" t="str">
            <v>Desert Aire CDP, Washington</v>
          </cell>
          <cell r="D489">
            <v>585</v>
          </cell>
          <cell r="E489">
            <v>226</v>
          </cell>
          <cell r="F489">
            <v>220</v>
          </cell>
          <cell r="G489">
            <v>6</v>
          </cell>
          <cell r="H489">
            <v>0</v>
          </cell>
          <cell r="I489">
            <v>0</v>
          </cell>
          <cell r="J489">
            <v>0</v>
          </cell>
          <cell r="K489">
            <v>6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359</v>
          </cell>
          <cell r="Q489">
            <v>20</v>
          </cell>
          <cell r="R489">
            <v>339</v>
          </cell>
          <cell r="S489">
            <v>226</v>
          </cell>
          <cell r="T489">
            <v>359</v>
          </cell>
        </row>
        <row r="490">
          <cell r="C490" t="str">
            <v>Des Moines city, Washington</v>
          </cell>
          <cell r="D490">
            <v>917</v>
          </cell>
          <cell r="E490">
            <v>345</v>
          </cell>
          <cell r="F490">
            <v>172</v>
          </cell>
          <cell r="G490">
            <v>173</v>
          </cell>
          <cell r="H490">
            <v>5</v>
          </cell>
          <cell r="I490">
            <v>0</v>
          </cell>
          <cell r="J490">
            <v>25</v>
          </cell>
          <cell r="K490">
            <v>143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572</v>
          </cell>
          <cell r="Q490">
            <v>121</v>
          </cell>
          <cell r="R490">
            <v>451</v>
          </cell>
          <cell r="S490">
            <v>345</v>
          </cell>
          <cell r="T490">
            <v>572</v>
          </cell>
        </row>
        <row r="491">
          <cell r="C491" t="str">
            <v>Dishman CDP, Washington</v>
          </cell>
          <cell r="D491">
            <v>218</v>
          </cell>
          <cell r="E491">
            <v>198</v>
          </cell>
          <cell r="F491">
            <v>85</v>
          </cell>
          <cell r="G491">
            <v>113</v>
          </cell>
          <cell r="H491">
            <v>29</v>
          </cell>
          <cell r="I491">
            <v>5</v>
          </cell>
          <cell r="J491">
            <v>0</v>
          </cell>
          <cell r="K491">
            <v>79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20</v>
          </cell>
          <cell r="Q491">
            <v>15</v>
          </cell>
          <cell r="R491">
            <v>5</v>
          </cell>
          <cell r="S491">
            <v>198</v>
          </cell>
          <cell r="T491">
            <v>20</v>
          </cell>
        </row>
        <row r="492">
          <cell r="C492" t="str">
            <v>Dixie CDP, Washington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</row>
        <row r="493">
          <cell r="C493" t="str">
            <v>Dollar Corner CDP, Washington</v>
          </cell>
          <cell r="D493">
            <v>39</v>
          </cell>
          <cell r="E493">
            <v>29</v>
          </cell>
          <cell r="F493">
            <v>14</v>
          </cell>
          <cell r="G493">
            <v>6</v>
          </cell>
          <cell r="H493">
            <v>0</v>
          </cell>
          <cell r="I493">
            <v>0</v>
          </cell>
          <cell r="J493">
            <v>0</v>
          </cell>
          <cell r="K493">
            <v>6</v>
          </cell>
          <cell r="L493">
            <v>9</v>
          </cell>
          <cell r="M493">
            <v>0</v>
          </cell>
          <cell r="N493">
            <v>0</v>
          </cell>
          <cell r="O493">
            <v>9</v>
          </cell>
          <cell r="P493">
            <v>10</v>
          </cell>
          <cell r="Q493">
            <v>0</v>
          </cell>
          <cell r="R493">
            <v>10</v>
          </cell>
          <cell r="S493">
            <v>20</v>
          </cell>
          <cell r="T493">
            <v>19</v>
          </cell>
        </row>
        <row r="494">
          <cell r="C494" t="str">
            <v>DuPont city, Washington</v>
          </cell>
          <cell r="D494">
            <v>35</v>
          </cell>
          <cell r="E494">
            <v>23</v>
          </cell>
          <cell r="F494">
            <v>9</v>
          </cell>
          <cell r="G494">
            <v>14</v>
          </cell>
          <cell r="H494">
            <v>0</v>
          </cell>
          <cell r="I494">
            <v>4</v>
          </cell>
          <cell r="J494">
            <v>3</v>
          </cell>
          <cell r="K494">
            <v>7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12</v>
          </cell>
          <cell r="Q494">
            <v>0</v>
          </cell>
          <cell r="R494">
            <v>12</v>
          </cell>
          <cell r="S494">
            <v>23</v>
          </cell>
          <cell r="T494">
            <v>12</v>
          </cell>
        </row>
        <row r="495">
          <cell r="C495" t="str">
            <v>Duvall city, Washington</v>
          </cell>
          <cell r="D495">
            <v>41</v>
          </cell>
          <cell r="E495">
            <v>18</v>
          </cell>
          <cell r="F495">
            <v>0</v>
          </cell>
          <cell r="G495">
            <v>18</v>
          </cell>
          <cell r="H495">
            <v>0</v>
          </cell>
          <cell r="I495">
            <v>0</v>
          </cell>
          <cell r="J495">
            <v>18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23</v>
          </cell>
          <cell r="Q495">
            <v>23</v>
          </cell>
          <cell r="R495">
            <v>0</v>
          </cell>
          <cell r="S495">
            <v>18</v>
          </cell>
          <cell r="T495">
            <v>23</v>
          </cell>
        </row>
        <row r="496">
          <cell r="C496" t="str">
            <v>East Cathlamet CDP, Washington</v>
          </cell>
          <cell r="D496">
            <v>7</v>
          </cell>
          <cell r="E496">
            <v>7</v>
          </cell>
          <cell r="F496">
            <v>7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7</v>
          </cell>
          <cell r="T496">
            <v>0</v>
          </cell>
        </row>
        <row r="497">
          <cell r="C497" t="str">
            <v>Eastgate CDP, Washington</v>
          </cell>
          <cell r="D497">
            <v>35</v>
          </cell>
          <cell r="E497">
            <v>16</v>
          </cell>
          <cell r="F497">
            <v>16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19</v>
          </cell>
          <cell r="Q497">
            <v>9</v>
          </cell>
          <cell r="R497">
            <v>10</v>
          </cell>
          <cell r="S497">
            <v>16</v>
          </cell>
          <cell r="T497">
            <v>19</v>
          </cell>
        </row>
        <row r="498">
          <cell r="C498" t="str">
            <v>East Hill-Meridian CDP, Washington</v>
          </cell>
          <cell r="D498">
            <v>246</v>
          </cell>
          <cell r="E498">
            <v>149</v>
          </cell>
          <cell r="F498">
            <v>60</v>
          </cell>
          <cell r="G498">
            <v>72</v>
          </cell>
          <cell r="H498">
            <v>0</v>
          </cell>
          <cell r="I498">
            <v>11</v>
          </cell>
          <cell r="J498">
            <v>0</v>
          </cell>
          <cell r="K498">
            <v>61</v>
          </cell>
          <cell r="L498">
            <v>17</v>
          </cell>
          <cell r="M498">
            <v>0</v>
          </cell>
          <cell r="N498">
            <v>0</v>
          </cell>
          <cell r="O498">
            <v>17</v>
          </cell>
          <cell r="P498">
            <v>97</v>
          </cell>
          <cell r="Q498">
            <v>16</v>
          </cell>
          <cell r="R498">
            <v>81</v>
          </cell>
          <cell r="S498">
            <v>132</v>
          </cell>
          <cell r="T498">
            <v>114</v>
          </cell>
        </row>
        <row r="499">
          <cell r="C499" t="str">
            <v>Easton CDP, Washington</v>
          </cell>
          <cell r="D499">
            <v>18</v>
          </cell>
          <cell r="E499">
            <v>12</v>
          </cell>
          <cell r="F499">
            <v>10</v>
          </cell>
          <cell r="G499">
            <v>2</v>
          </cell>
          <cell r="H499">
            <v>0</v>
          </cell>
          <cell r="I499">
            <v>0</v>
          </cell>
          <cell r="J499">
            <v>0</v>
          </cell>
          <cell r="K499">
            <v>2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</v>
          </cell>
          <cell r="Q499">
            <v>0</v>
          </cell>
          <cell r="R499">
            <v>6</v>
          </cell>
          <cell r="S499">
            <v>12</v>
          </cell>
          <cell r="T499">
            <v>6</v>
          </cell>
        </row>
        <row r="500">
          <cell r="C500" t="str">
            <v>East Port Orchard CDP, Washington</v>
          </cell>
          <cell r="D500">
            <v>97</v>
          </cell>
          <cell r="E500">
            <v>83</v>
          </cell>
          <cell r="F500">
            <v>27</v>
          </cell>
          <cell r="G500">
            <v>32</v>
          </cell>
          <cell r="H500">
            <v>0</v>
          </cell>
          <cell r="I500">
            <v>8</v>
          </cell>
          <cell r="J500">
            <v>24</v>
          </cell>
          <cell r="K500">
            <v>0</v>
          </cell>
          <cell r="L500">
            <v>24</v>
          </cell>
          <cell r="M500">
            <v>0</v>
          </cell>
          <cell r="N500">
            <v>0</v>
          </cell>
          <cell r="O500">
            <v>24</v>
          </cell>
          <cell r="P500">
            <v>14</v>
          </cell>
          <cell r="Q500">
            <v>0</v>
          </cell>
          <cell r="R500">
            <v>14</v>
          </cell>
          <cell r="S500">
            <v>59</v>
          </cell>
          <cell r="T500">
            <v>38</v>
          </cell>
        </row>
        <row r="501">
          <cell r="C501" t="str">
            <v>East Renton Highlands CDP, Washington</v>
          </cell>
          <cell r="D501">
            <v>59</v>
          </cell>
          <cell r="E501">
            <v>52</v>
          </cell>
          <cell r="F501">
            <v>7</v>
          </cell>
          <cell r="G501">
            <v>45</v>
          </cell>
          <cell r="H501">
            <v>0</v>
          </cell>
          <cell r="I501">
            <v>0</v>
          </cell>
          <cell r="J501">
            <v>0</v>
          </cell>
          <cell r="K501">
            <v>45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7</v>
          </cell>
          <cell r="Q501">
            <v>7</v>
          </cell>
          <cell r="R501">
            <v>0</v>
          </cell>
          <cell r="S501">
            <v>52</v>
          </cell>
          <cell r="T501">
            <v>7</v>
          </cell>
        </row>
        <row r="502">
          <cell r="C502" t="str">
            <v>East Wenatchee city, Washington</v>
          </cell>
          <cell r="D502">
            <v>406</v>
          </cell>
          <cell r="E502">
            <v>206</v>
          </cell>
          <cell r="F502">
            <v>151</v>
          </cell>
          <cell r="G502">
            <v>55</v>
          </cell>
          <cell r="H502">
            <v>0</v>
          </cell>
          <cell r="I502">
            <v>0</v>
          </cell>
          <cell r="J502">
            <v>3</v>
          </cell>
          <cell r="K502">
            <v>52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200</v>
          </cell>
          <cell r="Q502">
            <v>114</v>
          </cell>
          <cell r="R502">
            <v>86</v>
          </cell>
          <cell r="S502">
            <v>206</v>
          </cell>
          <cell r="T502">
            <v>200</v>
          </cell>
        </row>
        <row r="503">
          <cell r="C503" t="str">
            <v>East Wenatchee Bench CDP, Washington</v>
          </cell>
          <cell r="D503">
            <v>774</v>
          </cell>
          <cell r="E503">
            <v>361</v>
          </cell>
          <cell r="F503">
            <v>236</v>
          </cell>
          <cell r="G503">
            <v>94</v>
          </cell>
          <cell r="H503">
            <v>15</v>
          </cell>
          <cell r="I503">
            <v>11</v>
          </cell>
          <cell r="J503">
            <v>9</v>
          </cell>
          <cell r="K503">
            <v>59</v>
          </cell>
          <cell r="L503">
            <v>31</v>
          </cell>
          <cell r="M503">
            <v>24</v>
          </cell>
          <cell r="N503">
            <v>0</v>
          </cell>
          <cell r="O503">
            <v>7</v>
          </cell>
          <cell r="P503">
            <v>413</v>
          </cell>
          <cell r="Q503">
            <v>151</v>
          </cell>
          <cell r="R503">
            <v>262</v>
          </cell>
          <cell r="S503">
            <v>330</v>
          </cell>
          <cell r="T503">
            <v>444</v>
          </cell>
        </row>
        <row r="504">
          <cell r="C504" t="str">
            <v>Eatonville town, Washington</v>
          </cell>
          <cell r="D504">
            <v>42</v>
          </cell>
          <cell r="E504">
            <v>5</v>
          </cell>
          <cell r="F504">
            <v>2</v>
          </cell>
          <cell r="G504">
            <v>3</v>
          </cell>
          <cell r="H504">
            <v>0</v>
          </cell>
          <cell r="I504">
            <v>0</v>
          </cell>
          <cell r="J504">
            <v>3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37</v>
          </cell>
          <cell r="Q504">
            <v>0</v>
          </cell>
          <cell r="R504">
            <v>37</v>
          </cell>
          <cell r="S504">
            <v>5</v>
          </cell>
          <cell r="T504">
            <v>37</v>
          </cell>
        </row>
        <row r="505">
          <cell r="C505" t="str">
            <v>Echo Lake CDP, Washington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</row>
        <row r="506">
          <cell r="C506" t="str">
            <v>Edgewood city, Washington</v>
          </cell>
          <cell r="D506">
            <v>61</v>
          </cell>
          <cell r="E506">
            <v>53</v>
          </cell>
          <cell r="F506">
            <v>38</v>
          </cell>
          <cell r="G506">
            <v>15</v>
          </cell>
          <cell r="H506">
            <v>0</v>
          </cell>
          <cell r="I506">
            <v>0</v>
          </cell>
          <cell r="J506">
            <v>0</v>
          </cell>
          <cell r="K506">
            <v>15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8</v>
          </cell>
          <cell r="Q506">
            <v>8</v>
          </cell>
          <cell r="R506">
            <v>0</v>
          </cell>
          <cell r="S506">
            <v>53</v>
          </cell>
          <cell r="T506">
            <v>8</v>
          </cell>
        </row>
        <row r="507">
          <cell r="C507" t="str">
            <v>Edison CDP, Washington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</row>
        <row r="508">
          <cell r="C508" t="str">
            <v>Edmonds city, Washington</v>
          </cell>
          <cell r="D508">
            <v>497</v>
          </cell>
          <cell r="E508">
            <v>224</v>
          </cell>
          <cell r="F508">
            <v>121</v>
          </cell>
          <cell r="G508">
            <v>103</v>
          </cell>
          <cell r="H508">
            <v>0</v>
          </cell>
          <cell r="I508">
            <v>10</v>
          </cell>
          <cell r="J508">
            <v>7</v>
          </cell>
          <cell r="K508">
            <v>86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273</v>
          </cell>
          <cell r="Q508">
            <v>45</v>
          </cell>
          <cell r="R508">
            <v>228</v>
          </cell>
          <cell r="S508">
            <v>224</v>
          </cell>
          <cell r="T508">
            <v>273</v>
          </cell>
        </row>
        <row r="509">
          <cell r="C509" t="str">
            <v>Elbe CDP, Washington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</row>
        <row r="510">
          <cell r="C510" t="str">
            <v>Electric City town, Washington</v>
          </cell>
          <cell r="D510">
            <v>2</v>
          </cell>
          <cell r="E510">
            <v>2</v>
          </cell>
          <cell r="F510">
            <v>0</v>
          </cell>
          <cell r="G510">
            <v>2</v>
          </cell>
          <cell r="H510">
            <v>0</v>
          </cell>
          <cell r="I510">
            <v>0</v>
          </cell>
          <cell r="J510">
            <v>0</v>
          </cell>
          <cell r="K510">
            <v>2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</v>
          </cell>
          <cell r="T510">
            <v>0</v>
          </cell>
        </row>
        <row r="511">
          <cell r="C511" t="str">
            <v>Elk Plain CDP, Washington</v>
          </cell>
          <cell r="D511">
            <v>197</v>
          </cell>
          <cell r="E511">
            <v>125</v>
          </cell>
          <cell r="F511">
            <v>30</v>
          </cell>
          <cell r="G511">
            <v>95</v>
          </cell>
          <cell r="H511">
            <v>5</v>
          </cell>
          <cell r="I511">
            <v>0</v>
          </cell>
          <cell r="J511">
            <v>18</v>
          </cell>
          <cell r="K511">
            <v>72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72</v>
          </cell>
          <cell r="Q511">
            <v>53</v>
          </cell>
          <cell r="R511">
            <v>19</v>
          </cell>
          <cell r="S511">
            <v>125</v>
          </cell>
          <cell r="T511">
            <v>72</v>
          </cell>
        </row>
        <row r="512">
          <cell r="C512" t="str">
            <v>Ellensburg city, Washington</v>
          </cell>
          <cell r="D512">
            <v>262</v>
          </cell>
          <cell r="E512">
            <v>139</v>
          </cell>
          <cell r="F512">
            <v>121</v>
          </cell>
          <cell r="G512">
            <v>9</v>
          </cell>
          <cell r="H512">
            <v>0</v>
          </cell>
          <cell r="I512">
            <v>0</v>
          </cell>
          <cell r="J512">
            <v>0</v>
          </cell>
          <cell r="K512">
            <v>9</v>
          </cell>
          <cell r="L512">
            <v>9</v>
          </cell>
          <cell r="M512">
            <v>9</v>
          </cell>
          <cell r="N512">
            <v>0</v>
          </cell>
          <cell r="O512">
            <v>0</v>
          </cell>
          <cell r="P512">
            <v>123</v>
          </cell>
          <cell r="Q512">
            <v>19</v>
          </cell>
          <cell r="R512">
            <v>104</v>
          </cell>
          <cell r="S512">
            <v>130</v>
          </cell>
          <cell r="T512">
            <v>132</v>
          </cell>
        </row>
        <row r="513">
          <cell r="C513" t="str">
            <v>Elma city, Washington</v>
          </cell>
          <cell r="D513">
            <v>29</v>
          </cell>
          <cell r="E513">
            <v>17</v>
          </cell>
          <cell r="F513">
            <v>0</v>
          </cell>
          <cell r="G513">
            <v>17</v>
          </cell>
          <cell r="H513">
            <v>0</v>
          </cell>
          <cell r="I513">
            <v>0</v>
          </cell>
          <cell r="J513">
            <v>0</v>
          </cell>
          <cell r="K513">
            <v>17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12</v>
          </cell>
          <cell r="Q513">
            <v>12</v>
          </cell>
          <cell r="R513">
            <v>0</v>
          </cell>
          <cell r="S513">
            <v>17</v>
          </cell>
          <cell r="T513">
            <v>12</v>
          </cell>
        </row>
        <row r="514">
          <cell r="C514" t="str">
            <v>Elmer City town, Washington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</row>
        <row r="515">
          <cell r="C515" t="str">
            <v>Endicott town, Washington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</row>
        <row r="516">
          <cell r="C516" t="str">
            <v>Entiat city, Washington</v>
          </cell>
          <cell r="D516">
            <v>132</v>
          </cell>
          <cell r="E516">
            <v>76</v>
          </cell>
          <cell r="F516">
            <v>29</v>
          </cell>
          <cell r="G516">
            <v>47</v>
          </cell>
          <cell r="H516">
            <v>0</v>
          </cell>
          <cell r="I516">
            <v>1</v>
          </cell>
          <cell r="J516">
            <v>4</v>
          </cell>
          <cell r="K516">
            <v>42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56</v>
          </cell>
          <cell r="Q516">
            <v>8</v>
          </cell>
          <cell r="R516">
            <v>48</v>
          </cell>
          <cell r="S516">
            <v>76</v>
          </cell>
          <cell r="T516">
            <v>56</v>
          </cell>
        </row>
        <row r="517">
          <cell r="C517" t="str">
            <v>Enumclaw city, Washington</v>
          </cell>
          <cell r="D517">
            <v>169</v>
          </cell>
          <cell r="E517">
            <v>52</v>
          </cell>
          <cell r="F517">
            <v>20</v>
          </cell>
          <cell r="G517">
            <v>32</v>
          </cell>
          <cell r="H517">
            <v>0</v>
          </cell>
          <cell r="I517">
            <v>17</v>
          </cell>
          <cell r="J517">
            <v>0</v>
          </cell>
          <cell r="K517">
            <v>15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117</v>
          </cell>
          <cell r="Q517">
            <v>17</v>
          </cell>
          <cell r="R517">
            <v>100</v>
          </cell>
          <cell r="S517">
            <v>52</v>
          </cell>
          <cell r="T517">
            <v>117</v>
          </cell>
        </row>
        <row r="518">
          <cell r="C518" t="str">
            <v>Ephrata city, Washington</v>
          </cell>
          <cell r="D518">
            <v>547</v>
          </cell>
          <cell r="E518">
            <v>264</v>
          </cell>
          <cell r="F518">
            <v>199</v>
          </cell>
          <cell r="G518">
            <v>65</v>
          </cell>
          <cell r="H518">
            <v>0</v>
          </cell>
          <cell r="I518">
            <v>0</v>
          </cell>
          <cell r="J518">
            <v>9</v>
          </cell>
          <cell r="K518">
            <v>56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283</v>
          </cell>
          <cell r="Q518">
            <v>144</v>
          </cell>
          <cell r="R518">
            <v>139</v>
          </cell>
          <cell r="S518">
            <v>264</v>
          </cell>
          <cell r="T518">
            <v>283</v>
          </cell>
        </row>
        <row r="519">
          <cell r="C519" t="str">
            <v>Erlands Point-Kitsap Lake CDP, Washington</v>
          </cell>
          <cell r="D519">
            <v>43</v>
          </cell>
          <cell r="E519">
            <v>43</v>
          </cell>
          <cell r="F519">
            <v>10</v>
          </cell>
          <cell r="G519">
            <v>33</v>
          </cell>
          <cell r="H519">
            <v>0</v>
          </cell>
          <cell r="I519">
            <v>0</v>
          </cell>
          <cell r="J519">
            <v>0</v>
          </cell>
          <cell r="K519">
            <v>33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43</v>
          </cell>
          <cell r="T519">
            <v>0</v>
          </cell>
        </row>
        <row r="520">
          <cell r="C520" t="str">
            <v>Eschbach CDP, Washington</v>
          </cell>
          <cell r="D520">
            <v>32</v>
          </cell>
          <cell r="E520">
            <v>28</v>
          </cell>
          <cell r="F520">
            <v>16</v>
          </cell>
          <cell r="G520">
            <v>12</v>
          </cell>
          <cell r="H520">
            <v>0</v>
          </cell>
          <cell r="I520">
            <v>7</v>
          </cell>
          <cell r="J520">
            <v>0</v>
          </cell>
          <cell r="K520">
            <v>5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4</v>
          </cell>
          <cell r="Q520">
            <v>0</v>
          </cell>
          <cell r="R520">
            <v>4</v>
          </cell>
          <cell r="S520">
            <v>28</v>
          </cell>
          <cell r="T520">
            <v>4</v>
          </cell>
        </row>
        <row r="521">
          <cell r="C521" t="str">
            <v>Esperance CDP, Washington</v>
          </cell>
          <cell r="D521">
            <v>84</v>
          </cell>
          <cell r="E521">
            <v>67</v>
          </cell>
          <cell r="F521">
            <v>35</v>
          </cell>
          <cell r="G521">
            <v>11</v>
          </cell>
          <cell r="H521">
            <v>11</v>
          </cell>
          <cell r="I521">
            <v>0</v>
          </cell>
          <cell r="J521">
            <v>0</v>
          </cell>
          <cell r="K521">
            <v>0</v>
          </cell>
          <cell r="L521">
            <v>21</v>
          </cell>
          <cell r="M521">
            <v>21</v>
          </cell>
          <cell r="N521">
            <v>0</v>
          </cell>
          <cell r="O521">
            <v>0</v>
          </cell>
          <cell r="P521">
            <v>17</v>
          </cell>
          <cell r="Q521">
            <v>0</v>
          </cell>
          <cell r="R521">
            <v>17</v>
          </cell>
          <cell r="S521">
            <v>46</v>
          </cell>
          <cell r="T521">
            <v>38</v>
          </cell>
        </row>
        <row r="522">
          <cell r="C522" t="str">
            <v>Everett city, Washington</v>
          </cell>
          <cell r="D522">
            <v>2942</v>
          </cell>
          <cell r="E522">
            <v>1617</v>
          </cell>
          <cell r="F522">
            <v>731</v>
          </cell>
          <cell r="G522">
            <v>801</v>
          </cell>
          <cell r="H522">
            <v>29</v>
          </cell>
          <cell r="I522">
            <v>37</v>
          </cell>
          <cell r="J522">
            <v>147</v>
          </cell>
          <cell r="K522">
            <v>588</v>
          </cell>
          <cell r="L522">
            <v>85</v>
          </cell>
          <cell r="M522">
            <v>25</v>
          </cell>
          <cell r="N522">
            <v>10</v>
          </cell>
          <cell r="O522">
            <v>50</v>
          </cell>
          <cell r="P522">
            <v>1325</v>
          </cell>
          <cell r="Q522">
            <v>218</v>
          </cell>
          <cell r="R522">
            <v>1107</v>
          </cell>
          <cell r="S522">
            <v>1532</v>
          </cell>
          <cell r="T522">
            <v>1410</v>
          </cell>
        </row>
        <row r="523">
          <cell r="C523" t="str">
            <v>Everson city, Washington</v>
          </cell>
          <cell r="D523">
            <v>140</v>
          </cell>
          <cell r="E523">
            <v>81</v>
          </cell>
          <cell r="F523">
            <v>47</v>
          </cell>
          <cell r="G523">
            <v>32</v>
          </cell>
          <cell r="H523">
            <v>0</v>
          </cell>
          <cell r="I523">
            <v>0</v>
          </cell>
          <cell r="J523">
            <v>24</v>
          </cell>
          <cell r="K523">
            <v>8</v>
          </cell>
          <cell r="L523">
            <v>2</v>
          </cell>
          <cell r="M523">
            <v>0</v>
          </cell>
          <cell r="N523">
            <v>0</v>
          </cell>
          <cell r="O523">
            <v>2</v>
          </cell>
          <cell r="P523">
            <v>59</v>
          </cell>
          <cell r="Q523">
            <v>7</v>
          </cell>
          <cell r="R523">
            <v>52</v>
          </cell>
          <cell r="S523">
            <v>79</v>
          </cell>
          <cell r="T523">
            <v>61</v>
          </cell>
        </row>
        <row r="524">
          <cell r="C524" t="str">
            <v>Fairchild AFB CDP, Washington</v>
          </cell>
          <cell r="D524">
            <v>148</v>
          </cell>
          <cell r="E524">
            <v>142</v>
          </cell>
          <cell r="F524">
            <v>8</v>
          </cell>
          <cell r="G524">
            <v>129</v>
          </cell>
          <cell r="H524">
            <v>25</v>
          </cell>
          <cell r="I524">
            <v>0</v>
          </cell>
          <cell r="J524">
            <v>48</v>
          </cell>
          <cell r="K524">
            <v>56</v>
          </cell>
          <cell r="L524">
            <v>5</v>
          </cell>
          <cell r="M524">
            <v>0</v>
          </cell>
          <cell r="N524">
            <v>0</v>
          </cell>
          <cell r="O524">
            <v>5</v>
          </cell>
          <cell r="P524">
            <v>6</v>
          </cell>
          <cell r="Q524">
            <v>6</v>
          </cell>
          <cell r="R524">
            <v>0</v>
          </cell>
          <cell r="S524">
            <v>137</v>
          </cell>
          <cell r="T524">
            <v>11</v>
          </cell>
        </row>
        <row r="525">
          <cell r="C525" t="str">
            <v>Fairfield town, Washington</v>
          </cell>
          <cell r="D525">
            <v>10</v>
          </cell>
          <cell r="E525">
            <v>7</v>
          </cell>
          <cell r="F525">
            <v>2</v>
          </cell>
          <cell r="G525">
            <v>5</v>
          </cell>
          <cell r="H525">
            <v>0</v>
          </cell>
          <cell r="I525">
            <v>2</v>
          </cell>
          <cell r="J525">
            <v>0</v>
          </cell>
          <cell r="K525">
            <v>3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</v>
          </cell>
          <cell r="Q525">
            <v>3</v>
          </cell>
          <cell r="R525">
            <v>0</v>
          </cell>
          <cell r="S525">
            <v>7</v>
          </cell>
          <cell r="T525">
            <v>3</v>
          </cell>
        </row>
        <row r="526">
          <cell r="C526" t="str">
            <v>Fairwood CDP, Washington</v>
          </cell>
          <cell r="D526">
            <v>68</v>
          </cell>
          <cell r="E526">
            <v>60</v>
          </cell>
          <cell r="F526">
            <v>40</v>
          </cell>
          <cell r="G526">
            <v>20</v>
          </cell>
          <cell r="H526">
            <v>0</v>
          </cell>
          <cell r="I526">
            <v>0</v>
          </cell>
          <cell r="J526">
            <v>0</v>
          </cell>
          <cell r="K526">
            <v>20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8</v>
          </cell>
          <cell r="Q526">
            <v>0</v>
          </cell>
          <cell r="R526">
            <v>8</v>
          </cell>
          <cell r="S526">
            <v>60</v>
          </cell>
          <cell r="T526">
            <v>8</v>
          </cell>
        </row>
        <row r="527">
          <cell r="C527" t="str">
            <v>Fall City CDP, Washington</v>
          </cell>
          <cell r="D527">
            <v>14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14</v>
          </cell>
          <cell r="Q527">
            <v>0</v>
          </cell>
          <cell r="R527">
            <v>14</v>
          </cell>
          <cell r="S527">
            <v>0</v>
          </cell>
          <cell r="T527">
            <v>14</v>
          </cell>
        </row>
        <row r="528">
          <cell r="C528" t="str">
            <v>Farmington town, Washington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</row>
        <row r="529">
          <cell r="C529" t="str">
            <v>Federal Way city, Washington</v>
          </cell>
          <cell r="D529">
            <v>3081</v>
          </cell>
          <cell r="E529">
            <v>1780</v>
          </cell>
          <cell r="F529">
            <v>845</v>
          </cell>
          <cell r="G529">
            <v>845</v>
          </cell>
          <cell r="H529">
            <v>106</v>
          </cell>
          <cell r="I529">
            <v>48</v>
          </cell>
          <cell r="J529">
            <v>189</v>
          </cell>
          <cell r="K529">
            <v>502</v>
          </cell>
          <cell r="L529">
            <v>90</v>
          </cell>
          <cell r="M529">
            <v>39</v>
          </cell>
          <cell r="N529">
            <v>0</v>
          </cell>
          <cell r="O529">
            <v>51</v>
          </cell>
          <cell r="P529">
            <v>1301</v>
          </cell>
          <cell r="Q529">
            <v>251</v>
          </cell>
          <cell r="R529">
            <v>1050</v>
          </cell>
          <cell r="S529">
            <v>1690</v>
          </cell>
          <cell r="T529">
            <v>1391</v>
          </cell>
        </row>
        <row r="530">
          <cell r="C530" t="str">
            <v>Felida CDP, Washington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</row>
        <row r="531">
          <cell r="C531" t="str">
            <v>Ferndale city, Washington</v>
          </cell>
          <cell r="D531">
            <v>424</v>
          </cell>
          <cell r="E531">
            <v>186</v>
          </cell>
          <cell r="F531">
            <v>127</v>
          </cell>
          <cell r="G531">
            <v>59</v>
          </cell>
          <cell r="H531">
            <v>0</v>
          </cell>
          <cell r="I531">
            <v>0</v>
          </cell>
          <cell r="J531">
            <v>29</v>
          </cell>
          <cell r="K531">
            <v>30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238</v>
          </cell>
          <cell r="Q531">
            <v>38</v>
          </cell>
          <cell r="R531">
            <v>200</v>
          </cell>
          <cell r="S531">
            <v>186</v>
          </cell>
          <cell r="T531">
            <v>238</v>
          </cell>
        </row>
        <row r="532">
          <cell r="C532" t="str">
            <v>Fife city, Washington</v>
          </cell>
          <cell r="D532">
            <v>337</v>
          </cell>
          <cell r="E532">
            <v>103</v>
          </cell>
          <cell r="F532">
            <v>59</v>
          </cell>
          <cell r="G532">
            <v>44</v>
          </cell>
          <cell r="H532">
            <v>6</v>
          </cell>
          <cell r="I532">
            <v>2</v>
          </cell>
          <cell r="J532">
            <v>9</v>
          </cell>
          <cell r="K532">
            <v>27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234</v>
          </cell>
          <cell r="Q532">
            <v>41</v>
          </cell>
          <cell r="R532">
            <v>193</v>
          </cell>
          <cell r="S532">
            <v>103</v>
          </cell>
          <cell r="T532">
            <v>234</v>
          </cell>
        </row>
        <row r="533">
          <cell r="C533" t="str">
            <v>Finley CDP, Washington</v>
          </cell>
          <cell r="D533">
            <v>251</v>
          </cell>
          <cell r="E533">
            <v>160</v>
          </cell>
          <cell r="F533">
            <v>113</v>
          </cell>
          <cell r="G533">
            <v>47</v>
          </cell>
          <cell r="H533">
            <v>0</v>
          </cell>
          <cell r="I533">
            <v>9</v>
          </cell>
          <cell r="J533">
            <v>21</v>
          </cell>
          <cell r="K533">
            <v>17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91</v>
          </cell>
          <cell r="Q533">
            <v>33</v>
          </cell>
          <cell r="R533">
            <v>58</v>
          </cell>
          <cell r="S533">
            <v>160</v>
          </cell>
          <cell r="T533">
            <v>91</v>
          </cell>
        </row>
        <row r="534">
          <cell r="C534" t="str">
            <v>Fircrest city, Washington</v>
          </cell>
          <cell r="D534">
            <v>50</v>
          </cell>
          <cell r="E534">
            <v>50</v>
          </cell>
          <cell r="F534">
            <v>29</v>
          </cell>
          <cell r="G534">
            <v>10</v>
          </cell>
          <cell r="H534">
            <v>0</v>
          </cell>
          <cell r="I534">
            <v>0</v>
          </cell>
          <cell r="J534">
            <v>10</v>
          </cell>
          <cell r="K534">
            <v>0</v>
          </cell>
          <cell r="L534">
            <v>11</v>
          </cell>
          <cell r="M534">
            <v>11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39</v>
          </cell>
          <cell r="T534">
            <v>11</v>
          </cell>
        </row>
        <row r="535">
          <cell r="C535" t="str">
            <v>Five Corners CDP, Washington</v>
          </cell>
          <cell r="D535">
            <v>155</v>
          </cell>
          <cell r="E535">
            <v>72</v>
          </cell>
          <cell r="F535">
            <v>30</v>
          </cell>
          <cell r="G535">
            <v>42</v>
          </cell>
          <cell r="H535">
            <v>0</v>
          </cell>
          <cell r="I535">
            <v>28</v>
          </cell>
          <cell r="J535">
            <v>5</v>
          </cell>
          <cell r="K535">
            <v>9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83</v>
          </cell>
          <cell r="Q535">
            <v>40</v>
          </cell>
          <cell r="R535">
            <v>43</v>
          </cell>
          <cell r="S535">
            <v>72</v>
          </cell>
          <cell r="T535">
            <v>83</v>
          </cell>
        </row>
        <row r="536">
          <cell r="C536" t="str">
            <v>Fords Prairie CDP, Washington</v>
          </cell>
          <cell r="D536">
            <v>26</v>
          </cell>
          <cell r="E536">
            <v>18</v>
          </cell>
          <cell r="F536">
            <v>0</v>
          </cell>
          <cell r="G536">
            <v>18</v>
          </cell>
          <cell r="H536">
            <v>0</v>
          </cell>
          <cell r="I536">
            <v>0</v>
          </cell>
          <cell r="J536">
            <v>0</v>
          </cell>
          <cell r="K536">
            <v>18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8</v>
          </cell>
          <cell r="Q536">
            <v>8</v>
          </cell>
          <cell r="R536">
            <v>0</v>
          </cell>
          <cell r="S536">
            <v>18</v>
          </cell>
          <cell r="T536">
            <v>8</v>
          </cell>
        </row>
        <row r="537">
          <cell r="C537" t="str">
            <v>Forks city, Washington</v>
          </cell>
          <cell r="D537">
            <v>254</v>
          </cell>
          <cell r="E537">
            <v>52</v>
          </cell>
          <cell r="F537">
            <v>23</v>
          </cell>
          <cell r="G537">
            <v>29</v>
          </cell>
          <cell r="H537">
            <v>9</v>
          </cell>
          <cell r="I537">
            <v>0</v>
          </cell>
          <cell r="J537">
            <v>0</v>
          </cell>
          <cell r="K537">
            <v>20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202</v>
          </cell>
          <cell r="Q537">
            <v>15</v>
          </cell>
          <cell r="R537">
            <v>187</v>
          </cell>
          <cell r="S537">
            <v>52</v>
          </cell>
          <cell r="T537">
            <v>202</v>
          </cell>
        </row>
        <row r="538">
          <cell r="C538" t="str">
            <v>Fort Lewis CDP, Washington</v>
          </cell>
          <cell r="D538">
            <v>1160</v>
          </cell>
          <cell r="E538">
            <v>951</v>
          </cell>
          <cell r="F538">
            <v>129</v>
          </cell>
          <cell r="G538">
            <v>738</v>
          </cell>
          <cell r="H538">
            <v>84</v>
          </cell>
          <cell r="I538">
            <v>28</v>
          </cell>
          <cell r="J538">
            <v>191</v>
          </cell>
          <cell r="K538">
            <v>435</v>
          </cell>
          <cell r="L538">
            <v>84</v>
          </cell>
          <cell r="M538">
            <v>41</v>
          </cell>
          <cell r="N538">
            <v>0</v>
          </cell>
          <cell r="O538">
            <v>43</v>
          </cell>
          <cell r="P538">
            <v>209</v>
          </cell>
          <cell r="Q538">
            <v>72</v>
          </cell>
          <cell r="R538">
            <v>137</v>
          </cell>
          <cell r="S538">
            <v>867</v>
          </cell>
          <cell r="T538">
            <v>293</v>
          </cell>
        </row>
        <row r="539">
          <cell r="C539" t="str">
            <v>Fox Island CDP, Washington</v>
          </cell>
          <cell r="D539">
            <v>6</v>
          </cell>
          <cell r="E539">
            <v>6</v>
          </cell>
          <cell r="F539">
            <v>0</v>
          </cell>
          <cell r="G539">
            <v>6</v>
          </cell>
          <cell r="H539">
            <v>6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6</v>
          </cell>
          <cell r="T539">
            <v>0</v>
          </cell>
        </row>
        <row r="540">
          <cell r="C540" t="str">
            <v>Frederickson CDP, Washington</v>
          </cell>
          <cell r="D540">
            <v>48</v>
          </cell>
          <cell r="E540">
            <v>41</v>
          </cell>
          <cell r="F540">
            <v>22</v>
          </cell>
          <cell r="G540">
            <v>19</v>
          </cell>
          <cell r="H540">
            <v>0</v>
          </cell>
          <cell r="I540">
            <v>0</v>
          </cell>
          <cell r="J540">
            <v>0</v>
          </cell>
          <cell r="K540">
            <v>19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7</v>
          </cell>
          <cell r="Q540">
            <v>7</v>
          </cell>
          <cell r="R540">
            <v>0</v>
          </cell>
          <cell r="S540">
            <v>41</v>
          </cell>
          <cell r="T540">
            <v>7</v>
          </cell>
        </row>
        <row r="541">
          <cell r="C541" t="str">
            <v>Freeland CDP, Washington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C542" t="str">
            <v>Friday Harbor town, Washington</v>
          </cell>
          <cell r="D542">
            <v>57</v>
          </cell>
          <cell r="E542">
            <v>13</v>
          </cell>
          <cell r="F542">
            <v>7</v>
          </cell>
          <cell r="G542">
            <v>6</v>
          </cell>
          <cell r="H542">
            <v>0</v>
          </cell>
          <cell r="I542">
            <v>0</v>
          </cell>
          <cell r="J542">
            <v>0</v>
          </cell>
          <cell r="K542">
            <v>6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44</v>
          </cell>
          <cell r="Q542">
            <v>0</v>
          </cell>
          <cell r="R542">
            <v>44</v>
          </cell>
          <cell r="S542">
            <v>13</v>
          </cell>
          <cell r="T542">
            <v>44</v>
          </cell>
        </row>
        <row r="543">
          <cell r="C543" t="str">
            <v>Garfield town, Washington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</row>
        <row r="544">
          <cell r="C544" t="str">
            <v>Garrett CDP, Washington</v>
          </cell>
          <cell r="D544">
            <v>7</v>
          </cell>
          <cell r="E544">
            <v>7</v>
          </cell>
          <cell r="F544">
            <v>7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7</v>
          </cell>
          <cell r="T544">
            <v>0</v>
          </cell>
        </row>
        <row r="545">
          <cell r="C545" t="str">
            <v>Geneva CDP, Washington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</row>
        <row r="546">
          <cell r="C546" t="str">
            <v>George city, Washington</v>
          </cell>
          <cell r="D546">
            <v>86</v>
          </cell>
          <cell r="E546">
            <v>19</v>
          </cell>
          <cell r="F546">
            <v>16</v>
          </cell>
          <cell r="G546">
            <v>3</v>
          </cell>
          <cell r="H546">
            <v>0</v>
          </cell>
          <cell r="I546">
            <v>0</v>
          </cell>
          <cell r="J546">
            <v>3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</v>
          </cell>
          <cell r="Q546">
            <v>15</v>
          </cell>
          <cell r="R546">
            <v>52</v>
          </cell>
          <cell r="S546">
            <v>19</v>
          </cell>
          <cell r="T546">
            <v>67</v>
          </cell>
        </row>
        <row r="547">
          <cell r="C547" t="str">
            <v>Gig Harbor city, Washington</v>
          </cell>
          <cell r="D547">
            <v>20</v>
          </cell>
          <cell r="E547">
            <v>16</v>
          </cell>
          <cell r="F547">
            <v>0</v>
          </cell>
          <cell r="G547">
            <v>16</v>
          </cell>
          <cell r="H547">
            <v>0</v>
          </cell>
          <cell r="I547">
            <v>0</v>
          </cell>
          <cell r="J547">
            <v>7</v>
          </cell>
          <cell r="K547">
            <v>9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4</v>
          </cell>
          <cell r="Q547">
            <v>4</v>
          </cell>
          <cell r="R547">
            <v>0</v>
          </cell>
          <cell r="S547">
            <v>16</v>
          </cell>
          <cell r="T547">
            <v>4</v>
          </cell>
        </row>
        <row r="548">
          <cell r="C548" t="str">
            <v>Glacier CDP, Washington</v>
          </cell>
          <cell r="D548">
            <v>9</v>
          </cell>
          <cell r="E548">
            <v>9</v>
          </cell>
          <cell r="F548">
            <v>9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9</v>
          </cell>
          <cell r="T548">
            <v>0</v>
          </cell>
        </row>
        <row r="549">
          <cell r="C549" t="str">
            <v>Gleed CDP, Washington</v>
          </cell>
          <cell r="D549">
            <v>211</v>
          </cell>
          <cell r="E549">
            <v>116</v>
          </cell>
          <cell r="F549">
            <v>100</v>
          </cell>
          <cell r="G549">
            <v>16</v>
          </cell>
          <cell r="H549">
            <v>0</v>
          </cell>
          <cell r="I549">
            <v>0</v>
          </cell>
          <cell r="J549">
            <v>0</v>
          </cell>
          <cell r="K549">
            <v>16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95</v>
          </cell>
          <cell r="Q549">
            <v>29</v>
          </cell>
          <cell r="R549">
            <v>66</v>
          </cell>
          <cell r="S549">
            <v>116</v>
          </cell>
          <cell r="T549">
            <v>95</v>
          </cell>
        </row>
        <row r="550">
          <cell r="C550" t="str">
            <v>Gold Bar city, Washington</v>
          </cell>
          <cell r="D550">
            <v>23</v>
          </cell>
          <cell r="E550">
            <v>21</v>
          </cell>
          <cell r="F550">
            <v>13</v>
          </cell>
          <cell r="G550">
            <v>8</v>
          </cell>
          <cell r="H550">
            <v>0</v>
          </cell>
          <cell r="I550">
            <v>0</v>
          </cell>
          <cell r="J550">
            <v>8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</v>
          </cell>
          <cell r="Q550">
            <v>0</v>
          </cell>
          <cell r="R550">
            <v>2</v>
          </cell>
          <cell r="S550">
            <v>21</v>
          </cell>
          <cell r="T550">
            <v>2</v>
          </cell>
        </row>
        <row r="551">
          <cell r="C551" t="str">
            <v>Goldendale city, Washington</v>
          </cell>
          <cell r="D551">
            <v>226</v>
          </cell>
          <cell r="E551">
            <v>104</v>
          </cell>
          <cell r="F551">
            <v>54</v>
          </cell>
          <cell r="G551">
            <v>50</v>
          </cell>
          <cell r="H551">
            <v>0</v>
          </cell>
          <cell r="I551">
            <v>0</v>
          </cell>
          <cell r="J551">
            <v>16</v>
          </cell>
          <cell r="K551">
            <v>34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122</v>
          </cell>
          <cell r="Q551">
            <v>16</v>
          </cell>
          <cell r="R551">
            <v>106</v>
          </cell>
          <cell r="S551">
            <v>104</v>
          </cell>
          <cell r="T551">
            <v>122</v>
          </cell>
        </row>
        <row r="552">
          <cell r="C552" t="str">
            <v>Graham CDP, Washington</v>
          </cell>
          <cell r="D552">
            <v>99</v>
          </cell>
          <cell r="E552">
            <v>79</v>
          </cell>
          <cell r="F552">
            <v>29</v>
          </cell>
          <cell r="G552">
            <v>42</v>
          </cell>
          <cell r="H552">
            <v>0</v>
          </cell>
          <cell r="I552">
            <v>7</v>
          </cell>
          <cell r="J552">
            <v>0</v>
          </cell>
          <cell r="K552">
            <v>35</v>
          </cell>
          <cell r="L552">
            <v>8</v>
          </cell>
          <cell r="M552">
            <v>0</v>
          </cell>
          <cell r="N552">
            <v>0</v>
          </cell>
          <cell r="O552">
            <v>8</v>
          </cell>
          <cell r="P552">
            <v>20</v>
          </cell>
          <cell r="Q552">
            <v>6</v>
          </cell>
          <cell r="R552">
            <v>14</v>
          </cell>
          <cell r="S552">
            <v>71</v>
          </cell>
          <cell r="T552">
            <v>28</v>
          </cell>
        </row>
        <row r="553">
          <cell r="C553" t="str">
            <v>Grand Coulee city, Washington</v>
          </cell>
          <cell r="D553">
            <v>16</v>
          </cell>
          <cell r="E553">
            <v>10</v>
          </cell>
          <cell r="F553">
            <v>6</v>
          </cell>
          <cell r="G553">
            <v>4</v>
          </cell>
          <cell r="H553">
            <v>0</v>
          </cell>
          <cell r="I553">
            <v>0</v>
          </cell>
          <cell r="J553">
            <v>0</v>
          </cell>
          <cell r="K553">
            <v>4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6</v>
          </cell>
          <cell r="Q553">
            <v>6</v>
          </cell>
          <cell r="R553">
            <v>0</v>
          </cell>
          <cell r="S553">
            <v>10</v>
          </cell>
          <cell r="T553">
            <v>6</v>
          </cell>
        </row>
        <row r="554">
          <cell r="C554" t="str">
            <v>Grand Mound CDP, Washington</v>
          </cell>
          <cell r="D554">
            <v>119</v>
          </cell>
          <cell r="E554">
            <v>96</v>
          </cell>
          <cell r="F554">
            <v>49</v>
          </cell>
          <cell r="G554">
            <v>45</v>
          </cell>
          <cell r="H554">
            <v>0</v>
          </cell>
          <cell r="I554">
            <v>0</v>
          </cell>
          <cell r="J554">
            <v>0</v>
          </cell>
          <cell r="K554">
            <v>45</v>
          </cell>
          <cell r="L554">
            <v>2</v>
          </cell>
          <cell r="M554">
            <v>2</v>
          </cell>
          <cell r="N554">
            <v>0</v>
          </cell>
          <cell r="O554">
            <v>0</v>
          </cell>
          <cell r="P554">
            <v>23</v>
          </cell>
          <cell r="Q554">
            <v>0</v>
          </cell>
          <cell r="R554">
            <v>23</v>
          </cell>
          <cell r="S554">
            <v>94</v>
          </cell>
          <cell r="T554">
            <v>25</v>
          </cell>
        </row>
        <row r="555">
          <cell r="C555" t="str">
            <v>Grandview city, Washington</v>
          </cell>
          <cell r="D555">
            <v>3618</v>
          </cell>
          <cell r="E555">
            <v>2347</v>
          </cell>
          <cell r="F555">
            <v>1872</v>
          </cell>
          <cell r="G555">
            <v>464</v>
          </cell>
          <cell r="H555">
            <v>0</v>
          </cell>
          <cell r="I555">
            <v>33</v>
          </cell>
          <cell r="J555">
            <v>278</v>
          </cell>
          <cell r="K555">
            <v>153</v>
          </cell>
          <cell r="L555">
            <v>11</v>
          </cell>
          <cell r="M555">
            <v>0</v>
          </cell>
          <cell r="N555">
            <v>0</v>
          </cell>
          <cell r="O555">
            <v>11</v>
          </cell>
          <cell r="P555">
            <v>1271</v>
          </cell>
          <cell r="Q555">
            <v>440</v>
          </cell>
          <cell r="R555">
            <v>831</v>
          </cell>
          <cell r="S555">
            <v>2336</v>
          </cell>
          <cell r="T555">
            <v>1282</v>
          </cell>
        </row>
        <row r="556">
          <cell r="C556" t="str">
            <v>Granger town, Washington</v>
          </cell>
          <cell r="D556">
            <v>2065</v>
          </cell>
          <cell r="E556">
            <v>1168</v>
          </cell>
          <cell r="F556">
            <v>861</v>
          </cell>
          <cell r="G556">
            <v>307</v>
          </cell>
          <cell r="H556">
            <v>0</v>
          </cell>
          <cell r="I556">
            <v>19</v>
          </cell>
          <cell r="J556">
            <v>156</v>
          </cell>
          <cell r="K556">
            <v>132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897</v>
          </cell>
          <cell r="Q556">
            <v>126</v>
          </cell>
          <cell r="R556">
            <v>771</v>
          </cell>
          <cell r="S556">
            <v>1168</v>
          </cell>
          <cell r="T556">
            <v>897</v>
          </cell>
        </row>
        <row r="557">
          <cell r="C557" t="str">
            <v>Granite Falls city, Washington</v>
          </cell>
          <cell r="D557">
            <v>24</v>
          </cell>
          <cell r="E557">
            <v>16</v>
          </cell>
          <cell r="F557">
            <v>5</v>
          </cell>
          <cell r="G557">
            <v>11</v>
          </cell>
          <cell r="H557">
            <v>0</v>
          </cell>
          <cell r="I557">
            <v>0</v>
          </cell>
          <cell r="J557">
            <v>9</v>
          </cell>
          <cell r="K557">
            <v>2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8</v>
          </cell>
          <cell r="Q557">
            <v>6</v>
          </cell>
          <cell r="R557">
            <v>2</v>
          </cell>
          <cell r="S557">
            <v>16</v>
          </cell>
          <cell r="T557">
            <v>8</v>
          </cell>
        </row>
        <row r="558">
          <cell r="C558" t="str">
            <v>Grayland CDP, Washington</v>
          </cell>
          <cell r="D558">
            <v>9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9</v>
          </cell>
          <cell r="Q558">
            <v>0</v>
          </cell>
          <cell r="R558">
            <v>9</v>
          </cell>
          <cell r="S558">
            <v>0</v>
          </cell>
          <cell r="T558">
            <v>9</v>
          </cell>
        </row>
        <row r="559">
          <cell r="C559" t="str">
            <v>Green Acres CDP, Washington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</row>
        <row r="560">
          <cell r="C560" t="str">
            <v>Greenwater CDP, Washington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</row>
        <row r="561">
          <cell r="C561" t="str">
            <v>Hamilton town, Washington</v>
          </cell>
          <cell r="D561">
            <v>4</v>
          </cell>
          <cell r="E561">
            <v>3</v>
          </cell>
          <cell r="F561">
            <v>3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1</v>
          </cell>
          <cell r="Q561">
            <v>0</v>
          </cell>
          <cell r="R561">
            <v>1</v>
          </cell>
          <cell r="S561">
            <v>3</v>
          </cell>
          <cell r="T561">
            <v>1</v>
          </cell>
        </row>
        <row r="562">
          <cell r="C562" t="str">
            <v>Harrah town, Washington</v>
          </cell>
          <cell r="D562">
            <v>232</v>
          </cell>
          <cell r="E562">
            <v>155</v>
          </cell>
          <cell r="F562">
            <v>123</v>
          </cell>
          <cell r="G562">
            <v>32</v>
          </cell>
          <cell r="H562">
            <v>0</v>
          </cell>
          <cell r="I562">
            <v>0</v>
          </cell>
          <cell r="J562">
            <v>3</v>
          </cell>
          <cell r="K562">
            <v>29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77</v>
          </cell>
          <cell r="Q562">
            <v>28</v>
          </cell>
          <cell r="R562">
            <v>49</v>
          </cell>
          <cell r="S562">
            <v>155</v>
          </cell>
          <cell r="T562">
            <v>77</v>
          </cell>
        </row>
        <row r="563">
          <cell r="C563" t="str">
            <v>Harrington city, Washington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C564" t="str">
            <v>Hartline town, Washington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</row>
        <row r="565">
          <cell r="C565" t="str">
            <v>Hatton town, Washington</v>
          </cell>
          <cell r="D565">
            <v>47</v>
          </cell>
          <cell r="E565">
            <v>12</v>
          </cell>
          <cell r="F565">
            <v>12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35</v>
          </cell>
          <cell r="Q565">
            <v>0</v>
          </cell>
          <cell r="R565">
            <v>35</v>
          </cell>
          <cell r="S565">
            <v>12</v>
          </cell>
          <cell r="T565">
            <v>35</v>
          </cell>
        </row>
        <row r="566">
          <cell r="C566" t="str">
            <v>Hazel Dell North CDP, Washington</v>
          </cell>
          <cell r="D566">
            <v>585</v>
          </cell>
          <cell r="E566">
            <v>190</v>
          </cell>
          <cell r="F566">
            <v>92</v>
          </cell>
          <cell r="G566">
            <v>98</v>
          </cell>
          <cell r="H566">
            <v>12</v>
          </cell>
          <cell r="I566">
            <v>7</v>
          </cell>
          <cell r="J566">
            <v>0</v>
          </cell>
          <cell r="K566">
            <v>79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395</v>
          </cell>
          <cell r="Q566">
            <v>4</v>
          </cell>
          <cell r="R566">
            <v>391</v>
          </cell>
          <cell r="S566">
            <v>190</v>
          </cell>
          <cell r="T566">
            <v>395</v>
          </cell>
        </row>
        <row r="567">
          <cell r="C567" t="str">
            <v>Hazel Dell South CDP, Washington</v>
          </cell>
          <cell r="D567">
            <v>134</v>
          </cell>
          <cell r="E567">
            <v>82</v>
          </cell>
          <cell r="F567">
            <v>13</v>
          </cell>
          <cell r="G567">
            <v>69</v>
          </cell>
          <cell r="H567">
            <v>0</v>
          </cell>
          <cell r="I567">
            <v>0</v>
          </cell>
          <cell r="J567">
            <v>0</v>
          </cell>
          <cell r="K567">
            <v>69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52</v>
          </cell>
          <cell r="Q567">
            <v>5</v>
          </cell>
          <cell r="R567">
            <v>47</v>
          </cell>
          <cell r="S567">
            <v>82</v>
          </cell>
          <cell r="T567">
            <v>52</v>
          </cell>
        </row>
        <row r="568">
          <cell r="C568" t="str">
            <v>Highland CDP, Washington</v>
          </cell>
          <cell r="D568">
            <v>201</v>
          </cell>
          <cell r="E568">
            <v>124</v>
          </cell>
          <cell r="F568">
            <v>65</v>
          </cell>
          <cell r="G568">
            <v>59</v>
          </cell>
          <cell r="H568">
            <v>0</v>
          </cell>
          <cell r="I568">
            <v>0</v>
          </cell>
          <cell r="J568">
            <v>31</v>
          </cell>
          <cell r="K568">
            <v>28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77</v>
          </cell>
          <cell r="Q568">
            <v>46</v>
          </cell>
          <cell r="R568">
            <v>31</v>
          </cell>
          <cell r="S568">
            <v>124</v>
          </cell>
          <cell r="T568">
            <v>77</v>
          </cell>
        </row>
        <row r="569">
          <cell r="C569" t="str">
            <v>Hobart CDP, Washington</v>
          </cell>
          <cell r="D569">
            <v>15</v>
          </cell>
          <cell r="E569">
            <v>6</v>
          </cell>
          <cell r="F569">
            <v>3</v>
          </cell>
          <cell r="G569">
            <v>3</v>
          </cell>
          <cell r="H569">
            <v>0</v>
          </cell>
          <cell r="I569">
            <v>3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9</v>
          </cell>
          <cell r="Q569">
            <v>3</v>
          </cell>
          <cell r="R569">
            <v>6</v>
          </cell>
          <cell r="S569">
            <v>6</v>
          </cell>
          <cell r="T569">
            <v>9</v>
          </cell>
        </row>
        <row r="570">
          <cell r="C570" t="str">
            <v>Hockinson CDP, Washington</v>
          </cell>
          <cell r="D570">
            <v>61</v>
          </cell>
          <cell r="E570">
            <v>49</v>
          </cell>
          <cell r="F570">
            <v>41</v>
          </cell>
          <cell r="G570">
            <v>8</v>
          </cell>
          <cell r="H570">
            <v>0</v>
          </cell>
          <cell r="I570">
            <v>0</v>
          </cell>
          <cell r="J570">
            <v>2</v>
          </cell>
          <cell r="K570">
            <v>6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12</v>
          </cell>
          <cell r="Q570">
            <v>5</v>
          </cell>
          <cell r="R570">
            <v>7</v>
          </cell>
          <cell r="S570">
            <v>49</v>
          </cell>
          <cell r="T570">
            <v>12</v>
          </cell>
        </row>
        <row r="571">
          <cell r="C571" t="str">
            <v>Hoquiam city, Washington</v>
          </cell>
          <cell r="D571">
            <v>221</v>
          </cell>
          <cell r="E571">
            <v>107</v>
          </cell>
          <cell r="F571">
            <v>97</v>
          </cell>
          <cell r="G571">
            <v>10</v>
          </cell>
          <cell r="H571">
            <v>0</v>
          </cell>
          <cell r="I571">
            <v>0</v>
          </cell>
          <cell r="J571">
            <v>0</v>
          </cell>
          <cell r="K571">
            <v>10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114</v>
          </cell>
          <cell r="Q571">
            <v>5</v>
          </cell>
          <cell r="R571">
            <v>109</v>
          </cell>
          <cell r="S571">
            <v>107</v>
          </cell>
          <cell r="T571">
            <v>114</v>
          </cell>
        </row>
        <row r="572">
          <cell r="C572" t="str">
            <v>Humptulips CDP, Washington</v>
          </cell>
          <cell r="D572">
            <v>31</v>
          </cell>
          <cell r="E572">
            <v>16</v>
          </cell>
          <cell r="F572">
            <v>10</v>
          </cell>
          <cell r="G572">
            <v>6</v>
          </cell>
          <cell r="H572">
            <v>0</v>
          </cell>
          <cell r="I572">
            <v>0</v>
          </cell>
          <cell r="J572">
            <v>0</v>
          </cell>
          <cell r="K572">
            <v>6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15</v>
          </cell>
          <cell r="Q572">
            <v>0</v>
          </cell>
          <cell r="R572">
            <v>15</v>
          </cell>
          <cell r="S572">
            <v>16</v>
          </cell>
          <cell r="T572">
            <v>15</v>
          </cell>
        </row>
        <row r="573">
          <cell r="C573" t="str">
            <v>Hunts Point town, Washington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</row>
        <row r="574">
          <cell r="C574" t="str">
            <v>Ilwaco city, Washington</v>
          </cell>
          <cell r="D574">
            <v>73</v>
          </cell>
          <cell r="E574">
            <v>33</v>
          </cell>
          <cell r="F574">
            <v>12</v>
          </cell>
          <cell r="G574">
            <v>18</v>
          </cell>
          <cell r="H574">
            <v>0</v>
          </cell>
          <cell r="I574">
            <v>0</v>
          </cell>
          <cell r="J574">
            <v>0</v>
          </cell>
          <cell r="K574">
            <v>18</v>
          </cell>
          <cell r="L574">
            <v>3</v>
          </cell>
          <cell r="M574">
            <v>0</v>
          </cell>
          <cell r="N574">
            <v>0</v>
          </cell>
          <cell r="O574">
            <v>3</v>
          </cell>
          <cell r="P574">
            <v>40</v>
          </cell>
          <cell r="Q574">
            <v>5</v>
          </cell>
          <cell r="R574">
            <v>35</v>
          </cell>
          <cell r="S574">
            <v>30</v>
          </cell>
          <cell r="T574">
            <v>43</v>
          </cell>
        </row>
        <row r="575">
          <cell r="C575" t="str">
            <v>Inchelium CDP, Washington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C576" t="str">
            <v>Index town, Washington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</row>
        <row r="577">
          <cell r="C577" t="str">
            <v>Indianola CDP, Washington</v>
          </cell>
          <cell r="D577">
            <v>13</v>
          </cell>
          <cell r="E577">
            <v>13</v>
          </cell>
          <cell r="F577">
            <v>5</v>
          </cell>
          <cell r="G577">
            <v>8</v>
          </cell>
          <cell r="H577">
            <v>0</v>
          </cell>
          <cell r="I577">
            <v>0</v>
          </cell>
          <cell r="J577">
            <v>0</v>
          </cell>
          <cell r="K577">
            <v>8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13</v>
          </cell>
          <cell r="T577">
            <v>0</v>
          </cell>
        </row>
        <row r="578">
          <cell r="C578" t="str">
            <v>Inglewood-Finn Hill CDP, Washington</v>
          </cell>
          <cell r="D578">
            <v>267</v>
          </cell>
          <cell r="E578">
            <v>186</v>
          </cell>
          <cell r="F578">
            <v>107</v>
          </cell>
          <cell r="G578">
            <v>71</v>
          </cell>
          <cell r="H578">
            <v>0</v>
          </cell>
          <cell r="I578">
            <v>13</v>
          </cell>
          <cell r="J578">
            <v>0</v>
          </cell>
          <cell r="K578">
            <v>58</v>
          </cell>
          <cell r="L578">
            <v>8</v>
          </cell>
          <cell r="M578">
            <v>8</v>
          </cell>
          <cell r="N578">
            <v>0</v>
          </cell>
          <cell r="O578">
            <v>0</v>
          </cell>
          <cell r="P578">
            <v>81</v>
          </cell>
          <cell r="Q578">
            <v>25</v>
          </cell>
          <cell r="R578">
            <v>56</v>
          </cell>
          <cell r="S578">
            <v>178</v>
          </cell>
          <cell r="T578">
            <v>89</v>
          </cell>
        </row>
        <row r="579">
          <cell r="C579" t="str">
            <v>Ione town, Washington</v>
          </cell>
          <cell r="D579">
            <v>2</v>
          </cell>
          <cell r="E579">
            <v>2</v>
          </cell>
          <cell r="F579">
            <v>0</v>
          </cell>
          <cell r="G579">
            <v>2</v>
          </cell>
          <cell r="H579">
            <v>0</v>
          </cell>
          <cell r="I579">
            <v>0</v>
          </cell>
          <cell r="J579">
            <v>0</v>
          </cell>
          <cell r="K579">
            <v>2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</v>
          </cell>
          <cell r="T579">
            <v>0</v>
          </cell>
        </row>
        <row r="580">
          <cell r="C580" t="str">
            <v>Issaquah city, Washington</v>
          </cell>
          <cell r="D580">
            <v>106</v>
          </cell>
          <cell r="E580">
            <v>19</v>
          </cell>
          <cell r="F580">
            <v>9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10</v>
          </cell>
          <cell r="M580">
            <v>0</v>
          </cell>
          <cell r="N580">
            <v>0</v>
          </cell>
          <cell r="O580">
            <v>10</v>
          </cell>
          <cell r="P580">
            <v>87</v>
          </cell>
          <cell r="Q580">
            <v>24</v>
          </cell>
          <cell r="R580">
            <v>63</v>
          </cell>
          <cell r="S580">
            <v>9</v>
          </cell>
          <cell r="T580">
            <v>97</v>
          </cell>
        </row>
        <row r="581">
          <cell r="C581" t="str">
            <v>John Sam Lake CDP, Washington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C582" t="str">
            <v>Jordan Road-Canyon Creek CDP, Washington</v>
          </cell>
          <cell r="D582">
            <v>28</v>
          </cell>
          <cell r="E582">
            <v>21</v>
          </cell>
          <cell r="F582">
            <v>7</v>
          </cell>
          <cell r="G582">
            <v>14</v>
          </cell>
          <cell r="H582">
            <v>0</v>
          </cell>
          <cell r="I582">
            <v>0</v>
          </cell>
          <cell r="J582">
            <v>10</v>
          </cell>
          <cell r="K582">
            <v>4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7</v>
          </cell>
          <cell r="Q582">
            <v>0</v>
          </cell>
          <cell r="R582">
            <v>7</v>
          </cell>
          <cell r="S582">
            <v>21</v>
          </cell>
          <cell r="T582">
            <v>7</v>
          </cell>
        </row>
        <row r="583">
          <cell r="C583" t="str">
            <v>Junction City CDP, Washington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</row>
        <row r="584">
          <cell r="C584" t="str">
            <v>Kahlotus city, Washington</v>
          </cell>
          <cell r="D584">
            <v>12</v>
          </cell>
          <cell r="E584">
            <v>9</v>
          </cell>
          <cell r="F584">
            <v>6</v>
          </cell>
          <cell r="G584">
            <v>3</v>
          </cell>
          <cell r="H584">
            <v>0</v>
          </cell>
          <cell r="I584">
            <v>0</v>
          </cell>
          <cell r="J584">
            <v>3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</v>
          </cell>
          <cell r="Q584">
            <v>3</v>
          </cell>
          <cell r="R584">
            <v>0</v>
          </cell>
          <cell r="S584">
            <v>9</v>
          </cell>
          <cell r="T584">
            <v>3</v>
          </cell>
        </row>
        <row r="585">
          <cell r="C585" t="str">
            <v>Kalama city, Washington</v>
          </cell>
          <cell r="D585">
            <v>9</v>
          </cell>
          <cell r="E585">
            <v>2</v>
          </cell>
          <cell r="F585">
            <v>0</v>
          </cell>
          <cell r="G585">
            <v>2</v>
          </cell>
          <cell r="H585">
            <v>0</v>
          </cell>
          <cell r="I585">
            <v>0</v>
          </cell>
          <cell r="J585">
            <v>0</v>
          </cell>
          <cell r="K585">
            <v>2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7</v>
          </cell>
          <cell r="Q585">
            <v>0</v>
          </cell>
          <cell r="R585">
            <v>7</v>
          </cell>
          <cell r="S585">
            <v>2</v>
          </cell>
          <cell r="T585">
            <v>7</v>
          </cell>
        </row>
        <row r="586">
          <cell r="C586" t="str">
            <v>Kelso city, Washington</v>
          </cell>
          <cell r="D586">
            <v>335</v>
          </cell>
          <cell r="E586">
            <v>196</v>
          </cell>
          <cell r="F586">
            <v>92</v>
          </cell>
          <cell r="G586">
            <v>92</v>
          </cell>
          <cell r="H586">
            <v>0</v>
          </cell>
          <cell r="I586">
            <v>22</v>
          </cell>
          <cell r="J586">
            <v>0</v>
          </cell>
          <cell r="K586">
            <v>70</v>
          </cell>
          <cell r="L586">
            <v>12</v>
          </cell>
          <cell r="M586">
            <v>0</v>
          </cell>
          <cell r="N586">
            <v>0</v>
          </cell>
          <cell r="O586">
            <v>12</v>
          </cell>
          <cell r="P586">
            <v>139</v>
          </cell>
          <cell r="Q586">
            <v>13</v>
          </cell>
          <cell r="R586">
            <v>126</v>
          </cell>
          <cell r="S586">
            <v>184</v>
          </cell>
          <cell r="T586">
            <v>151</v>
          </cell>
        </row>
        <row r="587">
          <cell r="C587" t="str">
            <v>Kendall CDP, Washington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</row>
        <row r="588">
          <cell r="C588" t="str">
            <v>Kenmore city, Washington</v>
          </cell>
          <cell r="D588">
            <v>146</v>
          </cell>
          <cell r="E588">
            <v>122</v>
          </cell>
          <cell r="F588">
            <v>37</v>
          </cell>
          <cell r="G588">
            <v>85</v>
          </cell>
          <cell r="H588">
            <v>6</v>
          </cell>
          <cell r="I588">
            <v>9</v>
          </cell>
          <cell r="J588">
            <v>0</v>
          </cell>
          <cell r="K588">
            <v>70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24</v>
          </cell>
          <cell r="Q588">
            <v>24</v>
          </cell>
          <cell r="R588">
            <v>0</v>
          </cell>
          <cell r="S588">
            <v>122</v>
          </cell>
          <cell r="T588">
            <v>24</v>
          </cell>
        </row>
        <row r="589">
          <cell r="C589" t="str">
            <v>Kennewick city, Washington</v>
          </cell>
          <cell r="D589">
            <v>5458</v>
          </cell>
          <cell r="E589">
            <v>3216</v>
          </cell>
          <cell r="F589">
            <v>2203</v>
          </cell>
          <cell r="G589">
            <v>997</v>
          </cell>
          <cell r="H589">
            <v>4</v>
          </cell>
          <cell r="I589">
            <v>33</v>
          </cell>
          <cell r="J589">
            <v>272</v>
          </cell>
          <cell r="K589">
            <v>688</v>
          </cell>
          <cell r="L589">
            <v>16</v>
          </cell>
          <cell r="M589">
            <v>0</v>
          </cell>
          <cell r="N589">
            <v>0</v>
          </cell>
          <cell r="O589">
            <v>16</v>
          </cell>
          <cell r="P589">
            <v>2242</v>
          </cell>
          <cell r="Q589">
            <v>503</v>
          </cell>
          <cell r="R589">
            <v>1739</v>
          </cell>
          <cell r="S589">
            <v>3200</v>
          </cell>
          <cell r="T589">
            <v>2258</v>
          </cell>
        </row>
        <row r="590">
          <cell r="C590" t="str">
            <v>Kent city, Washington</v>
          </cell>
          <cell r="D590">
            <v>3509</v>
          </cell>
          <cell r="E590">
            <v>1617</v>
          </cell>
          <cell r="F590">
            <v>876</v>
          </cell>
          <cell r="G590">
            <v>736</v>
          </cell>
          <cell r="H590">
            <v>64</v>
          </cell>
          <cell r="I590">
            <v>53</v>
          </cell>
          <cell r="J590">
            <v>109</v>
          </cell>
          <cell r="K590">
            <v>510</v>
          </cell>
          <cell r="L590">
            <v>5</v>
          </cell>
          <cell r="M590">
            <v>0</v>
          </cell>
          <cell r="N590">
            <v>0</v>
          </cell>
          <cell r="O590">
            <v>5</v>
          </cell>
          <cell r="P590">
            <v>1892</v>
          </cell>
          <cell r="Q590">
            <v>399</v>
          </cell>
          <cell r="R590">
            <v>1493</v>
          </cell>
          <cell r="S590">
            <v>1612</v>
          </cell>
          <cell r="T590">
            <v>1897</v>
          </cell>
        </row>
        <row r="591">
          <cell r="C591" t="str">
            <v>Kettle Falls city, Washington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</row>
        <row r="592">
          <cell r="C592" t="str">
            <v>Kingsgate CDP, Washington</v>
          </cell>
          <cell r="D592">
            <v>159</v>
          </cell>
          <cell r="E592">
            <v>23</v>
          </cell>
          <cell r="F592">
            <v>23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136</v>
          </cell>
          <cell r="Q592">
            <v>41</v>
          </cell>
          <cell r="R592">
            <v>95</v>
          </cell>
          <cell r="S592">
            <v>23</v>
          </cell>
          <cell r="T592">
            <v>136</v>
          </cell>
        </row>
        <row r="593">
          <cell r="C593" t="str">
            <v>Kingston CDP, Washington</v>
          </cell>
          <cell r="D593">
            <v>56</v>
          </cell>
          <cell r="E593">
            <v>56</v>
          </cell>
          <cell r="F593">
            <v>30</v>
          </cell>
          <cell r="G593">
            <v>26</v>
          </cell>
          <cell r="H593">
            <v>6</v>
          </cell>
          <cell r="I593">
            <v>7</v>
          </cell>
          <cell r="J593">
            <v>13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56</v>
          </cell>
          <cell r="T593">
            <v>0</v>
          </cell>
        </row>
        <row r="594">
          <cell r="C594" t="str">
            <v>Kirkland city, Washington</v>
          </cell>
          <cell r="D594">
            <v>687</v>
          </cell>
          <cell r="E594">
            <v>479</v>
          </cell>
          <cell r="F594">
            <v>184</v>
          </cell>
          <cell r="G594">
            <v>295</v>
          </cell>
          <cell r="H594">
            <v>46</v>
          </cell>
          <cell r="I594">
            <v>24</v>
          </cell>
          <cell r="J594">
            <v>9</v>
          </cell>
          <cell r="K594">
            <v>216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208</v>
          </cell>
          <cell r="Q594">
            <v>83</v>
          </cell>
          <cell r="R594">
            <v>125</v>
          </cell>
          <cell r="S594">
            <v>479</v>
          </cell>
          <cell r="T594">
            <v>208</v>
          </cell>
        </row>
        <row r="595">
          <cell r="C595" t="str">
            <v>Kittitas city, Washington</v>
          </cell>
          <cell r="D595">
            <v>110</v>
          </cell>
          <cell r="E595">
            <v>38</v>
          </cell>
          <cell r="F595">
            <v>28</v>
          </cell>
          <cell r="G595">
            <v>10</v>
          </cell>
          <cell r="H595">
            <v>0</v>
          </cell>
          <cell r="I595">
            <v>0</v>
          </cell>
          <cell r="J595">
            <v>4</v>
          </cell>
          <cell r="K595">
            <v>6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72</v>
          </cell>
          <cell r="Q595">
            <v>34</v>
          </cell>
          <cell r="R595">
            <v>38</v>
          </cell>
          <cell r="S595">
            <v>38</v>
          </cell>
          <cell r="T595">
            <v>72</v>
          </cell>
        </row>
        <row r="596">
          <cell r="C596" t="str">
            <v>Klickitat CDP, Washington</v>
          </cell>
          <cell r="D596">
            <v>18</v>
          </cell>
          <cell r="E596">
            <v>4</v>
          </cell>
          <cell r="F596">
            <v>0</v>
          </cell>
          <cell r="G596">
            <v>4</v>
          </cell>
          <cell r="H596">
            <v>0</v>
          </cell>
          <cell r="I596">
            <v>0</v>
          </cell>
          <cell r="J596">
            <v>0</v>
          </cell>
          <cell r="K596">
            <v>4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14</v>
          </cell>
          <cell r="Q596">
            <v>14</v>
          </cell>
          <cell r="R596">
            <v>0</v>
          </cell>
          <cell r="S596">
            <v>4</v>
          </cell>
          <cell r="T596">
            <v>14</v>
          </cell>
        </row>
        <row r="597">
          <cell r="C597" t="str">
            <v>Krupp town, Washington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</row>
        <row r="598">
          <cell r="C598" t="str">
            <v>La Center city, Washington</v>
          </cell>
          <cell r="D598">
            <v>30</v>
          </cell>
          <cell r="E598">
            <v>12</v>
          </cell>
          <cell r="F598">
            <v>2</v>
          </cell>
          <cell r="G598">
            <v>10</v>
          </cell>
          <cell r="H598">
            <v>0</v>
          </cell>
          <cell r="I598">
            <v>0</v>
          </cell>
          <cell r="J598">
            <v>0</v>
          </cell>
          <cell r="K598">
            <v>10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18</v>
          </cell>
          <cell r="Q598">
            <v>9</v>
          </cell>
          <cell r="R598">
            <v>9</v>
          </cell>
          <cell r="S598">
            <v>12</v>
          </cell>
          <cell r="T598">
            <v>18</v>
          </cell>
        </row>
        <row r="599">
          <cell r="C599" t="str">
            <v>Lacey city, Washington</v>
          </cell>
          <cell r="D599">
            <v>667</v>
          </cell>
          <cell r="E599">
            <v>451</v>
          </cell>
          <cell r="F599">
            <v>197</v>
          </cell>
          <cell r="G599">
            <v>217</v>
          </cell>
          <cell r="H599">
            <v>14</v>
          </cell>
          <cell r="I599">
            <v>0</v>
          </cell>
          <cell r="J599">
            <v>80</v>
          </cell>
          <cell r="K599">
            <v>123</v>
          </cell>
          <cell r="L599">
            <v>37</v>
          </cell>
          <cell r="M599">
            <v>26</v>
          </cell>
          <cell r="N599">
            <v>0</v>
          </cell>
          <cell r="O599">
            <v>11</v>
          </cell>
          <cell r="P599">
            <v>216</v>
          </cell>
          <cell r="Q599">
            <v>52</v>
          </cell>
          <cell r="R599">
            <v>164</v>
          </cell>
          <cell r="S599">
            <v>414</v>
          </cell>
          <cell r="T599">
            <v>253</v>
          </cell>
        </row>
        <row r="600">
          <cell r="C600" t="str">
            <v>La Conner town, Washington</v>
          </cell>
          <cell r="D600">
            <v>3</v>
          </cell>
          <cell r="E600">
            <v>1</v>
          </cell>
          <cell r="F600">
            <v>1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2</v>
          </cell>
          <cell r="Q600">
            <v>1</v>
          </cell>
          <cell r="R600">
            <v>1</v>
          </cell>
          <cell r="S600">
            <v>1</v>
          </cell>
          <cell r="T600">
            <v>2</v>
          </cell>
        </row>
        <row r="601">
          <cell r="C601" t="str">
            <v>La Crosse town, Washington</v>
          </cell>
          <cell r="D601">
            <v>2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2</v>
          </cell>
          <cell r="Q601">
            <v>2</v>
          </cell>
          <cell r="R601">
            <v>0</v>
          </cell>
          <cell r="S601">
            <v>0</v>
          </cell>
          <cell r="T601">
            <v>2</v>
          </cell>
        </row>
        <row r="602">
          <cell r="C602" t="str">
            <v>Lake Bosworth CDP, Washington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</row>
        <row r="603">
          <cell r="C603" t="str">
            <v>Lake Cavanaugh CDP, Washington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</row>
        <row r="604">
          <cell r="C604" t="str">
            <v>Lake Forest Park city, Washington</v>
          </cell>
          <cell r="D604">
            <v>195</v>
          </cell>
          <cell r="E604">
            <v>130</v>
          </cell>
          <cell r="F604">
            <v>66</v>
          </cell>
          <cell r="G604">
            <v>52</v>
          </cell>
          <cell r="H604">
            <v>0</v>
          </cell>
          <cell r="I604">
            <v>14</v>
          </cell>
          <cell r="J604">
            <v>4</v>
          </cell>
          <cell r="K604">
            <v>34</v>
          </cell>
          <cell r="L604">
            <v>12</v>
          </cell>
          <cell r="M604">
            <v>0</v>
          </cell>
          <cell r="N604">
            <v>0</v>
          </cell>
          <cell r="O604">
            <v>12</v>
          </cell>
          <cell r="P604">
            <v>65</v>
          </cell>
          <cell r="Q604">
            <v>0</v>
          </cell>
          <cell r="R604">
            <v>65</v>
          </cell>
          <cell r="S604">
            <v>118</v>
          </cell>
          <cell r="T604">
            <v>77</v>
          </cell>
        </row>
        <row r="605">
          <cell r="C605" t="str">
            <v>Lake Goodwin CDP, Washington</v>
          </cell>
          <cell r="D605">
            <v>59</v>
          </cell>
          <cell r="E605">
            <v>36</v>
          </cell>
          <cell r="F605">
            <v>26</v>
          </cell>
          <cell r="G605">
            <v>10</v>
          </cell>
          <cell r="H605">
            <v>0</v>
          </cell>
          <cell r="I605">
            <v>0</v>
          </cell>
          <cell r="J605">
            <v>0</v>
          </cell>
          <cell r="K605">
            <v>10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23</v>
          </cell>
          <cell r="Q605">
            <v>7</v>
          </cell>
          <cell r="R605">
            <v>16</v>
          </cell>
          <cell r="S605">
            <v>36</v>
          </cell>
          <cell r="T605">
            <v>23</v>
          </cell>
        </row>
        <row r="606">
          <cell r="C606" t="str">
            <v>Lake Ketchum CDP, Washington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</row>
        <row r="607">
          <cell r="C607" t="str">
            <v>Lakeland North CDP, Washington</v>
          </cell>
          <cell r="D607">
            <v>242</v>
          </cell>
          <cell r="E607">
            <v>162</v>
          </cell>
          <cell r="F607">
            <v>59</v>
          </cell>
          <cell r="G607">
            <v>103</v>
          </cell>
          <cell r="H607">
            <v>28</v>
          </cell>
          <cell r="I607">
            <v>9</v>
          </cell>
          <cell r="J607">
            <v>16</v>
          </cell>
          <cell r="K607">
            <v>50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80</v>
          </cell>
          <cell r="Q607">
            <v>28</v>
          </cell>
          <cell r="R607">
            <v>52</v>
          </cell>
          <cell r="S607">
            <v>162</v>
          </cell>
          <cell r="T607">
            <v>80</v>
          </cell>
        </row>
        <row r="608">
          <cell r="C608" t="str">
            <v>Lakeland South CDP, Washington</v>
          </cell>
          <cell r="D608">
            <v>138</v>
          </cell>
          <cell r="E608">
            <v>120</v>
          </cell>
          <cell r="F608">
            <v>67</v>
          </cell>
          <cell r="G608">
            <v>53</v>
          </cell>
          <cell r="H608">
            <v>0</v>
          </cell>
          <cell r="I608">
            <v>0</v>
          </cell>
          <cell r="J608">
            <v>18</v>
          </cell>
          <cell r="K608">
            <v>35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18</v>
          </cell>
          <cell r="Q608">
            <v>0</v>
          </cell>
          <cell r="R608">
            <v>18</v>
          </cell>
          <cell r="S608">
            <v>120</v>
          </cell>
          <cell r="T608">
            <v>18</v>
          </cell>
        </row>
        <row r="609">
          <cell r="C609" t="str">
            <v>Lake McMurray CDP, Washington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</row>
        <row r="610">
          <cell r="C610" t="str">
            <v>Lake Marcel-Stillwater CDP, Washington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</row>
        <row r="611">
          <cell r="C611" t="str">
            <v>Lake Morton-Berrydale CDP, Washington</v>
          </cell>
          <cell r="D611">
            <v>81</v>
          </cell>
          <cell r="E611">
            <v>67</v>
          </cell>
          <cell r="F611">
            <v>20</v>
          </cell>
          <cell r="G611">
            <v>47</v>
          </cell>
          <cell r="H611">
            <v>0</v>
          </cell>
          <cell r="I611">
            <v>0</v>
          </cell>
          <cell r="J611">
            <v>0</v>
          </cell>
          <cell r="K611">
            <v>47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14</v>
          </cell>
          <cell r="Q611">
            <v>0</v>
          </cell>
          <cell r="R611">
            <v>14</v>
          </cell>
          <cell r="S611">
            <v>67</v>
          </cell>
          <cell r="T611">
            <v>14</v>
          </cell>
        </row>
        <row r="612">
          <cell r="C612" t="str">
            <v>Lake Roesiger CDP, Washington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</row>
        <row r="613">
          <cell r="C613" t="str">
            <v>Lake Shore CDP, Washington</v>
          </cell>
          <cell r="D613">
            <v>45</v>
          </cell>
          <cell r="E613">
            <v>45</v>
          </cell>
          <cell r="F613">
            <v>0</v>
          </cell>
          <cell r="G613">
            <v>25</v>
          </cell>
          <cell r="H613">
            <v>0</v>
          </cell>
          <cell r="I613">
            <v>0</v>
          </cell>
          <cell r="J613">
            <v>0</v>
          </cell>
          <cell r="K613">
            <v>25</v>
          </cell>
          <cell r="L613">
            <v>20</v>
          </cell>
          <cell r="M613">
            <v>0</v>
          </cell>
          <cell r="N613">
            <v>0</v>
          </cell>
          <cell r="O613">
            <v>20</v>
          </cell>
          <cell r="P613">
            <v>0</v>
          </cell>
          <cell r="Q613">
            <v>0</v>
          </cell>
          <cell r="R613">
            <v>0</v>
          </cell>
          <cell r="S613">
            <v>25</v>
          </cell>
          <cell r="T613">
            <v>20</v>
          </cell>
        </row>
        <row r="614">
          <cell r="C614" t="str">
            <v>Lake Stevens city, Washington</v>
          </cell>
          <cell r="D614">
            <v>30</v>
          </cell>
          <cell r="E614">
            <v>26</v>
          </cell>
          <cell r="F614">
            <v>8</v>
          </cell>
          <cell r="G614">
            <v>18</v>
          </cell>
          <cell r="H614">
            <v>0</v>
          </cell>
          <cell r="I614">
            <v>0</v>
          </cell>
          <cell r="J614">
            <v>0</v>
          </cell>
          <cell r="K614">
            <v>18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4</v>
          </cell>
          <cell r="Q614">
            <v>0</v>
          </cell>
          <cell r="R614">
            <v>4</v>
          </cell>
          <cell r="S614">
            <v>26</v>
          </cell>
          <cell r="T614">
            <v>4</v>
          </cell>
        </row>
        <row r="615">
          <cell r="C615" t="str">
            <v>Lakeview CDP, Washington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</row>
        <row r="616">
          <cell r="C616" t="str">
            <v>Lakewood city, Washington</v>
          </cell>
          <cell r="D616">
            <v>2191</v>
          </cell>
          <cell r="E616">
            <v>1580</v>
          </cell>
          <cell r="F616">
            <v>548</v>
          </cell>
          <cell r="G616">
            <v>839</v>
          </cell>
          <cell r="H616">
            <v>162</v>
          </cell>
          <cell r="I616">
            <v>35</v>
          </cell>
          <cell r="J616">
            <v>190</v>
          </cell>
          <cell r="K616">
            <v>452</v>
          </cell>
          <cell r="L616">
            <v>193</v>
          </cell>
          <cell r="M616">
            <v>151</v>
          </cell>
          <cell r="N616">
            <v>9</v>
          </cell>
          <cell r="O616">
            <v>33</v>
          </cell>
          <cell r="P616">
            <v>611</v>
          </cell>
          <cell r="Q616">
            <v>110</v>
          </cell>
          <cell r="R616">
            <v>501</v>
          </cell>
          <cell r="S616">
            <v>1387</v>
          </cell>
          <cell r="T616">
            <v>804</v>
          </cell>
        </row>
        <row r="617">
          <cell r="C617" t="str">
            <v>Lamont town, Washington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</row>
        <row r="618">
          <cell r="C618" t="str">
            <v>Langley city, Washington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</row>
        <row r="619">
          <cell r="C619" t="str">
            <v>Latah town, Washington</v>
          </cell>
          <cell r="D619">
            <v>4</v>
          </cell>
          <cell r="E619">
            <v>4</v>
          </cell>
          <cell r="F619">
            <v>0</v>
          </cell>
          <cell r="G619">
            <v>4</v>
          </cell>
          <cell r="H619">
            <v>0</v>
          </cell>
          <cell r="I619">
            <v>0</v>
          </cell>
          <cell r="J619">
            <v>1</v>
          </cell>
          <cell r="K619">
            <v>3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4</v>
          </cell>
          <cell r="T619">
            <v>0</v>
          </cell>
        </row>
        <row r="620">
          <cell r="C620" t="str">
            <v>Lea Hill CDP, Washington</v>
          </cell>
          <cell r="D620">
            <v>134</v>
          </cell>
          <cell r="E620">
            <v>63</v>
          </cell>
          <cell r="F620">
            <v>22</v>
          </cell>
          <cell r="G620">
            <v>41</v>
          </cell>
          <cell r="H620">
            <v>0</v>
          </cell>
          <cell r="I620">
            <v>0</v>
          </cell>
          <cell r="J620">
            <v>0</v>
          </cell>
          <cell r="K620">
            <v>41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71</v>
          </cell>
          <cell r="Q620">
            <v>0</v>
          </cell>
          <cell r="R620">
            <v>71</v>
          </cell>
          <cell r="S620">
            <v>63</v>
          </cell>
          <cell r="T620">
            <v>71</v>
          </cell>
        </row>
        <row r="621">
          <cell r="C621" t="str">
            <v>Leavenworth city, Washington</v>
          </cell>
          <cell r="D621">
            <v>55</v>
          </cell>
          <cell r="E621">
            <v>12</v>
          </cell>
          <cell r="F621">
            <v>12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43</v>
          </cell>
          <cell r="Q621">
            <v>7</v>
          </cell>
          <cell r="R621">
            <v>36</v>
          </cell>
          <cell r="S621">
            <v>12</v>
          </cell>
          <cell r="T621">
            <v>43</v>
          </cell>
        </row>
        <row r="622">
          <cell r="C622" t="str">
            <v>Lebam CDP, Washington</v>
          </cell>
          <cell r="D622">
            <v>14</v>
          </cell>
          <cell r="E622">
            <v>4</v>
          </cell>
          <cell r="F622">
            <v>4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10</v>
          </cell>
          <cell r="Q622">
            <v>0</v>
          </cell>
          <cell r="R622">
            <v>10</v>
          </cell>
          <cell r="S622">
            <v>4</v>
          </cell>
          <cell r="T622">
            <v>10</v>
          </cell>
        </row>
        <row r="623">
          <cell r="C623" t="str">
            <v>Lewisville CDP, Washington</v>
          </cell>
          <cell r="D623">
            <v>45</v>
          </cell>
          <cell r="E623">
            <v>45</v>
          </cell>
          <cell r="F623">
            <v>2</v>
          </cell>
          <cell r="G623">
            <v>33</v>
          </cell>
          <cell r="H623">
            <v>0</v>
          </cell>
          <cell r="I623">
            <v>0</v>
          </cell>
          <cell r="J623">
            <v>2</v>
          </cell>
          <cell r="K623">
            <v>31</v>
          </cell>
          <cell r="L623">
            <v>10</v>
          </cell>
          <cell r="M623">
            <v>0</v>
          </cell>
          <cell r="N623">
            <v>0</v>
          </cell>
          <cell r="O623">
            <v>10</v>
          </cell>
          <cell r="P623">
            <v>0</v>
          </cell>
          <cell r="Q623">
            <v>0</v>
          </cell>
          <cell r="R623">
            <v>0</v>
          </cell>
          <cell r="S623">
            <v>35</v>
          </cell>
          <cell r="T623">
            <v>10</v>
          </cell>
        </row>
        <row r="624">
          <cell r="C624" t="str">
            <v>Liberty Lake CDP, Washington</v>
          </cell>
          <cell r="D624">
            <v>8</v>
          </cell>
          <cell r="E624">
            <v>8</v>
          </cell>
          <cell r="F624">
            <v>0</v>
          </cell>
          <cell r="G624">
            <v>8</v>
          </cell>
          <cell r="H624">
            <v>0</v>
          </cell>
          <cell r="I624">
            <v>0</v>
          </cell>
          <cell r="J624">
            <v>0</v>
          </cell>
          <cell r="K624">
            <v>8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8</v>
          </cell>
          <cell r="T624">
            <v>0</v>
          </cell>
        </row>
        <row r="625">
          <cell r="C625" t="str">
            <v>Lind town, Washington</v>
          </cell>
          <cell r="D625">
            <v>52</v>
          </cell>
          <cell r="E625">
            <v>32</v>
          </cell>
          <cell r="F625">
            <v>20</v>
          </cell>
          <cell r="G625">
            <v>12</v>
          </cell>
          <cell r="H625">
            <v>0</v>
          </cell>
          <cell r="I625">
            <v>0</v>
          </cell>
          <cell r="J625">
            <v>1</v>
          </cell>
          <cell r="K625">
            <v>11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20</v>
          </cell>
          <cell r="Q625">
            <v>5</v>
          </cell>
          <cell r="R625">
            <v>15</v>
          </cell>
          <cell r="S625">
            <v>32</v>
          </cell>
          <cell r="T625">
            <v>20</v>
          </cell>
        </row>
        <row r="626">
          <cell r="C626" t="str">
            <v>Lochsloy CDP, Washington</v>
          </cell>
          <cell r="D626">
            <v>36</v>
          </cell>
          <cell r="E626">
            <v>8</v>
          </cell>
          <cell r="F626">
            <v>0</v>
          </cell>
          <cell r="G626">
            <v>8</v>
          </cell>
          <cell r="H626">
            <v>0</v>
          </cell>
          <cell r="I626">
            <v>0</v>
          </cell>
          <cell r="J626">
            <v>0</v>
          </cell>
          <cell r="K626">
            <v>8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28</v>
          </cell>
          <cell r="Q626">
            <v>12</v>
          </cell>
          <cell r="R626">
            <v>16</v>
          </cell>
          <cell r="S626">
            <v>8</v>
          </cell>
          <cell r="T626">
            <v>28</v>
          </cell>
        </row>
        <row r="627">
          <cell r="C627" t="str">
            <v>Long Beach city, Washington</v>
          </cell>
          <cell r="D627">
            <v>6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6</v>
          </cell>
          <cell r="Q627">
            <v>0</v>
          </cell>
          <cell r="R627">
            <v>6</v>
          </cell>
          <cell r="S627">
            <v>0</v>
          </cell>
          <cell r="T627">
            <v>6</v>
          </cell>
        </row>
        <row r="628">
          <cell r="C628" t="str">
            <v>Longview city, Washington</v>
          </cell>
          <cell r="D628">
            <v>1066</v>
          </cell>
          <cell r="E628">
            <v>523</v>
          </cell>
          <cell r="F628">
            <v>292</v>
          </cell>
          <cell r="G628">
            <v>231</v>
          </cell>
          <cell r="H628">
            <v>0</v>
          </cell>
          <cell r="I628">
            <v>0</v>
          </cell>
          <cell r="J628">
            <v>23</v>
          </cell>
          <cell r="K628">
            <v>208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543</v>
          </cell>
          <cell r="Q628">
            <v>49</v>
          </cell>
          <cell r="R628">
            <v>494</v>
          </cell>
          <cell r="S628">
            <v>523</v>
          </cell>
          <cell r="T628">
            <v>543</v>
          </cell>
        </row>
        <row r="629">
          <cell r="C629" t="str">
            <v>Longview Heights CDP, Washington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</row>
        <row r="630">
          <cell r="C630" t="str">
            <v>Lyle CDP, Washington</v>
          </cell>
          <cell r="D630">
            <v>22</v>
          </cell>
          <cell r="E630">
            <v>22</v>
          </cell>
          <cell r="F630">
            <v>4</v>
          </cell>
          <cell r="G630">
            <v>18</v>
          </cell>
          <cell r="H630">
            <v>0</v>
          </cell>
          <cell r="I630">
            <v>0</v>
          </cell>
          <cell r="J630">
            <v>0</v>
          </cell>
          <cell r="K630">
            <v>18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22</v>
          </cell>
          <cell r="T630">
            <v>0</v>
          </cell>
        </row>
        <row r="631">
          <cell r="C631" t="str">
            <v>Lyman town, Washington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</row>
        <row r="632">
          <cell r="C632" t="str">
            <v>Lynden city, Washington</v>
          </cell>
          <cell r="D632">
            <v>184</v>
          </cell>
          <cell r="E632">
            <v>167</v>
          </cell>
          <cell r="F632">
            <v>56</v>
          </cell>
          <cell r="G632">
            <v>111</v>
          </cell>
          <cell r="H632">
            <v>0</v>
          </cell>
          <cell r="I632">
            <v>0</v>
          </cell>
          <cell r="J632">
            <v>50</v>
          </cell>
          <cell r="K632">
            <v>61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17</v>
          </cell>
          <cell r="Q632">
            <v>0</v>
          </cell>
          <cell r="R632">
            <v>17</v>
          </cell>
          <cell r="S632">
            <v>167</v>
          </cell>
          <cell r="T632">
            <v>17</v>
          </cell>
        </row>
        <row r="633">
          <cell r="C633" t="str">
            <v>Lynnwood city, Washington</v>
          </cell>
          <cell r="D633">
            <v>816</v>
          </cell>
          <cell r="E633">
            <v>331</v>
          </cell>
          <cell r="F633">
            <v>206</v>
          </cell>
          <cell r="G633">
            <v>117</v>
          </cell>
          <cell r="H633">
            <v>0</v>
          </cell>
          <cell r="I633">
            <v>0</v>
          </cell>
          <cell r="J633">
            <v>17</v>
          </cell>
          <cell r="K633">
            <v>100</v>
          </cell>
          <cell r="L633">
            <v>8</v>
          </cell>
          <cell r="M633">
            <v>0</v>
          </cell>
          <cell r="N633">
            <v>0</v>
          </cell>
          <cell r="O633">
            <v>8</v>
          </cell>
          <cell r="P633">
            <v>485</v>
          </cell>
          <cell r="Q633">
            <v>73</v>
          </cell>
          <cell r="R633">
            <v>412</v>
          </cell>
          <cell r="S633">
            <v>323</v>
          </cell>
          <cell r="T633">
            <v>493</v>
          </cell>
        </row>
        <row r="634">
          <cell r="C634" t="str">
            <v>Mabton city, Washington</v>
          </cell>
          <cell r="D634">
            <v>1409</v>
          </cell>
          <cell r="E634">
            <v>871</v>
          </cell>
          <cell r="F634">
            <v>636</v>
          </cell>
          <cell r="G634">
            <v>218</v>
          </cell>
          <cell r="H634">
            <v>0</v>
          </cell>
          <cell r="I634">
            <v>8</v>
          </cell>
          <cell r="J634">
            <v>109</v>
          </cell>
          <cell r="K634">
            <v>101</v>
          </cell>
          <cell r="L634">
            <v>17</v>
          </cell>
          <cell r="M634">
            <v>13</v>
          </cell>
          <cell r="N634">
            <v>0</v>
          </cell>
          <cell r="O634">
            <v>4</v>
          </cell>
          <cell r="P634">
            <v>538</v>
          </cell>
          <cell r="Q634">
            <v>114</v>
          </cell>
          <cell r="R634">
            <v>424</v>
          </cell>
          <cell r="S634">
            <v>854</v>
          </cell>
          <cell r="T634">
            <v>555</v>
          </cell>
        </row>
        <row r="635">
          <cell r="C635" t="str">
            <v>McChord AFB CDP, Washington</v>
          </cell>
          <cell r="D635">
            <v>62</v>
          </cell>
          <cell r="E635">
            <v>52</v>
          </cell>
          <cell r="F635">
            <v>4</v>
          </cell>
          <cell r="G635">
            <v>48</v>
          </cell>
          <cell r="H635">
            <v>14</v>
          </cell>
          <cell r="I635">
            <v>4</v>
          </cell>
          <cell r="J635">
            <v>16</v>
          </cell>
          <cell r="K635">
            <v>14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10</v>
          </cell>
          <cell r="Q635">
            <v>7</v>
          </cell>
          <cell r="R635">
            <v>3</v>
          </cell>
          <cell r="S635">
            <v>52</v>
          </cell>
          <cell r="T635">
            <v>10</v>
          </cell>
        </row>
        <row r="636">
          <cell r="C636" t="str">
            <v>McCleary city, Washington</v>
          </cell>
          <cell r="D636">
            <v>6</v>
          </cell>
          <cell r="E636">
            <v>6</v>
          </cell>
          <cell r="F636">
            <v>2</v>
          </cell>
          <cell r="G636">
            <v>4</v>
          </cell>
          <cell r="H636">
            <v>0</v>
          </cell>
          <cell r="I636">
            <v>0</v>
          </cell>
          <cell r="J636">
            <v>1</v>
          </cell>
          <cell r="K636">
            <v>3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6</v>
          </cell>
          <cell r="T636">
            <v>0</v>
          </cell>
        </row>
        <row r="637">
          <cell r="C637" t="str">
            <v>Machias CDP, Washington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</row>
        <row r="638">
          <cell r="C638" t="str">
            <v>Malden town, Washington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</row>
        <row r="639">
          <cell r="C639" t="str">
            <v>Malone-Porter CDP, Washington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</row>
        <row r="640">
          <cell r="C640" t="str">
            <v>Maltby CDP, Washington</v>
          </cell>
          <cell r="D640">
            <v>17</v>
          </cell>
          <cell r="E640">
            <v>12</v>
          </cell>
          <cell r="F640">
            <v>7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5</v>
          </cell>
          <cell r="M640">
            <v>0</v>
          </cell>
          <cell r="N640">
            <v>0</v>
          </cell>
          <cell r="O640">
            <v>5</v>
          </cell>
          <cell r="P640">
            <v>5</v>
          </cell>
          <cell r="Q640">
            <v>5</v>
          </cell>
          <cell r="R640">
            <v>0</v>
          </cell>
          <cell r="S640">
            <v>7</v>
          </cell>
          <cell r="T640">
            <v>10</v>
          </cell>
        </row>
        <row r="641">
          <cell r="C641" t="str">
            <v>Manchester CDP, Washington</v>
          </cell>
          <cell r="D641">
            <v>61</v>
          </cell>
          <cell r="E641">
            <v>55</v>
          </cell>
          <cell r="F641">
            <v>19</v>
          </cell>
          <cell r="G641">
            <v>36</v>
          </cell>
          <cell r="H641">
            <v>0</v>
          </cell>
          <cell r="I641">
            <v>6</v>
          </cell>
          <cell r="J641">
            <v>6</v>
          </cell>
          <cell r="K641">
            <v>24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6</v>
          </cell>
          <cell r="Q641">
            <v>0</v>
          </cell>
          <cell r="R641">
            <v>6</v>
          </cell>
          <cell r="S641">
            <v>55</v>
          </cell>
          <cell r="T641">
            <v>6</v>
          </cell>
        </row>
        <row r="642">
          <cell r="C642" t="str">
            <v>Mansfield town, Washington</v>
          </cell>
          <cell r="D642">
            <v>9</v>
          </cell>
          <cell r="E642">
            <v>9</v>
          </cell>
          <cell r="F642">
            <v>4</v>
          </cell>
          <cell r="G642">
            <v>5</v>
          </cell>
          <cell r="H642">
            <v>3</v>
          </cell>
          <cell r="I642">
            <v>0</v>
          </cell>
          <cell r="J642">
            <v>0</v>
          </cell>
          <cell r="K642">
            <v>2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9</v>
          </cell>
          <cell r="T642">
            <v>0</v>
          </cell>
        </row>
        <row r="643">
          <cell r="C643" t="str">
            <v>Maple Falls CDP, Washington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</row>
        <row r="644">
          <cell r="C644" t="str">
            <v>Maple Heights-Lake Desire CDP, Washington</v>
          </cell>
          <cell r="D644">
            <v>2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</v>
          </cell>
          <cell r="Q644">
            <v>0</v>
          </cell>
          <cell r="R644">
            <v>2</v>
          </cell>
          <cell r="S644">
            <v>0</v>
          </cell>
          <cell r="T644">
            <v>2</v>
          </cell>
        </row>
        <row r="645">
          <cell r="C645" t="str">
            <v>Maple Valley city, Washington</v>
          </cell>
          <cell r="D645">
            <v>131</v>
          </cell>
          <cell r="E645">
            <v>102</v>
          </cell>
          <cell r="F645">
            <v>73</v>
          </cell>
          <cell r="G645">
            <v>29</v>
          </cell>
          <cell r="H645">
            <v>0</v>
          </cell>
          <cell r="I645">
            <v>0</v>
          </cell>
          <cell r="J645">
            <v>0</v>
          </cell>
          <cell r="K645">
            <v>29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29</v>
          </cell>
          <cell r="Q645">
            <v>8</v>
          </cell>
          <cell r="R645">
            <v>21</v>
          </cell>
          <cell r="S645">
            <v>102</v>
          </cell>
          <cell r="T645">
            <v>29</v>
          </cell>
        </row>
        <row r="646">
          <cell r="C646" t="str">
            <v>Marblemount CDP, Washington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</row>
        <row r="647">
          <cell r="C647" t="str">
            <v>Marcus town, Washington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</row>
        <row r="648">
          <cell r="C648" t="str">
            <v>Marietta-Alderwood CDP, Washington</v>
          </cell>
          <cell r="D648">
            <v>188</v>
          </cell>
          <cell r="E648">
            <v>149</v>
          </cell>
          <cell r="F648">
            <v>43</v>
          </cell>
          <cell r="G648">
            <v>106</v>
          </cell>
          <cell r="H648">
            <v>0</v>
          </cell>
          <cell r="I648">
            <v>0</v>
          </cell>
          <cell r="J648">
            <v>12</v>
          </cell>
          <cell r="K648">
            <v>94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39</v>
          </cell>
          <cell r="Q648">
            <v>27</v>
          </cell>
          <cell r="R648">
            <v>12</v>
          </cell>
          <cell r="S648">
            <v>149</v>
          </cell>
          <cell r="T648">
            <v>39</v>
          </cell>
        </row>
        <row r="649">
          <cell r="C649" t="str">
            <v>Markham CDP, Washington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</row>
        <row r="650">
          <cell r="C650" t="str">
            <v>Marrowstone CDP, Washington</v>
          </cell>
          <cell r="D650">
            <v>6</v>
          </cell>
          <cell r="E650">
            <v>6</v>
          </cell>
          <cell r="F650">
            <v>0</v>
          </cell>
          <cell r="G650">
            <v>6</v>
          </cell>
          <cell r="H650">
            <v>0</v>
          </cell>
          <cell r="I650">
            <v>0</v>
          </cell>
          <cell r="J650">
            <v>0</v>
          </cell>
          <cell r="K650">
            <v>6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6</v>
          </cell>
          <cell r="T650">
            <v>0</v>
          </cell>
        </row>
        <row r="651">
          <cell r="C651" t="str">
            <v>Martha Lake CDP, Washington</v>
          </cell>
          <cell r="D651">
            <v>111</v>
          </cell>
          <cell r="E651">
            <v>83</v>
          </cell>
          <cell r="F651">
            <v>36</v>
          </cell>
          <cell r="G651">
            <v>47</v>
          </cell>
          <cell r="H651">
            <v>9</v>
          </cell>
          <cell r="I651">
            <v>0</v>
          </cell>
          <cell r="J651">
            <v>0</v>
          </cell>
          <cell r="K651">
            <v>38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28</v>
          </cell>
          <cell r="Q651">
            <v>8</v>
          </cell>
          <cell r="R651">
            <v>20</v>
          </cell>
          <cell r="S651">
            <v>83</v>
          </cell>
          <cell r="T651">
            <v>28</v>
          </cell>
        </row>
        <row r="652">
          <cell r="C652" t="str">
            <v>Maryhill CDP, Washington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</row>
        <row r="653">
          <cell r="C653" t="str">
            <v>Marysville city, Washington</v>
          </cell>
          <cell r="D653">
            <v>489</v>
          </cell>
          <cell r="E653">
            <v>246</v>
          </cell>
          <cell r="F653">
            <v>88</v>
          </cell>
          <cell r="G653">
            <v>132</v>
          </cell>
          <cell r="H653">
            <v>18</v>
          </cell>
          <cell r="I653">
            <v>16</v>
          </cell>
          <cell r="J653">
            <v>47</v>
          </cell>
          <cell r="K653">
            <v>51</v>
          </cell>
          <cell r="L653">
            <v>26</v>
          </cell>
          <cell r="M653">
            <v>0</v>
          </cell>
          <cell r="N653">
            <v>0</v>
          </cell>
          <cell r="O653">
            <v>26</v>
          </cell>
          <cell r="P653">
            <v>243</v>
          </cell>
          <cell r="Q653">
            <v>45</v>
          </cell>
          <cell r="R653">
            <v>198</v>
          </cell>
          <cell r="S653">
            <v>220</v>
          </cell>
          <cell r="T653">
            <v>269</v>
          </cell>
        </row>
        <row r="654">
          <cell r="C654" t="str">
            <v>Mattawa town, Washington</v>
          </cell>
          <cell r="D654">
            <v>1846</v>
          </cell>
          <cell r="E654">
            <v>459</v>
          </cell>
          <cell r="F654">
            <v>379</v>
          </cell>
          <cell r="G654">
            <v>52</v>
          </cell>
          <cell r="H654">
            <v>0</v>
          </cell>
          <cell r="I654">
            <v>3</v>
          </cell>
          <cell r="J654">
            <v>10</v>
          </cell>
          <cell r="K654">
            <v>39</v>
          </cell>
          <cell r="L654">
            <v>28</v>
          </cell>
          <cell r="M654">
            <v>0</v>
          </cell>
          <cell r="N654">
            <v>0</v>
          </cell>
          <cell r="O654">
            <v>28</v>
          </cell>
          <cell r="P654">
            <v>1387</v>
          </cell>
          <cell r="Q654">
            <v>127</v>
          </cell>
          <cell r="R654">
            <v>1260</v>
          </cell>
          <cell r="S654">
            <v>431</v>
          </cell>
          <cell r="T654">
            <v>1415</v>
          </cell>
        </row>
        <row r="655">
          <cell r="C655" t="str">
            <v>May Creek CDP, Washington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</row>
        <row r="656">
          <cell r="C656" t="str">
            <v>Meadow Glade CDP, Washington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</row>
        <row r="657">
          <cell r="C657" t="str">
            <v>Medical Lake city, Washington</v>
          </cell>
          <cell r="D657">
            <v>40</v>
          </cell>
          <cell r="E657">
            <v>40</v>
          </cell>
          <cell r="F657">
            <v>4</v>
          </cell>
          <cell r="G657">
            <v>18</v>
          </cell>
          <cell r="H657">
            <v>0</v>
          </cell>
          <cell r="I657">
            <v>4</v>
          </cell>
          <cell r="J657">
            <v>0</v>
          </cell>
          <cell r="K657">
            <v>14</v>
          </cell>
          <cell r="L657">
            <v>18</v>
          </cell>
          <cell r="M657">
            <v>0</v>
          </cell>
          <cell r="N657">
            <v>0</v>
          </cell>
          <cell r="O657">
            <v>18</v>
          </cell>
          <cell r="P657">
            <v>0</v>
          </cell>
          <cell r="Q657">
            <v>0</v>
          </cell>
          <cell r="R657">
            <v>0</v>
          </cell>
          <cell r="S657">
            <v>22</v>
          </cell>
          <cell r="T657">
            <v>18</v>
          </cell>
        </row>
        <row r="658">
          <cell r="C658" t="str">
            <v>Medina city, Washington</v>
          </cell>
          <cell r="D658">
            <v>13</v>
          </cell>
          <cell r="E658">
            <v>8</v>
          </cell>
          <cell r="F658">
            <v>0</v>
          </cell>
          <cell r="G658">
            <v>8</v>
          </cell>
          <cell r="H658">
            <v>1</v>
          </cell>
          <cell r="I658">
            <v>0</v>
          </cell>
          <cell r="J658">
            <v>4</v>
          </cell>
          <cell r="K658">
            <v>3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5</v>
          </cell>
          <cell r="Q658">
            <v>5</v>
          </cell>
          <cell r="R658">
            <v>0</v>
          </cell>
          <cell r="S658">
            <v>8</v>
          </cell>
          <cell r="T658">
            <v>5</v>
          </cell>
        </row>
        <row r="659">
          <cell r="C659" t="str">
            <v>Mercer Island city, Washington</v>
          </cell>
          <cell r="D659">
            <v>95</v>
          </cell>
          <cell r="E659">
            <v>75</v>
          </cell>
          <cell r="F659">
            <v>19</v>
          </cell>
          <cell r="G659">
            <v>39</v>
          </cell>
          <cell r="H659">
            <v>0</v>
          </cell>
          <cell r="I659">
            <v>6</v>
          </cell>
          <cell r="J659">
            <v>0</v>
          </cell>
          <cell r="K659">
            <v>33</v>
          </cell>
          <cell r="L659">
            <v>17</v>
          </cell>
          <cell r="M659">
            <v>0</v>
          </cell>
          <cell r="N659">
            <v>0</v>
          </cell>
          <cell r="O659">
            <v>17</v>
          </cell>
          <cell r="P659">
            <v>20</v>
          </cell>
          <cell r="Q659">
            <v>13</v>
          </cell>
          <cell r="R659">
            <v>7</v>
          </cell>
          <cell r="S659">
            <v>58</v>
          </cell>
          <cell r="T659">
            <v>37</v>
          </cell>
        </row>
        <row r="660">
          <cell r="C660" t="str">
            <v>Mesa city, Washington</v>
          </cell>
          <cell r="D660">
            <v>127</v>
          </cell>
          <cell r="E660">
            <v>45</v>
          </cell>
          <cell r="F660">
            <v>36</v>
          </cell>
          <cell r="G660">
            <v>9</v>
          </cell>
          <cell r="H660">
            <v>0</v>
          </cell>
          <cell r="I660">
            <v>0</v>
          </cell>
          <cell r="J660">
            <v>2</v>
          </cell>
          <cell r="K660">
            <v>7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82</v>
          </cell>
          <cell r="Q660">
            <v>10</v>
          </cell>
          <cell r="R660">
            <v>72</v>
          </cell>
          <cell r="S660">
            <v>45</v>
          </cell>
          <cell r="T660">
            <v>82</v>
          </cell>
        </row>
        <row r="661">
          <cell r="C661" t="str">
            <v>Metaline town, Washington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</row>
        <row r="662">
          <cell r="C662" t="str">
            <v>Metaline Falls town, Washington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</row>
        <row r="663">
          <cell r="C663" t="str">
            <v>Midland CDP, Washington</v>
          </cell>
          <cell r="D663">
            <v>306</v>
          </cell>
          <cell r="E663">
            <v>207</v>
          </cell>
          <cell r="F663">
            <v>83</v>
          </cell>
          <cell r="G663">
            <v>114</v>
          </cell>
          <cell r="H663">
            <v>0</v>
          </cell>
          <cell r="I663">
            <v>13</v>
          </cell>
          <cell r="J663">
            <v>46</v>
          </cell>
          <cell r="K663">
            <v>55</v>
          </cell>
          <cell r="L663">
            <v>10</v>
          </cell>
          <cell r="M663">
            <v>0</v>
          </cell>
          <cell r="N663">
            <v>0</v>
          </cell>
          <cell r="O663">
            <v>10</v>
          </cell>
          <cell r="P663">
            <v>99</v>
          </cell>
          <cell r="Q663">
            <v>7</v>
          </cell>
          <cell r="R663">
            <v>92</v>
          </cell>
          <cell r="S663">
            <v>197</v>
          </cell>
          <cell r="T663">
            <v>109</v>
          </cell>
        </row>
        <row r="664">
          <cell r="C664" t="str">
            <v>Mill Creek city, Washington</v>
          </cell>
          <cell r="D664">
            <v>147</v>
          </cell>
          <cell r="E664">
            <v>94</v>
          </cell>
          <cell r="F664">
            <v>31</v>
          </cell>
          <cell r="G664">
            <v>54</v>
          </cell>
          <cell r="H664">
            <v>0</v>
          </cell>
          <cell r="I664">
            <v>0</v>
          </cell>
          <cell r="J664">
            <v>25</v>
          </cell>
          <cell r="K664">
            <v>29</v>
          </cell>
          <cell r="L664">
            <v>9</v>
          </cell>
          <cell r="M664">
            <v>0</v>
          </cell>
          <cell r="N664">
            <v>0</v>
          </cell>
          <cell r="O664">
            <v>9</v>
          </cell>
          <cell r="P664">
            <v>53</v>
          </cell>
          <cell r="Q664">
            <v>20</v>
          </cell>
          <cell r="R664">
            <v>33</v>
          </cell>
          <cell r="S664">
            <v>85</v>
          </cell>
          <cell r="T664">
            <v>62</v>
          </cell>
        </row>
        <row r="665">
          <cell r="C665" t="str">
            <v>Mill Plain CDP, Washington</v>
          </cell>
          <cell r="D665">
            <v>175</v>
          </cell>
          <cell r="E665">
            <v>34</v>
          </cell>
          <cell r="F665">
            <v>0</v>
          </cell>
          <cell r="G665">
            <v>34</v>
          </cell>
          <cell r="H665">
            <v>0</v>
          </cell>
          <cell r="I665">
            <v>0</v>
          </cell>
          <cell r="J665">
            <v>7</v>
          </cell>
          <cell r="K665">
            <v>27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141</v>
          </cell>
          <cell r="Q665">
            <v>38</v>
          </cell>
          <cell r="R665">
            <v>103</v>
          </cell>
          <cell r="S665">
            <v>34</v>
          </cell>
          <cell r="T665">
            <v>141</v>
          </cell>
        </row>
        <row r="666">
          <cell r="C666" t="str">
            <v>Millwood town, Washington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</row>
        <row r="667">
          <cell r="C667" t="str">
            <v>Milton city, Washington</v>
          </cell>
          <cell r="D667">
            <v>61</v>
          </cell>
          <cell r="E667">
            <v>38</v>
          </cell>
          <cell r="F667">
            <v>0</v>
          </cell>
          <cell r="G667">
            <v>27</v>
          </cell>
          <cell r="H667">
            <v>0</v>
          </cell>
          <cell r="I667">
            <v>0</v>
          </cell>
          <cell r="J667">
            <v>24</v>
          </cell>
          <cell r="K667">
            <v>3</v>
          </cell>
          <cell r="L667">
            <v>11</v>
          </cell>
          <cell r="M667">
            <v>0</v>
          </cell>
          <cell r="N667">
            <v>0</v>
          </cell>
          <cell r="O667">
            <v>11</v>
          </cell>
          <cell r="P667">
            <v>23</v>
          </cell>
          <cell r="Q667">
            <v>9</v>
          </cell>
          <cell r="R667">
            <v>14</v>
          </cell>
          <cell r="S667">
            <v>27</v>
          </cell>
          <cell r="T667">
            <v>34</v>
          </cell>
        </row>
        <row r="668">
          <cell r="C668" t="str">
            <v>Minnehaha CDP, Washington</v>
          </cell>
          <cell r="D668">
            <v>114</v>
          </cell>
          <cell r="E668">
            <v>86</v>
          </cell>
          <cell r="F668">
            <v>47</v>
          </cell>
          <cell r="G668">
            <v>39</v>
          </cell>
          <cell r="H668">
            <v>0</v>
          </cell>
          <cell r="I668">
            <v>0</v>
          </cell>
          <cell r="J668">
            <v>0</v>
          </cell>
          <cell r="K668">
            <v>39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28</v>
          </cell>
          <cell r="Q668">
            <v>14</v>
          </cell>
          <cell r="R668">
            <v>14</v>
          </cell>
          <cell r="S668">
            <v>86</v>
          </cell>
          <cell r="T668">
            <v>28</v>
          </cell>
        </row>
        <row r="669">
          <cell r="C669" t="str">
            <v>Mirrormont CDP, Washington</v>
          </cell>
          <cell r="D669">
            <v>60</v>
          </cell>
          <cell r="E669">
            <v>60</v>
          </cell>
          <cell r="F669">
            <v>40</v>
          </cell>
          <cell r="G669">
            <v>20</v>
          </cell>
          <cell r="H669">
            <v>0</v>
          </cell>
          <cell r="I669">
            <v>10</v>
          </cell>
          <cell r="J669">
            <v>10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60</v>
          </cell>
          <cell r="T669">
            <v>0</v>
          </cell>
        </row>
        <row r="670">
          <cell r="C670" t="str">
            <v>Moclips CDP, Washington</v>
          </cell>
          <cell r="D670">
            <v>66</v>
          </cell>
          <cell r="E670">
            <v>24</v>
          </cell>
          <cell r="F670">
            <v>9</v>
          </cell>
          <cell r="G670">
            <v>15</v>
          </cell>
          <cell r="H670">
            <v>0</v>
          </cell>
          <cell r="I670">
            <v>0</v>
          </cell>
          <cell r="J670">
            <v>0</v>
          </cell>
          <cell r="K670">
            <v>15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42</v>
          </cell>
          <cell r="Q670">
            <v>0</v>
          </cell>
          <cell r="R670">
            <v>42</v>
          </cell>
          <cell r="S670">
            <v>24</v>
          </cell>
          <cell r="T670">
            <v>42</v>
          </cell>
        </row>
        <row r="671">
          <cell r="C671" t="str">
            <v>Monroe city, Washington</v>
          </cell>
          <cell r="D671">
            <v>513</v>
          </cell>
          <cell r="E671">
            <v>231</v>
          </cell>
          <cell r="F671">
            <v>134</v>
          </cell>
          <cell r="G671">
            <v>97</v>
          </cell>
          <cell r="H671">
            <v>0</v>
          </cell>
          <cell r="I671">
            <v>9</v>
          </cell>
          <cell r="J671">
            <v>0</v>
          </cell>
          <cell r="K671">
            <v>88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282</v>
          </cell>
          <cell r="Q671">
            <v>37</v>
          </cell>
          <cell r="R671">
            <v>245</v>
          </cell>
          <cell r="S671">
            <v>231</v>
          </cell>
          <cell r="T671">
            <v>282</v>
          </cell>
        </row>
        <row r="672">
          <cell r="C672" t="str">
            <v>Montesano city, Washington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</row>
        <row r="673">
          <cell r="C673" t="str">
            <v>Morton city, Washington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</row>
        <row r="674">
          <cell r="C674" t="str">
            <v>Moses Lake city, Washington</v>
          </cell>
          <cell r="D674">
            <v>2282</v>
          </cell>
          <cell r="E674">
            <v>1623</v>
          </cell>
          <cell r="F674">
            <v>939</v>
          </cell>
          <cell r="G674">
            <v>662</v>
          </cell>
          <cell r="H674">
            <v>0</v>
          </cell>
          <cell r="I674">
            <v>8</v>
          </cell>
          <cell r="J674">
            <v>315</v>
          </cell>
          <cell r="K674">
            <v>339</v>
          </cell>
          <cell r="L674">
            <v>22</v>
          </cell>
          <cell r="M674">
            <v>22</v>
          </cell>
          <cell r="N674">
            <v>0</v>
          </cell>
          <cell r="O674">
            <v>0</v>
          </cell>
          <cell r="P674">
            <v>659</v>
          </cell>
          <cell r="Q674">
            <v>135</v>
          </cell>
          <cell r="R674">
            <v>524</v>
          </cell>
          <cell r="S674">
            <v>1601</v>
          </cell>
          <cell r="T674">
            <v>681</v>
          </cell>
        </row>
        <row r="675">
          <cell r="C675" t="str">
            <v>Moses Lake North CDP, Washington</v>
          </cell>
          <cell r="D675">
            <v>593</v>
          </cell>
          <cell r="E675">
            <v>504</v>
          </cell>
          <cell r="F675">
            <v>337</v>
          </cell>
          <cell r="G675">
            <v>167</v>
          </cell>
          <cell r="H675">
            <v>0</v>
          </cell>
          <cell r="I675">
            <v>9</v>
          </cell>
          <cell r="J675">
            <v>36</v>
          </cell>
          <cell r="K675">
            <v>122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89</v>
          </cell>
          <cell r="Q675">
            <v>7</v>
          </cell>
          <cell r="R675">
            <v>82</v>
          </cell>
          <cell r="S675">
            <v>504</v>
          </cell>
          <cell r="T675">
            <v>89</v>
          </cell>
        </row>
        <row r="676">
          <cell r="C676" t="str">
            <v>Mossyrock city, Washington</v>
          </cell>
          <cell r="D676">
            <v>13</v>
          </cell>
          <cell r="E676">
            <v>5</v>
          </cell>
          <cell r="F676">
            <v>3</v>
          </cell>
          <cell r="G676">
            <v>2</v>
          </cell>
          <cell r="H676">
            <v>0</v>
          </cell>
          <cell r="I676">
            <v>0</v>
          </cell>
          <cell r="J676">
            <v>0</v>
          </cell>
          <cell r="K676">
            <v>2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</v>
          </cell>
          <cell r="Q676">
            <v>0</v>
          </cell>
          <cell r="R676">
            <v>8</v>
          </cell>
          <cell r="S676">
            <v>5</v>
          </cell>
          <cell r="T676">
            <v>8</v>
          </cell>
        </row>
        <row r="677">
          <cell r="C677" t="str">
            <v>Mountlake Terrace city, Washington</v>
          </cell>
          <cell r="D677">
            <v>497</v>
          </cell>
          <cell r="E677">
            <v>278</v>
          </cell>
          <cell r="F677">
            <v>131</v>
          </cell>
          <cell r="G677">
            <v>135</v>
          </cell>
          <cell r="H677">
            <v>0</v>
          </cell>
          <cell r="I677">
            <v>11</v>
          </cell>
          <cell r="J677">
            <v>19</v>
          </cell>
          <cell r="K677">
            <v>105</v>
          </cell>
          <cell r="L677">
            <v>12</v>
          </cell>
          <cell r="M677">
            <v>12</v>
          </cell>
          <cell r="N677">
            <v>0</v>
          </cell>
          <cell r="O677">
            <v>0</v>
          </cell>
          <cell r="P677">
            <v>219</v>
          </cell>
          <cell r="Q677">
            <v>47</v>
          </cell>
          <cell r="R677">
            <v>172</v>
          </cell>
          <cell r="S677">
            <v>266</v>
          </cell>
          <cell r="T677">
            <v>231</v>
          </cell>
        </row>
        <row r="678">
          <cell r="C678" t="str">
            <v>Mount Vernon city, Washington</v>
          </cell>
          <cell r="D678">
            <v>4472</v>
          </cell>
          <cell r="E678">
            <v>1980</v>
          </cell>
          <cell r="F678">
            <v>1213</v>
          </cell>
          <cell r="G678">
            <v>754</v>
          </cell>
          <cell r="H678">
            <v>29</v>
          </cell>
          <cell r="I678">
            <v>37</v>
          </cell>
          <cell r="J678">
            <v>332</v>
          </cell>
          <cell r="K678">
            <v>356</v>
          </cell>
          <cell r="L678">
            <v>13</v>
          </cell>
          <cell r="M678">
            <v>0</v>
          </cell>
          <cell r="N678">
            <v>0</v>
          </cell>
          <cell r="O678">
            <v>13</v>
          </cell>
          <cell r="P678">
            <v>2492</v>
          </cell>
          <cell r="Q678">
            <v>400</v>
          </cell>
          <cell r="R678">
            <v>2092</v>
          </cell>
          <cell r="S678">
            <v>1967</v>
          </cell>
          <cell r="T678">
            <v>2505</v>
          </cell>
        </row>
        <row r="679">
          <cell r="C679" t="str">
            <v>Mount Vista CDP, Washington</v>
          </cell>
          <cell r="D679">
            <v>33</v>
          </cell>
          <cell r="E679">
            <v>33</v>
          </cell>
          <cell r="F679">
            <v>11</v>
          </cell>
          <cell r="G679">
            <v>22</v>
          </cell>
          <cell r="H679">
            <v>0</v>
          </cell>
          <cell r="I679">
            <v>0</v>
          </cell>
          <cell r="J679">
            <v>22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33</v>
          </cell>
          <cell r="T679">
            <v>0</v>
          </cell>
        </row>
        <row r="680">
          <cell r="C680" t="str">
            <v>Moxee city, Washington</v>
          </cell>
          <cell r="D680">
            <v>196</v>
          </cell>
          <cell r="E680">
            <v>66</v>
          </cell>
          <cell r="F680">
            <v>52</v>
          </cell>
          <cell r="G680">
            <v>13</v>
          </cell>
          <cell r="H680">
            <v>0</v>
          </cell>
          <cell r="I680">
            <v>0</v>
          </cell>
          <cell r="J680">
            <v>8</v>
          </cell>
          <cell r="K680">
            <v>5</v>
          </cell>
          <cell r="L680">
            <v>1</v>
          </cell>
          <cell r="M680">
            <v>0</v>
          </cell>
          <cell r="N680">
            <v>0</v>
          </cell>
          <cell r="O680">
            <v>1</v>
          </cell>
          <cell r="P680">
            <v>130</v>
          </cell>
          <cell r="Q680">
            <v>56</v>
          </cell>
          <cell r="R680">
            <v>74</v>
          </cell>
          <cell r="S680">
            <v>65</v>
          </cell>
          <cell r="T680">
            <v>131</v>
          </cell>
        </row>
        <row r="681">
          <cell r="C681" t="str">
            <v>Mukilteo city, Washington</v>
          </cell>
          <cell r="D681">
            <v>242</v>
          </cell>
          <cell r="E681">
            <v>169</v>
          </cell>
          <cell r="F681">
            <v>41</v>
          </cell>
          <cell r="G681">
            <v>123</v>
          </cell>
          <cell r="H681">
            <v>9</v>
          </cell>
          <cell r="I681">
            <v>0</v>
          </cell>
          <cell r="J681">
            <v>19</v>
          </cell>
          <cell r="K681">
            <v>95</v>
          </cell>
          <cell r="L681">
            <v>5</v>
          </cell>
          <cell r="M681">
            <v>0</v>
          </cell>
          <cell r="N681">
            <v>0</v>
          </cell>
          <cell r="O681">
            <v>5</v>
          </cell>
          <cell r="P681">
            <v>73</v>
          </cell>
          <cell r="Q681">
            <v>16</v>
          </cell>
          <cell r="R681">
            <v>57</v>
          </cell>
          <cell r="S681">
            <v>164</v>
          </cell>
          <cell r="T681">
            <v>78</v>
          </cell>
        </row>
        <row r="682">
          <cell r="C682" t="str">
            <v>Naches town, Washington</v>
          </cell>
          <cell r="D682">
            <v>42</v>
          </cell>
          <cell r="E682">
            <v>30</v>
          </cell>
          <cell r="F682">
            <v>0</v>
          </cell>
          <cell r="G682">
            <v>30</v>
          </cell>
          <cell r="H682">
            <v>0</v>
          </cell>
          <cell r="I682">
            <v>0</v>
          </cell>
          <cell r="J682">
            <v>0</v>
          </cell>
          <cell r="K682">
            <v>30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12</v>
          </cell>
          <cell r="Q682">
            <v>5</v>
          </cell>
          <cell r="R682">
            <v>7</v>
          </cell>
          <cell r="S682">
            <v>30</v>
          </cell>
          <cell r="T682">
            <v>12</v>
          </cell>
        </row>
        <row r="683">
          <cell r="C683" t="str">
            <v>Napavine city, Washington</v>
          </cell>
          <cell r="D683">
            <v>66</v>
          </cell>
          <cell r="E683">
            <v>40</v>
          </cell>
          <cell r="F683">
            <v>13</v>
          </cell>
          <cell r="G683">
            <v>27</v>
          </cell>
          <cell r="H683">
            <v>0</v>
          </cell>
          <cell r="I683">
            <v>0</v>
          </cell>
          <cell r="J683">
            <v>0</v>
          </cell>
          <cell r="K683">
            <v>27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26</v>
          </cell>
          <cell r="Q683">
            <v>14</v>
          </cell>
          <cell r="R683">
            <v>12</v>
          </cell>
          <cell r="S683">
            <v>40</v>
          </cell>
          <cell r="T683">
            <v>26</v>
          </cell>
        </row>
        <row r="684">
          <cell r="C684" t="str">
            <v>Naselle CDP, Washington</v>
          </cell>
          <cell r="D684">
            <v>2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2</v>
          </cell>
          <cell r="Q684">
            <v>2</v>
          </cell>
          <cell r="R684">
            <v>0</v>
          </cell>
          <cell r="S684">
            <v>0</v>
          </cell>
          <cell r="T684">
            <v>2</v>
          </cell>
        </row>
        <row r="685">
          <cell r="C685" t="str">
            <v>Navy Yard City CDP, Washington</v>
          </cell>
          <cell r="D685">
            <v>39</v>
          </cell>
          <cell r="E685">
            <v>39</v>
          </cell>
          <cell r="F685">
            <v>0</v>
          </cell>
          <cell r="G685">
            <v>32</v>
          </cell>
          <cell r="H685">
            <v>7</v>
          </cell>
          <cell r="I685">
            <v>0</v>
          </cell>
          <cell r="J685">
            <v>7</v>
          </cell>
          <cell r="K685">
            <v>18</v>
          </cell>
          <cell r="L685">
            <v>7</v>
          </cell>
          <cell r="M685">
            <v>7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32</v>
          </cell>
          <cell r="T685">
            <v>7</v>
          </cell>
        </row>
        <row r="686">
          <cell r="C686" t="str">
            <v>Neah Bay CDP, Washington</v>
          </cell>
          <cell r="D686">
            <v>4</v>
          </cell>
          <cell r="E686">
            <v>2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2</v>
          </cell>
          <cell r="M686">
            <v>0</v>
          </cell>
          <cell r="N686">
            <v>0</v>
          </cell>
          <cell r="O686">
            <v>2</v>
          </cell>
          <cell r="P686">
            <v>2</v>
          </cell>
          <cell r="Q686">
            <v>0</v>
          </cell>
          <cell r="R686">
            <v>2</v>
          </cell>
          <cell r="S686">
            <v>0</v>
          </cell>
          <cell r="T686">
            <v>4</v>
          </cell>
        </row>
        <row r="687">
          <cell r="C687" t="str">
            <v>Neilton CDP, Washington</v>
          </cell>
          <cell r="D687">
            <v>15</v>
          </cell>
          <cell r="E687">
            <v>11</v>
          </cell>
          <cell r="F687">
            <v>9</v>
          </cell>
          <cell r="G687">
            <v>2</v>
          </cell>
          <cell r="H687">
            <v>0</v>
          </cell>
          <cell r="I687">
            <v>0</v>
          </cell>
          <cell r="J687">
            <v>0</v>
          </cell>
          <cell r="K687">
            <v>2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4</v>
          </cell>
          <cell r="Q687">
            <v>3</v>
          </cell>
          <cell r="R687">
            <v>1</v>
          </cell>
          <cell r="S687">
            <v>11</v>
          </cell>
          <cell r="T687">
            <v>4</v>
          </cell>
        </row>
        <row r="688">
          <cell r="C688" t="str">
            <v>Nespelem town, Washington</v>
          </cell>
          <cell r="D688">
            <v>4</v>
          </cell>
          <cell r="E688">
            <v>2</v>
          </cell>
          <cell r="F688">
            <v>0</v>
          </cell>
          <cell r="G688">
            <v>2</v>
          </cell>
          <cell r="H688">
            <v>2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</v>
          </cell>
          <cell r="Q688">
            <v>0</v>
          </cell>
          <cell r="R688">
            <v>2</v>
          </cell>
          <cell r="S688">
            <v>2</v>
          </cell>
          <cell r="T688">
            <v>2</v>
          </cell>
        </row>
        <row r="689">
          <cell r="C689" t="str">
            <v>Nespelem Community CDP, Washington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</row>
        <row r="690">
          <cell r="C690" t="str">
            <v>Newcastle city, Washington</v>
          </cell>
          <cell r="D690">
            <v>212</v>
          </cell>
          <cell r="E690">
            <v>77</v>
          </cell>
          <cell r="F690">
            <v>73</v>
          </cell>
          <cell r="G690">
            <v>4</v>
          </cell>
          <cell r="H690">
            <v>0</v>
          </cell>
          <cell r="I690">
            <v>0</v>
          </cell>
          <cell r="J690">
            <v>0</v>
          </cell>
          <cell r="K690">
            <v>4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135</v>
          </cell>
          <cell r="Q690">
            <v>18</v>
          </cell>
          <cell r="R690">
            <v>117</v>
          </cell>
          <cell r="S690">
            <v>77</v>
          </cell>
          <cell r="T690">
            <v>135</v>
          </cell>
        </row>
        <row r="691">
          <cell r="C691" t="str">
            <v>Newport city, Washington</v>
          </cell>
          <cell r="D691">
            <v>18</v>
          </cell>
          <cell r="E691">
            <v>17</v>
          </cell>
          <cell r="F691">
            <v>12</v>
          </cell>
          <cell r="G691">
            <v>5</v>
          </cell>
          <cell r="H691">
            <v>0</v>
          </cell>
          <cell r="I691">
            <v>0</v>
          </cell>
          <cell r="J691">
            <v>2</v>
          </cell>
          <cell r="K691">
            <v>3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</v>
          </cell>
          <cell r="Q691">
            <v>1</v>
          </cell>
          <cell r="R691">
            <v>0</v>
          </cell>
          <cell r="S691">
            <v>17</v>
          </cell>
          <cell r="T691">
            <v>1</v>
          </cell>
        </row>
        <row r="692">
          <cell r="C692" t="str">
            <v>Nisqually Indian Community CDP, Washington</v>
          </cell>
          <cell r="D692">
            <v>14</v>
          </cell>
          <cell r="E692">
            <v>8</v>
          </cell>
          <cell r="F692">
            <v>0</v>
          </cell>
          <cell r="G692">
            <v>8</v>
          </cell>
          <cell r="H692">
            <v>0</v>
          </cell>
          <cell r="I692">
            <v>0</v>
          </cell>
          <cell r="J692">
            <v>0</v>
          </cell>
          <cell r="K692">
            <v>8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6</v>
          </cell>
          <cell r="Q692">
            <v>0</v>
          </cell>
          <cell r="R692">
            <v>6</v>
          </cell>
          <cell r="S692">
            <v>8</v>
          </cell>
          <cell r="T692">
            <v>6</v>
          </cell>
        </row>
        <row r="693">
          <cell r="C693" t="str">
            <v>Nooksack city, Washington</v>
          </cell>
          <cell r="D693">
            <v>66</v>
          </cell>
          <cell r="E693">
            <v>43</v>
          </cell>
          <cell r="F693">
            <v>31</v>
          </cell>
          <cell r="G693">
            <v>12</v>
          </cell>
          <cell r="H693">
            <v>0</v>
          </cell>
          <cell r="I693">
            <v>0</v>
          </cell>
          <cell r="J693">
            <v>4</v>
          </cell>
          <cell r="K693">
            <v>8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23</v>
          </cell>
          <cell r="Q693">
            <v>3</v>
          </cell>
          <cell r="R693">
            <v>20</v>
          </cell>
          <cell r="S693">
            <v>43</v>
          </cell>
          <cell r="T693">
            <v>23</v>
          </cell>
        </row>
        <row r="694">
          <cell r="C694" t="str">
            <v>Normandy Park city, Washington</v>
          </cell>
          <cell r="D694">
            <v>80</v>
          </cell>
          <cell r="E694">
            <v>80</v>
          </cell>
          <cell r="F694">
            <v>3</v>
          </cell>
          <cell r="G694">
            <v>77</v>
          </cell>
          <cell r="H694">
            <v>0</v>
          </cell>
          <cell r="I694">
            <v>0</v>
          </cell>
          <cell r="J694">
            <v>18</v>
          </cell>
          <cell r="K694">
            <v>59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80</v>
          </cell>
          <cell r="T694">
            <v>0</v>
          </cell>
        </row>
        <row r="695">
          <cell r="C695" t="str">
            <v>North Bend city, Washington</v>
          </cell>
          <cell r="D695">
            <v>113</v>
          </cell>
          <cell r="E695">
            <v>75</v>
          </cell>
          <cell r="F695">
            <v>69</v>
          </cell>
          <cell r="G695">
            <v>6</v>
          </cell>
          <cell r="H695">
            <v>0</v>
          </cell>
          <cell r="I695">
            <v>0</v>
          </cell>
          <cell r="J695">
            <v>0</v>
          </cell>
          <cell r="K695">
            <v>6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38</v>
          </cell>
          <cell r="Q695">
            <v>0</v>
          </cell>
          <cell r="R695">
            <v>38</v>
          </cell>
          <cell r="S695">
            <v>75</v>
          </cell>
          <cell r="T695">
            <v>38</v>
          </cell>
        </row>
        <row r="696">
          <cell r="C696" t="str">
            <v>North Bonneville city, Washington</v>
          </cell>
          <cell r="D696">
            <v>12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12</v>
          </cell>
          <cell r="Q696">
            <v>0</v>
          </cell>
          <cell r="R696">
            <v>12</v>
          </cell>
          <cell r="S696">
            <v>0</v>
          </cell>
          <cell r="T696">
            <v>12</v>
          </cell>
        </row>
        <row r="697">
          <cell r="C697" t="str">
            <v>North Creek CDP, Washington</v>
          </cell>
          <cell r="D697">
            <v>363</v>
          </cell>
          <cell r="E697">
            <v>157</v>
          </cell>
          <cell r="F697">
            <v>119</v>
          </cell>
          <cell r="G697">
            <v>34</v>
          </cell>
          <cell r="H697">
            <v>0</v>
          </cell>
          <cell r="I697">
            <v>9</v>
          </cell>
          <cell r="J697">
            <v>4</v>
          </cell>
          <cell r="K697">
            <v>21</v>
          </cell>
          <cell r="L697">
            <v>4</v>
          </cell>
          <cell r="M697">
            <v>0</v>
          </cell>
          <cell r="N697">
            <v>4</v>
          </cell>
          <cell r="O697">
            <v>0</v>
          </cell>
          <cell r="P697">
            <v>206</v>
          </cell>
          <cell r="Q697">
            <v>45</v>
          </cell>
          <cell r="R697">
            <v>161</v>
          </cell>
          <cell r="S697">
            <v>153</v>
          </cell>
          <cell r="T697">
            <v>210</v>
          </cell>
        </row>
        <row r="698">
          <cell r="C698" t="str">
            <v>North Marysville CDP, Washington</v>
          </cell>
          <cell r="D698">
            <v>483</v>
          </cell>
          <cell r="E698">
            <v>350</v>
          </cell>
          <cell r="F698">
            <v>176</v>
          </cell>
          <cell r="G698">
            <v>162</v>
          </cell>
          <cell r="H698">
            <v>0</v>
          </cell>
          <cell r="I698">
            <v>32</v>
          </cell>
          <cell r="J698">
            <v>0</v>
          </cell>
          <cell r="K698">
            <v>130</v>
          </cell>
          <cell r="L698">
            <v>12</v>
          </cell>
          <cell r="M698">
            <v>12</v>
          </cell>
          <cell r="N698">
            <v>0</v>
          </cell>
          <cell r="O698">
            <v>0</v>
          </cell>
          <cell r="P698">
            <v>133</v>
          </cell>
          <cell r="Q698">
            <v>46</v>
          </cell>
          <cell r="R698">
            <v>87</v>
          </cell>
          <cell r="S698">
            <v>338</v>
          </cell>
          <cell r="T698">
            <v>145</v>
          </cell>
        </row>
        <row r="699">
          <cell r="C699" t="str">
            <v>North Omak CDP, Washington</v>
          </cell>
          <cell r="D699">
            <v>114</v>
          </cell>
          <cell r="E699">
            <v>36</v>
          </cell>
          <cell r="F699">
            <v>26</v>
          </cell>
          <cell r="G699">
            <v>10</v>
          </cell>
          <cell r="H699">
            <v>10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78</v>
          </cell>
          <cell r="Q699">
            <v>11</v>
          </cell>
          <cell r="R699">
            <v>67</v>
          </cell>
          <cell r="S699">
            <v>36</v>
          </cell>
          <cell r="T699">
            <v>78</v>
          </cell>
        </row>
        <row r="700">
          <cell r="C700" t="str">
            <v>Northport town, Washington</v>
          </cell>
          <cell r="D700">
            <v>23</v>
          </cell>
          <cell r="E700">
            <v>23</v>
          </cell>
          <cell r="F700">
            <v>0</v>
          </cell>
          <cell r="G700">
            <v>23</v>
          </cell>
          <cell r="H700">
            <v>0</v>
          </cell>
          <cell r="I700">
            <v>0</v>
          </cell>
          <cell r="J700">
            <v>1</v>
          </cell>
          <cell r="K700">
            <v>22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23</v>
          </cell>
          <cell r="T700">
            <v>0</v>
          </cell>
        </row>
        <row r="701">
          <cell r="C701" t="str">
            <v>North Stanwood CDP, Washington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</row>
        <row r="702">
          <cell r="C702" t="str">
            <v>North Sultan CDP, Washington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</row>
        <row r="703">
          <cell r="C703" t="str">
            <v>Northwest Snohomish CDP, Washington</v>
          </cell>
          <cell r="D703">
            <v>9</v>
          </cell>
          <cell r="E703">
            <v>9</v>
          </cell>
          <cell r="F703">
            <v>9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9</v>
          </cell>
          <cell r="T703">
            <v>0</v>
          </cell>
        </row>
        <row r="704">
          <cell r="C704" t="str">
            <v>North Yelm CDP, Washington</v>
          </cell>
          <cell r="D704">
            <v>63</v>
          </cell>
          <cell r="E704">
            <v>18</v>
          </cell>
          <cell r="F704">
            <v>0</v>
          </cell>
          <cell r="G704">
            <v>18</v>
          </cell>
          <cell r="H704">
            <v>0</v>
          </cell>
          <cell r="I704">
            <v>0</v>
          </cell>
          <cell r="J704">
            <v>0</v>
          </cell>
          <cell r="K704">
            <v>18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45</v>
          </cell>
          <cell r="Q704">
            <v>16</v>
          </cell>
          <cell r="R704">
            <v>29</v>
          </cell>
          <cell r="S704">
            <v>18</v>
          </cell>
          <cell r="T704">
            <v>45</v>
          </cell>
        </row>
        <row r="705">
          <cell r="C705" t="str">
            <v>Oakesdale town, Washington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</row>
        <row r="706">
          <cell r="C706" t="str">
            <v>Oak Harbor city, Washington</v>
          </cell>
          <cell r="D706">
            <v>546</v>
          </cell>
          <cell r="E706">
            <v>439</v>
          </cell>
          <cell r="F706">
            <v>114</v>
          </cell>
          <cell r="G706">
            <v>285</v>
          </cell>
          <cell r="H706">
            <v>40</v>
          </cell>
          <cell r="I706">
            <v>8</v>
          </cell>
          <cell r="J706">
            <v>67</v>
          </cell>
          <cell r="K706">
            <v>170</v>
          </cell>
          <cell r="L706">
            <v>40</v>
          </cell>
          <cell r="M706">
            <v>18</v>
          </cell>
          <cell r="N706">
            <v>0</v>
          </cell>
          <cell r="O706">
            <v>22</v>
          </cell>
          <cell r="P706">
            <v>107</v>
          </cell>
          <cell r="Q706">
            <v>55</v>
          </cell>
          <cell r="R706">
            <v>52</v>
          </cell>
          <cell r="S706">
            <v>399</v>
          </cell>
          <cell r="T706">
            <v>147</v>
          </cell>
        </row>
        <row r="707">
          <cell r="C707" t="str">
            <v>Oakville city, Washington</v>
          </cell>
          <cell r="D707">
            <v>17</v>
          </cell>
          <cell r="E707">
            <v>15</v>
          </cell>
          <cell r="F707">
            <v>13</v>
          </cell>
          <cell r="G707">
            <v>2</v>
          </cell>
          <cell r="H707">
            <v>0</v>
          </cell>
          <cell r="I707">
            <v>0</v>
          </cell>
          <cell r="J707">
            <v>0</v>
          </cell>
          <cell r="K707">
            <v>2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2</v>
          </cell>
          <cell r="Q707">
            <v>2</v>
          </cell>
          <cell r="R707">
            <v>0</v>
          </cell>
          <cell r="S707">
            <v>15</v>
          </cell>
          <cell r="T707">
            <v>2</v>
          </cell>
        </row>
        <row r="708">
          <cell r="C708" t="str">
            <v>Ocean City CDP, Washington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</row>
        <row r="709">
          <cell r="C709" t="str">
            <v>Ocean Park CDP, Washington</v>
          </cell>
          <cell r="D709">
            <v>38</v>
          </cell>
          <cell r="E709">
            <v>11</v>
          </cell>
          <cell r="F709">
            <v>0</v>
          </cell>
          <cell r="G709">
            <v>11</v>
          </cell>
          <cell r="H709">
            <v>0</v>
          </cell>
          <cell r="I709">
            <v>0</v>
          </cell>
          <cell r="J709">
            <v>0</v>
          </cell>
          <cell r="K709">
            <v>11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27</v>
          </cell>
          <cell r="Q709">
            <v>0</v>
          </cell>
          <cell r="R709">
            <v>27</v>
          </cell>
          <cell r="S709">
            <v>11</v>
          </cell>
          <cell r="T709">
            <v>27</v>
          </cell>
        </row>
        <row r="710">
          <cell r="C710" t="str">
            <v>Ocean Shores city, Washington</v>
          </cell>
          <cell r="D710">
            <v>27</v>
          </cell>
          <cell r="E710">
            <v>21</v>
          </cell>
          <cell r="F710">
            <v>14</v>
          </cell>
          <cell r="G710">
            <v>7</v>
          </cell>
          <cell r="H710">
            <v>0</v>
          </cell>
          <cell r="I710">
            <v>0</v>
          </cell>
          <cell r="J710">
            <v>0</v>
          </cell>
          <cell r="K710">
            <v>7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6</v>
          </cell>
          <cell r="Q710">
            <v>6</v>
          </cell>
          <cell r="R710">
            <v>0</v>
          </cell>
          <cell r="S710">
            <v>21</v>
          </cell>
          <cell r="T710">
            <v>6</v>
          </cell>
        </row>
        <row r="711">
          <cell r="C711" t="str">
            <v>Odessa town, Washington</v>
          </cell>
          <cell r="D711">
            <v>14</v>
          </cell>
          <cell r="E711">
            <v>14</v>
          </cell>
          <cell r="F711">
            <v>13</v>
          </cell>
          <cell r="G711">
            <v>1</v>
          </cell>
          <cell r="H711">
            <v>0</v>
          </cell>
          <cell r="I711">
            <v>0</v>
          </cell>
          <cell r="J711">
            <v>1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14</v>
          </cell>
          <cell r="T711">
            <v>0</v>
          </cell>
        </row>
        <row r="712">
          <cell r="C712" t="str">
            <v>Okanogan city, Washington</v>
          </cell>
          <cell r="D712">
            <v>173</v>
          </cell>
          <cell r="E712">
            <v>96</v>
          </cell>
          <cell r="F712">
            <v>77</v>
          </cell>
          <cell r="G712">
            <v>13</v>
          </cell>
          <cell r="H712">
            <v>0</v>
          </cell>
          <cell r="I712">
            <v>0</v>
          </cell>
          <cell r="J712">
            <v>0</v>
          </cell>
          <cell r="K712">
            <v>13</v>
          </cell>
          <cell r="L712">
            <v>6</v>
          </cell>
          <cell r="M712">
            <v>0</v>
          </cell>
          <cell r="N712">
            <v>0</v>
          </cell>
          <cell r="O712">
            <v>6</v>
          </cell>
          <cell r="P712">
            <v>77</v>
          </cell>
          <cell r="Q712">
            <v>10</v>
          </cell>
          <cell r="R712">
            <v>67</v>
          </cell>
          <cell r="S712">
            <v>90</v>
          </cell>
          <cell r="T712">
            <v>83</v>
          </cell>
        </row>
        <row r="713">
          <cell r="C713" t="str">
            <v>Olympia city, Washington</v>
          </cell>
          <cell r="D713">
            <v>728</v>
          </cell>
          <cell r="E713">
            <v>587</v>
          </cell>
          <cell r="F713">
            <v>235</v>
          </cell>
          <cell r="G713">
            <v>311</v>
          </cell>
          <cell r="H713">
            <v>37</v>
          </cell>
          <cell r="I713">
            <v>38</v>
          </cell>
          <cell r="J713">
            <v>58</v>
          </cell>
          <cell r="K713">
            <v>178</v>
          </cell>
          <cell r="L713">
            <v>41</v>
          </cell>
          <cell r="M713">
            <v>14</v>
          </cell>
          <cell r="N713">
            <v>0</v>
          </cell>
          <cell r="O713">
            <v>27</v>
          </cell>
          <cell r="P713">
            <v>141</v>
          </cell>
          <cell r="Q713">
            <v>57</v>
          </cell>
          <cell r="R713">
            <v>84</v>
          </cell>
          <cell r="S713">
            <v>546</v>
          </cell>
          <cell r="T713">
            <v>182</v>
          </cell>
        </row>
        <row r="714">
          <cell r="C714" t="str">
            <v>Omak city, Washington</v>
          </cell>
          <cell r="D714">
            <v>534</v>
          </cell>
          <cell r="E714">
            <v>305</v>
          </cell>
          <cell r="F714">
            <v>179</v>
          </cell>
          <cell r="G714">
            <v>126</v>
          </cell>
          <cell r="H714">
            <v>0</v>
          </cell>
          <cell r="I714">
            <v>0</v>
          </cell>
          <cell r="J714">
            <v>36</v>
          </cell>
          <cell r="K714">
            <v>90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229</v>
          </cell>
          <cell r="Q714">
            <v>54</v>
          </cell>
          <cell r="R714">
            <v>175</v>
          </cell>
          <cell r="S714">
            <v>305</v>
          </cell>
          <cell r="T714">
            <v>229</v>
          </cell>
        </row>
        <row r="715">
          <cell r="C715" t="str">
            <v>Opportunity CDP, Washington</v>
          </cell>
          <cell r="D715">
            <v>146</v>
          </cell>
          <cell r="E715">
            <v>110</v>
          </cell>
          <cell r="F715">
            <v>78</v>
          </cell>
          <cell r="G715">
            <v>32</v>
          </cell>
          <cell r="H715">
            <v>0</v>
          </cell>
          <cell r="I715">
            <v>0</v>
          </cell>
          <cell r="J715">
            <v>6</v>
          </cell>
          <cell r="K715">
            <v>26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36</v>
          </cell>
          <cell r="Q715">
            <v>8</v>
          </cell>
          <cell r="R715">
            <v>28</v>
          </cell>
          <cell r="S715">
            <v>110</v>
          </cell>
          <cell r="T715">
            <v>36</v>
          </cell>
        </row>
        <row r="716">
          <cell r="C716" t="str">
            <v>Orchards CDP, Washington</v>
          </cell>
          <cell r="D716">
            <v>284</v>
          </cell>
          <cell r="E716">
            <v>220</v>
          </cell>
          <cell r="F716">
            <v>41</v>
          </cell>
          <cell r="G716">
            <v>179</v>
          </cell>
          <cell r="H716">
            <v>7</v>
          </cell>
          <cell r="I716">
            <v>0</v>
          </cell>
          <cell r="J716">
            <v>7</v>
          </cell>
          <cell r="K716">
            <v>165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64</v>
          </cell>
          <cell r="Q716">
            <v>15</v>
          </cell>
          <cell r="R716">
            <v>49</v>
          </cell>
          <cell r="S716">
            <v>220</v>
          </cell>
          <cell r="T716">
            <v>64</v>
          </cell>
        </row>
        <row r="717">
          <cell r="C717" t="str">
            <v>Oroville city, Washington</v>
          </cell>
          <cell r="D717">
            <v>93</v>
          </cell>
          <cell r="E717">
            <v>45</v>
          </cell>
          <cell r="F717">
            <v>40</v>
          </cell>
          <cell r="G717">
            <v>4</v>
          </cell>
          <cell r="H717">
            <v>1</v>
          </cell>
          <cell r="I717">
            <v>0</v>
          </cell>
          <cell r="J717">
            <v>0</v>
          </cell>
          <cell r="K717">
            <v>3</v>
          </cell>
          <cell r="L717">
            <v>1</v>
          </cell>
          <cell r="M717">
            <v>0</v>
          </cell>
          <cell r="N717">
            <v>0</v>
          </cell>
          <cell r="O717">
            <v>1</v>
          </cell>
          <cell r="P717">
            <v>48</v>
          </cell>
          <cell r="Q717">
            <v>9</v>
          </cell>
          <cell r="R717">
            <v>39</v>
          </cell>
          <cell r="S717">
            <v>44</v>
          </cell>
          <cell r="T717">
            <v>49</v>
          </cell>
        </row>
        <row r="718">
          <cell r="C718" t="str">
            <v>Orting city, Washington</v>
          </cell>
          <cell r="D718">
            <v>15</v>
          </cell>
          <cell r="E718">
            <v>10</v>
          </cell>
          <cell r="F718">
            <v>6</v>
          </cell>
          <cell r="G718">
            <v>4</v>
          </cell>
          <cell r="H718">
            <v>0</v>
          </cell>
          <cell r="I718">
            <v>0</v>
          </cell>
          <cell r="J718">
            <v>4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5</v>
          </cell>
          <cell r="Q718">
            <v>5</v>
          </cell>
          <cell r="R718">
            <v>0</v>
          </cell>
          <cell r="S718">
            <v>10</v>
          </cell>
          <cell r="T718">
            <v>5</v>
          </cell>
        </row>
        <row r="719">
          <cell r="C719" t="str">
            <v>Oso CDP, Washington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</row>
        <row r="720">
          <cell r="C720" t="str">
            <v>Othello city, Washington</v>
          </cell>
          <cell r="D720">
            <v>2222</v>
          </cell>
          <cell r="E720">
            <v>1158</v>
          </cell>
          <cell r="F720">
            <v>865</v>
          </cell>
          <cell r="G720">
            <v>286</v>
          </cell>
          <cell r="H720">
            <v>0</v>
          </cell>
          <cell r="I720">
            <v>35</v>
          </cell>
          <cell r="J720">
            <v>98</v>
          </cell>
          <cell r="K720">
            <v>153</v>
          </cell>
          <cell r="L720">
            <v>7</v>
          </cell>
          <cell r="M720">
            <v>0</v>
          </cell>
          <cell r="N720">
            <v>0</v>
          </cell>
          <cell r="O720">
            <v>7</v>
          </cell>
          <cell r="P720">
            <v>1064</v>
          </cell>
          <cell r="Q720">
            <v>225</v>
          </cell>
          <cell r="R720">
            <v>839</v>
          </cell>
          <cell r="S720">
            <v>1151</v>
          </cell>
          <cell r="T720">
            <v>1071</v>
          </cell>
        </row>
        <row r="721">
          <cell r="C721" t="str">
            <v>Otis Orchards-East Farms CDP, Washington</v>
          </cell>
          <cell r="D721">
            <v>32</v>
          </cell>
          <cell r="E721">
            <v>32</v>
          </cell>
          <cell r="F721">
            <v>0</v>
          </cell>
          <cell r="G721">
            <v>32</v>
          </cell>
          <cell r="H721">
            <v>0</v>
          </cell>
          <cell r="I721">
            <v>0</v>
          </cell>
          <cell r="J721">
            <v>11</v>
          </cell>
          <cell r="K721">
            <v>21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32</v>
          </cell>
          <cell r="T721">
            <v>0</v>
          </cell>
        </row>
        <row r="722">
          <cell r="C722" t="str">
            <v>Oyehut-Hogans Corner CDP, Washington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</row>
        <row r="723">
          <cell r="C723" t="str">
            <v>Pacific city, Washington</v>
          </cell>
          <cell r="D723">
            <v>120</v>
          </cell>
          <cell r="E723">
            <v>97</v>
          </cell>
          <cell r="F723">
            <v>81</v>
          </cell>
          <cell r="G723">
            <v>16</v>
          </cell>
          <cell r="H723">
            <v>2</v>
          </cell>
          <cell r="I723">
            <v>0</v>
          </cell>
          <cell r="J723">
            <v>0</v>
          </cell>
          <cell r="K723">
            <v>14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23</v>
          </cell>
          <cell r="Q723">
            <v>0</v>
          </cell>
          <cell r="R723">
            <v>23</v>
          </cell>
          <cell r="S723">
            <v>97</v>
          </cell>
          <cell r="T723">
            <v>23</v>
          </cell>
        </row>
        <row r="724">
          <cell r="C724" t="str">
            <v>Paine Field-Lake Stickney CDP, Washington</v>
          </cell>
          <cell r="D724">
            <v>917</v>
          </cell>
          <cell r="E724">
            <v>485</v>
          </cell>
          <cell r="F724">
            <v>164</v>
          </cell>
          <cell r="G724">
            <v>285</v>
          </cell>
          <cell r="H724">
            <v>29</v>
          </cell>
          <cell r="I724">
            <v>6</v>
          </cell>
          <cell r="J724">
            <v>60</v>
          </cell>
          <cell r="K724">
            <v>190</v>
          </cell>
          <cell r="L724">
            <v>36</v>
          </cell>
          <cell r="M724">
            <v>36</v>
          </cell>
          <cell r="N724">
            <v>0</v>
          </cell>
          <cell r="O724">
            <v>0</v>
          </cell>
          <cell r="P724">
            <v>432</v>
          </cell>
          <cell r="Q724">
            <v>144</v>
          </cell>
          <cell r="R724">
            <v>288</v>
          </cell>
          <cell r="S724">
            <v>449</v>
          </cell>
          <cell r="T724">
            <v>468</v>
          </cell>
        </row>
        <row r="725">
          <cell r="C725" t="str">
            <v>Palouse city, Washington</v>
          </cell>
          <cell r="D725">
            <v>23</v>
          </cell>
          <cell r="E725">
            <v>23</v>
          </cell>
          <cell r="F725">
            <v>7</v>
          </cell>
          <cell r="G725">
            <v>16</v>
          </cell>
          <cell r="H725">
            <v>0</v>
          </cell>
          <cell r="I725">
            <v>0</v>
          </cell>
          <cell r="J725">
            <v>0</v>
          </cell>
          <cell r="K725">
            <v>16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23</v>
          </cell>
          <cell r="T725">
            <v>0</v>
          </cell>
        </row>
        <row r="726">
          <cell r="C726" t="str">
            <v>Parkland CDP, Washington</v>
          </cell>
          <cell r="D726">
            <v>655</v>
          </cell>
          <cell r="E726">
            <v>453</v>
          </cell>
          <cell r="F726">
            <v>221</v>
          </cell>
          <cell r="G726">
            <v>169</v>
          </cell>
          <cell r="H726">
            <v>18</v>
          </cell>
          <cell r="I726">
            <v>7</v>
          </cell>
          <cell r="J726">
            <v>37</v>
          </cell>
          <cell r="K726">
            <v>107</v>
          </cell>
          <cell r="L726">
            <v>63</v>
          </cell>
          <cell r="M726">
            <v>23</v>
          </cell>
          <cell r="N726">
            <v>0</v>
          </cell>
          <cell r="O726">
            <v>40</v>
          </cell>
          <cell r="P726">
            <v>202</v>
          </cell>
          <cell r="Q726">
            <v>20</v>
          </cell>
          <cell r="R726">
            <v>182</v>
          </cell>
          <cell r="S726">
            <v>390</v>
          </cell>
          <cell r="T726">
            <v>265</v>
          </cell>
        </row>
        <row r="727">
          <cell r="C727" t="str">
            <v>Parkwood CDP, Washington</v>
          </cell>
          <cell r="D727">
            <v>75</v>
          </cell>
          <cell r="E727">
            <v>66</v>
          </cell>
          <cell r="F727">
            <v>24</v>
          </cell>
          <cell r="G727">
            <v>28</v>
          </cell>
          <cell r="H727">
            <v>0</v>
          </cell>
          <cell r="I727">
            <v>0</v>
          </cell>
          <cell r="J727">
            <v>11</v>
          </cell>
          <cell r="K727">
            <v>17</v>
          </cell>
          <cell r="L727">
            <v>14</v>
          </cell>
          <cell r="M727">
            <v>0</v>
          </cell>
          <cell r="N727">
            <v>0</v>
          </cell>
          <cell r="O727">
            <v>14</v>
          </cell>
          <cell r="P727">
            <v>9</v>
          </cell>
          <cell r="Q727">
            <v>0</v>
          </cell>
          <cell r="R727">
            <v>9</v>
          </cell>
          <cell r="S727">
            <v>52</v>
          </cell>
          <cell r="T727">
            <v>23</v>
          </cell>
        </row>
        <row r="728">
          <cell r="C728" t="str">
            <v>Pasco city, Washington</v>
          </cell>
          <cell r="D728">
            <v>12145</v>
          </cell>
          <cell r="E728">
            <v>6303</v>
          </cell>
          <cell r="F728">
            <v>4378</v>
          </cell>
          <cell r="G728">
            <v>1846</v>
          </cell>
          <cell r="H728">
            <v>5</v>
          </cell>
          <cell r="I728">
            <v>79</v>
          </cell>
          <cell r="J728">
            <v>578</v>
          </cell>
          <cell r="K728">
            <v>1184</v>
          </cell>
          <cell r="L728">
            <v>79</v>
          </cell>
          <cell r="M728">
            <v>0</v>
          </cell>
          <cell r="N728">
            <v>0</v>
          </cell>
          <cell r="O728">
            <v>79</v>
          </cell>
          <cell r="P728">
            <v>5842</v>
          </cell>
          <cell r="Q728">
            <v>976</v>
          </cell>
          <cell r="R728">
            <v>4866</v>
          </cell>
          <cell r="S728">
            <v>6224</v>
          </cell>
          <cell r="T728">
            <v>5921</v>
          </cell>
        </row>
        <row r="729">
          <cell r="C729" t="str">
            <v>Pateros city, Washington</v>
          </cell>
          <cell r="D729">
            <v>164</v>
          </cell>
          <cell r="E729">
            <v>41</v>
          </cell>
          <cell r="F729">
            <v>38</v>
          </cell>
          <cell r="G729">
            <v>3</v>
          </cell>
          <cell r="H729">
            <v>0</v>
          </cell>
          <cell r="I729">
            <v>0</v>
          </cell>
          <cell r="J729">
            <v>3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123</v>
          </cell>
          <cell r="Q729">
            <v>2</v>
          </cell>
          <cell r="R729">
            <v>121</v>
          </cell>
          <cell r="S729">
            <v>41</v>
          </cell>
          <cell r="T729">
            <v>123</v>
          </cell>
        </row>
        <row r="730">
          <cell r="C730" t="str">
            <v>Peaceful Valley CDP, Washington</v>
          </cell>
          <cell r="D730">
            <v>38</v>
          </cell>
          <cell r="E730">
            <v>32</v>
          </cell>
          <cell r="F730">
            <v>0</v>
          </cell>
          <cell r="G730">
            <v>32</v>
          </cell>
          <cell r="H730">
            <v>0</v>
          </cell>
          <cell r="I730">
            <v>0</v>
          </cell>
          <cell r="J730">
            <v>32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6</v>
          </cell>
          <cell r="Q730">
            <v>6</v>
          </cell>
          <cell r="R730">
            <v>0</v>
          </cell>
          <cell r="S730">
            <v>32</v>
          </cell>
          <cell r="T730">
            <v>6</v>
          </cell>
        </row>
        <row r="731">
          <cell r="C731" t="str">
            <v>Pe Ell town, Washington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</row>
        <row r="732">
          <cell r="C732" t="str">
            <v>Picnic Point-North Lynnwood CDP, Washington</v>
          </cell>
          <cell r="D732">
            <v>638</v>
          </cell>
          <cell r="E732">
            <v>280</v>
          </cell>
          <cell r="F732">
            <v>59</v>
          </cell>
          <cell r="G732">
            <v>221</v>
          </cell>
          <cell r="H732">
            <v>0</v>
          </cell>
          <cell r="I732">
            <v>19</v>
          </cell>
          <cell r="J732">
            <v>19</v>
          </cell>
          <cell r="K732">
            <v>183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358</v>
          </cell>
          <cell r="Q732">
            <v>74</v>
          </cell>
          <cell r="R732">
            <v>284</v>
          </cell>
          <cell r="S732">
            <v>280</v>
          </cell>
          <cell r="T732">
            <v>358</v>
          </cell>
        </row>
        <row r="733">
          <cell r="C733" t="str">
            <v>Pomeroy city, Washington</v>
          </cell>
          <cell r="D733">
            <v>8</v>
          </cell>
          <cell r="E733">
            <v>3</v>
          </cell>
          <cell r="F733">
            <v>0</v>
          </cell>
          <cell r="G733">
            <v>3</v>
          </cell>
          <cell r="H733">
            <v>0</v>
          </cell>
          <cell r="I733">
            <v>0</v>
          </cell>
          <cell r="J733">
            <v>0</v>
          </cell>
          <cell r="K733">
            <v>3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5</v>
          </cell>
          <cell r="Q733">
            <v>5</v>
          </cell>
          <cell r="R733">
            <v>0</v>
          </cell>
          <cell r="S733">
            <v>3</v>
          </cell>
          <cell r="T733">
            <v>5</v>
          </cell>
        </row>
        <row r="734">
          <cell r="C734" t="str">
            <v>Port Angeles city, Washington</v>
          </cell>
          <cell r="D734">
            <v>69</v>
          </cell>
          <cell r="E734">
            <v>48</v>
          </cell>
          <cell r="F734">
            <v>44</v>
          </cell>
          <cell r="G734">
            <v>4</v>
          </cell>
          <cell r="H734">
            <v>0</v>
          </cell>
          <cell r="I734">
            <v>0</v>
          </cell>
          <cell r="J734">
            <v>0</v>
          </cell>
          <cell r="K734">
            <v>4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21</v>
          </cell>
          <cell r="Q734">
            <v>0</v>
          </cell>
          <cell r="R734">
            <v>21</v>
          </cell>
          <cell r="S734">
            <v>48</v>
          </cell>
          <cell r="T734">
            <v>21</v>
          </cell>
        </row>
        <row r="735">
          <cell r="C735" t="str">
            <v>Port Angeles East CDP, Washington</v>
          </cell>
          <cell r="D735">
            <v>11</v>
          </cell>
          <cell r="E735">
            <v>6</v>
          </cell>
          <cell r="F735">
            <v>0</v>
          </cell>
          <cell r="G735">
            <v>6</v>
          </cell>
          <cell r="H735">
            <v>0</v>
          </cell>
          <cell r="I735">
            <v>6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5</v>
          </cell>
          <cell r="Q735">
            <v>5</v>
          </cell>
          <cell r="R735">
            <v>0</v>
          </cell>
          <cell r="S735">
            <v>6</v>
          </cell>
          <cell r="T735">
            <v>5</v>
          </cell>
        </row>
        <row r="736">
          <cell r="C736" t="str">
            <v>Port Hadlock-Irondale CDP, Washington</v>
          </cell>
          <cell r="D736">
            <v>19</v>
          </cell>
          <cell r="E736">
            <v>19</v>
          </cell>
          <cell r="F736">
            <v>8</v>
          </cell>
          <cell r="G736">
            <v>11</v>
          </cell>
          <cell r="H736">
            <v>0</v>
          </cell>
          <cell r="I736">
            <v>0</v>
          </cell>
          <cell r="J736">
            <v>5</v>
          </cell>
          <cell r="K736">
            <v>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19</v>
          </cell>
          <cell r="T736">
            <v>0</v>
          </cell>
        </row>
        <row r="737">
          <cell r="C737" t="str">
            <v>Port Ludlow CDP, Washington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</row>
        <row r="738">
          <cell r="C738" t="str">
            <v>Port Orchard city, Washington</v>
          </cell>
          <cell r="D738">
            <v>82</v>
          </cell>
          <cell r="E738">
            <v>68</v>
          </cell>
          <cell r="F738">
            <v>40</v>
          </cell>
          <cell r="G738">
            <v>28</v>
          </cell>
          <cell r="H738">
            <v>0</v>
          </cell>
          <cell r="I738">
            <v>0</v>
          </cell>
          <cell r="J738">
            <v>0</v>
          </cell>
          <cell r="K738">
            <v>28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14</v>
          </cell>
          <cell r="Q738">
            <v>0</v>
          </cell>
          <cell r="R738">
            <v>14</v>
          </cell>
          <cell r="S738">
            <v>68</v>
          </cell>
          <cell r="T738">
            <v>14</v>
          </cell>
        </row>
        <row r="739">
          <cell r="C739" t="str">
            <v>Port Townsend city, Washington</v>
          </cell>
          <cell r="D739">
            <v>28</v>
          </cell>
          <cell r="E739">
            <v>13</v>
          </cell>
          <cell r="F739">
            <v>5</v>
          </cell>
          <cell r="G739">
            <v>8</v>
          </cell>
          <cell r="H739">
            <v>0</v>
          </cell>
          <cell r="I739">
            <v>0</v>
          </cell>
          <cell r="J739">
            <v>5</v>
          </cell>
          <cell r="K739">
            <v>3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</v>
          </cell>
          <cell r="Q739">
            <v>15</v>
          </cell>
          <cell r="R739">
            <v>0</v>
          </cell>
          <cell r="S739">
            <v>13</v>
          </cell>
          <cell r="T739">
            <v>15</v>
          </cell>
        </row>
        <row r="740">
          <cell r="C740" t="str">
            <v>Poulsbo city, Washington</v>
          </cell>
          <cell r="D740">
            <v>127</v>
          </cell>
          <cell r="E740">
            <v>71</v>
          </cell>
          <cell r="F740">
            <v>33</v>
          </cell>
          <cell r="G740">
            <v>28</v>
          </cell>
          <cell r="H740">
            <v>0</v>
          </cell>
          <cell r="I740">
            <v>0</v>
          </cell>
          <cell r="J740">
            <v>10</v>
          </cell>
          <cell r="K740">
            <v>18</v>
          </cell>
          <cell r="L740">
            <v>10</v>
          </cell>
          <cell r="M740">
            <v>0</v>
          </cell>
          <cell r="N740">
            <v>0</v>
          </cell>
          <cell r="O740">
            <v>10</v>
          </cell>
          <cell r="P740">
            <v>56</v>
          </cell>
          <cell r="Q740">
            <v>0</v>
          </cell>
          <cell r="R740">
            <v>56</v>
          </cell>
          <cell r="S740">
            <v>61</v>
          </cell>
          <cell r="T740">
            <v>66</v>
          </cell>
        </row>
        <row r="741">
          <cell r="C741" t="str">
            <v>Prairie Ridge CDP, Washington</v>
          </cell>
          <cell r="D741">
            <v>107</v>
          </cell>
          <cell r="E741">
            <v>81</v>
          </cell>
          <cell r="F741">
            <v>49</v>
          </cell>
          <cell r="G741">
            <v>32</v>
          </cell>
          <cell r="H741">
            <v>0</v>
          </cell>
          <cell r="I741">
            <v>7</v>
          </cell>
          <cell r="J741">
            <v>0</v>
          </cell>
          <cell r="K741">
            <v>25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26</v>
          </cell>
          <cell r="Q741">
            <v>0</v>
          </cell>
          <cell r="R741">
            <v>26</v>
          </cell>
          <cell r="S741">
            <v>81</v>
          </cell>
          <cell r="T741">
            <v>26</v>
          </cell>
        </row>
        <row r="742">
          <cell r="C742" t="str">
            <v>Prescott town, Washington</v>
          </cell>
          <cell r="D742">
            <v>12</v>
          </cell>
          <cell r="E742">
            <v>12</v>
          </cell>
          <cell r="F742">
            <v>7</v>
          </cell>
          <cell r="G742">
            <v>5</v>
          </cell>
          <cell r="H742">
            <v>0</v>
          </cell>
          <cell r="I742">
            <v>0</v>
          </cell>
          <cell r="J742">
            <v>2</v>
          </cell>
          <cell r="K742">
            <v>3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12</v>
          </cell>
          <cell r="T742">
            <v>0</v>
          </cell>
        </row>
        <row r="743">
          <cell r="C743" t="str">
            <v>Priest Point CDP, Washington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</row>
        <row r="744">
          <cell r="C744" t="str">
            <v>Prosser city, Washington</v>
          </cell>
          <cell r="D744">
            <v>779</v>
          </cell>
          <cell r="E744">
            <v>501</v>
          </cell>
          <cell r="F744">
            <v>437</v>
          </cell>
          <cell r="G744">
            <v>64</v>
          </cell>
          <cell r="H744">
            <v>0</v>
          </cell>
          <cell r="I744">
            <v>0</v>
          </cell>
          <cell r="J744">
            <v>46</v>
          </cell>
          <cell r="K744">
            <v>18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278</v>
          </cell>
          <cell r="Q744">
            <v>126</v>
          </cell>
          <cell r="R744">
            <v>152</v>
          </cell>
          <cell r="S744">
            <v>501</v>
          </cell>
          <cell r="T744">
            <v>278</v>
          </cell>
        </row>
        <row r="745">
          <cell r="C745" t="str">
            <v>Pullman city, Washington</v>
          </cell>
          <cell r="D745">
            <v>336</v>
          </cell>
          <cell r="E745">
            <v>242</v>
          </cell>
          <cell r="F745">
            <v>66</v>
          </cell>
          <cell r="G745">
            <v>145</v>
          </cell>
          <cell r="H745">
            <v>15</v>
          </cell>
          <cell r="I745">
            <v>19</v>
          </cell>
          <cell r="J745">
            <v>11</v>
          </cell>
          <cell r="K745">
            <v>100</v>
          </cell>
          <cell r="L745">
            <v>31</v>
          </cell>
          <cell r="M745">
            <v>31</v>
          </cell>
          <cell r="N745">
            <v>0</v>
          </cell>
          <cell r="O745">
            <v>0</v>
          </cell>
          <cell r="P745">
            <v>94</v>
          </cell>
          <cell r="Q745">
            <v>60</v>
          </cell>
          <cell r="R745">
            <v>34</v>
          </cell>
          <cell r="S745">
            <v>211</v>
          </cell>
          <cell r="T745">
            <v>125</v>
          </cell>
        </row>
        <row r="746">
          <cell r="C746" t="str">
            <v>Puyallup city, Washington</v>
          </cell>
          <cell r="D746">
            <v>622</v>
          </cell>
          <cell r="E746">
            <v>470</v>
          </cell>
          <cell r="F746">
            <v>185</v>
          </cell>
          <cell r="G746">
            <v>260</v>
          </cell>
          <cell r="H746">
            <v>46</v>
          </cell>
          <cell r="I746">
            <v>20</v>
          </cell>
          <cell r="J746">
            <v>19</v>
          </cell>
          <cell r="K746">
            <v>175</v>
          </cell>
          <cell r="L746">
            <v>25</v>
          </cell>
          <cell r="M746">
            <v>25</v>
          </cell>
          <cell r="N746">
            <v>0</v>
          </cell>
          <cell r="O746">
            <v>0</v>
          </cell>
          <cell r="P746">
            <v>152</v>
          </cell>
          <cell r="Q746">
            <v>42</v>
          </cell>
          <cell r="R746">
            <v>110</v>
          </cell>
          <cell r="S746">
            <v>445</v>
          </cell>
          <cell r="T746">
            <v>177</v>
          </cell>
        </row>
        <row r="747">
          <cell r="C747" t="str">
            <v>Quilcene CDP, Washington</v>
          </cell>
          <cell r="D747">
            <v>14</v>
          </cell>
          <cell r="E747">
            <v>7</v>
          </cell>
          <cell r="F747">
            <v>3</v>
          </cell>
          <cell r="G747">
            <v>4</v>
          </cell>
          <cell r="H747">
            <v>0</v>
          </cell>
          <cell r="I747">
            <v>0</v>
          </cell>
          <cell r="J747">
            <v>0</v>
          </cell>
          <cell r="K747">
            <v>4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7</v>
          </cell>
          <cell r="Q747">
            <v>0</v>
          </cell>
          <cell r="R747">
            <v>7</v>
          </cell>
          <cell r="S747">
            <v>7</v>
          </cell>
          <cell r="T747">
            <v>7</v>
          </cell>
        </row>
        <row r="748">
          <cell r="C748" t="str">
            <v>Quincy city, Washington</v>
          </cell>
          <cell r="D748">
            <v>1631</v>
          </cell>
          <cell r="E748">
            <v>711</v>
          </cell>
          <cell r="F748">
            <v>455</v>
          </cell>
          <cell r="G748">
            <v>256</v>
          </cell>
          <cell r="H748">
            <v>0</v>
          </cell>
          <cell r="I748">
            <v>0</v>
          </cell>
          <cell r="J748">
            <v>77</v>
          </cell>
          <cell r="K748">
            <v>179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920</v>
          </cell>
          <cell r="Q748">
            <v>86</v>
          </cell>
          <cell r="R748">
            <v>834</v>
          </cell>
          <cell r="S748">
            <v>711</v>
          </cell>
          <cell r="T748">
            <v>920</v>
          </cell>
        </row>
        <row r="749">
          <cell r="C749" t="str">
            <v>Rainier town, Washington</v>
          </cell>
          <cell r="D749">
            <v>8</v>
          </cell>
          <cell r="E749">
            <v>8</v>
          </cell>
          <cell r="F749">
            <v>3</v>
          </cell>
          <cell r="G749">
            <v>5</v>
          </cell>
          <cell r="H749">
            <v>0</v>
          </cell>
          <cell r="I749">
            <v>0</v>
          </cell>
          <cell r="J749">
            <v>0</v>
          </cell>
          <cell r="K749">
            <v>5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8</v>
          </cell>
          <cell r="T749">
            <v>0</v>
          </cell>
        </row>
        <row r="750">
          <cell r="C750" t="str">
            <v>Ravensdale CDP, Washington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</row>
        <row r="751">
          <cell r="C751" t="str">
            <v>Raymond city, Washington</v>
          </cell>
          <cell r="D751">
            <v>111</v>
          </cell>
          <cell r="E751">
            <v>27</v>
          </cell>
          <cell r="F751">
            <v>27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84</v>
          </cell>
          <cell r="Q751">
            <v>13</v>
          </cell>
          <cell r="R751">
            <v>71</v>
          </cell>
          <cell r="S751">
            <v>27</v>
          </cell>
          <cell r="T751">
            <v>84</v>
          </cell>
        </row>
        <row r="752">
          <cell r="C752" t="str">
            <v>Reardan town, Washington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</row>
        <row r="753">
          <cell r="C753" t="str">
            <v>Redmond city, Washington</v>
          </cell>
          <cell r="D753">
            <v>988</v>
          </cell>
          <cell r="E753">
            <v>369</v>
          </cell>
          <cell r="F753">
            <v>151</v>
          </cell>
          <cell r="G753">
            <v>189</v>
          </cell>
          <cell r="H753">
            <v>0</v>
          </cell>
          <cell r="I753">
            <v>30</v>
          </cell>
          <cell r="J753">
            <v>29</v>
          </cell>
          <cell r="K753">
            <v>130</v>
          </cell>
          <cell r="L753">
            <v>29</v>
          </cell>
          <cell r="M753">
            <v>15</v>
          </cell>
          <cell r="N753">
            <v>0</v>
          </cell>
          <cell r="O753">
            <v>14</v>
          </cell>
          <cell r="P753">
            <v>619</v>
          </cell>
          <cell r="Q753">
            <v>60</v>
          </cell>
          <cell r="R753">
            <v>559</v>
          </cell>
          <cell r="S753">
            <v>340</v>
          </cell>
          <cell r="T753">
            <v>648</v>
          </cell>
        </row>
        <row r="754">
          <cell r="C754" t="str">
            <v>Renton city, Washington</v>
          </cell>
          <cell r="D754">
            <v>2041</v>
          </cell>
          <cell r="E754">
            <v>880</v>
          </cell>
          <cell r="F754">
            <v>495</v>
          </cell>
          <cell r="G754">
            <v>385</v>
          </cell>
          <cell r="H754">
            <v>9</v>
          </cell>
          <cell r="I754">
            <v>40</v>
          </cell>
          <cell r="J754">
            <v>85</v>
          </cell>
          <cell r="K754">
            <v>251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1161</v>
          </cell>
          <cell r="Q754">
            <v>117</v>
          </cell>
          <cell r="R754">
            <v>1044</v>
          </cell>
          <cell r="S754">
            <v>880</v>
          </cell>
          <cell r="T754">
            <v>1161</v>
          </cell>
        </row>
        <row r="755">
          <cell r="C755" t="str">
            <v>Republic city, Washington</v>
          </cell>
          <cell r="D755">
            <v>3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3</v>
          </cell>
          <cell r="Q755">
            <v>0</v>
          </cell>
          <cell r="R755">
            <v>3</v>
          </cell>
          <cell r="S755">
            <v>0</v>
          </cell>
          <cell r="T755">
            <v>3</v>
          </cell>
        </row>
        <row r="756">
          <cell r="C756" t="str">
            <v>Richland city, Washington</v>
          </cell>
          <cell r="D756">
            <v>786</v>
          </cell>
          <cell r="E756">
            <v>574</v>
          </cell>
          <cell r="F756">
            <v>392</v>
          </cell>
          <cell r="G756">
            <v>171</v>
          </cell>
          <cell r="H756">
            <v>0</v>
          </cell>
          <cell r="I756">
            <v>7</v>
          </cell>
          <cell r="J756">
            <v>29</v>
          </cell>
          <cell r="K756">
            <v>135</v>
          </cell>
          <cell r="L756">
            <v>11</v>
          </cell>
          <cell r="M756">
            <v>5</v>
          </cell>
          <cell r="N756">
            <v>0</v>
          </cell>
          <cell r="O756">
            <v>6</v>
          </cell>
          <cell r="P756">
            <v>212</v>
          </cell>
          <cell r="Q756">
            <v>120</v>
          </cell>
          <cell r="R756">
            <v>92</v>
          </cell>
          <cell r="S756">
            <v>563</v>
          </cell>
          <cell r="T756">
            <v>223</v>
          </cell>
        </row>
        <row r="757">
          <cell r="C757" t="str">
            <v>Ridgefield city, Washington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</row>
        <row r="758">
          <cell r="C758" t="str">
            <v>Ritzville city, Washington</v>
          </cell>
          <cell r="D758">
            <v>21</v>
          </cell>
          <cell r="E758">
            <v>17</v>
          </cell>
          <cell r="F758">
            <v>9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8</v>
          </cell>
          <cell r="M758">
            <v>8</v>
          </cell>
          <cell r="N758">
            <v>0</v>
          </cell>
          <cell r="O758">
            <v>0</v>
          </cell>
          <cell r="P758">
            <v>4</v>
          </cell>
          <cell r="Q758">
            <v>0</v>
          </cell>
          <cell r="R758">
            <v>4</v>
          </cell>
          <cell r="S758">
            <v>9</v>
          </cell>
          <cell r="T758">
            <v>12</v>
          </cell>
        </row>
        <row r="759">
          <cell r="C759" t="str">
            <v>Riverbend CDP, Washington</v>
          </cell>
          <cell r="D759">
            <v>15</v>
          </cell>
          <cell r="E759">
            <v>15</v>
          </cell>
          <cell r="F759">
            <v>15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15</v>
          </cell>
          <cell r="T759">
            <v>0</v>
          </cell>
        </row>
        <row r="760">
          <cell r="C760" t="str">
            <v>River Road CDP, Washington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</row>
        <row r="761">
          <cell r="C761" t="str">
            <v>Riverside town, Washington</v>
          </cell>
          <cell r="D761">
            <v>10</v>
          </cell>
          <cell r="E761">
            <v>9</v>
          </cell>
          <cell r="F761">
            <v>7</v>
          </cell>
          <cell r="G761">
            <v>2</v>
          </cell>
          <cell r="H761">
            <v>0</v>
          </cell>
          <cell r="I761">
            <v>0</v>
          </cell>
          <cell r="J761">
            <v>0</v>
          </cell>
          <cell r="K761">
            <v>2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1</v>
          </cell>
          <cell r="Q761">
            <v>1</v>
          </cell>
          <cell r="R761">
            <v>0</v>
          </cell>
          <cell r="S761">
            <v>9</v>
          </cell>
          <cell r="T761">
            <v>1</v>
          </cell>
        </row>
        <row r="762">
          <cell r="C762" t="str">
            <v>Riverton-Boulevard Park CDP, Washington</v>
          </cell>
          <cell r="D762">
            <v>1197</v>
          </cell>
          <cell r="E762">
            <v>595</v>
          </cell>
          <cell r="F762">
            <v>452</v>
          </cell>
          <cell r="G762">
            <v>143</v>
          </cell>
          <cell r="H762">
            <v>0</v>
          </cell>
          <cell r="I762">
            <v>0</v>
          </cell>
          <cell r="J762">
            <v>33</v>
          </cell>
          <cell r="K762">
            <v>110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602</v>
          </cell>
          <cell r="Q762">
            <v>43</v>
          </cell>
          <cell r="R762">
            <v>559</v>
          </cell>
          <cell r="S762">
            <v>595</v>
          </cell>
          <cell r="T762">
            <v>602</v>
          </cell>
        </row>
        <row r="763">
          <cell r="C763" t="str">
            <v>Rochester CDP, Washington</v>
          </cell>
          <cell r="D763">
            <v>176</v>
          </cell>
          <cell r="E763">
            <v>78</v>
          </cell>
          <cell r="F763">
            <v>73</v>
          </cell>
          <cell r="G763">
            <v>5</v>
          </cell>
          <cell r="H763">
            <v>0</v>
          </cell>
          <cell r="I763">
            <v>0</v>
          </cell>
          <cell r="J763">
            <v>0</v>
          </cell>
          <cell r="K763">
            <v>5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98</v>
          </cell>
          <cell r="Q763">
            <v>0</v>
          </cell>
          <cell r="R763">
            <v>98</v>
          </cell>
          <cell r="S763">
            <v>78</v>
          </cell>
          <cell r="T763">
            <v>98</v>
          </cell>
        </row>
        <row r="764">
          <cell r="C764" t="str">
            <v>Rockford town, Washington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</row>
        <row r="765">
          <cell r="C765" t="str">
            <v>Rock Island city, Washington</v>
          </cell>
          <cell r="D765">
            <v>213</v>
          </cell>
          <cell r="E765">
            <v>101</v>
          </cell>
          <cell r="F765">
            <v>91</v>
          </cell>
          <cell r="G765">
            <v>10</v>
          </cell>
          <cell r="H765">
            <v>0</v>
          </cell>
          <cell r="I765">
            <v>2</v>
          </cell>
          <cell r="J765">
            <v>0</v>
          </cell>
          <cell r="K765">
            <v>8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112</v>
          </cell>
          <cell r="Q765">
            <v>46</v>
          </cell>
          <cell r="R765">
            <v>66</v>
          </cell>
          <cell r="S765">
            <v>101</v>
          </cell>
          <cell r="T765">
            <v>112</v>
          </cell>
        </row>
        <row r="766">
          <cell r="C766" t="str">
            <v>Rockport CDP, Washington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</row>
        <row r="767">
          <cell r="C767" t="str">
            <v>Ronald CDP, Washington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</row>
        <row r="768">
          <cell r="C768" t="str">
            <v>Roosevelt CDP, Washington</v>
          </cell>
          <cell r="D768">
            <v>27</v>
          </cell>
          <cell r="E768">
            <v>8</v>
          </cell>
          <cell r="F768">
            <v>8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19</v>
          </cell>
          <cell r="Q768">
            <v>0</v>
          </cell>
          <cell r="R768">
            <v>19</v>
          </cell>
          <cell r="S768">
            <v>8</v>
          </cell>
          <cell r="T768">
            <v>19</v>
          </cell>
        </row>
        <row r="769">
          <cell r="C769" t="str">
            <v>Rosalia town, Washington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</row>
        <row r="770">
          <cell r="C770" t="str">
            <v>Roslyn city, Washington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</row>
        <row r="771">
          <cell r="C771" t="str">
            <v>Roy city, Washington</v>
          </cell>
          <cell r="D771">
            <v>10</v>
          </cell>
          <cell r="E771">
            <v>10</v>
          </cell>
          <cell r="F771">
            <v>6</v>
          </cell>
          <cell r="G771">
            <v>4</v>
          </cell>
          <cell r="H771">
            <v>0</v>
          </cell>
          <cell r="I771">
            <v>0</v>
          </cell>
          <cell r="J771">
            <v>4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10</v>
          </cell>
          <cell r="T771">
            <v>0</v>
          </cell>
        </row>
        <row r="772">
          <cell r="C772" t="str">
            <v>Royal City city, Washington</v>
          </cell>
          <cell r="D772">
            <v>552</v>
          </cell>
          <cell r="E772">
            <v>226</v>
          </cell>
          <cell r="F772">
            <v>173</v>
          </cell>
          <cell r="G772">
            <v>49</v>
          </cell>
          <cell r="H772">
            <v>0</v>
          </cell>
          <cell r="I772">
            <v>0</v>
          </cell>
          <cell r="J772">
            <v>20</v>
          </cell>
          <cell r="K772">
            <v>29</v>
          </cell>
          <cell r="L772">
            <v>4</v>
          </cell>
          <cell r="M772">
            <v>0</v>
          </cell>
          <cell r="N772">
            <v>0</v>
          </cell>
          <cell r="O772">
            <v>4</v>
          </cell>
          <cell r="P772">
            <v>326</v>
          </cell>
          <cell r="Q772">
            <v>58</v>
          </cell>
          <cell r="R772">
            <v>268</v>
          </cell>
          <cell r="S772">
            <v>222</v>
          </cell>
          <cell r="T772">
            <v>330</v>
          </cell>
        </row>
        <row r="773">
          <cell r="C773" t="str">
            <v>Ruston town, Washington</v>
          </cell>
          <cell r="D773">
            <v>5</v>
          </cell>
          <cell r="E773">
            <v>5</v>
          </cell>
          <cell r="F773">
            <v>2</v>
          </cell>
          <cell r="G773">
            <v>3</v>
          </cell>
          <cell r="H773">
            <v>0</v>
          </cell>
          <cell r="I773">
            <v>0</v>
          </cell>
          <cell r="J773">
            <v>0</v>
          </cell>
          <cell r="K773">
            <v>3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5</v>
          </cell>
          <cell r="T773">
            <v>0</v>
          </cell>
        </row>
        <row r="774">
          <cell r="C774" t="str">
            <v>St. John town, Washington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</row>
        <row r="775">
          <cell r="C775" t="str">
            <v>Salmon Creek CDP, Washington</v>
          </cell>
          <cell r="D775">
            <v>102</v>
          </cell>
          <cell r="E775">
            <v>76</v>
          </cell>
          <cell r="F775">
            <v>0</v>
          </cell>
          <cell r="G775">
            <v>68</v>
          </cell>
          <cell r="H775">
            <v>0</v>
          </cell>
          <cell r="I775">
            <v>26</v>
          </cell>
          <cell r="J775">
            <v>0</v>
          </cell>
          <cell r="K775">
            <v>42</v>
          </cell>
          <cell r="L775">
            <v>8</v>
          </cell>
          <cell r="M775">
            <v>0</v>
          </cell>
          <cell r="N775">
            <v>0</v>
          </cell>
          <cell r="O775">
            <v>8</v>
          </cell>
          <cell r="P775">
            <v>26</v>
          </cell>
          <cell r="Q775">
            <v>26</v>
          </cell>
          <cell r="R775">
            <v>0</v>
          </cell>
          <cell r="S775">
            <v>68</v>
          </cell>
          <cell r="T775">
            <v>34</v>
          </cell>
        </row>
        <row r="776">
          <cell r="C776" t="str">
            <v>Sammamish city, Washington</v>
          </cell>
          <cell r="D776">
            <v>255</v>
          </cell>
          <cell r="E776">
            <v>203</v>
          </cell>
          <cell r="F776">
            <v>49</v>
          </cell>
          <cell r="G776">
            <v>149</v>
          </cell>
          <cell r="H776">
            <v>22</v>
          </cell>
          <cell r="I776">
            <v>0</v>
          </cell>
          <cell r="J776">
            <v>26</v>
          </cell>
          <cell r="K776">
            <v>101</v>
          </cell>
          <cell r="L776">
            <v>5</v>
          </cell>
          <cell r="M776">
            <v>5</v>
          </cell>
          <cell r="N776">
            <v>0</v>
          </cell>
          <cell r="O776">
            <v>0</v>
          </cell>
          <cell r="P776">
            <v>52</v>
          </cell>
          <cell r="Q776">
            <v>19</v>
          </cell>
          <cell r="R776">
            <v>33</v>
          </cell>
          <cell r="S776">
            <v>198</v>
          </cell>
          <cell r="T776">
            <v>57</v>
          </cell>
        </row>
        <row r="777">
          <cell r="C777" t="str">
            <v>Satsop CDP, Washington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</row>
        <row r="778">
          <cell r="C778" t="str">
            <v>Satus CDP, Washington</v>
          </cell>
          <cell r="D778">
            <v>211</v>
          </cell>
          <cell r="E778">
            <v>138</v>
          </cell>
          <cell r="F778">
            <v>60</v>
          </cell>
          <cell r="G778">
            <v>78</v>
          </cell>
          <cell r="H778">
            <v>0</v>
          </cell>
          <cell r="I778">
            <v>15</v>
          </cell>
          <cell r="J778">
            <v>55</v>
          </cell>
          <cell r="K778">
            <v>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73</v>
          </cell>
          <cell r="Q778">
            <v>26</v>
          </cell>
          <cell r="R778">
            <v>47</v>
          </cell>
          <cell r="S778">
            <v>138</v>
          </cell>
          <cell r="T778">
            <v>73</v>
          </cell>
        </row>
        <row r="779">
          <cell r="C779" t="str">
            <v>SeaTac city, Washington</v>
          </cell>
          <cell r="D779">
            <v>1725</v>
          </cell>
          <cell r="E779">
            <v>658</v>
          </cell>
          <cell r="F779">
            <v>316</v>
          </cell>
          <cell r="G779">
            <v>328</v>
          </cell>
          <cell r="H779">
            <v>15</v>
          </cell>
          <cell r="I779">
            <v>36</v>
          </cell>
          <cell r="J779">
            <v>17</v>
          </cell>
          <cell r="K779">
            <v>260</v>
          </cell>
          <cell r="L779">
            <v>14</v>
          </cell>
          <cell r="M779">
            <v>6</v>
          </cell>
          <cell r="N779">
            <v>0</v>
          </cell>
          <cell r="O779">
            <v>8</v>
          </cell>
          <cell r="P779">
            <v>1067</v>
          </cell>
          <cell r="Q779">
            <v>103</v>
          </cell>
          <cell r="R779">
            <v>964</v>
          </cell>
          <cell r="S779">
            <v>644</v>
          </cell>
          <cell r="T779">
            <v>1081</v>
          </cell>
        </row>
        <row r="780">
          <cell r="C780" t="str">
            <v>Seattle city, Washington</v>
          </cell>
          <cell r="D780">
            <v>12996</v>
          </cell>
          <cell r="E780">
            <v>6989</v>
          </cell>
          <cell r="F780">
            <v>3170</v>
          </cell>
          <cell r="G780">
            <v>3578</v>
          </cell>
          <cell r="H780">
            <v>291</v>
          </cell>
          <cell r="I780">
            <v>327</v>
          </cell>
          <cell r="J780">
            <v>869</v>
          </cell>
          <cell r="K780">
            <v>2091</v>
          </cell>
          <cell r="L780">
            <v>241</v>
          </cell>
          <cell r="M780">
            <v>127</v>
          </cell>
          <cell r="N780">
            <v>0</v>
          </cell>
          <cell r="O780">
            <v>114</v>
          </cell>
          <cell r="P780">
            <v>6007</v>
          </cell>
          <cell r="Q780">
            <v>1484</v>
          </cell>
          <cell r="R780">
            <v>4523</v>
          </cell>
          <cell r="S780">
            <v>6748</v>
          </cell>
          <cell r="T780">
            <v>6248</v>
          </cell>
        </row>
        <row r="781">
          <cell r="C781" t="str">
            <v>Seattle Hill-Silver Firs CDP, Washington</v>
          </cell>
          <cell r="D781">
            <v>417</v>
          </cell>
          <cell r="E781">
            <v>288</v>
          </cell>
          <cell r="F781">
            <v>146</v>
          </cell>
          <cell r="G781">
            <v>130</v>
          </cell>
          <cell r="H781">
            <v>0</v>
          </cell>
          <cell r="I781">
            <v>20</v>
          </cell>
          <cell r="J781">
            <v>25</v>
          </cell>
          <cell r="K781">
            <v>85</v>
          </cell>
          <cell r="L781">
            <v>12</v>
          </cell>
          <cell r="M781">
            <v>0</v>
          </cell>
          <cell r="N781">
            <v>0</v>
          </cell>
          <cell r="O781">
            <v>12</v>
          </cell>
          <cell r="P781">
            <v>129</v>
          </cell>
          <cell r="Q781">
            <v>61</v>
          </cell>
          <cell r="R781">
            <v>68</v>
          </cell>
          <cell r="S781">
            <v>276</v>
          </cell>
          <cell r="T781">
            <v>141</v>
          </cell>
        </row>
        <row r="782">
          <cell r="C782" t="str">
            <v>Sedro-Woolley city, Washington</v>
          </cell>
          <cell r="D782">
            <v>252</v>
          </cell>
          <cell r="E782">
            <v>114</v>
          </cell>
          <cell r="F782">
            <v>82</v>
          </cell>
          <cell r="G782">
            <v>15</v>
          </cell>
          <cell r="H782">
            <v>0</v>
          </cell>
          <cell r="I782">
            <v>0</v>
          </cell>
          <cell r="J782">
            <v>5</v>
          </cell>
          <cell r="K782">
            <v>10</v>
          </cell>
          <cell r="L782">
            <v>17</v>
          </cell>
          <cell r="M782">
            <v>11</v>
          </cell>
          <cell r="N782">
            <v>0</v>
          </cell>
          <cell r="O782">
            <v>6</v>
          </cell>
          <cell r="P782">
            <v>138</v>
          </cell>
          <cell r="Q782">
            <v>17</v>
          </cell>
          <cell r="R782">
            <v>121</v>
          </cell>
          <cell r="S782">
            <v>97</v>
          </cell>
          <cell r="T782">
            <v>155</v>
          </cell>
        </row>
        <row r="783">
          <cell r="C783" t="str">
            <v>Selah city, Washington</v>
          </cell>
          <cell r="D783">
            <v>397</v>
          </cell>
          <cell r="E783">
            <v>225</v>
          </cell>
          <cell r="F783">
            <v>123</v>
          </cell>
          <cell r="G783">
            <v>102</v>
          </cell>
          <cell r="H783">
            <v>0</v>
          </cell>
          <cell r="I783">
            <v>16</v>
          </cell>
          <cell r="J783">
            <v>11</v>
          </cell>
          <cell r="K783">
            <v>75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172</v>
          </cell>
          <cell r="Q783">
            <v>100</v>
          </cell>
          <cell r="R783">
            <v>72</v>
          </cell>
          <cell r="S783">
            <v>225</v>
          </cell>
          <cell r="T783">
            <v>172</v>
          </cell>
        </row>
        <row r="784">
          <cell r="C784" t="str">
            <v>Sequim city, Washington</v>
          </cell>
          <cell r="D784">
            <v>72</v>
          </cell>
          <cell r="E784">
            <v>41</v>
          </cell>
          <cell r="F784">
            <v>7</v>
          </cell>
          <cell r="G784">
            <v>34</v>
          </cell>
          <cell r="H784">
            <v>4</v>
          </cell>
          <cell r="I784">
            <v>0</v>
          </cell>
          <cell r="J784">
            <v>6</v>
          </cell>
          <cell r="K784">
            <v>24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31</v>
          </cell>
          <cell r="Q784">
            <v>0</v>
          </cell>
          <cell r="R784">
            <v>31</v>
          </cell>
          <cell r="S784">
            <v>41</v>
          </cell>
          <cell r="T784">
            <v>31</v>
          </cell>
        </row>
        <row r="785">
          <cell r="C785" t="str">
            <v>Shaker Church CDP, Washington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</row>
        <row r="786">
          <cell r="C786" t="str">
            <v>Shelton city, Washington</v>
          </cell>
          <cell r="D786">
            <v>514</v>
          </cell>
          <cell r="E786">
            <v>216</v>
          </cell>
          <cell r="F786">
            <v>89</v>
          </cell>
          <cell r="G786">
            <v>105</v>
          </cell>
          <cell r="H786">
            <v>0</v>
          </cell>
          <cell r="I786">
            <v>0</v>
          </cell>
          <cell r="J786">
            <v>13</v>
          </cell>
          <cell r="K786">
            <v>92</v>
          </cell>
          <cell r="L786">
            <v>22</v>
          </cell>
          <cell r="M786">
            <v>0</v>
          </cell>
          <cell r="N786">
            <v>0</v>
          </cell>
          <cell r="O786">
            <v>22</v>
          </cell>
          <cell r="P786">
            <v>298</v>
          </cell>
          <cell r="Q786">
            <v>28</v>
          </cell>
          <cell r="R786">
            <v>270</v>
          </cell>
          <cell r="S786">
            <v>194</v>
          </cell>
          <cell r="T786">
            <v>320</v>
          </cell>
        </row>
        <row r="787">
          <cell r="C787" t="str">
            <v>Shoreline city, Washington</v>
          </cell>
          <cell r="D787">
            <v>996</v>
          </cell>
          <cell r="E787">
            <v>457</v>
          </cell>
          <cell r="F787">
            <v>219</v>
          </cell>
          <cell r="G787">
            <v>238</v>
          </cell>
          <cell r="H787">
            <v>15</v>
          </cell>
          <cell r="I787">
            <v>34</v>
          </cell>
          <cell r="J787">
            <v>45</v>
          </cell>
          <cell r="K787">
            <v>144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539</v>
          </cell>
          <cell r="Q787">
            <v>116</v>
          </cell>
          <cell r="R787">
            <v>423</v>
          </cell>
          <cell r="S787">
            <v>457</v>
          </cell>
          <cell r="T787">
            <v>539</v>
          </cell>
        </row>
        <row r="788">
          <cell r="C788" t="str">
            <v>Silvana CDP, Washington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</row>
        <row r="789">
          <cell r="C789" t="str">
            <v>Silverdale CDP, Washington</v>
          </cell>
          <cell r="D789">
            <v>267</v>
          </cell>
          <cell r="E789">
            <v>214</v>
          </cell>
          <cell r="F789">
            <v>19</v>
          </cell>
          <cell r="G789">
            <v>167</v>
          </cell>
          <cell r="H789">
            <v>0</v>
          </cell>
          <cell r="I789">
            <v>41</v>
          </cell>
          <cell r="J789">
            <v>41</v>
          </cell>
          <cell r="K789">
            <v>85</v>
          </cell>
          <cell r="L789">
            <v>28</v>
          </cell>
          <cell r="M789">
            <v>0</v>
          </cell>
          <cell r="N789">
            <v>0</v>
          </cell>
          <cell r="O789">
            <v>28</v>
          </cell>
          <cell r="P789">
            <v>53</v>
          </cell>
          <cell r="Q789">
            <v>18</v>
          </cell>
          <cell r="R789">
            <v>35</v>
          </cell>
          <cell r="S789">
            <v>186</v>
          </cell>
          <cell r="T789">
            <v>81</v>
          </cell>
        </row>
        <row r="790">
          <cell r="C790" t="str">
            <v>Skokomish CDP, Washington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</row>
        <row r="791">
          <cell r="C791" t="str">
            <v>Skykomish town, Washington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</row>
        <row r="792">
          <cell r="C792" t="str">
            <v>Smokey Point CDP, Washington</v>
          </cell>
          <cell r="D792">
            <v>37</v>
          </cell>
          <cell r="E792">
            <v>23</v>
          </cell>
          <cell r="F792">
            <v>11</v>
          </cell>
          <cell r="G792">
            <v>12</v>
          </cell>
          <cell r="H792">
            <v>0</v>
          </cell>
          <cell r="I792">
            <v>0</v>
          </cell>
          <cell r="J792">
            <v>0</v>
          </cell>
          <cell r="K792">
            <v>12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14</v>
          </cell>
          <cell r="Q792">
            <v>14</v>
          </cell>
          <cell r="R792">
            <v>0</v>
          </cell>
          <cell r="S792">
            <v>23</v>
          </cell>
          <cell r="T792">
            <v>14</v>
          </cell>
        </row>
        <row r="793">
          <cell r="C793" t="str">
            <v>Snohomish city, Washington</v>
          </cell>
          <cell r="D793">
            <v>112</v>
          </cell>
          <cell r="E793">
            <v>74</v>
          </cell>
          <cell r="F793">
            <v>54</v>
          </cell>
          <cell r="G793">
            <v>20</v>
          </cell>
          <cell r="H793">
            <v>0</v>
          </cell>
          <cell r="I793">
            <v>0</v>
          </cell>
          <cell r="J793">
            <v>9</v>
          </cell>
          <cell r="K793">
            <v>11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38</v>
          </cell>
          <cell r="Q793">
            <v>4</v>
          </cell>
          <cell r="R793">
            <v>34</v>
          </cell>
          <cell r="S793">
            <v>74</v>
          </cell>
          <cell r="T793">
            <v>38</v>
          </cell>
        </row>
        <row r="794">
          <cell r="C794" t="str">
            <v>Snoqualmie city, Washington</v>
          </cell>
          <cell r="D794">
            <v>23</v>
          </cell>
          <cell r="E794">
            <v>6</v>
          </cell>
          <cell r="F794">
            <v>6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17</v>
          </cell>
          <cell r="Q794">
            <v>0</v>
          </cell>
          <cell r="R794">
            <v>17</v>
          </cell>
          <cell r="S794">
            <v>6</v>
          </cell>
          <cell r="T794">
            <v>17</v>
          </cell>
        </row>
        <row r="795">
          <cell r="C795" t="str">
            <v>Snoqualmie Pass CDP, Washington</v>
          </cell>
          <cell r="D795">
            <v>2</v>
          </cell>
          <cell r="E795">
            <v>2</v>
          </cell>
          <cell r="F795">
            <v>0</v>
          </cell>
          <cell r="G795">
            <v>2</v>
          </cell>
          <cell r="H795">
            <v>0</v>
          </cell>
          <cell r="I795">
            <v>0</v>
          </cell>
          <cell r="J795">
            <v>2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2</v>
          </cell>
          <cell r="T795">
            <v>0</v>
          </cell>
        </row>
        <row r="796">
          <cell r="C796" t="str">
            <v>Soap Lake city, Washington</v>
          </cell>
          <cell r="D796">
            <v>110</v>
          </cell>
          <cell r="E796">
            <v>61</v>
          </cell>
          <cell r="F796">
            <v>36</v>
          </cell>
          <cell r="G796">
            <v>25</v>
          </cell>
          <cell r="H796">
            <v>0</v>
          </cell>
          <cell r="I796">
            <v>0</v>
          </cell>
          <cell r="J796">
            <v>5</v>
          </cell>
          <cell r="K796">
            <v>20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49</v>
          </cell>
          <cell r="Q796">
            <v>0</v>
          </cell>
          <cell r="R796">
            <v>49</v>
          </cell>
          <cell r="S796">
            <v>61</v>
          </cell>
          <cell r="T796">
            <v>49</v>
          </cell>
        </row>
        <row r="797">
          <cell r="C797" t="str">
            <v>South Bend city, Washington</v>
          </cell>
          <cell r="D797">
            <v>68</v>
          </cell>
          <cell r="E797">
            <v>34</v>
          </cell>
          <cell r="F797">
            <v>9</v>
          </cell>
          <cell r="G797">
            <v>25</v>
          </cell>
          <cell r="H797">
            <v>0</v>
          </cell>
          <cell r="I797">
            <v>0</v>
          </cell>
          <cell r="J797">
            <v>0</v>
          </cell>
          <cell r="K797">
            <v>25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34</v>
          </cell>
          <cell r="Q797">
            <v>12</v>
          </cell>
          <cell r="R797">
            <v>22</v>
          </cell>
          <cell r="S797">
            <v>34</v>
          </cell>
          <cell r="T797">
            <v>34</v>
          </cell>
        </row>
        <row r="798">
          <cell r="C798" t="str">
            <v>South Cle Elum town, Washington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</row>
        <row r="799">
          <cell r="C799" t="str">
            <v>South Hill CDP, Washington</v>
          </cell>
          <cell r="D799">
            <v>493</v>
          </cell>
          <cell r="E799">
            <v>298</v>
          </cell>
          <cell r="F799">
            <v>140</v>
          </cell>
          <cell r="G799">
            <v>158</v>
          </cell>
          <cell r="H799">
            <v>13</v>
          </cell>
          <cell r="I799">
            <v>5</v>
          </cell>
          <cell r="J799">
            <v>47</v>
          </cell>
          <cell r="K799">
            <v>93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195</v>
          </cell>
          <cell r="Q799">
            <v>69</v>
          </cell>
          <cell r="R799">
            <v>126</v>
          </cell>
          <cell r="S799">
            <v>298</v>
          </cell>
          <cell r="T799">
            <v>195</v>
          </cell>
        </row>
        <row r="800">
          <cell r="C800" t="str">
            <v>South Prairie town, Washington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</row>
        <row r="801">
          <cell r="C801" t="str">
            <v>South Wenatchee CDP, Washington</v>
          </cell>
          <cell r="D801">
            <v>562</v>
          </cell>
          <cell r="E801">
            <v>220</v>
          </cell>
          <cell r="F801">
            <v>150</v>
          </cell>
          <cell r="G801">
            <v>45</v>
          </cell>
          <cell r="H801">
            <v>0</v>
          </cell>
          <cell r="I801">
            <v>0</v>
          </cell>
          <cell r="J801">
            <v>0</v>
          </cell>
          <cell r="K801">
            <v>45</v>
          </cell>
          <cell r="L801">
            <v>25</v>
          </cell>
          <cell r="M801">
            <v>0</v>
          </cell>
          <cell r="N801">
            <v>0</v>
          </cell>
          <cell r="O801">
            <v>25</v>
          </cell>
          <cell r="P801">
            <v>342</v>
          </cell>
          <cell r="Q801">
            <v>33</v>
          </cell>
          <cell r="R801">
            <v>309</v>
          </cell>
          <cell r="S801">
            <v>195</v>
          </cell>
          <cell r="T801">
            <v>367</v>
          </cell>
        </row>
        <row r="802">
          <cell r="C802" t="str">
            <v>Spanaway CDP, Washington</v>
          </cell>
          <cell r="D802">
            <v>552</v>
          </cell>
          <cell r="E802">
            <v>416</v>
          </cell>
          <cell r="F802">
            <v>146</v>
          </cell>
          <cell r="G802">
            <v>237</v>
          </cell>
          <cell r="H802">
            <v>26</v>
          </cell>
          <cell r="I802">
            <v>10</v>
          </cell>
          <cell r="J802">
            <v>63</v>
          </cell>
          <cell r="K802">
            <v>138</v>
          </cell>
          <cell r="L802">
            <v>33</v>
          </cell>
          <cell r="M802">
            <v>0</v>
          </cell>
          <cell r="N802">
            <v>0</v>
          </cell>
          <cell r="O802">
            <v>33</v>
          </cell>
          <cell r="P802">
            <v>136</v>
          </cell>
          <cell r="Q802">
            <v>16</v>
          </cell>
          <cell r="R802">
            <v>120</v>
          </cell>
          <cell r="S802">
            <v>383</v>
          </cell>
          <cell r="T802">
            <v>169</v>
          </cell>
        </row>
        <row r="803">
          <cell r="C803" t="str">
            <v>Spangle town, Washington</v>
          </cell>
          <cell r="D803">
            <v>3</v>
          </cell>
          <cell r="E803">
            <v>3</v>
          </cell>
          <cell r="F803">
            <v>3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3</v>
          </cell>
          <cell r="T803">
            <v>0</v>
          </cell>
        </row>
        <row r="804">
          <cell r="C804" t="str">
            <v>Spokane city, Washington</v>
          </cell>
          <cell r="D804">
            <v>1502</v>
          </cell>
          <cell r="E804">
            <v>1267</v>
          </cell>
          <cell r="F804">
            <v>553</v>
          </cell>
          <cell r="G804">
            <v>637</v>
          </cell>
          <cell r="H804">
            <v>48</v>
          </cell>
          <cell r="I804">
            <v>57</v>
          </cell>
          <cell r="J804">
            <v>106</v>
          </cell>
          <cell r="K804">
            <v>426</v>
          </cell>
          <cell r="L804">
            <v>77</v>
          </cell>
          <cell r="M804">
            <v>45</v>
          </cell>
          <cell r="N804">
            <v>23</v>
          </cell>
          <cell r="O804">
            <v>9</v>
          </cell>
          <cell r="P804">
            <v>235</v>
          </cell>
          <cell r="Q804">
            <v>98</v>
          </cell>
          <cell r="R804">
            <v>137</v>
          </cell>
          <cell r="S804">
            <v>1190</v>
          </cell>
          <cell r="T804">
            <v>312</v>
          </cell>
        </row>
        <row r="805">
          <cell r="C805" t="str">
            <v>Sprague city, Washington</v>
          </cell>
          <cell r="D805">
            <v>9</v>
          </cell>
          <cell r="E805">
            <v>4</v>
          </cell>
          <cell r="F805">
            <v>0</v>
          </cell>
          <cell r="G805">
            <v>4</v>
          </cell>
          <cell r="H805">
            <v>0</v>
          </cell>
          <cell r="I805">
            <v>0</v>
          </cell>
          <cell r="J805">
            <v>3</v>
          </cell>
          <cell r="K805">
            <v>1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5</v>
          </cell>
          <cell r="Q805">
            <v>1</v>
          </cell>
          <cell r="R805">
            <v>4</v>
          </cell>
          <cell r="S805">
            <v>4</v>
          </cell>
          <cell r="T805">
            <v>5</v>
          </cell>
        </row>
        <row r="806">
          <cell r="C806" t="str">
            <v>Springdale town, Washington</v>
          </cell>
          <cell r="D806">
            <v>2</v>
          </cell>
          <cell r="E806">
            <v>2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2</v>
          </cell>
          <cell r="M806">
            <v>0</v>
          </cell>
          <cell r="N806">
            <v>2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2</v>
          </cell>
        </row>
        <row r="807">
          <cell r="C807" t="str">
            <v>Stanwood city, Washington</v>
          </cell>
          <cell r="D807">
            <v>145</v>
          </cell>
          <cell r="E807">
            <v>91</v>
          </cell>
          <cell r="F807">
            <v>52</v>
          </cell>
          <cell r="G807">
            <v>39</v>
          </cell>
          <cell r="H807">
            <v>0</v>
          </cell>
          <cell r="I807">
            <v>0</v>
          </cell>
          <cell r="J807">
            <v>0</v>
          </cell>
          <cell r="K807">
            <v>39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54</v>
          </cell>
          <cell r="Q807">
            <v>9</v>
          </cell>
          <cell r="R807">
            <v>45</v>
          </cell>
          <cell r="S807">
            <v>91</v>
          </cell>
          <cell r="T807">
            <v>54</v>
          </cell>
        </row>
        <row r="808">
          <cell r="C808" t="str">
            <v>Starbuck town, Washington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</row>
        <row r="809">
          <cell r="C809" t="str">
            <v>Startup CDP, Washington</v>
          </cell>
          <cell r="D809">
            <v>3</v>
          </cell>
          <cell r="E809">
            <v>3</v>
          </cell>
          <cell r="F809">
            <v>3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3</v>
          </cell>
          <cell r="T809">
            <v>0</v>
          </cell>
        </row>
        <row r="810">
          <cell r="C810" t="str">
            <v>Steilacoom town, Washington</v>
          </cell>
          <cell r="D810">
            <v>146</v>
          </cell>
          <cell r="E810">
            <v>137</v>
          </cell>
          <cell r="F810">
            <v>23</v>
          </cell>
          <cell r="G810">
            <v>95</v>
          </cell>
          <cell r="H810">
            <v>0</v>
          </cell>
          <cell r="I810">
            <v>25</v>
          </cell>
          <cell r="J810">
            <v>43</v>
          </cell>
          <cell r="K810">
            <v>27</v>
          </cell>
          <cell r="L810">
            <v>19</v>
          </cell>
          <cell r="M810">
            <v>0</v>
          </cell>
          <cell r="N810">
            <v>0</v>
          </cell>
          <cell r="O810">
            <v>19</v>
          </cell>
          <cell r="P810">
            <v>9</v>
          </cell>
          <cell r="Q810">
            <v>0</v>
          </cell>
          <cell r="R810">
            <v>9</v>
          </cell>
          <cell r="S810">
            <v>118</v>
          </cell>
          <cell r="T810">
            <v>28</v>
          </cell>
        </row>
        <row r="811">
          <cell r="C811" t="str">
            <v>Stevenson city, Washington</v>
          </cell>
          <cell r="D811">
            <v>12</v>
          </cell>
          <cell r="E811">
            <v>12</v>
          </cell>
          <cell r="F811">
            <v>0</v>
          </cell>
          <cell r="G811">
            <v>12</v>
          </cell>
          <cell r="H811">
            <v>0</v>
          </cell>
          <cell r="I811">
            <v>0</v>
          </cell>
          <cell r="J811">
            <v>0</v>
          </cell>
          <cell r="K811">
            <v>12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12</v>
          </cell>
          <cell r="T811">
            <v>0</v>
          </cell>
        </row>
        <row r="812">
          <cell r="C812" t="str">
            <v>Stimson Crossing CDP, Washington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</row>
        <row r="813">
          <cell r="C813" t="str">
            <v>Sudden Valley CDP, Washington</v>
          </cell>
          <cell r="D813">
            <v>10</v>
          </cell>
          <cell r="E813">
            <v>10</v>
          </cell>
          <cell r="F813">
            <v>0</v>
          </cell>
          <cell r="G813">
            <v>10</v>
          </cell>
          <cell r="H813">
            <v>0</v>
          </cell>
          <cell r="I813">
            <v>10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10</v>
          </cell>
          <cell r="T813">
            <v>0</v>
          </cell>
        </row>
        <row r="814">
          <cell r="C814" t="str">
            <v>Sultan city, Washington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</row>
        <row r="815">
          <cell r="C815" t="str">
            <v>Sumas city, Washington</v>
          </cell>
          <cell r="D815">
            <v>32</v>
          </cell>
          <cell r="E815">
            <v>21</v>
          </cell>
          <cell r="F815">
            <v>10</v>
          </cell>
          <cell r="G815">
            <v>11</v>
          </cell>
          <cell r="H815">
            <v>0</v>
          </cell>
          <cell r="I815">
            <v>0</v>
          </cell>
          <cell r="J815">
            <v>2</v>
          </cell>
          <cell r="K815">
            <v>9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11</v>
          </cell>
          <cell r="Q815">
            <v>3</v>
          </cell>
          <cell r="R815">
            <v>8</v>
          </cell>
          <cell r="S815">
            <v>21</v>
          </cell>
          <cell r="T815">
            <v>11</v>
          </cell>
        </row>
        <row r="816">
          <cell r="C816" t="str">
            <v>Summit CDP, Washington</v>
          </cell>
          <cell r="D816">
            <v>96</v>
          </cell>
          <cell r="E816">
            <v>59</v>
          </cell>
          <cell r="F816">
            <v>35</v>
          </cell>
          <cell r="G816">
            <v>24</v>
          </cell>
          <cell r="H816">
            <v>0</v>
          </cell>
          <cell r="I816">
            <v>0</v>
          </cell>
          <cell r="J816">
            <v>10</v>
          </cell>
          <cell r="K816">
            <v>14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37</v>
          </cell>
          <cell r="Q816">
            <v>0</v>
          </cell>
          <cell r="R816">
            <v>37</v>
          </cell>
          <cell r="S816">
            <v>59</v>
          </cell>
          <cell r="T816">
            <v>37</v>
          </cell>
        </row>
        <row r="817">
          <cell r="C817" t="str">
            <v>Summitview CDP, Washington</v>
          </cell>
          <cell r="D817">
            <v>23</v>
          </cell>
          <cell r="E817">
            <v>12</v>
          </cell>
          <cell r="F817">
            <v>0</v>
          </cell>
          <cell r="G817">
            <v>12</v>
          </cell>
          <cell r="H817">
            <v>0</v>
          </cell>
          <cell r="I817">
            <v>0</v>
          </cell>
          <cell r="J817">
            <v>12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11</v>
          </cell>
          <cell r="Q817">
            <v>0</v>
          </cell>
          <cell r="R817">
            <v>11</v>
          </cell>
          <cell r="S817">
            <v>12</v>
          </cell>
          <cell r="T817">
            <v>11</v>
          </cell>
        </row>
        <row r="818">
          <cell r="C818" t="str">
            <v>Sumner city, Washington</v>
          </cell>
          <cell r="D818">
            <v>162</v>
          </cell>
          <cell r="E818">
            <v>52</v>
          </cell>
          <cell r="F818">
            <v>35</v>
          </cell>
          <cell r="G818">
            <v>17</v>
          </cell>
          <cell r="H818">
            <v>0</v>
          </cell>
          <cell r="I818">
            <v>0</v>
          </cell>
          <cell r="J818">
            <v>0</v>
          </cell>
          <cell r="K818">
            <v>17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110</v>
          </cell>
          <cell r="Q818">
            <v>5</v>
          </cell>
          <cell r="R818">
            <v>105</v>
          </cell>
          <cell r="S818">
            <v>52</v>
          </cell>
          <cell r="T818">
            <v>110</v>
          </cell>
        </row>
        <row r="819">
          <cell r="C819" t="str">
            <v>Sunnyside city, Washington</v>
          </cell>
          <cell r="D819">
            <v>7338</v>
          </cell>
          <cell r="E819">
            <v>3992</v>
          </cell>
          <cell r="F819">
            <v>3106</v>
          </cell>
          <cell r="G819">
            <v>825</v>
          </cell>
          <cell r="H819">
            <v>0</v>
          </cell>
          <cell r="I819">
            <v>28</v>
          </cell>
          <cell r="J819">
            <v>353</v>
          </cell>
          <cell r="K819">
            <v>444</v>
          </cell>
          <cell r="L819">
            <v>61</v>
          </cell>
          <cell r="M819">
            <v>41</v>
          </cell>
          <cell r="N819">
            <v>0</v>
          </cell>
          <cell r="O819">
            <v>20</v>
          </cell>
          <cell r="P819">
            <v>3346</v>
          </cell>
          <cell r="Q819">
            <v>576</v>
          </cell>
          <cell r="R819">
            <v>2770</v>
          </cell>
          <cell r="S819">
            <v>3931</v>
          </cell>
          <cell r="T819">
            <v>3407</v>
          </cell>
        </row>
        <row r="820">
          <cell r="C820" t="str">
            <v>Sunnyslope CDP, Washington</v>
          </cell>
          <cell r="D820">
            <v>145</v>
          </cell>
          <cell r="E820">
            <v>109</v>
          </cell>
          <cell r="F820">
            <v>76</v>
          </cell>
          <cell r="G820">
            <v>33</v>
          </cell>
          <cell r="H820">
            <v>0</v>
          </cell>
          <cell r="I820">
            <v>0</v>
          </cell>
          <cell r="J820">
            <v>7</v>
          </cell>
          <cell r="K820">
            <v>26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36</v>
          </cell>
          <cell r="Q820">
            <v>36</v>
          </cell>
          <cell r="R820">
            <v>0</v>
          </cell>
          <cell r="S820">
            <v>109</v>
          </cell>
          <cell r="T820">
            <v>36</v>
          </cell>
        </row>
        <row r="821">
          <cell r="C821" t="str">
            <v>Suquamish CDP, Washington</v>
          </cell>
          <cell r="D821">
            <v>50</v>
          </cell>
          <cell r="E821">
            <v>43</v>
          </cell>
          <cell r="F821">
            <v>13</v>
          </cell>
          <cell r="G821">
            <v>30</v>
          </cell>
          <cell r="H821">
            <v>0</v>
          </cell>
          <cell r="I821">
            <v>17</v>
          </cell>
          <cell r="J821">
            <v>2</v>
          </cell>
          <cell r="K821">
            <v>11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7</v>
          </cell>
          <cell r="Q821">
            <v>4</v>
          </cell>
          <cell r="R821">
            <v>3</v>
          </cell>
          <cell r="S821">
            <v>43</v>
          </cell>
          <cell r="T821">
            <v>7</v>
          </cell>
        </row>
        <row r="822">
          <cell r="C822" t="str">
            <v>Tacoma city, Washington</v>
          </cell>
          <cell r="D822">
            <v>5202</v>
          </cell>
          <cell r="E822">
            <v>2884</v>
          </cell>
          <cell r="F822">
            <v>1483</v>
          </cell>
          <cell r="G822">
            <v>1101</v>
          </cell>
          <cell r="H822">
            <v>137</v>
          </cell>
          <cell r="I822">
            <v>89</v>
          </cell>
          <cell r="J822">
            <v>252</v>
          </cell>
          <cell r="K822">
            <v>623</v>
          </cell>
          <cell r="L822">
            <v>300</v>
          </cell>
          <cell r="M822">
            <v>208</v>
          </cell>
          <cell r="N822">
            <v>6</v>
          </cell>
          <cell r="O822">
            <v>86</v>
          </cell>
          <cell r="P822">
            <v>2318</v>
          </cell>
          <cell r="Q822">
            <v>413</v>
          </cell>
          <cell r="R822">
            <v>1905</v>
          </cell>
          <cell r="S822">
            <v>2584</v>
          </cell>
          <cell r="T822">
            <v>2618</v>
          </cell>
        </row>
        <row r="823">
          <cell r="C823" t="str">
            <v>Taholah CDP, Washington</v>
          </cell>
          <cell r="D823">
            <v>2</v>
          </cell>
          <cell r="E823">
            <v>2</v>
          </cell>
          <cell r="F823">
            <v>0</v>
          </cell>
          <cell r="G823">
            <v>2</v>
          </cell>
          <cell r="H823">
            <v>0</v>
          </cell>
          <cell r="I823">
            <v>0</v>
          </cell>
          <cell r="J823">
            <v>0</v>
          </cell>
          <cell r="K823">
            <v>2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2</v>
          </cell>
          <cell r="T823">
            <v>0</v>
          </cell>
        </row>
        <row r="824">
          <cell r="C824" t="str">
            <v>Tanglewilde-Thompson Place CDP, Washington</v>
          </cell>
          <cell r="D824">
            <v>247</v>
          </cell>
          <cell r="E824">
            <v>196</v>
          </cell>
          <cell r="F824">
            <v>77</v>
          </cell>
          <cell r="G824">
            <v>90</v>
          </cell>
          <cell r="H824">
            <v>8</v>
          </cell>
          <cell r="I824">
            <v>0</v>
          </cell>
          <cell r="J824">
            <v>32</v>
          </cell>
          <cell r="K824">
            <v>50</v>
          </cell>
          <cell r="L824">
            <v>29</v>
          </cell>
          <cell r="M824">
            <v>11</v>
          </cell>
          <cell r="N824">
            <v>0</v>
          </cell>
          <cell r="O824">
            <v>18</v>
          </cell>
          <cell r="P824">
            <v>51</v>
          </cell>
          <cell r="Q824">
            <v>11</v>
          </cell>
          <cell r="R824">
            <v>40</v>
          </cell>
          <cell r="S824">
            <v>167</v>
          </cell>
          <cell r="T824">
            <v>80</v>
          </cell>
        </row>
        <row r="825">
          <cell r="C825" t="str">
            <v>Tanner CDP, Washington</v>
          </cell>
          <cell r="D825">
            <v>17</v>
          </cell>
          <cell r="E825">
            <v>9</v>
          </cell>
          <cell r="F825">
            <v>0</v>
          </cell>
          <cell r="G825">
            <v>9</v>
          </cell>
          <cell r="H825">
            <v>0</v>
          </cell>
          <cell r="I825">
            <v>9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8</v>
          </cell>
          <cell r="Q825">
            <v>0</v>
          </cell>
          <cell r="R825">
            <v>8</v>
          </cell>
          <cell r="S825">
            <v>9</v>
          </cell>
          <cell r="T825">
            <v>8</v>
          </cell>
        </row>
        <row r="826">
          <cell r="C826" t="str">
            <v>Tekoa city, Washington</v>
          </cell>
          <cell r="D826">
            <v>2</v>
          </cell>
          <cell r="E826">
            <v>2</v>
          </cell>
          <cell r="F826">
            <v>2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2</v>
          </cell>
          <cell r="T826">
            <v>0</v>
          </cell>
        </row>
        <row r="827">
          <cell r="C827" t="str">
            <v>Tenino city, Washington</v>
          </cell>
          <cell r="D827">
            <v>7</v>
          </cell>
          <cell r="E827">
            <v>6</v>
          </cell>
          <cell r="F827">
            <v>4</v>
          </cell>
          <cell r="G827">
            <v>1</v>
          </cell>
          <cell r="H827">
            <v>0</v>
          </cell>
          <cell r="I827">
            <v>0</v>
          </cell>
          <cell r="J827">
            <v>0</v>
          </cell>
          <cell r="K827">
            <v>1</v>
          </cell>
          <cell r="L827">
            <v>1</v>
          </cell>
          <cell r="M827">
            <v>0</v>
          </cell>
          <cell r="N827">
            <v>0</v>
          </cell>
          <cell r="O827">
            <v>1</v>
          </cell>
          <cell r="P827">
            <v>1</v>
          </cell>
          <cell r="Q827">
            <v>0</v>
          </cell>
          <cell r="R827">
            <v>1</v>
          </cell>
          <cell r="S827">
            <v>5</v>
          </cell>
          <cell r="T827">
            <v>2</v>
          </cell>
        </row>
        <row r="828">
          <cell r="C828" t="str">
            <v>Terrace Heights CDP, Washington</v>
          </cell>
          <cell r="D828">
            <v>336</v>
          </cell>
          <cell r="E828">
            <v>183</v>
          </cell>
          <cell r="F828">
            <v>124</v>
          </cell>
          <cell r="G828">
            <v>48</v>
          </cell>
          <cell r="H828">
            <v>7</v>
          </cell>
          <cell r="I828">
            <v>0</v>
          </cell>
          <cell r="J828">
            <v>24</v>
          </cell>
          <cell r="K828">
            <v>17</v>
          </cell>
          <cell r="L828">
            <v>11</v>
          </cell>
          <cell r="M828">
            <v>0</v>
          </cell>
          <cell r="N828">
            <v>0</v>
          </cell>
          <cell r="O828">
            <v>11</v>
          </cell>
          <cell r="P828">
            <v>153</v>
          </cell>
          <cell r="Q828">
            <v>60</v>
          </cell>
          <cell r="R828">
            <v>93</v>
          </cell>
          <cell r="S828">
            <v>172</v>
          </cell>
          <cell r="T828">
            <v>164</v>
          </cell>
        </row>
        <row r="829">
          <cell r="C829" t="str">
            <v>Thorp CDP, Washington</v>
          </cell>
          <cell r="D829">
            <v>8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8</v>
          </cell>
          <cell r="Q829">
            <v>0</v>
          </cell>
          <cell r="R829">
            <v>8</v>
          </cell>
          <cell r="S829">
            <v>0</v>
          </cell>
          <cell r="T829">
            <v>8</v>
          </cell>
        </row>
        <row r="830">
          <cell r="C830" t="str">
            <v>Three Lakes CDP, Washington</v>
          </cell>
          <cell r="D830">
            <v>8</v>
          </cell>
          <cell r="E830">
            <v>8</v>
          </cell>
          <cell r="F830">
            <v>8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8</v>
          </cell>
          <cell r="T830">
            <v>0</v>
          </cell>
        </row>
        <row r="831">
          <cell r="C831" t="str">
            <v>Tieton town, Washington</v>
          </cell>
          <cell r="D831">
            <v>456</v>
          </cell>
          <cell r="E831">
            <v>200</v>
          </cell>
          <cell r="F831">
            <v>121</v>
          </cell>
          <cell r="G831">
            <v>77</v>
          </cell>
          <cell r="H831">
            <v>0</v>
          </cell>
          <cell r="I831">
            <v>4</v>
          </cell>
          <cell r="J831">
            <v>0</v>
          </cell>
          <cell r="K831">
            <v>73</v>
          </cell>
          <cell r="L831">
            <v>2</v>
          </cell>
          <cell r="M831">
            <v>0</v>
          </cell>
          <cell r="N831">
            <v>0</v>
          </cell>
          <cell r="O831">
            <v>2</v>
          </cell>
          <cell r="P831">
            <v>256</v>
          </cell>
          <cell r="Q831">
            <v>40</v>
          </cell>
          <cell r="R831">
            <v>216</v>
          </cell>
          <cell r="S831">
            <v>198</v>
          </cell>
          <cell r="T831">
            <v>258</v>
          </cell>
        </row>
        <row r="832">
          <cell r="C832" t="str">
            <v>Tokeland CDP, Washington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</row>
        <row r="833">
          <cell r="C833" t="str">
            <v>Toledo city, Washington</v>
          </cell>
          <cell r="D833">
            <v>6</v>
          </cell>
          <cell r="E833">
            <v>4</v>
          </cell>
          <cell r="F833">
            <v>0</v>
          </cell>
          <cell r="G833">
            <v>2</v>
          </cell>
          <cell r="H833">
            <v>0</v>
          </cell>
          <cell r="I833">
            <v>0</v>
          </cell>
          <cell r="J833">
            <v>0</v>
          </cell>
          <cell r="K833">
            <v>2</v>
          </cell>
          <cell r="L833">
            <v>2</v>
          </cell>
          <cell r="M833">
            <v>0</v>
          </cell>
          <cell r="N833">
            <v>0</v>
          </cell>
          <cell r="O833">
            <v>2</v>
          </cell>
          <cell r="P833">
            <v>2</v>
          </cell>
          <cell r="Q833">
            <v>0</v>
          </cell>
          <cell r="R833">
            <v>2</v>
          </cell>
          <cell r="S833">
            <v>2</v>
          </cell>
          <cell r="T833">
            <v>4</v>
          </cell>
        </row>
        <row r="834">
          <cell r="C834" t="str">
            <v>Tonasket city, Washington</v>
          </cell>
          <cell r="D834">
            <v>59</v>
          </cell>
          <cell r="E834">
            <v>21</v>
          </cell>
          <cell r="F834">
            <v>17</v>
          </cell>
          <cell r="G834">
            <v>4</v>
          </cell>
          <cell r="H834">
            <v>0</v>
          </cell>
          <cell r="I834">
            <v>0</v>
          </cell>
          <cell r="J834">
            <v>0</v>
          </cell>
          <cell r="K834">
            <v>4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38</v>
          </cell>
          <cell r="Q834">
            <v>11</v>
          </cell>
          <cell r="R834">
            <v>27</v>
          </cell>
          <cell r="S834">
            <v>21</v>
          </cell>
          <cell r="T834">
            <v>38</v>
          </cell>
        </row>
        <row r="835">
          <cell r="C835" t="str">
            <v>Toppenish city, Washington</v>
          </cell>
          <cell r="D835">
            <v>5127</v>
          </cell>
          <cell r="E835">
            <v>2879</v>
          </cell>
          <cell r="F835">
            <v>2153</v>
          </cell>
          <cell r="G835">
            <v>726</v>
          </cell>
          <cell r="H835">
            <v>0</v>
          </cell>
          <cell r="I835">
            <v>70</v>
          </cell>
          <cell r="J835">
            <v>319</v>
          </cell>
          <cell r="K835">
            <v>337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2248</v>
          </cell>
          <cell r="Q835">
            <v>475</v>
          </cell>
          <cell r="R835">
            <v>1773</v>
          </cell>
          <cell r="S835">
            <v>2879</v>
          </cell>
          <cell r="T835">
            <v>2248</v>
          </cell>
        </row>
        <row r="836">
          <cell r="C836" t="str">
            <v>Touchet CDP, Washington</v>
          </cell>
          <cell r="D836">
            <v>29</v>
          </cell>
          <cell r="E836">
            <v>10</v>
          </cell>
          <cell r="F836">
            <v>10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19</v>
          </cell>
          <cell r="Q836">
            <v>6</v>
          </cell>
          <cell r="R836">
            <v>13</v>
          </cell>
          <cell r="S836">
            <v>10</v>
          </cell>
          <cell r="T836">
            <v>19</v>
          </cell>
        </row>
        <row r="837">
          <cell r="C837" t="str">
            <v>Town and Country CDP, Washington</v>
          </cell>
          <cell r="D837">
            <v>98</v>
          </cell>
          <cell r="E837">
            <v>53</v>
          </cell>
          <cell r="F837">
            <v>17</v>
          </cell>
          <cell r="G837">
            <v>36</v>
          </cell>
          <cell r="H837">
            <v>0</v>
          </cell>
          <cell r="I837">
            <v>0</v>
          </cell>
          <cell r="J837">
            <v>14</v>
          </cell>
          <cell r="K837">
            <v>22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45</v>
          </cell>
          <cell r="Q837">
            <v>28</v>
          </cell>
          <cell r="R837">
            <v>17</v>
          </cell>
          <cell r="S837">
            <v>53</v>
          </cell>
          <cell r="T837">
            <v>45</v>
          </cell>
        </row>
        <row r="838">
          <cell r="C838" t="str">
            <v>Tracyton CDP, Washington</v>
          </cell>
          <cell r="D838">
            <v>124</v>
          </cell>
          <cell r="E838">
            <v>95</v>
          </cell>
          <cell r="F838">
            <v>39</v>
          </cell>
          <cell r="G838">
            <v>56</v>
          </cell>
          <cell r="H838">
            <v>0</v>
          </cell>
          <cell r="I838">
            <v>18</v>
          </cell>
          <cell r="J838">
            <v>13</v>
          </cell>
          <cell r="K838">
            <v>25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29</v>
          </cell>
          <cell r="Q838">
            <v>8</v>
          </cell>
          <cell r="R838">
            <v>21</v>
          </cell>
          <cell r="S838">
            <v>95</v>
          </cell>
          <cell r="T838">
            <v>29</v>
          </cell>
        </row>
        <row r="839">
          <cell r="C839" t="str">
            <v>Trentwood CDP, Washington</v>
          </cell>
          <cell r="D839">
            <v>21</v>
          </cell>
          <cell r="E839">
            <v>21</v>
          </cell>
          <cell r="F839">
            <v>13</v>
          </cell>
          <cell r="G839">
            <v>8</v>
          </cell>
          <cell r="H839">
            <v>0</v>
          </cell>
          <cell r="I839">
            <v>0</v>
          </cell>
          <cell r="J839">
            <v>5</v>
          </cell>
          <cell r="K839">
            <v>3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21</v>
          </cell>
          <cell r="T839">
            <v>0</v>
          </cell>
        </row>
        <row r="840">
          <cell r="C840" t="str">
            <v>Trout Lake CDP, Washington</v>
          </cell>
          <cell r="D840">
            <v>10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10</v>
          </cell>
          <cell r="Q840">
            <v>0</v>
          </cell>
          <cell r="R840">
            <v>10</v>
          </cell>
          <cell r="S840">
            <v>0</v>
          </cell>
          <cell r="T840">
            <v>10</v>
          </cell>
        </row>
        <row r="841">
          <cell r="C841" t="str">
            <v>Tukwila city, Washington</v>
          </cell>
          <cell r="D841">
            <v>1348</v>
          </cell>
          <cell r="E841">
            <v>443</v>
          </cell>
          <cell r="F841">
            <v>209</v>
          </cell>
          <cell r="G841">
            <v>227</v>
          </cell>
          <cell r="H841">
            <v>0</v>
          </cell>
          <cell r="I841">
            <v>14</v>
          </cell>
          <cell r="J841">
            <v>54</v>
          </cell>
          <cell r="K841">
            <v>159</v>
          </cell>
          <cell r="L841">
            <v>7</v>
          </cell>
          <cell r="M841">
            <v>0</v>
          </cell>
          <cell r="N841">
            <v>0</v>
          </cell>
          <cell r="O841">
            <v>7</v>
          </cell>
          <cell r="P841">
            <v>905</v>
          </cell>
          <cell r="Q841">
            <v>160</v>
          </cell>
          <cell r="R841">
            <v>745</v>
          </cell>
          <cell r="S841">
            <v>436</v>
          </cell>
          <cell r="T841">
            <v>912</v>
          </cell>
        </row>
        <row r="842">
          <cell r="C842" t="str">
            <v>Tulalip Bay CDP, Washington</v>
          </cell>
          <cell r="D842">
            <v>8</v>
          </cell>
          <cell r="E842">
            <v>5</v>
          </cell>
          <cell r="F842">
            <v>2</v>
          </cell>
          <cell r="G842">
            <v>3</v>
          </cell>
          <cell r="H842">
            <v>0</v>
          </cell>
          <cell r="I842">
            <v>0</v>
          </cell>
          <cell r="J842">
            <v>3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3</v>
          </cell>
          <cell r="Q842">
            <v>3</v>
          </cell>
          <cell r="R842">
            <v>0</v>
          </cell>
          <cell r="S842">
            <v>5</v>
          </cell>
          <cell r="T842">
            <v>3</v>
          </cell>
        </row>
        <row r="843">
          <cell r="C843" t="str">
            <v>Tumwater city, Washington</v>
          </cell>
          <cell r="D843">
            <v>138</v>
          </cell>
          <cell r="E843">
            <v>109</v>
          </cell>
          <cell r="F843">
            <v>44</v>
          </cell>
          <cell r="G843">
            <v>59</v>
          </cell>
          <cell r="H843">
            <v>0</v>
          </cell>
          <cell r="I843">
            <v>6</v>
          </cell>
          <cell r="J843">
            <v>15</v>
          </cell>
          <cell r="K843">
            <v>38</v>
          </cell>
          <cell r="L843">
            <v>6</v>
          </cell>
          <cell r="M843">
            <v>0</v>
          </cell>
          <cell r="N843">
            <v>0</v>
          </cell>
          <cell r="O843">
            <v>6</v>
          </cell>
          <cell r="P843">
            <v>29</v>
          </cell>
          <cell r="Q843">
            <v>0</v>
          </cell>
          <cell r="R843">
            <v>29</v>
          </cell>
          <cell r="S843">
            <v>103</v>
          </cell>
          <cell r="T843">
            <v>35</v>
          </cell>
        </row>
        <row r="844">
          <cell r="C844" t="str">
            <v>Twisp town, Washington</v>
          </cell>
          <cell r="D844">
            <v>19</v>
          </cell>
          <cell r="E844">
            <v>3</v>
          </cell>
          <cell r="F844">
            <v>1</v>
          </cell>
          <cell r="G844">
            <v>2</v>
          </cell>
          <cell r="H844">
            <v>0</v>
          </cell>
          <cell r="I844">
            <v>0</v>
          </cell>
          <cell r="J844">
            <v>2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16</v>
          </cell>
          <cell r="Q844">
            <v>0</v>
          </cell>
          <cell r="R844">
            <v>16</v>
          </cell>
          <cell r="S844">
            <v>3</v>
          </cell>
          <cell r="T844">
            <v>16</v>
          </cell>
        </row>
        <row r="845">
          <cell r="C845" t="str">
            <v>Union Gap city, Washington</v>
          </cell>
          <cell r="D845">
            <v>1184</v>
          </cell>
          <cell r="E845">
            <v>614</v>
          </cell>
          <cell r="F845">
            <v>422</v>
          </cell>
          <cell r="G845">
            <v>178</v>
          </cell>
          <cell r="H845">
            <v>0</v>
          </cell>
          <cell r="I845">
            <v>12</v>
          </cell>
          <cell r="J845">
            <v>29</v>
          </cell>
          <cell r="K845">
            <v>137</v>
          </cell>
          <cell r="L845">
            <v>14</v>
          </cell>
          <cell r="M845">
            <v>0</v>
          </cell>
          <cell r="N845">
            <v>0</v>
          </cell>
          <cell r="O845">
            <v>14</v>
          </cell>
          <cell r="P845">
            <v>570</v>
          </cell>
          <cell r="Q845">
            <v>141</v>
          </cell>
          <cell r="R845">
            <v>429</v>
          </cell>
          <cell r="S845">
            <v>600</v>
          </cell>
          <cell r="T845">
            <v>584</v>
          </cell>
        </row>
        <row r="846">
          <cell r="C846" t="str">
            <v>Union Hill-Novelty Hill CDP, Washington</v>
          </cell>
          <cell r="D846">
            <v>177</v>
          </cell>
          <cell r="E846">
            <v>61</v>
          </cell>
          <cell r="F846">
            <v>10</v>
          </cell>
          <cell r="G846">
            <v>51</v>
          </cell>
          <cell r="H846">
            <v>0</v>
          </cell>
          <cell r="I846">
            <v>0</v>
          </cell>
          <cell r="J846">
            <v>0</v>
          </cell>
          <cell r="K846">
            <v>51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116</v>
          </cell>
          <cell r="Q846">
            <v>19</v>
          </cell>
          <cell r="R846">
            <v>97</v>
          </cell>
          <cell r="S846">
            <v>61</v>
          </cell>
          <cell r="T846">
            <v>116</v>
          </cell>
        </row>
        <row r="847">
          <cell r="C847" t="str">
            <v>Uniontown town, Washington</v>
          </cell>
          <cell r="D847">
            <v>2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</v>
          </cell>
          <cell r="Q847">
            <v>2</v>
          </cell>
          <cell r="R847">
            <v>0</v>
          </cell>
          <cell r="S847">
            <v>0</v>
          </cell>
          <cell r="T847">
            <v>2</v>
          </cell>
        </row>
        <row r="848">
          <cell r="C848" t="str">
            <v>University Place city, Washington</v>
          </cell>
          <cell r="D848">
            <v>342</v>
          </cell>
          <cell r="E848">
            <v>226</v>
          </cell>
          <cell r="F848">
            <v>88</v>
          </cell>
          <cell r="G848">
            <v>138</v>
          </cell>
          <cell r="H848">
            <v>9</v>
          </cell>
          <cell r="I848">
            <v>0</v>
          </cell>
          <cell r="J848">
            <v>57</v>
          </cell>
          <cell r="K848">
            <v>72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116</v>
          </cell>
          <cell r="Q848">
            <v>65</v>
          </cell>
          <cell r="R848">
            <v>51</v>
          </cell>
          <cell r="S848">
            <v>226</v>
          </cell>
          <cell r="T848">
            <v>116</v>
          </cell>
        </row>
        <row r="849">
          <cell r="C849" t="str">
            <v>Vader city, Washington</v>
          </cell>
          <cell r="D849">
            <v>9</v>
          </cell>
          <cell r="E849">
            <v>9</v>
          </cell>
          <cell r="F849">
            <v>0</v>
          </cell>
          <cell r="G849">
            <v>9</v>
          </cell>
          <cell r="H849">
            <v>0</v>
          </cell>
          <cell r="I849">
            <v>0</v>
          </cell>
          <cell r="J849">
            <v>0</v>
          </cell>
          <cell r="K849">
            <v>9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9</v>
          </cell>
          <cell r="T849">
            <v>0</v>
          </cell>
        </row>
        <row r="850">
          <cell r="C850" t="str">
            <v>Vancouver city, Washington</v>
          </cell>
          <cell r="D850">
            <v>4526</v>
          </cell>
          <cell r="E850">
            <v>2193</v>
          </cell>
          <cell r="F850">
            <v>836</v>
          </cell>
          <cell r="G850">
            <v>1289</v>
          </cell>
          <cell r="H850">
            <v>13</v>
          </cell>
          <cell r="I850">
            <v>58</v>
          </cell>
          <cell r="J850">
            <v>205</v>
          </cell>
          <cell r="K850">
            <v>1013</v>
          </cell>
          <cell r="L850">
            <v>68</v>
          </cell>
          <cell r="M850">
            <v>0</v>
          </cell>
          <cell r="N850">
            <v>0</v>
          </cell>
          <cell r="O850">
            <v>68</v>
          </cell>
          <cell r="P850">
            <v>2333</v>
          </cell>
          <cell r="Q850">
            <v>490</v>
          </cell>
          <cell r="R850">
            <v>1843</v>
          </cell>
          <cell r="S850">
            <v>2125</v>
          </cell>
          <cell r="T850">
            <v>2401</v>
          </cell>
        </row>
        <row r="851">
          <cell r="C851" t="str">
            <v>Vantage CDP, Washington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</row>
        <row r="852">
          <cell r="C852" t="str">
            <v>Vashon CDP, Washington</v>
          </cell>
          <cell r="D852">
            <v>132</v>
          </cell>
          <cell r="E852">
            <v>42</v>
          </cell>
          <cell r="F852">
            <v>33</v>
          </cell>
          <cell r="G852">
            <v>9</v>
          </cell>
          <cell r="H852">
            <v>0</v>
          </cell>
          <cell r="I852">
            <v>0</v>
          </cell>
          <cell r="J852">
            <v>0</v>
          </cell>
          <cell r="K852">
            <v>9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90</v>
          </cell>
          <cell r="Q852">
            <v>14</v>
          </cell>
          <cell r="R852">
            <v>76</v>
          </cell>
          <cell r="S852">
            <v>42</v>
          </cell>
          <cell r="T852">
            <v>90</v>
          </cell>
        </row>
        <row r="853">
          <cell r="C853" t="str">
            <v>Venersborg CDP, Washington</v>
          </cell>
          <cell r="D853">
            <v>39</v>
          </cell>
          <cell r="E853">
            <v>25</v>
          </cell>
          <cell r="F853">
            <v>0</v>
          </cell>
          <cell r="G853">
            <v>25</v>
          </cell>
          <cell r="H853">
            <v>0</v>
          </cell>
          <cell r="I853">
            <v>0</v>
          </cell>
          <cell r="J853">
            <v>0</v>
          </cell>
          <cell r="K853">
            <v>25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14</v>
          </cell>
          <cell r="Q853">
            <v>0</v>
          </cell>
          <cell r="R853">
            <v>14</v>
          </cell>
          <cell r="S853">
            <v>25</v>
          </cell>
          <cell r="T853">
            <v>14</v>
          </cell>
        </row>
        <row r="854">
          <cell r="C854" t="str">
            <v>Veradale CDP, Washington</v>
          </cell>
          <cell r="D854">
            <v>66</v>
          </cell>
          <cell r="E854">
            <v>66</v>
          </cell>
          <cell r="F854">
            <v>0</v>
          </cell>
          <cell r="G854">
            <v>66</v>
          </cell>
          <cell r="H854">
            <v>0</v>
          </cell>
          <cell r="I854">
            <v>0</v>
          </cell>
          <cell r="J854">
            <v>0</v>
          </cell>
          <cell r="K854">
            <v>66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66</v>
          </cell>
          <cell r="T854">
            <v>0</v>
          </cell>
        </row>
        <row r="855">
          <cell r="C855" t="str">
            <v>Verlot CDP, Washington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</row>
        <row r="856">
          <cell r="C856" t="str">
            <v>Waitsburg city, Washington</v>
          </cell>
          <cell r="D856">
            <v>10</v>
          </cell>
          <cell r="E856">
            <v>7</v>
          </cell>
          <cell r="F856">
            <v>7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</v>
          </cell>
          <cell r="Q856">
            <v>3</v>
          </cell>
          <cell r="R856">
            <v>0</v>
          </cell>
          <cell r="S856">
            <v>7</v>
          </cell>
          <cell r="T856">
            <v>3</v>
          </cell>
        </row>
        <row r="857">
          <cell r="C857" t="str">
            <v>Walla Walla city, Washington</v>
          </cell>
          <cell r="D857">
            <v>2286</v>
          </cell>
          <cell r="E857">
            <v>1233</v>
          </cell>
          <cell r="F857">
            <v>647</v>
          </cell>
          <cell r="G857">
            <v>516</v>
          </cell>
          <cell r="H857">
            <v>5</v>
          </cell>
          <cell r="I857">
            <v>40</v>
          </cell>
          <cell r="J857">
            <v>115</v>
          </cell>
          <cell r="K857">
            <v>356</v>
          </cell>
          <cell r="L857">
            <v>70</v>
          </cell>
          <cell r="M857">
            <v>0</v>
          </cell>
          <cell r="N857">
            <v>0</v>
          </cell>
          <cell r="O857">
            <v>70</v>
          </cell>
          <cell r="P857">
            <v>1053</v>
          </cell>
          <cell r="Q857">
            <v>290</v>
          </cell>
          <cell r="R857">
            <v>763</v>
          </cell>
          <cell r="S857">
            <v>1163</v>
          </cell>
          <cell r="T857">
            <v>1123</v>
          </cell>
        </row>
        <row r="858">
          <cell r="C858" t="str">
            <v>Walla Walla East CDP, Washington</v>
          </cell>
          <cell r="D858">
            <v>75</v>
          </cell>
          <cell r="E858">
            <v>7</v>
          </cell>
          <cell r="F858">
            <v>7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68</v>
          </cell>
          <cell r="Q858">
            <v>0</v>
          </cell>
          <cell r="R858">
            <v>68</v>
          </cell>
          <cell r="S858">
            <v>7</v>
          </cell>
          <cell r="T858">
            <v>68</v>
          </cell>
        </row>
        <row r="859">
          <cell r="C859" t="str">
            <v>Waller CDP, Washington</v>
          </cell>
          <cell r="D859">
            <v>142</v>
          </cell>
          <cell r="E859">
            <v>45</v>
          </cell>
          <cell r="F859">
            <v>41</v>
          </cell>
          <cell r="G859">
            <v>4</v>
          </cell>
          <cell r="H859">
            <v>0</v>
          </cell>
          <cell r="I859">
            <v>0</v>
          </cell>
          <cell r="J859">
            <v>0</v>
          </cell>
          <cell r="K859">
            <v>4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97</v>
          </cell>
          <cell r="Q859">
            <v>8</v>
          </cell>
          <cell r="R859">
            <v>89</v>
          </cell>
          <cell r="S859">
            <v>45</v>
          </cell>
          <cell r="T859">
            <v>97</v>
          </cell>
        </row>
        <row r="860">
          <cell r="C860" t="str">
            <v>Wallula CDP, Washington</v>
          </cell>
          <cell r="D860">
            <v>27</v>
          </cell>
          <cell r="E860">
            <v>27</v>
          </cell>
          <cell r="F860">
            <v>8</v>
          </cell>
          <cell r="G860">
            <v>19</v>
          </cell>
          <cell r="H860">
            <v>0</v>
          </cell>
          <cell r="I860">
            <v>0</v>
          </cell>
          <cell r="J860">
            <v>11</v>
          </cell>
          <cell r="K860">
            <v>8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27</v>
          </cell>
          <cell r="T860">
            <v>0</v>
          </cell>
        </row>
        <row r="861">
          <cell r="C861" t="str">
            <v>Walnut Grove CDP, Washington</v>
          </cell>
          <cell r="D861">
            <v>56</v>
          </cell>
          <cell r="E861">
            <v>36</v>
          </cell>
          <cell r="F861">
            <v>11</v>
          </cell>
          <cell r="G861">
            <v>25</v>
          </cell>
          <cell r="H861">
            <v>0</v>
          </cell>
          <cell r="I861">
            <v>0</v>
          </cell>
          <cell r="J861">
            <v>7</v>
          </cell>
          <cell r="K861">
            <v>18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20</v>
          </cell>
          <cell r="Q861">
            <v>0</v>
          </cell>
          <cell r="R861">
            <v>20</v>
          </cell>
          <cell r="S861">
            <v>36</v>
          </cell>
          <cell r="T861">
            <v>20</v>
          </cell>
        </row>
        <row r="862">
          <cell r="C862" t="str">
            <v>Wapato city, Washington</v>
          </cell>
          <cell r="D862">
            <v>2759</v>
          </cell>
          <cell r="E862">
            <v>1637</v>
          </cell>
          <cell r="F862">
            <v>1289</v>
          </cell>
          <cell r="G862">
            <v>287</v>
          </cell>
          <cell r="H862">
            <v>0</v>
          </cell>
          <cell r="I862">
            <v>0</v>
          </cell>
          <cell r="J862">
            <v>87</v>
          </cell>
          <cell r="K862">
            <v>200</v>
          </cell>
          <cell r="L862">
            <v>61</v>
          </cell>
          <cell r="M862">
            <v>0</v>
          </cell>
          <cell r="N862">
            <v>0</v>
          </cell>
          <cell r="O862">
            <v>61</v>
          </cell>
          <cell r="P862">
            <v>1122</v>
          </cell>
          <cell r="Q862">
            <v>396</v>
          </cell>
          <cell r="R862">
            <v>726</v>
          </cell>
          <cell r="S862">
            <v>1576</v>
          </cell>
          <cell r="T862">
            <v>1183</v>
          </cell>
        </row>
        <row r="863">
          <cell r="C863" t="str">
            <v>Warden city, Washington</v>
          </cell>
          <cell r="D863">
            <v>1478</v>
          </cell>
          <cell r="E863">
            <v>870</v>
          </cell>
          <cell r="F863">
            <v>586</v>
          </cell>
          <cell r="G863">
            <v>266</v>
          </cell>
          <cell r="H863">
            <v>0</v>
          </cell>
          <cell r="I863">
            <v>8</v>
          </cell>
          <cell r="J863">
            <v>153</v>
          </cell>
          <cell r="K863">
            <v>105</v>
          </cell>
          <cell r="L863">
            <v>18</v>
          </cell>
          <cell r="M863">
            <v>0</v>
          </cell>
          <cell r="N863">
            <v>0</v>
          </cell>
          <cell r="O863">
            <v>18</v>
          </cell>
          <cell r="P863">
            <v>608</v>
          </cell>
          <cell r="Q863">
            <v>214</v>
          </cell>
          <cell r="R863">
            <v>394</v>
          </cell>
          <cell r="S863">
            <v>852</v>
          </cell>
          <cell r="T863">
            <v>626</v>
          </cell>
        </row>
        <row r="864">
          <cell r="C864" t="str">
            <v>Warm Beach CDP, Washington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</row>
        <row r="865">
          <cell r="C865" t="str">
            <v>Washougal city, Washington</v>
          </cell>
          <cell r="D865">
            <v>64</v>
          </cell>
          <cell r="E865">
            <v>9</v>
          </cell>
          <cell r="F865">
            <v>0</v>
          </cell>
          <cell r="G865">
            <v>9</v>
          </cell>
          <cell r="H865">
            <v>0</v>
          </cell>
          <cell r="I865">
            <v>0</v>
          </cell>
          <cell r="J865">
            <v>9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55</v>
          </cell>
          <cell r="Q865">
            <v>24</v>
          </cell>
          <cell r="R865">
            <v>31</v>
          </cell>
          <cell r="S865">
            <v>9</v>
          </cell>
          <cell r="T865">
            <v>55</v>
          </cell>
        </row>
        <row r="866">
          <cell r="C866" t="str">
            <v>Washtucna town, Washington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</row>
        <row r="867">
          <cell r="C867" t="str">
            <v>Waterville town, Washington</v>
          </cell>
          <cell r="D867">
            <v>65</v>
          </cell>
          <cell r="E867">
            <v>23</v>
          </cell>
          <cell r="F867">
            <v>23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42</v>
          </cell>
          <cell r="Q867">
            <v>8</v>
          </cell>
          <cell r="R867">
            <v>34</v>
          </cell>
          <cell r="S867">
            <v>23</v>
          </cell>
          <cell r="T867">
            <v>42</v>
          </cell>
        </row>
        <row r="868">
          <cell r="C868" t="str">
            <v>Waverly town, Washington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</row>
        <row r="869">
          <cell r="C869" t="str">
            <v>Weallup Lake CDP, Washington</v>
          </cell>
          <cell r="D869">
            <v>7</v>
          </cell>
          <cell r="E869">
            <v>4</v>
          </cell>
          <cell r="F869">
            <v>0</v>
          </cell>
          <cell r="G869">
            <v>4</v>
          </cell>
          <cell r="H869">
            <v>0</v>
          </cell>
          <cell r="I869">
            <v>0</v>
          </cell>
          <cell r="J869">
            <v>0</v>
          </cell>
          <cell r="K869">
            <v>4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3</v>
          </cell>
          <cell r="Q869">
            <v>0</v>
          </cell>
          <cell r="R869">
            <v>3</v>
          </cell>
          <cell r="S869">
            <v>4</v>
          </cell>
          <cell r="T869">
            <v>3</v>
          </cell>
        </row>
        <row r="870">
          <cell r="C870" t="str">
            <v>Wenatchee city, Washington</v>
          </cell>
          <cell r="D870">
            <v>3704</v>
          </cell>
          <cell r="E870">
            <v>1581</v>
          </cell>
          <cell r="F870">
            <v>1129</v>
          </cell>
          <cell r="G870">
            <v>452</v>
          </cell>
          <cell r="H870">
            <v>0</v>
          </cell>
          <cell r="I870">
            <v>48</v>
          </cell>
          <cell r="J870">
            <v>83</v>
          </cell>
          <cell r="K870">
            <v>321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2123</v>
          </cell>
          <cell r="Q870">
            <v>581</v>
          </cell>
          <cell r="R870">
            <v>1542</v>
          </cell>
          <cell r="S870">
            <v>1581</v>
          </cell>
          <cell r="T870">
            <v>2123</v>
          </cell>
        </row>
        <row r="871">
          <cell r="C871" t="str">
            <v>West Clarkston-Highland CDP, Washington</v>
          </cell>
          <cell r="D871">
            <v>41</v>
          </cell>
          <cell r="E871">
            <v>41</v>
          </cell>
          <cell r="F871">
            <v>0</v>
          </cell>
          <cell r="G871">
            <v>41</v>
          </cell>
          <cell r="H871">
            <v>0</v>
          </cell>
          <cell r="I871">
            <v>0</v>
          </cell>
          <cell r="J871">
            <v>0</v>
          </cell>
          <cell r="K871">
            <v>41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41</v>
          </cell>
          <cell r="T871">
            <v>0</v>
          </cell>
        </row>
        <row r="872">
          <cell r="C872" t="str">
            <v>West Lake Sammamish CDP, Washington</v>
          </cell>
          <cell r="D872">
            <v>6</v>
          </cell>
          <cell r="E872">
            <v>6</v>
          </cell>
          <cell r="F872">
            <v>0</v>
          </cell>
          <cell r="G872">
            <v>6</v>
          </cell>
          <cell r="H872">
            <v>0</v>
          </cell>
          <cell r="I872">
            <v>0</v>
          </cell>
          <cell r="J872">
            <v>0</v>
          </cell>
          <cell r="K872">
            <v>6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6</v>
          </cell>
          <cell r="T872">
            <v>0</v>
          </cell>
        </row>
        <row r="873">
          <cell r="C873" t="str">
            <v>West Lake Stevens CDP, Washington</v>
          </cell>
          <cell r="D873">
            <v>396</v>
          </cell>
          <cell r="E873">
            <v>329</v>
          </cell>
          <cell r="F873">
            <v>115</v>
          </cell>
          <cell r="G873">
            <v>214</v>
          </cell>
          <cell r="H873">
            <v>0</v>
          </cell>
          <cell r="I873">
            <v>35</v>
          </cell>
          <cell r="J873">
            <v>72</v>
          </cell>
          <cell r="K873">
            <v>107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67</v>
          </cell>
          <cell r="Q873">
            <v>45</v>
          </cell>
          <cell r="R873">
            <v>22</v>
          </cell>
          <cell r="S873">
            <v>329</v>
          </cell>
          <cell r="T873">
            <v>67</v>
          </cell>
        </row>
        <row r="874">
          <cell r="C874" t="str">
            <v>West Longview CDP, Washington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</row>
        <row r="875">
          <cell r="C875" t="str">
            <v>West Pasco CDP, Washington</v>
          </cell>
          <cell r="D875">
            <v>220</v>
          </cell>
          <cell r="E875">
            <v>153</v>
          </cell>
          <cell r="F875">
            <v>112</v>
          </cell>
          <cell r="G875">
            <v>41</v>
          </cell>
          <cell r="H875">
            <v>0</v>
          </cell>
          <cell r="I875">
            <v>0</v>
          </cell>
          <cell r="J875">
            <v>12</v>
          </cell>
          <cell r="K875">
            <v>29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67</v>
          </cell>
          <cell r="Q875">
            <v>20</v>
          </cell>
          <cell r="R875">
            <v>47</v>
          </cell>
          <cell r="S875">
            <v>153</v>
          </cell>
          <cell r="T875">
            <v>67</v>
          </cell>
        </row>
        <row r="876">
          <cell r="C876" t="str">
            <v>Westport city, Washington</v>
          </cell>
          <cell r="D876">
            <v>13</v>
          </cell>
          <cell r="E876">
            <v>8</v>
          </cell>
          <cell r="F876">
            <v>0</v>
          </cell>
          <cell r="G876">
            <v>8</v>
          </cell>
          <cell r="H876">
            <v>0</v>
          </cell>
          <cell r="I876">
            <v>0</v>
          </cell>
          <cell r="J876">
            <v>0</v>
          </cell>
          <cell r="K876">
            <v>8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5</v>
          </cell>
          <cell r="Q876">
            <v>3</v>
          </cell>
          <cell r="R876">
            <v>2</v>
          </cell>
          <cell r="S876">
            <v>8</v>
          </cell>
          <cell r="T876">
            <v>5</v>
          </cell>
        </row>
        <row r="877">
          <cell r="C877" t="str">
            <v>West Richland city, Washington</v>
          </cell>
          <cell r="D877">
            <v>136</v>
          </cell>
          <cell r="E877">
            <v>67</v>
          </cell>
          <cell r="F877">
            <v>30</v>
          </cell>
          <cell r="G877">
            <v>37</v>
          </cell>
          <cell r="H877">
            <v>0</v>
          </cell>
          <cell r="I877">
            <v>0</v>
          </cell>
          <cell r="J877">
            <v>0</v>
          </cell>
          <cell r="K877">
            <v>37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69</v>
          </cell>
          <cell r="Q877">
            <v>12</v>
          </cell>
          <cell r="R877">
            <v>57</v>
          </cell>
          <cell r="S877">
            <v>67</v>
          </cell>
          <cell r="T877">
            <v>69</v>
          </cell>
        </row>
        <row r="878">
          <cell r="C878" t="str">
            <v>West Side Highway CDP, Washington</v>
          </cell>
          <cell r="D878">
            <v>72</v>
          </cell>
          <cell r="E878">
            <v>54</v>
          </cell>
          <cell r="F878">
            <v>37</v>
          </cell>
          <cell r="G878">
            <v>17</v>
          </cell>
          <cell r="H878">
            <v>0</v>
          </cell>
          <cell r="I878">
            <v>0</v>
          </cell>
          <cell r="J878">
            <v>0</v>
          </cell>
          <cell r="K878">
            <v>17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18</v>
          </cell>
          <cell r="Q878">
            <v>0</v>
          </cell>
          <cell r="R878">
            <v>18</v>
          </cell>
          <cell r="S878">
            <v>54</v>
          </cell>
          <cell r="T878">
            <v>18</v>
          </cell>
        </row>
        <row r="879">
          <cell r="C879" t="str">
            <v>West Valley CDP, Washington</v>
          </cell>
          <cell r="D879">
            <v>363</v>
          </cell>
          <cell r="E879">
            <v>277</v>
          </cell>
          <cell r="F879">
            <v>201</v>
          </cell>
          <cell r="G879">
            <v>76</v>
          </cell>
          <cell r="H879">
            <v>0</v>
          </cell>
          <cell r="I879">
            <v>6</v>
          </cell>
          <cell r="J879">
            <v>8</v>
          </cell>
          <cell r="K879">
            <v>62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86</v>
          </cell>
          <cell r="Q879">
            <v>56</v>
          </cell>
          <cell r="R879">
            <v>30</v>
          </cell>
          <cell r="S879">
            <v>277</v>
          </cell>
          <cell r="T879">
            <v>86</v>
          </cell>
        </row>
        <row r="880">
          <cell r="C880" t="str">
            <v>West Wenatchee CDP, Washington</v>
          </cell>
          <cell r="D880">
            <v>55</v>
          </cell>
          <cell r="E880">
            <v>25</v>
          </cell>
          <cell r="F880">
            <v>25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30</v>
          </cell>
          <cell r="Q880">
            <v>30</v>
          </cell>
          <cell r="R880">
            <v>0</v>
          </cell>
          <cell r="S880">
            <v>25</v>
          </cell>
          <cell r="T880">
            <v>30</v>
          </cell>
        </row>
        <row r="881">
          <cell r="C881" t="str">
            <v>White Center CDP, Washington</v>
          </cell>
          <cell r="D881">
            <v>1335</v>
          </cell>
          <cell r="E881">
            <v>569</v>
          </cell>
          <cell r="F881">
            <v>254</v>
          </cell>
          <cell r="G881">
            <v>303</v>
          </cell>
          <cell r="H881">
            <v>0</v>
          </cell>
          <cell r="I881">
            <v>57</v>
          </cell>
          <cell r="J881">
            <v>28</v>
          </cell>
          <cell r="K881">
            <v>218</v>
          </cell>
          <cell r="L881">
            <v>12</v>
          </cell>
          <cell r="M881">
            <v>12</v>
          </cell>
          <cell r="N881">
            <v>0</v>
          </cell>
          <cell r="O881">
            <v>0</v>
          </cell>
          <cell r="P881">
            <v>766</v>
          </cell>
          <cell r="Q881">
            <v>107</v>
          </cell>
          <cell r="R881">
            <v>659</v>
          </cell>
          <cell r="S881">
            <v>557</v>
          </cell>
          <cell r="T881">
            <v>778</v>
          </cell>
        </row>
        <row r="882">
          <cell r="C882" t="str">
            <v>White Salmon city, Washington</v>
          </cell>
          <cell r="D882">
            <v>343</v>
          </cell>
          <cell r="E882">
            <v>125</v>
          </cell>
          <cell r="F882">
            <v>68</v>
          </cell>
          <cell r="G882">
            <v>57</v>
          </cell>
          <cell r="H882">
            <v>0</v>
          </cell>
          <cell r="I882">
            <v>0</v>
          </cell>
          <cell r="J882">
            <v>16</v>
          </cell>
          <cell r="K882">
            <v>41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218</v>
          </cell>
          <cell r="Q882">
            <v>54</v>
          </cell>
          <cell r="R882">
            <v>164</v>
          </cell>
          <cell r="S882">
            <v>125</v>
          </cell>
          <cell r="T882">
            <v>218</v>
          </cell>
        </row>
        <row r="883">
          <cell r="C883" t="str">
            <v>White Swan CDP, Washington</v>
          </cell>
          <cell r="D883">
            <v>145</v>
          </cell>
          <cell r="E883">
            <v>78</v>
          </cell>
          <cell r="F883">
            <v>75</v>
          </cell>
          <cell r="G883">
            <v>3</v>
          </cell>
          <cell r="H883">
            <v>0</v>
          </cell>
          <cell r="I883">
            <v>0</v>
          </cell>
          <cell r="J883">
            <v>0</v>
          </cell>
          <cell r="K883">
            <v>3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67</v>
          </cell>
          <cell r="Q883">
            <v>15</v>
          </cell>
          <cell r="R883">
            <v>52</v>
          </cell>
          <cell r="S883">
            <v>78</v>
          </cell>
          <cell r="T883">
            <v>67</v>
          </cell>
        </row>
        <row r="884">
          <cell r="C884" t="str">
            <v>Wilbur town, Washington</v>
          </cell>
          <cell r="D884">
            <v>4</v>
          </cell>
          <cell r="E884">
            <v>4</v>
          </cell>
          <cell r="F884">
            <v>2</v>
          </cell>
          <cell r="G884">
            <v>2</v>
          </cell>
          <cell r="H884">
            <v>0</v>
          </cell>
          <cell r="I884">
            <v>0</v>
          </cell>
          <cell r="J884">
            <v>2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4</v>
          </cell>
          <cell r="T884">
            <v>0</v>
          </cell>
        </row>
        <row r="885">
          <cell r="C885" t="str">
            <v>Wilkeson town, Washington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</row>
        <row r="886">
          <cell r="C886" t="str">
            <v>Wilson Creek town, Washington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</row>
        <row r="887">
          <cell r="C887" t="str">
            <v>Winlock city, Washington</v>
          </cell>
          <cell r="D887">
            <v>63</v>
          </cell>
          <cell r="E887">
            <v>26</v>
          </cell>
          <cell r="F887">
            <v>17</v>
          </cell>
          <cell r="G887">
            <v>9</v>
          </cell>
          <cell r="H887">
            <v>0</v>
          </cell>
          <cell r="I887">
            <v>0</v>
          </cell>
          <cell r="J887">
            <v>0</v>
          </cell>
          <cell r="K887">
            <v>9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37</v>
          </cell>
          <cell r="Q887">
            <v>4</v>
          </cell>
          <cell r="R887">
            <v>33</v>
          </cell>
          <cell r="S887">
            <v>26</v>
          </cell>
          <cell r="T887">
            <v>37</v>
          </cell>
        </row>
        <row r="888">
          <cell r="C888" t="str">
            <v>Winthrop town, Washington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</row>
        <row r="889">
          <cell r="C889" t="str">
            <v>Wishram CDP, Washington</v>
          </cell>
          <cell r="D889">
            <v>11</v>
          </cell>
          <cell r="E889">
            <v>11</v>
          </cell>
          <cell r="F889">
            <v>0</v>
          </cell>
          <cell r="G889">
            <v>11</v>
          </cell>
          <cell r="H889">
            <v>0</v>
          </cell>
          <cell r="I889">
            <v>0</v>
          </cell>
          <cell r="J889">
            <v>3</v>
          </cell>
          <cell r="K889">
            <v>8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11</v>
          </cell>
          <cell r="T889">
            <v>0</v>
          </cell>
        </row>
        <row r="890">
          <cell r="C890" t="str">
            <v>Woodinville city, Washington</v>
          </cell>
          <cell r="D890">
            <v>330</v>
          </cell>
          <cell r="E890">
            <v>80</v>
          </cell>
          <cell r="F890">
            <v>59</v>
          </cell>
          <cell r="G890">
            <v>21</v>
          </cell>
          <cell r="H890">
            <v>0</v>
          </cell>
          <cell r="I890">
            <v>6</v>
          </cell>
          <cell r="J890">
            <v>0</v>
          </cell>
          <cell r="K890">
            <v>15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250</v>
          </cell>
          <cell r="Q890">
            <v>42</v>
          </cell>
          <cell r="R890">
            <v>208</v>
          </cell>
          <cell r="S890">
            <v>80</v>
          </cell>
          <cell r="T890">
            <v>250</v>
          </cell>
        </row>
        <row r="891">
          <cell r="C891" t="str">
            <v>Woodland city, Washington</v>
          </cell>
          <cell r="D891">
            <v>50</v>
          </cell>
          <cell r="E891">
            <v>32</v>
          </cell>
          <cell r="F891">
            <v>0</v>
          </cell>
          <cell r="G891">
            <v>16</v>
          </cell>
          <cell r="H891">
            <v>0</v>
          </cell>
          <cell r="I891">
            <v>0</v>
          </cell>
          <cell r="J891">
            <v>7</v>
          </cell>
          <cell r="K891">
            <v>9</v>
          </cell>
          <cell r="L891">
            <v>16</v>
          </cell>
          <cell r="M891">
            <v>0</v>
          </cell>
          <cell r="N891">
            <v>0</v>
          </cell>
          <cell r="O891">
            <v>16</v>
          </cell>
          <cell r="P891">
            <v>18</v>
          </cell>
          <cell r="Q891">
            <v>18</v>
          </cell>
          <cell r="R891">
            <v>0</v>
          </cell>
          <cell r="S891">
            <v>16</v>
          </cell>
          <cell r="T891">
            <v>34</v>
          </cell>
        </row>
        <row r="892">
          <cell r="C892" t="str">
            <v>Woods Creek CDP, Washington</v>
          </cell>
          <cell r="D892">
            <v>25</v>
          </cell>
          <cell r="E892">
            <v>5</v>
          </cell>
          <cell r="F892">
            <v>0</v>
          </cell>
          <cell r="G892">
            <v>5</v>
          </cell>
          <cell r="H892">
            <v>0</v>
          </cell>
          <cell r="I892">
            <v>0</v>
          </cell>
          <cell r="J892">
            <v>5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20</v>
          </cell>
          <cell r="Q892">
            <v>20</v>
          </cell>
          <cell r="R892">
            <v>0</v>
          </cell>
          <cell r="S892">
            <v>5</v>
          </cell>
          <cell r="T892">
            <v>20</v>
          </cell>
        </row>
        <row r="893">
          <cell r="C893" t="str">
            <v>Woodway city, Washington</v>
          </cell>
          <cell r="D893">
            <v>9</v>
          </cell>
          <cell r="E893">
            <v>4</v>
          </cell>
          <cell r="F893">
            <v>2</v>
          </cell>
          <cell r="G893">
            <v>2</v>
          </cell>
          <cell r="H893">
            <v>0</v>
          </cell>
          <cell r="I893">
            <v>0</v>
          </cell>
          <cell r="J893">
            <v>2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5</v>
          </cell>
          <cell r="Q893">
            <v>2</v>
          </cell>
          <cell r="R893">
            <v>3</v>
          </cell>
          <cell r="S893">
            <v>4</v>
          </cell>
          <cell r="T893">
            <v>5</v>
          </cell>
        </row>
        <row r="894">
          <cell r="C894" t="str">
            <v>Yacolt town, Washington</v>
          </cell>
          <cell r="D894">
            <v>8</v>
          </cell>
          <cell r="E894">
            <v>8</v>
          </cell>
          <cell r="F894">
            <v>7</v>
          </cell>
          <cell r="G894">
            <v>1</v>
          </cell>
          <cell r="H894">
            <v>0</v>
          </cell>
          <cell r="I894">
            <v>0</v>
          </cell>
          <cell r="J894">
            <v>0</v>
          </cell>
          <cell r="K894">
            <v>1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8</v>
          </cell>
          <cell r="T894">
            <v>0</v>
          </cell>
        </row>
        <row r="895">
          <cell r="C895" t="str">
            <v>Yakima city, Washington</v>
          </cell>
          <cell r="D895">
            <v>16032</v>
          </cell>
          <cell r="E895">
            <v>8464</v>
          </cell>
          <cell r="F895">
            <v>6109</v>
          </cell>
          <cell r="G895">
            <v>2262</v>
          </cell>
          <cell r="H895">
            <v>34</v>
          </cell>
          <cell r="I895">
            <v>83</v>
          </cell>
          <cell r="J895">
            <v>519</v>
          </cell>
          <cell r="K895">
            <v>1626</v>
          </cell>
          <cell r="L895">
            <v>93</v>
          </cell>
          <cell r="M895">
            <v>17</v>
          </cell>
          <cell r="N895">
            <v>0</v>
          </cell>
          <cell r="O895">
            <v>76</v>
          </cell>
          <cell r="P895">
            <v>7568</v>
          </cell>
          <cell r="Q895">
            <v>1639</v>
          </cell>
          <cell r="R895">
            <v>5929</v>
          </cell>
          <cell r="S895">
            <v>8371</v>
          </cell>
          <cell r="T895">
            <v>7661</v>
          </cell>
        </row>
        <row r="896">
          <cell r="C896" t="str">
            <v>Yarrow Point town, Washington</v>
          </cell>
          <cell r="D896">
            <v>4</v>
          </cell>
          <cell r="E896">
            <v>1</v>
          </cell>
          <cell r="F896">
            <v>0</v>
          </cell>
          <cell r="G896">
            <v>1</v>
          </cell>
          <cell r="H896">
            <v>0</v>
          </cell>
          <cell r="I896">
            <v>0</v>
          </cell>
          <cell r="J896">
            <v>0</v>
          </cell>
          <cell r="K896">
            <v>1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3</v>
          </cell>
          <cell r="Q896">
            <v>0</v>
          </cell>
          <cell r="R896">
            <v>3</v>
          </cell>
          <cell r="S896">
            <v>1</v>
          </cell>
          <cell r="T896">
            <v>3</v>
          </cell>
        </row>
        <row r="897">
          <cell r="C897" t="str">
            <v>Yelm city, Washington</v>
          </cell>
          <cell r="D897">
            <v>21</v>
          </cell>
          <cell r="E897">
            <v>17</v>
          </cell>
          <cell r="F897">
            <v>0</v>
          </cell>
          <cell r="G897">
            <v>17</v>
          </cell>
          <cell r="H897">
            <v>0</v>
          </cell>
          <cell r="I897">
            <v>8</v>
          </cell>
          <cell r="J897">
            <v>3</v>
          </cell>
          <cell r="K897">
            <v>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4</v>
          </cell>
          <cell r="Q897">
            <v>0</v>
          </cell>
          <cell r="R897">
            <v>4</v>
          </cell>
          <cell r="S897">
            <v>17</v>
          </cell>
          <cell r="T897">
            <v>4</v>
          </cell>
        </row>
        <row r="898">
          <cell r="C898" t="str">
            <v>Zillah city, Washington</v>
          </cell>
          <cell r="D898">
            <v>372</v>
          </cell>
          <cell r="E898">
            <v>255</v>
          </cell>
          <cell r="F898">
            <v>200</v>
          </cell>
          <cell r="G898">
            <v>49</v>
          </cell>
          <cell r="H898">
            <v>3</v>
          </cell>
          <cell r="I898">
            <v>5</v>
          </cell>
          <cell r="J898">
            <v>23</v>
          </cell>
          <cell r="K898">
            <v>18</v>
          </cell>
          <cell r="L898">
            <v>6</v>
          </cell>
          <cell r="M898">
            <v>0</v>
          </cell>
          <cell r="N898">
            <v>0</v>
          </cell>
          <cell r="O898">
            <v>6</v>
          </cell>
          <cell r="P898">
            <v>117</v>
          </cell>
          <cell r="Q898">
            <v>57</v>
          </cell>
          <cell r="R898">
            <v>60</v>
          </cell>
          <cell r="S898">
            <v>249</v>
          </cell>
          <cell r="T898">
            <v>123</v>
          </cell>
        </row>
      </sheetData>
      <sheetData sheetId="10">
        <row r="1">
          <cell r="C1" t="str">
            <v>GEO.display-label</v>
          </cell>
          <cell r="D1" t="str">
            <v>VD01</v>
          </cell>
          <cell r="E1" t="str">
            <v>VD02</v>
          </cell>
          <cell r="F1" t="str">
            <v>VD03</v>
          </cell>
          <cell r="G1" t="str">
            <v>VD04</v>
          </cell>
          <cell r="H1" t="str">
            <v>VD05</v>
          </cell>
          <cell r="I1" t="str">
            <v>VD06</v>
          </cell>
          <cell r="J1" t="str">
            <v>VD07</v>
          </cell>
          <cell r="K1" t="str">
            <v>VD08</v>
          </cell>
          <cell r="L1" t="str">
            <v>VD09</v>
          </cell>
          <cell r="M1" t="str">
            <v>VD10</v>
          </cell>
          <cell r="N1" t="str">
            <v>VD11</v>
          </cell>
          <cell r="O1" t="str">
            <v>VD12</v>
          </cell>
          <cell r="P1" t="str">
            <v>VD13</v>
          </cell>
          <cell r="Q1" t="str">
            <v>VD14</v>
          </cell>
          <cell r="R1" t="str">
            <v>VD15</v>
          </cell>
        </row>
        <row r="2">
          <cell r="C2" t="str">
            <v>Geography</v>
          </cell>
          <cell r="D2" t="str">
            <v>Total:</v>
          </cell>
          <cell r="E2" t="str">
            <v>Native:</v>
          </cell>
          <cell r="F2" t="str">
            <v>Native: - Born in state of residence</v>
          </cell>
          <cell r="G2" t="str">
            <v>Native: - Born in other state in the United States:</v>
          </cell>
          <cell r="H2" t="str">
            <v>Native: - Born in other state in the United States: - Northeast</v>
          </cell>
          <cell r="I2" t="str">
            <v>Native: - Born in other state in the United States: - Midwest</v>
          </cell>
          <cell r="J2" t="str">
            <v>Native: - Born in other state in the United States: - South</v>
          </cell>
          <cell r="K2" t="str">
            <v>Native: - Born in other state in the United States: - West</v>
          </cell>
          <cell r="L2" t="str">
            <v>Native: - Born outside the United States:</v>
          </cell>
          <cell r="M2" t="str">
            <v>Native: - Born outside the United States: - Puerto Rico</v>
          </cell>
          <cell r="N2" t="str">
            <v>Native: - Born outside the United States: - U.S. Island Areas</v>
          </cell>
          <cell r="O2" t="str">
            <v>Native: - Born outside the United States: - Born abroad of American parent(s)</v>
          </cell>
          <cell r="P2" t="str">
            <v>Foreign born:</v>
          </cell>
          <cell r="Q2" t="str">
            <v>Foreign born: - Naturalized citizen</v>
          </cell>
          <cell r="R2" t="str">
            <v>Foreign born: - Not a citizen</v>
          </cell>
          <cell r="S2" t="str">
            <v>Born in US</v>
          </cell>
          <cell r="T2" t="str">
            <v>Born outside US</v>
          </cell>
        </row>
        <row r="3">
          <cell r="C3" t="str">
            <v>King County, Washington</v>
          </cell>
          <cell r="D3">
            <v>76641</v>
          </cell>
          <cell r="E3">
            <v>62826</v>
          </cell>
          <cell r="F3">
            <v>37968</v>
          </cell>
          <cell r="G3">
            <v>22511</v>
          </cell>
          <cell r="H3">
            <v>1942</v>
          </cell>
          <cell r="I3">
            <v>3667</v>
          </cell>
          <cell r="J3">
            <v>3914</v>
          </cell>
          <cell r="K3">
            <v>12988</v>
          </cell>
          <cell r="L3">
            <v>2347</v>
          </cell>
          <cell r="M3">
            <v>87</v>
          </cell>
          <cell r="N3">
            <v>170</v>
          </cell>
          <cell r="O3">
            <v>2090</v>
          </cell>
          <cell r="P3">
            <v>13815</v>
          </cell>
          <cell r="Q3">
            <v>5056</v>
          </cell>
          <cell r="R3">
            <v>8759</v>
          </cell>
          <cell r="S3">
            <v>60479</v>
          </cell>
          <cell r="T3">
            <v>16162</v>
          </cell>
        </row>
        <row r="4">
          <cell r="C4" t="str">
            <v>Census Tract 1, King County, Washington</v>
          </cell>
          <cell r="D4">
            <v>318</v>
          </cell>
          <cell r="E4">
            <v>262</v>
          </cell>
          <cell r="F4">
            <v>142</v>
          </cell>
          <cell r="G4">
            <v>120</v>
          </cell>
          <cell r="H4">
            <v>19</v>
          </cell>
          <cell r="I4">
            <v>27</v>
          </cell>
          <cell r="J4">
            <v>22</v>
          </cell>
          <cell r="K4">
            <v>52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56</v>
          </cell>
          <cell r="Q4">
            <v>18</v>
          </cell>
          <cell r="R4">
            <v>38</v>
          </cell>
          <cell r="S4">
            <v>262</v>
          </cell>
          <cell r="T4">
            <v>56</v>
          </cell>
        </row>
        <row r="5">
          <cell r="C5" t="str">
            <v>Census Tract 2, King County, Washington</v>
          </cell>
          <cell r="D5">
            <v>444</v>
          </cell>
          <cell r="E5">
            <v>306</v>
          </cell>
          <cell r="F5">
            <v>210</v>
          </cell>
          <cell r="G5">
            <v>79</v>
          </cell>
          <cell r="H5">
            <v>0</v>
          </cell>
          <cell r="I5">
            <v>20</v>
          </cell>
          <cell r="J5">
            <v>18</v>
          </cell>
          <cell r="K5">
            <v>41</v>
          </cell>
          <cell r="L5">
            <v>17</v>
          </cell>
          <cell r="M5">
            <v>0</v>
          </cell>
          <cell r="N5">
            <v>0</v>
          </cell>
          <cell r="O5">
            <v>17</v>
          </cell>
          <cell r="P5">
            <v>138</v>
          </cell>
          <cell r="Q5">
            <v>20</v>
          </cell>
          <cell r="R5">
            <v>118</v>
          </cell>
          <cell r="S5">
            <v>289</v>
          </cell>
          <cell r="T5">
            <v>155</v>
          </cell>
        </row>
        <row r="6">
          <cell r="C6" t="str">
            <v>Census Tract 3, King County, Washington</v>
          </cell>
          <cell r="D6">
            <v>157</v>
          </cell>
          <cell r="E6">
            <v>115</v>
          </cell>
          <cell r="F6">
            <v>105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10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42</v>
          </cell>
          <cell r="Q6">
            <v>42</v>
          </cell>
          <cell r="R6">
            <v>0</v>
          </cell>
          <cell r="S6">
            <v>115</v>
          </cell>
          <cell r="T6">
            <v>42</v>
          </cell>
        </row>
        <row r="7">
          <cell r="C7" t="str">
            <v>Census Tract 4.01, King County, Washington</v>
          </cell>
          <cell r="D7">
            <v>305</v>
          </cell>
          <cell r="E7">
            <v>201</v>
          </cell>
          <cell r="F7">
            <v>123</v>
          </cell>
          <cell r="G7">
            <v>70</v>
          </cell>
          <cell r="H7">
            <v>0</v>
          </cell>
          <cell r="I7">
            <v>24</v>
          </cell>
          <cell r="J7">
            <v>10</v>
          </cell>
          <cell r="K7">
            <v>36</v>
          </cell>
          <cell r="L7">
            <v>8</v>
          </cell>
          <cell r="M7">
            <v>8</v>
          </cell>
          <cell r="N7">
            <v>0</v>
          </cell>
          <cell r="O7">
            <v>0</v>
          </cell>
          <cell r="P7">
            <v>104</v>
          </cell>
          <cell r="Q7">
            <v>42</v>
          </cell>
          <cell r="R7">
            <v>62</v>
          </cell>
          <cell r="S7">
            <v>193</v>
          </cell>
          <cell r="T7">
            <v>112</v>
          </cell>
        </row>
        <row r="8">
          <cell r="C8" t="str">
            <v>Census Tract 4.02, King County, Washington</v>
          </cell>
          <cell r="D8">
            <v>155</v>
          </cell>
          <cell r="E8">
            <v>146</v>
          </cell>
          <cell r="F8">
            <v>75</v>
          </cell>
          <cell r="G8">
            <v>71</v>
          </cell>
          <cell r="H8">
            <v>0</v>
          </cell>
          <cell r="I8">
            <v>25</v>
          </cell>
          <cell r="J8">
            <v>0</v>
          </cell>
          <cell r="K8">
            <v>46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9</v>
          </cell>
          <cell r="Q8">
            <v>9</v>
          </cell>
          <cell r="R8">
            <v>0</v>
          </cell>
          <cell r="S8">
            <v>146</v>
          </cell>
          <cell r="T8">
            <v>9</v>
          </cell>
        </row>
        <row r="9">
          <cell r="C9" t="str">
            <v>Census Tract 5, King County, Washington</v>
          </cell>
          <cell r="D9">
            <v>90</v>
          </cell>
          <cell r="E9">
            <v>90</v>
          </cell>
          <cell r="F9">
            <v>71</v>
          </cell>
          <cell r="G9">
            <v>19</v>
          </cell>
          <cell r="H9">
            <v>0</v>
          </cell>
          <cell r="I9">
            <v>14</v>
          </cell>
          <cell r="J9">
            <v>0</v>
          </cell>
          <cell r="K9">
            <v>5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90</v>
          </cell>
          <cell r="T9">
            <v>0</v>
          </cell>
        </row>
        <row r="10">
          <cell r="C10" t="str">
            <v>Census Tract 6, King County, Washington</v>
          </cell>
          <cell r="D10">
            <v>568</v>
          </cell>
          <cell r="E10">
            <v>340</v>
          </cell>
          <cell r="F10">
            <v>190</v>
          </cell>
          <cell r="G10">
            <v>150</v>
          </cell>
          <cell r="H10">
            <v>34</v>
          </cell>
          <cell r="I10">
            <v>33</v>
          </cell>
          <cell r="J10">
            <v>26</v>
          </cell>
          <cell r="K10">
            <v>57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228</v>
          </cell>
          <cell r="Q10">
            <v>74</v>
          </cell>
          <cell r="R10">
            <v>154</v>
          </cell>
          <cell r="S10">
            <v>340</v>
          </cell>
          <cell r="T10">
            <v>228</v>
          </cell>
        </row>
        <row r="11">
          <cell r="C11" t="str">
            <v>Census Tract 7, King County, Washington</v>
          </cell>
          <cell r="D11">
            <v>179</v>
          </cell>
          <cell r="E11">
            <v>137</v>
          </cell>
          <cell r="F11">
            <v>78</v>
          </cell>
          <cell r="G11">
            <v>59</v>
          </cell>
          <cell r="H11">
            <v>6</v>
          </cell>
          <cell r="I11">
            <v>8</v>
          </cell>
          <cell r="J11">
            <v>0</v>
          </cell>
          <cell r="K11">
            <v>45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42</v>
          </cell>
          <cell r="Q11">
            <v>0</v>
          </cell>
          <cell r="R11">
            <v>42</v>
          </cell>
          <cell r="S11">
            <v>137</v>
          </cell>
          <cell r="T11">
            <v>42</v>
          </cell>
        </row>
        <row r="12">
          <cell r="C12" t="str">
            <v>Census Tract 8, King County, Washington</v>
          </cell>
          <cell r="D12">
            <v>83</v>
          </cell>
          <cell r="E12">
            <v>56</v>
          </cell>
          <cell r="F12">
            <v>52</v>
          </cell>
          <cell r="G12">
            <v>4</v>
          </cell>
          <cell r="H12">
            <v>0</v>
          </cell>
          <cell r="I12">
            <v>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27</v>
          </cell>
          <cell r="Q12">
            <v>12</v>
          </cell>
          <cell r="R12">
            <v>15</v>
          </cell>
          <cell r="S12">
            <v>56</v>
          </cell>
          <cell r="T12">
            <v>27</v>
          </cell>
        </row>
        <row r="13">
          <cell r="C13" t="str">
            <v>Census Tract 9, King County, Washington</v>
          </cell>
          <cell r="D13">
            <v>20</v>
          </cell>
          <cell r="E13">
            <v>20</v>
          </cell>
          <cell r="F13">
            <v>16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4</v>
          </cell>
          <cell r="M13">
            <v>0</v>
          </cell>
          <cell r="N13">
            <v>0</v>
          </cell>
          <cell r="O13">
            <v>4</v>
          </cell>
          <cell r="P13">
            <v>0</v>
          </cell>
          <cell r="Q13">
            <v>0</v>
          </cell>
          <cell r="R13">
            <v>0</v>
          </cell>
          <cell r="S13">
            <v>16</v>
          </cell>
          <cell r="T13">
            <v>4</v>
          </cell>
        </row>
        <row r="14">
          <cell r="C14" t="str">
            <v>Census Tract 10, King County, Washington</v>
          </cell>
          <cell r="D14">
            <v>113</v>
          </cell>
          <cell r="E14">
            <v>101</v>
          </cell>
          <cell r="F14">
            <v>60</v>
          </cell>
          <cell r="G14">
            <v>35</v>
          </cell>
          <cell r="H14">
            <v>0</v>
          </cell>
          <cell r="I14">
            <v>17</v>
          </cell>
          <cell r="J14">
            <v>0</v>
          </cell>
          <cell r="K14">
            <v>18</v>
          </cell>
          <cell r="L14">
            <v>6</v>
          </cell>
          <cell r="M14">
            <v>0</v>
          </cell>
          <cell r="N14">
            <v>0</v>
          </cell>
          <cell r="O14">
            <v>6</v>
          </cell>
          <cell r="P14">
            <v>12</v>
          </cell>
          <cell r="Q14">
            <v>0</v>
          </cell>
          <cell r="R14">
            <v>12</v>
          </cell>
          <cell r="S14">
            <v>95</v>
          </cell>
          <cell r="T14">
            <v>18</v>
          </cell>
        </row>
        <row r="15">
          <cell r="C15" t="str">
            <v>Census Tract 11, King County, Washington</v>
          </cell>
          <cell r="D15">
            <v>99</v>
          </cell>
          <cell r="E15">
            <v>99</v>
          </cell>
          <cell r="F15">
            <v>73</v>
          </cell>
          <cell r="G15">
            <v>21</v>
          </cell>
          <cell r="H15">
            <v>7</v>
          </cell>
          <cell r="I15">
            <v>5</v>
          </cell>
          <cell r="J15">
            <v>0</v>
          </cell>
          <cell r="K15">
            <v>9</v>
          </cell>
          <cell r="L15">
            <v>5</v>
          </cell>
          <cell r="M15">
            <v>0</v>
          </cell>
          <cell r="N15">
            <v>0</v>
          </cell>
          <cell r="O15">
            <v>5</v>
          </cell>
          <cell r="P15">
            <v>0</v>
          </cell>
          <cell r="Q15">
            <v>0</v>
          </cell>
          <cell r="R15">
            <v>0</v>
          </cell>
          <cell r="S15">
            <v>94</v>
          </cell>
          <cell r="T15">
            <v>5</v>
          </cell>
        </row>
        <row r="16">
          <cell r="C16" t="str">
            <v>Census Tract 12, King County, Washington</v>
          </cell>
          <cell r="D16">
            <v>427</v>
          </cell>
          <cell r="E16">
            <v>200</v>
          </cell>
          <cell r="F16">
            <v>130</v>
          </cell>
          <cell r="G16">
            <v>39</v>
          </cell>
          <cell r="H16">
            <v>7</v>
          </cell>
          <cell r="I16">
            <v>0</v>
          </cell>
          <cell r="J16">
            <v>7</v>
          </cell>
          <cell r="K16">
            <v>25</v>
          </cell>
          <cell r="L16">
            <v>31</v>
          </cell>
          <cell r="M16">
            <v>0</v>
          </cell>
          <cell r="N16">
            <v>15</v>
          </cell>
          <cell r="O16">
            <v>16</v>
          </cell>
          <cell r="P16">
            <v>227</v>
          </cell>
          <cell r="Q16">
            <v>68</v>
          </cell>
          <cell r="R16">
            <v>159</v>
          </cell>
          <cell r="S16">
            <v>169</v>
          </cell>
          <cell r="T16">
            <v>258</v>
          </cell>
        </row>
        <row r="17">
          <cell r="C17" t="str">
            <v>Census Tract 13, King County, Washington</v>
          </cell>
          <cell r="D17">
            <v>330</v>
          </cell>
          <cell r="E17">
            <v>272</v>
          </cell>
          <cell r="F17">
            <v>118</v>
          </cell>
          <cell r="G17">
            <v>151</v>
          </cell>
          <cell r="H17">
            <v>0</v>
          </cell>
          <cell r="I17">
            <v>8</v>
          </cell>
          <cell r="J17">
            <v>52</v>
          </cell>
          <cell r="K17">
            <v>91</v>
          </cell>
          <cell r="L17">
            <v>3</v>
          </cell>
          <cell r="M17">
            <v>0</v>
          </cell>
          <cell r="N17">
            <v>0</v>
          </cell>
          <cell r="O17">
            <v>3</v>
          </cell>
          <cell r="P17">
            <v>58</v>
          </cell>
          <cell r="Q17">
            <v>22</v>
          </cell>
          <cell r="R17">
            <v>36</v>
          </cell>
          <cell r="S17">
            <v>269</v>
          </cell>
          <cell r="T17">
            <v>61</v>
          </cell>
        </row>
        <row r="18">
          <cell r="C18" t="str">
            <v>Census Tract 14, King County, Washington</v>
          </cell>
          <cell r="D18">
            <v>178</v>
          </cell>
          <cell r="E18">
            <v>165</v>
          </cell>
          <cell r="F18">
            <v>108</v>
          </cell>
          <cell r="G18">
            <v>51</v>
          </cell>
          <cell r="H18">
            <v>0</v>
          </cell>
          <cell r="I18">
            <v>0</v>
          </cell>
          <cell r="J18">
            <v>5</v>
          </cell>
          <cell r="K18">
            <v>46</v>
          </cell>
          <cell r="L18">
            <v>6</v>
          </cell>
          <cell r="M18">
            <v>0</v>
          </cell>
          <cell r="N18">
            <v>0</v>
          </cell>
          <cell r="O18">
            <v>6</v>
          </cell>
          <cell r="P18">
            <v>13</v>
          </cell>
          <cell r="Q18">
            <v>0</v>
          </cell>
          <cell r="R18">
            <v>13</v>
          </cell>
          <cell r="S18">
            <v>159</v>
          </cell>
          <cell r="T18">
            <v>19</v>
          </cell>
        </row>
        <row r="19">
          <cell r="C19" t="str">
            <v>Census Tract 15, King County, Washington</v>
          </cell>
          <cell r="D19">
            <v>58</v>
          </cell>
          <cell r="E19">
            <v>58</v>
          </cell>
          <cell r="F19">
            <v>50</v>
          </cell>
          <cell r="G19">
            <v>8</v>
          </cell>
          <cell r="H19">
            <v>0</v>
          </cell>
          <cell r="I19">
            <v>0</v>
          </cell>
          <cell r="J19">
            <v>0</v>
          </cell>
          <cell r="K19">
            <v>8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58</v>
          </cell>
          <cell r="T19">
            <v>0</v>
          </cell>
        </row>
        <row r="20">
          <cell r="C20" t="str">
            <v>Census Tract 16, King County, Washington</v>
          </cell>
          <cell r="D20">
            <v>107</v>
          </cell>
          <cell r="E20">
            <v>82</v>
          </cell>
          <cell r="F20">
            <v>70</v>
          </cell>
          <cell r="G20">
            <v>12</v>
          </cell>
          <cell r="H20">
            <v>0</v>
          </cell>
          <cell r="I20">
            <v>0</v>
          </cell>
          <cell r="J20">
            <v>12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25</v>
          </cell>
          <cell r="Q20">
            <v>10</v>
          </cell>
          <cell r="R20">
            <v>15</v>
          </cell>
          <cell r="S20">
            <v>82</v>
          </cell>
          <cell r="T20">
            <v>25</v>
          </cell>
        </row>
        <row r="21">
          <cell r="C21" t="str">
            <v>Census Tract 17, King County, Washington</v>
          </cell>
          <cell r="D21">
            <v>491</v>
          </cell>
          <cell r="E21">
            <v>388</v>
          </cell>
          <cell r="F21">
            <v>167</v>
          </cell>
          <cell r="G21">
            <v>221</v>
          </cell>
          <cell r="H21">
            <v>14</v>
          </cell>
          <cell r="I21">
            <v>18</v>
          </cell>
          <cell r="J21">
            <v>25</v>
          </cell>
          <cell r="K21">
            <v>164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103</v>
          </cell>
          <cell r="Q21">
            <v>0</v>
          </cell>
          <cell r="R21">
            <v>103</v>
          </cell>
          <cell r="S21">
            <v>388</v>
          </cell>
          <cell r="T21">
            <v>103</v>
          </cell>
        </row>
        <row r="22">
          <cell r="C22" t="str">
            <v>Census Tract 18, King County, Washington</v>
          </cell>
          <cell r="D22">
            <v>224</v>
          </cell>
          <cell r="E22">
            <v>177</v>
          </cell>
          <cell r="F22">
            <v>91</v>
          </cell>
          <cell r="G22">
            <v>56</v>
          </cell>
          <cell r="H22">
            <v>0</v>
          </cell>
          <cell r="I22">
            <v>0</v>
          </cell>
          <cell r="J22">
            <v>7</v>
          </cell>
          <cell r="K22">
            <v>49</v>
          </cell>
          <cell r="L22">
            <v>30</v>
          </cell>
          <cell r="M22">
            <v>0</v>
          </cell>
          <cell r="N22">
            <v>5</v>
          </cell>
          <cell r="O22">
            <v>25</v>
          </cell>
          <cell r="P22">
            <v>47</v>
          </cell>
          <cell r="Q22">
            <v>34</v>
          </cell>
          <cell r="R22">
            <v>13</v>
          </cell>
          <cell r="S22">
            <v>147</v>
          </cell>
          <cell r="T22">
            <v>77</v>
          </cell>
        </row>
        <row r="23">
          <cell r="C23" t="str">
            <v>Census Tract 19, King County, Washington</v>
          </cell>
          <cell r="D23">
            <v>160</v>
          </cell>
          <cell r="E23">
            <v>150</v>
          </cell>
          <cell r="F23">
            <v>100</v>
          </cell>
          <cell r="G23">
            <v>39</v>
          </cell>
          <cell r="H23">
            <v>14</v>
          </cell>
          <cell r="I23">
            <v>12</v>
          </cell>
          <cell r="J23">
            <v>8</v>
          </cell>
          <cell r="K23">
            <v>5</v>
          </cell>
          <cell r="L23">
            <v>11</v>
          </cell>
          <cell r="M23">
            <v>0</v>
          </cell>
          <cell r="N23">
            <v>0</v>
          </cell>
          <cell r="O23">
            <v>11</v>
          </cell>
          <cell r="P23">
            <v>10</v>
          </cell>
          <cell r="Q23">
            <v>10</v>
          </cell>
          <cell r="R23">
            <v>0</v>
          </cell>
          <cell r="S23">
            <v>139</v>
          </cell>
          <cell r="T23">
            <v>21</v>
          </cell>
        </row>
        <row r="24">
          <cell r="C24" t="str">
            <v>Census Tract 20, King County, Washington</v>
          </cell>
          <cell r="D24">
            <v>197</v>
          </cell>
          <cell r="E24">
            <v>182</v>
          </cell>
          <cell r="F24">
            <v>132</v>
          </cell>
          <cell r="G24">
            <v>50</v>
          </cell>
          <cell r="H24">
            <v>15</v>
          </cell>
          <cell r="I24">
            <v>17</v>
          </cell>
          <cell r="J24">
            <v>10</v>
          </cell>
          <cell r="K24">
            <v>8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15</v>
          </cell>
          <cell r="Q24">
            <v>5</v>
          </cell>
          <cell r="R24">
            <v>10</v>
          </cell>
          <cell r="S24">
            <v>182</v>
          </cell>
          <cell r="T24">
            <v>15</v>
          </cell>
        </row>
        <row r="25">
          <cell r="C25" t="str">
            <v>Census Tract 21, King County, Washington</v>
          </cell>
          <cell r="D25">
            <v>141</v>
          </cell>
          <cell r="E25">
            <v>116</v>
          </cell>
          <cell r="F25">
            <v>91</v>
          </cell>
          <cell r="G25">
            <v>13</v>
          </cell>
          <cell r="H25">
            <v>0</v>
          </cell>
          <cell r="I25">
            <v>0</v>
          </cell>
          <cell r="J25">
            <v>5</v>
          </cell>
          <cell r="K25">
            <v>8</v>
          </cell>
          <cell r="L25">
            <v>12</v>
          </cell>
          <cell r="M25">
            <v>0</v>
          </cell>
          <cell r="N25">
            <v>6</v>
          </cell>
          <cell r="O25">
            <v>6</v>
          </cell>
          <cell r="P25">
            <v>25</v>
          </cell>
          <cell r="Q25">
            <v>12</v>
          </cell>
          <cell r="R25">
            <v>13</v>
          </cell>
          <cell r="S25">
            <v>104</v>
          </cell>
          <cell r="T25">
            <v>37</v>
          </cell>
        </row>
        <row r="26">
          <cell r="C26" t="str">
            <v>Census Tract 22, King County, Washington</v>
          </cell>
          <cell r="D26">
            <v>218</v>
          </cell>
          <cell r="E26">
            <v>201</v>
          </cell>
          <cell r="F26">
            <v>121</v>
          </cell>
          <cell r="G26">
            <v>50</v>
          </cell>
          <cell r="H26">
            <v>0</v>
          </cell>
          <cell r="I26">
            <v>8</v>
          </cell>
          <cell r="J26">
            <v>25</v>
          </cell>
          <cell r="K26">
            <v>17</v>
          </cell>
          <cell r="L26">
            <v>30</v>
          </cell>
          <cell r="M26">
            <v>0</v>
          </cell>
          <cell r="N26">
            <v>0</v>
          </cell>
          <cell r="O26">
            <v>30</v>
          </cell>
          <cell r="P26">
            <v>17</v>
          </cell>
          <cell r="Q26">
            <v>11</v>
          </cell>
          <cell r="R26">
            <v>6</v>
          </cell>
          <cell r="S26">
            <v>171</v>
          </cell>
          <cell r="T26">
            <v>47</v>
          </cell>
        </row>
        <row r="27">
          <cell r="C27" t="str">
            <v>Census Tract 24, King County, Washington</v>
          </cell>
          <cell r="D27">
            <v>152</v>
          </cell>
          <cell r="E27">
            <v>118</v>
          </cell>
          <cell r="F27">
            <v>51</v>
          </cell>
          <cell r="G27">
            <v>65</v>
          </cell>
          <cell r="H27">
            <v>17</v>
          </cell>
          <cell r="I27">
            <v>16</v>
          </cell>
          <cell r="J27">
            <v>5</v>
          </cell>
          <cell r="K27">
            <v>27</v>
          </cell>
          <cell r="L27">
            <v>2</v>
          </cell>
          <cell r="M27">
            <v>0</v>
          </cell>
          <cell r="N27">
            <v>0</v>
          </cell>
          <cell r="O27">
            <v>2</v>
          </cell>
          <cell r="P27">
            <v>34</v>
          </cell>
          <cell r="Q27">
            <v>0</v>
          </cell>
          <cell r="R27">
            <v>34</v>
          </cell>
          <cell r="S27">
            <v>116</v>
          </cell>
          <cell r="T27">
            <v>36</v>
          </cell>
        </row>
        <row r="28">
          <cell r="C28" t="str">
            <v>Census Tract 25, King County, Washington</v>
          </cell>
          <cell r="D28">
            <v>90</v>
          </cell>
          <cell r="E28">
            <v>70</v>
          </cell>
          <cell r="F28">
            <v>43</v>
          </cell>
          <cell r="G28">
            <v>27</v>
          </cell>
          <cell r="H28">
            <v>13</v>
          </cell>
          <cell r="I28">
            <v>0</v>
          </cell>
          <cell r="J28">
            <v>8</v>
          </cell>
          <cell r="K28">
            <v>6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20</v>
          </cell>
          <cell r="Q28">
            <v>11</v>
          </cell>
          <cell r="R28">
            <v>9</v>
          </cell>
          <cell r="S28">
            <v>70</v>
          </cell>
          <cell r="T28">
            <v>20</v>
          </cell>
        </row>
        <row r="29">
          <cell r="C29" t="str">
            <v>Census Tract 26, King County, Washington</v>
          </cell>
          <cell r="D29">
            <v>165</v>
          </cell>
          <cell r="E29">
            <v>154</v>
          </cell>
          <cell r="F29">
            <v>99</v>
          </cell>
          <cell r="G29">
            <v>41</v>
          </cell>
          <cell r="H29">
            <v>0</v>
          </cell>
          <cell r="I29">
            <v>0</v>
          </cell>
          <cell r="J29">
            <v>4</v>
          </cell>
          <cell r="K29">
            <v>37</v>
          </cell>
          <cell r="L29">
            <v>14</v>
          </cell>
          <cell r="M29">
            <v>0</v>
          </cell>
          <cell r="N29">
            <v>0</v>
          </cell>
          <cell r="O29">
            <v>14</v>
          </cell>
          <cell r="P29">
            <v>11</v>
          </cell>
          <cell r="Q29">
            <v>0</v>
          </cell>
          <cell r="R29">
            <v>11</v>
          </cell>
          <cell r="S29">
            <v>140</v>
          </cell>
          <cell r="T29">
            <v>25</v>
          </cell>
        </row>
        <row r="30">
          <cell r="C30" t="str">
            <v>Census Tract 27, King County, Washington</v>
          </cell>
          <cell r="D30">
            <v>189</v>
          </cell>
          <cell r="E30">
            <v>181</v>
          </cell>
          <cell r="F30">
            <v>107</v>
          </cell>
          <cell r="G30">
            <v>64</v>
          </cell>
          <cell r="H30">
            <v>0</v>
          </cell>
          <cell r="I30">
            <v>7</v>
          </cell>
          <cell r="J30">
            <v>0</v>
          </cell>
          <cell r="K30">
            <v>57</v>
          </cell>
          <cell r="L30">
            <v>10</v>
          </cell>
          <cell r="M30">
            <v>0</v>
          </cell>
          <cell r="N30">
            <v>0</v>
          </cell>
          <cell r="O30">
            <v>10</v>
          </cell>
          <cell r="P30">
            <v>8</v>
          </cell>
          <cell r="Q30">
            <v>8</v>
          </cell>
          <cell r="R30">
            <v>0</v>
          </cell>
          <cell r="S30">
            <v>171</v>
          </cell>
          <cell r="T30">
            <v>18</v>
          </cell>
        </row>
        <row r="31">
          <cell r="C31" t="str">
            <v>Census Tract 28, King County, Washington</v>
          </cell>
          <cell r="D31">
            <v>111</v>
          </cell>
          <cell r="E31">
            <v>111</v>
          </cell>
          <cell r="F31">
            <v>43</v>
          </cell>
          <cell r="G31">
            <v>56</v>
          </cell>
          <cell r="H31">
            <v>0</v>
          </cell>
          <cell r="I31">
            <v>24</v>
          </cell>
          <cell r="J31">
            <v>0</v>
          </cell>
          <cell r="K31">
            <v>32</v>
          </cell>
          <cell r="L31">
            <v>12</v>
          </cell>
          <cell r="M31">
            <v>0</v>
          </cell>
          <cell r="N31">
            <v>0</v>
          </cell>
          <cell r="O31">
            <v>12</v>
          </cell>
          <cell r="P31">
            <v>0</v>
          </cell>
          <cell r="Q31">
            <v>0</v>
          </cell>
          <cell r="R31">
            <v>0</v>
          </cell>
          <cell r="S31">
            <v>99</v>
          </cell>
          <cell r="T31">
            <v>12</v>
          </cell>
        </row>
        <row r="32">
          <cell r="C32" t="str">
            <v>Census Tract 29, King County, Washington</v>
          </cell>
          <cell r="D32">
            <v>174</v>
          </cell>
          <cell r="E32">
            <v>163</v>
          </cell>
          <cell r="F32">
            <v>114</v>
          </cell>
          <cell r="G32">
            <v>36</v>
          </cell>
          <cell r="H32">
            <v>0</v>
          </cell>
          <cell r="I32">
            <v>12</v>
          </cell>
          <cell r="J32">
            <v>6</v>
          </cell>
          <cell r="K32">
            <v>18</v>
          </cell>
          <cell r="L32">
            <v>13</v>
          </cell>
          <cell r="M32">
            <v>0</v>
          </cell>
          <cell r="N32">
            <v>0</v>
          </cell>
          <cell r="O32">
            <v>13</v>
          </cell>
          <cell r="P32">
            <v>11</v>
          </cell>
          <cell r="Q32">
            <v>7</v>
          </cell>
          <cell r="R32">
            <v>4</v>
          </cell>
          <cell r="S32">
            <v>150</v>
          </cell>
          <cell r="T32">
            <v>24</v>
          </cell>
        </row>
        <row r="33">
          <cell r="C33" t="str">
            <v>Census Tract 30, King County, Washington</v>
          </cell>
          <cell r="D33">
            <v>188</v>
          </cell>
          <cell r="E33">
            <v>179</v>
          </cell>
          <cell r="F33">
            <v>85</v>
          </cell>
          <cell r="G33">
            <v>94</v>
          </cell>
          <cell r="H33">
            <v>19</v>
          </cell>
          <cell r="I33">
            <v>0</v>
          </cell>
          <cell r="J33">
            <v>7</v>
          </cell>
          <cell r="K33">
            <v>68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9</v>
          </cell>
          <cell r="Q33">
            <v>0</v>
          </cell>
          <cell r="R33">
            <v>9</v>
          </cell>
          <cell r="S33">
            <v>179</v>
          </cell>
          <cell r="T33">
            <v>9</v>
          </cell>
        </row>
        <row r="34">
          <cell r="C34" t="str">
            <v>Census Tract 31, King County, Washington</v>
          </cell>
          <cell r="D34">
            <v>99</v>
          </cell>
          <cell r="E34">
            <v>87</v>
          </cell>
          <cell r="F34">
            <v>43</v>
          </cell>
          <cell r="G34">
            <v>34</v>
          </cell>
          <cell r="H34">
            <v>0</v>
          </cell>
          <cell r="I34">
            <v>19</v>
          </cell>
          <cell r="J34">
            <v>8</v>
          </cell>
          <cell r="K34">
            <v>7</v>
          </cell>
          <cell r="L34">
            <v>10</v>
          </cell>
          <cell r="M34">
            <v>0</v>
          </cell>
          <cell r="N34">
            <v>0</v>
          </cell>
          <cell r="O34">
            <v>10</v>
          </cell>
          <cell r="P34">
            <v>12</v>
          </cell>
          <cell r="Q34">
            <v>0</v>
          </cell>
          <cell r="R34">
            <v>12</v>
          </cell>
          <cell r="S34">
            <v>77</v>
          </cell>
          <cell r="T34">
            <v>22</v>
          </cell>
        </row>
        <row r="35">
          <cell r="C35" t="str">
            <v>Census Tract 32, King County, Washington</v>
          </cell>
          <cell r="D35">
            <v>265</v>
          </cell>
          <cell r="E35">
            <v>227</v>
          </cell>
          <cell r="F35">
            <v>142</v>
          </cell>
          <cell r="G35">
            <v>49</v>
          </cell>
          <cell r="H35">
            <v>0</v>
          </cell>
          <cell r="I35">
            <v>0</v>
          </cell>
          <cell r="J35">
            <v>30</v>
          </cell>
          <cell r="K35">
            <v>19</v>
          </cell>
          <cell r="L35">
            <v>36</v>
          </cell>
          <cell r="M35">
            <v>0</v>
          </cell>
          <cell r="N35">
            <v>0</v>
          </cell>
          <cell r="O35">
            <v>36</v>
          </cell>
          <cell r="P35">
            <v>38</v>
          </cell>
          <cell r="Q35">
            <v>21</v>
          </cell>
          <cell r="R35">
            <v>17</v>
          </cell>
          <cell r="S35">
            <v>191</v>
          </cell>
          <cell r="T35">
            <v>74</v>
          </cell>
        </row>
        <row r="36">
          <cell r="C36" t="str">
            <v>Census Tract 33, King County, Washington</v>
          </cell>
          <cell r="D36">
            <v>316</v>
          </cell>
          <cell r="E36">
            <v>261</v>
          </cell>
          <cell r="F36">
            <v>132</v>
          </cell>
          <cell r="G36">
            <v>129</v>
          </cell>
          <cell r="H36">
            <v>15</v>
          </cell>
          <cell r="I36">
            <v>6</v>
          </cell>
          <cell r="J36">
            <v>48</v>
          </cell>
          <cell r="K36">
            <v>60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55</v>
          </cell>
          <cell r="Q36">
            <v>9</v>
          </cell>
          <cell r="R36">
            <v>46</v>
          </cell>
          <cell r="S36">
            <v>261</v>
          </cell>
          <cell r="T36">
            <v>55</v>
          </cell>
        </row>
        <row r="37">
          <cell r="C37" t="str">
            <v>Census Tract 34, King County, Washington</v>
          </cell>
          <cell r="D37">
            <v>146</v>
          </cell>
          <cell r="E37">
            <v>146</v>
          </cell>
          <cell r="F37">
            <v>98</v>
          </cell>
          <cell r="G37">
            <v>48</v>
          </cell>
          <cell r="H37">
            <v>0</v>
          </cell>
          <cell r="I37">
            <v>17</v>
          </cell>
          <cell r="J37">
            <v>0</v>
          </cell>
          <cell r="K37">
            <v>31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146</v>
          </cell>
          <cell r="T37">
            <v>0</v>
          </cell>
        </row>
        <row r="38">
          <cell r="C38" t="str">
            <v>Census Tract 35, King County, Washington</v>
          </cell>
          <cell r="D38">
            <v>151</v>
          </cell>
          <cell r="E38">
            <v>129</v>
          </cell>
          <cell r="F38">
            <v>70</v>
          </cell>
          <cell r="G38">
            <v>59</v>
          </cell>
          <cell r="H38">
            <v>8</v>
          </cell>
          <cell r="I38">
            <v>0</v>
          </cell>
          <cell r="J38">
            <v>8</v>
          </cell>
          <cell r="K38">
            <v>43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22</v>
          </cell>
          <cell r="Q38">
            <v>22</v>
          </cell>
          <cell r="R38">
            <v>0</v>
          </cell>
          <cell r="S38">
            <v>129</v>
          </cell>
          <cell r="T38">
            <v>22</v>
          </cell>
        </row>
        <row r="39">
          <cell r="C39" t="str">
            <v>Census Tract 36, King County, Washington</v>
          </cell>
          <cell r="D39">
            <v>249</v>
          </cell>
          <cell r="E39">
            <v>233</v>
          </cell>
          <cell r="F39">
            <v>122</v>
          </cell>
          <cell r="G39">
            <v>60</v>
          </cell>
          <cell r="H39">
            <v>0</v>
          </cell>
          <cell r="I39">
            <v>0</v>
          </cell>
          <cell r="J39">
            <v>17</v>
          </cell>
          <cell r="K39">
            <v>43</v>
          </cell>
          <cell r="L39">
            <v>51</v>
          </cell>
          <cell r="M39">
            <v>7</v>
          </cell>
          <cell r="N39">
            <v>0</v>
          </cell>
          <cell r="O39">
            <v>44</v>
          </cell>
          <cell r="P39">
            <v>16</v>
          </cell>
          <cell r="Q39">
            <v>7</v>
          </cell>
          <cell r="R39">
            <v>9</v>
          </cell>
          <cell r="S39">
            <v>182</v>
          </cell>
          <cell r="T39">
            <v>67</v>
          </cell>
        </row>
        <row r="40">
          <cell r="C40" t="str">
            <v>Census Tract 38, King County, Washington</v>
          </cell>
          <cell r="D40">
            <v>51</v>
          </cell>
          <cell r="E40">
            <v>46</v>
          </cell>
          <cell r="F40">
            <v>36</v>
          </cell>
          <cell r="G40">
            <v>10</v>
          </cell>
          <cell r="H40">
            <v>0</v>
          </cell>
          <cell r="I40">
            <v>0</v>
          </cell>
          <cell r="J40">
            <v>10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5</v>
          </cell>
          <cell r="Q40">
            <v>5</v>
          </cell>
          <cell r="R40">
            <v>0</v>
          </cell>
          <cell r="S40">
            <v>46</v>
          </cell>
          <cell r="T40">
            <v>5</v>
          </cell>
        </row>
        <row r="41">
          <cell r="C41" t="str">
            <v>Census Tract 39, King County, Washington</v>
          </cell>
          <cell r="D41">
            <v>168</v>
          </cell>
          <cell r="E41">
            <v>160</v>
          </cell>
          <cell r="F41">
            <v>108</v>
          </cell>
          <cell r="G41">
            <v>44</v>
          </cell>
          <cell r="H41">
            <v>0</v>
          </cell>
          <cell r="I41">
            <v>14</v>
          </cell>
          <cell r="J41">
            <v>0</v>
          </cell>
          <cell r="K41">
            <v>30</v>
          </cell>
          <cell r="L41">
            <v>8</v>
          </cell>
          <cell r="M41">
            <v>0</v>
          </cell>
          <cell r="N41">
            <v>0</v>
          </cell>
          <cell r="O41">
            <v>8</v>
          </cell>
          <cell r="P41">
            <v>8</v>
          </cell>
          <cell r="Q41">
            <v>0</v>
          </cell>
          <cell r="R41">
            <v>8</v>
          </cell>
          <cell r="S41">
            <v>152</v>
          </cell>
          <cell r="T41">
            <v>16</v>
          </cell>
        </row>
        <row r="42">
          <cell r="C42" t="str">
            <v>Census Tract 40, King County, Washington</v>
          </cell>
          <cell r="D42">
            <v>63</v>
          </cell>
          <cell r="E42">
            <v>51</v>
          </cell>
          <cell r="F42">
            <v>36</v>
          </cell>
          <cell r="G42">
            <v>6</v>
          </cell>
          <cell r="H42">
            <v>0</v>
          </cell>
          <cell r="I42">
            <v>6</v>
          </cell>
          <cell r="J42">
            <v>0</v>
          </cell>
          <cell r="K42">
            <v>0</v>
          </cell>
          <cell r="L42">
            <v>9</v>
          </cell>
          <cell r="M42">
            <v>0</v>
          </cell>
          <cell r="N42">
            <v>0</v>
          </cell>
          <cell r="O42">
            <v>9</v>
          </cell>
          <cell r="P42">
            <v>12</v>
          </cell>
          <cell r="Q42">
            <v>7</v>
          </cell>
          <cell r="R42">
            <v>5</v>
          </cell>
          <cell r="S42">
            <v>42</v>
          </cell>
          <cell r="T42">
            <v>21</v>
          </cell>
        </row>
        <row r="43">
          <cell r="C43" t="str">
            <v>Census Tract 41, King County, Washington</v>
          </cell>
          <cell r="D43">
            <v>208</v>
          </cell>
          <cell r="E43">
            <v>194</v>
          </cell>
          <cell r="F43">
            <v>101</v>
          </cell>
          <cell r="G43">
            <v>83</v>
          </cell>
          <cell r="H43">
            <v>0</v>
          </cell>
          <cell r="I43">
            <v>16</v>
          </cell>
          <cell r="J43">
            <v>9</v>
          </cell>
          <cell r="K43">
            <v>58</v>
          </cell>
          <cell r="L43">
            <v>10</v>
          </cell>
          <cell r="M43">
            <v>0</v>
          </cell>
          <cell r="N43">
            <v>0</v>
          </cell>
          <cell r="O43">
            <v>10</v>
          </cell>
          <cell r="P43">
            <v>14</v>
          </cell>
          <cell r="Q43">
            <v>6</v>
          </cell>
          <cell r="R43">
            <v>8</v>
          </cell>
          <cell r="S43">
            <v>184</v>
          </cell>
          <cell r="T43">
            <v>24</v>
          </cell>
        </row>
        <row r="44">
          <cell r="C44" t="str">
            <v>Census Tract 42, King County, Washington</v>
          </cell>
          <cell r="D44">
            <v>291</v>
          </cell>
          <cell r="E44">
            <v>180</v>
          </cell>
          <cell r="F44">
            <v>83</v>
          </cell>
          <cell r="G44">
            <v>97</v>
          </cell>
          <cell r="H44">
            <v>0</v>
          </cell>
          <cell r="I44">
            <v>27</v>
          </cell>
          <cell r="J44">
            <v>59</v>
          </cell>
          <cell r="K44">
            <v>11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111</v>
          </cell>
          <cell r="Q44">
            <v>43</v>
          </cell>
          <cell r="R44">
            <v>68</v>
          </cell>
          <cell r="S44">
            <v>180</v>
          </cell>
          <cell r="T44">
            <v>111</v>
          </cell>
        </row>
        <row r="45">
          <cell r="C45" t="str">
            <v>Census Tract 43, King County, Washington</v>
          </cell>
          <cell r="D45">
            <v>248</v>
          </cell>
          <cell r="E45">
            <v>213</v>
          </cell>
          <cell r="F45">
            <v>48</v>
          </cell>
          <cell r="G45">
            <v>150</v>
          </cell>
          <cell r="H45">
            <v>8</v>
          </cell>
          <cell r="I45">
            <v>28</v>
          </cell>
          <cell r="J45">
            <v>0</v>
          </cell>
          <cell r="K45">
            <v>114</v>
          </cell>
          <cell r="L45">
            <v>15</v>
          </cell>
          <cell r="M45">
            <v>0</v>
          </cell>
          <cell r="N45">
            <v>0</v>
          </cell>
          <cell r="O45">
            <v>15</v>
          </cell>
          <cell r="P45">
            <v>35</v>
          </cell>
          <cell r="Q45">
            <v>35</v>
          </cell>
          <cell r="R45">
            <v>0</v>
          </cell>
          <cell r="S45">
            <v>198</v>
          </cell>
          <cell r="T45">
            <v>50</v>
          </cell>
        </row>
        <row r="46">
          <cell r="C46" t="str">
            <v>Census Tract 44, King County, Washington</v>
          </cell>
          <cell r="D46">
            <v>313</v>
          </cell>
          <cell r="E46">
            <v>258</v>
          </cell>
          <cell r="F46">
            <v>94</v>
          </cell>
          <cell r="G46">
            <v>150</v>
          </cell>
          <cell r="H46">
            <v>32</v>
          </cell>
          <cell r="I46">
            <v>6</v>
          </cell>
          <cell r="J46">
            <v>9</v>
          </cell>
          <cell r="K46">
            <v>103</v>
          </cell>
          <cell r="L46">
            <v>14</v>
          </cell>
          <cell r="M46">
            <v>0</v>
          </cell>
          <cell r="N46">
            <v>0</v>
          </cell>
          <cell r="O46">
            <v>14</v>
          </cell>
          <cell r="P46">
            <v>55</v>
          </cell>
          <cell r="Q46">
            <v>19</v>
          </cell>
          <cell r="R46">
            <v>36</v>
          </cell>
          <cell r="S46">
            <v>244</v>
          </cell>
          <cell r="T46">
            <v>69</v>
          </cell>
        </row>
        <row r="47">
          <cell r="C47" t="str">
            <v>Census Tract 45, King County, Washington</v>
          </cell>
          <cell r="D47">
            <v>149</v>
          </cell>
          <cell r="E47">
            <v>138</v>
          </cell>
          <cell r="F47">
            <v>85</v>
          </cell>
          <cell r="G47">
            <v>53</v>
          </cell>
          <cell r="H47">
            <v>0</v>
          </cell>
          <cell r="I47">
            <v>5</v>
          </cell>
          <cell r="J47">
            <v>0</v>
          </cell>
          <cell r="K47">
            <v>48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11</v>
          </cell>
          <cell r="Q47">
            <v>11</v>
          </cell>
          <cell r="R47">
            <v>0</v>
          </cell>
          <cell r="S47">
            <v>138</v>
          </cell>
          <cell r="T47">
            <v>11</v>
          </cell>
        </row>
        <row r="48">
          <cell r="C48" t="str">
            <v>Census Tract 46, King County, Washington</v>
          </cell>
          <cell r="D48">
            <v>95</v>
          </cell>
          <cell r="E48">
            <v>81</v>
          </cell>
          <cell r="F48">
            <v>65</v>
          </cell>
          <cell r="G48">
            <v>16</v>
          </cell>
          <cell r="H48">
            <v>0</v>
          </cell>
          <cell r="I48">
            <v>0</v>
          </cell>
          <cell r="J48">
            <v>0</v>
          </cell>
          <cell r="K48">
            <v>16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14</v>
          </cell>
          <cell r="Q48">
            <v>0</v>
          </cell>
          <cell r="R48">
            <v>14</v>
          </cell>
          <cell r="S48">
            <v>81</v>
          </cell>
          <cell r="T48">
            <v>14</v>
          </cell>
        </row>
        <row r="49">
          <cell r="C49" t="str">
            <v>Census Tract 47, King County, Washington</v>
          </cell>
          <cell r="D49">
            <v>242</v>
          </cell>
          <cell r="E49">
            <v>203</v>
          </cell>
          <cell r="F49">
            <v>122</v>
          </cell>
          <cell r="G49">
            <v>67</v>
          </cell>
          <cell r="H49">
            <v>9</v>
          </cell>
          <cell r="I49">
            <v>11</v>
          </cell>
          <cell r="J49">
            <v>0</v>
          </cell>
          <cell r="K49">
            <v>47</v>
          </cell>
          <cell r="L49">
            <v>14</v>
          </cell>
          <cell r="M49">
            <v>0</v>
          </cell>
          <cell r="N49">
            <v>0</v>
          </cell>
          <cell r="O49">
            <v>14</v>
          </cell>
          <cell r="P49">
            <v>39</v>
          </cell>
          <cell r="Q49">
            <v>28</v>
          </cell>
          <cell r="R49">
            <v>11</v>
          </cell>
          <cell r="S49">
            <v>189</v>
          </cell>
          <cell r="T49">
            <v>53</v>
          </cell>
        </row>
        <row r="50">
          <cell r="C50" t="str">
            <v>Census Tract 48, King County, Washington</v>
          </cell>
          <cell r="D50">
            <v>175</v>
          </cell>
          <cell r="E50">
            <v>175</v>
          </cell>
          <cell r="F50">
            <v>71</v>
          </cell>
          <cell r="G50">
            <v>85</v>
          </cell>
          <cell r="H50">
            <v>15</v>
          </cell>
          <cell r="I50">
            <v>9</v>
          </cell>
          <cell r="J50">
            <v>9</v>
          </cell>
          <cell r="K50">
            <v>52</v>
          </cell>
          <cell r="L50">
            <v>19</v>
          </cell>
          <cell r="M50">
            <v>0</v>
          </cell>
          <cell r="N50">
            <v>0</v>
          </cell>
          <cell r="O50">
            <v>19</v>
          </cell>
          <cell r="P50">
            <v>0</v>
          </cell>
          <cell r="Q50">
            <v>0</v>
          </cell>
          <cell r="R50">
            <v>0</v>
          </cell>
          <cell r="S50">
            <v>156</v>
          </cell>
          <cell r="T50">
            <v>19</v>
          </cell>
        </row>
        <row r="51">
          <cell r="C51" t="str">
            <v>Census Tract 49, King County, Washington</v>
          </cell>
          <cell r="D51">
            <v>272</v>
          </cell>
          <cell r="E51">
            <v>228</v>
          </cell>
          <cell r="F51">
            <v>129</v>
          </cell>
          <cell r="G51">
            <v>92</v>
          </cell>
          <cell r="H51">
            <v>0</v>
          </cell>
          <cell r="I51">
            <v>17</v>
          </cell>
          <cell r="J51">
            <v>0</v>
          </cell>
          <cell r="K51">
            <v>75</v>
          </cell>
          <cell r="L51">
            <v>7</v>
          </cell>
          <cell r="M51">
            <v>0</v>
          </cell>
          <cell r="N51">
            <v>0</v>
          </cell>
          <cell r="O51">
            <v>7</v>
          </cell>
          <cell r="P51">
            <v>44</v>
          </cell>
          <cell r="Q51">
            <v>44</v>
          </cell>
          <cell r="R51">
            <v>0</v>
          </cell>
          <cell r="S51">
            <v>221</v>
          </cell>
          <cell r="T51">
            <v>51</v>
          </cell>
        </row>
        <row r="52">
          <cell r="C52" t="str">
            <v>Census Tract 50, King County, Washington</v>
          </cell>
          <cell r="D52">
            <v>97</v>
          </cell>
          <cell r="E52">
            <v>90</v>
          </cell>
          <cell r="F52">
            <v>31</v>
          </cell>
          <cell r="G52">
            <v>59</v>
          </cell>
          <cell r="H52">
            <v>13</v>
          </cell>
          <cell r="I52">
            <v>12</v>
          </cell>
          <cell r="J52">
            <v>15</v>
          </cell>
          <cell r="K52">
            <v>19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7</v>
          </cell>
          <cell r="Q52">
            <v>0</v>
          </cell>
          <cell r="R52">
            <v>7</v>
          </cell>
          <cell r="S52">
            <v>90</v>
          </cell>
          <cell r="T52">
            <v>7</v>
          </cell>
        </row>
        <row r="53">
          <cell r="C53" t="str">
            <v>Census Tract 51, King County, Washington</v>
          </cell>
          <cell r="D53">
            <v>161</v>
          </cell>
          <cell r="E53">
            <v>154</v>
          </cell>
          <cell r="F53">
            <v>92</v>
          </cell>
          <cell r="G53">
            <v>56</v>
          </cell>
          <cell r="H53">
            <v>0</v>
          </cell>
          <cell r="I53">
            <v>0</v>
          </cell>
          <cell r="J53">
            <v>5</v>
          </cell>
          <cell r="K53">
            <v>51</v>
          </cell>
          <cell r="L53">
            <v>6</v>
          </cell>
          <cell r="M53">
            <v>0</v>
          </cell>
          <cell r="N53">
            <v>0</v>
          </cell>
          <cell r="O53">
            <v>6</v>
          </cell>
          <cell r="P53">
            <v>7</v>
          </cell>
          <cell r="Q53">
            <v>7</v>
          </cell>
          <cell r="R53">
            <v>0</v>
          </cell>
          <cell r="S53">
            <v>148</v>
          </cell>
          <cell r="T53">
            <v>13</v>
          </cell>
        </row>
        <row r="54">
          <cell r="C54" t="str">
            <v>Census Tract 52, King County, Washington</v>
          </cell>
          <cell r="D54">
            <v>284</v>
          </cell>
          <cell r="E54">
            <v>243</v>
          </cell>
          <cell r="F54">
            <v>114</v>
          </cell>
          <cell r="G54">
            <v>106</v>
          </cell>
          <cell r="H54">
            <v>0</v>
          </cell>
          <cell r="I54">
            <v>12</v>
          </cell>
          <cell r="J54">
            <v>24</v>
          </cell>
          <cell r="K54">
            <v>70</v>
          </cell>
          <cell r="L54">
            <v>23</v>
          </cell>
          <cell r="M54">
            <v>0</v>
          </cell>
          <cell r="N54">
            <v>16</v>
          </cell>
          <cell r="O54">
            <v>7</v>
          </cell>
          <cell r="P54">
            <v>41</v>
          </cell>
          <cell r="Q54">
            <v>9</v>
          </cell>
          <cell r="R54">
            <v>32</v>
          </cell>
          <cell r="S54">
            <v>220</v>
          </cell>
          <cell r="T54">
            <v>64</v>
          </cell>
        </row>
        <row r="55">
          <cell r="C55" t="str">
            <v>Census Tract 53.01, King County, Washington</v>
          </cell>
          <cell r="D55">
            <v>408</v>
          </cell>
          <cell r="E55">
            <v>340</v>
          </cell>
          <cell r="F55">
            <v>160</v>
          </cell>
          <cell r="G55">
            <v>165</v>
          </cell>
          <cell r="H55">
            <v>0</v>
          </cell>
          <cell r="I55">
            <v>8</v>
          </cell>
          <cell r="J55">
            <v>40</v>
          </cell>
          <cell r="K55">
            <v>117</v>
          </cell>
          <cell r="L55">
            <v>15</v>
          </cell>
          <cell r="M55">
            <v>0</v>
          </cell>
          <cell r="N55">
            <v>0</v>
          </cell>
          <cell r="O55">
            <v>15</v>
          </cell>
          <cell r="P55">
            <v>68</v>
          </cell>
          <cell r="Q55">
            <v>8</v>
          </cell>
          <cell r="R55">
            <v>60</v>
          </cell>
          <cell r="S55">
            <v>325</v>
          </cell>
          <cell r="T55">
            <v>83</v>
          </cell>
        </row>
        <row r="56">
          <cell r="C56" t="str">
            <v>Census Tract 53.02, King County, Washington</v>
          </cell>
          <cell r="D56">
            <v>145</v>
          </cell>
          <cell r="E56">
            <v>136</v>
          </cell>
          <cell r="F56">
            <v>44</v>
          </cell>
          <cell r="G56">
            <v>46</v>
          </cell>
          <cell r="H56">
            <v>0</v>
          </cell>
          <cell r="I56">
            <v>0</v>
          </cell>
          <cell r="J56">
            <v>0</v>
          </cell>
          <cell r="K56">
            <v>46</v>
          </cell>
          <cell r="L56">
            <v>46</v>
          </cell>
          <cell r="M56">
            <v>0</v>
          </cell>
          <cell r="N56">
            <v>10</v>
          </cell>
          <cell r="O56">
            <v>36</v>
          </cell>
          <cell r="P56">
            <v>9</v>
          </cell>
          <cell r="Q56">
            <v>9</v>
          </cell>
          <cell r="R56">
            <v>0</v>
          </cell>
          <cell r="S56">
            <v>90</v>
          </cell>
          <cell r="T56">
            <v>55</v>
          </cell>
        </row>
        <row r="57">
          <cell r="C57" t="str">
            <v>Census Tract 54, King County, Washington</v>
          </cell>
          <cell r="D57">
            <v>119</v>
          </cell>
          <cell r="E57">
            <v>101</v>
          </cell>
          <cell r="F57">
            <v>23</v>
          </cell>
          <cell r="G57">
            <v>78</v>
          </cell>
          <cell r="H57">
            <v>15</v>
          </cell>
          <cell r="I57">
            <v>0</v>
          </cell>
          <cell r="J57">
            <v>39</v>
          </cell>
          <cell r="K57">
            <v>24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18</v>
          </cell>
          <cell r="Q57">
            <v>18</v>
          </cell>
          <cell r="R57">
            <v>0</v>
          </cell>
          <cell r="S57">
            <v>101</v>
          </cell>
          <cell r="T57">
            <v>18</v>
          </cell>
        </row>
        <row r="58">
          <cell r="C58" t="str">
            <v>Census Tract 56, King County, Washington</v>
          </cell>
          <cell r="D58">
            <v>215</v>
          </cell>
          <cell r="E58">
            <v>213</v>
          </cell>
          <cell r="F58">
            <v>137</v>
          </cell>
          <cell r="G58">
            <v>76</v>
          </cell>
          <cell r="H58">
            <v>0</v>
          </cell>
          <cell r="I58">
            <v>17</v>
          </cell>
          <cell r="J58">
            <v>5</v>
          </cell>
          <cell r="K58">
            <v>54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2</v>
          </cell>
          <cell r="Q58">
            <v>2</v>
          </cell>
          <cell r="R58">
            <v>0</v>
          </cell>
          <cell r="S58">
            <v>213</v>
          </cell>
          <cell r="T58">
            <v>2</v>
          </cell>
        </row>
        <row r="59">
          <cell r="C59" t="str">
            <v>Census Tract 57, King County, Washington</v>
          </cell>
          <cell r="D59">
            <v>160</v>
          </cell>
          <cell r="E59">
            <v>154</v>
          </cell>
          <cell r="F59">
            <v>102</v>
          </cell>
          <cell r="G59">
            <v>52</v>
          </cell>
          <cell r="H59">
            <v>11</v>
          </cell>
          <cell r="I59">
            <v>5</v>
          </cell>
          <cell r="J59">
            <v>5</v>
          </cell>
          <cell r="K59">
            <v>31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6</v>
          </cell>
          <cell r="Q59">
            <v>0</v>
          </cell>
          <cell r="R59">
            <v>6</v>
          </cell>
          <cell r="S59">
            <v>154</v>
          </cell>
          <cell r="T59">
            <v>6</v>
          </cell>
        </row>
        <row r="60">
          <cell r="C60" t="str">
            <v>Census Tract 58.01, King County, Washington</v>
          </cell>
          <cell r="D60">
            <v>115</v>
          </cell>
          <cell r="E60">
            <v>104</v>
          </cell>
          <cell r="F60">
            <v>31</v>
          </cell>
          <cell r="G60">
            <v>64</v>
          </cell>
          <cell r="H60">
            <v>0</v>
          </cell>
          <cell r="I60">
            <v>22</v>
          </cell>
          <cell r="J60">
            <v>0</v>
          </cell>
          <cell r="K60">
            <v>42</v>
          </cell>
          <cell r="L60">
            <v>9</v>
          </cell>
          <cell r="M60">
            <v>0</v>
          </cell>
          <cell r="N60">
            <v>0</v>
          </cell>
          <cell r="O60">
            <v>9</v>
          </cell>
          <cell r="P60">
            <v>11</v>
          </cell>
          <cell r="Q60">
            <v>11</v>
          </cell>
          <cell r="R60">
            <v>0</v>
          </cell>
          <cell r="S60">
            <v>95</v>
          </cell>
          <cell r="T60">
            <v>20</v>
          </cell>
        </row>
        <row r="61">
          <cell r="C61" t="str">
            <v>Census Tract 58.02, King County, Washington</v>
          </cell>
          <cell r="D61">
            <v>186</v>
          </cell>
          <cell r="E61">
            <v>186</v>
          </cell>
          <cell r="F61">
            <v>98</v>
          </cell>
          <cell r="G61">
            <v>88</v>
          </cell>
          <cell r="H61">
            <v>0</v>
          </cell>
          <cell r="I61">
            <v>10</v>
          </cell>
          <cell r="J61">
            <v>0</v>
          </cell>
          <cell r="K61">
            <v>78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186</v>
          </cell>
          <cell r="T61">
            <v>0</v>
          </cell>
        </row>
        <row r="62">
          <cell r="C62" t="str">
            <v>Census Tract 59, King County, Washington</v>
          </cell>
          <cell r="D62">
            <v>218</v>
          </cell>
          <cell r="E62">
            <v>218</v>
          </cell>
          <cell r="F62">
            <v>99</v>
          </cell>
          <cell r="G62">
            <v>115</v>
          </cell>
          <cell r="H62">
            <v>5</v>
          </cell>
          <cell r="I62">
            <v>19</v>
          </cell>
          <cell r="J62">
            <v>18</v>
          </cell>
          <cell r="K62">
            <v>73</v>
          </cell>
          <cell r="L62">
            <v>4</v>
          </cell>
          <cell r="M62">
            <v>0</v>
          </cell>
          <cell r="N62">
            <v>0</v>
          </cell>
          <cell r="O62">
            <v>4</v>
          </cell>
          <cell r="P62">
            <v>0</v>
          </cell>
          <cell r="Q62">
            <v>0</v>
          </cell>
          <cell r="R62">
            <v>0</v>
          </cell>
          <cell r="S62">
            <v>214</v>
          </cell>
          <cell r="T62">
            <v>4</v>
          </cell>
        </row>
        <row r="63">
          <cell r="C63" t="str">
            <v>Census Tract 60, King County, Washington</v>
          </cell>
          <cell r="D63">
            <v>112</v>
          </cell>
          <cell r="E63">
            <v>98</v>
          </cell>
          <cell r="F63">
            <v>58</v>
          </cell>
          <cell r="G63">
            <v>14</v>
          </cell>
          <cell r="H63">
            <v>0</v>
          </cell>
          <cell r="I63">
            <v>5</v>
          </cell>
          <cell r="J63">
            <v>0</v>
          </cell>
          <cell r="K63">
            <v>9</v>
          </cell>
          <cell r="L63">
            <v>26</v>
          </cell>
          <cell r="M63">
            <v>0</v>
          </cell>
          <cell r="N63">
            <v>0</v>
          </cell>
          <cell r="O63">
            <v>26</v>
          </cell>
          <cell r="P63">
            <v>14</v>
          </cell>
          <cell r="Q63">
            <v>6</v>
          </cell>
          <cell r="R63">
            <v>8</v>
          </cell>
          <cell r="S63">
            <v>72</v>
          </cell>
          <cell r="T63">
            <v>40</v>
          </cell>
        </row>
        <row r="64">
          <cell r="C64" t="str">
            <v>Census Tract 61, King County, Washington</v>
          </cell>
          <cell r="D64">
            <v>163</v>
          </cell>
          <cell r="E64">
            <v>140</v>
          </cell>
          <cell r="F64">
            <v>45</v>
          </cell>
          <cell r="G64">
            <v>95</v>
          </cell>
          <cell r="H64">
            <v>38</v>
          </cell>
          <cell r="I64">
            <v>42</v>
          </cell>
          <cell r="J64">
            <v>0</v>
          </cell>
          <cell r="K64">
            <v>15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23</v>
          </cell>
          <cell r="Q64">
            <v>7</v>
          </cell>
          <cell r="R64">
            <v>16</v>
          </cell>
          <cell r="S64">
            <v>140</v>
          </cell>
          <cell r="T64">
            <v>23</v>
          </cell>
        </row>
        <row r="65">
          <cell r="C65" t="str">
            <v>Census Tract 62, King County, Washington</v>
          </cell>
          <cell r="D65">
            <v>123</v>
          </cell>
          <cell r="E65">
            <v>105</v>
          </cell>
          <cell r="F65">
            <v>85</v>
          </cell>
          <cell r="G65">
            <v>20</v>
          </cell>
          <cell r="H65">
            <v>6</v>
          </cell>
          <cell r="I65">
            <v>0</v>
          </cell>
          <cell r="J65">
            <v>6</v>
          </cell>
          <cell r="K65">
            <v>8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18</v>
          </cell>
          <cell r="Q65">
            <v>4</v>
          </cell>
          <cell r="R65">
            <v>14</v>
          </cell>
          <cell r="S65">
            <v>105</v>
          </cell>
          <cell r="T65">
            <v>18</v>
          </cell>
        </row>
        <row r="66">
          <cell r="C66" t="str">
            <v>Census Tract 63, King County, Washington</v>
          </cell>
          <cell r="D66">
            <v>72</v>
          </cell>
          <cell r="E66">
            <v>65</v>
          </cell>
          <cell r="F66">
            <v>36</v>
          </cell>
          <cell r="G66">
            <v>29</v>
          </cell>
          <cell r="H66">
            <v>0</v>
          </cell>
          <cell r="I66">
            <v>5</v>
          </cell>
          <cell r="J66">
            <v>0</v>
          </cell>
          <cell r="K66">
            <v>24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</v>
          </cell>
          <cell r="Q66">
            <v>0</v>
          </cell>
          <cell r="R66">
            <v>7</v>
          </cell>
          <cell r="S66">
            <v>65</v>
          </cell>
          <cell r="T66">
            <v>7</v>
          </cell>
        </row>
        <row r="67">
          <cell r="C67" t="str">
            <v>Census Tract 64, King County, Washington</v>
          </cell>
          <cell r="D67">
            <v>106</v>
          </cell>
          <cell r="E67">
            <v>106</v>
          </cell>
          <cell r="F67">
            <v>73</v>
          </cell>
          <cell r="G67">
            <v>26</v>
          </cell>
          <cell r="H67">
            <v>0</v>
          </cell>
          <cell r="I67">
            <v>4</v>
          </cell>
          <cell r="J67">
            <v>0</v>
          </cell>
          <cell r="K67">
            <v>22</v>
          </cell>
          <cell r="L67">
            <v>7</v>
          </cell>
          <cell r="M67">
            <v>0</v>
          </cell>
          <cell r="N67">
            <v>0</v>
          </cell>
          <cell r="O67">
            <v>7</v>
          </cell>
          <cell r="P67">
            <v>0</v>
          </cell>
          <cell r="Q67">
            <v>0</v>
          </cell>
          <cell r="R67">
            <v>0</v>
          </cell>
          <cell r="S67">
            <v>99</v>
          </cell>
          <cell r="T67">
            <v>7</v>
          </cell>
        </row>
        <row r="68">
          <cell r="C68" t="str">
            <v>Census Tract 65, King County, Washington</v>
          </cell>
          <cell r="D68">
            <v>96</v>
          </cell>
          <cell r="E68">
            <v>69</v>
          </cell>
          <cell r="F68">
            <v>16</v>
          </cell>
          <cell r="G68">
            <v>51</v>
          </cell>
          <cell r="H68">
            <v>16</v>
          </cell>
          <cell r="I68">
            <v>11</v>
          </cell>
          <cell r="J68">
            <v>14</v>
          </cell>
          <cell r="K68">
            <v>10</v>
          </cell>
          <cell r="L68">
            <v>2</v>
          </cell>
          <cell r="M68">
            <v>0</v>
          </cell>
          <cell r="N68">
            <v>0</v>
          </cell>
          <cell r="O68">
            <v>2</v>
          </cell>
          <cell r="P68">
            <v>27</v>
          </cell>
          <cell r="Q68">
            <v>7</v>
          </cell>
          <cell r="R68">
            <v>20</v>
          </cell>
          <cell r="S68">
            <v>67</v>
          </cell>
          <cell r="T68">
            <v>29</v>
          </cell>
        </row>
        <row r="69">
          <cell r="C69" t="str">
            <v>Census Tract 66, King County, Washington</v>
          </cell>
          <cell r="D69">
            <v>75</v>
          </cell>
          <cell r="E69">
            <v>60</v>
          </cell>
          <cell r="F69">
            <v>23</v>
          </cell>
          <cell r="G69">
            <v>32</v>
          </cell>
          <cell r="H69">
            <v>11</v>
          </cell>
          <cell r="I69">
            <v>5</v>
          </cell>
          <cell r="J69">
            <v>0</v>
          </cell>
          <cell r="K69">
            <v>16</v>
          </cell>
          <cell r="L69">
            <v>5</v>
          </cell>
          <cell r="M69">
            <v>0</v>
          </cell>
          <cell r="N69">
            <v>5</v>
          </cell>
          <cell r="O69">
            <v>0</v>
          </cell>
          <cell r="P69">
            <v>15</v>
          </cell>
          <cell r="Q69">
            <v>8</v>
          </cell>
          <cell r="R69">
            <v>7</v>
          </cell>
          <cell r="S69">
            <v>55</v>
          </cell>
          <cell r="T69">
            <v>20</v>
          </cell>
        </row>
        <row r="70">
          <cell r="C70" t="str">
            <v>Census Tract 67, King County, Washington</v>
          </cell>
          <cell r="D70">
            <v>217</v>
          </cell>
          <cell r="E70">
            <v>207</v>
          </cell>
          <cell r="F70">
            <v>93</v>
          </cell>
          <cell r="G70">
            <v>114</v>
          </cell>
          <cell r="H70">
            <v>18</v>
          </cell>
          <cell r="I70">
            <v>0</v>
          </cell>
          <cell r="J70">
            <v>36</v>
          </cell>
          <cell r="K70">
            <v>60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10</v>
          </cell>
          <cell r="Q70">
            <v>0</v>
          </cell>
          <cell r="R70">
            <v>10</v>
          </cell>
          <cell r="S70">
            <v>207</v>
          </cell>
          <cell r="T70">
            <v>10</v>
          </cell>
        </row>
        <row r="71">
          <cell r="C71" t="str">
            <v>Census Tract 68, King County, Washington</v>
          </cell>
          <cell r="D71">
            <v>84</v>
          </cell>
          <cell r="E71">
            <v>84</v>
          </cell>
          <cell r="F71">
            <v>56</v>
          </cell>
          <cell r="G71">
            <v>28</v>
          </cell>
          <cell r="H71">
            <v>0</v>
          </cell>
          <cell r="I71">
            <v>0</v>
          </cell>
          <cell r="J71">
            <v>7</v>
          </cell>
          <cell r="K71">
            <v>21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84</v>
          </cell>
          <cell r="T71">
            <v>0</v>
          </cell>
        </row>
        <row r="72">
          <cell r="C72" t="str">
            <v>Census Tract 69, King County, Washington</v>
          </cell>
          <cell r="D72">
            <v>170</v>
          </cell>
          <cell r="E72">
            <v>152</v>
          </cell>
          <cell r="F72">
            <v>95</v>
          </cell>
          <cell r="G72">
            <v>57</v>
          </cell>
          <cell r="H72">
            <v>0</v>
          </cell>
          <cell r="I72">
            <v>23</v>
          </cell>
          <cell r="J72">
            <v>22</v>
          </cell>
          <cell r="K72">
            <v>12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18</v>
          </cell>
          <cell r="Q72">
            <v>18</v>
          </cell>
          <cell r="R72">
            <v>0</v>
          </cell>
          <cell r="S72">
            <v>152</v>
          </cell>
          <cell r="T72">
            <v>18</v>
          </cell>
        </row>
        <row r="73">
          <cell r="C73" t="str">
            <v>Census Tract 70, King County, Washington</v>
          </cell>
          <cell r="D73">
            <v>221</v>
          </cell>
          <cell r="E73">
            <v>180</v>
          </cell>
          <cell r="F73">
            <v>30</v>
          </cell>
          <cell r="G73">
            <v>138</v>
          </cell>
          <cell r="H73">
            <v>29</v>
          </cell>
          <cell r="I73">
            <v>34</v>
          </cell>
          <cell r="J73">
            <v>25</v>
          </cell>
          <cell r="K73">
            <v>50</v>
          </cell>
          <cell r="L73">
            <v>12</v>
          </cell>
          <cell r="M73">
            <v>0</v>
          </cell>
          <cell r="N73">
            <v>0</v>
          </cell>
          <cell r="O73">
            <v>12</v>
          </cell>
          <cell r="P73">
            <v>41</v>
          </cell>
          <cell r="Q73">
            <v>8</v>
          </cell>
          <cell r="R73">
            <v>33</v>
          </cell>
          <cell r="S73">
            <v>168</v>
          </cell>
          <cell r="T73">
            <v>53</v>
          </cell>
        </row>
        <row r="74">
          <cell r="C74" t="str">
            <v>Census Tract 71, King County, Washington</v>
          </cell>
          <cell r="D74">
            <v>59</v>
          </cell>
          <cell r="E74">
            <v>59</v>
          </cell>
          <cell r="F74">
            <v>15</v>
          </cell>
          <cell r="G74">
            <v>44</v>
          </cell>
          <cell r="H74">
            <v>5</v>
          </cell>
          <cell r="I74">
            <v>20</v>
          </cell>
          <cell r="J74">
            <v>6</v>
          </cell>
          <cell r="K74">
            <v>13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59</v>
          </cell>
          <cell r="T74">
            <v>0</v>
          </cell>
        </row>
        <row r="75">
          <cell r="C75" t="str">
            <v>Census Tract 72, King County, Washington</v>
          </cell>
          <cell r="D75">
            <v>122</v>
          </cell>
          <cell r="E75">
            <v>107</v>
          </cell>
          <cell r="F75">
            <v>25</v>
          </cell>
          <cell r="G75">
            <v>75</v>
          </cell>
          <cell r="H75">
            <v>21</v>
          </cell>
          <cell r="I75">
            <v>0</v>
          </cell>
          <cell r="J75">
            <v>0</v>
          </cell>
          <cell r="K75">
            <v>54</v>
          </cell>
          <cell r="L75">
            <v>7</v>
          </cell>
          <cell r="M75">
            <v>0</v>
          </cell>
          <cell r="N75">
            <v>0</v>
          </cell>
          <cell r="O75">
            <v>7</v>
          </cell>
          <cell r="P75">
            <v>15</v>
          </cell>
          <cell r="Q75">
            <v>0</v>
          </cell>
          <cell r="R75">
            <v>15</v>
          </cell>
          <cell r="S75">
            <v>100</v>
          </cell>
          <cell r="T75">
            <v>22</v>
          </cell>
        </row>
        <row r="76">
          <cell r="C76" t="str">
            <v>Census Tract 73, King County, Washington</v>
          </cell>
          <cell r="D76">
            <v>154</v>
          </cell>
          <cell r="E76">
            <v>133</v>
          </cell>
          <cell r="F76">
            <v>59</v>
          </cell>
          <cell r="G76">
            <v>65</v>
          </cell>
          <cell r="H76">
            <v>0</v>
          </cell>
          <cell r="I76">
            <v>16</v>
          </cell>
          <cell r="J76">
            <v>28</v>
          </cell>
          <cell r="K76">
            <v>21</v>
          </cell>
          <cell r="L76">
            <v>9</v>
          </cell>
          <cell r="M76">
            <v>0</v>
          </cell>
          <cell r="N76">
            <v>0</v>
          </cell>
          <cell r="O76">
            <v>9</v>
          </cell>
          <cell r="P76">
            <v>21</v>
          </cell>
          <cell r="Q76">
            <v>16</v>
          </cell>
          <cell r="R76">
            <v>5</v>
          </cell>
          <cell r="S76">
            <v>124</v>
          </cell>
          <cell r="T76">
            <v>30</v>
          </cell>
        </row>
        <row r="77">
          <cell r="C77" t="str">
            <v>Census Tract 74, King County, Washington</v>
          </cell>
          <cell r="D77">
            <v>513</v>
          </cell>
          <cell r="E77">
            <v>414</v>
          </cell>
          <cell r="F77">
            <v>177</v>
          </cell>
          <cell r="G77">
            <v>200</v>
          </cell>
          <cell r="H77">
            <v>6</v>
          </cell>
          <cell r="I77">
            <v>70</v>
          </cell>
          <cell r="J77">
            <v>44</v>
          </cell>
          <cell r="K77">
            <v>80</v>
          </cell>
          <cell r="L77">
            <v>37</v>
          </cell>
          <cell r="M77">
            <v>0</v>
          </cell>
          <cell r="N77">
            <v>0</v>
          </cell>
          <cell r="O77">
            <v>37</v>
          </cell>
          <cell r="P77">
            <v>99</v>
          </cell>
          <cell r="Q77">
            <v>49</v>
          </cell>
          <cell r="R77">
            <v>50</v>
          </cell>
          <cell r="S77">
            <v>377</v>
          </cell>
          <cell r="T77">
            <v>136</v>
          </cell>
        </row>
        <row r="78">
          <cell r="C78" t="str">
            <v>Census Tract 75, King County, Washington</v>
          </cell>
          <cell r="D78">
            <v>255</v>
          </cell>
          <cell r="E78">
            <v>223</v>
          </cell>
          <cell r="F78">
            <v>123</v>
          </cell>
          <cell r="G78">
            <v>83</v>
          </cell>
          <cell r="H78">
            <v>0</v>
          </cell>
          <cell r="I78">
            <v>41</v>
          </cell>
          <cell r="J78">
            <v>9</v>
          </cell>
          <cell r="K78">
            <v>33</v>
          </cell>
          <cell r="L78">
            <v>17</v>
          </cell>
          <cell r="M78">
            <v>8</v>
          </cell>
          <cell r="N78">
            <v>0</v>
          </cell>
          <cell r="O78">
            <v>9</v>
          </cell>
          <cell r="P78">
            <v>32</v>
          </cell>
          <cell r="Q78">
            <v>8</v>
          </cell>
          <cell r="R78">
            <v>24</v>
          </cell>
          <cell r="S78">
            <v>206</v>
          </cell>
          <cell r="T78">
            <v>49</v>
          </cell>
        </row>
        <row r="79">
          <cell r="C79" t="str">
            <v>Census Tract 76, King County, Washington</v>
          </cell>
          <cell r="D79">
            <v>172</v>
          </cell>
          <cell r="E79">
            <v>154</v>
          </cell>
          <cell r="F79">
            <v>60</v>
          </cell>
          <cell r="G79">
            <v>91</v>
          </cell>
          <cell r="H79">
            <v>5</v>
          </cell>
          <cell r="I79">
            <v>43</v>
          </cell>
          <cell r="J79">
            <v>16</v>
          </cell>
          <cell r="K79">
            <v>27</v>
          </cell>
          <cell r="L79">
            <v>3</v>
          </cell>
          <cell r="M79">
            <v>0</v>
          </cell>
          <cell r="N79">
            <v>0</v>
          </cell>
          <cell r="O79">
            <v>3</v>
          </cell>
          <cell r="P79">
            <v>18</v>
          </cell>
          <cell r="Q79">
            <v>0</v>
          </cell>
          <cell r="R79">
            <v>18</v>
          </cell>
          <cell r="S79">
            <v>151</v>
          </cell>
          <cell r="T79">
            <v>21</v>
          </cell>
        </row>
        <row r="80">
          <cell r="C80" t="str">
            <v>Census Tract 77, King County, Washington</v>
          </cell>
          <cell r="D80">
            <v>146</v>
          </cell>
          <cell r="E80">
            <v>146</v>
          </cell>
          <cell r="F80">
            <v>114</v>
          </cell>
          <cell r="G80">
            <v>32</v>
          </cell>
          <cell r="H80">
            <v>0</v>
          </cell>
          <cell r="I80">
            <v>11</v>
          </cell>
          <cell r="J80">
            <v>0</v>
          </cell>
          <cell r="K80">
            <v>21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146</v>
          </cell>
          <cell r="T80">
            <v>0</v>
          </cell>
        </row>
        <row r="81">
          <cell r="C81" t="str">
            <v>Census Tract 78, King County, Washington</v>
          </cell>
          <cell r="D81">
            <v>173</v>
          </cell>
          <cell r="E81">
            <v>166</v>
          </cell>
          <cell r="F81">
            <v>60</v>
          </cell>
          <cell r="G81">
            <v>89</v>
          </cell>
          <cell r="H81">
            <v>10</v>
          </cell>
          <cell r="I81">
            <v>17</v>
          </cell>
          <cell r="J81">
            <v>25</v>
          </cell>
          <cell r="K81">
            <v>37</v>
          </cell>
          <cell r="L81">
            <v>17</v>
          </cell>
          <cell r="M81">
            <v>0</v>
          </cell>
          <cell r="N81">
            <v>0</v>
          </cell>
          <cell r="O81">
            <v>17</v>
          </cell>
          <cell r="P81">
            <v>7</v>
          </cell>
          <cell r="Q81">
            <v>0</v>
          </cell>
          <cell r="R81">
            <v>7</v>
          </cell>
          <cell r="S81">
            <v>149</v>
          </cell>
          <cell r="T81">
            <v>24</v>
          </cell>
        </row>
        <row r="82">
          <cell r="C82" t="str">
            <v>Census Tract 79, King County, Washington</v>
          </cell>
          <cell r="D82">
            <v>87</v>
          </cell>
          <cell r="E82">
            <v>83</v>
          </cell>
          <cell r="F82">
            <v>37</v>
          </cell>
          <cell r="G82">
            <v>46</v>
          </cell>
          <cell r="H82">
            <v>6</v>
          </cell>
          <cell r="I82">
            <v>14</v>
          </cell>
          <cell r="J82">
            <v>0</v>
          </cell>
          <cell r="K82">
            <v>26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4</v>
          </cell>
          <cell r="Q82">
            <v>0</v>
          </cell>
          <cell r="R82">
            <v>4</v>
          </cell>
          <cell r="S82">
            <v>83</v>
          </cell>
          <cell r="T82">
            <v>4</v>
          </cell>
        </row>
        <row r="83">
          <cell r="C83" t="str">
            <v>Census Tract 80.01, King County, Washington</v>
          </cell>
          <cell r="D83">
            <v>168</v>
          </cell>
          <cell r="E83">
            <v>136</v>
          </cell>
          <cell r="F83">
            <v>87</v>
          </cell>
          <cell r="G83">
            <v>49</v>
          </cell>
          <cell r="H83">
            <v>9</v>
          </cell>
          <cell r="I83">
            <v>7</v>
          </cell>
          <cell r="J83">
            <v>0</v>
          </cell>
          <cell r="K83">
            <v>33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32</v>
          </cell>
          <cell r="Q83">
            <v>0</v>
          </cell>
          <cell r="R83">
            <v>32</v>
          </cell>
          <cell r="S83">
            <v>136</v>
          </cell>
          <cell r="T83">
            <v>32</v>
          </cell>
        </row>
        <row r="84">
          <cell r="C84" t="str">
            <v>Census Tract 80.02, King County, Washington</v>
          </cell>
          <cell r="D84">
            <v>127</v>
          </cell>
          <cell r="E84">
            <v>105</v>
          </cell>
          <cell r="F84">
            <v>26</v>
          </cell>
          <cell r="G84">
            <v>79</v>
          </cell>
          <cell r="H84">
            <v>0</v>
          </cell>
          <cell r="I84">
            <v>20</v>
          </cell>
          <cell r="J84">
            <v>51</v>
          </cell>
          <cell r="K84">
            <v>8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22</v>
          </cell>
          <cell r="Q84">
            <v>22</v>
          </cell>
          <cell r="R84">
            <v>0</v>
          </cell>
          <cell r="S84">
            <v>105</v>
          </cell>
          <cell r="T84">
            <v>22</v>
          </cell>
        </row>
        <row r="85">
          <cell r="C85" t="str">
            <v>Census Tract 81, King County, Washington</v>
          </cell>
          <cell r="D85">
            <v>145</v>
          </cell>
          <cell r="E85">
            <v>133</v>
          </cell>
          <cell r="F85">
            <v>79</v>
          </cell>
          <cell r="G85">
            <v>45</v>
          </cell>
          <cell r="H85">
            <v>9</v>
          </cell>
          <cell r="I85">
            <v>0</v>
          </cell>
          <cell r="J85">
            <v>9</v>
          </cell>
          <cell r="K85">
            <v>27</v>
          </cell>
          <cell r="L85">
            <v>9</v>
          </cell>
          <cell r="M85">
            <v>0</v>
          </cell>
          <cell r="N85">
            <v>0</v>
          </cell>
          <cell r="O85">
            <v>9</v>
          </cell>
          <cell r="P85">
            <v>12</v>
          </cell>
          <cell r="Q85">
            <v>12</v>
          </cell>
          <cell r="R85">
            <v>0</v>
          </cell>
          <cell r="S85">
            <v>124</v>
          </cell>
          <cell r="T85">
            <v>21</v>
          </cell>
        </row>
        <row r="86">
          <cell r="C86" t="str">
            <v>Census Tract 82, King County, Washington</v>
          </cell>
          <cell r="D86">
            <v>124</v>
          </cell>
          <cell r="E86">
            <v>95</v>
          </cell>
          <cell r="F86">
            <v>23</v>
          </cell>
          <cell r="G86">
            <v>72</v>
          </cell>
          <cell r="H86">
            <v>23</v>
          </cell>
          <cell r="I86">
            <v>8</v>
          </cell>
          <cell r="J86">
            <v>15</v>
          </cell>
          <cell r="K86">
            <v>26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29</v>
          </cell>
          <cell r="Q86">
            <v>0</v>
          </cell>
          <cell r="R86">
            <v>29</v>
          </cell>
          <cell r="S86">
            <v>95</v>
          </cell>
          <cell r="T86">
            <v>29</v>
          </cell>
        </row>
        <row r="87">
          <cell r="C87" t="str">
            <v>Census Tract 83, King County, Washington</v>
          </cell>
          <cell r="D87">
            <v>74</v>
          </cell>
          <cell r="E87">
            <v>37</v>
          </cell>
          <cell r="F87">
            <v>10</v>
          </cell>
          <cell r="G87">
            <v>18</v>
          </cell>
          <cell r="H87">
            <v>0</v>
          </cell>
          <cell r="I87">
            <v>0</v>
          </cell>
          <cell r="J87">
            <v>9</v>
          </cell>
          <cell r="K87">
            <v>9</v>
          </cell>
          <cell r="L87">
            <v>9</v>
          </cell>
          <cell r="M87">
            <v>0</v>
          </cell>
          <cell r="N87">
            <v>0</v>
          </cell>
          <cell r="O87">
            <v>9</v>
          </cell>
          <cell r="P87">
            <v>37</v>
          </cell>
          <cell r="Q87">
            <v>11</v>
          </cell>
          <cell r="R87">
            <v>26</v>
          </cell>
          <cell r="S87">
            <v>28</v>
          </cell>
          <cell r="T87">
            <v>46</v>
          </cell>
        </row>
        <row r="88">
          <cell r="C88" t="str">
            <v>Census Tract 84, King County, Washington</v>
          </cell>
          <cell r="D88">
            <v>139</v>
          </cell>
          <cell r="E88">
            <v>139</v>
          </cell>
          <cell r="F88">
            <v>37</v>
          </cell>
          <cell r="G88">
            <v>75</v>
          </cell>
          <cell r="H88">
            <v>12</v>
          </cell>
          <cell r="I88">
            <v>21</v>
          </cell>
          <cell r="J88">
            <v>0</v>
          </cell>
          <cell r="K88">
            <v>42</v>
          </cell>
          <cell r="L88">
            <v>27</v>
          </cell>
          <cell r="M88">
            <v>0</v>
          </cell>
          <cell r="N88">
            <v>17</v>
          </cell>
          <cell r="O88">
            <v>10</v>
          </cell>
          <cell r="P88">
            <v>0</v>
          </cell>
          <cell r="Q88">
            <v>0</v>
          </cell>
          <cell r="R88">
            <v>0</v>
          </cell>
          <cell r="S88">
            <v>112</v>
          </cell>
          <cell r="T88">
            <v>27</v>
          </cell>
        </row>
        <row r="89">
          <cell r="C89" t="str">
            <v>Census Tract 85, King County, Washington</v>
          </cell>
          <cell r="D89">
            <v>132</v>
          </cell>
          <cell r="E89">
            <v>112</v>
          </cell>
          <cell r="F89">
            <v>29</v>
          </cell>
          <cell r="G89">
            <v>72</v>
          </cell>
          <cell r="H89">
            <v>0</v>
          </cell>
          <cell r="I89">
            <v>0</v>
          </cell>
          <cell r="J89">
            <v>15</v>
          </cell>
          <cell r="K89">
            <v>57</v>
          </cell>
          <cell r="L89">
            <v>11</v>
          </cell>
          <cell r="M89">
            <v>0</v>
          </cell>
          <cell r="N89">
            <v>0</v>
          </cell>
          <cell r="O89">
            <v>11</v>
          </cell>
          <cell r="P89">
            <v>20</v>
          </cell>
          <cell r="Q89">
            <v>6</v>
          </cell>
          <cell r="R89">
            <v>14</v>
          </cell>
          <cell r="S89">
            <v>101</v>
          </cell>
          <cell r="T89">
            <v>31</v>
          </cell>
        </row>
        <row r="90">
          <cell r="C90" t="str">
            <v>Census Tract 86, King County, Washington</v>
          </cell>
          <cell r="D90">
            <v>266</v>
          </cell>
          <cell r="E90">
            <v>231</v>
          </cell>
          <cell r="F90">
            <v>80</v>
          </cell>
          <cell r="G90">
            <v>134</v>
          </cell>
          <cell r="H90">
            <v>37</v>
          </cell>
          <cell r="I90">
            <v>4</v>
          </cell>
          <cell r="J90">
            <v>18</v>
          </cell>
          <cell r="K90">
            <v>75</v>
          </cell>
          <cell r="L90">
            <v>17</v>
          </cell>
          <cell r="M90">
            <v>0</v>
          </cell>
          <cell r="N90">
            <v>7</v>
          </cell>
          <cell r="O90">
            <v>10</v>
          </cell>
          <cell r="P90">
            <v>35</v>
          </cell>
          <cell r="Q90">
            <v>16</v>
          </cell>
          <cell r="R90">
            <v>19</v>
          </cell>
          <cell r="S90">
            <v>214</v>
          </cell>
          <cell r="T90">
            <v>52</v>
          </cell>
        </row>
        <row r="91">
          <cell r="C91" t="str">
            <v>Census Tract 87, King County, Washington</v>
          </cell>
          <cell r="D91">
            <v>297</v>
          </cell>
          <cell r="E91">
            <v>151</v>
          </cell>
          <cell r="F91">
            <v>76</v>
          </cell>
          <cell r="G91">
            <v>68</v>
          </cell>
          <cell r="H91">
            <v>0</v>
          </cell>
          <cell r="I91">
            <v>24</v>
          </cell>
          <cell r="J91">
            <v>26</v>
          </cell>
          <cell r="K91">
            <v>18</v>
          </cell>
          <cell r="L91">
            <v>7</v>
          </cell>
          <cell r="M91">
            <v>0</v>
          </cell>
          <cell r="N91">
            <v>0</v>
          </cell>
          <cell r="O91">
            <v>7</v>
          </cell>
          <cell r="P91">
            <v>146</v>
          </cell>
          <cell r="Q91">
            <v>35</v>
          </cell>
          <cell r="R91">
            <v>111</v>
          </cell>
          <cell r="S91">
            <v>144</v>
          </cell>
          <cell r="T91">
            <v>153</v>
          </cell>
        </row>
        <row r="92">
          <cell r="C92" t="str">
            <v>Census Tract 88, King County, Washington</v>
          </cell>
          <cell r="D92">
            <v>158</v>
          </cell>
          <cell r="E92">
            <v>107</v>
          </cell>
          <cell r="F92">
            <v>53</v>
          </cell>
          <cell r="G92">
            <v>54</v>
          </cell>
          <cell r="H92">
            <v>14</v>
          </cell>
          <cell r="I92">
            <v>6</v>
          </cell>
          <cell r="J92">
            <v>13</v>
          </cell>
          <cell r="K92">
            <v>21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51</v>
          </cell>
          <cell r="Q92">
            <v>20</v>
          </cell>
          <cell r="R92">
            <v>31</v>
          </cell>
          <cell r="S92">
            <v>107</v>
          </cell>
          <cell r="T92">
            <v>51</v>
          </cell>
        </row>
        <row r="93">
          <cell r="C93" t="str">
            <v>Census Tract 89, King County, Washington</v>
          </cell>
          <cell r="D93">
            <v>265</v>
          </cell>
          <cell r="E93">
            <v>214</v>
          </cell>
          <cell r="F93">
            <v>113</v>
          </cell>
          <cell r="G93">
            <v>90</v>
          </cell>
          <cell r="H93">
            <v>23</v>
          </cell>
          <cell r="I93">
            <v>23</v>
          </cell>
          <cell r="J93">
            <v>8</v>
          </cell>
          <cell r="K93">
            <v>36</v>
          </cell>
          <cell r="L93">
            <v>11</v>
          </cell>
          <cell r="M93">
            <v>0</v>
          </cell>
          <cell r="N93">
            <v>0</v>
          </cell>
          <cell r="O93">
            <v>11</v>
          </cell>
          <cell r="P93">
            <v>51</v>
          </cell>
          <cell r="Q93">
            <v>38</v>
          </cell>
          <cell r="R93">
            <v>13</v>
          </cell>
          <cell r="S93">
            <v>203</v>
          </cell>
          <cell r="T93">
            <v>62</v>
          </cell>
        </row>
        <row r="94">
          <cell r="C94" t="str">
            <v>Census Tract 90, King County, Washington</v>
          </cell>
          <cell r="D94">
            <v>127</v>
          </cell>
          <cell r="E94">
            <v>99</v>
          </cell>
          <cell r="F94">
            <v>61</v>
          </cell>
          <cell r="G94">
            <v>33</v>
          </cell>
          <cell r="H94">
            <v>0</v>
          </cell>
          <cell r="I94">
            <v>5</v>
          </cell>
          <cell r="J94">
            <v>13</v>
          </cell>
          <cell r="K94">
            <v>15</v>
          </cell>
          <cell r="L94">
            <v>5</v>
          </cell>
          <cell r="M94">
            <v>0</v>
          </cell>
          <cell r="N94">
            <v>0</v>
          </cell>
          <cell r="O94">
            <v>5</v>
          </cell>
          <cell r="P94">
            <v>28</v>
          </cell>
          <cell r="Q94">
            <v>0</v>
          </cell>
          <cell r="R94">
            <v>28</v>
          </cell>
          <cell r="S94">
            <v>94</v>
          </cell>
          <cell r="T94">
            <v>33</v>
          </cell>
        </row>
        <row r="95">
          <cell r="C95" t="str">
            <v>Census Tract 91, King County, Washington</v>
          </cell>
          <cell r="D95">
            <v>93</v>
          </cell>
          <cell r="E95">
            <v>32</v>
          </cell>
          <cell r="F95">
            <v>12</v>
          </cell>
          <cell r="G95">
            <v>13</v>
          </cell>
          <cell r="H95">
            <v>0</v>
          </cell>
          <cell r="I95">
            <v>0</v>
          </cell>
          <cell r="J95">
            <v>6</v>
          </cell>
          <cell r="K95">
            <v>7</v>
          </cell>
          <cell r="L95">
            <v>7</v>
          </cell>
          <cell r="M95">
            <v>0</v>
          </cell>
          <cell r="N95">
            <v>0</v>
          </cell>
          <cell r="O95">
            <v>7</v>
          </cell>
          <cell r="P95">
            <v>61</v>
          </cell>
          <cell r="Q95">
            <v>61</v>
          </cell>
          <cell r="R95">
            <v>0</v>
          </cell>
          <cell r="S95">
            <v>25</v>
          </cell>
          <cell r="T95">
            <v>68</v>
          </cell>
        </row>
        <row r="96">
          <cell r="C96" t="str">
            <v>Census Tract 92, King County, Washington</v>
          </cell>
          <cell r="D96">
            <v>164</v>
          </cell>
          <cell r="E96">
            <v>112</v>
          </cell>
          <cell r="F96">
            <v>25</v>
          </cell>
          <cell r="G96">
            <v>60</v>
          </cell>
          <cell r="H96">
            <v>16</v>
          </cell>
          <cell r="I96">
            <v>0</v>
          </cell>
          <cell r="J96">
            <v>14</v>
          </cell>
          <cell r="K96">
            <v>30</v>
          </cell>
          <cell r="L96">
            <v>27</v>
          </cell>
          <cell r="M96">
            <v>19</v>
          </cell>
          <cell r="N96">
            <v>0</v>
          </cell>
          <cell r="O96">
            <v>8</v>
          </cell>
          <cell r="P96">
            <v>52</v>
          </cell>
          <cell r="Q96">
            <v>5</v>
          </cell>
          <cell r="R96">
            <v>47</v>
          </cell>
          <cell r="S96">
            <v>85</v>
          </cell>
          <cell r="T96">
            <v>79</v>
          </cell>
        </row>
        <row r="97">
          <cell r="C97" t="str">
            <v>Census Tract 93, King County, Washington</v>
          </cell>
          <cell r="D97">
            <v>138</v>
          </cell>
          <cell r="E97">
            <v>96</v>
          </cell>
          <cell r="F97">
            <v>62</v>
          </cell>
          <cell r="G97">
            <v>26</v>
          </cell>
          <cell r="H97">
            <v>0</v>
          </cell>
          <cell r="I97">
            <v>0</v>
          </cell>
          <cell r="J97">
            <v>9</v>
          </cell>
          <cell r="K97">
            <v>17</v>
          </cell>
          <cell r="L97">
            <v>8</v>
          </cell>
          <cell r="M97">
            <v>0</v>
          </cell>
          <cell r="N97">
            <v>0</v>
          </cell>
          <cell r="O97">
            <v>8</v>
          </cell>
          <cell r="P97">
            <v>42</v>
          </cell>
          <cell r="Q97">
            <v>18</v>
          </cell>
          <cell r="R97">
            <v>24</v>
          </cell>
          <cell r="S97">
            <v>88</v>
          </cell>
          <cell r="T97">
            <v>50</v>
          </cell>
        </row>
        <row r="98">
          <cell r="C98" t="str">
            <v>Census Tract 94, King County, Washington</v>
          </cell>
          <cell r="D98">
            <v>333</v>
          </cell>
          <cell r="E98">
            <v>179</v>
          </cell>
          <cell r="F98">
            <v>136</v>
          </cell>
          <cell r="G98">
            <v>43</v>
          </cell>
          <cell r="H98">
            <v>0</v>
          </cell>
          <cell r="I98">
            <v>10</v>
          </cell>
          <cell r="J98">
            <v>7</v>
          </cell>
          <cell r="K98">
            <v>26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154</v>
          </cell>
          <cell r="Q98">
            <v>111</v>
          </cell>
          <cell r="R98">
            <v>43</v>
          </cell>
          <cell r="S98">
            <v>179</v>
          </cell>
          <cell r="T98">
            <v>154</v>
          </cell>
        </row>
        <row r="99">
          <cell r="C99" t="str">
            <v>Census Tract 95, King County, Washington</v>
          </cell>
          <cell r="D99">
            <v>237</v>
          </cell>
          <cell r="E99">
            <v>208</v>
          </cell>
          <cell r="F99">
            <v>142</v>
          </cell>
          <cell r="G99">
            <v>66</v>
          </cell>
          <cell r="H99">
            <v>32</v>
          </cell>
          <cell r="I99">
            <v>0</v>
          </cell>
          <cell r="J99">
            <v>22</v>
          </cell>
          <cell r="K99">
            <v>12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29</v>
          </cell>
          <cell r="Q99">
            <v>18</v>
          </cell>
          <cell r="R99">
            <v>11</v>
          </cell>
          <cell r="S99">
            <v>208</v>
          </cell>
          <cell r="T99">
            <v>29</v>
          </cell>
        </row>
        <row r="100">
          <cell r="C100" t="str">
            <v>Census Tract 96, King County, Washington</v>
          </cell>
          <cell r="D100">
            <v>111</v>
          </cell>
          <cell r="E100">
            <v>100</v>
          </cell>
          <cell r="F100">
            <v>39</v>
          </cell>
          <cell r="G100">
            <v>52</v>
          </cell>
          <cell r="H100">
            <v>10</v>
          </cell>
          <cell r="I100">
            <v>12</v>
          </cell>
          <cell r="J100">
            <v>18</v>
          </cell>
          <cell r="K100">
            <v>12</v>
          </cell>
          <cell r="L100">
            <v>9</v>
          </cell>
          <cell r="M100">
            <v>0</v>
          </cell>
          <cell r="N100">
            <v>0</v>
          </cell>
          <cell r="O100">
            <v>9</v>
          </cell>
          <cell r="P100">
            <v>11</v>
          </cell>
          <cell r="Q100">
            <v>11</v>
          </cell>
          <cell r="R100">
            <v>0</v>
          </cell>
          <cell r="S100">
            <v>91</v>
          </cell>
          <cell r="T100">
            <v>20</v>
          </cell>
        </row>
        <row r="101">
          <cell r="C101" t="str">
            <v>Census Tract 97.01, King County, Washington</v>
          </cell>
          <cell r="D101">
            <v>159</v>
          </cell>
          <cell r="E101">
            <v>117</v>
          </cell>
          <cell r="F101">
            <v>49</v>
          </cell>
          <cell r="G101">
            <v>68</v>
          </cell>
          <cell r="H101">
            <v>18</v>
          </cell>
          <cell r="I101">
            <v>0</v>
          </cell>
          <cell r="J101">
            <v>15</v>
          </cell>
          <cell r="K101">
            <v>35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42</v>
          </cell>
          <cell r="Q101">
            <v>31</v>
          </cell>
          <cell r="R101">
            <v>11</v>
          </cell>
          <cell r="S101">
            <v>117</v>
          </cell>
          <cell r="T101">
            <v>42</v>
          </cell>
        </row>
        <row r="102">
          <cell r="C102" t="str">
            <v>Census Tract 97.02, King County, Washington</v>
          </cell>
          <cell r="D102">
            <v>329</v>
          </cell>
          <cell r="E102">
            <v>298</v>
          </cell>
          <cell r="F102">
            <v>227</v>
          </cell>
          <cell r="G102">
            <v>56</v>
          </cell>
          <cell r="H102">
            <v>6</v>
          </cell>
          <cell r="I102">
            <v>9</v>
          </cell>
          <cell r="J102">
            <v>0</v>
          </cell>
          <cell r="K102">
            <v>41</v>
          </cell>
          <cell r="L102">
            <v>15</v>
          </cell>
          <cell r="M102">
            <v>0</v>
          </cell>
          <cell r="N102">
            <v>0</v>
          </cell>
          <cell r="O102">
            <v>15</v>
          </cell>
          <cell r="P102">
            <v>31</v>
          </cell>
          <cell r="Q102">
            <v>31</v>
          </cell>
          <cell r="R102">
            <v>0</v>
          </cell>
          <cell r="S102">
            <v>283</v>
          </cell>
          <cell r="T102">
            <v>46</v>
          </cell>
        </row>
        <row r="103">
          <cell r="C103" t="str">
            <v>Census Tract 98, King County, Washington</v>
          </cell>
          <cell r="D103">
            <v>109</v>
          </cell>
          <cell r="E103">
            <v>101</v>
          </cell>
          <cell r="F103">
            <v>73</v>
          </cell>
          <cell r="G103">
            <v>28</v>
          </cell>
          <cell r="H103">
            <v>13</v>
          </cell>
          <cell r="I103">
            <v>0</v>
          </cell>
          <cell r="J103">
            <v>0</v>
          </cell>
          <cell r="K103">
            <v>15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8</v>
          </cell>
          <cell r="Q103">
            <v>8</v>
          </cell>
          <cell r="R103">
            <v>0</v>
          </cell>
          <cell r="S103">
            <v>101</v>
          </cell>
          <cell r="T103">
            <v>8</v>
          </cell>
        </row>
        <row r="104">
          <cell r="C104" t="str">
            <v>Census Tract 99, King County, Washington</v>
          </cell>
          <cell r="D104">
            <v>129</v>
          </cell>
          <cell r="E104">
            <v>129</v>
          </cell>
          <cell r="F104">
            <v>83</v>
          </cell>
          <cell r="G104">
            <v>46</v>
          </cell>
          <cell r="H104">
            <v>4</v>
          </cell>
          <cell r="I104">
            <v>0</v>
          </cell>
          <cell r="J104">
            <v>7</v>
          </cell>
          <cell r="K104">
            <v>35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129</v>
          </cell>
          <cell r="T104">
            <v>0</v>
          </cell>
        </row>
        <row r="105">
          <cell r="C105" t="str">
            <v>Census Tract 100, King County, Washington</v>
          </cell>
          <cell r="D105">
            <v>765</v>
          </cell>
          <cell r="E105">
            <v>529</v>
          </cell>
          <cell r="F105">
            <v>407</v>
          </cell>
          <cell r="G105">
            <v>113</v>
          </cell>
          <cell r="H105">
            <v>0</v>
          </cell>
          <cell r="I105">
            <v>12</v>
          </cell>
          <cell r="J105">
            <v>16</v>
          </cell>
          <cell r="K105">
            <v>85</v>
          </cell>
          <cell r="L105">
            <v>9</v>
          </cell>
          <cell r="M105">
            <v>0</v>
          </cell>
          <cell r="N105">
            <v>0</v>
          </cell>
          <cell r="O105">
            <v>9</v>
          </cell>
          <cell r="P105">
            <v>236</v>
          </cell>
          <cell r="Q105">
            <v>67</v>
          </cell>
          <cell r="R105">
            <v>169</v>
          </cell>
          <cell r="S105">
            <v>520</v>
          </cell>
          <cell r="T105">
            <v>245</v>
          </cell>
        </row>
        <row r="106">
          <cell r="C106" t="str">
            <v>Census Tract 101, King County, Washington</v>
          </cell>
          <cell r="D106">
            <v>476</v>
          </cell>
          <cell r="E106">
            <v>357</v>
          </cell>
          <cell r="F106">
            <v>290</v>
          </cell>
          <cell r="G106">
            <v>67</v>
          </cell>
          <cell r="H106">
            <v>18</v>
          </cell>
          <cell r="I106">
            <v>0</v>
          </cell>
          <cell r="J106">
            <v>7</v>
          </cell>
          <cell r="K106">
            <v>42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119</v>
          </cell>
          <cell r="Q106">
            <v>50</v>
          </cell>
          <cell r="R106">
            <v>69</v>
          </cell>
          <cell r="S106">
            <v>357</v>
          </cell>
          <cell r="T106">
            <v>119</v>
          </cell>
        </row>
        <row r="107">
          <cell r="C107" t="str">
            <v>Census Tract 102, King County, Washington</v>
          </cell>
          <cell r="D107">
            <v>335</v>
          </cell>
          <cell r="E107">
            <v>299</v>
          </cell>
          <cell r="F107">
            <v>222</v>
          </cell>
          <cell r="G107">
            <v>77</v>
          </cell>
          <cell r="H107">
            <v>14</v>
          </cell>
          <cell r="I107">
            <v>5</v>
          </cell>
          <cell r="J107">
            <v>27</v>
          </cell>
          <cell r="K107">
            <v>31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36</v>
          </cell>
          <cell r="Q107">
            <v>20</v>
          </cell>
          <cell r="R107">
            <v>16</v>
          </cell>
          <cell r="S107">
            <v>299</v>
          </cell>
          <cell r="T107">
            <v>36</v>
          </cell>
        </row>
        <row r="108">
          <cell r="C108" t="str">
            <v>Census Tract 103, King County, Washington</v>
          </cell>
          <cell r="D108">
            <v>566</v>
          </cell>
          <cell r="E108">
            <v>275</v>
          </cell>
          <cell r="F108">
            <v>161</v>
          </cell>
          <cell r="G108">
            <v>114</v>
          </cell>
          <cell r="H108">
            <v>7</v>
          </cell>
          <cell r="I108">
            <v>0</v>
          </cell>
          <cell r="J108">
            <v>23</v>
          </cell>
          <cell r="K108">
            <v>84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291</v>
          </cell>
          <cell r="Q108">
            <v>142</v>
          </cell>
          <cell r="R108">
            <v>149</v>
          </cell>
          <cell r="S108">
            <v>275</v>
          </cell>
          <cell r="T108">
            <v>291</v>
          </cell>
        </row>
        <row r="109">
          <cell r="C109" t="str">
            <v>Census Tract 104, King County, Washington</v>
          </cell>
          <cell r="D109">
            <v>514</v>
          </cell>
          <cell r="E109">
            <v>438</v>
          </cell>
          <cell r="F109">
            <v>299</v>
          </cell>
          <cell r="G109">
            <v>75</v>
          </cell>
          <cell r="H109">
            <v>12</v>
          </cell>
          <cell r="I109">
            <v>0</v>
          </cell>
          <cell r="J109">
            <v>8</v>
          </cell>
          <cell r="K109">
            <v>55</v>
          </cell>
          <cell r="L109">
            <v>64</v>
          </cell>
          <cell r="M109">
            <v>0</v>
          </cell>
          <cell r="N109">
            <v>7</v>
          </cell>
          <cell r="O109">
            <v>57</v>
          </cell>
          <cell r="P109">
            <v>76</v>
          </cell>
          <cell r="Q109">
            <v>51</v>
          </cell>
          <cell r="R109">
            <v>25</v>
          </cell>
          <cell r="S109">
            <v>374</v>
          </cell>
          <cell r="T109">
            <v>140</v>
          </cell>
        </row>
        <row r="110">
          <cell r="C110" t="str">
            <v>Census Tract 105, King County, Washington</v>
          </cell>
          <cell r="D110">
            <v>209</v>
          </cell>
          <cell r="E110">
            <v>183</v>
          </cell>
          <cell r="F110">
            <v>108</v>
          </cell>
          <cell r="G110">
            <v>75</v>
          </cell>
          <cell r="H110">
            <v>15</v>
          </cell>
          <cell r="I110">
            <v>15</v>
          </cell>
          <cell r="J110">
            <v>0</v>
          </cell>
          <cell r="K110">
            <v>45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26</v>
          </cell>
          <cell r="Q110">
            <v>18</v>
          </cell>
          <cell r="R110">
            <v>8</v>
          </cell>
          <cell r="S110">
            <v>183</v>
          </cell>
          <cell r="T110">
            <v>26</v>
          </cell>
        </row>
        <row r="111">
          <cell r="C111" t="str">
            <v>Census Tract 106, King County, Washington</v>
          </cell>
          <cell r="D111">
            <v>275</v>
          </cell>
          <cell r="E111">
            <v>245</v>
          </cell>
          <cell r="F111">
            <v>164</v>
          </cell>
          <cell r="G111">
            <v>58</v>
          </cell>
          <cell r="H111">
            <v>11</v>
          </cell>
          <cell r="I111">
            <v>27</v>
          </cell>
          <cell r="J111">
            <v>14</v>
          </cell>
          <cell r="K111">
            <v>6</v>
          </cell>
          <cell r="L111">
            <v>23</v>
          </cell>
          <cell r="M111">
            <v>0</v>
          </cell>
          <cell r="N111">
            <v>0</v>
          </cell>
          <cell r="O111">
            <v>23</v>
          </cell>
          <cell r="P111">
            <v>30</v>
          </cell>
          <cell r="Q111">
            <v>30</v>
          </cell>
          <cell r="R111">
            <v>0</v>
          </cell>
          <cell r="S111">
            <v>222</v>
          </cell>
          <cell r="T111">
            <v>53</v>
          </cell>
        </row>
        <row r="112">
          <cell r="C112" t="str">
            <v>Census Tract 107, King County, Washington</v>
          </cell>
          <cell r="D112">
            <v>540</v>
          </cell>
          <cell r="E112">
            <v>421</v>
          </cell>
          <cell r="F112">
            <v>312</v>
          </cell>
          <cell r="G112">
            <v>92</v>
          </cell>
          <cell r="H112">
            <v>0</v>
          </cell>
          <cell r="I112">
            <v>23</v>
          </cell>
          <cell r="J112">
            <v>24</v>
          </cell>
          <cell r="K112">
            <v>45</v>
          </cell>
          <cell r="L112">
            <v>17</v>
          </cell>
          <cell r="M112">
            <v>0</v>
          </cell>
          <cell r="N112">
            <v>0</v>
          </cell>
          <cell r="O112">
            <v>17</v>
          </cell>
          <cell r="P112">
            <v>119</v>
          </cell>
          <cell r="Q112">
            <v>42</v>
          </cell>
          <cell r="R112">
            <v>77</v>
          </cell>
          <cell r="S112">
            <v>404</v>
          </cell>
          <cell r="T112">
            <v>136</v>
          </cell>
        </row>
        <row r="113">
          <cell r="C113" t="str">
            <v>Census Tract 108, King County, Washington</v>
          </cell>
          <cell r="D113">
            <v>291</v>
          </cell>
          <cell r="E113">
            <v>196</v>
          </cell>
          <cell r="F113">
            <v>127</v>
          </cell>
          <cell r="G113">
            <v>69</v>
          </cell>
          <cell r="H113">
            <v>4</v>
          </cell>
          <cell r="I113">
            <v>14</v>
          </cell>
          <cell r="J113">
            <v>24</v>
          </cell>
          <cell r="K113">
            <v>27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95</v>
          </cell>
          <cell r="Q113">
            <v>44</v>
          </cell>
          <cell r="R113">
            <v>51</v>
          </cell>
          <cell r="S113">
            <v>196</v>
          </cell>
          <cell r="T113">
            <v>95</v>
          </cell>
        </row>
        <row r="114">
          <cell r="C114" t="str">
            <v>Census Tract 109, King County, Washington</v>
          </cell>
          <cell r="D114">
            <v>68</v>
          </cell>
          <cell r="E114">
            <v>42</v>
          </cell>
          <cell r="F114">
            <v>22</v>
          </cell>
          <cell r="G114">
            <v>20</v>
          </cell>
          <cell r="H114">
            <v>0</v>
          </cell>
          <cell r="I114">
            <v>4</v>
          </cell>
          <cell r="J114">
            <v>12</v>
          </cell>
          <cell r="K114">
            <v>4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26</v>
          </cell>
          <cell r="Q114">
            <v>13</v>
          </cell>
          <cell r="R114">
            <v>13</v>
          </cell>
          <cell r="S114">
            <v>42</v>
          </cell>
          <cell r="T114">
            <v>26</v>
          </cell>
        </row>
        <row r="115">
          <cell r="C115" t="str">
            <v>Census Tract 110, King County, Washington</v>
          </cell>
          <cell r="D115">
            <v>473</v>
          </cell>
          <cell r="E115">
            <v>217</v>
          </cell>
          <cell r="F115">
            <v>156</v>
          </cell>
          <cell r="G115">
            <v>61</v>
          </cell>
          <cell r="H115">
            <v>29</v>
          </cell>
          <cell r="I115">
            <v>15</v>
          </cell>
          <cell r="J115">
            <v>0</v>
          </cell>
          <cell r="K115">
            <v>17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256</v>
          </cell>
          <cell r="Q115">
            <v>101</v>
          </cell>
          <cell r="R115">
            <v>155</v>
          </cell>
          <cell r="S115">
            <v>217</v>
          </cell>
          <cell r="T115">
            <v>256</v>
          </cell>
        </row>
        <row r="116">
          <cell r="C116" t="str">
            <v>Census Tract 111.01, King County, Washington</v>
          </cell>
          <cell r="D116">
            <v>438</v>
          </cell>
          <cell r="E116">
            <v>225</v>
          </cell>
          <cell r="F116">
            <v>166</v>
          </cell>
          <cell r="G116">
            <v>59</v>
          </cell>
          <cell r="H116">
            <v>8</v>
          </cell>
          <cell r="I116">
            <v>33</v>
          </cell>
          <cell r="J116">
            <v>5</v>
          </cell>
          <cell r="K116">
            <v>13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213</v>
          </cell>
          <cell r="Q116">
            <v>6</v>
          </cell>
          <cell r="R116">
            <v>207</v>
          </cell>
          <cell r="S116">
            <v>225</v>
          </cell>
          <cell r="T116">
            <v>213</v>
          </cell>
        </row>
        <row r="117">
          <cell r="C117" t="str">
            <v>Census Tract 111.02, King County, Washington</v>
          </cell>
          <cell r="D117">
            <v>212</v>
          </cell>
          <cell r="E117">
            <v>109</v>
          </cell>
          <cell r="F117">
            <v>71</v>
          </cell>
          <cell r="G117">
            <v>25</v>
          </cell>
          <cell r="H117">
            <v>0</v>
          </cell>
          <cell r="I117">
            <v>0</v>
          </cell>
          <cell r="J117">
            <v>8</v>
          </cell>
          <cell r="K117">
            <v>17</v>
          </cell>
          <cell r="L117">
            <v>13</v>
          </cell>
          <cell r="M117">
            <v>0</v>
          </cell>
          <cell r="N117">
            <v>0</v>
          </cell>
          <cell r="O117">
            <v>13</v>
          </cell>
          <cell r="P117">
            <v>103</v>
          </cell>
          <cell r="Q117">
            <v>31</v>
          </cell>
          <cell r="R117">
            <v>72</v>
          </cell>
          <cell r="S117">
            <v>96</v>
          </cell>
          <cell r="T117">
            <v>116</v>
          </cell>
        </row>
        <row r="118">
          <cell r="C118" t="str">
            <v>Census Tract 112, King County, Washington</v>
          </cell>
          <cell r="D118">
            <v>226</v>
          </cell>
          <cell r="E118">
            <v>177</v>
          </cell>
          <cell r="F118">
            <v>138</v>
          </cell>
          <cell r="G118">
            <v>39</v>
          </cell>
          <cell r="H118">
            <v>0</v>
          </cell>
          <cell r="I118">
            <v>12</v>
          </cell>
          <cell r="J118">
            <v>13</v>
          </cell>
          <cell r="K118">
            <v>14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49</v>
          </cell>
          <cell r="Q118">
            <v>18</v>
          </cell>
          <cell r="R118">
            <v>31</v>
          </cell>
          <cell r="S118">
            <v>177</v>
          </cell>
          <cell r="T118">
            <v>49</v>
          </cell>
        </row>
        <row r="119">
          <cell r="C119" t="str">
            <v>Census Tract 113, King County, Washington</v>
          </cell>
          <cell r="D119">
            <v>305</v>
          </cell>
          <cell r="E119">
            <v>233</v>
          </cell>
          <cell r="F119">
            <v>181</v>
          </cell>
          <cell r="G119">
            <v>42</v>
          </cell>
          <cell r="H119">
            <v>0</v>
          </cell>
          <cell r="I119">
            <v>10</v>
          </cell>
          <cell r="J119">
            <v>0</v>
          </cell>
          <cell r="K119">
            <v>32</v>
          </cell>
          <cell r="L119">
            <v>10</v>
          </cell>
          <cell r="M119">
            <v>0</v>
          </cell>
          <cell r="N119">
            <v>0</v>
          </cell>
          <cell r="O119">
            <v>10</v>
          </cell>
          <cell r="P119">
            <v>72</v>
          </cell>
          <cell r="Q119">
            <v>62</v>
          </cell>
          <cell r="R119">
            <v>10</v>
          </cell>
          <cell r="S119">
            <v>223</v>
          </cell>
          <cell r="T119">
            <v>82</v>
          </cell>
        </row>
        <row r="120">
          <cell r="C120" t="str">
            <v>Census Tract 114, King County, Washington</v>
          </cell>
          <cell r="D120">
            <v>374</v>
          </cell>
          <cell r="E120">
            <v>345</v>
          </cell>
          <cell r="F120">
            <v>255</v>
          </cell>
          <cell r="G120">
            <v>81</v>
          </cell>
          <cell r="H120">
            <v>28</v>
          </cell>
          <cell r="I120">
            <v>8</v>
          </cell>
          <cell r="J120">
            <v>15</v>
          </cell>
          <cell r="K120">
            <v>30</v>
          </cell>
          <cell r="L120">
            <v>9</v>
          </cell>
          <cell r="M120">
            <v>0</v>
          </cell>
          <cell r="N120">
            <v>0</v>
          </cell>
          <cell r="O120">
            <v>9</v>
          </cell>
          <cell r="P120">
            <v>29</v>
          </cell>
          <cell r="Q120">
            <v>11</v>
          </cell>
          <cell r="R120">
            <v>18</v>
          </cell>
          <cell r="S120">
            <v>336</v>
          </cell>
          <cell r="T120">
            <v>38</v>
          </cell>
        </row>
        <row r="121">
          <cell r="C121" t="str">
            <v>Census Tract 115, King County, Washington</v>
          </cell>
          <cell r="D121">
            <v>249</v>
          </cell>
          <cell r="E121">
            <v>187</v>
          </cell>
          <cell r="F121">
            <v>115</v>
          </cell>
          <cell r="G121">
            <v>52</v>
          </cell>
          <cell r="H121">
            <v>0</v>
          </cell>
          <cell r="I121">
            <v>7</v>
          </cell>
          <cell r="J121">
            <v>0</v>
          </cell>
          <cell r="K121">
            <v>45</v>
          </cell>
          <cell r="L121">
            <v>20</v>
          </cell>
          <cell r="M121">
            <v>0</v>
          </cell>
          <cell r="N121">
            <v>0</v>
          </cell>
          <cell r="O121">
            <v>20</v>
          </cell>
          <cell r="P121">
            <v>62</v>
          </cell>
          <cell r="Q121">
            <v>39</v>
          </cell>
          <cell r="R121">
            <v>23</v>
          </cell>
          <cell r="S121">
            <v>167</v>
          </cell>
          <cell r="T121">
            <v>82</v>
          </cell>
        </row>
        <row r="122">
          <cell r="C122" t="str">
            <v>Census Tract 116, King County, Washington</v>
          </cell>
          <cell r="D122">
            <v>184</v>
          </cell>
          <cell r="E122">
            <v>175</v>
          </cell>
          <cell r="F122">
            <v>112</v>
          </cell>
          <cell r="G122">
            <v>56</v>
          </cell>
          <cell r="H122">
            <v>0</v>
          </cell>
          <cell r="I122">
            <v>29</v>
          </cell>
          <cell r="J122">
            <v>9</v>
          </cell>
          <cell r="K122">
            <v>18</v>
          </cell>
          <cell r="L122">
            <v>7</v>
          </cell>
          <cell r="M122">
            <v>0</v>
          </cell>
          <cell r="N122">
            <v>0</v>
          </cell>
          <cell r="O122">
            <v>7</v>
          </cell>
          <cell r="P122">
            <v>9</v>
          </cell>
          <cell r="Q122">
            <v>0</v>
          </cell>
          <cell r="R122">
            <v>9</v>
          </cell>
          <cell r="S122">
            <v>168</v>
          </cell>
          <cell r="T122">
            <v>16</v>
          </cell>
        </row>
        <row r="123">
          <cell r="C123" t="str">
            <v>Census Tract 117, King County, Washington</v>
          </cell>
          <cell r="D123">
            <v>270</v>
          </cell>
          <cell r="E123">
            <v>180</v>
          </cell>
          <cell r="F123">
            <v>135</v>
          </cell>
          <cell r="G123">
            <v>45</v>
          </cell>
          <cell r="H123">
            <v>13</v>
          </cell>
          <cell r="I123">
            <v>4</v>
          </cell>
          <cell r="J123">
            <v>10</v>
          </cell>
          <cell r="K123">
            <v>18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90</v>
          </cell>
          <cell r="Q123">
            <v>24</v>
          </cell>
          <cell r="R123">
            <v>66</v>
          </cell>
          <cell r="S123">
            <v>180</v>
          </cell>
          <cell r="T123">
            <v>90</v>
          </cell>
        </row>
        <row r="124">
          <cell r="C124" t="str">
            <v>Census Tract 118, King County, Washington</v>
          </cell>
          <cell r="D124">
            <v>807</v>
          </cell>
          <cell r="E124">
            <v>505</v>
          </cell>
          <cell r="F124">
            <v>366</v>
          </cell>
          <cell r="G124">
            <v>131</v>
          </cell>
          <cell r="H124">
            <v>30</v>
          </cell>
          <cell r="I124">
            <v>56</v>
          </cell>
          <cell r="J124">
            <v>0</v>
          </cell>
          <cell r="K124">
            <v>45</v>
          </cell>
          <cell r="L124">
            <v>8</v>
          </cell>
          <cell r="M124">
            <v>8</v>
          </cell>
          <cell r="N124">
            <v>0</v>
          </cell>
          <cell r="O124">
            <v>0</v>
          </cell>
          <cell r="P124">
            <v>302</v>
          </cell>
          <cell r="Q124">
            <v>212</v>
          </cell>
          <cell r="R124">
            <v>90</v>
          </cell>
          <cell r="S124">
            <v>497</v>
          </cell>
          <cell r="T124">
            <v>310</v>
          </cell>
        </row>
        <row r="125">
          <cell r="C125" t="str">
            <v>Census Tract 119, King County, Washington</v>
          </cell>
          <cell r="D125">
            <v>607</v>
          </cell>
          <cell r="E125">
            <v>571</v>
          </cell>
          <cell r="F125">
            <v>271</v>
          </cell>
          <cell r="G125">
            <v>300</v>
          </cell>
          <cell r="H125">
            <v>0</v>
          </cell>
          <cell r="I125">
            <v>19</v>
          </cell>
          <cell r="J125">
            <v>162</v>
          </cell>
          <cell r="K125">
            <v>119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36</v>
          </cell>
          <cell r="Q125">
            <v>13</v>
          </cell>
          <cell r="R125">
            <v>23</v>
          </cell>
          <cell r="S125">
            <v>571</v>
          </cell>
          <cell r="T125">
            <v>36</v>
          </cell>
        </row>
        <row r="126">
          <cell r="C126" t="str">
            <v>Census Tract 120, King County, Washington</v>
          </cell>
          <cell r="D126">
            <v>123</v>
          </cell>
          <cell r="E126">
            <v>123</v>
          </cell>
          <cell r="F126">
            <v>102</v>
          </cell>
          <cell r="G126">
            <v>15</v>
          </cell>
          <cell r="H126">
            <v>0</v>
          </cell>
          <cell r="I126">
            <v>11</v>
          </cell>
          <cell r="J126">
            <v>0</v>
          </cell>
          <cell r="K126">
            <v>4</v>
          </cell>
          <cell r="L126">
            <v>6</v>
          </cell>
          <cell r="M126">
            <v>0</v>
          </cell>
          <cell r="N126">
            <v>0</v>
          </cell>
          <cell r="O126">
            <v>6</v>
          </cell>
          <cell r="P126">
            <v>0</v>
          </cell>
          <cell r="Q126">
            <v>0</v>
          </cell>
          <cell r="R126">
            <v>0</v>
          </cell>
          <cell r="S126">
            <v>117</v>
          </cell>
          <cell r="T126">
            <v>6</v>
          </cell>
        </row>
        <row r="127">
          <cell r="C127" t="str">
            <v>Census Tract 121, King County, Washington</v>
          </cell>
          <cell r="D127">
            <v>84</v>
          </cell>
          <cell r="E127">
            <v>84</v>
          </cell>
          <cell r="F127">
            <v>62</v>
          </cell>
          <cell r="G127">
            <v>22</v>
          </cell>
          <cell r="H127">
            <v>0</v>
          </cell>
          <cell r="I127">
            <v>8</v>
          </cell>
          <cell r="J127">
            <v>7</v>
          </cell>
          <cell r="K127">
            <v>7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84</v>
          </cell>
          <cell r="T127">
            <v>0</v>
          </cell>
        </row>
        <row r="128">
          <cell r="C128" t="str">
            <v>Census Tract 201, King County, Washington</v>
          </cell>
          <cell r="D128">
            <v>119</v>
          </cell>
          <cell r="E128">
            <v>107</v>
          </cell>
          <cell r="F128">
            <v>91</v>
          </cell>
          <cell r="G128">
            <v>16</v>
          </cell>
          <cell r="H128">
            <v>0</v>
          </cell>
          <cell r="I128">
            <v>0</v>
          </cell>
          <cell r="J128">
            <v>6</v>
          </cell>
          <cell r="K128">
            <v>10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12</v>
          </cell>
          <cell r="Q128">
            <v>6</v>
          </cell>
          <cell r="R128">
            <v>6</v>
          </cell>
          <cell r="S128">
            <v>107</v>
          </cell>
          <cell r="T128">
            <v>12</v>
          </cell>
        </row>
        <row r="129">
          <cell r="C129" t="str">
            <v>Census Tract 202, King County, Washington</v>
          </cell>
          <cell r="D129">
            <v>140</v>
          </cell>
          <cell r="E129">
            <v>140</v>
          </cell>
          <cell r="F129">
            <v>106</v>
          </cell>
          <cell r="G129">
            <v>34</v>
          </cell>
          <cell r="H129">
            <v>6</v>
          </cell>
          <cell r="I129">
            <v>10</v>
          </cell>
          <cell r="J129">
            <v>10</v>
          </cell>
          <cell r="K129">
            <v>8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140</v>
          </cell>
          <cell r="T129">
            <v>0</v>
          </cell>
        </row>
        <row r="130">
          <cell r="C130" t="str">
            <v>Census Tract 203, King County, Washington</v>
          </cell>
          <cell r="D130">
            <v>356</v>
          </cell>
          <cell r="E130">
            <v>219</v>
          </cell>
          <cell r="F130">
            <v>140</v>
          </cell>
          <cell r="G130">
            <v>70</v>
          </cell>
          <cell r="H130">
            <v>0</v>
          </cell>
          <cell r="I130">
            <v>10</v>
          </cell>
          <cell r="J130">
            <v>4</v>
          </cell>
          <cell r="K130">
            <v>56</v>
          </cell>
          <cell r="L130">
            <v>9</v>
          </cell>
          <cell r="M130">
            <v>0</v>
          </cell>
          <cell r="N130">
            <v>0</v>
          </cell>
          <cell r="O130">
            <v>9</v>
          </cell>
          <cell r="P130">
            <v>137</v>
          </cell>
          <cell r="Q130">
            <v>114</v>
          </cell>
          <cell r="R130">
            <v>23</v>
          </cell>
          <cell r="S130">
            <v>210</v>
          </cell>
          <cell r="T130">
            <v>146</v>
          </cell>
        </row>
        <row r="131">
          <cell r="C131" t="str">
            <v>Census Tract 204.01, King County, Washington</v>
          </cell>
          <cell r="D131">
            <v>189</v>
          </cell>
          <cell r="E131">
            <v>183</v>
          </cell>
          <cell r="F131">
            <v>132</v>
          </cell>
          <cell r="G131">
            <v>51</v>
          </cell>
          <cell r="H131">
            <v>9</v>
          </cell>
          <cell r="I131">
            <v>6</v>
          </cell>
          <cell r="J131">
            <v>6</v>
          </cell>
          <cell r="K131">
            <v>30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6</v>
          </cell>
          <cell r="Q131">
            <v>1</v>
          </cell>
          <cell r="R131">
            <v>5</v>
          </cell>
          <cell r="S131">
            <v>183</v>
          </cell>
          <cell r="T131">
            <v>6</v>
          </cell>
        </row>
        <row r="132">
          <cell r="C132" t="str">
            <v>Census Tract 204.02, King County, Washington</v>
          </cell>
          <cell r="D132">
            <v>303</v>
          </cell>
          <cell r="E132">
            <v>232</v>
          </cell>
          <cell r="F132">
            <v>162</v>
          </cell>
          <cell r="G132">
            <v>70</v>
          </cell>
          <cell r="H132">
            <v>16</v>
          </cell>
          <cell r="I132">
            <v>19</v>
          </cell>
          <cell r="J132">
            <v>9</v>
          </cell>
          <cell r="K132">
            <v>26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71</v>
          </cell>
          <cell r="Q132">
            <v>16</v>
          </cell>
          <cell r="R132">
            <v>55</v>
          </cell>
          <cell r="S132">
            <v>232</v>
          </cell>
          <cell r="T132">
            <v>71</v>
          </cell>
        </row>
        <row r="133">
          <cell r="C133" t="str">
            <v>Census Tract 205, King County, Washington</v>
          </cell>
          <cell r="D133">
            <v>446</v>
          </cell>
          <cell r="E133">
            <v>404</v>
          </cell>
          <cell r="F133">
            <v>230</v>
          </cell>
          <cell r="G133">
            <v>173</v>
          </cell>
          <cell r="H133">
            <v>29</v>
          </cell>
          <cell r="I133">
            <v>12</v>
          </cell>
          <cell r="J133">
            <v>61</v>
          </cell>
          <cell r="K133">
            <v>71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42</v>
          </cell>
          <cell r="Q133">
            <v>20</v>
          </cell>
          <cell r="R133">
            <v>22</v>
          </cell>
          <cell r="S133">
            <v>403</v>
          </cell>
          <cell r="T133">
            <v>43</v>
          </cell>
        </row>
        <row r="134">
          <cell r="C134" t="str">
            <v>Census Tract 206, King County, Washington</v>
          </cell>
          <cell r="D134">
            <v>202</v>
          </cell>
          <cell r="E134">
            <v>186</v>
          </cell>
          <cell r="F134">
            <v>85</v>
          </cell>
          <cell r="G134">
            <v>98</v>
          </cell>
          <cell r="H134">
            <v>0</v>
          </cell>
          <cell r="I134">
            <v>0</v>
          </cell>
          <cell r="J134">
            <v>10</v>
          </cell>
          <cell r="K134">
            <v>88</v>
          </cell>
          <cell r="L134">
            <v>3</v>
          </cell>
          <cell r="M134">
            <v>0</v>
          </cell>
          <cell r="N134">
            <v>0</v>
          </cell>
          <cell r="O134">
            <v>3</v>
          </cell>
          <cell r="P134">
            <v>16</v>
          </cell>
          <cell r="Q134">
            <v>16</v>
          </cell>
          <cell r="R134">
            <v>0</v>
          </cell>
          <cell r="S134">
            <v>183</v>
          </cell>
          <cell r="T134">
            <v>19</v>
          </cell>
        </row>
        <row r="135">
          <cell r="C135" t="str">
            <v>Census Tract 207, King County, Washington</v>
          </cell>
          <cell r="D135">
            <v>199</v>
          </cell>
          <cell r="E135">
            <v>194</v>
          </cell>
          <cell r="F135">
            <v>129</v>
          </cell>
          <cell r="G135">
            <v>53</v>
          </cell>
          <cell r="H135">
            <v>0</v>
          </cell>
          <cell r="I135">
            <v>0</v>
          </cell>
          <cell r="J135">
            <v>20</v>
          </cell>
          <cell r="K135">
            <v>33</v>
          </cell>
          <cell r="L135">
            <v>12</v>
          </cell>
          <cell r="M135">
            <v>0</v>
          </cell>
          <cell r="N135">
            <v>0</v>
          </cell>
          <cell r="O135">
            <v>12</v>
          </cell>
          <cell r="P135">
            <v>5</v>
          </cell>
          <cell r="Q135">
            <v>5</v>
          </cell>
          <cell r="R135">
            <v>0</v>
          </cell>
          <cell r="S135">
            <v>182</v>
          </cell>
          <cell r="T135">
            <v>17</v>
          </cell>
        </row>
        <row r="136">
          <cell r="C136" t="str">
            <v>Census Tract 208, King County, Washington</v>
          </cell>
          <cell r="D136">
            <v>171</v>
          </cell>
          <cell r="E136">
            <v>168</v>
          </cell>
          <cell r="F136">
            <v>124</v>
          </cell>
          <cell r="G136">
            <v>33</v>
          </cell>
          <cell r="H136">
            <v>10</v>
          </cell>
          <cell r="I136">
            <v>0</v>
          </cell>
          <cell r="J136">
            <v>0</v>
          </cell>
          <cell r="K136">
            <v>23</v>
          </cell>
          <cell r="L136">
            <v>11</v>
          </cell>
          <cell r="M136">
            <v>0</v>
          </cell>
          <cell r="N136">
            <v>0</v>
          </cell>
          <cell r="O136">
            <v>11</v>
          </cell>
          <cell r="P136">
            <v>3</v>
          </cell>
          <cell r="Q136">
            <v>0</v>
          </cell>
          <cell r="R136">
            <v>3</v>
          </cell>
          <cell r="S136">
            <v>157</v>
          </cell>
          <cell r="T136">
            <v>14</v>
          </cell>
        </row>
        <row r="137">
          <cell r="C137" t="str">
            <v>Census Tract 209, King County, Washington</v>
          </cell>
          <cell r="D137">
            <v>109</v>
          </cell>
          <cell r="E137">
            <v>109</v>
          </cell>
          <cell r="F137">
            <v>80</v>
          </cell>
          <cell r="G137">
            <v>23</v>
          </cell>
          <cell r="H137">
            <v>0</v>
          </cell>
          <cell r="I137">
            <v>7</v>
          </cell>
          <cell r="J137">
            <v>0</v>
          </cell>
          <cell r="K137">
            <v>16</v>
          </cell>
          <cell r="L137">
            <v>6</v>
          </cell>
          <cell r="M137">
            <v>0</v>
          </cell>
          <cell r="N137">
            <v>6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103</v>
          </cell>
          <cell r="T137">
            <v>6</v>
          </cell>
        </row>
        <row r="138">
          <cell r="C138" t="str">
            <v>Census Tract 210, King County, Washington</v>
          </cell>
          <cell r="D138">
            <v>224</v>
          </cell>
          <cell r="E138">
            <v>186</v>
          </cell>
          <cell r="F138">
            <v>121</v>
          </cell>
          <cell r="G138">
            <v>56</v>
          </cell>
          <cell r="H138">
            <v>0</v>
          </cell>
          <cell r="I138">
            <v>0</v>
          </cell>
          <cell r="J138">
            <v>12</v>
          </cell>
          <cell r="K138">
            <v>44</v>
          </cell>
          <cell r="L138">
            <v>9</v>
          </cell>
          <cell r="M138">
            <v>0</v>
          </cell>
          <cell r="N138">
            <v>0</v>
          </cell>
          <cell r="O138">
            <v>9</v>
          </cell>
          <cell r="P138">
            <v>38</v>
          </cell>
          <cell r="Q138">
            <v>18</v>
          </cell>
          <cell r="R138">
            <v>20</v>
          </cell>
          <cell r="S138">
            <v>177</v>
          </cell>
          <cell r="T138">
            <v>47</v>
          </cell>
        </row>
        <row r="139">
          <cell r="C139" t="str">
            <v>Census Tract 211, King County, Washington</v>
          </cell>
          <cell r="D139">
            <v>150</v>
          </cell>
          <cell r="E139">
            <v>121</v>
          </cell>
          <cell r="F139">
            <v>84</v>
          </cell>
          <cell r="G139">
            <v>28</v>
          </cell>
          <cell r="H139">
            <v>0</v>
          </cell>
          <cell r="I139">
            <v>11</v>
          </cell>
          <cell r="J139">
            <v>0</v>
          </cell>
          <cell r="K139">
            <v>17</v>
          </cell>
          <cell r="L139">
            <v>9</v>
          </cell>
          <cell r="M139">
            <v>0</v>
          </cell>
          <cell r="N139">
            <v>0</v>
          </cell>
          <cell r="O139">
            <v>9</v>
          </cell>
          <cell r="P139">
            <v>29</v>
          </cell>
          <cell r="Q139">
            <v>24</v>
          </cell>
          <cell r="R139">
            <v>5</v>
          </cell>
          <cell r="S139">
            <v>112</v>
          </cell>
          <cell r="T139">
            <v>38</v>
          </cell>
        </row>
        <row r="140">
          <cell r="C140" t="str">
            <v>Census Tract 213, King County, Washington</v>
          </cell>
          <cell r="D140">
            <v>173</v>
          </cell>
          <cell r="E140">
            <v>158</v>
          </cell>
          <cell r="F140">
            <v>100</v>
          </cell>
          <cell r="G140">
            <v>45</v>
          </cell>
          <cell r="H140">
            <v>7</v>
          </cell>
          <cell r="I140">
            <v>0</v>
          </cell>
          <cell r="J140">
            <v>8</v>
          </cell>
          <cell r="K140">
            <v>30</v>
          </cell>
          <cell r="L140">
            <v>13</v>
          </cell>
          <cell r="M140">
            <v>0</v>
          </cell>
          <cell r="N140">
            <v>0</v>
          </cell>
          <cell r="O140">
            <v>13</v>
          </cell>
          <cell r="P140">
            <v>15</v>
          </cell>
          <cell r="Q140">
            <v>7</v>
          </cell>
          <cell r="R140">
            <v>8</v>
          </cell>
          <cell r="S140">
            <v>145</v>
          </cell>
          <cell r="T140">
            <v>28</v>
          </cell>
        </row>
        <row r="141">
          <cell r="C141" t="str">
            <v>Census Tract 214, King County, Washington</v>
          </cell>
          <cell r="D141">
            <v>166</v>
          </cell>
          <cell r="E141">
            <v>148</v>
          </cell>
          <cell r="F141">
            <v>108</v>
          </cell>
          <cell r="G141">
            <v>34</v>
          </cell>
          <cell r="H141">
            <v>0</v>
          </cell>
          <cell r="I141">
            <v>6</v>
          </cell>
          <cell r="J141">
            <v>7</v>
          </cell>
          <cell r="K141">
            <v>21</v>
          </cell>
          <cell r="L141">
            <v>6</v>
          </cell>
          <cell r="M141">
            <v>0</v>
          </cell>
          <cell r="N141">
            <v>0</v>
          </cell>
          <cell r="O141">
            <v>6</v>
          </cell>
          <cell r="P141">
            <v>18</v>
          </cell>
          <cell r="Q141">
            <v>8</v>
          </cell>
          <cell r="R141">
            <v>10</v>
          </cell>
          <cell r="S141">
            <v>142</v>
          </cell>
          <cell r="T141">
            <v>24</v>
          </cell>
        </row>
        <row r="142">
          <cell r="C142" t="str">
            <v>Census Tract 215, King County, Washington</v>
          </cell>
          <cell r="D142">
            <v>123</v>
          </cell>
          <cell r="E142">
            <v>110</v>
          </cell>
          <cell r="F142">
            <v>44</v>
          </cell>
          <cell r="G142">
            <v>52</v>
          </cell>
          <cell r="H142">
            <v>3</v>
          </cell>
          <cell r="I142">
            <v>4</v>
          </cell>
          <cell r="J142">
            <v>6</v>
          </cell>
          <cell r="K142">
            <v>39</v>
          </cell>
          <cell r="L142">
            <v>14</v>
          </cell>
          <cell r="M142">
            <v>0</v>
          </cell>
          <cell r="N142">
            <v>0</v>
          </cell>
          <cell r="O142">
            <v>14</v>
          </cell>
          <cell r="P142">
            <v>13</v>
          </cell>
          <cell r="Q142">
            <v>13</v>
          </cell>
          <cell r="R142">
            <v>0</v>
          </cell>
          <cell r="S142">
            <v>96</v>
          </cell>
          <cell r="T142">
            <v>27</v>
          </cell>
        </row>
        <row r="143">
          <cell r="C143" t="str">
            <v>Census Tract 216, King County, Washington</v>
          </cell>
          <cell r="D143">
            <v>136</v>
          </cell>
          <cell r="E143">
            <v>136</v>
          </cell>
          <cell r="F143">
            <v>104</v>
          </cell>
          <cell r="G143">
            <v>32</v>
          </cell>
          <cell r="H143">
            <v>0</v>
          </cell>
          <cell r="I143">
            <v>0</v>
          </cell>
          <cell r="J143">
            <v>8</v>
          </cell>
          <cell r="K143">
            <v>24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136</v>
          </cell>
          <cell r="T143">
            <v>0</v>
          </cell>
        </row>
        <row r="144">
          <cell r="C144" t="str">
            <v>Census Tract 217, King County, Washington</v>
          </cell>
          <cell r="D144">
            <v>148</v>
          </cell>
          <cell r="E144">
            <v>139</v>
          </cell>
          <cell r="F144">
            <v>51</v>
          </cell>
          <cell r="G144">
            <v>82</v>
          </cell>
          <cell r="H144">
            <v>0</v>
          </cell>
          <cell r="I144">
            <v>0</v>
          </cell>
          <cell r="J144">
            <v>7</v>
          </cell>
          <cell r="K144">
            <v>75</v>
          </cell>
          <cell r="L144">
            <v>6</v>
          </cell>
          <cell r="M144">
            <v>0</v>
          </cell>
          <cell r="N144">
            <v>0</v>
          </cell>
          <cell r="O144">
            <v>6</v>
          </cell>
          <cell r="P144">
            <v>9</v>
          </cell>
          <cell r="Q144">
            <v>9</v>
          </cell>
          <cell r="R144">
            <v>0</v>
          </cell>
          <cell r="S144">
            <v>133</v>
          </cell>
          <cell r="T144">
            <v>15</v>
          </cell>
        </row>
        <row r="145">
          <cell r="C145" t="str">
            <v>Census Tract 218.02, King County, Washington</v>
          </cell>
          <cell r="D145">
            <v>134</v>
          </cell>
          <cell r="E145">
            <v>121</v>
          </cell>
          <cell r="F145">
            <v>36</v>
          </cell>
          <cell r="G145">
            <v>74</v>
          </cell>
          <cell r="H145">
            <v>0</v>
          </cell>
          <cell r="I145">
            <v>36</v>
          </cell>
          <cell r="J145">
            <v>25</v>
          </cell>
          <cell r="K145">
            <v>13</v>
          </cell>
          <cell r="L145">
            <v>11</v>
          </cell>
          <cell r="M145">
            <v>0</v>
          </cell>
          <cell r="N145">
            <v>0</v>
          </cell>
          <cell r="O145">
            <v>11</v>
          </cell>
          <cell r="P145">
            <v>13</v>
          </cell>
          <cell r="Q145">
            <v>6</v>
          </cell>
          <cell r="R145">
            <v>7</v>
          </cell>
          <cell r="S145">
            <v>110</v>
          </cell>
          <cell r="T145">
            <v>24</v>
          </cell>
        </row>
        <row r="146">
          <cell r="C146" t="str">
            <v>Census Tract 218.03, King County, Washington</v>
          </cell>
          <cell r="D146">
            <v>78</v>
          </cell>
          <cell r="E146">
            <v>78</v>
          </cell>
          <cell r="F146">
            <v>30</v>
          </cell>
          <cell r="G146">
            <v>39</v>
          </cell>
          <cell r="H146">
            <v>0</v>
          </cell>
          <cell r="I146">
            <v>6</v>
          </cell>
          <cell r="J146">
            <v>0</v>
          </cell>
          <cell r="K146">
            <v>33</v>
          </cell>
          <cell r="L146">
            <v>9</v>
          </cell>
          <cell r="M146">
            <v>0</v>
          </cell>
          <cell r="N146">
            <v>0</v>
          </cell>
          <cell r="O146">
            <v>9</v>
          </cell>
          <cell r="P146">
            <v>0</v>
          </cell>
          <cell r="Q146">
            <v>0</v>
          </cell>
          <cell r="R146">
            <v>0</v>
          </cell>
          <cell r="S146">
            <v>69</v>
          </cell>
          <cell r="T146">
            <v>9</v>
          </cell>
        </row>
        <row r="147">
          <cell r="C147" t="str">
            <v>Census Tract 218.04, King County, Washington</v>
          </cell>
          <cell r="D147">
            <v>91</v>
          </cell>
          <cell r="E147">
            <v>91</v>
          </cell>
          <cell r="F147">
            <v>54</v>
          </cell>
          <cell r="G147">
            <v>37</v>
          </cell>
          <cell r="H147">
            <v>5</v>
          </cell>
          <cell r="I147">
            <v>10</v>
          </cell>
          <cell r="J147">
            <v>0</v>
          </cell>
          <cell r="K147">
            <v>22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91</v>
          </cell>
          <cell r="T147">
            <v>0</v>
          </cell>
        </row>
        <row r="148">
          <cell r="C148" t="str">
            <v>Census Tract 219.03, King County, Washington</v>
          </cell>
          <cell r="D148">
            <v>206</v>
          </cell>
          <cell r="E148">
            <v>181</v>
          </cell>
          <cell r="F148">
            <v>118</v>
          </cell>
          <cell r="G148">
            <v>63</v>
          </cell>
          <cell r="H148">
            <v>7</v>
          </cell>
          <cell r="I148">
            <v>30</v>
          </cell>
          <cell r="J148">
            <v>8</v>
          </cell>
          <cell r="K148">
            <v>18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25</v>
          </cell>
          <cell r="Q148">
            <v>0</v>
          </cell>
          <cell r="R148">
            <v>25</v>
          </cell>
          <cell r="S148">
            <v>181</v>
          </cell>
          <cell r="T148">
            <v>25</v>
          </cell>
        </row>
        <row r="149">
          <cell r="C149" t="str">
            <v>Census Tract 219.04, King County, Washington</v>
          </cell>
          <cell r="D149">
            <v>206</v>
          </cell>
          <cell r="E149">
            <v>168</v>
          </cell>
          <cell r="F149">
            <v>123</v>
          </cell>
          <cell r="G149">
            <v>40</v>
          </cell>
          <cell r="H149">
            <v>7</v>
          </cell>
          <cell r="I149">
            <v>6</v>
          </cell>
          <cell r="J149">
            <v>0</v>
          </cell>
          <cell r="K149">
            <v>27</v>
          </cell>
          <cell r="L149">
            <v>5</v>
          </cell>
          <cell r="M149">
            <v>0</v>
          </cell>
          <cell r="N149">
            <v>0</v>
          </cell>
          <cell r="O149">
            <v>5</v>
          </cell>
          <cell r="P149">
            <v>38</v>
          </cell>
          <cell r="Q149">
            <v>27</v>
          </cell>
          <cell r="R149">
            <v>11</v>
          </cell>
          <cell r="S149">
            <v>163</v>
          </cell>
          <cell r="T149">
            <v>43</v>
          </cell>
        </row>
        <row r="150">
          <cell r="C150" t="str">
            <v>Census Tract 219.05, King County, Washington</v>
          </cell>
          <cell r="D150">
            <v>235</v>
          </cell>
          <cell r="E150">
            <v>228</v>
          </cell>
          <cell r="F150">
            <v>123</v>
          </cell>
          <cell r="G150">
            <v>105</v>
          </cell>
          <cell r="H150">
            <v>0</v>
          </cell>
          <cell r="I150">
            <v>17</v>
          </cell>
          <cell r="J150">
            <v>11</v>
          </cell>
          <cell r="K150">
            <v>77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7</v>
          </cell>
          <cell r="Q150">
            <v>0</v>
          </cell>
          <cell r="R150">
            <v>7</v>
          </cell>
          <cell r="S150">
            <v>228</v>
          </cell>
          <cell r="T150">
            <v>7</v>
          </cell>
        </row>
        <row r="151">
          <cell r="C151" t="str">
            <v>Census Tract 219.06, King County, Washington</v>
          </cell>
          <cell r="D151">
            <v>166</v>
          </cell>
          <cell r="E151">
            <v>149</v>
          </cell>
          <cell r="F151">
            <v>114</v>
          </cell>
          <cell r="G151">
            <v>35</v>
          </cell>
          <cell r="H151">
            <v>0</v>
          </cell>
          <cell r="I151">
            <v>22</v>
          </cell>
          <cell r="J151">
            <v>0</v>
          </cell>
          <cell r="K151">
            <v>13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17</v>
          </cell>
          <cell r="Q151">
            <v>6</v>
          </cell>
          <cell r="R151">
            <v>11</v>
          </cell>
          <cell r="S151">
            <v>149</v>
          </cell>
          <cell r="T151">
            <v>17</v>
          </cell>
        </row>
        <row r="152">
          <cell r="C152" t="str">
            <v>Census Tract 220.01, King County, Washington</v>
          </cell>
          <cell r="D152">
            <v>108</v>
          </cell>
          <cell r="E152">
            <v>108</v>
          </cell>
          <cell r="F152">
            <v>62</v>
          </cell>
          <cell r="G152">
            <v>46</v>
          </cell>
          <cell r="H152">
            <v>13</v>
          </cell>
          <cell r="I152">
            <v>0</v>
          </cell>
          <cell r="J152">
            <v>0</v>
          </cell>
          <cell r="K152">
            <v>33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108</v>
          </cell>
          <cell r="T152">
            <v>0</v>
          </cell>
        </row>
        <row r="153">
          <cell r="C153" t="str">
            <v>Census Tract 220.03, King County, Washington</v>
          </cell>
          <cell r="D153">
            <v>301</v>
          </cell>
          <cell r="E153">
            <v>215</v>
          </cell>
          <cell r="F153">
            <v>128</v>
          </cell>
          <cell r="G153">
            <v>87</v>
          </cell>
          <cell r="H153">
            <v>9</v>
          </cell>
          <cell r="I153">
            <v>11</v>
          </cell>
          <cell r="J153">
            <v>4</v>
          </cell>
          <cell r="K153">
            <v>63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86</v>
          </cell>
          <cell r="Q153">
            <v>0</v>
          </cell>
          <cell r="R153">
            <v>86</v>
          </cell>
          <cell r="S153">
            <v>215</v>
          </cell>
          <cell r="T153">
            <v>86</v>
          </cell>
        </row>
        <row r="154">
          <cell r="C154" t="str">
            <v>Census Tract 220.05, King County, Washington</v>
          </cell>
          <cell r="D154">
            <v>188</v>
          </cell>
          <cell r="E154">
            <v>138</v>
          </cell>
          <cell r="F154">
            <v>65</v>
          </cell>
          <cell r="G154">
            <v>63</v>
          </cell>
          <cell r="H154">
            <v>8</v>
          </cell>
          <cell r="I154">
            <v>0</v>
          </cell>
          <cell r="J154">
            <v>8</v>
          </cell>
          <cell r="K154">
            <v>47</v>
          </cell>
          <cell r="L154">
            <v>10</v>
          </cell>
          <cell r="M154">
            <v>0</v>
          </cell>
          <cell r="N154">
            <v>0</v>
          </cell>
          <cell r="O154">
            <v>10</v>
          </cell>
          <cell r="P154">
            <v>50</v>
          </cell>
          <cell r="Q154">
            <v>4</v>
          </cell>
          <cell r="R154">
            <v>46</v>
          </cell>
          <cell r="S154">
            <v>128</v>
          </cell>
          <cell r="T154">
            <v>60</v>
          </cell>
        </row>
        <row r="155">
          <cell r="C155" t="str">
            <v>Census Tract 220.06, King County, Washington</v>
          </cell>
          <cell r="D155">
            <v>159</v>
          </cell>
          <cell r="E155">
            <v>118</v>
          </cell>
          <cell r="F155">
            <v>79</v>
          </cell>
          <cell r="G155">
            <v>34</v>
          </cell>
          <cell r="H155">
            <v>0</v>
          </cell>
          <cell r="I155">
            <v>14</v>
          </cell>
          <cell r="J155">
            <v>0</v>
          </cell>
          <cell r="K155">
            <v>20</v>
          </cell>
          <cell r="L155">
            <v>5</v>
          </cell>
          <cell r="M155">
            <v>0</v>
          </cell>
          <cell r="N155">
            <v>0</v>
          </cell>
          <cell r="O155">
            <v>5</v>
          </cell>
          <cell r="P155">
            <v>41</v>
          </cell>
          <cell r="Q155">
            <v>20</v>
          </cell>
          <cell r="R155">
            <v>21</v>
          </cell>
          <cell r="S155">
            <v>113</v>
          </cell>
          <cell r="T155">
            <v>46</v>
          </cell>
        </row>
        <row r="156">
          <cell r="C156" t="str">
            <v>Census Tract 221.01, King County, Washington</v>
          </cell>
          <cell r="D156">
            <v>186</v>
          </cell>
          <cell r="E156">
            <v>165</v>
          </cell>
          <cell r="F156">
            <v>91</v>
          </cell>
          <cell r="G156">
            <v>74</v>
          </cell>
          <cell r="H156">
            <v>28</v>
          </cell>
          <cell r="I156">
            <v>0</v>
          </cell>
          <cell r="J156">
            <v>28</v>
          </cell>
          <cell r="K156">
            <v>18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21</v>
          </cell>
          <cell r="Q156">
            <v>13</v>
          </cell>
          <cell r="R156">
            <v>8</v>
          </cell>
          <cell r="S156">
            <v>165</v>
          </cell>
          <cell r="T156">
            <v>21</v>
          </cell>
        </row>
        <row r="157">
          <cell r="C157" t="str">
            <v>Census Tract 221.02, King County, Washington</v>
          </cell>
          <cell r="D157">
            <v>128</v>
          </cell>
          <cell r="E157">
            <v>128</v>
          </cell>
          <cell r="F157">
            <v>64</v>
          </cell>
          <cell r="G157">
            <v>52</v>
          </cell>
          <cell r="H157">
            <v>0</v>
          </cell>
          <cell r="I157">
            <v>0</v>
          </cell>
          <cell r="J157">
            <v>0</v>
          </cell>
          <cell r="K157">
            <v>52</v>
          </cell>
          <cell r="L157">
            <v>12</v>
          </cell>
          <cell r="M157">
            <v>0</v>
          </cell>
          <cell r="N157">
            <v>0</v>
          </cell>
          <cell r="O157">
            <v>12</v>
          </cell>
          <cell r="P157">
            <v>0</v>
          </cell>
          <cell r="Q157">
            <v>0</v>
          </cell>
          <cell r="R157">
            <v>0</v>
          </cell>
          <cell r="S157">
            <v>116</v>
          </cell>
          <cell r="T157">
            <v>12</v>
          </cell>
        </row>
        <row r="158">
          <cell r="C158" t="str">
            <v>Census Tract 222.01, King County, Washington</v>
          </cell>
          <cell r="D158">
            <v>152</v>
          </cell>
          <cell r="E158">
            <v>152</v>
          </cell>
          <cell r="F158">
            <v>105</v>
          </cell>
          <cell r="G158">
            <v>47</v>
          </cell>
          <cell r="H158">
            <v>0</v>
          </cell>
          <cell r="I158">
            <v>0</v>
          </cell>
          <cell r="J158">
            <v>10</v>
          </cell>
          <cell r="K158">
            <v>37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152</v>
          </cell>
          <cell r="T158">
            <v>0</v>
          </cell>
        </row>
        <row r="159">
          <cell r="C159" t="str">
            <v>Census Tract 222.02, King County, Washington</v>
          </cell>
          <cell r="D159">
            <v>317</v>
          </cell>
          <cell r="E159">
            <v>299</v>
          </cell>
          <cell r="F159">
            <v>184</v>
          </cell>
          <cell r="G159">
            <v>97</v>
          </cell>
          <cell r="H159">
            <v>0</v>
          </cell>
          <cell r="I159">
            <v>41</v>
          </cell>
          <cell r="J159">
            <v>23</v>
          </cell>
          <cell r="K159">
            <v>33</v>
          </cell>
          <cell r="L159">
            <v>18</v>
          </cell>
          <cell r="M159">
            <v>0</v>
          </cell>
          <cell r="N159">
            <v>0</v>
          </cell>
          <cell r="O159">
            <v>18</v>
          </cell>
          <cell r="P159">
            <v>18</v>
          </cell>
          <cell r="Q159">
            <v>10</v>
          </cell>
          <cell r="R159">
            <v>8</v>
          </cell>
          <cell r="S159">
            <v>281</v>
          </cell>
          <cell r="T159">
            <v>36</v>
          </cell>
        </row>
        <row r="160">
          <cell r="C160" t="str">
            <v>Census Tract 222.03, King County, Washington</v>
          </cell>
          <cell r="D160">
            <v>154</v>
          </cell>
          <cell r="E160">
            <v>138</v>
          </cell>
          <cell r="F160">
            <v>109</v>
          </cell>
          <cell r="G160">
            <v>29</v>
          </cell>
          <cell r="H160">
            <v>10</v>
          </cell>
          <cell r="I160">
            <v>0</v>
          </cell>
          <cell r="J160">
            <v>7</v>
          </cell>
          <cell r="K160">
            <v>12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16</v>
          </cell>
          <cell r="Q160">
            <v>16</v>
          </cell>
          <cell r="R160">
            <v>0</v>
          </cell>
          <cell r="S160">
            <v>138</v>
          </cell>
          <cell r="T160">
            <v>16</v>
          </cell>
        </row>
        <row r="161">
          <cell r="C161" t="str">
            <v>Census Tract 223, King County, Washington</v>
          </cell>
          <cell r="D161">
            <v>115</v>
          </cell>
          <cell r="E161">
            <v>115</v>
          </cell>
          <cell r="F161">
            <v>38</v>
          </cell>
          <cell r="G161">
            <v>68</v>
          </cell>
          <cell r="H161">
            <v>0</v>
          </cell>
          <cell r="I161">
            <v>10</v>
          </cell>
          <cell r="J161">
            <v>21</v>
          </cell>
          <cell r="K161">
            <v>37</v>
          </cell>
          <cell r="L161">
            <v>9</v>
          </cell>
          <cell r="M161">
            <v>0</v>
          </cell>
          <cell r="N161">
            <v>0</v>
          </cell>
          <cell r="O161">
            <v>9</v>
          </cell>
          <cell r="P161">
            <v>0</v>
          </cell>
          <cell r="Q161">
            <v>0</v>
          </cell>
          <cell r="R161">
            <v>0</v>
          </cell>
          <cell r="S161">
            <v>106</v>
          </cell>
          <cell r="T161">
            <v>9</v>
          </cell>
        </row>
        <row r="162">
          <cell r="C162" t="str">
            <v>Census Tract 224, King County, Washington</v>
          </cell>
          <cell r="D162">
            <v>188</v>
          </cell>
          <cell r="E162">
            <v>156</v>
          </cell>
          <cell r="F162">
            <v>67</v>
          </cell>
          <cell r="G162">
            <v>70</v>
          </cell>
          <cell r="H162">
            <v>0</v>
          </cell>
          <cell r="I162">
            <v>0</v>
          </cell>
          <cell r="J162">
            <v>10</v>
          </cell>
          <cell r="K162">
            <v>60</v>
          </cell>
          <cell r="L162">
            <v>19</v>
          </cell>
          <cell r="M162">
            <v>0</v>
          </cell>
          <cell r="N162">
            <v>7</v>
          </cell>
          <cell r="O162">
            <v>12</v>
          </cell>
          <cell r="P162">
            <v>32</v>
          </cell>
          <cell r="Q162">
            <v>32</v>
          </cell>
          <cell r="R162">
            <v>0</v>
          </cell>
          <cell r="S162">
            <v>137</v>
          </cell>
          <cell r="T162">
            <v>51</v>
          </cell>
        </row>
        <row r="163">
          <cell r="C163" t="str">
            <v>Census Tract 225, King County, Washington</v>
          </cell>
          <cell r="D163">
            <v>152</v>
          </cell>
          <cell r="E163">
            <v>120</v>
          </cell>
          <cell r="F163">
            <v>58</v>
          </cell>
          <cell r="G163">
            <v>62</v>
          </cell>
          <cell r="H163">
            <v>9</v>
          </cell>
          <cell r="I163">
            <v>0</v>
          </cell>
          <cell r="J163">
            <v>19</v>
          </cell>
          <cell r="K163">
            <v>34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32</v>
          </cell>
          <cell r="Q163">
            <v>26</v>
          </cell>
          <cell r="R163">
            <v>6</v>
          </cell>
          <cell r="S163">
            <v>120</v>
          </cell>
          <cell r="T163">
            <v>32</v>
          </cell>
        </row>
        <row r="164">
          <cell r="C164" t="str">
            <v>Census Tract 226.03, King County, Washington</v>
          </cell>
          <cell r="D164">
            <v>175</v>
          </cell>
          <cell r="E164">
            <v>92</v>
          </cell>
          <cell r="F164">
            <v>38</v>
          </cell>
          <cell r="G164">
            <v>54</v>
          </cell>
          <cell r="H164">
            <v>23</v>
          </cell>
          <cell r="I164">
            <v>18</v>
          </cell>
          <cell r="J164">
            <v>0</v>
          </cell>
          <cell r="K164">
            <v>13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83</v>
          </cell>
          <cell r="Q164">
            <v>57</v>
          </cell>
          <cell r="R164">
            <v>26</v>
          </cell>
          <cell r="S164">
            <v>92</v>
          </cell>
          <cell r="T164">
            <v>83</v>
          </cell>
        </row>
        <row r="165">
          <cell r="C165" t="str">
            <v>Census Tract 226.04, King County, Washington</v>
          </cell>
          <cell r="D165">
            <v>160</v>
          </cell>
          <cell r="E165">
            <v>143</v>
          </cell>
          <cell r="F165">
            <v>113</v>
          </cell>
          <cell r="G165">
            <v>30</v>
          </cell>
          <cell r="H165">
            <v>0</v>
          </cell>
          <cell r="I165">
            <v>0</v>
          </cell>
          <cell r="J165">
            <v>0</v>
          </cell>
          <cell r="K165">
            <v>30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17</v>
          </cell>
          <cell r="Q165">
            <v>0</v>
          </cell>
          <cell r="R165">
            <v>17</v>
          </cell>
          <cell r="S165">
            <v>143</v>
          </cell>
          <cell r="T165">
            <v>17</v>
          </cell>
        </row>
        <row r="166">
          <cell r="C166" t="str">
            <v>Census Tract 226.05, King County, Washington</v>
          </cell>
          <cell r="D166">
            <v>128</v>
          </cell>
          <cell r="E166">
            <v>118</v>
          </cell>
          <cell r="F166">
            <v>77</v>
          </cell>
          <cell r="G166">
            <v>41</v>
          </cell>
          <cell r="H166">
            <v>0</v>
          </cell>
          <cell r="I166">
            <v>0</v>
          </cell>
          <cell r="J166">
            <v>9</v>
          </cell>
          <cell r="K166">
            <v>32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10</v>
          </cell>
          <cell r="Q166">
            <v>0</v>
          </cell>
          <cell r="R166">
            <v>10</v>
          </cell>
          <cell r="S166">
            <v>118</v>
          </cell>
          <cell r="T166">
            <v>10</v>
          </cell>
        </row>
        <row r="167">
          <cell r="C167" t="str">
            <v>Census Tract 226.06, King County, Washington</v>
          </cell>
          <cell r="D167">
            <v>286</v>
          </cell>
          <cell r="E167">
            <v>212</v>
          </cell>
          <cell r="F167">
            <v>111</v>
          </cell>
          <cell r="G167">
            <v>91</v>
          </cell>
          <cell r="H167">
            <v>12</v>
          </cell>
          <cell r="I167">
            <v>22</v>
          </cell>
          <cell r="J167">
            <v>10</v>
          </cell>
          <cell r="K167">
            <v>47</v>
          </cell>
          <cell r="L167">
            <v>10</v>
          </cell>
          <cell r="M167">
            <v>0</v>
          </cell>
          <cell r="N167">
            <v>0</v>
          </cell>
          <cell r="O167">
            <v>10</v>
          </cell>
          <cell r="P167">
            <v>74</v>
          </cell>
          <cell r="Q167">
            <v>41</v>
          </cell>
          <cell r="R167">
            <v>33</v>
          </cell>
          <cell r="S167">
            <v>202</v>
          </cell>
          <cell r="T167">
            <v>84</v>
          </cell>
        </row>
        <row r="168">
          <cell r="C168" t="str">
            <v>Census Tract 227.01, King County, Washington</v>
          </cell>
          <cell r="D168">
            <v>38</v>
          </cell>
          <cell r="E168">
            <v>15</v>
          </cell>
          <cell r="F168">
            <v>8</v>
          </cell>
          <cell r="G168">
            <v>7</v>
          </cell>
          <cell r="H168">
            <v>0</v>
          </cell>
          <cell r="I168">
            <v>0</v>
          </cell>
          <cell r="J168">
            <v>0</v>
          </cell>
          <cell r="K168">
            <v>7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23</v>
          </cell>
          <cell r="Q168">
            <v>23</v>
          </cell>
          <cell r="R168">
            <v>0</v>
          </cell>
          <cell r="S168">
            <v>15</v>
          </cell>
          <cell r="T168">
            <v>23</v>
          </cell>
        </row>
        <row r="169">
          <cell r="C169" t="str">
            <v>Census Tract 227.02, King County, Washington</v>
          </cell>
          <cell r="D169">
            <v>62</v>
          </cell>
          <cell r="E169">
            <v>44</v>
          </cell>
          <cell r="F169">
            <v>11</v>
          </cell>
          <cell r="G169">
            <v>33</v>
          </cell>
          <cell r="H169">
            <v>0</v>
          </cell>
          <cell r="I169">
            <v>0</v>
          </cell>
          <cell r="J169">
            <v>9</v>
          </cell>
          <cell r="K169">
            <v>24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18</v>
          </cell>
          <cell r="Q169">
            <v>18</v>
          </cell>
          <cell r="R169">
            <v>0</v>
          </cell>
          <cell r="S169">
            <v>44</v>
          </cell>
          <cell r="T169">
            <v>18</v>
          </cell>
        </row>
        <row r="170">
          <cell r="C170" t="str">
            <v>Census Tract 227.03, King County, Washington</v>
          </cell>
          <cell r="D170">
            <v>74</v>
          </cell>
          <cell r="E170">
            <v>74</v>
          </cell>
          <cell r="F170">
            <v>31</v>
          </cell>
          <cell r="G170">
            <v>22</v>
          </cell>
          <cell r="H170">
            <v>0</v>
          </cell>
          <cell r="I170">
            <v>0</v>
          </cell>
          <cell r="J170">
            <v>4</v>
          </cell>
          <cell r="K170">
            <v>18</v>
          </cell>
          <cell r="L170">
            <v>21</v>
          </cell>
          <cell r="M170">
            <v>0</v>
          </cell>
          <cell r="N170">
            <v>0</v>
          </cell>
          <cell r="O170">
            <v>21</v>
          </cell>
          <cell r="P170">
            <v>0</v>
          </cell>
          <cell r="Q170">
            <v>0</v>
          </cell>
          <cell r="R170">
            <v>0</v>
          </cell>
          <cell r="S170">
            <v>53</v>
          </cell>
          <cell r="T170">
            <v>21</v>
          </cell>
        </row>
        <row r="171">
          <cell r="C171" t="str">
            <v>Census Tract 228.01, King County, Washington</v>
          </cell>
          <cell r="D171">
            <v>412</v>
          </cell>
          <cell r="E171">
            <v>320</v>
          </cell>
          <cell r="F171">
            <v>197</v>
          </cell>
          <cell r="G171">
            <v>107</v>
          </cell>
          <cell r="H171">
            <v>0</v>
          </cell>
          <cell r="I171">
            <v>12</v>
          </cell>
          <cell r="J171">
            <v>22</v>
          </cell>
          <cell r="K171">
            <v>73</v>
          </cell>
          <cell r="L171">
            <v>16</v>
          </cell>
          <cell r="M171">
            <v>8</v>
          </cell>
          <cell r="N171">
            <v>0</v>
          </cell>
          <cell r="O171">
            <v>8</v>
          </cell>
          <cell r="P171">
            <v>92</v>
          </cell>
          <cell r="Q171">
            <v>21</v>
          </cell>
          <cell r="R171">
            <v>71</v>
          </cell>
          <cell r="S171">
            <v>304</v>
          </cell>
          <cell r="T171">
            <v>108</v>
          </cell>
        </row>
        <row r="172">
          <cell r="C172" t="str">
            <v>Census Tract 228.02, King County, Washington</v>
          </cell>
          <cell r="D172">
            <v>148</v>
          </cell>
          <cell r="E172">
            <v>75</v>
          </cell>
          <cell r="F172">
            <v>43</v>
          </cell>
          <cell r="G172">
            <v>32</v>
          </cell>
          <cell r="H172">
            <v>6</v>
          </cell>
          <cell r="I172">
            <v>0</v>
          </cell>
          <cell r="J172">
            <v>0</v>
          </cell>
          <cell r="K172">
            <v>26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73</v>
          </cell>
          <cell r="Q172">
            <v>6</v>
          </cell>
          <cell r="R172">
            <v>67</v>
          </cell>
          <cell r="S172">
            <v>75</v>
          </cell>
          <cell r="T172">
            <v>73</v>
          </cell>
        </row>
        <row r="173">
          <cell r="C173" t="str">
            <v>Census Tract 228.03, King County, Washington</v>
          </cell>
          <cell r="D173">
            <v>145</v>
          </cell>
          <cell r="E173">
            <v>130</v>
          </cell>
          <cell r="F173">
            <v>48</v>
          </cell>
          <cell r="G173">
            <v>82</v>
          </cell>
          <cell r="H173">
            <v>14</v>
          </cell>
          <cell r="I173">
            <v>11</v>
          </cell>
          <cell r="J173">
            <v>0</v>
          </cell>
          <cell r="K173">
            <v>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15</v>
          </cell>
          <cell r="Q173">
            <v>6</v>
          </cell>
          <cell r="R173">
            <v>9</v>
          </cell>
          <cell r="S173">
            <v>130</v>
          </cell>
          <cell r="T173">
            <v>15</v>
          </cell>
        </row>
        <row r="174">
          <cell r="C174" t="str">
            <v>Census Tract 229.01, King County, Washington</v>
          </cell>
          <cell r="D174">
            <v>32</v>
          </cell>
          <cell r="E174">
            <v>24</v>
          </cell>
          <cell r="F174">
            <v>16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8</v>
          </cell>
          <cell r="M174">
            <v>0</v>
          </cell>
          <cell r="N174">
            <v>0</v>
          </cell>
          <cell r="O174">
            <v>8</v>
          </cell>
          <cell r="P174">
            <v>8</v>
          </cell>
          <cell r="Q174">
            <v>0</v>
          </cell>
          <cell r="R174">
            <v>8</v>
          </cell>
          <cell r="S174">
            <v>16</v>
          </cell>
          <cell r="T174">
            <v>16</v>
          </cell>
        </row>
        <row r="175">
          <cell r="C175" t="str">
            <v>Census Tract 229.02, King County, Washington</v>
          </cell>
          <cell r="D175">
            <v>129</v>
          </cell>
          <cell r="E175">
            <v>113</v>
          </cell>
          <cell r="F175">
            <v>40</v>
          </cell>
          <cell r="G175">
            <v>73</v>
          </cell>
          <cell r="H175">
            <v>8</v>
          </cell>
          <cell r="I175">
            <v>27</v>
          </cell>
          <cell r="J175">
            <v>0</v>
          </cell>
          <cell r="K175">
            <v>38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16</v>
          </cell>
          <cell r="Q175">
            <v>16</v>
          </cell>
          <cell r="R175">
            <v>0</v>
          </cell>
          <cell r="S175">
            <v>113</v>
          </cell>
          <cell r="T175">
            <v>16</v>
          </cell>
        </row>
        <row r="176">
          <cell r="C176" t="str">
            <v>Census Tract 230, King County, Washington</v>
          </cell>
          <cell r="D176">
            <v>217</v>
          </cell>
          <cell r="E176">
            <v>142</v>
          </cell>
          <cell r="F176">
            <v>99</v>
          </cell>
          <cell r="G176">
            <v>38</v>
          </cell>
          <cell r="H176">
            <v>0</v>
          </cell>
          <cell r="I176">
            <v>8</v>
          </cell>
          <cell r="J176">
            <v>5</v>
          </cell>
          <cell r="K176">
            <v>25</v>
          </cell>
          <cell r="L176">
            <v>5</v>
          </cell>
          <cell r="M176">
            <v>0</v>
          </cell>
          <cell r="N176">
            <v>0</v>
          </cell>
          <cell r="O176">
            <v>5</v>
          </cell>
          <cell r="P176">
            <v>75</v>
          </cell>
          <cell r="Q176">
            <v>18</v>
          </cell>
          <cell r="R176">
            <v>57</v>
          </cell>
          <cell r="S176">
            <v>137</v>
          </cell>
          <cell r="T176">
            <v>80</v>
          </cell>
        </row>
        <row r="177">
          <cell r="C177" t="str">
            <v>Census Tract 231, King County, Washington</v>
          </cell>
          <cell r="D177">
            <v>83</v>
          </cell>
          <cell r="E177">
            <v>71</v>
          </cell>
          <cell r="F177">
            <v>14</v>
          </cell>
          <cell r="G177">
            <v>57</v>
          </cell>
          <cell r="H177">
            <v>5</v>
          </cell>
          <cell r="I177">
            <v>13</v>
          </cell>
          <cell r="J177">
            <v>13</v>
          </cell>
          <cell r="K177">
            <v>26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12</v>
          </cell>
          <cell r="Q177">
            <v>12</v>
          </cell>
          <cell r="R177">
            <v>0</v>
          </cell>
          <cell r="S177">
            <v>71</v>
          </cell>
          <cell r="T177">
            <v>12</v>
          </cell>
        </row>
        <row r="178">
          <cell r="C178" t="str">
            <v>Census Tract 232.01, King County, Washington</v>
          </cell>
          <cell r="D178">
            <v>185</v>
          </cell>
          <cell r="E178">
            <v>133</v>
          </cell>
          <cell r="F178">
            <v>78</v>
          </cell>
          <cell r="G178">
            <v>44</v>
          </cell>
          <cell r="H178">
            <v>0</v>
          </cell>
          <cell r="I178">
            <v>18</v>
          </cell>
          <cell r="J178">
            <v>0</v>
          </cell>
          <cell r="K178">
            <v>26</v>
          </cell>
          <cell r="L178">
            <v>11</v>
          </cell>
          <cell r="M178">
            <v>0</v>
          </cell>
          <cell r="N178">
            <v>0</v>
          </cell>
          <cell r="O178">
            <v>11</v>
          </cell>
          <cell r="P178">
            <v>52</v>
          </cell>
          <cell r="Q178">
            <v>0</v>
          </cell>
          <cell r="R178">
            <v>52</v>
          </cell>
          <cell r="S178">
            <v>122</v>
          </cell>
          <cell r="T178">
            <v>63</v>
          </cell>
        </row>
        <row r="179">
          <cell r="C179" t="str">
            <v>Census Tract 232.02, King County, Washington</v>
          </cell>
          <cell r="D179">
            <v>146</v>
          </cell>
          <cell r="E179">
            <v>70</v>
          </cell>
          <cell r="F179">
            <v>43</v>
          </cell>
          <cell r="G179">
            <v>27</v>
          </cell>
          <cell r="H179">
            <v>0</v>
          </cell>
          <cell r="I179">
            <v>0</v>
          </cell>
          <cell r="J179">
            <v>5</v>
          </cell>
          <cell r="K179">
            <v>22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76</v>
          </cell>
          <cell r="Q179">
            <v>9</v>
          </cell>
          <cell r="R179">
            <v>67</v>
          </cell>
          <cell r="S179">
            <v>70</v>
          </cell>
          <cell r="T179">
            <v>76</v>
          </cell>
        </row>
        <row r="180">
          <cell r="C180" t="str">
            <v>Census Tract 233, King County, Washington</v>
          </cell>
          <cell r="D180">
            <v>279</v>
          </cell>
          <cell r="E180">
            <v>204</v>
          </cell>
          <cell r="F180">
            <v>128</v>
          </cell>
          <cell r="G180">
            <v>42</v>
          </cell>
          <cell r="H180">
            <v>0</v>
          </cell>
          <cell r="I180">
            <v>5</v>
          </cell>
          <cell r="J180">
            <v>4</v>
          </cell>
          <cell r="K180">
            <v>33</v>
          </cell>
          <cell r="L180">
            <v>34</v>
          </cell>
          <cell r="M180">
            <v>0</v>
          </cell>
          <cell r="N180">
            <v>0</v>
          </cell>
          <cell r="O180">
            <v>34</v>
          </cell>
          <cell r="P180">
            <v>75</v>
          </cell>
          <cell r="Q180">
            <v>55</v>
          </cell>
          <cell r="R180">
            <v>20</v>
          </cell>
          <cell r="S180">
            <v>170</v>
          </cell>
          <cell r="T180">
            <v>109</v>
          </cell>
        </row>
        <row r="181">
          <cell r="C181" t="str">
            <v>Census Tract 234.01, King County, Washington</v>
          </cell>
          <cell r="D181">
            <v>101</v>
          </cell>
          <cell r="E181">
            <v>85</v>
          </cell>
          <cell r="F181">
            <v>31</v>
          </cell>
          <cell r="G181">
            <v>54</v>
          </cell>
          <cell r="H181">
            <v>8</v>
          </cell>
          <cell r="I181">
            <v>12</v>
          </cell>
          <cell r="J181">
            <v>11</v>
          </cell>
          <cell r="K181">
            <v>23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16</v>
          </cell>
          <cell r="Q181">
            <v>16</v>
          </cell>
          <cell r="R181">
            <v>0</v>
          </cell>
          <cell r="S181">
            <v>85</v>
          </cell>
          <cell r="T181">
            <v>16</v>
          </cell>
        </row>
        <row r="182">
          <cell r="C182" t="str">
            <v>Census Tract 234.02, King County, Washington</v>
          </cell>
          <cell r="D182">
            <v>145</v>
          </cell>
          <cell r="E182">
            <v>137</v>
          </cell>
          <cell r="F182">
            <v>53</v>
          </cell>
          <cell r="G182">
            <v>69</v>
          </cell>
          <cell r="H182">
            <v>0</v>
          </cell>
          <cell r="I182">
            <v>5</v>
          </cell>
          <cell r="J182">
            <v>0</v>
          </cell>
          <cell r="K182">
            <v>64</v>
          </cell>
          <cell r="L182">
            <v>15</v>
          </cell>
          <cell r="M182">
            <v>0</v>
          </cell>
          <cell r="N182">
            <v>0</v>
          </cell>
          <cell r="O182">
            <v>15</v>
          </cell>
          <cell r="P182">
            <v>8</v>
          </cell>
          <cell r="Q182">
            <v>8</v>
          </cell>
          <cell r="R182">
            <v>0</v>
          </cell>
          <cell r="S182">
            <v>122</v>
          </cell>
          <cell r="T182">
            <v>23</v>
          </cell>
        </row>
        <row r="183">
          <cell r="C183" t="str">
            <v>Census Tract 235, King County, Washington</v>
          </cell>
          <cell r="D183">
            <v>143</v>
          </cell>
          <cell r="E183">
            <v>107</v>
          </cell>
          <cell r="F183">
            <v>65</v>
          </cell>
          <cell r="G183">
            <v>35</v>
          </cell>
          <cell r="H183">
            <v>0</v>
          </cell>
          <cell r="I183">
            <v>0</v>
          </cell>
          <cell r="J183">
            <v>0</v>
          </cell>
          <cell r="K183">
            <v>35</v>
          </cell>
          <cell r="L183">
            <v>7</v>
          </cell>
          <cell r="M183">
            <v>0</v>
          </cell>
          <cell r="N183">
            <v>0</v>
          </cell>
          <cell r="O183">
            <v>7</v>
          </cell>
          <cell r="P183">
            <v>36</v>
          </cell>
          <cell r="Q183">
            <v>14</v>
          </cell>
          <cell r="R183">
            <v>22</v>
          </cell>
          <cell r="S183">
            <v>100</v>
          </cell>
          <cell r="T183">
            <v>43</v>
          </cell>
        </row>
        <row r="184">
          <cell r="C184" t="str">
            <v>Census Tract 236.01, King County, Washington</v>
          </cell>
          <cell r="D184">
            <v>123</v>
          </cell>
          <cell r="E184">
            <v>93</v>
          </cell>
          <cell r="F184">
            <v>36</v>
          </cell>
          <cell r="G184">
            <v>46</v>
          </cell>
          <cell r="H184">
            <v>0</v>
          </cell>
          <cell r="I184">
            <v>0</v>
          </cell>
          <cell r="J184">
            <v>0</v>
          </cell>
          <cell r="K184">
            <v>46</v>
          </cell>
          <cell r="L184">
            <v>11</v>
          </cell>
          <cell r="M184">
            <v>0</v>
          </cell>
          <cell r="N184">
            <v>0</v>
          </cell>
          <cell r="O184">
            <v>11</v>
          </cell>
          <cell r="P184">
            <v>30</v>
          </cell>
          <cell r="Q184">
            <v>15</v>
          </cell>
          <cell r="R184">
            <v>15</v>
          </cell>
          <cell r="S184">
            <v>82</v>
          </cell>
          <cell r="T184">
            <v>41</v>
          </cell>
        </row>
        <row r="185">
          <cell r="C185" t="str">
            <v>Census Tract 236.03, King County, Washington</v>
          </cell>
          <cell r="D185">
            <v>223</v>
          </cell>
          <cell r="E185">
            <v>104</v>
          </cell>
          <cell r="F185">
            <v>78</v>
          </cell>
          <cell r="G185">
            <v>26</v>
          </cell>
          <cell r="H185">
            <v>0</v>
          </cell>
          <cell r="I185">
            <v>0</v>
          </cell>
          <cell r="J185">
            <v>0</v>
          </cell>
          <cell r="K185">
            <v>26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119</v>
          </cell>
          <cell r="Q185">
            <v>28</v>
          </cell>
          <cell r="R185">
            <v>91</v>
          </cell>
          <cell r="S185">
            <v>104</v>
          </cell>
          <cell r="T185">
            <v>119</v>
          </cell>
        </row>
        <row r="186">
          <cell r="C186" t="str">
            <v>Census Tract 236.04, King County, Washington</v>
          </cell>
          <cell r="D186">
            <v>293</v>
          </cell>
          <cell r="E186">
            <v>137</v>
          </cell>
          <cell r="F186">
            <v>45</v>
          </cell>
          <cell r="G186">
            <v>84</v>
          </cell>
          <cell r="H186">
            <v>0</v>
          </cell>
          <cell r="I186">
            <v>0</v>
          </cell>
          <cell r="J186">
            <v>32</v>
          </cell>
          <cell r="K186">
            <v>52</v>
          </cell>
          <cell r="L186">
            <v>8</v>
          </cell>
          <cell r="M186">
            <v>0</v>
          </cell>
          <cell r="N186">
            <v>0</v>
          </cell>
          <cell r="O186">
            <v>8</v>
          </cell>
          <cell r="P186">
            <v>156</v>
          </cell>
          <cell r="Q186">
            <v>36</v>
          </cell>
          <cell r="R186">
            <v>120</v>
          </cell>
          <cell r="S186">
            <v>129</v>
          </cell>
          <cell r="T186">
            <v>164</v>
          </cell>
        </row>
        <row r="187">
          <cell r="C187" t="str">
            <v>Census Tract 237, King County, Washington</v>
          </cell>
          <cell r="D187">
            <v>82</v>
          </cell>
          <cell r="E187">
            <v>77</v>
          </cell>
          <cell r="F187">
            <v>44</v>
          </cell>
          <cell r="G187">
            <v>16</v>
          </cell>
          <cell r="H187">
            <v>0</v>
          </cell>
          <cell r="I187">
            <v>5</v>
          </cell>
          <cell r="J187">
            <v>0</v>
          </cell>
          <cell r="K187">
            <v>11</v>
          </cell>
          <cell r="L187">
            <v>17</v>
          </cell>
          <cell r="M187">
            <v>0</v>
          </cell>
          <cell r="N187">
            <v>0</v>
          </cell>
          <cell r="O187">
            <v>17</v>
          </cell>
          <cell r="P187">
            <v>5</v>
          </cell>
          <cell r="Q187">
            <v>5</v>
          </cell>
          <cell r="R187">
            <v>0</v>
          </cell>
          <cell r="S187">
            <v>60</v>
          </cell>
          <cell r="T187">
            <v>22</v>
          </cell>
        </row>
        <row r="188">
          <cell r="C188" t="str">
            <v>Census Tract 238.01, King County, Washington</v>
          </cell>
          <cell r="D188">
            <v>88</v>
          </cell>
          <cell r="E188">
            <v>62</v>
          </cell>
          <cell r="F188">
            <v>25</v>
          </cell>
          <cell r="G188">
            <v>37</v>
          </cell>
          <cell r="H188">
            <v>16</v>
          </cell>
          <cell r="I188">
            <v>9</v>
          </cell>
          <cell r="J188">
            <v>8</v>
          </cell>
          <cell r="K188">
            <v>4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26</v>
          </cell>
          <cell r="Q188">
            <v>0</v>
          </cell>
          <cell r="R188">
            <v>26</v>
          </cell>
          <cell r="S188">
            <v>62</v>
          </cell>
          <cell r="T188">
            <v>26</v>
          </cell>
        </row>
        <row r="189">
          <cell r="C189" t="str">
            <v>Census Tract 238.02, King County, Washington</v>
          </cell>
          <cell r="D189">
            <v>51</v>
          </cell>
          <cell r="E189">
            <v>28</v>
          </cell>
          <cell r="F189">
            <v>17</v>
          </cell>
          <cell r="G189">
            <v>11</v>
          </cell>
          <cell r="H189">
            <v>0</v>
          </cell>
          <cell r="I189">
            <v>0</v>
          </cell>
          <cell r="J189">
            <v>0</v>
          </cell>
          <cell r="K189">
            <v>11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23</v>
          </cell>
          <cell r="Q189">
            <v>8</v>
          </cell>
          <cell r="R189">
            <v>15</v>
          </cell>
          <cell r="S189">
            <v>28</v>
          </cell>
          <cell r="T189">
            <v>23</v>
          </cell>
        </row>
        <row r="190">
          <cell r="C190" t="str">
            <v>Census Tract 239, King County, Washington</v>
          </cell>
          <cell r="D190">
            <v>135</v>
          </cell>
          <cell r="E190">
            <v>128</v>
          </cell>
          <cell r="F190">
            <v>89</v>
          </cell>
          <cell r="G190">
            <v>39</v>
          </cell>
          <cell r="H190">
            <v>0</v>
          </cell>
          <cell r="I190">
            <v>34</v>
          </cell>
          <cell r="J190">
            <v>0</v>
          </cell>
          <cell r="K190">
            <v>5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7</v>
          </cell>
          <cell r="Q190">
            <v>0</v>
          </cell>
          <cell r="R190">
            <v>7</v>
          </cell>
          <cell r="S190">
            <v>128</v>
          </cell>
          <cell r="T190">
            <v>7</v>
          </cell>
        </row>
        <row r="191">
          <cell r="C191" t="str">
            <v>Census Tract 240, King County, Washington</v>
          </cell>
          <cell r="D191">
            <v>184</v>
          </cell>
          <cell r="E191">
            <v>184</v>
          </cell>
          <cell r="F191">
            <v>92</v>
          </cell>
          <cell r="G191">
            <v>81</v>
          </cell>
          <cell r="H191">
            <v>0</v>
          </cell>
          <cell r="I191">
            <v>12</v>
          </cell>
          <cell r="J191">
            <v>13</v>
          </cell>
          <cell r="K191">
            <v>56</v>
          </cell>
          <cell r="L191">
            <v>11</v>
          </cell>
          <cell r="M191">
            <v>0</v>
          </cell>
          <cell r="N191">
            <v>0</v>
          </cell>
          <cell r="O191">
            <v>11</v>
          </cell>
          <cell r="P191">
            <v>0</v>
          </cell>
          <cell r="Q191">
            <v>0</v>
          </cell>
          <cell r="R191">
            <v>0</v>
          </cell>
          <cell r="S191">
            <v>173</v>
          </cell>
          <cell r="T191">
            <v>11</v>
          </cell>
        </row>
        <row r="192">
          <cell r="C192" t="str">
            <v>Census Tract 241, King County, Washington</v>
          </cell>
          <cell r="D192">
            <v>93</v>
          </cell>
          <cell r="E192">
            <v>84</v>
          </cell>
          <cell r="F192">
            <v>62</v>
          </cell>
          <cell r="G192">
            <v>18</v>
          </cell>
          <cell r="H192">
            <v>4</v>
          </cell>
          <cell r="I192">
            <v>0</v>
          </cell>
          <cell r="J192">
            <v>0</v>
          </cell>
          <cell r="K192">
            <v>14</v>
          </cell>
          <cell r="L192">
            <v>4</v>
          </cell>
          <cell r="M192">
            <v>0</v>
          </cell>
          <cell r="N192">
            <v>0</v>
          </cell>
          <cell r="O192">
            <v>4</v>
          </cell>
          <cell r="P192">
            <v>9</v>
          </cell>
          <cell r="Q192">
            <v>0</v>
          </cell>
          <cell r="R192">
            <v>9</v>
          </cell>
          <cell r="S192">
            <v>80</v>
          </cell>
          <cell r="T192">
            <v>13</v>
          </cell>
        </row>
        <row r="193">
          <cell r="C193" t="str">
            <v>Census Tract 242, King County, Washington</v>
          </cell>
          <cell r="D193">
            <v>44</v>
          </cell>
          <cell r="E193">
            <v>44</v>
          </cell>
          <cell r="F193">
            <v>29</v>
          </cell>
          <cell r="G193">
            <v>15</v>
          </cell>
          <cell r="H193">
            <v>0</v>
          </cell>
          <cell r="I193">
            <v>6</v>
          </cell>
          <cell r="J193">
            <v>0</v>
          </cell>
          <cell r="K193">
            <v>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44</v>
          </cell>
          <cell r="T193">
            <v>0</v>
          </cell>
        </row>
        <row r="194">
          <cell r="C194" t="str">
            <v>Census Tract 243, King County, Washington</v>
          </cell>
          <cell r="D194">
            <v>148</v>
          </cell>
          <cell r="E194">
            <v>142</v>
          </cell>
          <cell r="F194">
            <v>102</v>
          </cell>
          <cell r="G194">
            <v>40</v>
          </cell>
          <cell r="H194">
            <v>0</v>
          </cell>
          <cell r="I194">
            <v>0</v>
          </cell>
          <cell r="J194">
            <v>0</v>
          </cell>
          <cell r="K194">
            <v>40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6</v>
          </cell>
          <cell r="Q194">
            <v>0</v>
          </cell>
          <cell r="R194">
            <v>6</v>
          </cell>
          <cell r="S194">
            <v>142</v>
          </cell>
          <cell r="T194">
            <v>6</v>
          </cell>
        </row>
        <row r="195">
          <cell r="C195" t="str">
            <v>Census Tract 244, King County, Washington</v>
          </cell>
          <cell r="D195">
            <v>39</v>
          </cell>
          <cell r="E195">
            <v>39</v>
          </cell>
          <cell r="F195">
            <v>9</v>
          </cell>
          <cell r="G195">
            <v>23</v>
          </cell>
          <cell r="H195">
            <v>0</v>
          </cell>
          <cell r="I195">
            <v>12</v>
          </cell>
          <cell r="J195">
            <v>0</v>
          </cell>
          <cell r="K195">
            <v>11</v>
          </cell>
          <cell r="L195">
            <v>7</v>
          </cell>
          <cell r="M195">
            <v>7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32</v>
          </cell>
          <cell r="T195">
            <v>7</v>
          </cell>
        </row>
        <row r="196">
          <cell r="C196" t="str">
            <v>Census Tract 245, King County, Washington</v>
          </cell>
          <cell r="D196">
            <v>181</v>
          </cell>
          <cell r="E196">
            <v>177</v>
          </cell>
          <cell r="F196">
            <v>135</v>
          </cell>
          <cell r="G196">
            <v>42</v>
          </cell>
          <cell r="H196">
            <v>7</v>
          </cell>
          <cell r="I196">
            <v>6</v>
          </cell>
          <cell r="J196">
            <v>9</v>
          </cell>
          <cell r="K196">
            <v>20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4</v>
          </cell>
          <cell r="Q196">
            <v>0</v>
          </cell>
          <cell r="R196">
            <v>4</v>
          </cell>
          <cell r="S196">
            <v>177</v>
          </cell>
          <cell r="T196">
            <v>4</v>
          </cell>
        </row>
        <row r="197">
          <cell r="C197" t="str">
            <v>Census Tract 246.01, King County, Washington</v>
          </cell>
          <cell r="D197">
            <v>59</v>
          </cell>
          <cell r="E197">
            <v>59</v>
          </cell>
          <cell r="F197">
            <v>55</v>
          </cell>
          <cell r="G197">
            <v>4</v>
          </cell>
          <cell r="H197">
            <v>0</v>
          </cell>
          <cell r="I197">
            <v>0</v>
          </cell>
          <cell r="J197">
            <v>4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59</v>
          </cell>
          <cell r="T197">
            <v>0</v>
          </cell>
        </row>
        <row r="198">
          <cell r="C198" t="str">
            <v>Census Tract 246.02, King County, Washington</v>
          </cell>
          <cell r="D198">
            <v>170</v>
          </cell>
          <cell r="E198">
            <v>149</v>
          </cell>
          <cell r="F198">
            <v>77</v>
          </cell>
          <cell r="G198">
            <v>63</v>
          </cell>
          <cell r="H198">
            <v>17</v>
          </cell>
          <cell r="I198">
            <v>10</v>
          </cell>
          <cell r="J198">
            <v>24</v>
          </cell>
          <cell r="K198">
            <v>12</v>
          </cell>
          <cell r="L198">
            <v>9</v>
          </cell>
          <cell r="M198">
            <v>0</v>
          </cell>
          <cell r="N198">
            <v>0</v>
          </cell>
          <cell r="O198">
            <v>9</v>
          </cell>
          <cell r="P198">
            <v>21</v>
          </cell>
          <cell r="Q198">
            <v>21</v>
          </cell>
          <cell r="R198">
            <v>0</v>
          </cell>
          <cell r="S198">
            <v>140</v>
          </cell>
          <cell r="T198">
            <v>30</v>
          </cell>
        </row>
        <row r="199">
          <cell r="C199" t="str">
            <v>Census Tract 247.01, King County, Washington</v>
          </cell>
          <cell r="D199">
            <v>40</v>
          </cell>
          <cell r="E199">
            <v>22</v>
          </cell>
          <cell r="F199">
            <v>10</v>
          </cell>
          <cell r="G199">
            <v>6</v>
          </cell>
          <cell r="H199">
            <v>6</v>
          </cell>
          <cell r="I199">
            <v>0</v>
          </cell>
          <cell r="J199">
            <v>0</v>
          </cell>
          <cell r="K199">
            <v>0</v>
          </cell>
          <cell r="L199">
            <v>6</v>
          </cell>
          <cell r="M199">
            <v>0</v>
          </cell>
          <cell r="N199">
            <v>6</v>
          </cell>
          <cell r="O199">
            <v>0</v>
          </cell>
          <cell r="P199">
            <v>18</v>
          </cell>
          <cell r="Q199">
            <v>0</v>
          </cell>
          <cell r="R199">
            <v>18</v>
          </cell>
          <cell r="S199">
            <v>16</v>
          </cell>
          <cell r="T199">
            <v>24</v>
          </cell>
        </row>
        <row r="200">
          <cell r="C200" t="str">
            <v>Census Tract 247.02, King County, Washington</v>
          </cell>
          <cell r="D200">
            <v>219</v>
          </cell>
          <cell r="E200">
            <v>204</v>
          </cell>
          <cell r="F200">
            <v>127</v>
          </cell>
          <cell r="G200">
            <v>59</v>
          </cell>
          <cell r="H200">
            <v>15</v>
          </cell>
          <cell r="I200">
            <v>0</v>
          </cell>
          <cell r="J200">
            <v>20</v>
          </cell>
          <cell r="K200">
            <v>24</v>
          </cell>
          <cell r="L200">
            <v>18</v>
          </cell>
          <cell r="M200">
            <v>0</v>
          </cell>
          <cell r="N200">
            <v>0</v>
          </cell>
          <cell r="O200">
            <v>18</v>
          </cell>
          <cell r="P200">
            <v>15</v>
          </cell>
          <cell r="Q200">
            <v>6</v>
          </cell>
          <cell r="R200">
            <v>9</v>
          </cell>
          <cell r="S200">
            <v>186</v>
          </cell>
          <cell r="T200">
            <v>33</v>
          </cell>
        </row>
        <row r="201">
          <cell r="C201" t="str">
            <v>Census Tract 248, King County, Washington</v>
          </cell>
          <cell r="D201">
            <v>115</v>
          </cell>
          <cell r="E201">
            <v>115</v>
          </cell>
          <cell r="F201">
            <v>55</v>
          </cell>
          <cell r="G201">
            <v>60</v>
          </cell>
          <cell r="H201">
            <v>0</v>
          </cell>
          <cell r="I201">
            <v>17</v>
          </cell>
          <cell r="J201">
            <v>0</v>
          </cell>
          <cell r="K201">
            <v>43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115</v>
          </cell>
          <cell r="T201">
            <v>0</v>
          </cell>
        </row>
        <row r="202">
          <cell r="C202" t="str">
            <v>Census Tract 249.01, King County, Washington</v>
          </cell>
          <cell r="D202">
            <v>204</v>
          </cell>
          <cell r="E202">
            <v>154</v>
          </cell>
          <cell r="F202">
            <v>76</v>
          </cell>
          <cell r="G202">
            <v>66</v>
          </cell>
          <cell r="H202">
            <v>18</v>
          </cell>
          <cell r="I202">
            <v>8</v>
          </cell>
          <cell r="J202">
            <v>19</v>
          </cell>
          <cell r="K202">
            <v>21</v>
          </cell>
          <cell r="L202">
            <v>12</v>
          </cell>
          <cell r="M202">
            <v>0</v>
          </cell>
          <cell r="N202">
            <v>0</v>
          </cell>
          <cell r="O202">
            <v>12</v>
          </cell>
          <cell r="P202">
            <v>50</v>
          </cell>
          <cell r="Q202">
            <v>16</v>
          </cell>
          <cell r="R202">
            <v>34</v>
          </cell>
          <cell r="S202">
            <v>142</v>
          </cell>
          <cell r="T202">
            <v>62</v>
          </cell>
        </row>
        <row r="203">
          <cell r="C203" t="str">
            <v>Census Tract 249.02, King County, Washington</v>
          </cell>
          <cell r="D203">
            <v>107</v>
          </cell>
          <cell r="E203">
            <v>68</v>
          </cell>
          <cell r="F203">
            <v>40</v>
          </cell>
          <cell r="G203">
            <v>28</v>
          </cell>
          <cell r="H203">
            <v>0</v>
          </cell>
          <cell r="I203">
            <v>6</v>
          </cell>
          <cell r="J203">
            <v>0</v>
          </cell>
          <cell r="K203">
            <v>22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39</v>
          </cell>
          <cell r="Q203">
            <v>0</v>
          </cell>
          <cell r="R203">
            <v>39</v>
          </cell>
          <cell r="S203">
            <v>68</v>
          </cell>
          <cell r="T203">
            <v>39</v>
          </cell>
        </row>
        <row r="204">
          <cell r="C204" t="str">
            <v>Census Tract 249.03, King County, Washington</v>
          </cell>
          <cell r="D204">
            <v>193</v>
          </cell>
          <cell r="E204">
            <v>151</v>
          </cell>
          <cell r="F204">
            <v>71</v>
          </cell>
          <cell r="G204">
            <v>69</v>
          </cell>
          <cell r="H204">
            <v>16</v>
          </cell>
          <cell r="I204">
            <v>0</v>
          </cell>
          <cell r="J204">
            <v>24</v>
          </cell>
          <cell r="K204">
            <v>29</v>
          </cell>
          <cell r="L204">
            <v>11</v>
          </cell>
          <cell r="M204">
            <v>0</v>
          </cell>
          <cell r="N204">
            <v>0</v>
          </cell>
          <cell r="O204">
            <v>11</v>
          </cell>
          <cell r="P204">
            <v>42</v>
          </cell>
          <cell r="Q204">
            <v>33</v>
          </cell>
          <cell r="R204">
            <v>9</v>
          </cell>
          <cell r="S204">
            <v>140</v>
          </cell>
          <cell r="T204">
            <v>53</v>
          </cell>
        </row>
        <row r="205">
          <cell r="C205" t="str">
            <v>Census Tract 250.01, King County, Washington</v>
          </cell>
          <cell r="D205">
            <v>62</v>
          </cell>
          <cell r="E205">
            <v>58</v>
          </cell>
          <cell r="F205">
            <v>31</v>
          </cell>
          <cell r="G205">
            <v>27</v>
          </cell>
          <cell r="H205">
            <v>5</v>
          </cell>
          <cell r="I205">
            <v>3</v>
          </cell>
          <cell r="J205">
            <v>5</v>
          </cell>
          <cell r="K205">
            <v>14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4</v>
          </cell>
          <cell r="Q205">
            <v>0</v>
          </cell>
          <cell r="R205">
            <v>4</v>
          </cell>
          <cell r="S205">
            <v>58</v>
          </cell>
          <cell r="T205">
            <v>4</v>
          </cell>
        </row>
        <row r="206">
          <cell r="C206" t="str">
            <v>Census Tract 250.03, King County, Washington</v>
          </cell>
          <cell r="D206">
            <v>253</v>
          </cell>
          <cell r="E206">
            <v>230</v>
          </cell>
          <cell r="F206">
            <v>155</v>
          </cell>
          <cell r="G206">
            <v>75</v>
          </cell>
          <cell r="H206">
            <v>10</v>
          </cell>
          <cell r="I206">
            <v>0</v>
          </cell>
          <cell r="J206">
            <v>20</v>
          </cell>
          <cell r="K206">
            <v>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23</v>
          </cell>
          <cell r="Q206">
            <v>11</v>
          </cell>
          <cell r="R206">
            <v>12</v>
          </cell>
          <cell r="S206">
            <v>230</v>
          </cell>
          <cell r="T206">
            <v>23</v>
          </cell>
        </row>
        <row r="207">
          <cell r="C207" t="str">
            <v>Census Tract 250.04, King County, Washington</v>
          </cell>
          <cell r="D207">
            <v>187</v>
          </cell>
          <cell r="E207">
            <v>159</v>
          </cell>
          <cell r="F207">
            <v>106</v>
          </cell>
          <cell r="G207">
            <v>45</v>
          </cell>
          <cell r="H207">
            <v>0</v>
          </cell>
          <cell r="I207">
            <v>0</v>
          </cell>
          <cell r="J207">
            <v>6</v>
          </cell>
          <cell r="K207">
            <v>39</v>
          </cell>
          <cell r="L207">
            <v>8</v>
          </cell>
          <cell r="M207">
            <v>0</v>
          </cell>
          <cell r="N207">
            <v>0</v>
          </cell>
          <cell r="O207">
            <v>8</v>
          </cell>
          <cell r="P207">
            <v>28</v>
          </cell>
          <cell r="Q207">
            <v>21</v>
          </cell>
          <cell r="R207">
            <v>7</v>
          </cell>
          <cell r="S207">
            <v>151</v>
          </cell>
          <cell r="T207">
            <v>36</v>
          </cell>
        </row>
        <row r="208">
          <cell r="C208" t="str">
            <v>Census Tract 251.01, King County, Washington</v>
          </cell>
          <cell r="D208">
            <v>218</v>
          </cell>
          <cell r="E208">
            <v>164</v>
          </cell>
          <cell r="F208">
            <v>104</v>
          </cell>
          <cell r="G208">
            <v>50</v>
          </cell>
          <cell r="H208">
            <v>0</v>
          </cell>
          <cell r="I208">
            <v>17</v>
          </cell>
          <cell r="J208">
            <v>0</v>
          </cell>
          <cell r="K208">
            <v>33</v>
          </cell>
          <cell r="L208">
            <v>10</v>
          </cell>
          <cell r="M208">
            <v>0</v>
          </cell>
          <cell r="N208">
            <v>0</v>
          </cell>
          <cell r="O208">
            <v>10</v>
          </cell>
          <cell r="P208">
            <v>54</v>
          </cell>
          <cell r="Q208">
            <v>11</v>
          </cell>
          <cell r="R208">
            <v>43</v>
          </cell>
          <cell r="S208">
            <v>154</v>
          </cell>
          <cell r="T208">
            <v>64</v>
          </cell>
        </row>
        <row r="209">
          <cell r="C209" t="str">
            <v>Census Tract 251.02, King County, Washington</v>
          </cell>
          <cell r="D209">
            <v>177</v>
          </cell>
          <cell r="E209">
            <v>106</v>
          </cell>
          <cell r="F209">
            <v>75</v>
          </cell>
          <cell r="G209">
            <v>31</v>
          </cell>
          <cell r="H209">
            <v>0</v>
          </cell>
          <cell r="I209">
            <v>25</v>
          </cell>
          <cell r="J209">
            <v>0</v>
          </cell>
          <cell r="K209">
            <v>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71</v>
          </cell>
          <cell r="Q209">
            <v>10</v>
          </cell>
          <cell r="R209">
            <v>61</v>
          </cell>
          <cell r="S209">
            <v>106</v>
          </cell>
          <cell r="T209">
            <v>71</v>
          </cell>
        </row>
        <row r="210">
          <cell r="C210" t="str">
            <v>Census Tract 252, King County, Washington</v>
          </cell>
          <cell r="D210">
            <v>288</v>
          </cell>
          <cell r="E210">
            <v>261</v>
          </cell>
          <cell r="F210">
            <v>170</v>
          </cell>
          <cell r="G210">
            <v>91</v>
          </cell>
          <cell r="H210">
            <v>0</v>
          </cell>
          <cell r="I210">
            <v>31</v>
          </cell>
          <cell r="J210">
            <v>21</v>
          </cell>
          <cell r="K210">
            <v>39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27</v>
          </cell>
          <cell r="Q210">
            <v>0</v>
          </cell>
          <cell r="R210">
            <v>27</v>
          </cell>
          <cell r="S210">
            <v>261</v>
          </cell>
          <cell r="T210">
            <v>27</v>
          </cell>
        </row>
        <row r="211">
          <cell r="C211" t="str">
            <v>Census Tract 253, King County, Washington</v>
          </cell>
          <cell r="D211">
            <v>312</v>
          </cell>
          <cell r="E211">
            <v>261</v>
          </cell>
          <cell r="F211">
            <v>180</v>
          </cell>
          <cell r="G211">
            <v>75</v>
          </cell>
          <cell r="H211">
            <v>0</v>
          </cell>
          <cell r="I211">
            <v>18</v>
          </cell>
          <cell r="J211">
            <v>8</v>
          </cell>
          <cell r="K211">
            <v>49</v>
          </cell>
          <cell r="L211">
            <v>6</v>
          </cell>
          <cell r="M211">
            <v>0</v>
          </cell>
          <cell r="N211">
            <v>0</v>
          </cell>
          <cell r="O211">
            <v>6</v>
          </cell>
          <cell r="P211">
            <v>51</v>
          </cell>
          <cell r="Q211">
            <v>6</v>
          </cell>
          <cell r="R211">
            <v>45</v>
          </cell>
          <cell r="S211">
            <v>255</v>
          </cell>
          <cell r="T211">
            <v>57</v>
          </cell>
        </row>
        <row r="212">
          <cell r="C212" t="str">
            <v>Census Tract 254, King County, Washington</v>
          </cell>
          <cell r="D212">
            <v>297</v>
          </cell>
          <cell r="E212">
            <v>221</v>
          </cell>
          <cell r="F212">
            <v>175</v>
          </cell>
          <cell r="G212">
            <v>46</v>
          </cell>
          <cell r="H212">
            <v>0</v>
          </cell>
          <cell r="I212">
            <v>8</v>
          </cell>
          <cell r="J212">
            <v>15</v>
          </cell>
          <cell r="K212">
            <v>23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76</v>
          </cell>
          <cell r="Q212">
            <v>27</v>
          </cell>
          <cell r="R212">
            <v>49</v>
          </cell>
          <cell r="S212">
            <v>221</v>
          </cell>
          <cell r="T212">
            <v>76</v>
          </cell>
        </row>
        <row r="213">
          <cell r="C213" t="str">
            <v>Census Tract 255, King County, Washington</v>
          </cell>
          <cell r="D213">
            <v>285</v>
          </cell>
          <cell r="E213">
            <v>217</v>
          </cell>
          <cell r="F213">
            <v>151</v>
          </cell>
          <cell r="G213">
            <v>44</v>
          </cell>
          <cell r="H213">
            <v>0</v>
          </cell>
          <cell r="I213">
            <v>15</v>
          </cell>
          <cell r="J213">
            <v>3</v>
          </cell>
          <cell r="K213">
            <v>26</v>
          </cell>
          <cell r="L213">
            <v>22</v>
          </cell>
          <cell r="M213">
            <v>0</v>
          </cell>
          <cell r="N213">
            <v>0</v>
          </cell>
          <cell r="O213">
            <v>22</v>
          </cell>
          <cell r="P213">
            <v>68</v>
          </cell>
          <cell r="Q213">
            <v>14</v>
          </cell>
          <cell r="R213">
            <v>54</v>
          </cell>
          <cell r="S213">
            <v>195</v>
          </cell>
          <cell r="T213">
            <v>90</v>
          </cell>
        </row>
        <row r="214">
          <cell r="C214" t="str">
            <v>Census Tract 256, King County, Washington</v>
          </cell>
          <cell r="D214">
            <v>253</v>
          </cell>
          <cell r="E214">
            <v>227</v>
          </cell>
          <cell r="F214">
            <v>117</v>
          </cell>
          <cell r="G214">
            <v>110</v>
          </cell>
          <cell r="H214">
            <v>13</v>
          </cell>
          <cell r="I214">
            <v>18</v>
          </cell>
          <cell r="J214">
            <v>30</v>
          </cell>
          <cell r="K214">
            <v>49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26</v>
          </cell>
          <cell r="Q214">
            <v>17</v>
          </cell>
          <cell r="R214">
            <v>9</v>
          </cell>
          <cell r="S214">
            <v>227</v>
          </cell>
          <cell r="T214">
            <v>26</v>
          </cell>
        </row>
        <row r="215">
          <cell r="C215" t="str">
            <v>Census Tract 257.01, King County, Washington</v>
          </cell>
          <cell r="D215">
            <v>295</v>
          </cell>
          <cell r="E215">
            <v>184</v>
          </cell>
          <cell r="F215">
            <v>134</v>
          </cell>
          <cell r="G215">
            <v>50</v>
          </cell>
          <cell r="H215">
            <v>0</v>
          </cell>
          <cell r="I215">
            <v>0</v>
          </cell>
          <cell r="J215">
            <v>0</v>
          </cell>
          <cell r="K215">
            <v>50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111</v>
          </cell>
          <cell r="Q215">
            <v>29</v>
          </cell>
          <cell r="R215">
            <v>82</v>
          </cell>
          <cell r="S215">
            <v>184</v>
          </cell>
          <cell r="T215">
            <v>111</v>
          </cell>
        </row>
        <row r="216">
          <cell r="C216" t="str">
            <v>Census Tract 257.02, King County, Washington</v>
          </cell>
          <cell r="D216">
            <v>182</v>
          </cell>
          <cell r="E216">
            <v>153</v>
          </cell>
          <cell r="F216">
            <v>99</v>
          </cell>
          <cell r="G216">
            <v>54</v>
          </cell>
          <cell r="H216">
            <v>14</v>
          </cell>
          <cell r="I216">
            <v>8</v>
          </cell>
          <cell r="J216">
            <v>20</v>
          </cell>
          <cell r="K216">
            <v>12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29</v>
          </cell>
          <cell r="Q216">
            <v>10</v>
          </cell>
          <cell r="R216">
            <v>19</v>
          </cell>
          <cell r="S216">
            <v>153</v>
          </cell>
          <cell r="T216">
            <v>29</v>
          </cell>
        </row>
        <row r="217">
          <cell r="C217" t="str">
            <v>Census Tract 258.01, King County, Washington</v>
          </cell>
          <cell r="D217">
            <v>531</v>
          </cell>
          <cell r="E217">
            <v>459</v>
          </cell>
          <cell r="F217">
            <v>290</v>
          </cell>
          <cell r="G217">
            <v>162</v>
          </cell>
          <cell r="H217">
            <v>21</v>
          </cell>
          <cell r="I217">
            <v>34</v>
          </cell>
          <cell r="J217">
            <v>21</v>
          </cell>
          <cell r="K217">
            <v>86</v>
          </cell>
          <cell r="L217">
            <v>7</v>
          </cell>
          <cell r="M217">
            <v>0</v>
          </cell>
          <cell r="N217">
            <v>0</v>
          </cell>
          <cell r="O217">
            <v>7</v>
          </cell>
          <cell r="P217">
            <v>72</v>
          </cell>
          <cell r="Q217">
            <v>37</v>
          </cell>
          <cell r="R217">
            <v>35</v>
          </cell>
          <cell r="S217">
            <v>452</v>
          </cell>
          <cell r="T217">
            <v>79</v>
          </cell>
        </row>
        <row r="218">
          <cell r="C218" t="str">
            <v>Census Tract 258.03, King County, Washington</v>
          </cell>
          <cell r="D218">
            <v>179</v>
          </cell>
          <cell r="E218">
            <v>173</v>
          </cell>
          <cell r="F218">
            <v>81</v>
          </cell>
          <cell r="G218">
            <v>92</v>
          </cell>
          <cell r="H218">
            <v>0</v>
          </cell>
          <cell r="I218">
            <v>11</v>
          </cell>
          <cell r="J218">
            <v>0</v>
          </cell>
          <cell r="K218">
            <v>81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6</v>
          </cell>
          <cell r="Q218">
            <v>6</v>
          </cell>
          <cell r="R218">
            <v>0</v>
          </cell>
          <cell r="S218">
            <v>173</v>
          </cell>
          <cell r="T218">
            <v>6</v>
          </cell>
        </row>
        <row r="219">
          <cell r="C219" t="str">
            <v>Census Tract 258.04, King County, Washington</v>
          </cell>
          <cell r="D219">
            <v>182</v>
          </cell>
          <cell r="E219">
            <v>182</v>
          </cell>
          <cell r="F219">
            <v>120</v>
          </cell>
          <cell r="G219">
            <v>56</v>
          </cell>
          <cell r="H219">
            <v>5</v>
          </cell>
          <cell r="I219">
            <v>17</v>
          </cell>
          <cell r="J219">
            <v>7</v>
          </cell>
          <cell r="K219">
            <v>27</v>
          </cell>
          <cell r="L219">
            <v>6</v>
          </cell>
          <cell r="M219">
            <v>0</v>
          </cell>
          <cell r="N219">
            <v>0</v>
          </cell>
          <cell r="O219">
            <v>6</v>
          </cell>
          <cell r="P219">
            <v>0</v>
          </cell>
          <cell r="Q219">
            <v>0</v>
          </cell>
          <cell r="R219">
            <v>0</v>
          </cell>
          <cell r="S219">
            <v>176</v>
          </cell>
          <cell r="T219">
            <v>6</v>
          </cell>
        </row>
        <row r="220">
          <cell r="C220" t="str">
            <v>Census Tract 260.01, King County, Washington</v>
          </cell>
          <cell r="D220">
            <v>211</v>
          </cell>
          <cell r="E220">
            <v>207</v>
          </cell>
          <cell r="F220">
            <v>180</v>
          </cell>
          <cell r="G220">
            <v>27</v>
          </cell>
          <cell r="H220">
            <v>9</v>
          </cell>
          <cell r="I220">
            <v>0</v>
          </cell>
          <cell r="J220">
            <v>9</v>
          </cell>
          <cell r="K220">
            <v>9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4</v>
          </cell>
          <cell r="Q220">
            <v>0</v>
          </cell>
          <cell r="R220">
            <v>4</v>
          </cell>
          <cell r="S220">
            <v>207</v>
          </cell>
          <cell r="T220">
            <v>4</v>
          </cell>
        </row>
        <row r="221">
          <cell r="C221" t="str">
            <v>Census Tract 260.02, King County, Washington</v>
          </cell>
          <cell r="D221">
            <v>278</v>
          </cell>
          <cell r="E221">
            <v>257</v>
          </cell>
          <cell r="F221">
            <v>199</v>
          </cell>
          <cell r="G221">
            <v>58</v>
          </cell>
          <cell r="H221">
            <v>11</v>
          </cell>
          <cell r="I221">
            <v>9</v>
          </cell>
          <cell r="J221">
            <v>31</v>
          </cell>
          <cell r="K221">
            <v>7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21</v>
          </cell>
          <cell r="Q221">
            <v>17</v>
          </cell>
          <cell r="R221">
            <v>4</v>
          </cell>
          <cell r="S221">
            <v>257</v>
          </cell>
          <cell r="T221">
            <v>21</v>
          </cell>
        </row>
        <row r="222">
          <cell r="C222" t="str">
            <v>Census Tract 261, King County, Washington</v>
          </cell>
          <cell r="D222">
            <v>268</v>
          </cell>
          <cell r="E222">
            <v>218</v>
          </cell>
          <cell r="F222">
            <v>139</v>
          </cell>
          <cell r="G222">
            <v>79</v>
          </cell>
          <cell r="H222">
            <v>0</v>
          </cell>
          <cell r="I222">
            <v>42</v>
          </cell>
          <cell r="J222">
            <v>19</v>
          </cell>
          <cell r="K222">
            <v>18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50</v>
          </cell>
          <cell r="Q222">
            <v>13</v>
          </cell>
          <cell r="R222">
            <v>37</v>
          </cell>
          <cell r="S222">
            <v>218</v>
          </cell>
          <cell r="T222">
            <v>50</v>
          </cell>
        </row>
        <row r="223">
          <cell r="C223" t="str">
            <v>Census Tract 262, King County, Washington</v>
          </cell>
          <cell r="D223">
            <v>477</v>
          </cell>
          <cell r="E223">
            <v>404</v>
          </cell>
          <cell r="F223">
            <v>204</v>
          </cell>
          <cell r="G223">
            <v>200</v>
          </cell>
          <cell r="H223">
            <v>0</v>
          </cell>
          <cell r="I223">
            <v>55</v>
          </cell>
          <cell r="J223">
            <v>0</v>
          </cell>
          <cell r="K223">
            <v>145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73</v>
          </cell>
          <cell r="Q223">
            <v>8</v>
          </cell>
          <cell r="R223">
            <v>65</v>
          </cell>
          <cell r="S223">
            <v>404</v>
          </cell>
          <cell r="T223">
            <v>73</v>
          </cell>
        </row>
        <row r="224">
          <cell r="C224" t="str">
            <v>Census Tract 263, King County, Washington</v>
          </cell>
          <cell r="D224">
            <v>51</v>
          </cell>
          <cell r="E224">
            <v>46</v>
          </cell>
          <cell r="F224">
            <v>36</v>
          </cell>
          <cell r="G224">
            <v>8</v>
          </cell>
          <cell r="H224">
            <v>0</v>
          </cell>
          <cell r="I224">
            <v>0</v>
          </cell>
          <cell r="J224">
            <v>0</v>
          </cell>
          <cell r="K224">
            <v>8</v>
          </cell>
          <cell r="L224">
            <v>2</v>
          </cell>
          <cell r="M224">
            <v>0</v>
          </cell>
          <cell r="N224">
            <v>0</v>
          </cell>
          <cell r="O224">
            <v>2</v>
          </cell>
          <cell r="P224">
            <v>5</v>
          </cell>
          <cell r="Q224">
            <v>0</v>
          </cell>
          <cell r="R224">
            <v>5</v>
          </cell>
          <cell r="S224">
            <v>44</v>
          </cell>
          <cell r="T224">
            <v>7</v>
          </cell>
        </row>
        <row r="225">
          <cell r="C225" t="str">
            <v>Census Tract 264, King County, Washington</v>
          </cell>
          <cell r="D225">
            <v>388</v>
          </cell>
          <cell r="E225">
            <v>320</v>
          </cell>
          <cell r="F225">
            <v>209</v>
          </cell>
          <cell r="G225">
            <v>101</v>
          </cell>
          <cell r="H225">
            <v>31</v>
          </cell>
          <cell r="I225">
            <v>10</v>
          </cell>
          <cell r="J225">
            <v>0</v>
          </cell>
          <cell r="K225">
            <v>60</v>
          </cell>
          <cell r="L225">
            <v>10</v>
          </cell>
          <cell r="M225">
            <v>0</v>
          </cell>
          <cell r="N225">
            <v>0</v>
          </cell>
          <cell r="O225">
            <v>10</v>
          </cell>
          <cell r="P225">
            <v>68</v>
          </cell>
          <cell r="Q225">
            <v>6</v>
          </cell>
          <cell r="R225">
            <v>62</v>
          </cell>
          <cell r="S225">
            <v>310</v>
          </cell>
          <cell r="T225">
            <v>78</v>
          </cell>
        </row>
        <row r="226">
          <cell r="C226" t="str">
            <v>Census Tract 265, King County, Washington</v>
          </cell>
          <cell r="D226">
            <v>257</v>
          </cell>
          <cell r="E226">
            <v>106</v>
          </cell>
          <cell r="F226">
            <v>54</v>
          </cell>
          <cell r="G226">
            <v>52</v>
          </cell>
          <cell r="H226">
            <v>0</v>
          </cell>
          <cell r="I226">
            <v>0</v>
          </cell>
          <cell r="J226">
            <v>42</v>
          </cell>
          <cell r="K226">
            <v>10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151</v>
          </cell>
          <cell r="Q226">
            <v>0</v>
          </cell>
          <cell r="R226">
            <v>151</v>
          </cell>
          <cell r="S226">
            <v>106</v>
          </cell>
          <cell r="T226">
            <v>151</v>
          </cell>
        </row>
        <row r="227">
          <cell r="C227" t="str">
            <v>Census Tract 266, King County, Washington</v>
          </cell>
          <cell r="D227">
            <v>82</v>
          </cell>
          <cell r="E227">
            <v>77</v>
          </cell>
          <cell r="F227">
            <v>45</v>
          </cell>
          <cell r="G227">
            <v>32</v>
          </cell>
          <cell r="H227">
            <v>0</v>
          </cell>
          <cell r="I227">
            <v>9</v>
          </cell>
          <cell r="J227">
            <v>0</v>
          </cell>
          <cell r="K227">
            <v>23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5</v>
          </cell>
          <cell r="Q227">
            <v>5</v>
          </cell>
          <cell r="R227">
            <v>0</v>
          </cell>
          <cell r="S227">
            <v>77</v>
          </cell>
          <cell r="T227">
            <v>5</v>
          </cell>
        </row>
        <row r="228">
          <cell r="C228" t="str">
            <v>Census Tract 267, King County, Washington</v>
          </cell>
          <cell r="D228">
            <v>284</v>
          </cell>
          <cell r="E228">
            <v>235</v>
          </cell>
          <cell r="F228">
            <v>187</v>
          </cell>
          <cell r="G228">
            <v>48</v>
          </cell>
          <cell r="H228">
            <v>0</v>
          </cell>
          <cell r="I228">
            <v>11</v>
          </cell>
          <cell r="J228">
            <v>0</v>
          </cell>
          <cell r="K228">
            <v>37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49</v>
          </cell>
          <cell r="Q228">
            <v>27</v>
          </cell>
          <cell r="R228">
            <v>22</v>
          </cell>
          <cell r="S228">
            <v>235</v>
          </cell>
          <cell r="T228">
            <v>49</v>
          </cell>
        </row>
        <row r="229">
          <cell r="C229" t="str">
            <v>Census Tract 268.01, King County, Washington</v>
          </cell>
          <cell r="D229">
            <v>297</v>
          </cell>
          <cell r="E229">
            <v>252</v>
          </cell>
          <cell r="F229">
            <v>184</v>
          </cell>
          <cell r="G229">
            <v>68</v>
          </cell>
          <cell r="H229">
            <v>0</v>
          </cell>
          <cell r="I229">
            <v>19</v>
          </cell>
          <cell r="J229">
            <v>0</v>
          </cell>
          <cell r="K229">
            <v>49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45</v>
          </cell>
          <cell r="Q229">
            <v>12</v>
          </cell>
          <cell r="R229">
            <v>33</v>
          </cell>
          <cell r="S229">
            <v>252</v>
          </cell>
          <cell r="T229">
            <v>45</v>
          </cell>
        </row>
        <row r="230">
          <cell r="C230" t="str">
            <v>Census Tract 268.02, King County, Washington</v>
          </cell>
          <cell r="D230">
            <v>127</v>
          </cell>
          <cell r="E230">
            <v>92</v>
          </cell>
          <cell r="F230">
            <v>65</v>
          </cell>
          <cell r="G230">
            <v>20</v>
          </cell>
          <cell r="H230">
            <v>0</v>
          </cell>
          <cell r="I230">
            <v>0</v>
          </cell>
          <cell r="J230">
            <v>10</v>
          </cell>
          <cell r="K230">
            <v>10</v>
          </cell>
          <cell r="L230">
            <v>7</v>
          </cell>
          <cell r="M230">
            <v>0</v>
          </cell>
          <cell r="N230">
            <v>0</v>
          </cell>
          <cell r="O230">
            <v>7</v>
          </cell>
          <cell r="P230">
            <v>35</v>
          </cell>
          <cell r="Q230">
            <v>12</v>
          </cell>
          <cell r="R230">
            <v>23</v>
          </cell>
          <cell r="S230">
            <v>85</v>
          </cell>
          <cell r="T230">
            <v>42</v>
          </cell>
        </row>
        <row r="231">
          <cell r="C231" t="str">
            <v>Census Tract 269, King County, Washington</v>
          </cell>
          <cell r="D231">
            <v>94</v>
          </cell>
          <cell r="E231">
            <v>60</v>
          </cell>
          <cell r="F231">
            <v>32</v>
          </cell>
          <cell r="G231">
            <v>28</v>
          </cell>
          <cell r="H231">
            <v>0</v>
          </cell>
          <cell r="I231">
            <v>0</v>
          </cell>
          <cell r="J231">
            <v>0</v>
          </cell>
          <cell r="K231">
            <v>28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34</v>
          </cell>
          <cell r="Q231">
            <v>34</v>
          </cell>
          <cell r="R231">
            <v>0</v>
          </cell>
          <cell r="S231">
            <v>60</v>
          </cell>
          <cell r="T231">
            <v>34</v>
          </cell>
        </row>
        <row r="232">
          <cell r="C232" t="str">
            <v>Census Tract 270, King County, Washington</v>
          </cell>
          <cell r="D232">
            <v>243</v>
          </cell>
          <cell r="E232">
            <v>164</v>
          </cell>
          <cell r="F232">
            <v>134</v>
          </cell>
          <cell r="G232">
            <v>30</v>
          </cell>
          <cell r="H232">
            <v>0</v>
          </cell>
          <cell r="I232">
            <v>12</v>
          </cell>
          <cell r="J232">
            <v>10</v>
          </cell>
          <cell r="K232">
            <v>8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79</v>
          </cell>
          <cell r="Q232">
            <v>54</v>
          </cell>
          <cell r="R232">
            <v>25</v>
          </cell>
          <cell r="S232">
            <v>164</v>
          </cell>
          <cell r="T232">
            <v>79</v>
          </cell>
        </row>
        <row r="233">
          <cell r="C233" t="str">
            <v>Census Tract 271, King County, Washington</v>
          </cell>
          <cell r="D233">
            <v>201</v>
          </cell>
          <cell r="E233">
            <v>175</v>
          </cell>
          <cell r="F233">
            <v>110</v>
          </cell>
          <cell r="G233">
            <v>65</v>
          </cell>
          <cell r="H233">
            <v>0</v>
          </cell>
          <cell r="I233">
            <v>6</v>
          </cell>
          <cell r="J233">
            <v>40</v>
          </cell>
          <cell r="K233">
            <v>19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26</v>
          </cell>
          <cell r="Q233">
            <v>4</v>
          </cell>
          <cell r="R233">
            <v>22</v>
          </cell>
          <cell r="S233">
            <v>175</v>
          </cell>
          <cell r="T233">
            <v>26</v>
          </cell>
        </row>
        <row r="234">
          <cell r="C234" t="str">
            <v>Census Tract 272, King County, Washington</v>
          </cell>
          <cell r="D234">
            <v>140</v>
          </cell>
          <cell r="E234">
            <v>109</v>
          </cell>
          <cell r="F234">
            <v>105</v>
          </cell>
          <cell r="G234">
            <v>4</v>
          </cell>
          <cell r="H234">
            <v>0</v>
          </cell>
          <cell r="I234">
            <v>0</v>
          </cell>
          <cell r="J234">
            <v>0</v>
          </cell>
          <cell r="K234">
            <v>4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31</v>
          </cell>
          <cell r="Q234">
            <v>13</v>
          </cell>
          <cell r="R234">
            <v>18</v>
          </cell>
          <cell r="S234">
            <v>109</v>
          </cell>
          <cell r="T234">
            <v>31</v>
          </cell>
        </row>
        <row r="235">
          <cell r="C235" t="str">
            <v>Census Tract 273, King County, Washington</v>
          </cell>
          <cell r="D235">
            <v>427</v>
          </cell>
          <cell r="E235">
            <v>240</v>
          </cell>
          <cell r="F235">
            <v>156</v>
          </cell>
          <cell r="G235">
            <v>84</v>
          </cell>
          <cell r="H235">
            <v>7</v>
          </cell>
          <cell r="I235">
            <v>23</v>
          </cell>
          <cell r="J235">
            <v>7</v>
          </cell>
          <cell r="K235">
            <v>47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187</v>
          </cell>
          <cell r="Q235">
            <v>32</v>
          </cell>
          <cell r="R235">
            <v>155</v>
          </cell>
          <cell r="S235">
            <v>240</v>
          </cell>
          <cell r="T235">
            <v>187</v>
          </cell>
        </row>
        <row r="236">
          <cell r="C236" t="str">
            <v>Census Tract 274, King County, Washington</v>
          </cell>
          <cell r="D236">
            <v>213</v>
          </cell>
          <cell r="E236">
            <v>194</v>
          </cell>
          <cell r="F236">
            <v>114</v>
          </cell>
          <cell r="G236">
            <v>73</v>
          </cell>
          <cell r="H236">
            <v>8</v>
          </cell>
          <cell r="I236">
            <v>21</v>
          </cell>
          <cell r="J236">
            <v>23</v>
          </cell>
          <cell r="K236">
            <v>21</v>
          </cell>
          <cell r="L236">
            <v>7</v>
          </cell>
          <cell r="M236">
            <v>0</v>
          </cell>
          <cell r="N236">
            <v>0</v>
          </cell>
          <cell r="O236">
            <v>7</v>
          </cell>
          <cell r="P236">
            <v>19</v>
          </cell>
          <cell r="Q236">
            <v>6</v>
          </cell>
          <cell r="R236">
            <v>13</v>
          </cell>
          <cell r="S236">
            <v>187</v>
          </cell>
          <cell r="T236">
            <v>26</v>
          </cell>
        </row>
        <row r="237">
          <cell r="C237" t="str">
            <v>Census Tract 275, King County, Washington</v>
          </cell>
          <cell r="D237">
            <v>360</v>
          </cell>
          <cell r="E237">
            <v>253</v>
          </cell>
          <cell r="F237">
            <v>136</v>
          </cell>
          <cell r="G237">
            <v>117</v>
          </cell>
          <cell r="H237">
            <v>9</v>
          </cell>
          <cell r="I237">
            <v>28</v>
          </cell>
          <cell r="J237">
            <v>9</v>
          </cell>
          <cell r="K237">
            <v>71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107</v>
          </cell>
          <cell r="Q237">
            <v>13</v>
          </cell>
          <cell r="R237">
            <v>94</v>
          </cell>
          <cell r="S237">
            <v>253</v>
          </cell>
          <cell r="T237">
            <v>107</v>
          </cell>
        </row>
        <row r="238">
          <cell r="C238" t="str">
            <v>Census Tract 276, King County, Washington</v>
          </cell>
          <cell r="D238">
            <v>121</v>
          </cell>
          <cell r="E238">
            <v>78</v>
          </cell>
          <cell r="F238">
            <v>55</v>
          </cell>
          <cell r="G238">
            <v>23</v>
          </cell>
          <cell r="H238">
            <v>0</v>
          </cell>
          <cell r="I238">
            <v>0</v>
          </cell>
          <cell r="J238">
            <v>7</v>
          </cell>
          <cell r="K238">
            <v>16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43</v>
          </cell>
          <cell r="Q238">
            <v>5</v>
          </cell>
          <cell r="R238">
            <v>38</v>
          </cell>
          <cell r="S238">
            <v>78</v>
          </cell>
          <cell r="T238">
            <v>43</v>
          </cell>
        </row>
        <row r="239">
          <cell r="C239" t="str">
            <v>Census Tract 277.01, King County, Washington</v>
          </cell>
          <cell r="D239">
            <v>182</v>
          </cell>
          <cell r="E239">
            <v>182</v>
          </cell>
          <cell r="F239">
            <v>110</v>
          </cell>
          <cell r="G239">
            <v>72</v>
          </cell>
          <cell r="H239">
            <v>0</v>
          </cell>
          <cell r="I239">
            <v>17</v>
          </cell>
          <cell r="J239">
            <v>6</v>
          </cell>
          <cell r="K239">
            <v>49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182</v>
          </cell>
          <cell r="T239">
            <v>0</v>
          </cell>
        </row>
        <row r="240">
          <cell r="C240" t="str">
            <v>Census Tract 277.02, King County, Washington</v>
          </cell>
          <cell r="D240">
            <v>68</v>
          </cell>
          <cell r="E240">
            <v>64</v>
          </cell>
          <cell r="F240">
            <v>35</v>
          </cell>
          <cell r="G240">
            <v>15</v>
          </cell>
          <cell r="H240">
            <v>0</v>
          </cell>
          <cell r="I240">
            <v>0</v>
          </cell>
          <cell r="J240">
            <v>0</v>
          </cell>
          <cell r="K240">
            <v>15</v>
          </cell>
          <cell r="L240">
            <v>14</v>
          </cell>
          <cell r="M240">
            <v>0</v>
          </cell>
          <cell r="N240">
            <v>0</v>
          </cell>
          <cell r="O240">
            <v>14</v>
          </cell>
          <cell r="P240">
            <v>4</v>
          </cell>
          <cell r="Q240">
            <v>0</v>
          </cell>
          <cell r="R240">
            <v>4</v>
          </cell>
          <cell r="S240">
            <v>50</v>
          </cell>
          <cell r="T240">
            <v>18</v>
          </cell>
        </row>
        <row r="241">
          <cell r="C241" t="str">
            <v>Census Tract 278, King County, Washington</v>
          </cell>
          <cell r="D241">
            <v>53</v>
          </cell>
          <cell r="E241">
            <v>51</v>
          </cell>
          <cell r="F241">
            <v>31</v>
          </cell>
          <cell r="G241">
            <v>10</v>
          </cell>
          <cell r="H241">
            <v>3</v>
          </cell>
          <cell r="I241">
            <v>4</v>
          </cell>
          <cell r="J241">
            <v>0</v>
          </cell>
          <cell r="K241">
            <v>3</v>
          </cell>
          <cell r="L241">
            <v>10</v>
          </cell>
          <cell r="M241">
            <v>0</v>
          </cell>
          <cell r="N241">
            <v>3</v>
          </cell>
          <cell r="O241">
            <v>7</v>
          </cell>
          <cell r="P241">
            <v>2</v>
          </cell>
          <cell r="Q241">
            <v>2</v>
          </cell>
          <cell r="R241">
            <v>0</v>
          </cell>
          <cell r="S241">
            <v>41</v>
          </cell>
          <cell r="T241">
            <v>12</v>
          </cell>
        </row>
        <row r="242">
          <cell r="C242" t="str">
            <v>Census Tract 279, King County, Washington</v>
          </cell>
          <cell r="D242">
            <v>293</v>
          </cell>
          <cell r="E242">
            <v>266</v>
          </cell>
          <cell r="F242">
            <v>193</v>
          </cell>
          <cell r="G242">
            <v>53</v>
          </cell>
          <cell r="H242">
            <v>0</v>
          </cell>
          <cell r="I242">
            <v>5</v>
          </cell>
          <cell r="J242">
            <v>0</v>
          </cell>
          <cell r="K242">
            <v>48</v>
          </cell>
          <cell r="L242">
            <v>20</v>
          </cell>
          <cell r="M242">
            <v>0</v>
          </cell>
          <cell r="N242">
            <v>0</v>
          </cell>
          <cell r="O242">
            <v>20</v>
          </cell>
          <cell r="P242">
            <v>27</v>
          </cell>
          <cell r="Q242">
            <v>7</v>
          </cell>
          <cell r="R242">
            <v>20</v>
          </cell>
          <cell r="S242">
            <v>246</v>
          </cell>
          <cell r="T242">
            <v>47</v>
          </cell>
        </row>
        <row r="243">
          <cell r="C243" t="str">
            <v>Census Tract 280, King County, Washington</v>
          </cell>
          <cell r="D243">
            <v>344</v>
          </cell>
          <cell r="E243">
            <v>155</v>
          </cell>
          <cell r="F243">
            <v>96</v>
          </cell>
          <cell r="G243">
            <v>52</v>
          </cell>
          <cell r="H243">
            <v>0</v>
          </cell>
          <cell r="I243">
            <v>0</v>
          </cell>
          <cell r="J243">
            <v>9</v>
          </cell>
          <cell r="K243">
            <v>43</v>
          </cell>
          <cell r="L243">
            <v>7</v>
          </cell>
          <cell r="M243">
            <v>0</v>
          </cell>
          <cell r="N243">
            <v>0</v>
          </cell>
          <cell r="O243">
            <v>7</v>
          </cell>
          <cell r="P243">
            <v>189</v>
          </cell>
          <cell r="Q243">
            <v>16</v>
          </cell>
          <cell r="R243">
            <v>173</v>
          </cell>
          <cell r="S243">
            <v>148</v>
          </cell>
          <cell r="T243">
            <v>196</v>
          </cell>
        </row>
        <row r="244">
          <cell r="C244" t="str">
            <v>Census Tract 281, King County, Washington</v>
          </cell>
          <cell r="D244">
            <v>97</v>
          </cell>
          <cell r="E244">
            <v>97</v>
          </cell>
          <cell r="F244">
            <v>70</v>
          </cell>
          <cell r="G244">
            <v>23</v>
          </cell>
          <cell r="H244">
            <v>4</v>
          </cell>
          <cell r="I244">
            <v>0</v>
          </cell>
          <cell r="J244">
            <v>0</v>
          </cell>
          <cell r="K244">
            <v>19</v>
          </cell>
          <cell r="L244">
            <v>4</v>
          </cell>
          <cell r="M244">
            <v>0</v>
          </cell>
          <cell r="N244">
            <v>4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93</v>
          </cell>
          <cell r="T244">
            <v>4</v>
          </cell>
        </row>
        <row r="245">
          <cell r="C245" t="str">
            <v>Census Tract 282, King County, Washington</v>
          </cell>
          <cell r="D245">
            <v>173</v>
          </cell>
          <cell r="E245">
            <v>159</v>
          </cell>
          <cell r="F245">
            <v>122</v>
          </cell>
          <cell r="G245">
            <v>33</v>
          </cell>
          <cell r="H245">
            <v>0</v>
          </cell>
          <cell r="I245">
            <v>0</v>
          </cell>
          <cell r="J245">
            <v>7</v>
          </cell>
          <cell r="K245">
            <v>26</v>
          </cell>
          <cell r="L245">
            <v>4</v>
          </cell>
          <cell r="M245">
            <v>0</v>
          </cell>
          <cell r="N245">
            <v>0</v>
          </cell>
          <cell r="O245">
            <v>4</v>
          </cell>
          <cell r="P245">
            <v>14</v>
          </cell>
          <cell r="Q245">
            <v>14</v>
          </cell>
          <cell r="R245">
            <v>0</v>
          </cell>
          <cell r="S245">
            <v>155</v>
          </cell>
          <cell r="T245">
            <v>18</v>
          </cell>
        </row>
        <row r="246">
          <cell r="C246" t="str">
            <v>Census Tract 283, King County, Washington</v>
          </cell>
          <cell r="D246">
            <v>159</v>
          </cell>
          <cell r="E246">
            <v>132</v>
          </cell>
          <cell r="F246">
            <v>101</v>
          </cell>
          <cell r="G246">
            <v>27</v>
          </cell>
          <cell r="H246">
            <v>7</v>
          </cell>
          <cell r="I246">
            <v>0</v>
          </cell>
          <cell r="J246">
            <v>0</v>
          </cell>
          <cell r="K246">
            <v>20</v>
          </cell>
          <cell r="L246">
            <v>4</v>
          </cell>
          <cell r="M246">
            <v>0</v>
          </cell>
          <cell r="N246">
            <v>0</v>
          </cell>
          <cell r="O246">
            <v>4</v>
          </cell>
          <cell r="P246">
            <v>27</v>
          </cell>
          <cell r="Q246">
            <v>21</v>
          </cell>
          <cell r="R246">
            <v>6</v>
          </cell>
          <cell r="S246">
            <v>128</v>
          </cell>
          <cell r="T246">
            <v>31</v>
          </cell>
        </row>
        <row r="247">
          <cell r="C247" t="str">
            <v>Census Tract 284.02, King County, Washington</v>
          </cell>
          <cell r="D247">
            <v>359</v>
          </cell>
          <cell r="E247">
            <v>275</v>
          </cell>
          <cell r="F247">
            <v>166</v>
          </cell>
          <cell r="G247">
            <v>109</v>
          </cell>
          <cell r="H247">
            <v>0</v>
          </cell>
          <cell r="I247">
            <v>18</v>
          </cell>
          <cell r="J247">
            <v>8</v>
          </cell>
          <cell r="K247">
            <v>83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84</v>
          </cell>
          <cell r="Q247">
            <v>14</v>
          </cell>
          <cell r="R247">
            <v>70</v>
          </cell>
          <cell r="S247">
            <v>275</v>
          </cell>
          <cell r="T247">
            <v>84</v>
          </cell>
        </row>
        <row r="248">
          <cell r="C248" t="str">
            <v>Census Tract 284.03, King County, Washington</v>
          </cell>
          <cell r="D248">
            <v>259</v>
          </cell>
          <cell r="E248">
            <v>171</v>
          </cell>
          <cell r="F248">
            <v>114</v>
          </cell>
          <cell r="G248">
            <v>45</v>
          </cell>
          <cell r="H248">
            <v>0</v>
          </cell>
          <cell r="I248">
            <v>0</v>
          </cell>
          <cell r="J248">
            <v>11</v>
          </cell>
          <cell r="K248">
            <v>34</v>
          </cell>
          <cell r="L248">
            <v>12</v>
          </cell>
          <cell r="M248">
            <v>0</v>
          </cell>
          <cell r="N248">
            <v>0</v>
          </cell>
          <cell r="O248">
            <v>12</v>
          </cell>
          <cell r="P248">
            <v>88</v>
          </cell>
          <cell r="Q248">
            <v>14</v>
          </cell>
          <cell r="R248">
            <v>74</v>
          </cell>
          <cell r="S248">
            <v>159</v>
          </cell>
          <cell r="T248">
            <v>100</v>
          </cell>
        </row>
        <row r="249">
          <cell r="C249" t="str">
            <v>Census Tract 285, King County, Washington</v>
          </cell>
          <cell r="D249">
            <v>123</v>
          </cell>
          <cell r="E249">
            <v>91</v>
          </cell>
          <cell r="F249">
            <v>77</v>
          </cell>
          <cell r="G249">
            <v>6</v>
          </cell>
          <cell r="H249">
            <v>0</v>
          </cell>
          <cell r="I249">
            <v>0</v>
          </cell>
          <cell r="J249">
            <v>6</v>
          </cell>
          <cell r="K249">
            <v>0</v>
          </cell>
          <cell r="L249">
            <v>8</v>
          </cell>
          <cell r="M249">
            <v>8</v>
          </cell>
          <cell r="N249">
            <v>0</v>
          </cell>
          <cell r="O249">
            <v>0</v>
          </cell>
          <cell r="P249">
            <v>32</v>
          </cell>
          <cell r="Q249">
            <v>5</v>
          </cell>
          <cell r="R249">
            <v>27</v>
          </cell>
          <cell r="S249">
            <v>83</v>
          </cell>
          <cell r="T249">
            <v>40</v>
          </cell>
        </row>
        <row r="250">
          <cell r="C250" t="str">
            <v>Census Tract 286, King County, Washington</v>
          </cell>
          <cell r="D250">
            <v>156</v>
          </cell>
          <cell r="E250">
            <v>144</v>
          </cell>
          <cell r="F250">
            <v>81</v>
          </cell>
          <cell r="G250">
            <v>56</v>
          </cell>
          <cell r="H250">
            <v>28</v>
          </cell>
          <cell r="I250">
            <v>0</v>
          </cell>
          <cell r="J250">
            <v>0</v>
          </cell>
          <cell r="K250">
            <v>28</v>
          </cell>
          <cell r="L250">
            <v>7</v>
          </cell>
          <cell r="M250">
            <v>0</v>
          </cell>
          <cell r="N250">
            <v>0</v>
          </cell>
          <cell r="O250">
            <v>7</v>
          </cell>
          <cell r="P250">
            <v>12</v>
          </cell>
          <cell r="Q250">
            <v>0</v>
          </cell>
          <cell r="R250">
            <v>12</v>
          </cell>
          <cell r="S250">
            <v>137</v>
          </cell>
          <cell r="T250">
            <v>19</v>
          </cell>
        </row>
        <row r="251">
          <cell r="C251" t="str">
            <v>Census Tract 287, King County, Washington</v>
          </cell>
          <cell r="D251">
            <v>191</v>
          </cell>
          <cell r="E251">
            <v>174</v>
          </cell>
          <cell r="F251">
            <v>111</v>
          </cell>
          <cell r="G251">
            <v>57</v>
          </cell>
          <cell r="H251">
            <v>0</v>
          </cell>
          <cell r="I251">
            <v>6</v>
          </cell>
          <cell r="J251">
            <v>13</v>
          </cell>
          <cell r="K251">
            <v>38</v>
          </cell>
          <cell r="L251">
            <v>6</v>
          </cell>
          <cell r="M251">
            <v>0</v>
          </cell>
          <cell r="N251">
            <v>0</v>
          </cell>
          <cell r="O251">
            <v>6</v>
          </cell>
          <cell r="P251">
            <v>17</v>
          </cell>
          <cell r="Q251">
            <v>12</v>
          </cell>
          <cell r="R251">
            <v>5</v>
          </cell>
          <cell r="S251">
            <v>168</v>
          </cell>
          <cell r="T251">
            <v>23</v>
          </cell>
        </row>
        <row r="252">
          <cell r="C252" t="str">
            <v>Census Tract 288.01, King County, Washington</v>
          </cell>
          <cell r="D252">
            <v>210</v>
          </cell>
          <cell r="E252">
            <v>163</v>
          </cell>
          <cell r="F252">
            <v>73</v>
          </cell>
          <cell r="G252">
            <v>90</v>
          </cell>
          <cell r="H252">
            <v>0</v>
          </cell>
          <cell r="I252">
            <v>16</v>
          </cell>
          <cell r="J252">
            <v>0</v>
          </cell>
          <cell r="K252">
            <v>74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47</v>
          </cell>
          <cell r="Q252">
            <v>3</v>
          </cell>
          <cell r="R252">
            <v>44</v>
          </cell>
          <cell r="S252">
            <v>163</v>
          </cell>
          <cell r="T252">
            <v>47</v>
          </cell>
        </row>
        <row r="253">
          <cell r="C253" t="str">
            <v>Census Tract 288.02, King County, Washington</v>
          </cell>
          <cell r="D253">
            <v>417</v>
          </cell>
          <cell r="E253">
            <v>369</v>
          </cell>
          <cell r="F253">
            <v>182</v>
          </cell>
          <cell r="G253">
            <v>172</v>
          </cell>
          <cell r="H253">
            <v>6</v>
          </cell>
          <cell r="I253">
            <v>0</v>
          </cell>
          <cell r="J253">
            <v>60</v>
          </cell>
          <cell r="K253">
            <v>106</v>
          </cell>
          <cell r="L253">
            <v>15</v>
          </cell>
          <cell r="M253">
            <v>0</v>
          </cell>
          <cell r="N253">
            <v>0</v>
          </cell>
          <cell r="O253">
            <v>15</v>
          </cell>
          <cell r="P253">
            <v>48</v>
          </cell>
          <cell r="Q253">
            <v>7</v>
          </cell>
          <cell r="R253">
            <v>41</v>
          </cell>
          <cell r="S253">
            <v>354</v>
          </cell>
          <cell r="T253">
            <v>63</v>
          </cell>
        </row>
        <row r="254">
          <cell r="C254" t="str">
            <v>Census Tract 289.01, King County, Washington</v>
          </cell>
          <cell r="D254">
            <v>155</v>
          </cell>
          <cell r="E254">
            <v>149</v>
          </cell>
          <cell r="F254">
            <v>60</v>
          </cell>
          <cell r="G254">
            <v>89</v>
          </cell>
          <cell r="H254">
            <v>0</v>
          </cell>
          <cell r="I254">
            <v>24</v>
          </cell>
          <cell r="J254">
            <v>16</v>
          </cell>
          <cell r="K254">
            <v>49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6</v>
          </cell>
          <cell r="Q254">
            <v>0</v>
          </cell>
          <cell r="R254">
            <v>6</v>
          </cell>
          <cell r="S254">
            <v>149</v>
          </cell>
          <cell r="T254">
            <v>6</v>
          </cell>
        </row>
        <row r="255">
          <cell r="C255" t="str">
            <v>Census Tract 289.02, King County, Washington</v>
          </cell>
          <cell r="D255">
            <v>283</v>
          </cell>
          <cell r="E255">
            <v>247</v>
          </cell>
          <cell r="F255">
            <v>192</v>
          </cell>
          <cell r="G255">
            <v>46</v>
          </cell>
          <cell r="H255">
            <v>0</v>
          </cell>
          <cell r="I255">
            <v>0</v>
          </cell>
          <cell r="J255">
            <v>16</v>
          </cell>
          <cell r="K255">
            <v>30</v>
          </cell>
          <cell r="L255">
            <v>9</v>
          </cell>
          <cell r="M255">
            <v>0</v>
          </cell>
          <cell r="N255">
            <v>0</v>
          </cell>
          <cell r="O255">
            <v>9</v>
          </cell>
          <cell r="P255">
            <v>36</v>
          </cell>
          <cell r="Q255">
            <v>15</v>
          </cell>
          <cell r="R255">
            <v>21</v>
          </cell>
          <cell r="S255">
            <v>238</v>
          </cell>
          <cell r="T255">
            <v>45</v>
          </cell>
        </row>
        <row r="256">
          <cell r="C256" t="str">
            <v>Census Tract 290.01, King County, Washington</v>
          </cell>
          <cell r="D256">
            <v>244</v>
          </cell>
          <cell r="E256">
            <v>235</v>
          </cell>
          <cell r="F256">
            <v>109</v>
          </cell>
          <cell r="G256">
            <v>126</v>
          </cell>
          <cell r="H256">
            <v>8</v>
          </cell>
          <cell r="I256">
            <v>37</v>
          </cell>
          <cell r="J256">
            <v>0</v>
          </cell>
          <cell r="K256">
            <v>81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9</v>
          </cell>
          <cell r="Q256">
            <v>9</v>
          </cell>
          <cell r="R256">
            <v>0</v>
          </cell>
          <cell r="S256">
            <v>235</v>
          </cell>
          <cell r="T256">
            <v>9</v>
          </cell>
        </row>
        <row r="257">
          <cell r="C257" t="str">
            <v>Census Tract 290.03, King County, Washington</v>
          </cell>
          <cell r="D257">
            <v>243</v>
          </cell>
          <cell r="E257">
            <v>204</v>
          </cell>
          <cell r="F257">
            <v>182</v>
          </cell>
          <cell r="G257">
            <v>22</v>
          </cell>
          <cell r="H257">
            <v>0</v>
          </cell>
          <cell r="I257">
            <v>8</v>
          </cell>
          <cell r="J257">
            <v>4</v>
          </cell>
          <cell r="K257">
            <v>10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39</v>
          </cell>
          <cell r="Q257">
            <v>0</v>
          </cell>
          <cell r="R257">
            <v>39</v>
          </cell>
          <cell r="S257">
            <v>204</v>
          </cell>
          <cell r="T257">
            <v>39</v>
          </cell>
        </row>
        <row r="258">
          <cell r="C258" t="str">
            <v>Census Tract 290.04, King County, Washington</v>
          </cell>
          <cell r="D258">
            <v>216</v>
          </cell>
          <cell r="E258">
            <v>194</v>
          </cell>
          <cell r="F258">
            <v>129</v>
          </cell>
          <cell r="G258">
            <v>65</v>
          </cell>
          <cell r="H258">
            <v>0</v>
          </cell>
          <cell r="I258">
            <v>12</v>
          </cell>
          <cell r="J258">
            <v>10</v>
          </cell>
          <cell r="K258">
            <v>43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22</v>
          </cell>
          <cell r="Q258">
            <v>7</v>
          </cell>
          <cell r="R258">
            <v>15</v>
          </cell>
          <cell r="S258">
            <v>194</v>
          </cell>
          <cell r="T258">
            <v>22</v>
          </cell>
        </row>
        <row r="259">
          <cell r="C259" t="str">
            <v>Census Tract 291, King County, Washington</v>
          </cell>
          <cell r="D259">
            <v>225</v>
          </cell>
          <cell r="E259">
            <v>202</v>
          </cell>
          <cell r="F259">
            <v>142</v>
          </cell>
          <cell r="G259">
            <v>49</v>
          </cell>
          <cell r="H259">
            <v>0</v>
          </cell>
          <cell r="I259">
            <v>13</v>
          </cell>
          <cell r="J259">
            <v>10</v>
          </cell>
          <cell r="K259">
            <v>26</v>
          </cell>
          <cell r="L259">
            <v>11</v>
          </cell>
          <cell r="M259">
            <v>0</v>
          </cell>
          <cell r="N259">
            <v>0</v>
          </cell>
          <cell r="O259">
            <v>11</v>
          </cell>
          <cell r="P259">
            <v>23</v>
          </cell>
          <cell r="Q259">
            <v>10</v>
          </cell>
          <cell r="R259">
            <v>13</v>
          </cell>
          <cell r="S259">
            <v>191</v>
          </cell>
          <cell r="T259">
            <v>34</v>
          </cell>
        </row>
        <row r="260">
          <cell r="C260" t="str">
            <v>Census Tract 292.01, King County, Washington</v>
          </cell>
          <cell r="D260">
            <v>453</v>
          </cell>
          <cell r="E260">
            <v>413</v>
          </cell>
          <cell r="F260">
            <v>183</v>
          </cell>
          <cell r="G260">
            <v>216</v>
          </cell>
          <cell r="H260">
            <v>9</v>
          </cell>
          <cell r="I260">
            <v>47</v>
          </cell>
          <cell r="J260">
            <v>28</v>
          </cell>
          <cell r="K260">
            <v>132</v>
          </cell>
          <cell r="L260">
            <v>14</v>
          </cell>
          <cell r="M260">
            <v>0</v>
          </cell>
          <cell r="N260">
            <v>0</v>
          </cell>
          <cell r="O260">
            <v>14</v>
          </cell>
          <cell r="P260">
            <v>40</v>
          </cell>
          <cell r="Q260">
            <v>21</v>
          </cell>
          <cell r="R260">
            <v>19</v>
          </cell>
          <cell r="S260">
            <v>399</v>
          </cell>
          <cell r="T260">
            <v>54</v>
          </cell>
        </row>
        <row r="261">
          <cell r="C261" t="str">
            <v>Census Tract 292.03, King County, Washington</v>
          </cell>
          <cell r="D261">
            <v>256</v>
          </cell>
          <cell r="E261">
            <v>207</v>
          </cell>
          <cell r="F261">
            <v>112</v>
          </cell>
          <cell r="G261">
            <v>95</v>
          </cell>
          <cell r="H261">
            <v>0</v>
          </cell>
          <cell r="I261">
            <v>0</v>
          </cell>
          <cell r="J261">
            <v>3</v>
          </cell>
          <cell r="K261">
            <v>92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49</v>
          </cell>
          <cell r="Q261">
            <v>14</v>
          </cell>
          <cell r="R261">
            <v>35</v>
          </cell>
          <cell r="S261">
            <v>207</v>
          </cell>
          <cell r="T261">
            <v>49</v>
          </cell>
        </row>
        <row r="262">
          <cell r="C262" t="str">
            <v>Census Tract 292.04, King County, Washington</v>
          </cell>
          <cell r="D262">
            <v>262</v>
          </cell>
          <cell r="E262">
            <v>182</v>
          </cell>
          <cell r="F262">
            <v>123</v>
          </cell>
          <cell r="G262">
            <v>48</v>
          </cell>
          <cell r="H262">
            <v>0</v>
          </cell>
          <cell r="I262">
            <v>17</v>
          </cell>
          <cell r="J262">
            <v>7</v>
          </cell>
          <cell r="K262">
            <v>24</v>
          </cell>
          <cell r="L262">
            <v>11</v>
          </cell>
          <cell r="M262">
            <v>0</v>
          </cell>
          <cell r="N262">
            <v>0</v>
          </cell>
          <cell r="O262">
            <v>11</v>
          </cell>
          <cell r="P262">
            <v>80</v>
          </cell>
          <cell r="Q262">
            <v>35</v>
          </cell>
          <cell r="R262">
            <v>45</v>
          </cell>
          <cell r="S262">
            <v>171</v>
          </cell>
          <cell r="T262">
            <v>91</v>
          </cell>
        </row>
        <row r="263">
          <cell r="C263" t="str">
            <v>Census Tract 293.03, King County, Washington</v>
          </cell>
          <cell r="D263">
            <v>308</v>
          </cell>
          <cell r="E263">
            <v>230</v>
          </cell>
          <cell r="F263">
            <v>142</v>
          </cell>
          <cell r="G263">
            <v>71</v>
          </cell>
          <cell r="H263">
            <v>10</v>
          </cell>
          <cell r="I263">
            <v>23</v>
          </cell>
          <cell r="J263">
            <v>7</v>
          </cell>
          <cell r="K263">
            <v>31</v>
          </cell>
          <cell r="L263">
            <v>17</v>
          </cell>
          <cell r="M263">
            <v>0</v>
          </cell>
          <cell r="N263">
            <v>0</v>
          </cell>
          <cell r="O263">
            <v>17</v>
          </cell>
          <cell r="P263">
            <v>78</v>
          </cell>
          <cell r="Q263">
            <v>9</v>
          </cell>
          <cell r="R263">
            <v>69</v>
          </cell>
          <cell r="S263">
            <v>213</v>
          </cell>
          <cell r="T263">
            <v>95</v>
          </cell>
        </row>
        <row r="264">
          <cell r="C264" t="str">
            <v>Census Tract 293.04, King County, Washington</v>
          </cell>
          <cell r="D264">
            <v>135</v>
          </cell>
          <cell r="E264">
            <v>135</v>
          </cell>
          <cell r="F264">
            <v>105</v>
          </cell>
          <cell r="G264">
            <v>30</v>
          </cell>
          <cell r="H264">
            <v>0</v>
          </cell>
          <cell r="I264">
            <v>0</v>
          </cell>
          <cell r="J264">
            <v>11</v>
          </cell>
          <cell r="K264">
            <v>19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135</v>
          </cell>
          <cell r="T264">
            <v>0</v>
          </cell>
        </row>
        <row r="265">
          <cell r="C265" t="str">
            <v>Census Tract 293.05, King County, Washington</v>
          </cell>
          <cell r="D265">
            <v>358</v>
          </cell>
          <cell r="E265">
            <v>202</v>
          </cell>
          <cell r="F265">
            <v>147</v>
          </cell>
          <cell r="G265">
            <v>55</v>
          </cell>
          <cell r="H265">
            <v>0</v>
          </cell>
          <cell r="I265">
            <v>41</v>
          </cell>
          <cell r="J265">
            <v>0</v>
          </cell>
          <cell r="K265">
            <v>14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156</v>
          </cell>
          <cell r="Q265">
            <v>43</v>
          </cell>
          <cell r="R265">
            <v>113</v>
          </cell>
          <cell r="S265">
            <v>202</v>
          </cell>
          <cell r="T265">
            <v>156</v>
          </cell>
        </row>
        <row r="266">
          <cell r="C266" t="str">
            <v>Census Tract 293.06, King County, Washington</v>
          </cell>
          <cell r="D266">
            <v>116</v>
          </cell>
          <cell r="E266">
            <v>108</v>
          </cell>
          <cell r="F266">
            <v>46</v>
          </cell>
          <cell r="G266">
            <v>62</v>
          </cell>
          <cell r="H266">
            <v>9</v>
          </cell>
          <cell r="I266">
            <v>0</v>
          </cell>
          <cell r="J266">
            <v>24</v>
          </cell>
          <cell r="K266">
            <v>29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8</v>
          </cell>
          <cell r="Q266">
            <v>8</v>
          </cell>
          <cell r="R266">
            <v>0</v>
          </cell>
          <cell r="S266">
            <v>108</v>
          </cell>
          <cell r="T266">
            <v>8</v>
          </cell>
        </row>
        <row r="267">
          <cell r="C267" t="str">
            <v>Census Tract 293.07, King County, Washington</v>
          </cell>
          <cell r="D267">
            <v>224</v>
          </cell>
          <cell r="E267">
            <v>204</v>
          </cell>
          <cell r="F267">
            <v>130</v>
          </cell>
          <cell r="G267">
            <v>74</v>
          </cell>
          <cell r="H267">
            <v>11</v>
          </cell>
          <cell r="I267">
            <v>0</v>
          </cell>
          <cell r="J267">
            <v>11</v>
          </cell>
          <cell r="K267">
            <v>52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20</v>
          </cell>
          <cell r="Q267">
            <v>9</v>
          </cell>
          <cell r="R267">
            <v>11</v>
          </cell>
          <cell r="S267">
            <v>204</v>
          </cell>
          <cell r="T267">
            <v>20</v>
          </cell>
        </row>
        <row r="268">
          <cell r="C268" t="str">
            <v>Census Tract 294.03, King County, Washington</v>
          </cell>
          <cell r="D268">
            <v>272</v>
          </cell>
          <cell r="E268">
            <v>239</v>
          </cell>
          <cell r="F268">
            <v>172</v>
          </cell>
          <cell r="G268">
            <v>67</v>
          </cell>
          <cell r="H268">
            <v>0</v>
          </cell>
          <cell r="I268">
            <v>13</v>
          </cell>
          <cell r="J268">
            <v>19</v>
          </cell>
          <cell r="K268">
            <v>35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33</v>
          </cell>
          <cell r="Q268">
            <v>33</v>
          </cell>
          <cell r="R268">
            <v>0</v>
          </cell>
          <cell r="S268">
            <v>239</v>
          </cell>
          <cell r="T268">
            <v>33</v>
          </cell>
        </row>
        <row r="269">
          <cell r="C269" t="str">
            <v>Census Tract 294.05, King County, Washington</v>
          </cell>
          <cell r="D269">
            <v>504</v>
          </cell>
          <cell r="E269">
            <v>397</v>
          </cell>
          <cell r="F269">
            <v>276</v>
          </cell>
          <cell r="G269">
            <v>97</v>
          </cell>
          <cell r="H269">
            <v>0</v>
          </cell>
          <cell r="I269">
            <v>0</v>
          </cell>
          <cell r="J269">
            <v>33</v>
          </cell>
          <cell r="K269">
            <v>64</v>
          </cell>
          <cell r="L269">
            <v>24</v>
          </cell>
          <cell r="M269">
            <v>0</v>
          </cell>
          <cell r="N269">
            <v>0</v>
          </cell>
          <cell r="O269">
            <v>24</v>
          </cell>
          <cell r="P269">
            <v>107</v>
          </cell>
          <cell r="Q269">
            <v>88</v>
          </cell>
          <cell r="R269">
            <v>19</v>
          </cell>
          <cell r="S269">
            <v>373</v>
          </cell>
          <cell r="T269">
            <v>131</v>
          </cell>
        </row>
        <row r="270">
          <cell r="C270" t="str">
            <v>Census Tract 294.06, King County, Washington</v>
          </cell>
          <cell r="D270">
            <v>167</v>
          </cell>
          <cell r="E270">
            <v>159</v>
          </cell>
          <cell r="F270">
            <v>86</v>
          </cell>
          <cell r="G270">
            <v>73</v>
          </cell>
          <cell r="H270">
            <v>18</v>
          </cell>
          <cell r="I270">
            <v>11</v>
          </cell>
          <cell r="J270">
            <v>10</v>
          </cell>
          <cell r="K270">
            <v>34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8</v>
          </cell>
          <cell r="Q270">
            <v>8</v>
          </cell>
          <cell r="R270">
            <v>0</v>
          </cell>
          <cell r="S270">
            <v>159</v>
          </cell>
          <cell r="T270">
            <v>8</v>
          </cell>
        </row>
        <row r="271">
          <cell r="C271" t="str">
            <v>Census Tract 294.07, King County, Washington</v>
          </cell>
          <cell r="D271">
            <v>182</v>
          </cell>
          <cell r="E271">
            <v>128</v>
          </cell>
          <cell r="F271">
            <v>69</v>
          </cell>
          <cell r="G271">
            <v>59</v>
          </cell>
          <cell r="H271">
            <v>0</v>
          </cell>
          <cell r="I271">
            <v>14</v>
          </cell>
          <cell r="J271">
            <v>6</v>
          </cell>
          <cell r="K271">
            <v>39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54</v>
          </cell>
          <cell r="Q271">
            <v>6</v>
          </cell>
          <cell r="R271">
            <v>48</v>
          </cell>
          <cell r="S271">
            <v>128</v>
          </cell>
          <cell r="T271">
            <v>54</v>
          </cell>
        </row>
        <row r="272">
          <cell r="C272" t="str">
            <v>Census Tract 294.08, King County, Washington</v>
          </cell>
          <cell r="D272">
            <v>280</v>
          </cell>
          <cell r="E272">
            <v>155</v>
          </cell>
          <cell r="F272">
            <v>94</v>
          </cell>
          <cell r="G272">
            <v>49</v>
          </cell>
          <cell r="H272">
            <v>14</v>
          </cell>
          <cell r="I272">
            <v>7</v>
          </cell>
          <cell r="J272">
            <v>8</v>
          </cell>
          <cell r="K272">
            <v>20</v>
          </cell>
          <cell r="L272">
            <v>12</v>
          </cell>
          <cell r="M272">
            <v>0</v>
          </cell>
          <cell r="N272">
            <v>0</v>
          </cell>
          <cell r="O272">
            <v>12</v>
          </cell>
          <cell r="P272">
            <v>125</v>
          </cell>
          <cell r="Q272">
            <v>26</v>
          </cell>
          <cell r="R272">
            <v>99</v>
          </cell>
          <cell r="S272">
            <v>143</v>
          </cell>
          <cell r="T272">
            <v>137</v>
          </cell>
        </row>
        <row r="273">
          <cell r="C273" t="str">
            <v>Census Tract 295.02, King County, Washington</v>
          </cell>
          <cell r="D273">
            <v>326</v>
          </cell>
          <cell r="E273">
            <v>287</v>
          </cell>
          <cell r="F273">
            <v>215</v>
          </cell>
          <cell r="G273">
            <v>59</v>
          </cell>
          <cell r="H273">
            <v>0</v>
          </cell>
          <cell r="I273">
            <v>0</v>
          </cell>
          <cell r="J273">
            <v>11</v>
          </cell>
          <cell r="K273">
            <v>48</v>
          </cell>
          <cell r="L273">
            <v>13</v>
          </cell>
          <cell r="M273">
            <v>0</v>
          </cell>
          <cell r="N273">
            <v>0</v>
          </cell>
          <cell r="O273">
            <v>13</v>
          </cell>
          <cell r="P273">
            <v>39</v>
          </cell>
          <cell r="Q273">
            <v>11</v>
          </cell>
          <cell r="R273">
            <v>28</v>
          </cell>
          <cell r="S273">
            <v>274</v>
          </cell>
          <cell r="T273">
            <v>52</v>
          </cell>
        </row>
        <row r="274">
          <cell r="C274" t="str">
            <v>Census Tract 295.03, King County, Washington</v>
          </cell>
          <cell r="D274">
            <v>379</v>
          </cell>
          <cell r="E274">
            <v>328</v>
          </cell>
          <cell r="F274">
            <v>249</v>
          </cell>
          <cell r="G274">
            <v>79</v>
          </cell>
          <cell r="H274">
            <v>17</v>
          </cell>
          <cell r="I274">
            <v>19</v>
          </cell>
          <cell r="J274">
            <v>8</v>
          </cell>
          <cell r="K274">
            <v>35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51</v>
          </cell>
          <cell r="Q274">
            <v>37</v>
          </cell>
          <cell r="R274">
            <v>14</v>
          </cell>
          <cell r="S274">
            <v>328</v>
          </cell>
          <cell r="T274">
            <v>51</v>
          </cell>
        </row>
        <row r="275">
          <cell r="C275" t="str">
            <v>Census Tract 295.04, King County, Washington</v>
          </cell>
          <cell r="D275">
            <v>386</v>
          </cell>
          <cell r="E275">
            <v>357</v>
          </cell>
          <cell r="F275">
            <v>222</v>
          </cell>
          <cell r="G275">
            <v>135</v>
          </cell>
          <cell r="H275">
            <v>9</v>
          </cell>
          <cell r="I275">
            <v>15</v>
          </cell>
          <cell r="J275">
            <v>12</v>
          </cell>
          <cell r="K275">
            <v>99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</v>
          </cell>
          <cell r="Q275">
            <v>0</v>
          </cell>
          <cell r="R275">
            <v>29</v>
          </cell>
          <cell r="S275">
            <v>357</v>
          </cell>
          <cell r="T275">
            <v>29</v>
          </cell>
        </row>
        <row r="276">
          <cell r="C276" t="str">
            <v>Census Tract 296.01, King County, Washington</v>
          </cell>
          <cell r="D276">
            <v>565</v>
          </cell>
          <cell r="E276">
            <v>334</v>
          </cell>
          <cell r="F276">
            <v>214</v>
          </cell>
          <cell r="G276">
            <v>120</v>
          </cell>
          <cell r="H276">
            <v>0</v>
          </cell>
          <cell r="I276">
            <v>6</v>
          </cell>
          <cell r="J276">
            <v>34</v>
          </cell>
          <cell r="K276">
            <v>80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231</v>
          </cell>
          <cell r="Q276">
            <v>63</v>
          </cell>
          <cell r="R276">
            <v>168</v>
          </cell>
          <cell r="S276">
            <v>334</v>
          </cell>
          <cell r="T276">
            <v>231</v>
          </cell>
        </row>
        <row r="277">
          <cell r="C277" t="str">
            <v>Census Tract 296.02, King County, Washington</v>
          </cell>
          <cell r="D277">
            <v>84</v>
          </cell>
          <cell r="E277">
            <v>49</v>
          </cell>
          <cell r="F277">
            <v>35</v>
          </cell>
          <cell r="G277">
            <v>14</v>
          </cell>
          <cell r="H277">
            <v>0</v>
          </cell>
          <cell r="I277">
            <v>0</v>
          </cell>
          <cell r="J277">
            <v>0</v>
          </cell>
          <cell r="K277">
            <v>14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35</v>
          </cell>
          <cell r="Q277">
            <v>0</v>
          </cell>
          <cell r="R277">
            <v>35</v>
          </cell>
          <cell r="S277">
            <v>49</v>
          </cell>
          <cell r="T277">
            <v>35</v>
          </cell>
        </row>
        <row r="278">
          <cell r="C278" t="str">
            <v>Census Tract 297, King County, Washington</v>
          </cell>
          <cell r="D278">
            <v>189</v>
          </cell>
          <cell r="E278">
            <v>178</v>
          </cell>
          <cell r="F278">
            <v>110</v>
          </cell>
          <cell r="G278">
            <v>46</v>
          </cell>
          <cell r="H278">
            <v>0</v>
          </cell>
          <cell r="I278">
            <v>11</v>
          </cell>
          <cell r="J278">
            <v>35</v>
          </cell>
          <cell r="K278">
            <v>0</v>
          </cell>
          <cell r="L278">
            <v>22</v>
          </cell>
          <cell r="M278">
            <v>0</v>
          </cell>
          <cell r="N278">
            <v>0</v>
          </cell>
          <cell r="O278">
            <v>22</v>
          </cell>
          <cell r="P278">
            <v>11</v>
          </cell>
          <cell r="Q278">
            <v>7</v>
          </cell>
          <cell r="R278">
            <v>4</v>
          </cell>
          <cell r="S278">
            <v>156</v>
          </cell>
          <cell r="T278">
            <v>33</v>
          </cell>
        </row>
        <row r="279">
          <cell r="C279" t="str">
            <v>Census Tract 298.01, King County, Washington</v>
          </cell>
          <cell r="D279">
            <v>441</v>
          </cell>
          <cell r="E279">
            <v>400</v>
          </cell>
          <cell r="F279">
            <v>216</v>
          </cell>
          <cell r="G279">
            <v>184</v>
          </cell>
          <cell r="H279">
            <v>0</v>
          </cell>
          <cell r="I279">
            <v>45</v>
          </cell>
          <cell r="J279">
            <v>0</v>
          </cell>
          <cell r="K279">
            <v>139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41</v>
          </cell>
          <cell r="Q279">
            <v>12</v>
          </cell>
          <cell r="R279">
            <v>29</v>
          </cell>
          <cell r="S279">
            <v>400</v>
          </cell>
          <cell r="T279">
            <v>41</v>
          </cell>
        </row>
        <row r="280">
          <cell r="C280" t="str">
            <v>Census Tract 298.02, King County, Washington</v>
          </cell>
          <cell r="D280">
            <v>243</v>
          </cell>
          <cell r="E280">
            <v>188</v>
          </cell>
          <cell r="F280">
            <v>130</v>
          </cell>
          <cell r="G280">
            <v>58</v>
          </cell>
          <cell r="H280">
            <v>0</v>
          </cell>
          <cell r="I280">
            <v>6</v>
          </cell>
          <cell r="J280">
            <v>12</v>
          </cell>
          <cell r="K280">
            <v>40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55</v>
          </cell>
          <cell r="Q280">
            <v>26</v>
          </cell>
          <cell r="R280">
            <v>29</v>
          </cell>
          <cell r="S280">
            <v>188</v>
          </cell>
          <cell r="T280">
            <v>55</v>
          </cell>
        </row>
        <row r="281">
          <cell r="C281" t="str">
            <v>Census Tract 299.01, King County, Washington</v>
          </cell>
          <cell r="D281">
            <v>205</v>
          </cell>
          <cell r="E281">
            <v>199</v>
          </cell>
          <cell r="F281">
            <v>153</v>
          </cell>
          <cell r="G281">
            <v>41</v>
          </cell>
          <cell r="H281">
            <v>11</v>
          </cell>
          <cell r="I281">
            <v>0</v>
          </cell>
          <cell r="J281">
            <v>0</v>
          </cell>
          <cell r="K281">
            <v>30</v>
          </cell>
          <cell r="L281">
            <v>5</v>
          </cell>
          <cell r="M281">
            <v>0</v>
          </cell>
          <cell r="N281">
            <v>0</v>
          </cell>
          <cell r="O281">
            <v>5</v>
          </cell>
          <cell r="P281">
            <v>6</v>
          </cell>
          <cell r="Q281">
            <v>0</v>
          </cell>
          <cell r="R281">
            <v>6</v>
          </cell>
          <cell r="S281">
            <v>194</v>
          </cell>
          <cell r="T281">
            <v>11</v>
          </cell>
        </row>
        <row r="282">
          <cell r="C282" t="str">
            <v>Census Tract 299.02, King County, Washington</v>
          </cell>
          <cell r="D282">
            <v>216</v>
          </cell>
          <cell r="E282">
            <v>178</v>
          </cell>
          <cell r="F282">
            <v>123</v>
          </cell>
          <cell r="G282">
            <v>43</v>
          </cell>
          <cell r="H282">
            <v>0</v>
          </cell>
          <cell r="I282">
            <v>17</v>
          </cell>
          <cell r="J282">
            <v>13</v>
          </cell>
          <cell r="K282">
            <v>13</v>
          </cell>
          <cell r="L282">
            <v>12</v>
          </cell>
          <cell r="M282">
            <v>0</v>
          </cell>
          <cell r="N282">
            <v>0</v>
          </cell>
          <cell r="O282">
            <v>12</v>
          </cell>
          <cell r="P282">
            <v>38</v>
          </cell>
          <cell r="Q282">
            <v>8</v>
          </cell>
          <cell r="R282">
            <v>30</v>
          </cell>
          <cell r="S282">
            <v>166</v>
          </cell>
          <cell r="T282">
            <v>50</v>
          </cell>
        </row>
        <row r="283">
          <cell r="C283" t="str">
            <v>Census Tract 300.02, King County, Washington</v>
          </cell>
          <cell r="D283">
            <v>522</v>
          </cell>
          <cell r="E283">
            <v>492</v>
          </cell>
          <cell r="F283">
            <v>344</v>
          </cell>
          <cell r="G283">
            <v>148</v>
          </cell>
          <cell r="H283">
            <v>0</v>
          </cell>
          <cell r="I283">
            <v>32</v>
          </cell>
          <cell r="J283">
            <v>73</v>
          </cell>
          <cell r="K283">
            <v>43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30</v>
          </cell>
          <cell r="Q283">
            <v>17</v>
          </cell>
          <cell r="R283">
            <v>13</v>
          </cell>
          <cell r="S283">
            <v>492</v>
          </cell>
          <cell r="T283">
            <v>30</v>
          </cell>
        </row>
        <row r="284">
          <cell r="C284" t="str">
            <v>Census Tract 300.03, King County, Washington</v>
          </cell>
          <cell r="D284">
            <v>299</v>
          </cell>
          <cell r="E284">
            <v>205</v>
          </cell>
          <cell r="F284">
            <v>79</v>
          </cell>
          <cell r="G284">
            <v>120</v>
          </cell>
          <cell r="H284">
            <v>8</v>
          </cell>
          <cell r="I284">
            <v>20</v>
          </cell>
          <cell r="J284">
            <v>62</v>
          </cell>
          <cell r="K284">
            <v>30</v>
          </cell>
          <cell r="L284">
            <v>6</v>
          </cell>
          <cell r="M284">
            <v>0</v>
          </cell>
          <cell r="N284">
            <v>0</v>
          </cell>
          <cell r="O284">
            <v>6</v>
          </cell>
          <cell r="P284">
            <v>94</v>
          </cell>
          <cell r="Q284">
            <v>49</v>
          </cell>
          <cell r="R284">
            <v>45</v>
          </cell>
          <cell r="S284">
            <v>199</v>
          </cell>
          <cell r="T284">
            <v>100</v>
          </cell>
        </row>
        <row r="285">
          <cell r="C285" t="str">
            <v>Census Tract 300.04, King County, Washington</v>
          </cell>
          <cell r="D285">
            <v>692</v>
          </cell>
          <cell r="E285">
            <v>544</v>
          </cell>
          <cell r="F285">
            <v>326</v>
          </cell>
          <cell r="G285">
            <v>198</v>
          </cell>
          <cell r="H285">
            <v>27</v>
          </cell>
          <cell r="I285">
            <v>40</v>
          </cell>
          <cell r="J285">
            <v>40</v>
          </cell>
          <cell r="K285">
            <v>91</v>
          </cell>
          <cell r="L285">
            <v>20</v>
          </cell>
          <cell r="M285">
            <v>0</v>
          </cell>
          <cell r="N285">
            <v>0</v>
          </cell>
          <cell r="O285">
            <v>20</v>
          </cell>
          <cell r="P285">
            <v>148</v>
          </cell>
          <cell r="Q285">
            <v>28</v>
          </cell>
          <cell r="R285">
            <v>120</v>
          </cell>
          <cell r="S285">
            <v>524</v>
          </cell>
          <cell r="T285">
            <v>168</v>
          </cell>
        </row>
        <row r="286">
          <cell r="C286" t="str">
            <v>Census Tract 301, King County, Washington</v>
          </cell>
          <cell r="D286">
            <v>372</v>
          </cell>
          <cell r="E286">
            <v>316</v>
          </cell>
          <cell r="F286">
            <v>172</v>
          </cell>
          <cell r="G286">
            <v>135</v>
          </cell>
          <cell r="H286">
            <v>0</v>
          </cell>
          <cell r="I286">
            <v>25</v>
          </cell>
          <cell r="J286">
            <v>47</v>
          </cell>
          <cell r="K286">
            <v>63</v>
          </cell>
          <cell r="L286">
            <v>9</v>
          </cell>
          <cell r="M286">
            <v>0</v>
          </cell>
          <cell r="N286">
            <v>9</v>
          </cell>
          <cell r="O286">
            <v>0</v>
          </cell>
          <cell r="P286">
            <v>56</v>
          </cell>
          <cell r="Q286">
            <v>0</v>
          </cell>
          <cell r="R286">
            <v>56</v>
          </cell>
          <cell r="S286">
            <v>307</v>
          </cell>
          <cell r="T286">
            <v>65</v>
          </cell>
        </row>
        <row r="287">
          <cell r="C287" t="str">
            <v>Census Tract 302.01, King County, Washington</v>
          </cell>
          <cell r="D287">
            <v>257</v>
          </cell>
          <cell r="E287">
            <v>225</v>
          </cell>
          <cell r="F287">
            <v>148</v>
          </cell>
          <cell r="G287">
            <v>61</v>
          </cell>
          <cell r="H287">
            <v>0</v>
          </cell>
          <cell r="I287">
            <v>14</v>
          </cell>
          <cell r="J287">
            <v>8</v>
          </cell>
          <cell r="K287">
            <v>39</v>
          </cell>
          <cell r="L287">
            <v>16</v>
          </cell>
          <cell r="M287">
            <v>0</v>
          </cell>
          <cell r="N287">
            <v>0</v>
          </cell>
          <cell r="O287">
            <v>16</v>
          </cell>
          <cell r="P287">
            <v>32</v>
          </cell>
          <cell r="Q287">
            <v>25</v>
          </cell>
          <cell r="R287">
            <v>7</v>
          </cell>
          <cell r="S287">
            <v>209</v>
          </cell>
          <cell r="T287">
            <v>48</v>
          </cell>
        </row>
        <row r="288">
          <cell r="C288" t="str">
            <v>Census Tract 302.02, King County, Washington</v>
          </cell>
          <cell r="D288">
            <v>336</v>
          </cell>
          <cell r="E288">
            <v>185</v>
          </cell>
          <cell r="F288">
            <v>135</v>
          </cell>
          <cell r="G288">
            <v>42</v>
          </cell>
          <cell r="H288">
            <v>0</v>
          </cell>
          <cell r="I288">
            <v>24</v>
          </cell>
          <cell r="J288">
            <v>0</v>
          </cell>
          <cell r="K288">
            <v>18</v>
          </cell>
          <cell r="L288">
            <v>8</v>
          </cell>
          <cell r="M288">
            <v>0</v>
          </cell>
          <cell r="N288">
            <v>0</v>
          </cell>
          <cell r="O288">
            <v>8</v>
          </cell>
          <cell r="P288">
            <v>151</v>
          </cell>
          <cell r="Q288">
            <v>6</v>
          </cell>
          <cell r="R288">
            <v>145</v>
          </cell>
          <cell r="S288">
            <v>177</v>
          </cell>
          <cell r="T288">
            <v>159</v>
          </cell>
        </row>
        <row r="289">
          <cell r="C289" t="str">
            <v>Census Tract 303.03, King County, Washington</v>
          </cell>
          <cell r="D289">
            <v>360</v>
          </cell>
          <cell r="E289">
            <v>320</v>
          </cell>
          <cell r="F289">
            <v>205</v>
          </cell>
          <cell r="G289">
            <v>102</v>
          </cell>
          <cell r="H289">
            <v>9</v>
          </cell>
          <cell r="I289">
            <v>16</v>
          </cell>
          <cell r="J289">
            <v>35</v>
          </cell>
          <cell r="K289">
            <v>42</v>
          </cell>
          <cell r="L289">
            <v>13</v>
          </cell>
          <cell r="M289">
            <v>0</v>
          </cell>
          <cell r="N289">
            <v>0</v>
          </cell>
          <cell r="O289">
            <v>13</v>
          </cell>
          <cell r="P289">
            <v>40</v>
          </cell>
          <cell r="Q289">
            <v>19</v>
          </cell>
          <cell r="R289">
            <v>21</v>
          </cell>
          <cell r="S289">
            <v>307</v>
          </cell>
          <cell r="T289">
            <v>53</v>
          </cell>
        </row>
        <row r="290">
          <cell r="C290" t="str">
            <v>Census Tract 303.04, King County, Washington</v>
          </cell>
          <cell r="D290">
            <v>137</v>
          </cell>
          <cell r="E290">
            <v>80</v>
          </cell>
          <cell r="F290">
            <v>25</v>
          </cell>
          <cell r="G290">
            <v>38</v>
          </cell>
          <cell r="H290">
            <v>0</v>
          </cell>
          <cell r="I290">
            <v>9</v>
          </cell>
          <cell r="J290">
            <v>8</v>
          </cell>
          <cell r="K290">
            <v>21</v>
          </cell>
          <cell r="L290">
            <v>17</v>
          </cell>
          <cell r="M290">
            <v>0</v>
          </cell>
          <cell r="N290">
            <v>0</v>
          </cell>
          <cell r="O290">
            <v>17</v>
          </cell>
          <cell r="P290">
            <v>57</v>
          </cell>
          <cell r="Q290">
            <v>33</v>
          </cell>
          <cell r="R290">
            <v>24</v>
          </cell>
          <cell r="S290">
            <v>63</v>
          </cell>
          <cell r="T290">
            <v>74</v>
          </cell>
        </row>
        <row r="291">
          <cell r="C291" t="str">
            <v>Census Tract 303.05, King County, Washington</v>
          </cell>
          <cell r="D291">
            <v>251</v>
          </cell>
          <cell r="E291">
            <v>212</v>
          </cell>
          <cell r="F291">
            <v>116</v>
          </cell>
          <cell r="G291">
            <v>96</v>
          </cell>
          <cell r="H291">
            <v>0</v>
          </cell>
          <cell r="I291">
            <v>4</v>
          </cell>
          <cell r="J291">
            <v>22</v>
          </cell>
          <cell r="K291">
            <v>70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39</v>
          </cell>
          <cell r="Q291">
            <v>16</v>
          </cell>
          <cell r="R291">
            <v>23</v>
          </cell>
          <cell r="S291">
            <v>212</v>
          </cell>
          <cell r="T291">
            <v>39</v>
          </cell>
        </row>
        <row r="292">
          <cell r="C292" t="str">
            <v>Census Tract 303.06, King County, Washington</v>
          </cell>
          <cell r="D292">
            <v>317</v>
          </cell>
          <cell r="E292">
            <v>292</v>
          </cell>
          <cell r="F292">
            <v>177</v>
          </cell>
          <cell r="G292">
            <v>115</v>
          </cell>
          <cell r="H292">
            <v>0</v>
          </cell>
          <cell r="I292">
            <v>12</v>
          </cell>
          <cell r="J292">
            <v>18</v>
          </cell>
          <cell r="K292">
            <v>85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25</v>
          </cell>
          <cell r="Q292">
            <v>21</v>
          </cell>
          <cell r="R292">
            <v>4</v>
          </cell>
          <cell r="S292">
            <v>292</v>
          </cell>
          <cell r="T292">
            <v>25</v>
          </cell>
        </row>
        <row r="293">
          <cell r="C293" t="str">
            <v>Census Tract 303.08, King County, Washington</v>
          </cell>
          <cell r="D293">
            <v>453</v>
          </cell>
          <cell r="E293">
            <v>402</v>
          </cell>
          <cell r="F293">
            <v>230</v>
          </cell>
          <cell r="G293">
            <v>167</v>
          </cell>
          <cell r="H293">
            <v>6</v>
          </cell>
          <cell r="I293">
            <v>8</v>
          </cell>
          <cell r="J293">
            <v>9</v>
          </cell>
          <cell r="K293">
            <v>144</v>
          </cell>
          <cell r="L293">
            <v>5</v>
          </cell>
          <cell r="M293">
            <v>0</v>
          </cell>
          <cell r="N293">
            <v>0</v>
          </cell>
          <cell r="O293">
            <v>5</v>
          </cell>
          <cell r="P293">
            <v>51</v>
          </cell>
          <cell r="Q293">
            <v>7</v>
          </cell>
          <cell r="R293">
            <v>44</v>
          </cell>
          <cell r="S293">
            <v>397</v>
          </cell>
          <cell r="T293">
            <v>56</v>
          </cell>
        </row>
        <row r="294">
          <cell r="C294" t="str">
            <v>Census Tract 303.09, King County, Washington</v>
          </cell>
          <cell r="D294">
            <v>409</v>
          </cell>
          <cell r="E294">
            <v>370</v>
          </cell>
          <cell r="F294">
            <v>190</v>
          </cell>
          <cell r="G294">
            <v>174</v>
          </cell>
          <cell r="H294">
            <v>0</v>
          </cell>
          <cell r="I294">
            <v>52</v>
          </cell>
          <cell r="J294">
            <v>82</v>
          </cell>
          <cell r="K294">
            <v>40</v>
          </cell>
          <cell r="L294">
            <v>6</v>
          </cell>
          <cell r="M294">
            <v>0</v>
          </cell>
          <cell r="N294">
            <v>0</v>
          </cell>
          <cell r="O294">
            <v>6</v>
          </cell>
          <cell r="P294">
            <v>39</v>
          </cell>
          <cell r="Q294">
            <v>25</v>
          </cell>
          <cell r="R294">
            <v>14</v>
          </cell>
          <cell r="S294">
            <v>364</v>
          </cell>
          <cell r="T294">
            <v>45</v>
          </cell>
        </row>
        <row r="295">
          <cell r="C295" t="str">
            <v>Census Tract 303.10, King County, Washington</v>
          </cell>
          <cell r="D295">
            <v>264</v>
          </cell>
          <cell r="E295">
            <v>255</v>
          </cell>
          <cell r="F295">
            <v>189</v>
          </cell>
          <cell r="G295">
            <v>49</v>
          </cell>
          <cell r="H295">
            <v>6</v>
          </cell>
          <cell r="I295">
            <v>10</v>
          </cell>
          <cell r="J295">
            <v>11</v>
          </cell>
          <cell r="K295">
            <v>22</v>
          </cell>
          <cell r="L295">
            <v>17</v>
          </cell>
          <cell r="M295">
            <v>0</v>
          </cell>
          <cell r="N295">
            <v>8</v>
          </cell>
          <cell r="O295">
            <v>9</v>
          </cell>
          <cell r="P295">
            <v>9</v>
          </cell>
          <cell r="Q295">
            <v>0</v>
          </cell>
          <cell r="R295">
            <v>9</v>
          </cell>
          <cell r="S295">
            <v>238</v>
          </cell>
          <cell r="T295">
            <v>26</v>
          </cell>
        </row>
        <row r="296">
          <cell r="C296" t="str">
            <v>Census Tract 303.11, King County, Washington</v>
          </cell>
          <cell r="D296">
            <v>382</v>
          </cell>
          <cell r="E296">
            <v>216</v>
          </cell>
          <cell r="F296">
            <v>76</v>
          </cell>
          <cell r="G296">
            <v>119</v>
          </cell>
          <cell r="H296">
            <v>7</v>
          </cell>
          <cell r="I296">
            <v>13</v>
          </cell>
          <cell r="J296">
            <v>25</v>
          </cell>
          <cell r="K296">
            <v>74</v>
          </cell>
          <cell r="L296">
            <v>21</v>
          </cell>
          <cell r="M296">
            <v>0</v>
          </cell>
          <cell r="N296">
            <v>0</v>
          </cell>
          <cell r="O296">
            <v>21</v>
          </cell>
          <cell r="P296">
            <v>166</v>
          </cell>
          <cell r="Q296">
            <v>7</v>
          </cell>
          <cell r="R296">
            <v>159</v>
          </cell>
          <cell r="S296">
            <v>195</v>
          </cell>
          <cell r="T296">
            <v>187</v>
          </cell>
        </row>
        <row r="297">
          <cell r="C297" t="str">
            <v>Census Tract 303.12, King County, Washington</v>
          </cell>
          <cell r="D297">
            <v>407</v>
          </cell>
          <cell r="E297">
            <v>287</v>
          </cell>
          <cell r="F297">
            <v>190</v>
          </cell>
          <cell r="G297">
            <v>97</v>
          </cell>
          <cell r="H297">
            <v>5</v>
          </cell>
          <cell r="I297">
            <v>9</v>
          </cell>
          <cell r="J297">
            <v>0</v>
          </cell>
          <cell r="K297">
            <v>83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120</v>
          </cell>
          <cell r="Q297">
            <v>0</v>
          </cell>
          <cell r="R297">
            <v>120</v>
          </cell>
          <cell r="S297">
            <v>287</v>
          </cell>
          <cell r="T297">
            <v>120</v>
          </cell>
        </row>
        <row r="298">
          <cell r="C298" t="str">
            <v>Census Tract 304.01, King County, Washington</v>
          </cell>
          <cell r="D298">
            <v>259</v>
          </cell>
          <cell r="E298">
            <v>225</v>
          </cell>
          <cell r="F298">
            <v>166</v>
          </cell>
          <cell r="G298">
            <v>47</v>
          </cell>
          <cell r="H298">
            <v>0</v>
          </cell>
          <cell r="I298">
            <v>0</v>
          </cell>
          <cell r="J298">
            <v>0</v>
          </cell>
          <cell r="K298">
            <v>47</v>
          </cell>
          <cell r="L298">
            <v>12</v>
          </cell>
          <cell r="M298">
            <v>0</v>
          </cell>
          <cell r="N298">
            <v>0</v>
          </cell>
          <cell r="O298">
            <v>12</v>
          </cell>
          <cell r="P298">
            <v>34</v>
          </cell>
          <cell r="Q298">
            <v>10</v>
          </cell>
          <cell r="R298">
            <v>24</v>
          </cell>
          <cell r="S298">
            <v>213</v>
          </cell>
          <cell r="T298">
            <v>46</v>
          </cell>
        </row>
        <row r="299">
          <cell r="C299" t="str">
            <v>Census Tract 304.03, King County, Washington</v>
          </cell>
          <cell r="D299">
            <v>133</v>
          </cell>
          <cell r="E299">
            <v>123</v>
          </cell>
          <cell r="F299">
            <v>56</v>
          </cell>
          <cell r="G299">
            <v>46</v>
          </cell>
          <cell r="H299">
            <v>8</v>
          </cell>
          <cell r="I299">
            <v>0</v>
          </cell>
          <cell r="J299">
            <v>16</v>
          </cell>
          <cell r="K299">
            <v>22</v>
          </cell>
          <cell r="L299">
            <v>21</v>
          </cell>
          <cell r="M299">
            <v>0</v>
          </cell>
          <cell r="N299">
            <v>11</v>
          </cell>
          <cell r="O299">
            <v>10</v>
          </cell>
          <cell r="P299">
            <v>10</v>
          </cell>
          <cell r="Q299">
            <v>10</v>
          </cell>
          <cell r="R299">
            <v>0</v>
          </cell>
          <cell r="S299">
            <v>102</v>
          </cell>
          <cell r="T299">
            <v>31</v>
          </cell>
        </row>
        <row r="300">
          <cell r="C300" t="str">
            <v>Census Tract 304.04, King County, Washington</v>
          </cell>
          <cell r="D300">
            <v>41</v>
          </cell>
          <cell r="E300">
            <v>41</v>
          </cell>
          <cell r="F300">
            <v>25</v>
          </cell>
          <cell r="G300">
            <v>16</v>
          </cell>
          <cell r="H300">
            <v>0</v>
          </cell>
          <cell r="I300">
            <v>0</v>
          </cell>
          <cell r="J300">
            <v>7</v>
          </cell>
          <cell r="K300">
            <v>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41</v>
          </cell>
          <cell r="T300">
            <v>0</v>
          </cell>
        </row>
        <row r="301">
          <cell r="C301" t="str">
            <v>Census Tract 305.01, King County, Washington</v>
          </cell>
          <cell r="D301">
            <v>41</v>
          </cell>
          <cell r="E301">
            <v>41</v>
          </cell>
          <cell r="F301">
            <v>25</v>
          </cell>
          <cell r="G301">
            <v>16</v>
          </cell>
          <cell r="H301">
            <v>0</v>
          </cell>
          <cell r="I301">
            <v>0</v>
          </cell>
          <cell r="J301">
            <v>0</v>
          </cell>
          <cell r="K301">
            <v>16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41</v>
          </cell>
          <cell r="T301">
            <v>0</v>
          </cell>
        </row>
        <row r="302">
          <cell r="C302" t="str">
            <v>Census Tract 305.03, King County, Washington</v>
          </cell>
          <cell r="D302">
            <v>217</v>
          </cell>
          <cell r="E302">
            <v>192</v>
          </cell>
          <cell r="F302">
            <v>72</v>
          </cell>
          <cell r="G302">
            <v>111</v>
          </cell>
          <cell r="H302">
            <v>0</v>
          </cell>
          <cell r="I302">
            <v>0</v>
          </cell>
          <cell r="J302">
            <v>14</v>
          </cell>
          <cell r="K302">
            <v>97</v>
          </cell>
          <cell r="L302">
            <v>9</v>
          </cell>
          <cell r="M302">
            <v>0</v>
          </cell>
          <cell r="N302">
            <v>9</v>
          </cell>
          <cell r="O302">
            <v>0</v>
          </cell>
          <cell r="P302">
            <v>25</v>
          </cell>
          <cell r="Q302">
            <v>7</v>
          </cell>
          <cell r="R302">
            <v>18</v>
          </cell>
          <cell r="S302">
            <v>183</v>
          </cell>
          <cell r="T302">
            <v>34</v>
          </cell>
        </row>
        <row r="303">
          <cell r="C303" t="str">
            <v>Census Tract 305.04, King County, Washington</v>
          </cell>
          <cell r="D303">
            <v>124</v>
          </cell>
          <cell r="E303">
            <v>68</v>
          </cell>
          <cell r="F303">
            <v>46</v>
          </cell>
          <cell r="G303">
            <v>22</v>
          </cell>
          <cell r="H303">
            <v>0</v>
          </cell>
          <cell r="I303">
            <v>22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56</v>
          </cell>
          <cell r="Q303">
            <v>0</v>
          </cell>
          <cell r="R303">
            <v>56</v>
          </cell>
          <cell r="S303">
            <v>68</v>
          </cell>
          <cell r="T303">
            <v>56</v>
          </cell>
        </row>
        <row r="304">
          <cell r="C304" t="str">
            <v>Census Tract 306, King County, Washington</v>
          </cell>
          <cell r="D304">
            <v>281</v>
          </cell>
          <cell r="E304">
            <v>235</v>
          </cell>
          <cell r="F304">
            <v>132</v>
          </cell>
          <cell r="G304">
            <v>82</v>
          </cell>
          <cell r="H304">
            <v>0</v>
          </cell>
          <cell r="I304">
            <v>16</v>
          </cell>
          <cell r="J304">
            <v>14</v>
          </cell>
          <cell r="K304">
            <v>52</v>
          </cell>
          <cell r="L304">
            <v>21</v>
          </cell>
          <cell r="M304">
            <v>0</v>
          </cell>
          <cell r="N304">
            <v>0</v>
          </cell>
          <cell r="O304">
            <v>21</v>
          </cell>
          <cell r="P304">
            <v>46</v>
          </cell>
          <cell r="Q304">
            <v>0</v>
          </cell>
          <cell r="R304">
            <v>46</v>
          </cell>
          <cell r="S304">
            <v>214</v>
          </cell>
          <cell r="T304">
            <v>67</v>
          </cell>
        </row>
        <row r="305">
          <cell r="C305" t="str">
            <v>Census Tract 307, King County, Washington</v>
          </cell>
          <cell r="D305">
            <v>296</v>
          </cell>
          <cell r="E305">
            <v>208</v>
          </cell>
          <cell r="F305">
            <v>149</v>
          </cell>
          <cell r="G305">
            <v>50</v>
          </cell>
          <cell r="H305">
            <v>0</v>
          </cell>
          <cell r="I305">
            <v>9</v>
          </cell>
          <cell r="J305">
            <v>25</v>
          </cell>
          <cell r="K305">
            <v>16</v>
          </cell>
          <cell r="L305">
            <v>9</v>
          </cell>
          <cell r="M305">
            <v>0</v>
          </cell>
          <cell r="N305">
            <v>0</v>
          </cell>
          <cell r="O305">
            <v>9</v>
          </cell>
          <cell r="P305">
            <v>88</v>
          </cell>
          <cell r="Q305">
            <v>9</v>
          </cell>
          <cell r="R305">
            <v>79</v>
          </cell>
          <cell r="S305">
            <v>199</v>
          </cell>
          <cell r="T305">
            <v>97</v>
          </cell>
        </row>
        <row r="306">
          <cell r="C306" t="str">
            <v>Census Tract 308.01, King County, Washington</v>
          </cell>
          <cell r="D306">
            <v>293</v>
          </cell>
          <cell r="E306">
            <v>261</v>
          </cell>
          <cell r="F306">
            <v>117</v>
          </cell>
          <cell r="G306">
            <v>144</v>
          </cell>
          <cell r="H306">
            <v>45</v>
          </cell>
          <cell r="I306">
            <v>41</v>
          </cell>
          <cell r="J306">
            <v>14</v>
          </cell>
          <cell r="K306">
            <v>44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32</v>
          </cell>
          <cell r="Q306">
            <v>6</v>
          </cell>
          <cell r="R306">
            <v>26</v>
          </cell>
          <cell r="S306">
            <v>261</v>
          </cell>
          <cell r="T306">
            <v>32</v>
          </cell>
        </row>
        <row r="307">
          <cell r="C307" t="str">
            <v>Census Tract 308.02, King County, Washington</v>
          </cell>
          <cell r="D307">
            <v>161</v>
          </cell>
          <cell r="E307">
            <v>95</v>
          </cell>
          <cell r="F307">
            <v>95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66</v>
          </cell>
          <cell r="Q307">
            <v>19</v>
          </cell>
          <cell r="R307">
            <v>47</v>
          </cell>
          <cell r="S307">
            <v>95</v>
          </cell>
          <cell r="T307">
            <v>66</v>
          </cell>
        </row>
        <row r="308">
          <cell r="C308" t="str">
            <v>Census Tract 309.01, King County, Washington</v>
          </cell>
          <cell r="D308">
            <v>120</v>
          </cell>
          <cell r="E308">
            <v>104</v>
          </cell>
          <cell r="F308">
            <v>56</v>
          </cell>
          <cell r="G308">
            <v>41</v>
          </cell>
          <cell r="H308">
            <v>12</v>
          </cell>
          <cell r="I308">
            <v>0</v>
          </cell>
          <cell r="J308">
            <v>7</v>
          </cell>
          <cell r="K308">
            <v>22</v>
          </cell>
          <cell r="L308">
            <v>7</v>
          </cell>
          <cell r="M308">
            <v>0</v>
          </cell>
          <cell r="N308">
            <v>0</v>
          </cell>
          <cell r="O308">
            <v>7</v>
          </cell>
          <cell r="P308">
            <v>16</v>
          </cell>
          <cell r="Q308">
            <v>3</v>
          </cell>
          <cell r="R308">
            <v>13</v>
          </cell>
          <cell r="S308">
            <v>97</v>
          </cell>
          <cell r="T308">
            <v>23</v>
          </cell>
        </row>
        <row r="309">
          <cell r="C309" t="str">
            <v>Census Tract 309.02, King County, Washington</v>
          </cell>
          <cell r="D309">
            <v>223</v>
          </cell>
          <cell r="E309">
            <v>209</v>
          </cell>
          <cell r="F309">
            <v>146</v>
          </cell>
          <cell r="G309">
            <v>63</v>
          </cell>
          <cell r="H309">
            <v>15</v>
          </cell>
          <cell r="I309">
            <v>4</v>
          </cell>
          <cell r="J309">
            <v>5</v>
          </cell>
          <cell r="K309">
            <v>39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14</v>
          </cell>
          <cell r="Q309">
            <v>0</v>
          </cell>
          <cell r="R309">
            <v>14</v>
          </cell>
          <cell r="S309">
            <v>209</v>
          </cell>
          <cell r="T309">
            <v>14</v>
          </cell>
        </row>
        <row r="310">
          <cell r="C310" t="str">
            <v>Census Tract 310, King County, Washington</v>
          </cell>
          <cell r="D310">
            <v>171</v>
          </cell>
          <cell r="E310">
            <v>164</v>
          </cell>
          <cell r="F310">
            <v>116</v>
          </cell>
          <cell r="G310">
            <v>38</v>
          </cell>
          <cell r="H310">
            <v>12</v>
          </cell>
          <cell r="I310">
            <v>0</v>
          </cell>
          <cell r="J310">
            <v>0</v>
          </cell>
          <cell r="K310">
            <v>26</v>
          </cell>
          <cell r="L310">
            <v>10</v>
          </cell>
          <cell r="M310">
            <v>0</v>
          </cell>
          <cell r="N310">
            <v>10</v>
          </cell>
          <cell r="O310">
            <v>0</v>
          </cell>
          <cell r="P310">
            <v>7</v>
          </cell>
          <cell r="Q310">
            <v>0</v>
          </cell>
          <cell r="R310">
            <v>7</v>
          </cell>
          <cell r="S310">
            <v>154</v>
          </cell>
          <cell r="T310">
            <v>17</v>
          </cell>
        </row>
        <row r="311">
          <cell r="C311" t="str">
            <v>Census Tract 311, King County, Washington</v>
          </cell>
          <cell r="D311">
            <v>335</v>
          </cell>
          <cell r="E311">
            <v>278</v>
          </cell>
          <cell r="F311">
            <v>166</v>
          </cell>
          <cell r="G311">
            <v>99</v>
          </cell>
          <cell r="H311">
            <v>10</v>
          </cell>
          <cell r="I311">
            <v>6</v>
          </cell>
          <cell r="J311">
            <v>5</v>
          </cell>
          <cell r="K311">
            <v>78</v>
          </cell>
          <cell r="L311">
            <v>13</v>
          </cell>
          <cell r="M311">
            <v>0</v>
          </cell>
          <cell r="N311">
            <v>0</v>
          </cell>
          <cell r="O311">
            <v>13</v>
          </cell>
          <cell r="P311">
            <v>57</v>
          </cell>
          <cell r="Q311">
            <v>10</v>
          </cell>
          <cell r="R311">
            <v>47</v>
          </cell>
          <cell r="S311">
            <v>265</v>
          </cell>
          <cell r="T311">
            <v>70</v>
          </cell>
        </row>
        <row r="312">
          <cell r="C312" t="str">
            <v>Census Tract 312.02, King County, Washington</v>
          </cell>
          <cell r="D312">
            <v>148</v>
          </cell>
          <cell r="E312">
            <v>136</v>
          </cell>
          <cell r="F312">
            <v>94</v>
          </cell>
          <cell r="G312">
            <v>22</v>
          </cell>
          <cell r="H312">
            <v>0</v>
          </cell>
          <cell r="I312">
            <v>5</v>
          </cell>
          <cell r="J312">
            <v>5</v>
          </cell>
          <cell r="K312">
            <v>12</v>
          </cell>
          <cell r="L312">
            <v>20</v>
          </cell>
          <cell r="M312">
            <v>0</v>
          </cell>
          <cell r="N312">
            <v>0</v>
          </cell>
          <cell r="O312">
            <v>20</v>
          </cell>
          <cell r="P312">
            <v>12</v>
          </cell>
          <cell r="Q312">
            <v>12</v>
          </cell>
          <cell r="R312">
            <v>0</v>
          </cell>
          <cell r="S312">
            <v>116</v>
          </cell>
          <cell r="T312">
            <v>32</v>
          </cell>
        </row>
        <row r="313">
          <cell r="C313" t="str">
            <v>Census Tract 312.04, King County, Washington</v>
          </cell>
          <cell r="D313">
            <v>242</v>
          </cell>
          <cell r="E313">
            <v>217</v>
          </cell>
          <cell r="F313">
            <v>123</v>
          </cell>
          <cell r="G313">
            <v>80</v>
          </cell>
          <cell r="H313">
            <v>15</v>
          </cell>
          <cell r="I313">
            <v>12</v>
          </cell>
          <cell r="J313">
            <v>14</v>
          </cell>
          <cell r="K313">
            <v>39</v>
          </cell>
          <cell r="L313">
            <v>14</v>
          </cell>
          <cell r="M313">
            <v>14</v>
          </cell>
          <cell r="N313">
            <v>0</v>
          </cell>
          <cell r="O313">
            <v>0</v>
          </cell>
          <cell r="P313">
            <v>25</v>
          </cell>
          <cell r="Q313">
            <v>0</v>
          </cell>
          <cell r="R313">
            <v>25</v>
          </cell>
          <cell r="S313">
            <v>203</v>
          </cell>
          <cell r="T313">
            <v>39</v>
          </cell>
        </row>
        <row r="314">
          <cell r="C314" t="str">
            <v>Census Tract 312.05, King County, Washington</v>
          </cell>
          <cell r="D314">
            <v>298</v>
          </cell>
          <cell r="E314">
            <v>170</v>
          </cell>
          <cell r="F314">
            <v>65</v>
          </cell>
          <cell r="G314">
            <v>93</v>
          </cell>
          <cell r="H314">
            <v>0</v>
          </cell>
          <cell r="I314">
            <v>0</v>
          </cell>
          <cell r="J314">
            <v>8</v>
          </cell>
          <cell r="K314">
            <v>85</v>
          </cell>
          <cell r="L314">
            <v>12</v>
          </cell>
          <cell r="M314">
            <v>0</v>
          </cell>
          <cell r="N314">
            <v>0</v>
          </cell>
          <cell r="O314">
            <v>12</v>
          </cell>
          <cell r="P314">
            <v>128</v>
          </cell>
          <cell r="Q314">
            <v>52</v>
          </cell>
          <cell r="R314">
            <v>76</v>
          </cell>
          <cell r="S314">
            <v>158</v>
          </cell>
          <cell r="T314">
            <v>140</v>
          </cell>
        </row>
        <row r="315">
          <cell r="C315" t="str">
            <v>Census Tract 312.06, King County, Washington</v>
          </cell>
          <cell r="D315">
            <v>268</v>
          </cell>
          <cell r="E315">
            <v>241</v>
          </cell>
          <cell r="F315">
            <v>189</v>
          </cell>
          <cell r="G315">
            <v>52</v>
          </cell>
          <cell r="H315">
            <v>0</v>
          </cell>
          <cell r="I315">
            <v>0</v>
          </cell>
          <cell r="J315">
            <v>5</v>
          </cell>
          <cell r="K315">
            <v>47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27</v>
          </cell>
          <cell r="Q315">
            <v>11</v>
          </cell>
          <cell r="R315">
            <v>16</v>
          </cell>
          <cell r="S315">
            <v>241</v>
          </cell>
          <cell r="T315">
            <v>27</v>
          </cell>
        </row>
        <row r="316">
          <cell r="C316" t="str">
            <v>Census Tract 313.01, King County, Washington</v>
          </cell>
          <cell r="D316">
            <v>43</v>
          </cell>
          <cell r="E316">
            <v>43</v>
          </cell>
          <cell r="F316">
            <v>28</v>
          </cell>
          <cell r="G316">
            <v>15</v>
          </cell>
          <cell r="H316">
            <v>0</v>
          </cell>
          <cell r="I316">
            <v>0</v>
          </cell>
          <cell r="J316">
            <v>0</v>
          </cell>
          <cell r="K316">
            <v>15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43</v>
          </cell>
          <cell r="T316">
            <v>0</v>
          </cell>
        </row>
        <row r="317">
          <cell r="C317" t="str">
            <v>Census Tract 313.02, King County, Washington</v>
          </cell>
          <cell r="D317">
            <v>100</v>
          </cell>
          <cell r="E317">
            <v>100</v>
          </cell>
          <cell r="F317">
            <v>83</v>
          </cell>
          <cell r="G317">
            <v>17</v>
          </cell>
          <cell r="H317">
            <v>0</v>
          </cell>
          <cell r="I317">
            <v>0</v>
          </cell>
          <cell r="J317">
            <v>0</v>
          </cell>
          <cell r="K317">
            <v>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100</v>
          </cell>
          <cell r="T317">
            <v>0</v>
          </cell>
        </row>
        <row r="318">
          <cell r="C318" t="str">
            <v>Census Tract 314, King County, Washington</v>
          </cell>
          <cell r="D318">
            <v>205</v>
          </cell>
          <cell r="E318">
            <v>199</v>
          </cell>
          <cell r="F318">
            <v>125</v>
          </cell>
          <cell r="G318">
            <v>67</v>
          </cell>
          <cell r="H318">
            <v>22</v>
          </cell>
          <cell r="I318">
            <v>11</v>
          </cell>
          <cell r="J318">
            <v>8</v>
          </cell>
          <cell r="K318">
            <v>26</v>
          </cell>
          <cell r="L318">
            <v>7</v>
          </cell>
          <cell r="M318">
            <v>0</v>
          </cell>
          <cell r="N318">
            <v>7</v>
          </cell>
          <cell r="O318">
            <v>0</v>
          </cell>
          <cell r="P318">
            <v>6</v>
          </cell>
          <cell r="Q318">
            <v>6</v>
          </cell>
          <cell r="R318">
            <v>0</v>
          </cell>
          <cell r="S318">
            <v>192</v>
          </cell>
          <cell r="T318">
            <v>13</v>
          </cell>
        </row>
        <row r="319">
          <cell r="C319" t="str">
            <v>Census Tract 315.01, King County, Washington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</row>
        <row r="320">
          <cell r="C320" t="str">
            <v>Census Tract 315.02, King County, Washington</v>
          </cell>
          <cell r="D320">
            <v>149</v>
          </cell>
          <cell r="E320">
            <v>125</v>
          </cell>
          <cell r="F320">
            <v>111</v>
          </cell>
          <cell r="G320">
            <v>14</v>
          </cell>
          <cell r="H320">
            <v>0</v>
          </cell>
          <cell r="I320">
            <v>0</v>
          </cell>
          <cell r="J320">
            <v>0</v>
          </cell>
          <cell r="K320">
            <v>14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24</v>
          </cell>
          <cell r="Q320">
            <v>7</v>
          </cell>
          <cell r="R320">
            <v>17</v>
          </cell>
          <cell r="S320">
            <v>125</v>
          </cell>
          <cell r="T320">
            <v>24</v>
          </cell>
        </row>
        <row r="321">
          <cell r="C321" t="str">
            <v>Census Tract 316.01, King County, Washington</v>
          </cell>
          <cell r="D321">
            <v>118</v>
          </cell>
          <cell r="E321">
            <v>98</v>
          </cell>
          <cell r="F321">
            <v>68</v>
          </cell>
          <cell r="G321">
            <v>30</v>
          </cell>
          <cell r="H321">
            <v>0</v>
          </cell>
          <cell r="I321">
            <v>0</v>
          </cell>
          <cell r="J321">
            <v>14</v>
          </cell>
          <cell r="K321">
            <v>16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20</v>
          </cell>
          <cell r="Q321">
            <v>6</v>
          </cell>
          <cell r="R321">
            <v>14</v>
          </cell>
          <cell r="S321">
            <v>98</v>
          </cell>
          <cell r="T321">
            <v>20</v>
          </cell>
        </row>
        <row r="322">
          <cell r="C322" t="str">
            <v>Census Tract 316.02, King County, Washington</v>
          </cell>
          <cell r="D322">
            <v>230</v>
          </cell>
          <cell r="E322">
            <v>227</v>
          </cell>
          <cell r="F322">
            <v>143</v>
          </cell>
          <cell r="G322">
            <v>84</v>
          </cell>
          <cell r="H322">
            <v>0</v>
          </cell>
          <cell r="I322">
            <v>5</v>
          </cell>
          <cell r="J322">
            <v>18</v>
          </cell>
          <cell r="K322">
            <v>61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3</v>
          </cell>
          <cell r="Q322">
            <v>0</v>
          </cell>
          <cell r="R322">
            <v>3</v>
          </cell>
          <cell r="S322">
            <v>227</v>
          </cell>
          <cell r="T322">
            <v>3</v>
          </cell>
        </row>
        <row r="323">
          <cell r="C323" t="str">
            <v>Census Tract 316.03, King County, Washington</v>
          </cell>
          <cell r="D323">
            <v>44</v>
          </cell>
          <cell r="E323">
            <v>44</v>
          </cell>
          <cell r="F323">
            <v>34</v>
          </cell>
          <cell r="G323">
            <v>10</v>
          </cell>
          <cell r="H323">
            <v>0</v>
          </cell>
          <cell r="I323">
            <v>0</v>
          </cell>
          <cell r="J323">
            <v>10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44</v>
          </cell>
          <cell r="T323">
            <v>0</v>
          </cell>
        </row>
        <row r="324">
          <cell r="C324" t="str">
            <v>Census Tract 317.02, King County, Washington</v>
          </cell>
          <cell r="D324">
            <v>268</v>
          </cell>
          <cell r="E324">
            <v>261</v>
          </cell>
          <cell r="F324">
            <v>159</v>
          </cell>
          <cell r="G324">
            <v>91</v>
          </cell>
          <cell r="H324">
            <v>31</v>
          </cell>
          <cell r="I324">
            <v>7</v>
          </cell>
          <cell r="J324">
            <v>12</v>
          </cell>
          <cell r="K324">
            <v>41</v>
          </cell>
          <cell r="L324">
            <v>11</v>
          </cell>
          <cell r="M324">
            <v>0</v>
          </cell>
          <cell r="N324">
            <v>0</v>
          </cell>
          <cell r="O324">
            <v>11</v>
          </cell>
          <cell r="P324">
            <v>7</v>
          </cell>
          <cell r="Q324">
            <v>7</v>
          </cell>
          <cell r="R324">
            <v>0</v>
          </cell>
          <cell r="S324">
            <v>250</v>
          </cell>
          <cell r="T324">
            <v>18</v>
          </cell>
        </row>
        <row r="325">
          <cell r="C325" t="str">
            <v>Census Tract 317.03, King County, Washington</v>
          </cell>
          <cell r="D325">
            <v>294</v>
          </cell>
          <cell r="E325">
            <v>268</v>
          </cell>
          <cell r="F325">
            <v>204</v>
          </cell>
          <cell r="G325">
            <v>51</v>
          </cell>
          <cell r="H325">
            <v>0</v>
          </cell>
          <cell r="I325">
            <v>0</v>
          </cell>
          <cell r="J325">
            <v>13</v>
          </cell>
          <cell r="K325">
            <v>38</v>
          </cell>
          <cell r="L325">
            <v>13</v>
          </cell>
          <cell r="M325">
            <v>0</v>
          </cell>
          <cell r="N325">
            <v>2</v>
          </cell>
          <cell r="O325">
            <v>11</v>
          </cell>
          <cell r="P325">
            <v>26</v>
          </cell>
          <cell r="Q325">
            <v>13</v>
          </cell>
          <cell r="R325">
            <v>13</v>
          </cell>
          <cell r="S325">
            <v>255</v>
          </cell>
          <cell r="T325">
            <v>39</v>
          </cell>
        </row>
        <row r="326">
          <cell r="C326" t="str">
            <v>Census Tract 317.04, King County, Washington</v>
          </cell>
          <cell r="D326">
            <v>149</v>
          </cell>
          <cell r="E326">
            <v>149</v>
          </cell>
          <cell r="F326">
            <v>123</v>
          </cell>
          <cell r="G326">
            <v>26</v>
          </cell>
          <cell r="H326">
            <v>0</v>
          </cell>
          <cell r="I326">
            <v>8</v>
          </cell>
          <cell r="J326">
            <v>0</v>
          </cell>
          <cell r="K326">
            <v>18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149</v>
          </cell>
          <cell r="T326">
            <v>0</v>
          </cell>
        </row>
        <row r="327">
          <cell r="C327" t="str">
            <v>Census Tract 318, King County, Washington</v>
          </cell>
          <cell r="D327">
            <v>99</v>
          </cell>
          <cell r="E327">
            <v>99</v>
          </cell>
          <cell r="F327">
            <v>63</v>
          </cell>
          <cell r="G327">
            <v>29</v>
          </cell>
          <cell r="H327">
            <v>0</v>
          </cell>
          <cell r="I327">
            <v>20</v>
          </cell>
          <cell r="J327">
            <v>0</v>
          </cell>
          <cell r="K327">
            <v>9</v>
          </cell>
          <cell r="L327">
            <v>7</v>
          </cell>
          <cell r="M327">
            <v>0</v>
          </cell>
          <cell r="N327">
            <v>0</v>
          </cell>
          <cell r="O327">
            <v>7</v>
          </cell>
          <cell r="P327">
            <v>0</v>
          </cell>
          <cell r="Q327">
            <v>0</v>
          </cell>
          <cell r="R327">
            <v>0</v>
          </cell>
          <cell r="S327">
            <v>92</v>
          </cell>
          <cell r="T327">
            <v>7</v>
          </cell>
        </row>
        <row r="328">
          <cell r="C328" t="str">
            <v>Census Tract 319.03, King County, Washington</v>
          </cell>
          <cell r="D328">
            <v>100</v>
          </cell>
          <cell r="E328">
            <v>95</v>
          </cell>
          <cell r="F328">
            <v>51</v>
          </cell>
          <cell r="G328">
            <v>44</v>
          </cell>
          <cell r="H328">
            <v>0</v>
          </cell>
          <cell r="I328">
            <v>20</v>
          </cell>
          <cell r="J328">
            <v>11</v>
          </cell>
          <cell r="K328">
            <v>13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5</v>
          </cell>
          <cell r="Q328">
            <v>5</v>
          </cell>
          <cell r="R328">
            <v>0</v>
          </cell>
          <cell r="S328">
            <v>95</v>
          </cell>
          <cell r="T328">
            <v>5</v>
          </cell>
        </row>
        <row r="329">
          <cell r="C329" t="str">
            <v>Census Tract 319.04, King County, Washington</v>
          </cell>
          <cell r="D329">
            <v>39</v>
          </cell>
          <cell r="E329">
            <v>39</v>
          </cell>
          <cell r="F329">
            <v>25</v>
          </cell>
          <cell r="G329">
            <v>14</v>
          </cell>
          <cell r="H329">
            <v>0</v>
          </cell>
          <cell r="I329">
            <v>0</v>
          </cell>
          <cell r="J329">
            <v>0</v>
          </cell>
          <cell r="K329">
            <v>14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39</v>
          </cell>
          <cell r="T329">
            <v>0</v>
          </cell>
        </row>
        <row r="330">
          <cell r="C330" t="str">
            <v>Census Tract 319.06, King County, Washington</v>
          </cell>
          <cell r="D330">
            <v>107</v>
          </cell>
          <cell r="E330">
            <v>107</v>
          </cell>
          <cell r="F330">
            <v>90</v>
          </cell>
          <cell r="G330">
            <v>17</v>
          </cell>
          <cell r="H330">
            <v>0</v>
          </cell>
          <cell r="I330">
            <v>17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107</v>
          </cell>
          <cell r="T330">
            <v>0</v>
          </cell>
        </row>
        <row r="331">
          <cell r="C331" t="str">
            <v>Census Tract 319.07, King County, Washington</v>
          </cell>
          <cell r="D331">
            <v>191</v>
          </cell>
          <cell r="E331">
            <v>183</v>
          </cell>
          <cell r="F331">
            <v>70</v>
          </cell>
          <cell r="G331">
            <v>105</v>
          </cell>
          <cell r="H331">
            <v>0</v>
          </cell>
          <cell r="I331">
            <v>9</v>
          </cell>
          <cell r="J331">
            <v>36</v>
          </cell>
          <cell r="K331">
            <v>60</v>
          </cell>
          <cell r="L331">
            <v>8</v>
          </cell>
          <cell r="M331">
            <v>0</v>
          </cell>
          <cell r="N331">
            <v>0</v>
          </cell>
          <cell r="O331">
            <v>8</v>
          </cell>
          <cell r="P331">
            <v>8</v>
          </cell>
          <cell r="Q331">
            <v>8</v>
          </cell>
          <cell r="R331">
            <v>0</v>
          </cell>
          <cell r="S331">
            <v>175</v>
          </cell>
          <cell r="T331">
            <v>16</v>
          </cell>
        </row>
        <row r="332">
          <cell r="C332" t="str">
            <v>Census Tract 319.08, King County, Washington</v>
          </cell>
          <cell r="D332">
            <v>376</v>
          </cell>
          <cell r="E332">
            <v>376</v>
          </cell>
          <cell r="F332">
            <v>321</v>
          </cell>
          <cell r="G332">
            <v>49</v>
          </cell>
          <cell r="H332">
            <v>0</v>
          </cell>
          <cell r="I332">
            <v>26</v>
          </cell>
          <cell r="J332">
            <v>0</v>
          </cell>
          <cell r="K332">
            <v>23</v>
          </cell>
          <cell r="L332">
            <v>6</v>
          </cell>
          <cell r="M332">
            <v>0</v>
          </cell>
          <cell r="N332">
            <v>0</v>
          </cell>
          <cell r="O332">
            <v>6</v>
          </cell>
          <cell r="P332">
            <v>0</v>
          </cell>
          <cell r="Q332">
            <v>0</v>
          </cell>
          <cell r="R332">
            <v>0</v>
          </cell>
          <cell r="S332">
            <v>370</v>
          </cell>
          <cell r="T332">
            <v>6</v>
          </cell>
        </row>
        <row r="333">
          <cell r="C333" t="str">
            <v>Census Tract 319.09, King County, Washington</v>
          </cell>
          <cell r="D333">
            <v>157</v>
          </cell>
          <cell r="E333">
            <v>127</v>
          </cell>
          <cell r="F333">
            <v>112</v>
          </cell>
          <cell r="G333">
            <v>15</v>
          </cell>
          <cell r="H333">
            <v>0</v>
          </cell>
          <cell r="I333">
            <v>0</v>
          </cell>
          <cell r="J333">
            <v>0</v>
          </cell>
          <cell r="K333">
            <v>15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30</v>
          </cell>
          <cell r="Q333">
            <v>26</v>
          </cell>
          <cell r="R333">
            <v>4</v>
          </cell>
          <cell r="S333">
            <v>127</v>
          </cell>
          <cell r="T333">
            <v>30</v>
          </cell>
        </row>
        <row r="334">
          <cell r="C334" t="str">
            <v>Census Tract 320.02, King County, Washington</v>
          </cell>
          <cell r="D334">
            <v>95</v>
          </cell>
          <cell r="E334">
            <v>76</v>
          </cell>
          <cell r="F334">
            <v>54</v>
          </cell>
          <cell r="G334">
            <v>22</v>
          </cell>
          <cell r="H334">
            <v>0</v>
          </cell>
          <cell r="I334">
            <v>0</v>
          </cell>
          <cell r="J334">
            <v>0</v>
          </cell>
          <cell r="K334">
            <v>22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19</v>
          </cell>
          <cell r="Q334">
            <v>9</v>
          </cell>
          <cell r="R334">
            <v>10</v>
          </cell>
          <cell r="S334">
            <v>76</v>
          </cell>
          <cell r="T334">
            <v>19</v>
          </cell>
        </row>
        <row r="335">
          <cell r="C335" t="str">
            <v>Census Tract 320.03, King County, Washington</v>
          </cell>
          <cell r="D335">
            <v>121</v>
          </cell>
          <cell r="E335">
            <v>112</v>
          </cell>
          <cell r="F335">
            <v>47</v>
          </cell>
          <cell r="G335">
            <v>65</v>
          </cell>
          <cell r="H335">
            <v>0</v>
          </cell>
          <cell r="I335">
            <v>8</v>
          </cell>
          <cell r="J335">
            <v>20</v>
          </cell>
          <cell r="K335">
            <v>37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9</v>
          </cell>
          <cell r="Q335">
            <v>9</v>
          </cell>
          <cell r="R335">
            <v>0</v>
          </cell>
          <cell r="S335">
            <v>112</v>
          </cell>
          <cell r="T335">
            <v>9</v>
          </cell>
        </row>
        <row r="336">
          <cell r="C336" t="str">
            <v>Census Tract 320.05, King County, Washington</v>
          </cell>
          <cell r="D336">
            <v>285</v>
          </cell>
          <cell r="E336">
            <v>285</v>
          </cell>
          <cell r="F336">
            <v>169</v>
          </cell>
          <cell r="G336">
            <v>89</v>
          </cell>
          <cell r="H336">
            <v>0</v>
          </cell>
          <cell r="I336">
            <v>10</v>
          </cell>
          <cell r="J336">
            <v>16</v>
          </cell>
          <cell r="K336">
            <v>63</v>
          </cell>
          <cell r="L336">
            <v>27</v>
          </cell>
          <cell r="M336">
            <v>0</v>
          </cell>
          <cell r="N336">
            <v>0</v>
          </cell>
          <cell r="O336">
            <v>27</v>
          </cell>
          <cell r="P336">
            <v>0</v>
          </cell>
          <cell r="Q336">
            <v>0</v>
          </cell>
          <cell r="R336">
            <v>0</v>
          </cell>
          <cell r="S336">
            <v>258</v>
          </cell>
          <cell r="T336">
            <v>27</v>
          </cell>
        </row>
        <row r="337">
          <cell r="C337" t="str">
            <v>Census Tract 320.06, King County, Washington</v>
          </cell>
          <cell r="D337">
            <v>119</v>
          </cell>
          <cell r="E337">
            <v>107</v>
          </cell>
          <cell r="F337">
            <v>72</v>
          </cell>
          <cell r="G337">
            <v>35</v>
          </cell>
          <cell r="H337">
            <v>0</v>
          </cell>
          <cell r="I337">
            <v>6</v>
          </cell>
          <cell r="J337">
            <v>6</v>
          </cell>
          <cell r="K337">
            <v>23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12</v>
          </cell>
          <cell r="Q337">
            <v>12</v>
          </cell>
          <cell r="R337">
            <v>0</v>
          </cell>
          <cell r="S337">
            <v>107</v>
          </cell>
          <cell r="T337">
            <v>12</v>
          </cell>
        </row>
        <row r="338">
          <cell r="C338" t="str">
            <v>Census Tract 320.07, King County, Washington</v>
          </cell>
          <cell r="D338">
            <v>72</v>
          </cell>
          <cell r="E338">
            <v>72</v>
          </cell>
          <cell r="F338">
            <v>45</v>
          </cell>
          <cell r="G338">
            <v>24</v>
          </cell>
          <cell r="H338">
            <v>0</v>
          </cell>
          <cell r="I338">
            <v>0</v>
          </cell>
          <cell r="J338">
            <v>0</v>
          </cell>
          <cell r="K338">
            <v>24</v>
          </cell>
          <cell r="L338">
            <v>3</v>
          </cell>
          <cell r="M338">
            <v>0</v>
          </cell>
          <cell r="N338">
            <v>0</v>
          </cell>
          <cell r="O338">
            <v>3</v>
          </cell>
          <cell r="P338">
            <v>0</v>
          </cell>
          <cell r="Q338">
            <v>0</v>
          </cell>
          <cell r="R338">
            <v>0</v>
          </cell>
          <cell r="S338">
            <v>69</v>
          </cell>
          <cell r="T338">
            <v>3</v>
          </cell>
        </row>
        <row r="339">
          <cell r="C339" t="str">
            <v>Census Tract 320.08, King County, Washington</v>
          </cell>
          <cell r="D339">
            <v>84</v>
          </cell>
          <cell r="E339">
            <v>76</v>
          </cell>
          <cell r="F339">
            <v>52</v>
          </cell>
          <cell r="G339">
            <v>16</v>
          </cell>
          <cell r="H339">
            <v>0</v>
          </cell>
          <cell r="I339">
            <v>0</v>
          </cell>
          <cell r="J339">
            <v>0</v>
          </cell>
          <cell r="K339">
            <v>16</v>
          </cell>
          <cell r="L339">
            <v>8</v>
          </cell>
          <cell r="M339">
            <v>0</v>
          </cell>
          <cell r="N339">
            <v>0</v>
          </cell>
          <cell r="O339">
            <v>8</v>
          </cell>
          <cell r="P339">
            <v>8</v>
          </cell>
          <cell r="Q339">
            <v>0</v>
          </cell>
          <cell r="R339">
            <v>8</v>
          </cell>
          <cell r="S339">
            <v>68</v>
          </cell>
          <cell r="T339">
            <v>16</v>
          </cell>
        </row>
        <row r="340">
          <cell r="C340" t="str">
            <v>Census Tract 320.09, King County, Washington</v>
          </cell>
          <cell r="D340">
            <v>140</v>
          </cell>
          <cell r="E340">
            <v>140</v>
          </cell>
          <cell r="F340">
            <v>129</v>
          </cell>
          <cell r="G340">
            <v>11</v>
          </cell>
          <cell r="H340">
            <v>0</v>
          </cell>
          <cell r="I340">
            <v>0</v>
          </cell>
          <cell r="J340">
            <v>0</v>
          </cell>
          <cell r="K340">
            <v>11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140</v>
          </cell>
          <cell r="T340">
            <v>0</v>
          </cell>
        </row>
        <row r="341">
          <cell r="C341" t="str">
            <v>Census Tract 321.02, King County, Washington</v>
          </cell>
          <cell r="D341">
            <v>130</v>
          </cell>
          <cell r="E341">
            <v>130</v>
          </cell>
          <cell r="F341">
            <v>115</v>
          </cell>
          <cell r="G341">
            <v>15</v>
          </cell>
          <cell r="H341">
            <v>0</v>
          </cell>
          <cell r="I341">
            <v>5</v>
          </cell>
          <cell r="J341">
            <v>4</v>
          </cell>
          <cell r="K341">
            <v>6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130</v>
          </cell>
          <cell r="T341">
            <v>0</v>
          </cell>
        </row>
        <row r="342">
          <cell r="C342" t="str">
            <v>Census Tract 321.03, King County, Washington</v>
          </cell>
          <cell r="D342">
            <v>119</v>
          </cell>
          <cell r="E342">
            <v>95</v>
          </cell>
          <cell r="F342">
            <v>78</v>
          </cell>
          <cell r="G342">
            <v>17</v>
          </cell>
          <cell r="H342">
            <v>0</v>
          </cell>
          <cell r="I342">
            <v>4</v>
          </cell>
          <cell r="J342">
            <v>0</v>
          </cell>
          <cell r="K342">
            <v>13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24</v>
          </cell>
          <cell r="Q342">
            <v>7</v>
          </cell>
          <cell r="R342">
            <v>17</v>
          </cell>
          <cell r="S342">
            <v>95</v>
          </cell>
          <cell r="T342">
            <v>24</v>
          </cell>
        </row>
        <row r="343">
          <cell r="C343" t="str">
            <v>Census Tract 321.04, King County, Washington</v>
          </cell>
          <cell r="D343">
            <v>160</v>
          </cell>
          <cell r="E343">
            <v>160</v>
          </cell>
          <cell r="F343">
            <v>81</v>
          </cell>
          <cell r="G343">
            <v>79</v>
          </cell>
          <cell r="H343">
            <v>6</v>
          </cell>
          <cell r="I343">
            <v>16</v>
          </cell>
          <cell r="J343">
            <v>8</v>
          </cell>
          <cell r="K343">
            <v>49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160</v>
          </cell>
          <cell r="T343">
            <v>0</v>
          </cell>
        </row>
        <row r="344">
          <cell r="C344" t="str">
            <v>Census Tract 322.03, King County, Washington</v>
          </cell>
          <cell r="D344">
            <v>137</v>
          </cell>
          <cell r="E344">
            <v>86</v>
          </cell>
          <cell r="F344">
            <v>39</v>
          </cell>
          <cell r="G344">
            <v>47</v>
          </cell>
          <cell r="H344">
            <v>14</v>
          </cell>
          <cell r="I344">
            <v>7</v>
          </cell>
          <cell r="J344">
            <v>0</v>
          </cell>
          <cell r="K344">
            <v>26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51</v>
          </cell>
          <cell r="Q344">
            <v>12</v>
          </cell>
          <cell r="R344">
            <v>39</v>
          </cell>
          <cell r="S344">
            <v>86</v>
          </cell>
          <cell r="T344">
            <v>51</v>
          </cell>
        </row>
        <row r="345">
          <cell r="C345" t="str">
            <v>Census Tract 322.07, King County, Washington</v>
          </cell>
          <cell r="D345">
            <v>28</v>
          </cell>
          <cell r="E345">
            <v>28</v>
          </cell>
          <cell r="F345">
            <v>0</v>
          </cell>
          <cell r="G345">
            <v>28</v>
          </cell>
          <cell r="H345">
            <v>9</v>
          </cell>
          <cell r="I345">
            <v>0</v>
          </cell>
          <cell r="J345">
            <v>9</v>
          </cell>
          <cell r="K345">
            <v>10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</v>
          </cell>
          <cell r="T345">
            <v>0</v>
          </cell>
        </row>
        <row r="346">
          <cell r="C346" t="str">
            <v>Census Tract 322.08, King County, Washington</v>
          </cell>
          <cell r="D346">
            <v>98</v>
          </cell>
          <cell r="E346">
            <v>91</v>
          </cell>
          <cell r="F346">
            <v>42</v>
          </cell>
          <cell r="G346">
            <v>33</v>
          </cell>
          <cell r="H346">
            <v>16</v>
          </cell>
          <cell r="I346">
            <v>6</v>
          </cell>
          <cell r="J346">
            <v>0</v>
          </cell>
          <cell r="K346">
            <v>11</v>
          </cell>
          <cell r="L346">
            <v>16</v>
          </cell>
          <cell r="M346">
            <v>0</v>
          </cell>
          <cell r="N346">
            <v>0</v>
          </cell>
          <cell r="O346">
            <v>16</v>
          </cell>
          <cell r="P346">
            <v>7</v>
          </cell>
          <cell r="Q346">
            <v>7</v>
          </cell>
          <cell r="R346">
            <v>0</v>
          </cell>
          <cell r="S346">
            <v>75</v>
          </cell>
          <cell r="T346">
            <v>23</v>
          </cell>
        </row>
        <row r="347">
          <cell r="C347" t="str">
            <v>Census Tract 322.09, King County, Washington</v>
          </cell>
          <cell r="D347">
            <v>319</v>
          </cell>
          <cell r="E347">
            <v>259</v>
          </cell>
          <cell r="F347">
            <v>149</v>
          </cell>
          <cell r="G347">
            <v>101</v>
          </cell>
          <cell r="H347">
            <v>8</v>
          </cell>
          <cell r="I347">
            <v>19</v>
          </cell>
          <cell r="J347">
            <v>0</v>
          </cell>
          <cell r="K347">
            <v>74</v>
          </cell>
          <cell r="L347">
            <v>9</v>
          </cell>
          <cell r="M347">
            <v>0</v>
          </cell>
          <cell r="N347">
            <v>0</v>
          </cell>
          <cell r="O347">
            <v>9</v>
          </cell>
          <cell r="P347">
            <v>60</v>
          </cell>
          <cell r="Q347">
            <v>27</v>
          </cell>
          <cell r="R347">
            <v>33</v>
          </cell>
          <cell r="S347">
            <v>250</v>
          </cell>
          <cell r="T347">
            <v>69</v>
          </cell>
        </row>
        <row r="348">
          <cell r="C348" t="str">
            <v>Census Tract 322.10, King County, Washington</v>
          </cell>
          <cell r="D348">
            <v>41</v>
          </cell>
          <cell r="E348">
            <v>41</v>
          </cell>
          <cell r="F348">
            <v>17</v>
          </cell>
          <cell r="G348">
            <v>24</v>
          </cell>
          <cell r="H348">
            <v>9</v>
          </cell>
          <cell r="I348">
            <v>0</v>
          </cell>
          <cell r="J348">
            <v>0</v>
          </cell>
          <cell r="K348">
            <v>15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41</v>
          </cell>
          <cell r="T348">
            <v>0</v>
          </cell>
        </row>
        <row r="349">
          <cell r="C349" t="str">
            <v>Census Tract 322.11, King County, Washington</v>
          </cell>
          <cell r="D349">
            <v>162</v>
          </cell>
          <cell r="E349">
            <v>162</v>
          </cell>
          <cell r="F349">
            <v>86</v>
          </cell>
          <cell r="G349">
            <v>70</v>
          </cell>
          <cell r="H349">
            <v>0</v>
          </cell>
          <cell r="I349">
            <v>0</v>
          </cell>
          <cell r="J349">
            <v>0</v>
          </cell>
          <cell r="K349">
            <v>70</v>
          </cell>
          <cell r="L349">
            <v>6</v>
          </cell>
          <cell r="M349">
            <v>0</v>
          </cell>
          <cell r="N349">
            <v>0</v>
          </cell>
          <cell r="O349">
            <v>6</v>
          </cell>
          <cell r="P349">
            <v>0</v>
          </cell>
          <cell r="Q349">
            <v>0</v>
          </cell>
          <cell r="R349">
            <v>0</v>
          </cell>
          <cell r="S349">
            <v>156</v>
          </cell>
          <cell r="T349">
            <v>6</v>
          </cell>
        </row>
        <row r="350">
          <cell r="C350" t="str">
            <v>Census Tract 322.12, King County, Washington</v>
          </cell>
          <cell r="D350">
            <v>361</v>
          </cell>
          <cell r="E350">
            <v>287</v>
          </cell>
          <cell r="F350">
            <v>108</v>
          </cell>
          <cell r="G350">
            <v>145</v>
          </cell>
          <cell r="H350">
            <v>0</v>
          </cell>
          <cell r="I350">
            <v>15</v>
          </cell>
          <cell r="J350">
            <v>57</v>
          </cell>
          <cell r="K350">
            <v>73</v>
          </cell>
          <cell r="L350">
            <v>34</v>
          </cell>
          <cell r="M350">
            <v>0</v>
          </cell>
          <cell r="N350">
            <v>0</v>
          </cell>
          <cell r="O350">
            <v>34</v>
          </cell>
          <cell r="P350">
            <v>74</v>
          </cell>
          <cell r="Q350">
            <v>17</v>
          </cell>
          <cell r="R350">
            <v>57</v>
          </cell>
          <cell r="S350">
            <v>253</v>
          </cell>
          <cell r="T350">
            <v>108</v>
          </cell>
        </row>
        <row r="351">
          <cell r="C351" t="str">
            <v>Census Tract 323.07, King County, Washington</v>
          </cell>
          <cell r="D351">
            <v>134</v>
          </cell>
          <cell r="E351">
            <v>134</v>
          </cell>
          <cell r="F351">
            <v>23</v>
          </cell>
          <cell r="G351">
            <v>95</v>
          </cell>
          <cell r="H351">
            <v>0</v>
          </cell>
          <cell r="I351">
            <v>27</v>
          </cell>
          <cell r="J351">
            <v>0</v>
          </cell>
          <cell r="K351">
            <v>68</v>
          </cell>
          <cell r="L351">
            <v>16</v>
          </cell>
          <cell r="M351">
            <v>0</v>
          </cell>
          <cell r="N351">
            <v>0</v>
          </cell>
          <cell r="O351">
            <v>16</v>
          </cell>
          <cell r="P351">
            <v>0</v>
          </cell>
          <cell r="Q351">
            <v>0</v>
          </cell>
          <cell r="R351">
            <v>0</v>
          </cell>
          <cell r="S351">
            <v>118</v>
          </cell>
          <cell r="T351">
            <v>16</v>
          </cell>
        </row>
        <row r="352">
          <cell r="C352" t="str">
            <v>Census Tract 323.09, King County, Washington</v>
          </cell>
          <cell r="D352">
            <v>198</v>
          </cell>
          <cell r="E352">
            <v>184</v>
          </cell>
          <cell r="F352">
            <v>71</v>
          </cell>
          <cell r="G352">
            <v>113</v>
          </cell>
          <cell r="H352">
            <v>0</v>
          </cell>
          <cell r="I352">
            <v>13</v>
          </cell>
          <cell r="J352">
            <v>28</v>
          </cell>
          <cell r="K352">
            <v>72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14</v>
          </cell>
          <cell r="Q352">
            <v>0</v>
          </cell>
          <cell r="R352">
            <v>14</v>
          </cell>
          <cell r="S352">
            <v>184</v>
          </cell>
          <cell r="T352">
            <v>14</v>
          </cell>
        </row>
        <row r="353">
          <cell r="C353" t="str">
            <v>Census Tract 323.11, King County, Washington</v>
          </cell>
          <cell r="D353">
            <v>120</v>
          </cell>
          <cell r="E353">
            <v>94</v>
          </cell>
          <cell r="F353">
            <v>68</v>
          </cell>
          <cell r="G353">
            <v>26</v>
          </cell>
          <cell r="H353">
            <v>6</v>
          </cell>
          <cell r="I353">
            <v>15</v>
          </cell>
          <cell r="J353">
            <v>0</v>
          </cell>
          <cell r="K353">
            <v>5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26</v>
          </cell>
          <cell r="Q353">
            <v>26</v>
          </cell>
          <cell r="R353">
            <v>0</v>
          </cell>
          <cell r="S353">
            <v>94</v>
          </cell>
          <cell r="T353">
            <v>26</v>
          </cell>
        </row>
        <row r="354">
          <cell r="C354" t="str">
            <v>Census Tract 323.12, King County, Washington</v>
          </cell>
          <cell r="D354">
            <v>154</v>
          </cell>
          <cell r="E354">
            <v>147</v>
          </cell>
          <cell r="F354">
            <v>107</v>
          </cell>
          <cell r="G354">
            <v>35</v>
          </cell>
          <cell r="H354">
            <v>0</v>
          </cell>
          <cell r="I354">
            <v>6</v>
          </cell>
          <cell r="J354">
            <v>8</v>
          </cell>
          <cell r="K354">
            <v>21</v>
          </cell>
          <cell r="L354">
            <v>5</v>
          </cell>
          <cell r="M354">
            <v>0</v>
          </cell>
          <cell r="N354">
            <v>0</v>
          </cell>
          <cell r="O354">
            <v>5</v>
          </cell>
          <cell r="P354">
            <v>7</v>
          </cell>
          <cell r="Q354">
            <v>0</v>
          </cell>
          <cell r="R354">
            <v>7</v>
          </cell>
          <cell r="S354">
            <v>142</v>
          </cell>
          <cell r="T354">
            <v>12</v>
          </cell>
        </row>
        <row r="355">
          <cell r="C355" t="str">
            <v>Census Tract 323.13, King County, Washington</v>
          </cell>
          <cell r="D355">
            <v>82</v>
          </cell>
          <cell r="E355">
            <v>72</v>
          </cell>
          <cell r="F355">
            <v>27</v>
          </cell>
          <cell r="G355">
            <v>45</v>
          </cell>
          <cell r="H355">
            <v>11</v>
          </cell>
          <cell r="I355">
            <v>0</v>
          </cell>
          <cell r="J355">
            <v>0</v>
          </cell>
          <cell r="K355">
            <v>34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10</v>
          </cell>
          <cell r="Q355">
            <v>10</v>
          </cell>
          <cell r="R355">
            <v>0</v>
          </cell>
          <cell r="S355">
            <v>72</v>
          </cell>
          <cell r="T355">
            <v>10</v>
          </cell>
        </row>
        <row r="356">
          <cell r="C356" t="str">
            <v>Census Tract 323.14, King County, Washington</v>
          </cell>
          <cell r="D356">
            <v>112</v>
          </cell>
          <cell r="E356">
            <v>102</v>
          </cell>
          <cell r="F356">
            <v>50</v>
          </cell>
          <cell r="G356">
            <v>39</v>
          </cell>
          <cell r="H356">
            <v>31</v>
          </cell>
          <cell r="I356">
            <v>0</v>
          </cell>
          <cell r="J356">
            <v>0</v>
          </cell>
          <cell r="K356">
            <v>8</v>
          </cell>
          <cell r="L356">
            <v>13</v>
          </cell>
          <cell r="M356">
            <v>0</v>
          </cell>
          <cell r="N356">
            <v>0</v>
          </cell>
          <cell r="O356">
            <v>13</v>
          </cell>
          <cell r="P356">
            <v>10</v>
          </cell>
          <cell r="Q356">
            <v>10</v>
          </cell>
          <cell r="R356">
            <v>0</v>
          </cell>
          <cell r="S356">
            <v>89</v>
          </cell>
          <cell r="T356">
            <v>23</v>
          </cell>
        </row>
        <row r="357">
          <cell r="C357" t="str">
            <v>Census Tract 323.15, King County, Washington</v>
          </cell>
          <cell r="D357">
            <v>126</v>
          </cell>
          <cell r="E357">
            <v>126</v>
          </cell>
          <cell r="F357">
            <v>95</v>
          </cell>
          <cell r="G357">
            <v>31</v>
          </cell>
          <cell r="H357">
            <v>0</v>
          </cell>
          <cell r="I357">
            <v>0</v>
          </cell>
          <cell r="J357">
            <v>7</v>
          </cell>
          <cell r="K357">
            <v>24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126</v>
          </cell>
          <cell r="T357">
            <v>0</v>
          </cell>
        </row>
        <row r="358">
          <cell r="C358" t="str">
            <v>Census Tract 323.16, King County, Washington</v>
          </cell>
          <cell r="D358">
            <v>125</v>
          </cell>
          <cell r="E358">
            <v>52</v>
          </cell>
          <cell r="F358">
            <v>38</v>
          </cell>
          <cell r="G358">
            <v>14</v>
          </cell>
          <cell r="H358">
            <v>0</v>
          </cell>
          <cell r="I358">
            <v>6</v>
          </cell>
          <cell r="J358">
            <v>0</v>
          </cell>
          <cell r="K358">
            <v>8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73</v>
          </cell>
          <cell r="Q358">
            <v>73</v>
          </cell>
          <cell r="R358">
            <v>0</v>
          </cell>
          <cell r="S358">
            <v>52</v>
          </cell>
          <cell r="T358">
            <v>73</v>
          </cell>
        </row>
        <row r="359">
          <cell r="C359" t="str">
            <v>Census Tract 323.17, King County, Washington</v>
          </cell>
          <cell r="D359">
            <v>286</v>
          </cell>
          <cell r="E359">
            <v>272</v>
          </cell>
          <cell r="F359">
            <v>85</v>
          </cell>
          <cell r="G359">
            <v>187</v>
          </cell>
          <cell r="H359">
            <v>8</v>
          </cell>
          <cell r="I359">
            <v>28</v>
          </cell>
          <cell r="J359">
            <v>8</v>
          </cell>
          <cell r="K359">
            <v>143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14</v>
          </cell>
          <cell r="Q359">
            <v>6</v>
          </cell>
          <cell r="R359">
            <v>8</v>
          </cell>
          <cell r="S359">
            <v>272</v>
          </cell>
          <cell r="T359">
            <v>14</v>
          </cell>
        </row>
        <row r="360">
          <cell r="C360" t="str">
            <v>Census Tract 323.18, King County, Washington</v>
          </cell>
          <cell r="D360">
            <v>175</v>
          </cell>
          <cell r="E360">
            <v>175</v>
          </cell>
          <cell r="F360">
            <v>138</v>
          </cell>
          <cell r="G360">
            <v>37</v>
          </cell>
          <cell r="H360">
            <v>0</v>
          </cell>
          <cell r="I360">
            <v>9</v>
          </cell>
          <cell r="J360">
            <v>0</v>
          </cell>
          <cell r="K360">
            <v>28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175</v>
          </cell>
          <cell r="T360">
            <v>0</v>
          </cell>
        </row>
        <row r="361">
          <cell r="C361" t="str">
            <v>Census Tract 323.19, King County, Washington</v>
          </cell>
          <cell r="D361">
            <v>185</v>
          </cell>
          <cell r="E361">
            <v>109</v>
          </cell>
          <cell r="F361">
            <v>63</v>
          </cell>
          <cell r="G361">
            <v>46</v>
          </cell>
          <cell r="H361">
            <v>3</v>
          </cell>
          <cell r="I361">
            <v>9</v>
          </cell>
          <cell r="J361">
            <v>7</v>
          </cell>
          <cell r="K361">
            <v>27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76</v>
          </cell>
          <cell r="Q361">
            <v>0</v>
          </cell>
          <cell r="R361">
            <v>76</v>
          </cell>
          <cell r="S361">
            <v>109</v>
          </cell>
          <cell r="T361">
            <v>76</v>
          </cell>
        </row>
        <row r="362">
          <cell r="C362" t="str">
            <v>Census Tract 323.20, King County, Washington</v>
          </cell>
          <cell r="D362">
            <v>179</v>
          </cell>
          <cell r="E362">
            <v>168</v>
          </cell>
          <cell r="F362">
            <v>82</v>
          </cell>
          <cell r="G362">
            <v>86</v>
          </cell>
          <cell r="H362">
            <v>4</v>
          </cell>
          <cell r="I362">
            <v>0</v>
          </cell>
          <cell r="J362">
            <v>18</v>
          </cell>
          <cell r="K362">
            <v>64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11</v>
          </cell>
          <cell r="Q362">
            <v>11</v>
          </cell>
          <cell r="R362">
            <v>0</v>
          </cell>
          <cell r="S362">
            <v>168</v>
          </cell>
          <cell r="T362">
            <v>11</v>
          </cell>
        </row>
        <row r="363">
          <cell r="C363" t="str">
            <v>Census Tract 323.21, King County, Washington</v>
          </cell>
          <cell r="D363">
            <v>66</v>
          </cell>
          <cell r="E363">
            <v>66</v>
          </cell>
          <cell r="F363">
            <v>42</v>
          </cell>
          <cell r="G363">
            <v>24</v>
          </cell>
          <cell r="H363">
            <v>0</v>
          </cell>
          <cell r="I363">
            <v>17</v>
          </cell>
          <cell r="J363">
            <v>0</v>
          </cell>
          <cell r="K363">
            <v>7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66</v>
          </cell>
          <cell r="T363">
            <v>0</v>
          </cell>
        </row>
        <row r="364">
          <cell r="C364" t="str">
            <v>Census Tract 323.22, King County, Washington</v>
          </cell>
          <cell r="D364">
            <v>163</v>
          </cell>
          <cell r="E364">
            <v>141</v>
          </cell>
          <cell r="F364">
            <v>91</v>
          </cell>
          <cell r="G364">
            <v>23</v>
          </cell>
          <cell r="H364">
            <v>13</v>
          </cell>
          <cell r="I364">
            <v>0</v>
          </cell>
          <cell r="J364">
            <v>4</v>
          </cell>
          <cell r="K364">
            <v>6</v>
          </cell>
          <cell r="L364">
            <v>27</v>
          </cell>
          <cell r="M364">
            <v>0</v>
          </cell>
          <cell r="N364">
            <v>0</v>
          </cell>
          <cell r="O364">
            <v>27</v>
          </cell>
          <cell r="P364">
            <v>22</v>
          </cell>
          <cell r="Q364">
            <v>14</v>
          </cell>
          <cell r="R364">
            <v>8</v>
          </cell>
          <cell r="S364">
            <v>114</v>
          </cell>
          <cell r="T364">
            <v>49</v>
          </cell>
        </row>
        <row r="365">
          <cell r="C365" t="str">
            <v>Census Tract 323.23, King County, Washington</v>
          </cell>
          <cell r="D365">
            <v>190</v>
          </cell>
          <cell r="E365">
            <v>183</v>
          </cell>
          <cell r="F365">
            <v>104</v>
          </cell>
          <cell r="G365">
            <v>79</v>
          </cell>
          <cell r="H365">
            <v>6</v>
          </cell>
          <cell r="I365">
            <v>0</v>
          </cell>
          <cell r="J365">
            <v>12</v>
          </cell>
          <cell r="K365">
            <v>61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7</v>
          </cell>
          <cell r="Q365">
            <v>4</v>
          </cell>
          <cell r="R365">
            <v>3</v>
          </cell>
          <cell r="S365">
            <v>183</v>
          </cell>
          <cell r="T365">
            <v>7</v>
          </cell>
        </row>
        <row r="366">
          <cell r="C366" t="str">
            <v>Census Tract 323.24, King County, Washington</v>
          </cell>
          <cell r="D366">
            <v>123</v>
          </cell>
          <cell r="E366">
            <v>89</v>
          </cell>
          <cell r="F366">
            <v>63</v>
          </cell>
          <cell r="G366">
            <v>26</v>
          </cell>
          <cell r="H366">
            <v>0</v>
          </cell>
          <cell r="I366">
            <v>0</v>
          </cell>
          <cell r="J366">
            <v>6</v>
          </cell>
          <cell r="K366">
            <v>20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34</v>
          </cell>
          <cell r="Q366">
            <v>0</v>
          </cell>
          <cell r="R366">
            <v>34</v>
          </cell>
          <cell r="S366">
            <v>89</v>
          </cell>
          <cell r="T366">
            <v>34</v>
          </cell>
        </row>
        <row r="367">
          <cell r="C367" t="str">
            <v>Census Tract 323.25, King County, Washington</v>
          </cell>
          <cell r="D367">
            <v>209</v>
          </cell>
          <cell r="E367">
            <v>175</v>
          </cell>
          <cell r="F367">
            <v>93</v>
          </cell>
          <cell r="G367">
            <v>82</v>
          </cell>
          <cell r="H367">
            <v>0</v>
          </cell>
          <cell r="I367">
            <v>0</v>
          </cell>
          <cell r="J367">
            <v>0</v>
          </cell>
          <cell r="K367">
            <v>82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34</v>
          </cell>
          <cell r="Q367">
            <v>9</v>
          </cell>
          <cell r="R367">
            <v>25</v>
          </cell>
          <cell r="S367">
            <v>175</v>
          </cell>
          <cell r="T367">
            <v>34</v>
          </cell>
        </row>
        <row r="368">
          <cell r="C368" t="str">
            <v>Census Tract 324.01, King County, Washington</v>
          </cell>
          <cell r="D368">
            <v>183</v>
          </cell>
          <cell r="E368">
            <v>183</v>
          </cell>
          <cell r="F368">
            <v>101</v>
          </cell>
          <cell r="G368">
            <v>54</v>
          </cell>
          <cell r="H368">
            <v>0</v>
          </cell>
          <cell r="I368">
            <v>0</v>
          </cell>
          <cell r="J368">
            <v>0</v>
          </cell>
          <cell r="K368">
            <v>54</v>
          </cell>
          <cell r="L368">
            <v>28</v>
          </cell>
          <cell r="M368">
            <v>0</v>
          </cell>
          <cell r="N368">
            <v>0</v>
          </cell>
          <cell r="O368">
            <v>28</v>
          </cell>
          <cell r="P368">
            <v>0</v>
          </cell>
          <cell r="Q368">
            <v>0</v>
          </cell>
          <cell r="R368">
            <v>0</v>
          </cell>
          <cell r="S368">
            <v>155</v>
          </cell>
          <cell r="T368">
            <v>28</v>
          </cell>
        </row>
        <row r="369">
          <cell r="C369" t="str">
            <v>Census Tract 324.02, King County, Washington</v>
          </cell>
          <cell r="D369">
            <v>48</v>
          </cell>
          <cell r="E369">
            <v>48</v>
          </cell>
          <cell r="F369">
            <v>38</v>
          </cell>
          <cell r="G369">
            <v>10</v>
          </cell>
          <cell r="H369">
            <v>0</v>
          </cell>
          <cell r="I369">
            <v>0</v>
          </cell>
          <cell r="J369">
            <v>10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48</v>
          </cell>
          <cell r="T369">
            <v>0</v>
          </cell>
        </row>
        <row r="370">
          <cell r="C370" t="str">
            <v>Census Tract 325, King County, Washington</v>
          </cell>
          <cell r="D370">
            <v>184</v>
          </cell>
          <cell r="E370">
            <v>154</v>
          </cell>
          <cell r="F370">
            <v>127</v>
          </cell>
          <cell r="G370">
            <v>22</v>
          </cell>
          <cell r="H370">
            <v>2</v>
          </cell>
          <cell r="I370">
            <v>3</v>
          </cell>
          <cell r="J370">
            <v>2</v>
          </cell>
          <cell r="K370">
            <v>15</v>
          </cell>
          <cell r="L370">
            <v>5</v>
          </cell>
          <cell r="M370">
            <v>0</v>
          </cell>
          <cell r="N370">
            <v>0</v>
          </cell>
          <cell r="O370">
            <v>5</v>
          </cell>
          <cell r="P370">
            <v>30</v>
          </cell>
          <cell r="Q370">
            <v>4</v>
          </cell>
          <cell r="R370">
            <v>26</v>
          </cell>
          <cell r="S370">
            <v>149</v>
          </cell>
          <cell r="T370">
            <v>35</v>
          </cell>
        </row>
        <row r="371">
          <cell r="C371" t="str">
            <v>Census Tract 326.01, King County, Washington</v>
          </cell>
          <cell r="D371">
            <v>66</v>
          </cell>
          <cell r="E371">
            <v>66</v>
          </cell>
          <cell r="F371">
            <v>55</v>
          </cell>
          <cell r="G371">
            <v>11</v>
          </cell>
          <cell r="H371">
            <v>6</v>
          </cell>
          <cell r="I371">
            <v>5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66</v>
          </cell>
          <cell r="T371">
            <v>0</v>
          </cell>
        </row>
        <row r="372">
          <cell r="C372" t="str">
            <v>Census Tract 326.02, King County, Washington</v>
          </cell>
          <cell r="D372">
            <v>62</v>
          </cell>
          <cell r="E372">
            <v>62</v>
          </cell>
          <cell r="F372">
            <v>51</v>
          </cell>
          <cell r="G372">
            <v>4</v>
          </cell>
          <cell r="H372">
            <v>0</v>
          </cell>
          <cell r="I372">
            <v>0</v>
          </cell>
          <cell r="J372">
            <v>0</v>
          </cell>
          <cell r="K372">
            <v>4</v>
          </cell>
          <cell r="L372">
            <v>7</v>
          </cell>
          <cell r="M372">
            <v>0</v>
          </cell>
          <cell r="N372">
            <v>0</v>
          </cell>
          <cell r="O372">
            <v>7</v>
          </cell>
          <cell r="P372">
            <v>0</v>
          </cell>
          <cell r="Q372">
            <v>0</v>
          </cell>
          <cell r="R372">
            <v>0</v>
          </cell>
          <cell r="S372">
            <v>55</v>
          </cell>
          <cell r="T372">
            <v>7</v>
          </cell>
        </row>
        <row r="373">
          <cell r="C373" t="str">
            <v>Census Tract 327.02, King County, Washington</v>
          </cell>
          <cell r="D373">
            <v>121</v>
          </cell>
          <cell r="E373">
            <v>112</v>
          </cell>
          <cell r="F373">
            <v>65</v>
          </cell>
          <cell r="G373">
            <v>47</v>
          </cell>
          <cell r="H373">
            <v>0</v>
          </cell>
          <cell r="I373">
            <v>18</v>
          </cell>
          <cell r="J373">
            <v>9</v>
          </cell>
          <cell r="K373">
            <v>20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9</v>
          </cell>
          <cell r="Q373">
            <v>9</v>
          </cell>
          <cell r="R373">
            <v>0</v>
          </cell>
          <cell r="S373">
            <v>112</v>
          </cell>
          <cell r="T373">
            <v>9</v>
          </cell>
        </row>
        <row r="374">
          <cell r="C374" t="str">
            <v>Census Tract 327.03, King County, Washington</v>
          </cell>
          <cell r="D374">
            <v>60</v>
          </cell>
          <cell r="E374">
            <v>60</v>
          </cell>
          <cell r="F374">
            <v>42</v>
          </cell>
          <cell r="G374">
            <v>18</v>
          </cell>
          <cell r="H374">
            <v>0</v>
          </cell>
          <cell r="I374">
            <v>9</v>
          </cell>
          <cell r="J374">
            <v>0</v>
          </cell>
          <cell r="K374">
            <v>9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60</v>
          </cell>
          <cell r="T374">
            <v>0</v>
          </cell>
        </row>
        <row r="375">
          <cell r="C375" t="str">
            <v>Census Tract 327.04, King County, Washington</v>
          </cell>
          <cell r="D375">
            <v>127</v>
          </cell>
          <cell r="E375">
            <v>127</v>
          </cell>
          <cell r="F375">
            <v>48</v>
          </cell>
          <cell r="G375">
            <v>60</v>
          </cell>
          <cell r="H375">
            <v>12</v>
          </cell>
          <cell r="I375">
            <v>0</v>
          </cell>
          <cell r="J375">
            <v>16</v>
          </cell>
          <cell r="K375">
            <v>32</v>
          </cell>
          <cell r="L375">
            <v>19</v>
          </cell>
          <cell r="M375">
            <v>0</v>
          </cell>
          <cell r="N375">
            <v>0</v>
          </cell>
          <cell r="O375">
            <v>19</v>
          </cell>
          <cell r="P375">
            <v>0</v>
          </cell>
          <cell r="Q375">
            <v>0</v>
          </cell>
          <cell r="R375">
            <v>0</v>
          </cell>
          <cell r="S375">
            <v>108</v>
          </cell>
          <cell r="T375">
            <v>19</v>
          </cell>
        </row>
        <row r="376">
          <cell r="C376" t="str">
            <v>Census Tract 328, King County, Washington</v>
          </cell>
          <cell r="D376">
            <v>121</v>
          </cell>
          <cell r="E376">
            <v>121</v>
          </cell>
          <cell r="F376">
            <v>76</v>
          </cell>
          <cell r="G376">
            <v>43</v>
          </cell>
          <cell r="H376">
            <v>0</v>
          </cell>
          <cell r="I376">
            <v>7</v>
          </cell>
          <cell r="J376">
            <v>17</v>
          </cell>
          <cell r="K376">
            <v>19</v>
          </cell>
          <cell r="L376">
            <v>2</v>
          </cell>
          <cell r="M376">
            <v>0</v>
          </cell>
          <cell r="N376">
            <v>0</v>
          </cell>
          <cell r="O376">
            <v>2</v>
          </cell>
          <cell r="P376">
            <v>0</v>
          </cell>
          <cell r="Q376">
            <v>0</v>
          </cell>
          <cell r="R376">
            <v>0</v>
          </cell>
          <cell r="S376">
            <v>119</v>
          </cell>
          <cell r="T376">
            <v>2</v>
          </cell>
        </row>
        <row r="377">
          <cell r="C377" t="str">
            <v>Aberdeen city, Washington</v>
          </cell>
          <cell r="D377">
            <v>592</v>
          </cell>
          <cell r="E377">
            <v>566</v>
          </cell>
          <cell r="F377">
            <v>412</v>
          </cell>
          <cell r="G377">
            <v>142</v>
          </cell>
          <cell r="H377">
            <v>0</v>
          </cell>
          <cell r="I377">
            <v>21</v>
          </cell>
          <cell r="J377">
            <v>20</v>
          </cell>
          <cell r="K377">
            <v>101</v>
          </cell>
          <cell r="L377">
            <v>12</v>
          </cell>
          <cell r="M377">
            <v>12</v>
          </cell>
          <cell r="N377">
            <v>0</v>
          </cell>
          <cell r="O377">
            <v>0</v>
          </cell>
          <cell r="P377">
            <v>26</v>
          </cell>
          <cell r="Q377">
            <v>7</v>
          </cell>
          <cell r="R377">
            <v>19</v>
          </cell>
          <cell r="S377">
            <v>554</v>
          </cell>
          <cell r="T377">
            <v>38</v>
          </cell>
        </row>
        <row r="378">
          <cell r="C378" t="str">
            <v>Aberdeen Gardens CDP, Washington</v>
          </cell>
          <cell r="D378">
            <v>4</v>
          </cell>
          <cell r="E378">
            <v>4</v>
          </cell>
          <cell r="F378">
            <v>4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4</v>
          </cell>
          <cell r="T378">
            <v>0</v>
          </cell>
        </row>
        <row r="379">
          <cell r="C379" t="str">
            <v>Acme CDP, Washington</v>
          </cell>
          <cell r="D379">
            <v>3</v>
          </cell>
          <cell r="E379">
            <v>3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3</v>
          </cell>
          <cell r="M379">
            <v>0</v>
          </cell>
          <cell r="N379">
            <v>0</v>
          </cell>
          <cell r="O379">
            <v>3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3</v>
          </cell>
        </row>
        <row r="380">
          <cell r="C380" t="str">
            <v>Ahtanum CDP, Washington</v>
          </cell>
          <cell r="D380">
            <v>58</v>
          </cell>
          <cell r="E380">
            <v>58</v>
          </cell>
          <cell r="F380">
            <v>47</v>
          </cell>
          <cell r="G380">
            <v>11</v>
          </cell>
          <cell r="H380">
            <v>0</v>
          </cell>
          <cell r="I380">
            <v>0</v>
          </cell>
          <cell r="J380">
            <v>11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58</v>
          </cell>
          <cell r="T380">
            <v>0</v>
          </cell>
        </row>
        <row r="381">
          <cell r="C381" t="str">
            <v>Airway Heights city, Washington</v>
          </cell>
          <cell r="D381">
            <v>160</v>
          </cell>
          <cell r="E381">
            <v>155</v>
          </cell>
          <cell r="F381">
            <v>81</v>
          </cell>
          <cell r="G381">
            <v>69</v>
          </cell>
          <cell r="H381">
            <v>3</v>
          </cell>
          <cell r="I381">
            <v>6</v>
          </cell>
          <cell r="J381">
            <v>3</v>
          </cell>
          <cell r="K381">
            <v>57</v>
          </cell>
          <cell r="L381">
            <v>5</v>
          </cell>
          <cell r="M381">
            <v>0</v>
          </cell>
          <cell r="N381">
            <v>0</v>
          </cell>
          <cell r="O381">
            <v>5</v>
          </cell>
          <cell r="P381">
            <v>5</v>
          </cell>
          <cell r="Q381">
            <v>0</v>
          </cell>
          <cell r="R381">
            <v>5</v>
          </cell>
          <cell r="S381">
            <v>150</v>
          </cell>
          <cell r="T381">
            <v>10</v>
          </cell>
        </row>
        <row r="382">
          <cell r="C382" t="str">
            <v>Albion town, Washington</v>
          </cell>
          <cell r="D382">
            <v>17</v>
          </cell>
          <cell r="E382">
            <v>17</v>
          </cell>
          <cell r="F382">
            <v>3</v>
          </cell>
          <cell r="G382">
            <v>14</v>
          </cell>
          <cell r="H382">
            <v>0</v>
          </cell>
          <cell r="I382">
            <v>0</v>
          </cell>
          <cell r="J382">
            <v>1</v>
          </cell>
          <cell r="K382">
            <v>13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17</v>
          </cell>
          <cell r="T382">
            <v>0</v>
          </cell>
        </row>
        <row r="383">
          <cell r="C383" t="str">
            <v>Alderwood Manor CDP, Washington</v>
          </cell>
          <cell r="D383">
            <v>739</v>
          </cell>
          <cell r="E383">
            <v>676</v>
          </cell>
          <cell r="F383">
            <v>447</v>
          </cell>
          <cell r="G383">
            <v>212</v>
          </cell>
          <cell r="H383">
            <v>40</v>
          </cell>
          <cell r="I383">
            <v>9</v>
          </cell>
          <cell r="J383">
            <v>40</v>
          </cell>
          <cell r="K383">
            <v>123</v>
          </cell>
          <cell r="L383">
            <v>17</v>
          </cell>
          <cell r="M383">
            <v>0</v>
          </cell>
          <cell r="N383">
            <v>0</v>
          </cell>
          <cell r="O383">
            <v>17</v>
          </cell>
          <cell r="P383">
            <v>63</v>
          </cell>
          <cell r="Q383">
            <v>48</v>
          </cell>
          <cell r="R383">
            <v>15</v>
          </cell>
          <cell r="S383">
            <v>659</v>
          </cell>
          <cell r="T383">
            <v>80</v>
          </cell>
        </row>
        <row r="384">
          <cell r="C384" t="str">
            <v>Alger CDP, Washington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</row>
        <row r="385">
          <cell r="C385" t="str">
            <v>Algona city, Washington</v>
          </cell>
          <cell r="D385">
            <v>96</v>
          </cell>
          <cell r="E385">
            <v>80</v>
          </cell>
          <cell r="F385">
            <v>45</v>
          </cell>
          <cell r="G385">
            <v>28</v>
          </cell>
          <cell r="H385">
            <v>3</v>
          </cell>
          <cell r="I385">
            <v>0</v>
          </cell>
          <cell r="J385">
            <v>7</v>
          </cell>
          <cell r="K385">
            <v>18</v>
          </cell>
          <cell r="L385">
            <v>7</v>
          </cell>
          <cell r="M385">
            <v>0</v>
          </cell>
          <cell r="N385">
            <v>0</v>
          </cell>
          <cell r="O385">
            <v>7</v>
          </cell>
          <cell r="P385">
            <v>16</v>
          </cell>
          <cell r="Q385">
            <v>3</v>
          </cell>
          <cell r="R385">
            <v>13</v>
          </cell>
          <cell r="S385">
            <v>73</v>
          </cell>
          <cell r="T385">
            <v>23</v>
          </cell>
        </row>
        <row r="386">
          <cell r="C386" t="str">
            <v>Allyn-Grapeview CDP, Washington</v>
          </cell>
          <cell r="D386">
            <v>40</v>
          </cell>
          <cell r="E386">
            <v>40</v>
          </cell>
          <cell r="F386">
            <v>18</v>
          </cell>
          <cell r="G386">
            <v>22</v>
          </cell>
          <cell r="H386">
            <v>0</v>
          </cell>
          <cell r="I386">
            <v>1</v>
          </cell>
          <cell r="J386">
            <v>6</v>
          </cell>
          <cell r="K386">
            <v>15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40</v>
          </cell>
          <cell r="T386">
            <v>0</v>
          </cell>
        </row>
        <row r="387">
          <cell r="C387" t="str">
            <v>Almira town, Washington</v>
          </cell>
          <cell r="D387">
            <v>4</v>
          </cell>
          <cell r="E387">
            <v>4</v>
          </cell>
          <cell r="F387">
            <v>0</v>
          </cell>
          <cell r="G387">
            <v>4</v>
          </cell>
          <cell r="H387">
            <v>0</v>
          </cell>
          <cell r="I387">
            <v>0</v>
          </cell>
          <cell r="J387">
            <v>0</v>
          </cell>
          <cell r="K387">
            <v>4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4</v>
          </cell>
          <cell r="T387">
            <v>0</v>
          </cell>
        </row>
        <row r="388">
          <cell r="C388" t="str">
            <v>Amboy CDP, Washington</v>
          </cell>
          <cell r="D388">
            <v>38</v>
          </cell>
          <cell r="E388">
            <v>38</v>
          </cell>
          <cell r="F388">
            <v>14</v>
          </cell>
          <cell r="G388">
            <v>24</v>
          </cell>
          <cell r="H388">
            <v>0</v>
          </cell>
          <cell r="I388">
            <v>0</v>
          </cell>
          <cell r="J388">
            <v>15</v>
          </cell>
          <cell r="K388">
            <v>9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38</v>
          </cell>
          <cell r="T388">
            <v>0</v>
          </cell>
        </row>
        <row r="389">
          <cell r="C389" t="str">
            <v>Ames Lake CDP, Washington</v>
          </cell>
          <cell r="D389">
            <v>29</v>
          </cell>
          <cell r="E389">
            <v>29</v>
          </cell>
          <cell r="F389">
            <v>21</v>
          </cell>
          <cell r="G389">
            <v>8</v>
          </cell>
          <cell r="H389">
            <v>0</v>
          </cell>
          <cell r="I389">
            <v>0</v>
          </cell>
          <cell r="J389">
            <v>0</v>
          </cell>
          <cell r="K389">
            <v>8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29</v>
          </cell>
          <cell r="T389">
            <v>0</v>
          </cell>
        </row>
        <row r="390">
          <cell r="C390" t="str">
            <v>Anacortes city, Washington</v>
          </cell>
          <cell r="D390">
            <v>380</v>
          </cell>
          <cell r="E390">
            <v>369</v>
          </cell>
          <cell r="F390">
            <v>219</v>
          </cell>
          <cell r="G390">
            <v>133</v>
          </cell>
          <cell r="H390">
            <v>0</v>
          </cell>
          <cell r="I390">
            <v>24</v>
          </cell>
          <cell r="J390">
            <v>12</v>
          </cell>
          <cell r="K390">
            <v>97</v>
          </cell>
          <cell r="L390">
            <v>17</v>
          </cell>
          <cell r="M390">
            <v>0</v>
          </cell>
          <cell r="N390">
            <v>0</v>
          </cell>
          <cell r="O390">
            <v>17</v>
          </cell>
          <cell r="P390">
            <v>11</v>
          </cell>
          <cell r="Q390">
            <v>11</v>
          </cell>
          <cell r="R390">
            <v>0</v>
          </cell>
          <cell r="S390">
            <v>352</v>
          </cell>
          <cell r="T390">
            <v>28</v>
          </cell>
        </row>
        <row r="391">
          <cell r="C391" t="str">
            <v>Arlington city, Washington</v>
          </cell>
          <cell r="D391">
            <v>377</v>
          </cell>
          <cell r="E391">
            <v>327</v>
          </cell>
          <cell r="F391">
            <v>182</v>
          </cell>
          <cell r="G391">
            <v>145</v>
          </cell>
          <cell r="H391">
            <v>0</v>
          </cell>
          <cell r="I391">
            <v>13</v>
          </cell>
          <cell r="J391">
            <v>37</v>
          </cell>
          <cell r="K391">
            <v>95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50</v>
          </cell>
          <cell r="Q391">
            <v>50</v>
          </cell>
          <cell r="R391">
            <v>0</v>
          </cell>
          <cell r="S391">
            <v>327</v>
          </cell>
          <cell r="T391">
            <v>50</v>
          </cell>
        </row>
        <row r="392">
          <cell r="C392" t="str">
            <v>Arlington Heights CDP, Washington</v>
          </cell>
          <cell r="D392">
            <v>12</v>
          </cell>
          <cell r="E392">
            <v>12</v>
          </cell>
          <cell r="F392">
            <v>0</v>
          </cell>
          <cell r="G392">
            <v>12</v>
          </cell>
          <cell r="H392">
            <v>0</v>
          </cell>
          <cell r="I392">
            <v>0</v>
          </cell>
          <cell r="J392">
            <v>12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12</v>
          </cell>
          <cell r="T392">
            <v>0</v>
          </cell>
        </row>
        <row r="393">
          <cell r="C393" t="str">
            <v>Artondale CDP, Washington</v>
          </cell>
          <cell r="D393">
            <v>249</v>
          </cell>
          <cell r="E393">
            <v>241</v>
          </cell>
          <cell r="F393">
            <v>145</v>
          </cell>
          <cell r="G393">
            <v>77</v>
          </cell>
          <cell r="H393">
            <v>0</v>
          </cell>
          <cell r="I393">
            <v>6</v>
          </cell>
          <cell r="J393">
            <v>5</v>
          </cell>
          <cell r="K393">
            <v>66</v>
          </cell>
          <cell r="L393">
            <v>19</v>
          </cell>
          <cell r="M393">
            <v>10</v>
          </cell>
          <cell r="N393">
            <v>0</v>
          </cell>
          <cell r="O393">
            <v>9</v>
          </cell>
          <cell r="P393">
            <v>8</v>
          </cell>
          <cell r="Q393">
            <v>0</v>
          </cell>
          <cell r="R393">
            <v>8</v>
          </cell>
          <cell r="S393">
            <v>222</v>
          </cell>
          <cell r="T393">
            <v>27</v>
          </cell>
        </row>
        <row r="394">
          <cell r="C394" t="str">
            <v>Ashford CDP, Washington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</row>
        <row r="395">
          <cell r="C395" t="str">
            <v>Asotin city, Washington</v>
          </cell>
          <cell r="D395">
            <v>13</v>
          </cell>
          <cell r="E395">
            <v>13</v>
          </cell>
          <cell r="F395">
            <v>2</v>
          </cell>
          <cell r="G395">
            <v>11</v>
          </cell>
          <cell r="H395">
            <v>0</v>
          </cell>
          <cell r="I395">
            <v>0</v>
          </cell>
          <cell r="J395">
            <v>0</v>
          </cell>
          <cell r="K395">
            <v>11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13</v>
          </cell>
          <cell r="T395">
            <v>0</v>
          </cell>
        </row>
        <row r="396">
          <cell r="C396" t="str">
            <v>Auburn city, Washington</v>
          </cell>
          <cell r="D396">
            <v>2008</v>
          </cell>
          <cell r="E396">
            <v>1631</v>
          </cell>
          <cell r="F396">
            <v>984</v>
          </cell>
          <cell r="G396">
            <v>567</v>
          </cell>
          <cell r="H396">
            <v>67</v>
          </cell>
          <cell r="I396">
            <v>94</v>
          </cell>
          <cell r="J396">
            <v>77</v>
          </cell>
          <cell r="K396">
            <v>329</v>
          </cell>
          <cell r="L396">
            <v>80</v>
          </cell>
          <cell r="M396">
            <v>0</v>
          </cell>
          <cell r="N396">
            <v>19</v>
          </cell>
          <cell r="O396">
            <v>61</v>
          </cell>
          <cell r="P396">
            <v>377</v>
          </cell>
          <cell r="Q396">
            <v>51</v>
          </cell>
          <cell r="R396">
            <v>326</v>
          </cell>
          <cell r="S396">
            <v>1551</v>
          </cell>
          <cell r="T396">
            <v>457</v>
          </cell>
        </row>
        <row r="397">
          <cell r="C397" t="str">
            <v>Ault Field CDP, Washington</v>
          </cell>
          <cell r="D397">
            <v>48</v>
          </cell>
          <cell r="E397">
            <v>34</v>
          </cell>
          <cell r="F397">
            <v>10</v>
          </cell>
          <cell r="G397">
            <v>13</v>
          </cell>
          <cell r="H397">
            <v>0</v>
          </cell>
          <cell r="I397">
            <v>0</v>
          </cell>
          <cell r="J397">
            <v>8</v>
          </cell>
          <cell r="K397">
            <v>5</v>
          </cell>
          <cell r="L397">
            <v>11</v>
          </cell>
          <cell r="M397">
            <v>0</v>
          </cell>
          <cell r="N397">
            <v>0</v>
          </cell>
          <cell r="O397">
            <v>11</v>
          </cell>
          <cell r="P397">
            <v>14</v>
          </cell>
          <cell r="Q397">
            <v>0</v>
          </cell>
          <cell r="R397">
            <v>14</v>
          </cell>
          <cell r="S397">
            <v>23</v>
          </cell>
          <cell r="T397">
            <v>25</v>
          </cell>
        </row>
        <row r="398">
          <cell r="C398" t="str">
            <v>Bainbridge Island city, Washington</v>
          </cell>
          <cell r="D398">
            <v>631</v>
          </cell>
          <cell r="E398">
            <v>623</v>
          </cell>
          <cell r="F398">
            <v>275</v>
          </cell>
          <cell r="G398">
            <v>300</v>
          </cell>
          <cell r="H398">
            <v>22</v>
          </cell>
          <cell r="I398">
            <v>36</v>
          </cell>
          <cell r="J398">
            <v>38</v>
          </cell>
          <cell r="K398">
            <v>204</v>
          </cell>
          <cell r="L398">
            <v>48</v>
          </cell>
          <cell r="M398">
            <v>0</v>
          </cell>
          <cell r="N398">
            <v>0</v>
          </cell>
          <cell r="O398">
            <v>48</v>
          </cell>
          <cell r="P398">
            <v>8</v>
          </cell>
          <cell r="Q398">
            <v>8</v>
          </cell>
          <cell r="R398">
            <v>0</v>
          </cell>
          <cell r="S398">
            <v>575</v>
          </cell>
          <cell r="T398">
            <v>56</v>
          </cell>
        </row>
        <row r="399">
          <cell r="C399" t="str">
            <v>Bangor Trident Base CDP, Washington</v>
          </cell>
          <cell r="D399">
            <v>387</v>
          </cell>
          <cell r="E399">
            <v>375</v>
          </cell>
          <cell r="F399">
            <v>150</v>
          </cell>
          <cell r="G399">
            <v>193</v>
          </cell>
          <cell r="H399">
            <v>23</v>
          </cell>
          <cell r="I399">
            <v>22</v>
          </cell>
          <cell r="J399">
            <v>62</v>
          </cell>
          <cell r="K399">
            <v>86</v>
          </cell>
          <cell r="L399">
            <v>32</v>
          </cell>
          <cell r="M399">
            <v>0</v>
          </cell>
          <cell r="N399">
            <v>0</v>
          </cell>
          <cell r="O399">
            <v>32</v>
          </cell>
          <cell r="P399">
            <v>12</v>
          </cell>
          <cell r="Q399">
            <v>12</v>
          </cell>
          <cell r="R399">
            <v>0</v>
          </cell>
          <cell r="S399">
            <v>343</v>
          </cell>
          <cell r="T399">
            <v>44</v>
          </cell>
        </row>
        <row r="400">
          <cell r="C400" t="str">
            <v>Banks Lake South CDP, Washington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C401" t="str">
            <v>Barberton CDP, Washington</v>
          </cell>
          <cell r="D401">
            <v>25</v>
          </cell>
          <cell r="E401">
            <v>25</v>
          </cell>
          <cell r="F401">
            <v>0</v>
          </cell>
          <cell r="G401">
            <v>25</v>
          </cell>
          <cell r="H401">
            <v>0</v>
          </cell>
          <cell r="I401">
            <v>0</v>
          </cell>
          <cell r="J401">
            <v>6</v>
          </cell>
          <cell r="K401">
            <v>19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25</v>
          </cell>
          <cell r="T401">
            <v>0</v>
          </cell>
        </row>
        <row r="402">
          <cell r="C402" t="str">
            <v>Baring CDP, Washington</v>
          </cell>
          <cell r="D402">
            <v>11</v>
          </cell>
          <cell r="E402">
            <v>11</v>
          </cell>
          <cell r="F402">
            <v>2</v>
          </cell>
          <cell r="G402">
            <v>7</v>
          </cell>
          <cell r="H402">
            <v>0</v>
          </cell>
          <cell r="I402">
            <v>2</v>
          </cell>
          <cell r="J402">
            <v>3</v>
          </cell>
          <cell r="K402">
            <v>2</v>
          </cell>
          <cell r="L402">
            <v>2</v>
          </cell>
          <cell r="M402">
            <v>0</v>
          </cell>
          <cell r="N402">
            <v>0</v>
          </cell>
          <cell r="O402">
            <v>2</v>
          </cell>
          <cell r="P402">
            <v>0</v>
          </cell>
          <cell r="Q402">
            <v>0</v>
          </cell>
          <cell r="R402">
            <v>0</v>
          </cell>
          <cell r="S402">
            <v>9</v>
          </cell>
          <cell r="T402">
            <v>2</v>
          </cell>
        </row>
        <row r="403">
          <cell r="C403" t="str">
            <v>Basin City CDP, Washington</v>
          </cell>
          <cell r="D403">
            <v>148</v>
          </cell>
          <cell r="E403">
            <v>37</v>
          </cell>
          <cell r="F403">
            <v>37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111</v>
          </cell>
          <cell r="Q403">
            <v>5</v>
          </cell>
          <cell r="R403">
            <v>106</v>
          </cell>
          <cell r="S403">
            <v>37</v>
          </cell>
          <cell r="T403">
            <v>111</v>
          </cell>
        </row>
        <row r="404">
          <cell r="C404" t="str">
            <v>Battle Ground city, Washington</v>
          </cell>
          <cell r="D404">
            <v>255</v>
          </cell>
          <cell r="E404">
            <v>202</v>
          </cell>
          <cell r="F404">
            <v>66</v>
          </cell>
          <cell r="G404">
            <v>136</v>
          </cell>
          <cell r="H404">
            <v>0</v>
          </cell>
          <cell r="I404">
            <v>0</v>
          </cell>
          <cell r="J404">
            <v>9</v>
          </cell>
          <cell r="K404">
            <v>127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53</v>
          </cell>
          <cell r="Q404">
            <v>0</v>
          </cell>
          <cell r="R404">
            <v>53</v>
          </cell>
          <cell r="S404">
            <v>202</v>
          </cell>
          <cell r="T404">
            <v>53</v>
          </cell>
        </row>
        <row r="405">
          <cell r="C405" t="str">
            <v>Bay Center CDP, Washington</v>
          </cell>
          <cell r="D405">
            <v>28</v>
          </cell>
          <cell r="E405">
            <v>28</v>
          </cell>
          <cell r="F405">
            <v>9</v>
          </cell>
          <cell r="G405">
            <v>19</v>
          </cell>
          <cell r="H405">
            <v>0</v>
          </cell>
          <cell r="I405">
            <v>0</v>
          </cell>
          <cell r="J405">
            <v>4</v>
          </cell>
          <cell r="K405">
            <v>15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</v>
          </cell>
          <cell r="T405">
            <v>0</v>
          </cell>
        </row>
        <row r="406">
          <cell r="C406" t="str">
            <v>Bay View CDP, Washington</v>
          </cell>
          <cell r="D406">
            <v>28</v>
          </cell>
          <cell r="E406">
            <v>28</v>
          </cell>
          <cell r="F406">
            <v>28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</v>
          </cell>
          <cell r="T406">
            <v>0</v>
          </cell>
        </row>
        <row r="407">
          <cell r="C407" t="str">
            <v>Beaux Arts Village town, Washington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</row>
        <row r="408">
          <cell r="C408" t="str">
            <v>Bellevue city, Washington</v>
          </cell>
          <cell r="D408">
            <v>3670</v>
          </cell>
          <cell r="E408">
            <v>2710</v>
          </cell>
          <cell r="F408">
            <v>1530</v>
          </cell>
          <cell r="G408">
            <v>1008</v>
          </cell>
          <cell r="H408">
            <v>79</v>
          </cell>
          <cell r="I408">
            <v>145</v>
          </cell>
          <cell r="J408">
            <v>188</v>
          </cell>
          <cell r="K408">
            <v>596</v>
          </cell>
          <cell r="L408">
            <v>172</v>
          </cell>
          <cell r="M408">
            <v>8</v>
          </cell>
          <cell r="N408">
            <v>6</v>
          </cell>
          <cell r="O408">
            <v>158</v>
          </cell>
          <cell r="P408">
            <v>960</v>
          </cell>
          <cell r="Q408">
            <v>289</v>
          </cell>
          <cell r="R408">
            <v>671</v>
          </cell>
          <cell r="S408">
            <v>2538</v>
          </cell>
          <cell r="T408">
            <v>1132</v>
          </cell>
        </row>
        <row r="409">
          <cell r="C409" t="str">
            <v>Bell Hill CDP, Washington</v>
          </cell>
          <cell r="D409">
            <v>32</v>
          </cell>
          <cell r="E409">
            <v>32</v>
          </cell>
          <cell r="F409">
            <v>11</v>
          </cell>
          <cell r="G409">
            <v>21</v>
          </cell>
          <cell r="H409">
            <v>0</v>
          </cell>
          <cell r="I409">
            <v>0</v>
          </cell>
          <cell r="J409">
            <v>0</v>
          </cell>
          <cell r="K409">
            <v>21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32</v>
          </cell>
          <cell r="T409">
            <v>0</v>
          </cell>
        </row>
        <row r="410">
          <cell r="C410" t="str">
            <v>Bellingham city, Washington</v>
          </cell>
          <cell r="D410">
            <v>2299</v>
          </cell>
          <cell r="E410">
            <v>2131</v>
          </cell>
          <cell r="F410">
            <v>1148</v>
          </cell>
          <cell r="G410">
            <v>862</v>
          </cell>
          <cell r="H410">
            <v>80</v>
          </cell>
          <cell r="I410">
            <v>181</v>
          </cell>
          <cell r="J410">
            <v>66</v>
          </cell>
          <cell r="K410">
            <v>535</v>
          </cell>
          <cell r="L410">
            <v>121</v>
          </cell>
          <cell r="M410">
            <v>0</v>
          </cell>
          <cell r="N410">
            <v>0</v>
          </cell>
          <cell r="O410">
            <v>121</v>
          </cell>
          <cell r="P410">
            <v>168</v>
          </cell>
          <cell r="Q410">
            <v>101</v>
          </cell>
          <cell r="R410">
            <v>67</v>
          </cell>
          <cell r="S410">
            <v>2010</v>
          </cell>
          <cell r="T410">
            <v>289</v>
          </cell>
        </row>
        <row r="411">
          <cell r="C411" t="str">
            <v>Benton City city, Washington</v>
          </cell>
          <cell r="D411">
            <v>85</v>
          </cell>
          <cell r="E411">
            <v>85</v>
          </cell>
          <cell r="F411">
            <v>59</v>
          </cell>
          <cell r="G411">
            <v>19</v>
          </cell>
          <cell r="H411">
            <v>0</v>
          </cell>
          <cell r="I411">
            <v>0</v>
          </cell>
          <cell r="J411">
            <v>0</v>
          </cell>
          <cell r="K411">
            <v>19</v>
          </cell>
          <cell r="L411">
            <v>7</v>
          </cell>
          <cell r="M411">
            <v>0</v>
          </cell>
          <cell r="N411">
            <v>0</v>
          </cell>
          <cell r="O411">
            <v>7</v>
          </cell>
          <cell r="P411">
            <v>0</v>
          </cell>
          <cell r="Q411">
            <v>0</v>
          </cell>
          <cell r="R411">
            <v>0</v>
          </cell>
          <cell r="S411">
            <v>78</v>
          </cell>
          <cell r="T411">
            <v>7</v>
          </cell>
        </row>
        <row r="412">
          <cell r="C412" t="str">
            <v>Bickleton CDP, Washington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C413" t="str">
            <v>Big Lake CDP, Washington</v>
          </cell>
          <cell r="D413">
            <v>41</v>
          </cell>
          <cell r="E413">
            <v>41</v>
          </cell>
          <cell r="F413">
            <v>34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7</v>
          </cell>
          <cell r="M413">
            <v>0</v>
          </cell>
          <cell r="N413">
            <v>0</v>
          </cell>
          <cell r="O413">
            <v>7</v>
          </cell>
          <cell r="P413">
            <v>0</v>
          </cell>
          <cell r="Q413">
            <v>0</v>
          </cell>
          <cell r="R413">
            <v>0</v>
          </cell>
          <cell r="S413">
            <v>34</v>
          </cell>
          <cell r="T413">
            <v>7</v>
          </cell>
        </row>
        <row r="414">
          <cell r="C414" t="str">
            <v>Bingen city, Washington</v>
          </cell>
          <cell r="D414">
            <v>25</v>
          </cell>
          <cell r="E414">
            <v>20</v>
          </cell>
          <cell r="F414">
            <v>11</v>
          </cell>
          <cell r="G414">
            <v>9</v>
          </cell>
          <cell r="H414">
            <v>0</v>
          </cell>
          <cell r="I414">
            <v>0</v>
          </cell>
          <cell r="J414">
            <v>1</v>
          </cell>
          <cell r="K414">
            <v>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5</v>
          </cell>
          <cell r="Q414">
            <v>0</v>
          </cell>
          <cell r="R414">
            <v>5</v>
          </cell>
          <cell r="S414">
            <v>20</v>
          </cell>
          <cell r="T414">
            <v>5</v>
          </cell>
        </row>
        <row r="415">
          <cell r="C415" t="str">
            <v>Birch Bay CDP, Washington</v>
          </cell>
          <cell r="D415">
            <v>94</v>
          </cell>
          <cell r="E415">
            <v>87</v>
          </cell>
          <cell r="F415">
            <v>29</v>
          </cell>
          <cell r="G415">
            <v>58</v>
          </cell>
          <cell r="H415">
            <v>44</v>
          </cell>
          <cell r="I415">
            <v>9</v>
          </cell>
          <cell r="J415">
            <v>0</v>
          </cell>
          <cell r="K415">
            <v>5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7</v>
          </cell>
          <cell r="Q415">
            <v>0</v>
          </cell>
          <cell r="R415">
            <v>7</v>
          </cell>
          <cell r="S415">
            <v>87</v>
          </cell>
          <cell r="T415">
            <v>7</v>
          </cell>
        </row>
        <row r="416">
          <cell r="C416" t="str">
            <v>Black Diamond city, Washington</v>
          </cell>
          <cell r="D416">
            <v>69</v>
          </cell>
          <cell r="E416">
            <v>66</v>
          </cell>
          <cell r="F416">
            <v>48</v>
          </cell>
          <cell r="G416">
            <v>18</v>
          </cell>
          <cell r="H416">
            <v>0</v>
          </cell>
          <cell r="I416">
            <v>0</v>
          </cell>
          <cell r="J416">
            <v>6</v>
          </cell>
          <cell r="K416">
            <v>12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3</v>
          </cell>
          <cell r="Q416">
            <v>0</v>
          </cell>
          <cell r="R416">
            <v>3</v>
          </cell>
          <cell r="S416">
            <v>66</v>
          </cell>
          <cell r="T416">
            <v>3</v>
          </cell>
        </row>
        <row r="417">
          <cell r="C417" t="str">
            <v>Blaine city, Washington</v>
          </cell>
          <cell r="D417">
            <v>185</v>
          </cell>
          <cell r="E417">
            <v>103</v>
          </cell>
          <cell r="F417">
            <v>33</v>
          </cell>
          <cell r="G417">
            <v>39</v>
          </cell>
          <cell r="H417">
            <v>0</v>
          </cell>
          <cell r="I417">
            <v>0</v>
          </cell>
          <cell r="J417">
            <v>11</v>
          </cell>
          <cell r="K417">
            <v>28</v>
          </cell>
          <cell r="L417">
            <v>31</v>
          </cell>
          <cell r="M417">
            <v>0</v>
          </cell>
          <cell r="N417">
            <v>0</v>
          </cell>
          <cell r="O417">
            <v>31</v>
          </cell>
          <cell r="P417">
            <v>82</v>
          </cell>
          <cell r="Q417">
            <v>27</v>
          </cell>
          <cell r="R417">
            <v>55</v>
          </cell>
          <cell r="S417">
            <v>72</v>
          </cell>
          <cell r="T417">
            <v>113</v>
          </cell>
        </row>
        <row r="418">
          <cell r="C418" t="str">
            <v>Blyn CDP, Washington</v>
          </cell>
          <cell r="D418">
            <v>1</v>
          </cell>
          <cell r="E418">
            <v>1</v>
          </cell>
          <cell r="F418">
            <v>1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1</v>
          </cell>
          <cell r="T418">
            <v>0</v>
          </cell>
        </row>
        <row r="419">
          <cell r="C419" t="str">
            <v>Bonney Lake city, Washington</v>
          </cell>
          <cell r="D419">
            <v>198</v>
          </cell>
          <cell r="E419">
            <v>192</v>
          </cell>
          <cell r="F419">
            <v>133</v>
          </cell>
          <cell r="G419">
            <v>59</v>
          </cell>
          <cell r="H419">
            <v>0</v>
          </cell>
          <cell r="I419">
            <v>15</v>
          </cell>
          <cell r="J419">
            <v>18</v>
          </cell>
          <cell r="K419">
            <v>26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6</v>
          </cell>
          <cell r="Q419">
            <v>6</v>
          </cell>
          <cell r="R419">
            <v>0</v>
          </cell>
          <cell r="S419">
            <v>192</v>
          </cell>
          <cell r="T419">
            <v>6</v>
          </cell>
        </row>
        <row r="420">
          <cell r="C420" t="str">
            <v>Bothell city, Washington</v>
          </cell>
          <cell r="D420">
            <v>867</v>
          </cell>
          <cell r="E420">
            <v>847</v>
          </cell>
          <cell r="F420">
            <v>447</v>
          </cell>
          <cell r="G420">
            <v>380</v>
          </cell>
          <cell r="H420">
            <v>5</v>
          </cell>
          <cell r="I420">
            <v>101</v>
          </cell>
          <cell r="J420">
            <v>28</v>
          </cell>
          <cell r="K420">
            <v>246</v>
          </cell>
          <cell r="L420">
            <v>20</v>
          </cell>
          <cell r="M420">
            <v>0</v>
          </cell>
          <cell r="N420">
            <v>0</v>
          </cell>
          <cell r="O420">
            <v>20</v>
          </cell>
          <cell r="P420">
            <v>20</v>
          </cell>
          <cell r="Q420">
            <v>6</v>
          </cell>
          <cell r="R420">
            <v>14</v>
          </cell>
          <cell r="S420">
            <v>827</v>
          </cell>
          <cell r="T420">
            <v>40</v>
          </cell>
        </row>
        <row r="421">
          <cell r="C421" t="str">
            <v>Brady CDP, Washington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</row>
        <row r="422">
          <cell r="C422" t="str">
            <v>Bremerton city, Washington</v>
          </cell>
          <cell r="D422">
            <v>3008</v>
          </cell>
          <cell r="E422">
            <v>2774</v>
          </cell>
          <cell r="F422">
            <v>1487</v>
          </cell>
          <cell r="G422">
            <v>1195</v>
          </cell>
          <cell r="H422">
            <v>86</v>
          </cell>
          <cell r="I422">
            <v>146</v>
          </cell>
          <cell r="J422">
            <v>259</v>
          </cell>
          <cell r="K422">
            <v>704</v>
          </cell>
          <cell r="L422">
            <v>92</v>
          </cell>
          <cell r="M422">
            <v>0</v>
          </cell>
          <cell r="N422">
            <v>5</v>
          </cell>
          <cell r="O422">
            <v>87</v>
          </cell>
          <cell r="P422">
            <v>234</v>
          </cell>
          <cell r="Q422">
            <v>109</v>
          </cell>
          <cell r="R422">
            <v>125</v>
          </cell>
          <cell r="S422">
            <v>2682</v>
          </cell>
          <cell r="T422">
            <v>326</v>
          </cell>
        </row>
        <row r="423">
          <cell r="C423" t="str">
            <v>Brewster city, Washington</v>
          </cell>
          <cell r="D423">
            <v>30</v>
          </cell>
          <cell r="E423">
            <v>20</v>
          </cell>
          <cell r="F423">
            <v>18</v>
          </cell>
          <cell r="G423">
            <v>2</v>
          </cell>
          <cell r="H423">
            <v>0</v>
          </cell>
          <cell r="I423">
            <v>2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10</v>
          </cell>
          <cell r="Q423">
            <v>0</v>
          </cell>
          <cell r="R423">
            <v>10</v>
          </cell>
          <cell r="S423">
            <v>20</v>
          </cell>
          <cell r="T423">
            <v>10</v>
          </cell>
        </row>
        <row r="424">
          <cell r="C424" t="str">
            <v>Bridgeport city, Washington</v>
          </cell>
          <cell r="D424">
            <v>92</v>
          </cell>
          <cell r="E424">
            <v>62</v>
          </cell>
          <cell r="F424">
            <v>49</v>
          </cell>
          <cell r="G424">
            <v>13</v>
          </cell>
          <cell r="H424">
            <v>0</v>
          </cell>
          <cell r="I424">
            <v>2</v>
          </cell>
          <cell r="J424">
            <v>5</v>
          </cell>
          <cell r="K424">
            <v>6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30</v>
          </cell>
          <cell r="Q424">
            <v>6</v>
          </cell>
          <cell r="R424">
            <v>24</v>
          </cell>
          <cell r="S424">
            <v>62</v>
          </cell>
          <cell r="T424">
            <v>30</v>
          </cell>
        </row>
        <row r="425">
          <cell r="C425" t="str">
            <v>Brier city, Washington</v>
          </cell>
          <cell r="D425">
            <v>358</v>
          </cell>
          <cell r="E425">
            <v>307</v>
          </cell>
          <cell r="F425">
            <v>185</v>
          </cell>
          <cell r="G425">
            <v>122</v>
          </cell>
          <cell r="H425">
            <v>0</v>
          </cell>
          <cell r="I425">
            <v>12</v>
          </cell>
          <cell r="J425">
            <v>0</v>
          </cell>
          <cell r="K425">
            <v>110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51</v>
          </cell>
          <cell r="Q425">
            <v>51</v>
          </cell>
          <cell r="R425">
            <v>0</v>
          </cell>
          <cell r="S425">
            <v>307</v>
          </cell>
          <cell r="T425">
            <v>51</v>
          </cell>
        </row>
        <row r="426">
          <cell r="C426" t="str">
            <v>Brinnon CDP, Washington</v>
          </cell>
          <cell r="D426">
            <v>29</v>
          </cell>
          <cell r="E426">
            <v>29</v>
          </cell>
          <cell r="F426">
            <v>10</v>
          </cell>
          <cell r="G426">
            <v>19</v>
          </cell>
          <cell r="H426">
            <v>0</v>
          </cell>
          <cell r="I426">
            <v>14</v>
          </cell>
          <cell r="J426">
            <v>0</v>
          </cell>
          <cell r="K426">
            <v>5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29</v>
          </cell>
          <cell r="T426">
            <v>0</v>
          </cell>
        </row>
        <row r="427">
          <cell r="C427" t="str">
            <v>Brush Prairie CDP, Washington</v>
          </cell>
          <cell r="D427">
            <v>43</v>
          </cell>
          <cell r="E427">
            <v>43</v>
          </cell>
          <cell r="F427">
            <v>0</v>
          </cell>
          <cell r="G427">
            <v>43</v>
          </cell>
          <cell r="H427">
            <v>7</v>
          </cell>
          <cell r="I427">
            <v>0</v>
          </cell>
          <cell r="J427">
            <v>0</v>
          </cell>
          <cell r="K427">
            <v>36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43</v>
          </cell>
          <cell r="T427">
            <v>0</v>
          </cell>
        </row>
        <row r="428">
          <cell r="C428" t="str">
            <v>Bryn Mawr-Skyway CDP, Washington</v>
          </cell>
          <cell r="D428">
            <v>635</v>
          </cell>
          <cell r="E428">
            <v>565</v>
          </cell>
          <cell r="F428">
            <v>444</v>
          </cell>
          <cell r="G428">
            <v>121</v>
          </cell>
          <cell r="H428">
            <v>9</v>
          </cell>
          <cell r="I428">
            <v>42</v>
          </cell>
          <cell r="J428">
            <v>36</v>
          </cell>
          <cell r="K428">
            <v>34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70</v>
          </cell>
          <cell r="Q428">
            <v>25</v>
          </cell>
          <cell r="R428">
            <v>45</v>
          </cell>
          <cell r="S428">
            <v>565</v>
          </cell>
          <cell r="T428">
            <v>70</v>
          </cell>
        </row>
        <row r="429">
          <cell r="C429" t="str">
            <v>Buckley city, Washington</v>
          </cell>
          <cell r="D429">
            <v>118</v>
          </cell>
          <cell r="E429">
            <v>110</v>
          </cell>
          <cell r="F429">
            <v>89</v>
          </cell>
          <cell r="G429">
            <v>14</v>
          </cell>
          <cell r="H429">
            <v>0</v>
          </cell>
          <cell r="I429">
            <v>0</v>
          </cell>
          <cell r="J429">
            <v>0</v>
          </cell>
          <cell r="K429">
            <v>14</v>
          </cell>
          <cell r="L429">
            <v>7</v>
          </cell>
          <cell r="M429">
            <v>0</v>
          </cell>
          <cell r="N429">
            <v>0</v>
          </cell>
          <cell r="O429">
            <v>7</v>
          </cell>
          <cell r="P429">
            <v>8</v>
          </cell>
          <cell r="Q429">
            <v>8</v>
          </cell>
          <cell r="R429">
            <v>0</v>
          </cell>
          <cell r="S429">
            <v>103</v>
          </cell>
          <cell r="T429">
            <v>15</v>
          </cell>
        </row>
        <row r="430">
          <cell r="C430" t="str">
            <v>Bucoda town, Washington</v>
          </cell>
          <cell r="D430">
            <v>24</v>
          </cell>
          <cell r="E430">
            <v>24</v>
          </cell>
          <cell r="F430">
            <v>14</v>
          </cell>
          <cell r="G430">
            <v>10</v>
          </cell>
          <cell r="H430">
            <v>0</v>
          </cell>
          <cell r="I430">
            <v>2</v>
          </cell>
          <cell r="J430">
            <v>0</v>
          </cell>
          <cell r="K430">
            <v>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24</v>
          </cell>
          <cell r="T430">
            <v>0</v>
          </cell>
        </row>
        <row r="431">
          <cell r="C431" t="str">
            <v>Burbank CDP, Washington</v>
          </cell>
          <cell r="D431">
            <v>104</v>
          </cell>
          <cell r="E431">
            <v>90</v>
          </cell>
          <cell r="F431">
            <v>28</v>
          </cell>
          <cell r="G431">
            <v>62</v>
          </cell>
          <cell r="H431">
            <v>0</v>
          </cell>
          <cell r="I431">
            <v>6</v>
          </cell>
          <cell r="J431">
            <v>17</v>
          </cell>
          <cell r="K431">
            <v>39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14</v>
          </cell>
          <cell r="Q431">
            <v>0</v>
          </cell>
          <cell r="R431">
            <v>14</v>
          </cell>
          <cell r="S431">
            <v>90</v>
          </cell>
          <cell r="T431">
            <v>14</v>
          </cell>
        </row>
        <row r="432">
          <cell r="C432" t="str">
            <v>Burien city, Washington</v>
          </cell>
          <cell r="D432">
            <v>1537</v>
          </cell>
          <cell r="E432">
            <v>1105</v>
          </cell>
          <cell r="F432">
            <v>748</v>
          </cell>
          <cell r="G432">
            <v>319</v>
          </cell>
          <cell r="H432">
            <v>12</v>
          </cell>
          <cell r="I432">
            <v>49</v>
          </cell>
          <cell r="J432">
            <v>41</v>
          </cell>
          <cell r="K432">
            <v>217</v>
          </cell>
          <cell r="L432">
            <v>38</v>
          </cell>
          <cell r="M432">
            <v>8</v>
          </cell>
          <cell r="N432">
            <v>3</v>
          </cell>
          <cell r="O432">
            <v>27</v>
          </cell>
          <cell r="P432">
            <v>432</v>
          </cell>
          <cell r="Q432">
            <v>66</v>
          </cell>
          <cell r="R432">
            <v>366</v>
          </cell>
          <cell r="S432">
            <v>1067</v>
          </cell>
          <cell r="T432">
            <v>470</v>
          </cell>
        </row>
        <row r="433">
          <cell r="C433" t="str">
            <v>Burlington city, Washington</v>
          </cell>
          <cell r="D433">
            <v>245</v>
          </cell>
          <cell r="E433">
            <v>205</v>
          </cell>
          <cell r="F433">
            <v>101</v>
          </cell>
          <cell r="G433">
            <v>71</v>
          </cell>
          <cell r="H433">
            <v>0</v>
          </cell>
          <cell r="I433">
            <v>13</v>
          </cell>
          <cell r="J433">
            <v>7</v>
          </cell>
          <cell r="K433">
            <v>51</v>
          </cell>
          <cell r="L433">
            <v>33</v>
          </cell>
          <cell r="M433">
            <v>0</v>
          </cell>
          <cell r="N433">
            <v>0</v>
          </cell>
          <cell r="O433">
            <v>33</v>
          </cell>
          <cell r="P433">
            <v>40</v>
          </cell>
          <cell r="Q433">
            <v>28</v>
          </cell>
          <cell r="R433">
            <v>12</v>
          </cell>
          <cell r="S433">
            <v>172</v>
          </cell>
          <cell r="T433">
            <v>73</v>
          </cell>
        </row>
        <row r="434">
          <cell r="C434" t="str">
            <v>Camano CDP, Washington</v>
          </cell>
          <cell r="D434">
            <v>187</v>
          </cell>
          <cell r="E434">
            <v>182</v>
          </cell>
          <cell r="F434">
            <v>58</v>
          </cell>
          <cell r="G434">
            <v>111</v>
          </cell>
          <cell r="H434">
            <v>15</v>
          </cell>
          <cell r="I434">
            <v>11</v>
          </cell>
          <cell r="J434">
            <v>5</v>
          </cell>
          <cell r="K434">
            <v>80</v>
          </cell>
          <cell r="L434">
            <v>13</v>
          </cell>
          <cell r="M434">
            <v>0</v>
          </cell>
          <cell r="N434">
            <v>0</v>
          </cell>
          <cell r="O434">
            <v>13</v>
          </cell>
          <cell r="P434">
            <v>5</v>
          </cell>
          <cell r="Q434">
            <v>0</v>
          </cell>
          <cell r="R434">
            <v>5</v>
          </cell>
          <cell r="S434">
            <v>169</v>
          </cell>
          <cell r="T434">
            <v>18</v>
          </cell>
        </row>
        <row r="435">
          <cell r="C435" t="str">
            <v>Camas city, Washington</v>
          </cell>
          <cell r="D435">
            <v>239</v>
          </cell>
          <cell r="E435">
            <v>239</v>
          </cell>
          <cell r="F435">
            <v>93</v>
          </cell>
          <cell r="G435">
            <v>146</v>
          </cell>
          <cell r="H435">
            <v>8</v>
          </cell>
          <cell r="I435">
            <v>13</v>
          </cell>
          <cell r="J435">
            <v>34</v>
          </cell>
          <cell r="K435">
            <v>91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239</v>
          </cell>
          <cell r="T435">
            <v>0</v>
          </cell>
        </row>
        <row r="436">
          <cell r="C436" t="str">
            <v>Carbonado town, Washington</v>
          </cell>
          <cell r="D436">
            <v>18</v>
          </cell>
          <cell r="E436">
            <v>18</v>
          </cell>
          <cell r="F436">
            <v>13</v>
          </cell>
          <cell r="G436">
            <v>5</v>
          </cell>
          <cell r="H436">
            <v>0</v>
          </cell>
          <cell r="I436">
            <v>0</v>
          </cell>
          <cell r="J436">
            <v>2</v>
          </cell>
          <cell r="K436">
            <v>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18</v>
          </cell>
          <cell r="T436">
            <v>0</v>
          </cell>
        </row>
        <row r="437">
          <cell r="C437" t="str">
            <v>Carlsborg CDP, Washington</v>
          </cell>
          <cell r="D437">
            <v>12</v>
          </cell>
          <cell r="E437">
            <v>12</v>
          </cell>
          <cell r="F437">
            <v>6</v>
          </cell>
          <cell r="G437">
            <v>6</v>
          </cell>
          <cell r="H437">
            <v>0</v>
          </cell>
          <cell r="I437">
            <v>0</v>
          </cell>
          <cell r="J437">
            <v>6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12</v>
          </cell>
          <cell r="T437">
            <v>0</v>
          </cell>
        </row>
        <row r="438">
          <cell r="C438" t="str">
            <v>Carnation city, Washington</v>
          </cell>
          <cell r="D438">
            <v>35</v>
          </cell>
          <cell r="E438">
            <v>31</v>
          </cell>
          <cell r="F438">
            <v>19</v>
          </cell>
          <cell r="G438">
            <v>12</v>
          </cell>
          <cell r="H438">
            <v>2</v>
          </cell>
          <cell r="I438">
            <v>3</v>
          </cell>
          <cell r="J438">
            <v>2</v>
          </cell>
          <cell r="K438">
            <v>5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4</v>
          </cell>
          <cell r="Q438">
            <v>4</v>
          </cell>
          <cell r="R438">
            <v>0</v>
          </cell>
          <cell r="S438">
            <v>31</v>
          </cell>
          <cell r="T438">
            <v>4</v>
          </cell>
        </row>
        <row r="439">
          <cell r="C439" t="str">
            <v>Carson River Valley CDP, Washington</v>
          </cell>
          <cell r="D439">
            <v>72</v>
          </cell>
          <cell r="E439">
            <v>68</v>
          </cell>
          <cell r="F439">
            <v>42</v>
          </cell>
          <cell r="G439">
            <v>14</v>
          </cell>
          <cell r="H439">
            <v>0</v>
          </cell>
          <cell r="I439">
            <v>0</v>
          </cell>
          <cell r="J439">
            <v>5</v>
          </cell>
          <cell r="K439">
            <v>9</v>
          </cell>
          <cell r="L439">
            <v>12</v>
          </cell>
          <cell r="M439">
            <v>0</v>
          </cell>
          <cell r="N439">
            <v>6</v>
          </cell>
          <cell r="O439">
            <v>6</v>
          </cell>
          <cell r="P439">
            <v>4</v>
          </cell>
          <cell r="Q439">
            <v>4</v>
          </cell>
          <cell r="R439">
            <v>0</v>
          </cell>
          <cell r="S439">
            <v>56</v>
          </cell>
          <cell r="T439">
            <v>16</v>
          </cell>
        </row>
        <row r="440">
          <cell r="C440" t="str">
            <v>Cascade-Fairwood CDP, Washington</v>
          </cell>
          <cell r="D440">
            <v>1705</v>
          </cell>
          <cell r="E440">
            <v>1529</v>
          </cell>
          <cell r="F440">
            <v>1029</v>
          </cell>
          <cell r="G440">
            <v>463</v>
          </cell>
          <cell r="H440">
            <v>5</v>
          </cell>
          <cell r="I440">
            <v>96</v>
          </cell>
          <cell r="J440">
            <v>70</v>
          </cell>
          <cell r="K440">
            <v>292</v>
          </cell>
          <cell r="L440">
            <v>37</v>
          </cell>
          <cell r="M440">
            <v>0</v>
          </cell>
          <cell r="N440">
            <v>0</v>
          </cell>
          <cell r="O440">
            <v>37</v>
          </cell>
          <cell r="P440">
            <v>176</v>
          </cell>
          <cell r="Q440">
            <v>68</v>
          </cell>
          <cell r="R440">
            <v>108</v>
          </cell>
          <cell r="S440">
            <v>1492</v>
          </cell>
          <cell r="T440">
            <v>213</v>
          </cell>
        </row>
        <row r="441">
          <cell r="C441" t="str">
            <v>Cascade Valley CDP, Washington</v>
          </cell>
          <cell r="D441">
            <v>123</v>
          </cell>
          <cell r="E441">
            <v>83</v>
          </cell>
          <cell r="F441">
            <v>73</v>
          </cell>
          <cell r="G441">
            <v>10</v>
          </cell>
          <cell r="H441">
            <v>0</v>
          </cell>
          <cell r="I441">
            <v>0</v>
          </cell>
          <cell r="J441">
            <v>0</v>
          </cell>
          <cell r="K441">
            <v>10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40</v>
          </cell>
          <cell r="Q441">
            <v>0</v>
          </cell>
          <cell r="R441">
            <v>40</v>
          </cell>
          <cell r="S441">
            <v>83</v>
          </cell>
          <cell r="T441">
            <v>40</v>
          </cell>
        </row>
        <row r="442">
          <cell r="C442" t="str">
            <v>Cashmere city, Washington</v>
          </cell>
          <cell r="D442">
            <v>40</v>
          </cell>
          <cell r="E442">
            <v>33</v>
          </cell>
          <cell r="F442">
            <v>23</v>
          </cell>
          <cell r="G442">
            <v>10</v>
          </cell>
          <cell r="H442">
            <v>0</v>
          </cell>
          <cell r="I442">
            <v>5</v>
          </cell>
          <cell r="J442">
            <v>0</v>
          </cell>
          <cell r="K442">
            <v>5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7</v>
          </cell>
          <cell r="Q442">
            <v>0</v>
          </cell>
          <cell r="R442">
            <v>7</v>
          </cell>
          <cell r="S442">
            <v>33</v>
          </cell>
          <cell r="T442">
            <v>7</v>
          </cell>
        </row>
        <row r="443">
          <cell r="C443" t="str">
            <v>Castle Rock city, Washington</v>
          </cell>
          <cell r="D443">
            <v>36</v>
          </cell>
          <cell r="E443">
            <v>36</v>
          </cell>
          <cell r="F443">
            <v>15</v>
          </cell>
          <cell r="G443">
            <v>21</v>
          </cell>
          <cell r="H443">
            <v>0</v>
          </cell>
          <cell r="I443">
            <v>0</v>
          </cell>
          <cell r="J443">
            <v>10</v>
          </cell>
          <cell r="K443">
            <v>11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36</v>
          </cell>
          <cell r="T443">
            <v>0</v>
          </cell>
        </row>
        <row r="444">
          <cell r="C444" t="str">
            <v>Cathan CDP, Washington</v>
          </cell>
          <cell r="D444">
            <v>26</v>
          </cell>
          <cell r="E444">
            <v>26</v>
          </cell>
          <cell r="F444">
            <v>12</v>
          </cell>
          <cell r="G444">
            <v>11</v>
          </cell>
          <cell r="H444">
            <v>0</v>
          </cell>
          <cell r="I444">
            <v>0</v>
          </cell>
          <cell r="J444">
            <v>0</v>
          </cell>
          <cell r="K444">
            <v>11</v>
          </cell>
          <cell r="L444">
            <v>3</v>
          </cell>
          <cell r="M444">
            <v>0</v>
          </cell>
          <cell r="N444">
            <v>0</v>
          </cell>
          <cell r="O444">
            <v>3</v>
          </cell>
          <cell r="P444">
            <v>0</v>
          </cell>
          <cell r="Q444">
            <v>0</v>
          </cell>
          <cell r="R444">
            <v>0</v>
          </cell>
          <cell r="S444">
            <v>23</v>
          </cell>
          <cell r="T444">
            <v>3</v>
          </cell>
        </row>
        <row r="445">
          <cell r="C445" t="str">
            <v>Cathcart CDP, Washington</v>
          </cell>
          <cell r="D445">
            <v>129</v>
          </cell>
          <cell r="E445">
            <v>129</v>
          </cell>
          <cell r="F445">
            <v>98</v>
          </cell>
          <cell r="G445">
            <v>31</v>
          </cell>
          <cell r="H445">
            <v>0</v>
          </cell>
          <cell r="I445">
            <v>5</v>
          </cell>
          <cell r="J445">
            <v>0</v>
          </cell>
          <cell r="K445">
            <v>26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129</v>
          </cell>
          <cell r="T445">
            <v>0</v>
          </cell>
        </row>
        <row r="446">
          <cell r="C446" t="str">
            <v>Cathlamet town, Washington</v>
          </cell>
          <cell r="D446">
            <v>3</v>
          </cell>
          <cell r="E446">
            <v>3</v>
          </cell>
          <cell r="F446">
            <v>0</v>
          </cell>
          <cell r="G446">
            <v>3</v>
          </cell>
          <cell r="H446">
            <v>0</v>
          </cell>
          <cell r="I446">
            <v>0</v>
          </cell>
          <cell r="J446">
            <v>0</v>
          </cell>
          <cell r="K446">
            <v>3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3</v>
          </cell>
          <cell r="T446">
            <v>0</v>
          </cell>
        </row>
        <row r="447">
          <cell r="C447" t="str">
            <v>Centerville CDP, Washington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C448" t="str">
            <v>Centralia city, Washington</v>
          </cell>
          <cell r="D448">
            <v>405</v>
          </cell>
          <cell r="E448">
            <v>348</v>
          </cell>
          <cell r="F448">
            <v>157</v>
          </cell>
          <cell r="G448">
            <v>191</v>
          </cell>
          <cell r="H448">
            <v>0</v>
          </cell>
          <cell r="I448">
            <v>34</v>
          </cell>
          <cell r="J448">
            <v>37</v>
          </cell>
          <cell r="K448">
            <v>120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57</v>
          </cell>
          <cell r="Q448">
            <v>10</v>
          </cell>
          <cell r="R448">
            <v>47</v>
          </cell>
          <cell r="S448">
            <v>348</v>
          </cell>
          <cell r="T448">
            <v>57</v>
          </cell>
        </row>
        <row r="449">
          <cell r="C449" t="str">
            <v>Central Park CDP, Washington</v>
          </cell>
          <cell r="D449">
            <v>128</v>
          </cell>
          <cell r="E449">
            <v>128</v>
          </cell>
          <cell r="F449">
            <v>100</v>
          </cell>
          <cell r="G449">
            <v>28</v>
          </cell>
          <cell r="H449">
            <v>9</v>
          </cell>
          <cell r="I449">
            <v>0</v>
          </cell>
          <cell r="J449">
            <v>14</v>
          </cell>
          <cell r="K449">
            <v>5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128</v>
          </cell>
          <cell r="T449">
            <v>0</v>
          </cell>
        </row>
        <row r="450">
          <cell r="C450" t="str">
            <v>Chehalis city, Washington</v>
          </cell>
          <cell r="D450">
            <v>244</v>
          </cell>
          <cell r="E450">
            <v>187</v>
          </cell>
          <cell r="F450">
            <v>137</v>
          </cell>
          <cell r="G450">
            <v>50</v>
          </cell>
          <cell r="H450">
            <v>0</v>
          </cell>
          <cell r="I450">
            <v>8</v>
          </cell>
          <cell r="J450">
            <v>11</v>
          </cell>
          <cell r="K450">
            <v>31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57</v>
          </cell>
          <cell r="Q450">
            <v>4</v>
          </cell>
          <cell r="R450">
            <v>53</v>
          </cell>
          <cell r="S450">
            <v>187</v>
          </cell>
          <cell r="T450">
            <v>57</v>
          </cell>
        </row>
        <row r="451">
          <cell r="C451" t="str">
            <v>Chehalis Village CDP, Washington</v>
          </cell>
          <cell r="D451">
            <v>13</v>
          </cell>
          <cell r="E451">
            <v>13</v>
          </cell>
          <cell r="F451">
            <v>7</v>
          </cell>
          <cell r="G451">
            <v>6</v>
          </cell>
          <cell r="H451">
            <v>0</v>
          </cell>
          <cell r="I451">
            <v>0</v>
          </cell>
          <cell r="J451">
            <v>0</v>
          </cell>
          <cell r="K451">
            <v>6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13</v>
          </cell>
          <cell r="T451">
            <v>0</v>
          </cell>
        </row>
        <row r="452">
          <cell r="C452" t="str">
            <v>Chelan city, Washington</v>
          </cell>
          <cell r="D452">
            <v>71</v>
          </cell>
          <cell r="E452">
            <v>71</v>
          </cell>
          <cell r="F452">
            <v>31</v>
          </cell>
          <cell r="G452">
            <v>40</v>
          </cell>
          <cell r="H452">
            <v>0</v>
          </cell>
          <cell r="I452">
            <v>18</v>
          </cell>
          <cell r="J452">
            <v>0</v>
          </cell>
          <cell r="K452">
            <v>22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71</v>
          </cell>
          <cell r="T452">
            <v>0</v>
          </cell>
        </row>
        <row r="453">
          <cell r="C453" t="str">
            <v>Cheney city, Washington</v>
          </cell>
          <cell r="D453">
            <v>356</v>
          </cell>
          <cell r="E453">
            <v>341</v>
          </cell>
          <cell r="F453">
            <v>179</v>
          </cell>
          <cell r="G453">
            <v>157</v>
          </cell>
          <cell r="H453">
            <v>0</v>
          </cell>
          <cell r="I453">
            <v>6</v>
          </cell>
          <cell r="J453">
            <v>20</v>
          </cell>
          <cell r="K453">
            <v>131</v>
          </cell>
          <cell r="L453">
            <v>5</v>
          </cell>
          <cell r="M453">
            <v>0</v>
          </cell>
          <cell r="N453">
            <v>0</v>
          </cell>
          <cell r="O453">
            <v>5</v>
          </cell>
          <cell r="P453">
            <v>15</v>
          </cell>
          <cell r="Q453">
            <v>0</v>
          </cell>
          <cell r="R453">
            <v>15</v>
          </cell>
          <cell r="S453">
            <v>336</v>
          </cell>
          <cell r="T453">
            <v>20</v>
          </cell>
        </row>
        <row r="454">
          <cell r="C454" t="str">
            <v>Cherry Grove CDP, Washington</v>
          </cell>
          <cell r="D454">
            <v>27</v>
          </cell>
          <cell r="E454">
            <v>27</v>
          </cell>
          <cell r="F454">
            <v>22</v>
          </cell>
          <cell r="G454">
            <v>5</v>
          </cell>
          <cell r="H454">
            <v>0</v>
          </cell>
          <cell r="I454">
            <v>0</v>
          </cell>
          <cell r="J454">
            <v>0</v>
          </cell>
          <cell r="K454">
            <v>5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27</v>
          </cell>
          <cell r="T454">
            <v>0</v>
          </cell>
        </row>
        <row r="455">
          <cell r="C455" t="str">
            <v>Chewelah city, Washington</v>
          </cell>
          <cell r="D455">
            <v>93</v>
          </cell>
          <cell r="E455">
            <v>93</v>
          </cell>
          <cell r="F455">
            <v>65</v>
          </cell>
          <cell r="G455">
            <v>28</v>
          </cell>
          <cell r="H455">
            <v>0</v>
          </cell>
          <cell r="I455">
            <v>6</v>
          </cell>
          <cell r="J455">
            <v>0</v>
          </cell>
          <cell r="K455">
            <v>22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93</v>
          </cell>
          <cell r="T455">
            <v>0</v>
          </cell>
        </row>
        <row r="456">
          <cell r="C456" t="str">
            <v>Chinook CDP, Washington</v>
          </cell>
          <cell r="D456">
            <v>18</v>
          </cell>
          <cell r="E456">
            <v>18</v>
          </cell>
          <cell r="F456">
            <v>0</v>
          </cell>
          <cell r="G456">
            <v>18</v>
          </cell>
          <cell r="H456">
            <v>0</v>
          </cell>
          <cell r="I456">
            <v>0</v>
          </cell>
          <cell r="J456">
            <v>9</v>
          </cell>
          <cell r="K456">
            <v>9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18</v>
          </cell>
          <cell r="T456">
            <v>0</v>
          </cell>
        </row>
        <row r="457">
          <cell r="C457" t="str">
            <v>Clarkston city, Washington</v>
          </cell>
          <cell r="D457">
            <v>190</v>
          </cell>
          <cell r="E457">
            <v>190</v>
          </cell>
          <cell r="F457">
            <v>37</v>
          </cell>
          <cell r="G457">
            <v>153</v>
          </cell>
          <cell r="H457">
            <v>0</v>
          </cell>
          <cell r="I457">
            <v>17</v>
          </cell>
          <cell r="J457">
            <v>35</v>
          </cell>
          <cell r="K457">
            <v>101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190</v>
          </cell>
          <cell r="T457">
            <v>0</v>
          </cell>
        </row>
        <row r="458">
          <cell r="C458" t="str">
            <v>Clarkston Heights-Vineland CDP, Washington</v>
          </cell>
          <cell r="D458">
            <v>120</v>
          </cell>
          <cell r="E458">
            <v>98</v>
          </cell>
          <cell r="F458">
            <v>21</v>
          </cell>
          <cell r="G458">
            <v>73</v>
          </cell>
          <cell r="H458">
            <v>0</v>
          </cell>
          <cell r="I458">
            <v>11</v>
          </cell>
          <cell r="J458">
            <v>4</v>
          </cell>
          <cell r="K458">
            <v>58</v>
          </cell>
          <cell r="L458">
            <v>4</v>
          </cell>
          <cell r="M458">
            <v>0</v>
          </cell>
          <cell r="N458">
            <v>0</v>
          </cell>
          <cell r="O458">
            <v>4</v>
          </cell>
          <cell r="P458">
            <v>22</v>
          </cell>
          <cell r="Q458">
            <v>22</v>
          </cell>
          <cell r="R458">
            <v>0</v>
          </cell>
          <cell r="S458">
            <v>94</v>
          </cell>
          <cell r="T458">
            <v>26</v>
          </cell>
        </row>
        <row r="459">
          <cell r="C459" t="str">
            <v>Clear Lake CDP, Washington</v>
          </cell>
          <cell r="D459">
            <v>36</v>
          </cell>
          <cell r="E459">
            <v>36</v>
          </cell>
          <cell r="F459">
            <v>36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36</v>
          </cell>
          <cell r="T459">
            <v>0</v>
          </cell>
        </row>
        <row r="460">
          <cell r="C460" t="str">
            <v>Cle Elum city, Washington</v>
          </cell>
          <cell r="D460">
            <v>31</v>
          </cell>
          <cell r="E460">
            <v>31</v>
          </cell>
          <cell r="F460">
            <v>18</v>
          </cell>
          <cell r="G460">
            <v>10</v>
          </cell>
          <cell r="H460">
            <v>0</v>
          </cell>
          <cell r="I460">
            <v>6</v>
          </cell>
          <cell r="J460">
            <v>0</v>
          </cell>
          <cell r="K460">
            <v>4</v>
          </cell>
          <cell r="L460">
            <v>3</v>
          </cell>
          <cell r="M460">
            <v>0</v>
          </cell>
          <cell r="N460">
            <v>0</v>
          </cell>
          <cell r="O460">
            <v>3</v>
          </cell>
          <cell r="P460">
            <v>0</v>
          </cell>
          <cell r="Q460">
            <v>0</v>
          </cell>
          <cell r="R460">
            <v>0</v>
          </cell>
          <cell r="S460">
            <v>28</v>
          </cell>
          <cell r="T460">
            <v>3</v>
          </cell>
        </row>
        <row r="461">
          <cell r="C461" t="str">
            <v>Clinton CDP, Washington</v>
          </cell>
          <cell r="D461">
            <v>25</v>
          </cell>
          <cell r="E461">
            <v>25</v>
          </cell>
          <cell r="F461">
            <v>18</v>
          </cell>
          <cell r="G461">
            <v>7</v>
          </cell>
          <cell r="H461">
            <v>0</v>
          </cell>
          <cell r="I461">
            <v>0</v>
          </cell>
          <cell r="J461">
            <v>0</v>
          </cell>
          <cell r="K461">
            <v>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25</v>
          </cell>
          <cell r="T461">
            <v>0</v>
          </cell>
        </row>
        <row r="462">
          <cell r="C462" t="str">
            <v>Clyde Hill city, Washington</v>
          </cell>
          <cell r="D462">
            <v>71</v>
          </cell>
          <cell r="E462">
            <v>62</v>
          </cell>
          <cell r="F462">
            <v>42</v>
          </cell>
          <cell r="G462">
            <v>16</v>
          </cell>
          <cell r="H462">
            <v>4</v>
          </cell>
          <cell r="I462">
            <v>0</v>
          </cell>
          <cell r="J462">
            <v>0</v>
          </cell>
          <cell r="K462">
            <v>12</v>
          </cell>
          <cell r="L462">
            <v>4</v>
          </cell>
          <cell r="M462">
            <v>0</v>
          </cell>
          <cell r="N462">
            <v>0</v>
          </cell>
          <cell r="O462">
            <v>4</v>
          </cell>
          <cell r="P462">
            <v>9</v>
          </cell>
          <cell r="Q462">
            <v>0</v>
          </cell>
          <cell r="R462">
            <v>9</v>
          </cell>
          <cell r="S462">
            <v>58</v>
          </cell>
          <cell r="T462">
            <v>13</v>
          </cell>
        </row>
        <row r="463">
          <cell r="C463" t="str">
            <v>Cohassett Beach CDP, Washington</v>
          </cell>
          <cell r="D463">
            <v>23</v>
          </cell>
          <cell r="E463">
            <v>23</v>
          </cell>
          <cell r="F463">
            <v>14</v>
          </cell>
          <cell r="G463">
            <v>9</v>
          </cell>
          <cell r="H463">
            <v>0</v>
          </cell>
          <cell r="I463">
            <v>0</v>
          </cell>
          <cell r="J463">
            <v>0</v>
          </cell>
          <cell r="K463">
            <v>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23</v>
          </cell>
          <cell r="T463">
            <v>0</v>
          </cell>
        </row>
        <row r="464">
          <cell r="C464" t="str">
            <v>Colfax city, Washington</v>
          </cell>
          <cell r="D464">
            <v>32</v>
          </cell>
          <cell r="E464">
            <v>32</v>
          </cell>
          <cell r="F464">
            <v>15</v>
          </cell>
          <cell r="G464">
            <v>17</v>
          </cell>
          <cell r="H464">
            <v>0</v>
          </cell>
          <cell r="I464">
            <v>4</v>
          </cell>
          <cell r="J464">
            <v>10</v>
          </cell>
          <cell r="K464">
            <v>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32</v>
          </cell>
          <cell r="T464">
            <v>0</v>
          </cell>
        </row>
        <row r="465">
          <cell r="C465" t="str">
            <v>College Place city, Washington</v>
          </cell>
          <cell r="D465">
            <v>102</v>
          </cell>
          <cell r="E465">
            <v>87</v>
          </cell>
          <cell r="F465">
            <v>58</v>
          </cell>
          <cell r="G465">
            <v>29</v>
          </cell>
          <cell r="H465">
            <v>0</v>
          </cell>
          <cell r="I465">
            <v>0</v>
          </cell>
          <cell r="J465">
            <v>18</v>
          </cell>
          <cell r="K465">
            <v>11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15</v>
          </cell>
          <cell r="Q465">
            <v>5</v>
          </cell>
          <cell r="R465">
            <v>10</v>
          </cell>
          <cell r="S465">
            <v>87</v>
          </cell>
          <cell r="T465">
            <v>15</v>
          </cell>
        </row>
        <row r="466">
          <cell r="C466" t="str">
            <v>Colton town, Washington</v>
          </cell>
          <cell r="D466">
            <v>13</v>
          </cell>
          <cell r="E466">
            <v>13</v>
          </cell>
          <cell r="F466">
            <v>13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13</v>
          </cell>
          <cell r="T466">
            <v>0</v>
          </cell>
        </row>
        <row r="467">
          <cell r="C467" t="str">
            <v>Colville city, Washington</v>
          </cell>
          <cell r="D467">
            <v>174</v>
          </cell>
          <cell r="E467">
            <v>168</v>
          </cell>
          <cell r="F467">
            <v>140</v>
          </cell>
          <cell r="G467">
            <v>28</v>
          </cell>
          <cell r="H467">
            <v>0</v>
          </cell>
          <cell r="I467">
            <v>6</v>
          </cell>
          <cell r="J467">
            <v>0</v>
          </cell>
          <cell r="K467">
            <v>22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6</v>
          </cell>
          <cell r="Q467">
            <v>0</v>
          </cell>
          <cell r="R467">
            <v>6</v>
          </cell>
          <cell r="S467">
            <v>168</v>
          </cell>
          <cell r="T467">
            <v>6</v>
          </cell>
        </row>
        <row r="468">
          <cell r="C468" t="str">
            <v>Conconully town, Washington</v>
          </cell>
          <cell r="D468">
            <v>2</v>
          </cell>
          <cell r="E468">
            <v>2</v>
          </cell>
          <cell r="F468">
            <v>0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</v>
          </cell>
          <cell r="T468">
            <v>0</v>
          </cell>
        </row>
        <row r="469">
          <cell r="C469" t="str">
            <v>Concrete town, Washington</v>
          </cell>
          <cell r="D469">
            <v>33</v>
          </cell>
          <cell r="E469">
            <v>33</v>
          </cell>
          <cell r="F469">
            <v>24</v>
          </cell>
          <cell r="G469">
            <v>9</v>
          </cell>
          <cell r="H469">
            <v>0</v>
          </cell>
          <cell r="I469">
            <v>4</v>
          </cell>
          <cell r="J469">
            <v>0</v>
          </cell>
          <cell r="K469">
            <v>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33</v>
          </cell>
          <cell r="T469">
            <v>0</v>
          </cell>
        </row>
        <row r="470">
          <cell r="C470" t="str">
            <v>Connell city, Washington</v>
          </cell>
          <cell r="D470">
            <v>219</v>
          </cell>
          <cell r="E470">
            <v>130</v>
          </cell>
          <cell r="F470">
            <v>101</v>
          </cell>
          <cell r="G470">
            <v>29</v>
          </cell>
          <cell r="H470">
            <v>0</v>
          </cell>
          <cell r="I470">
            <v>0</v>
          </cell>
          <cell r="J470">
            <v>14</v>
          </cell>
          <cell r="K470">
            <v>15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89</v>
          </cell>
          <cell r="Q470">
            <v>21</v>
          </cell>
          <cell r="R470">
            <v>68</v>
          </cell>
          <cell r="S470">
            <v>130</v>
          </cell>
          <cell r="T470">
            <v>89</v>
          </cell>
        </row>
        <row r="471">
          <cell r="C471" t="str">
            <v>Conway CDP, Washington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C472" t="str">
            <v>Copalis Beach CDP, Washington</v>
          </cell>
          <cell r="D472">
            <v>10</v>
          </cell>
          <cell r="E472">
            <v>10</v>
          </cell>
          <cell r="F472">
            <v>3</v>
          </cell>
          <cell r="G472">
            <v>7</v>
          </cell>
          <cell r="H472">
            <v>0</v>
          </cell>
          <cell r="I472">
            <v>0</v>
          </cell>
          <cell r="J472">
            <v>7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10</v>
          </cell>
          <cell r="T472">
            <v>0</v>
          </cell>
        </row>
        <row r="473">
          <cell r="C473" t="str">
            <v>Cosmopolis city, Washington</v>
          </cell>
          <cell r="D473">
            <v>36</v>
          </cell>
          <cell r="E473">
            <v>36</v>
          </cell>
          <cell r="F473">
            <v>24</v>
          </cell>
          <cell r="G473">
            <v>12</v>
          </cell>
          <cell r="H473">
            <v>0</v>
          </cell>
          <cell r="I473">
            <v>1</v>
          </cell>
          <cell r="J473">
            <v>0</v>
          </cell>
          <cell r="K473">
            <v>11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36</v>
          </cell>
          <cell r="T473">
            <v>0</v>
          </cell>
        </row>
        <row r="474">
          <cell r="C474" t="str">
            <v>Cottage Lake CDP, Washington</v>
          </cell>
          <cell r="D474">
            <v>670</v>
          </cell>
          <cell r="E474">
            <v>611</v>
          </cell>
          <cell r="F474">
            <v>325</v>
          </cell>
          <cell r="G474">
            <v>238</v>
          </cell>
          <cell r="H474">
            <v>23</v>
          </cell>
          <cell r="I474">
            <v>48</v>
          </cell>
          <cell r="J474">
            <v>22</v>
          </cell>
          <cell r="K474">
            <v>145</v>
          </cell>
          <cell r="L474">
            <v>48</v>
          </cell>
          <cell r="M474">
            <v>0</v>
          </cell>
          <cell r="N474">
            <v>0</v>
          </cell>
          <cell r="O474">
            <v>48</v>
          </cell>
          <cell r="P474">
            <v>59</v>
          </cell>
          <cell r="Q474">
            <v>51</v>
          </cell>
          <cell r="R474">
            <v>8</v>
          </cell>
          <cell r="S474">
            <v>563</v>
          </cell>
          <cell r="T474">
            <v>107</v>
          </cell>
        </row>
        <row r="475">
          <cell r="C475" t="str">
            <v>Coulee City town, Washington</v>
          </cell>
          <cell r="D475">
            <v>6</v>
          </cell>
          <cell r="E475">
            <v>6</v>
          </cell>
          <cell r="F475">
            <v>4</v>
          </cell>
          <cell r="G475">
            <v>2</v>
          </cell>
          <cell r="H475">
            <v>0</v>
          </cell>
          <cell r="I475">
            <v>2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6</v>
          </cell>
          <cell r="T475">
            <v>0</v>
          </cell>
        </row>
        <row r="476">
          <cell r="C476" t="str">
            <v>Coulee Dam town, Washington</v>
          </cell>
          <cell r="D476">
            <v>58</v>
          </cell>
          <cell r="E476">
            <v>58</v>
          </cell>
          <cell r="F476">
            <v>40</v>
          </cell>
          <cell r="G476">
            <v>18</v>
          </cell>
          <cell r="H476">
            <v>2</v>
          </cell>
          <cell r="I476">
            <v>2</v>
          </cell>
          <cell r="J476">
            <v>2</v>
          </cell>
          <cell r="K476">
            <v>12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58</v>
          </cell>
          <cell r="T476">
            <v>0</v>
          </cell>
        </row>
        <row r="477">
          <cell r="C477" t="str">
            <v>Country Homes CDP, Washington</v>
          </cell>
          <cell r="D477">
            <v>217</v>
          </cell>
          <cell r="E477">
            <v>196</v>
          </cell>
          <cell r="F477">
            <v>140</v>
          </cell>
          <cell r="G477">
            <v>51</v>
          </cell>
          <cell r="H477">
            <v>0</v>
          </cell>
          <cell r="I477">
            <v>9</v>
          </cell>
          <cell r="J477">
            <v>14</v>
          </cell>
          <cell r="K477">
            <v>28</v>
          </cell>
          <cell r="L477">
            <v>5</v>
          </cell>
          <cell r="M477">
            <v>0</v>
          </cell>
          <cell r="N477">
            <v>0</v>
          </cell>
          <cell r="O477">
            <v>5</v>
          </cell>
          <cell r="P477">
            <v>21</v>
          </cell>
          <cell r="Q477">
            <v>8</v>
          </cell>
          <cell r="R477">
            <v>13</v>
          </cell>
          <cell r="S477">
            <v>191</v>
          </cell>
          <cell r="T477">
            <v>26</v>
          </cell>
        </row>
        <row r="478">
          <cell r="C478" t="str">
            <v>Coupeville town, Washington</v>
          </cell>
          <cell r="D478">
            <v>45</v>
          </cell>
          <cell r="E478">
            <v>43</v>
          </cell>
          <cell r="F478">
            <v>16</v>
          </cell>
          <cell r="G478">
            <v>27</v>
          </cell>
          <cell r="H478">
            <v>0</v>
          </cell>
          <cell r="I478">
            <v>4</v>
          </cell>
          <cell r="J478">
            <v>10</v>
          </cell>
          <cell r="K478">
            <v>13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2</v>
          </cell>
          <cell r="Q478">
            <v>2</v>
          </cell>
          <cell r="R478">
            <v>0</v>
          </cell>
          <cell r="S478">
            <v>43</v>
          </cell>
          <cell r="T478">
            <v>2</v>
          </cell>
        </row>
        <row r="479">
          <cell r="C479" t="str">
            <v>Covington city, Washington</v>
          </cell>
          <cell r="D479">
            <v>561</v>
          </cell>
          <cell r="E479">
            <v>554</v>
          </cell>
          <cell r="F479">
            <v>334</v>
          </cell>
          <cell r="G479">
            <v>180</v>
          </cell>
          <cell r="H479">
            <v>31</v>
          </cell>
          <cell r="I479">
            <v>17</v>
          </cell>
          <cell r="J479">
            <v>28</v>
          </cell>
          <cell r="K479">
            <v>104</v>
          </cell>
          <cell r="L479">
            <v>40</v>
          </cell>
          <cell r="M479">
            <v>0</v>
          </cell>
          <cell r="N479">
            <v>2</v>
          </cell>
          <cell r="O479">
            <v>38</v>
          </cell>
          <cell r="P479">
            <v>7</v>
          </cell>
          <cell r="Q479">
            <v>7</v>
          </cell>
          <cell r="R479">
            <v>0</v>
          </cell>
          <cell r="S479">
            <v>514</v>
          </cell>
          <cell r="T479">
            <v>47</v>
          </cell>
        </row>
        <row r="480">
          <cell r="C480" t="str">
            <v>Creston town, Washington</v>
          </cell>
          <cell r="D480">
            <v>3</v>
          </cell>
          <cell r="E480">
            <v>3</v>
          </cell>
          <cell r="F480">
            <v>3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3</v>
          </cell>
          <cell r="T480">
            <v>0</v>
          </cell>
        </row>
        <row r="481">
          <cell r="C481" t="str">
            <v>Cusick town, Washington</v>
          </cell>
          <cell r="D481">
            <v>5</v>
          </cell>
          <cell r="E481">
            <v>5</v>
          </cell>
          <cell r="F481">
            <v>0</v>
          </cell>
          <cell r="G481">
            <v>5</v>
          </cell>
          <cell r="H481">
            <v>0</v>
          </cell>
          <cell r="I481">
            <v>0</v>
          </cell>
          <cell r="J481">
            <v>0</v>
          </cell>
          <cell r="K481">
            <v>5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5</v>
          </cell>
          <cell r="T481">
            <v>0</v>
          </cell>
        </row>
        <row r="482">
          <cell r="C482" t="str">
            <v>Custer CDP, Washington</v>
          </cell>
          <cell r="D482">
            <v>20</v>
          </cell>
          <cell r="E482">
            <v>20</v>
          </cell>
          <cell r="F482">
            <v>0</v>
          </cell>
          <cell r="G482">
            <v>20</v>
          </cell>
          <cell r="H482">
            <v>20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20</v>
          </cell>
          <cell r="T482">
            <v>0</v>
          </cell>
        </row>
        <row r="483">
          <cell r="C483" t="str">
            <v>Dallesport CDP, Washington</v>
          </cell>
          <cell r="D483">
            <v>43</v>
          </cell>
          <cell r="E483">
            <v>39</v>
          </cell>
          <cell r="F483">
            <v>4</v>
          </cell>
          <cell r="G483">
            <v>35</v>
          </cell>
          <cell r="H483">
            <v>0</v>
          </cell>
          <cell r="I483">
            <v>5</v>
          </cell>
          <cell r="J483">
            <v>0</v>
          </cell>
          <cell r="K483">
            <v>30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</v>
          </cell>
          <cell r="Q483">
            <v>0</v>
          </cell>
          <cell r="R483">
            <v>4</v>
          </cell>
          <cell r="S483">
            <v>39</v>
          </cell>
          <cell r="T483">
            <v>4</v>
          </cell>
        </row>
        <row r="484">
          <cell r="C484" t="str">
            <v>Darrington town, Washington</v>
          </cell>
          <cell r="D484">
            <v>27</v>
          </cell>
          <cell r="E484">
            <v>27</v>
          </cell>
          <cell r="F484">
            <v>27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27</v>
          </cell>
          <cell r="T484">
            <v>0</v>
          </cell>
        </row>
        <row r="485">
          <cell r="C485" t="str">
            <v>Davenport city, Washington</v>
          </cell>
          <cell r="D485">
            <v>30</v>
          </cell>
          <cell r="E485">
            <v>30</v>
          </cell>
          <cell r="F485">
            <v>13</v>
          </cell>
          <cell r="G485">
            <v>15</v>
          </cell>
          <cell r="H485">
            <v>0</v>
          </cell>
          <cell r="I485">
            <v>0</v>
          </cell>
          <cell r="J485">
            <v>6</v>
          </cell>
          <cell r="K485">
            <v>9</v>
          </cell>
          <cell r="L485">
            <v>2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0</v>
          </cell>
          <cell r="R485">
            <v>0</v>
          </cell>
          <cell r="S485">
            <v>28</v>
          </cell>
          <cell r="T485">
            <v>2</v>
          </cell>
        </row>
        <row r="486">
          <cell r="C486" t="str">
            <v>Dayton city, Washington</v>
          </cell>
          <cell r="D486">
            <v>57</v>
          </cell>
          <cell r="E486">
            <v>54</v>
          </cell>
          <cell r="F486">
            <v>19</v>
          </cell>
          <cell r="G486">
            <v>35</v>
          </cell>
          <cell r="H486">
            <v>0</v>
          </cell>
          <cell r="I486">
            <v>4</v>
          </cell>
          <cell r="J486">
            <v>0</v>
          </cell>
          <cell r="K486">
            <v>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3</v>
          </cell>
          <cell r="Q486">
            <v>0</v>
          </cell>
          <cell r="R486">
            <v>3</v>
          </cell>
          <cell r="S486">
            <v>54</v>
          </cell>
          <cell r="T486">
            <v>3</v>
          </cell>
        </row>
        <row r="487">
          <cell r="C487" t="str">
            <v>Deer Park city, Washington</v>
          </cell>
          <cell r="D487">
            <v>62</v>
          </cell>
          <cell r="E487">
            <v>62</v>
          </cell>
          <cell r="F487">
            <v>49</v>
          </cell>
          <cell r="G487">
            <v>13</v>
          </cell>
          <cell r="H487">
            <v>8</v>
          </cell>
          <cell r="I487">
            <v>0</v>
          </cell>
          <cell r="J487">
            <v>0</v>
          </cell>
          <cell r="K487">
            <v>5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62</v>
          </cell>
          <cell r="T487">
            <v>0</v>
          </cell>
        </row>
        <row r="488">
          <cell r="C488" t="str">
            <v>Deming CDP, Washington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</row>
        <row r="489">
          <cell r="C489" t="str">
            <v>Desert Aire CDP, Washington</v>
          </cell>
          <cell r="D489">
            <v>23</v>
          </cell>
          <cell r="E489">
            <v>23</v>
          </cell>
          <cell r="F489">
            <v>17</v>
          </cell>
          <cell r="G489">
            <v>6</v>
          </cell>
          <cell r="H489">
            <v>6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23</v>
          </cell>
          <cell r="T489">
            <v>0</v>
          </cell>
        </row>
        <row r="490">
          <cell r="C490" t="str">
            <v>Des Moines city, Washington</v>
          </cell>
          <cell r="D490">
            <v>1294</v>
          </cell>
          <cell r="E490">
            <v>1151</v>
          </cell>
          <cell r="F490">
            <v>697</v>
          </cell>
          <cell r="G490">
            <v>439</v>
          </cell>
          <cell r="H490">
            <v>16</v>
          </cell>
          <cell r="I490">
            <v>95</v>
          </cell>
          <cell r="J490">
            <v>97</v>
          </cell>
          <cell r="K490">
            <v>231</v>
          </cell>
          <cell r="L490">
            <v>15</v>
          </cell>
          <cell r="M490">
            <v>0</v>
          </cell>
          <cell r="N490">
            <v>0</v>
          </cell>
          <cell r="O490">
            <v>15</v>
          </cell>
          <cell r="P490">
            <v>143</v>
          </cell>
          <cell r="Q490">
            <v>65</v>
          </cell>
          <cell r="R490">
            <v>78</v>
          </cell>
          <cell r="S490">
            <v>1136</v>
          </cell>
          <cell r="T490">
            <v>158</v>
          </cell>
        </row>
        <row r="491">
          <cell r="C491" t="str">
            <v>Dishman CDP, Washington</v>
          </cell>
          <cell r="D491">
            <v>206</v>
          </cell>
          <cell r="E491">
            <v>202</v>
          </cell>
          <cell r="F491">
            <v>104</v>
          </cell>
          <cell r="G491">
            <v>98</v>
          </cell>
          <cell r="H491">
            <v>21</v>
          </cell>
          <cell r="I491">
            <v>19</v>
          </cell>
          <cell r="J491">
            <v>13</v>
          </cell>
          <cell r="K491">
            <v>45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4</v>
          </cell>
          <cell r="Q491">
            <v>4</v>
          </cell>
          <cell r="R491">
            <v>0</v>
          </cell>
          <cell r="S491">
            <v>202</v>
          </cell>
          <cell r="T491">
            <v>4</v>
          </cell>
        </row>
        <row r="492">
          <cell r="C492" t="str">
            <v>Dixie CDP, Washington</v>
          </cell>
          <cell r="D492">
            <v>5</v>
          </cell>
          <cell r="E492">
            <v>5</v>
          </cell>
          <cell r="F492">
            <v>1</v>
          </cell>
          <cell r="G492">
            <v>4</v>
          </cell>
          <cell r="H492">
            <v>0</v>
          </cell>
          <cell r="I492">
            <v>0</v>
          </cell>
          <cell r="J492">
            <v>4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5</v>
          </cell>
          <cell r="T492">
            <v>0</v>
          </cell>
        </row>
        <row r="493">
          <cell r="C493" t="str">
            <v>Dollar Corner CDP, Washington</v>
          </cell>
          <cell r="D493">
            <v>9</v>
          </cell>
          <cell r="E493">
            <v>9</v>
          </cell>
          <cell r="F493">
            <v>0</v>
          </cell>
          <cell r="G493">
            <v>9</v>
          </cell>
          <cell r="H493">
            <v>0</v>
          </cell>
          <cell r="I493">
            <v>0</v>
          </cell>
          <cell r="J493">
            <v>3</v>
          </cell>
          <cell r="K493">
            <v>6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9</v>
          </cell>
          <cell r="T493">
            <v>0</v>
          </cell>
        </row>
        <row r="494">
          <cell r="C494" t="str">
            <v>DuPont city, Washington</v>
          </cell>
          <cell r="D494">
            <v>178</v>
          </cell>
          <cell r="E494">
            <v>173</v>
          </cell>
          <cell r="F494">
            <v>58</v>
          </cell>
          <cell r="G494">
            <v>95</v>
          </cell>
          <cell r="H494">
            <v>32</v>
          </cell>
          <cell r="I494">
            <v>10</v>
          </cell>
          <cell r="J494">
            <v>38</v>
          </cell>
          <cell r="K494">
            <v>15</v>
          </cell>
          <cell r="L494">
            <v>20</v>
          </cell>
          <cell r="M494">
            <v>0</v>
          </cell>
          <cell r="N494">
            <v>0</v>
          </cell>
          <cell r="O494">
            <v>20</v>
          </cell>
          <cell r="P494">
            <v>5</v>
          </cell>
          <cell r="Q494">
            <v>0</v>
          </cell>
          <cell r="R494">
            <v>5</v>
          </cell>
          <cell r="S494">
            <v>153</v>
          </cell>
          <cell r="T494">
            <v>25</v>
          </cell>
        </row>
        <row r="495">
          <cell r="C495" t="str">
            <v>Duvall city, Washington</v>
          </cell>
          <cell r="D495">
            <v>205</v>
          </cell>
          <cell r="E495">
            <v>205</v>
          </cell>
          <cell r="F495">
            <v>113</v>
          </cell>
          <cell r="G495">
            <v>64</v>
          </cell>
          <cell r="H495">
            <v>0</v>
          </cell>
          <cell r="I495">
            <v>0</v>
          </cell>
          <cell r="J495">
            <v>10</v>
          </cell>
          <cell r="K495">
            <v>54</v>
          </cell>
          <cell r="L495">
            <v>28</v>
          </cell>
          <cell r="M495">
            <v>0</v>
          </cell>
          <cell r="N495">
            <v>0</v>
          </cell>
          <cell r="O495">
            <v>28</v>
          </cell>
          <cell r="P495">
            <v>0</v>
          </cell>
          <cell r="Q495">
            <v>0</v>
          </cell>
          <cell r="R495">
            <v>0</v>
          </cell>
          <cell r="S495">
            <v>177</v>
          </cell>
          <cell r="T495">
            <v>28</v>
          </cell>
        </row>
        <row r="496">
          <cell r="C496" t="str">
            <v>East Cathlamet CDP, Washington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</row>
        <row r="497">
          <cell r="C497" t="str">
            <v>Eastgate CDP, Washington</v>
          </cell>
          <cell r="D497">
            <v>67</v>
          </cell>
          <cell r="E497">
            <v>63</v>
          </cell>
          <cell r="F497">
            <v>37</v>
          </cell>
          <cell r="G497">
            <v>26</v>
          </cell>
          <cell r="H497">
            <v>0</v>
          </cell>
          <cell r="I497">
            <v>14</v>
          </cell>
          <cell r="J497">
            <v>0</v>
          </cell>
          <cell r="K497">
            <v>12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4</v>
          </cell>
          <cell r="Q497">
            <v>0</v>
          </cell>
          <cell r="R497">
            <v>4</v>
          </cell>
          <cell r="S497">
            <v>63</v>
          </cell>
          <cell r="T497">
            <v>4</v>
          </cell>
        </row>
        <row r="498">
          <cell r="C498" t="str">
            <v>East Hill-Meridian CDP, Washington</v>
          </cell>
          <cell r="D498">
            <v>1846</v>
          </cell>
          <cell r="E498">
            <v>1490</v>
          </cell>
          <cell r="F498">
            <v>967</v>
          </cell>
          <cell r="G498">
            <v>487</v>
          </cell>
          <cell r="H498">
            <v>43</v>
          </cell>
          <cell r="I498">
            <v>79</v>
          </cell>
          <cell r="J498">
            <v>103</v>
          </cell>
          <cell r="K498">
            <v>262</v>
          </cell>
          <cell r="L498">
            <v>36</v>
          </cell>
          <cell r="M498">
            <v>0</v>
          </cell>
          <cell r="N498">
            <v>0</v>
          </cell>
          <cell r="O498">
            <v>36</v>
          </cell>
          <cell r="P498">
            <v>356</v>
          </cell>
          <cell r="Q498">
            <v>189</v>
          </cell>
          <cell r="R498">
            <v>167</v>
          </cell>
          <cell r="S498">
            <v>1454</v>
          </cell>
          <cell r="T498">
            <v>392</v>
          </cell>
        </row>
        <row r="499">
          <cell r="C499" t="str">
            <v>Easton CDP, Washington</v>
          </cell>
          <cell r="D499">
            <v>6</v>
          </cell>
          <cell r="E499">
            <v>6</v>
          </cell>
          <cell r="F499">
            <v>4</v>
          </cell>
          <cell r="G499">
            <v>2</v>
          </cell>
          <cell r="H499">
            <v>0</v>
          </cell>
          <cell r="I499">
            <v>2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6</v>
          </cell>
          <cell r="T499">
            <v>0</v>
          </cell>
        </row>
        <row r="500">
          <cell r="C500" t="str">
            <v>East Port Orchard CDP, Washington</v>
          </cell>
          <cell r="D500">
            <v>252</v>
          </cell>
          <cell r="E500">
            <v>221</v>
          </cell>
          <cell r="F500">
            <v>107</v>
          </cell>
          <cell r="G500">
            <v>49</v>
          </cell>
          <cell r="H500">
            <v>0</v>
          </cell>
          <cell r="I500">
            <v>0</v>
          </cell>
          <cell r="J500">
            <v>6</v>
          </cell>
          <cell r="K500">
            <v>43</v>
          </cell>
          <cell r="L500">
            <v>65</v>
          </cell>
          <cell r="M500">
            <v>0</v>
          </cell>
          <cell r="N500">
            <v>7</v>
          </cell>
          <cell r="O500">
            <v>58</v>
          </cell>
          <cell r="P500">
            <v>31</v>
          </cell>
          <cell r="Q500">
            <v>9</v>
          </cell>
          <cell r="R500">
            <v>22</v>
          </cell>
          <cell r="S500">
            <v>156</v>
          </cell>
          <cell r="T500">
            <v>96</v>
          </cell>
        </row>
        <row r="501">
          <cell r="C501" t="str">
            <v>East Renton Highlands CDP, Washington</v>
          </cell>
          <cell r="D501">
            <v>220</v>
          </cell>
          <cell r="E501">
            <v>215</v>
          </cell>
          <cell r="F501">
            <v>128</v>
          </cell>
          <cell r="G501">
            <v>87</v>
          </cell>
          <cell r="H501">
            <v>0</v>
          </cell>
          <cell r="I501">
            <v>45</v>
          </cell>
          <cell r="J501">
            <v>11</v>
          </cell>
          <cell r="K501">
            <v>31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5</v>
          </cell>
          <cell r="Q501">
            <v>5</v>
          </cell>
          <cell r="R501">
            <v>0</v>
          </cell>
          <cell r="S501">
            <v>215</v>
          </cell>
          <cell r="T501">
            <v>5</v>
          </cell>
        </row>
        <row r="502">
          <cell r="C502" t="str">
            <v>East Wenatchee city, Washington</v>
          </cell>
          <cell r="D502">
            <v>99</v>
          </cell>
          <cell r="E502">
            <v>61</v>
          </cell>
          <cell r="F502">
            <v>42</v>
          </cell>
          <cell r="G502">
            <v>19</v>
          </cell>
          <cell r="H502">
            <v>0</v>
          </cell>
          <cell r="I502">
            <v>0</v>
          </cell>
          <cell r="J502">
            <v>4</v>
          </cell>
          <cell r="K502">
            <v>15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38</v>
          </cell>
          <cell r="Q502">
            <v>17</v>
          </cell>
          <cell r="R502">
            <v>21</v>
          </cell>
          <cell r="S502">
            <v>61</v>
          </cell>
          <cell r="T502">
            <v>38</v>
          </cell>
        </row>
        <row r="503">
          <cell r="C503" t="str">
            <v>East Wenatchee Bench CDP, Washington</v>
          </cell>
          <cell r="D503">
            <v>274</v>
          </cell>
          <cell r="E503">
            <v>237</v>
          </cell>
          <cell r="F503">
            <v>108</v>
          </cell>
          <cell r="G503">
            <v>114</v>
          </cell>
          <cell r="H503">
            <v>0</v>
          </cell>
          <cell r="I503">
            <v>8</v>
          </cell>
          <cell r="J503">
            <v>24</v>
          </cell>
          <cell r="K503">
            <v>82</v>
          </cell>
          <cell r="L503">
            <v>15</v>
          </cell>
          <cell r="M503">
            <v>0</v>
          </cell>
          <cell r="N503">
            <v>0</v>
          </cell>
          <cell r="O503">
            <v>15</v>
          </cell>
          <cell r="P503">
            <v>37</v>
          </cell>
          <cell r="Q503">
            <v>37</v>
          </cell>
          <cell r="R503">
            <v>0</v>
          </cell>
          <cell r="S503">
            <v>222</v>
          </cell>
          <cell r="T503">
            <v>52</v>
          </cell>
        </row>
        <row r="504">
          <cell r="C504" t="str">
            <v>Eatonville town, Washington</v>
          </cell>
          <cell r="D504">
            <v>89</v>
          </cell>
          <cell r="E504">
            <v>89</v>
          </cell>
          <cell r="F504">
            <v>64</v>
          </cell>
          <cell r="G504">
            <v>21</v>
          </cell>
          <cell r="H504">
            <v>2</v>
          </cell>
          <cell r="I504">
            <v>5</v>
          </cell>
          <cell r="J504">
            <v>7</v>
          </cell>
          <cell r="K504">
            <v>7</v>
          </cell>
          <cell r="L504">
            <v>4</v>
          </cell>
          <cell r="M504">
            <v>0</v>
          </cell>
          <cell r="N504">
            <v>0</v>
          </cell>
          <cell r="O504">
            <v>4</v>
          </cell>
          <cell r="P504">
            <v>0</v>
          </cell>
          <cell r="Q504">
            <v>0</v>
          </cell>
          <cell r="R504">
            <v>0</v>
          </cell>
          <cell r="S504">
            <v>85</v>
          </cell>
          <cell r="T504">
            <v>4</v>
          </cell>
        </row>
        <row r="505">
          <cell r="C505" t="str">
            <v>Echo Lake CDP, Washington</v>
          </cell>
          <cell r="D505">
            <v>68</v>
          </cell>
          <cell r="E505">
            <v>68</v>
          </cell>
          <cell r="F505">
            <v>47</v>
          </cell>
          <cell r="G505">
            <v>21</v>
          </cell>
          <cell r="H505">
            <v>4</v>
          </cell>
          <cell r="I505">
            <v>3</v>
          </cell>
          <cell r="J505">
            <v>0</v>
          </cell>
          <cell r="K505">
            <v>14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68</v>
          </cell>
          <cell r="T505">
            <v>0</v>
          </cell>
        </row>
        <row r="506">
          <cell r="C506" t="str">
            <v>Edgewood city, Washington</v>
          </cell>
          <cell r="D506">
            <v>221</v>
          </cell>
          <cell r="E506">
            <v>221</v>
          </cell>
          <cell r="F506">
            <v>169</v>
          </cell>
          <cell r="G506">
            <v>52</v>
          </cell>
          <cell r="H506">
            <v>0</v>
          </cell>
          <cell r="I506">
            <v>10</v>
          </cell>
          <cell r="J506">
            <v>4</v>
          </cell>
          <cell r="K506">
            <v>38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221</v>
          </cell>
          <cell r="T506">
            <v>0</v>
          </cell>
        </row>
        <row r="507">
          <cell r="C507" t="str">
            <v>Edison CDP, Washington</v>
          </cell>
          <cell r="D507">
            <v>40</v>
          </cell>
          <cell r="E507">
            <v>40</v>
          </cell>
          <cell r="F507">
            <v>40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40</v>
          </cell>
          <cell r="T507">
            <v>0</v>
          </cell>
        </row>
        <row r="508">
          <cell r="C508" t="str">
            <v>Edmonds city, Washington</v>
          </cell>
          <cell r="D508">
            <v>1150</v>
          </cell>
          <cell r="E508">
            <v>1037</v>
          </cell>
          <cell r="F508">
            <v>525</v>
          </cell>
          <cell r="G508">
            <v>449</v>
          </cell>
          <cell r="H508">
            <v>10</v>
          </cell>
          <cell r="I508">
            <v>53</v>
          </cell>
          <cell r="J508">
            <v>73</v>
          </cell>
          <cell r="K508">
            <v>313</v>
          </cell>
          <cell r="L508">
            <v>63</v>
          </cell>
          <cell r="M508">
            <v>0</v>
          </cell>
          <cell r="N508">
            <v>5</v>
          </cell>
          <cell r="O508">
            <v>58</v>
          </cell>
          <cell r="P508">
            <v>113</v>
          </cell>
          <cell r="Q508">
            <v>48</v>
          </cell>
          <cell r="R508">
            <v>65</v>
          </cell>
          <cell r="S508">
            <v>974</v>
          </cell>
          <cell r="T508">
            <v>176</v>
          </cell>
        </row>
        <row r="509">
          <cell r="C509" t="str">
            <v>Elbe CDP, Washington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</row>
        <row r="510">
          <cell r="C510" t="str">
            <v>Electric City town, Washington</v>
          </cell>
          <cell r="D510">
            <v>18</v>
          </cell>
          <cell r="E510">
            <v>18</v>
          </cell>
          <cell r="F510">
            <v>12</v>
          </cell>
          <cell r="G510">
            <v>6</v>
          </cell>
          <cell r="H510">
            <v>0</v>
          </cell>
          <cell r="I510">
            <v>0</v>
          </cell>
          <cell r="J510">
            <v>2</v>
          </cell>
          <cell r="K510">
            <v>4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18</v>
          </cell>
          <cell r="T510">
            <v>0</v>
          </cell>
        </row>
        <row r="511">
          <cell r="C511" t="str">
            <v>Elk Plain CDP, Washington</v>
          </cell>
          <cell r="D511">
            <v>839</v>
          </cell>
          <cell r="E511">
            <v>779</v>
          </cell>
          <cell r="F511">
            <v>388</v>
          </cell>
          <cell r="G511">
            <v>323</v>
          </cell>
          <cell r="H511">
            <v>56</v>
          </cell>
          <cell r="I511">
            <v>40</v>
          </cell>
          <cell r="J511">
            <v>31</v>
          </cell>
          <cell r="K511">
            <v>196</v>
          </cell>
          <cell r="L511">
            <v>68</v>
          </cell>
          <cell r="M511">
            <v>0</v>
          </cell>
          <cell r="N511">
            <v>0</v>
          </cell>
          <cell r="O511">
            <v>68</v>
          </cell>
          <cell r="P511">
            <v>60</v>
          </cell>
          <cell r="Q511">
            <v>60</v>
          </cell>
          <cell r="R511">
            <v>0</v>
          </cell>
          <cell r="S511">
            <v>711</v>
          </cell>
          <cell r="T511">
            <v>128</v>
          </cell>
        </row>
        <row r="512">
          <cell r="C512" t="str">
            <v>Ellensburg city, Washington</v>
          </cell>
          <cell r="D512">
            <v>445</v>
          </cell>
          <cell r="E512">
            <v>405</v>
          </cell>
          <cell r="F512">
            <v>234</v>
          </cell>
          <cell r="G512">
            <v>145</v>
          </cell>
          <cell r="H512">
            <v>0</v>
          </cell>
          <cell r="I512">
            <v>45</v>
          </cell>
          <cell r="J512">
            <v>27</v>
          </cell>
          <cell r="K512">
            <v>73</v>
          </cell>
          <cell r="L512">
            <v>26</v>
          </cell>
          <cell r="M512">
            <v>0</v>
          </cell>
          <cell r="N512">
            <v>7</v>
          </cell>
          <cell r="O512">
            <v>19</v>
          </cell>
          <cell r="P512">
            <v>40</v>
          </cell>
          <cell r="Q512">
            <v>0</v>
          </cell>
          <cell r="R512">
            <v>40</v>
          </cell>
          <cell r="S512">
            <v>379</v>
          </cell>
          <cell r="T512">
            <v>66</v>
          </cell>
        </row>
        <row r="513">
          <cell r="C513" t="str">
            <v>Elma city, Washington</v>
          </cell>
          <cell r="D513">
            <v>152</v>
          </cell>
          <cell r="E513">
            <v>136</v>
          </cell>
          <cell r="F513">
            <v>85</v>
          </cell>
          <cell r="G513">
            <v>51</v>
          </cell>
          <cell r="H513">
            <v>0</v>
          </cell>
          <cell r="I513">
            <v>9</v>
          </cell>
          <cell r="J513">
            <v>7</v>
          </cell>
          <cell r="K513">
            <v>35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16</v>
          </cell>
          <cell r="Q513">
            <v>0</v>
          </cell>
          <cell r="R513">
            <v>16</v>
          </cell>
          <cell r="S513">
            <v>136</v>
          </cell>
          <cell r="T513">
            <v>16</v>
          </cell>
        </row>
        <row r="514">
          <cell r="C514" t="str">
            <v>Elmer City town, Washington</v>
          </cell>
          <cell r="D514">
            <v>6</v>
          </cell>
          <cell r="E514">
            <v>6</v>
          </cell>
          <cell r="F514">
            <v>2</v>
          </cell>
          <cell r="G514">
            <v>4</v>
          </cell>
          <cell r="H514">
            <v>0</v>
          </cell>
          <cell r="I514">
            <v>0</v>
          </cell>
          <cell r="J514">
            <v>2</v>
          </cell>
          <cell r="K514">
            <v>2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6</v>
          </cell>
          <cell r="T514">
            <v>0</v>
          </cell>
        </row>
        <row r="515">
          <cell r="C515" t="str">
            <v>Endicott town, Washington</v>
          </cell>
          <cell r="D515">
            <v>2</v>
          </cell>
          <cell r="E515">
            <v>2</v>
          </cell>
          <cell r="F515">
            <v>2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</v>
          </cell>
          <cell r="T515">
            <v>0</v>
          </cell>
        </row>
        <row r="516">
          <cell r="C516" t="str">
            <v>Entiat city, Washington</v>
          </cell>
          <cell r="D516">
            <v>36</v>
          </cell>
          <cell r="E516">
            <v>30</v>
          </cell>
          <cell r="F516">
            <v>26</v>
          </cell>
          <cell r="G516">
            <v>4</v>
          </cell>
          <cell r="H516">
            <v>0</v>
          </cell>
          <cell r="I516">
            <v>0</v>
          </cell>
          <cell r="J516">
            <v>0</v>
          </cell>
          <cell r="K516">
            <v>4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</v>
          </cell>
          <cell r="Q516">
            <v>0</v>
          </cell>
          <cell r="R516">
            <v>6</v>
          </cell>
          <cell r="S516">
            <v>30</v>
          </cell>
          <cell r="T516">
            <v>6</v>
          </cell>
        </row>
        <row r="517">
          <cell r="C517" t="str">
            <v>Enumclaw city, Washington</v>
          </cell>
          <cell r="D517">
            <v>374</v>
          </cell>
          <cell r="E517">
            <v>344</v>
          </cell>
          <cell r="F517">
            <v>246</v>
          </cell>
          <cell r="G517">
            <v>91</v>
          </cell>
          <cell r="H517">
            <v>22</v>
          </cell>
          <cell r="I517">
            <v>11</v>
          </cell>
          <cell r="J517">
            <v>8</v>
          </cell>
          <cell r="K517">
            <v>50</v>
          </cell>
          <cell r="L517">
            <v>7</v>
          </cell>
          <cell r="M517">
            <v>0</v>
          </cell>
          <cell r="N517">
            <v>7</v>
          </cell>
          <cell r="O517">
            <v>0</v>
          </cell>
          <cell r="P517">
            <v>30</v>
          </cell>
          <cell r="Q517">
            <v>13</v>
          </cell>
          <cell r="R517">
            <v>17</v>
          </cell>
          <cell r="S517">
            <v>337</v>
          </cell>
          <cell r="T517">
            <v>37</v>
          </cell>
        </row>
        <row r="518">
          <cell r="C518" t="str">
            <v>Ephrata city, Washington</v>
          </cell>
          <cell r="D518">
            <v>100</v>
          </cell>
          <cell r="E518">
            <v>91</v>
          </cell>
          <cell r="F518">
            <v>54</v>
          </cell>
          <cell r="G518">
            <v>37</v>
          </cell>
          <cell r="H518">
            <v>0</v>
          </cell>
          <cell r="I518">
            <v>12</v>
          </cell>
          <cell r="J518">
            <v>9</v>
          </cell>
          <cell r="K518">
            <v>16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9</v>
          </cell>
          <cell r="Q518">
            <v>9</v>
          </cell>
          <cell r="R518">
            <v>0</v>
          </cell>
          <cell r="S518">
            <v>91</v>
          </cell>
          <cell r="T518">
            <v>9</v>
          </cell>
        </row>
        <row r="519">
          <cell r="C519" t="str">
            <v>Erlands Point-Kitsap Lake CDP, Washington</v>
          </cell>
          <cell r="D519">
            <v>46</v>
          </cell>
          <cell r="E519">
            <v>46</v>
          </cell>
          <cell r="F519">
            <v>7</v>
          </cell>
          <cell r="G519">
            <v>24</v>
          </cell>
          <cell r="H519">
            <v>0</v>
          </cell>
          <cell r="I519">
            <v>20</v>
          </cell>
          <cell r="J519">
            <v>0</v>
          </cell>
          <cell r="K519">
            <v>4</v>
          </cell>
          <cell r="L519">
            <v>15</v>
          </cell>
          <cell r="M519">
            <v>0</v>
          </cell>
          <cell r="N519">
            <v>0</v>
          </cell>
          <cell r="O519">
            <v>15</v>
          </cell>
          <cell r="P519">
            <v>0</v>
          </cell>
          <cell r="Q519">
            <v>0</v>
          </cell>
          <cell r="R519">
            <v>0</v>
          </cell>
          <cell r="S519">
            <v>31</v>
          </cell>
          <cell r="T519">
            <v>15</v>
          </cell>
        </row>
        <row r="520">
          <cell r="C520" t="str">
            <v>Eschbach CDP, Washington</v>
          </cell>
          <cell r="D520">
            <v>9</v>
          </cell>
          <cell r="E520">
            <v>9</v>
          </cell>
          <cell r="F520">
            <v>9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9</v>
          </cell>
          <cell r="T520">
            <v>0</v>
          </cell>
        </row>
        <row r="521">
          <cell r="C521" t="str">
            <v>Esperance CDP, Washington</v>
          </cell>
          <cell r="D521">
            <v>96</v>
          </cell>
          <cell r="E521">
            <v>90</v>
          </cell>
          <cell r="F521">
            <v>18</v>
          </cell>
          <cell r="G521">
            <v>72</v>
          </cell>
          <cell r="H521">
            <v>0</v>
          </cell>
          <cell r="I521">
            <v>10</v>
          </cell>
          <cell r="J521">
            <v>0</v>
          </cell>
          <cell r="K521">
            <v>62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6</v>
          </cell>
          <cell r="Q521">
            <v>0</v>
          </cell>
          <cell r="R521">
            <v>6</v>
          </cell>
          <cell r="S521">
            <v>90</v>
          </cell>
          <cell r="T521">
            <v>6</v>
          </cell>
        </row>
        <row r="522">
          <cell r="C522" t="str">
            <v>Everett city, Washington</v>
          </cell>
          <cell r="D522">
            <v>3689</v>
          </cell>
          <cell r="E522">
            <v>2970</v>
          </cell>
          <cell r="F522">
            <v>1777</v>
          </cell>
          <cell r="G522">
            <v>1131</v>
          </cell>
          <cell r="H522">
            <v>46</v>
          </cell>
          <cell r="I522">
            <v>157</v>
          </cell>
          <cell r="J522">
            <v>232</v>
          </cell>
          <cell r="K522">
            <v>696</v>
          </cell>
          <cell r="L522">
            <v>62</v>
          </cell>
          <cell r="M522">
            <v>12</v>
          </cell>
          <cell r="N522">
            <v>17</v>
          </cell>
          <cell r="O522">
            <v>33</v>
          </cell>
          <cell r="P522">
            <v>719</v>
          </cell>
          <cell r="Q522">
            <v>119</v>
          </cell>
          <cell r="R522">
            <v>600</v>
          </cell>
          <cell r="S522">
            <v>2908</v>
          </cell>
          <cell r="T522">
            <v>781</v>
          </cell>
        </row>
        <row r="523">
          <cell r="C523" t="str">
            <v>Everson city, Washington</v>
          </cell>
          <cell r="D523">
            <v>76</v>
          </cell>
          <cell r="E523">
            <v>65</v>
          </cell>
          <cell r="F523">
            <v>37</v>
          </cell>
          <cell r="G523">
            <v>28</v>
          </cell>
          <cell r="H523">
            <v>0</v>
          </cell>
          <cell r="I523">
            <v>0</v>
          </cell>
          <cell r="J523">
            <v>9</v>
          </cell>
          <cell r="K523">
            <v>19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11</v>
          </cell>
          <cell r="Q523">
            <v>7</v>
          </cell>
          <cell r="R523">
            <v>4</v>
          </cell>
          <cell r="S523">
            <v>65</v>
          </cell>
          <cell r="T523">
            <v>11</v>
          </cell>
        </row>
        <row r="524">
          <cell r="C524" t="str">
            <v>Fairchild AFB CDP, Washington</v>
          </cell>
          <cell r="D524">
            <v>245</v>
          </cell>
          <cell r="E524">
            <v>245</v>
          </cell>
          <cell r="F524">
            <v>105</v>
          </cell>
          <cell r="G524">
            <v>127</v>
          </cell>
          <cell r="H524">
            <v>0</v>
          </cell>
          <cell r="I524">
            <v>9</v>
          </cell>
          <cell r="J524">
            <v>50</v>
          </cell>
          <cell r="K524">
            <v>68</v>
          </cell>
          <cell r="L524">
            <v>13</v>
          </cell>
          <cell r="M524">
            <v>0</v>
          </cell>
          <cell r="N524">
            <v>0</v>
          </cell>
          <cell r="O524">
            <v>13</v>
          </cell>
          <cell r="P524">
            <v>0</v>
          </cell>
          <cell r="Q524">
            <v>0</v>
          </cell>
          <cell r="R524">
            <v>0</v>
          </cell>
          <cell r="S524">
            <v>232</v>
          </cell>
          <cell r="T524">
            <v>13</v>
          </cell>
        </row>
        <row r="525">
          <cell r="C525" t="str">
            <v>Fairfield town, Washington</v>
          </cell>
          <cell r="D525">
            <v>27</v>
          </cell>
          <cell r="E525">
            <v>27</v>
          </cell>
          <cell r="F525">
            <v>14</v>
          </cell>
          <cell r="G525">
            <v>13</v>
          </cell>
          <cell r="H525">
            <v>0</v>
          </cell>
          <cell r="I525">
            <v>0</v>
          </cell>
          <cell r="J525">
            <v>5</v>
          </cell>
          <cell r="K525">
            <v>8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27</v>
          </cell>
          <cell r="T525">
            <v>0</v>
          </cell>
        </row>
        <row r="526">
          <cell r="C526" t="str">
            <v>Fairwood CDP, Washington</v>
          </cell>
          <cell r="D526">
            <v>96</v>
          </cell>
          <cell r="E526">
            <v>62</v>
          </cell>
          <cell r="F526">
            <v>30</v>
          </cell>
          <cell r="G526">
            <v>32</v>
          </cell>
          <cell r="H526">
            <v>0</v>
          </cell>
          <cell r="I526">
            <v>12</v>
          </cell>
          <cell r="J526">
            <v>0</v>
          </cell>
          <cell r="K526">
            <v>20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34</v>
          </cell>
          <cell r="Q526">
            <v>0</v>
          </cell>
          <cell r="R526">
            <v>34</v>
          </cell>
          <cell r="S526">
            <v>62</v>
          </cell>
          <cell r="T526">
            <v>34</v>
          </cell>
        </row>
        <row r="527">
          <cell r="C527" t="str">
            <v>Fall City CDP, Washington</v>
          </cell>
          <cell r="D527">
            <v>31</v>
          </cell>
          <cell r="E527">
            <v>31</v>
          </cell>
          <cell r="F527">
            <v>20</v>
          </cell>
          <cell r="G527">
            <v>11</v>
          </cell>
          <cell r="H527">
            <v>6</v>
          </cell>
          <cell r="I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31</v>
          </cell>
          <cell r="T527">
            <v>0</v>
          </cell>
        </row>
        <row r="528">
          <cell r="C528" t="str">
            <v>Farmington town, Washington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</row>
        <row r="529">
          <cell r="C529" t="str">
            <v>Federal Way city, Washington</v>
          </cell>
          <cell r="D529">
            <v>5204</v>
          </cell>
          <cell r="E529">
            <v>4241</v>
          </cell>
          <cell r="F529">
            <v>2549</v>
          </cell>
          <cell r="G529">
            <v>1554</v>
          </cell>
          <cell r="H529">
            <v>60</v>
          </cell>
          <cell r="I529">
            <v>268</v>
          </cell>
          <cell r="J529">
            <v>388</v>
          </cell>
          <cell r="K529">
            <v>838</v>
          </cell>
          <cell r="L529">
            <v>138</v>
          </cell>
          <cell r="M529">
            <v>0</v>
          </cell>
          <cell r="N529">
            <v>17</v>
          </cell>
          <cell r="O529">
            <v>121</v>
          </cell>
          <cell r="P529">
            <v>963</v>
          </cell>
          <cell r="Q529">
            <v>204</v>
          </cell>
          <cell r="R529">
            <v>759</v>
          </cell>
          <cell r="S529">
            <v>4103</v>
          </cell>
          <cell r="T529">
            <v>1101</v>
          </cell>
        </row>
        <row r="530">
          <cell r="C530" t="str">
            <v>Felida CDP, Washington</v>
          </cell>
          <cell r="D530">
            <v>214</v>
          </cell>
          <cell r="E530">
            <v>214</v>
          </cell>
          <cell r="F530">
            <v>104</v>
          </cell>
          <cell r="G530">
            <v>110</v>
          </cell>
          <cell r="H530">
            <v>0</v>
          </cell>
          <cell r="I530">
            <v>0</v>
          </cell>
          <cell r="J530">
            <v>19</v>
          </cell>
          <cell r="K530">
            <v>91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214</v>
          </cell>
          <cell r="T530">
            <v>0</v>
          </cell>
        </row>
        <row r="531">
          <cell r="C531" t="str">
            <v>Ferndale city, Washington</v>
          </cell>
          <cell r="D531">
            <v>424</v>
          </cell>
          <cell r="E531">
            <v>295</v>
          </cell>
          <cell r="F531">
            <v>250</v>
          </cell>
          <cell r="G531">
            <v>34</v>
          </cell>
          <cell r="H531">
            <v>0</v>
          </cell>
          <cell r="I531">
            <v>0</v>
          </cell>
          <cell r="J531">
            <v>9</v>
          </cell>
          <cell r="K531">
            <v>25</v>
          </cell>
          <cell r="L531">
            <v>11</v>
          </cell>
          <cell r="M531">
            <v>0</v>
          </cell>
          <cell r="N531">
            <v>0</v>
          </cell>
          <cell r="O531">
            <v>11</v>
          </cell>
          <cell r="P531">
            <v>129</v>
          </cell>
          <cell r="Q531">
            <v>17</v>
          </cell>
          <cell r="R531">
            <v>112</v>
          </cell>
          <cell r="S531">
            <v>284</v>
          </cell>
          <cell r="T531">
            <v>140</v>
          </cell>
        </row>
        <row r="532">
          <cell r="C532" t="str">
            <v>Fife city, Washington</v>
          </cell>
          <cell r="D532">
            <v>305</v>
          </cell>
          <cell r="E532">
            <v>261</v>
          </cell>
          <cell r="F532">
            <v>176</v>
          </cell>
          <cell r="G532">
            <v>76</v>
          </cell>
          <cell r="H532">
            <v>3</v>
          </cell>
          <cell r="I532">
            <v>11</v>
          </cell>
          <cell r="J532">
            <v>29</v>
          </cell>
          <cell r="K532">
            <v>33</v>
          </cell>
          <cell r="L532">
            <v>9</v>
          </cell>
          <cell r="M532">
            <v>0</v>
          </cell>
          <cell r="N532">
            <v>0</v>
          </cell>
          <cell r="O532">
            <v>9</v>
          </cell>
          <cell r="P532">
            <v>44</v>
          </cell>
          <cell r="Q532">
            <v>28</v>
          </cell>
          <cell r="R532">
            <v>16</v>
          </cell>
          <cell r="S532">
            <v>252</v>
          </cell>
          <cell r="T532">
            <v>53</v>
          </cell>
        </row>
        <row r="533">
          <cell r="C533" t="str">
            <v>Finley CDP, Washington</v>
          </cell>
          <cell r="D533">
            <v>224</v>
          </cell>
          <cell r="E533">
            <v>174</v>
          </cell>
          <cell r="F533">
            <v>95</v>
          </cell>
          <cell r="G533">
            <v>79</v>
          </cell>
          <cell r="H533">
            <v>0</v>
          </cell>
          <cell r="I533">
            <v>26</v>
          </cell>
          <cell r="J533">
            <v>29</v>
          </cell>
          <cell r="K533">
            <v>24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50</v>
          </cell>
          <cell r="Q533">
            <v>16</v>
          </cell>
          <cell r="R533">
            <v>34</v>
          </cell>
          <cell r="S533">
            <v>174</v>
          </cell>
          <cell r="T533">
            <v>50</v>
          </cell>
        </row>
        <row r="534">
          <cell r="C534" t="str">
            <v>Fircrest city, Washington</v>
          </cell>
          <cell r="D534">
            <v>247</v>
          </cell>
          <cell r="E534">
            <v>231</v>
          </cell>
          <cell r="F534">
            <v>147</v>
          </cell>
          <cell r="G534">
            <v>84</v>
          </cell>
          <cell r="H534">
            <v>0</v>
          </cell>
          <cell r="I534">
            <v>18</v>
          </cell>
          <cell r="J534">
            <v>0</v>
          </cell>
          <cell r="K534">
            <v>66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16</v>
          </cell>
          <cell r="Q534">
            <v>16</v>
          </cell>
          <cell r="R534">
            <v>0</v>
          </cell>
          <cell r="S534">
            <v>231</v>
          </cell>
          <cell r="T534">
            <v>16</v>
          </cell>
        </row>
        <row r="535">
          <cell r="C535" t="str">
            <v>Five Corners CDP, Washington</v>
          </cell>
          <cell r="D535">
            <v>326</v>
          </cell>
          <cell r="E535">
            <v>302</v>
          </cell>
          <cell r="F535">
            <v>130</v>
          </cell>
          <cell r="G535">
            <v>156</v>
          </cell>
          <cell r="H535">
            <v>6</v>
          </cell>
          <cell r="I535">
            <v>8</v>
          </cell>
          <cell r="J535">
            <v>15</v>
          </cell>
          <cell r="K535">
            <v>127</v>
          </cell>
          <cell r="L535">
            <v>16</v>
          </cell>
          <cell r="M535">
            <v>0</v>
          </cell>
          <cell r="N535">
            <v>9</v>
          </cell>
          <cell r="O535">
            <v>7</v>
          </cell>
          <cell r="P535">
            <v>24</v>
          </cell>
          <cell r="Q535">
            <v>24</v>
          </cell>
          <cell r="R535">
            <v>0</v>
          </cell>
          <cell r="S535">
            <v>286</v>
          </cell>
          <cell r="T535">
            <v>40</v>
          </cell>
        </row>
        <row r="536">
          <cell r="C536" t="str">
            <v>Fords Prairie CDP, Washington</v>
          </cell>
          <cell r="D536">
            <v>39</v>
          </cell>
          <cell r="E536">
            <v>39</v>
          </cell>
          <cell r="F536">
            <v>29</v>
          </cell>
          <cell r="G536">
            <v>10</v>
          </cell>
          <cell r="H536">
            <v>0</v>
          </cell>
          <cell r="I536">
            <v>10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39</v>
          </cell>
          <cell r="T536">
            <v>0</v>
          </cell>
        </row>
        <row r="537">
          <cell r="C537" t="str">
            <v>Forks city, Washington</v>
          </cell>
          <cell r="D537">
            <v>67</v>
          </cell>
          <cell r="E537">
            <v>67</v>
          </cell>
          <cell r="F537">
            <v>63</v>
          </cell>
          <cell r="G537">
            <v>4</v>
          </cell>
          <cell r="H537">
            <v>0</v>
          </cell>
          <cell r="I537">
            <v>0</v>
          </cell>
          <cell r="J537">
            <v>0</v>
          </cell>
          <cell r="K537">
            <v>4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67</v>
          </cell>
          <cell r="T537">
            <v>0</v>
          </cell>
        </row>
        <row r="538">
          <cell r="C538" t="str">
            <v>Fort Lewis CDP, Washington</v>
          </cell>
          <cell r="D538">
            <v>1395</v>
          </cell>
          <cell r="E538">
            <v>1311</v>
          </cell>
          <cell r="F538">
            <v>290</v>
          </cell>
          <cell r="G538">
            <v>866</v>
          </cell>
          <cell r="H538">
            <v>58</v>
          </cell>
          <cell r="I538">
            <v>87</v>
          </cell>
          <cell r="J538">
            <v>332</v>
          </cell>
          <cell r="K538">
            <v>389</v>
          </cell>
          <cell r="L538">
            <v>155</v>
          </cell>
          <cell r="M538">
            <v>9</v>
          </cell>
          <cell r="N538">
            <v>19</v>
          </cell>
          <cell r="O538">
            <v>127</v>
          </cell>
          <cell r="P538">
            <v>84</v>
          </cell>
          <cell r="Q538">
            <v>17</v>
          </cell>
          <cell r="R538">
            <v>67</v>
          </cell>
          <cell r="S538">
            <v>1156</v>
          </cell>
          <cell r="T538">
            <v>239</v>
          </cell>
        </row>
        <row r="539">
          <cell r="C539" t="str">
            <v>Fox Island CDP, Washington</v>
          </cell>
          <cell r="D539">
            <v>55</v>
          </cell>
          <cell r="E539">
            <v>55</v>
          </cell>
          <cell r="F539">
            <v>27</v>
          </cell>
          <cell r="G539">
            <v>28</v>
          </cell>
          <cell r="H539">
            <v>0</v>
          </cell>
          <cell r="I539">
            <v>11</v>
          </cell>
          <cell r="J539">
            <v>12</v>
          </cell>
          <cell r="K539">
            <v>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55</v>
          </cell>
          <cell r="T539">
            <v>0</v>
          </cell>
        </row>
        <row r="540">
          <cell r="C540" t="str">
            <v>Frederickson CDP, Washington</v>
          </cell>
          <cell r="D540">
            <v>270</v>
          </cell>
          <cell r="E540">
            <v>270</v>
          </cell>
          <cell r="F540">
            <v>146</v>
          </cell>
          <cell r="G540">
            <v>119</v>
          </cell>
          <cell r="H540">
            <v>17</v>
          </cell>
          <cell r="I540">
            <v>7</v>
          </cell>
          <cell r="J540">
            <v>43</v>
          </cell>
          <cell r="K540">
            <v>52</v>
          </cell>
          <cell r="L540">
            <v>5</v>
          </cell>
          <cell r="M540">
            <v>0</v>
          </cell>
          <cell r="N540">
            <v>0</v>
          </cell>
          <cell r="O540">
            <v>5</v>
          </cell>
          <cell r="P540">
            <v>0</v>
          </cell>
          <cell r="Q540">
            <v>0</v>
          </cell>
          <cell r="R540">
            <v>0</v>
          </cell>
          <cell r="S540">
            <v>265</v>
          </cell>
          <cell r="T540">
            <v>5</v>
          </cell>
        </row>
        <row r="541">
          <cell r="C541" t="str">
            <v>Freeland CDP, Washington</v>
          </cell>
          <cell r="D541">
            <v>23</v>
          </cell>
          <cell r="E541">
            <v>23</v>
          </cell>
          <cell r="F541">
            <v>15</v>
          </cell>
          <cell r="G541">
            <v>8</v>
          </cell>
          <cell r="H541">
            <v>0</v>
          </cell>
          <cell r="I541">
            <v>8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23</v>
          </cell>
          <cell r="T541">
            <v>0</v>
          </cell>
        </row>
        <row r="542">
          <cell r="C542" t="str">
            <v>Friday Harbor town, Washington</v>
          </cell>
          <cell r="D542">
            <v>24</v>
          </cell>
          <cell r="E542">
            <v>17</v>
          </cell>
          <cell r="F542">
            <v>12</v>
          </cell>
          <cell r="G542">
            <v>5</v>
          </cell>
          <cell r="H542">
            <v>0</v>
          </cell>
          <cell r="I542">
            <v>0</v>
          </cell>
          <cell r="J542">
            <v>0</v>
          </cell>
          <cell r="K542">
            <v>5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7</v>
          </cell>
          <cell r="Q542">
            <v>0</v>
          </cell>
          <cell r="R542">
            <v>7</v>
          </cell>
          <cell r="S542">
            <v>17</v>
          </cell>
          <cell r="T542">
            <v>7</v>
          </cell>
        </row>
        <row r="543">
          <cell r="C543" t="str">
            <v>Garfield town, Washington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</row>
        <row r="544">
          <cell r="C544" t="str">
            <v>Garrett CDP, Washington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</row>
        <row r="545">
          <cell r="C545" t="str">
            <v>Geneva CDP, Washington</v>
          </cell>
          <cell r="D545">
            <v>67</v>
          </cell>
          <cell r="E545">
            <v>59</v>
          </cell>
          <cell r="F545">
            <v>35</v>
          </cell>
          <cell r="G545">
            <v>24</v>
          </cell>
          <cell r="H545">
            <v>0</v>
          </cell>
          <cell r="I545">
            <v>0</v>
          </cell>
          <cell r="J545">
            <v>21</v>
          </cell>
          <cell r="K545">
            <v>3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8</v>
          </cell>
          <cell r="Q545">
            <v>0</v>
          </cell>
          <cell r="R545">
            <v>8</v>
          </cell>
          <cell r="S545">
            <v>59</v>
          </cell>
          <cell r="T545">
            <v>8</v>
          </cell>
        </row>
        <row r="546">
          <cell r="C546" t="str">
            <v>George city, Washington</v>
          </cell>
          <cell r="D546">
            <v>34</v>
          </cell>
          <cell r="E546">
            <v>15</v>
          </cell>
          <cell r="F546">
            <v>12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3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19</v>
          </cell>
          <cell r="Q546">
            <v>5</v>
          </cell>
          <cell r="R546">
            <v>14</v>
          </cell>
          <cell r="S546">
            <v>15</v>
          </cell>
          <cell r="T546">
            <v>19</v>
          </cell>
        </row>
        <row r="547">
          <cell r="C547" t="str">
            <v>Gig Harbor city, Washington</v>
          </cell>
          <cell r="D547">
            <v>153</v>
          </cell>
          <cell r="E547">
            <v>129</v>
          </cell>
          <cell r="F547">
            <v>62</v>
          </cell>
          <cell r="G547">
            <v>57</v>
          </cell>
          <cell r="H547">
            <v>0</v>
          </cell>
          <cell r="I547">
            <v>7</v>
          </cell>
          <cell r="J547">
            <v>7</v>
          </cell>
          <cell r="K547">
            <v>43</v>
          </cell>
          <cell r="L547">
            <v>10</v>
          </cell>
          <cell r="M547">
            <v>0</v>
          </cell>
          <cell r="N547">
            <v>0</v>
          </cell>
          <cell r="O547">
            <v>10</v>
          </cell>
          <cell r="P547">
            <v>24</v>
          </cell>
          <cell r="Q547">
            <v>24</v>
          </cell>
          <cell r="R547">
            <v>0</v>
          </cell>
          <cell r="S547">
            <v>119</v>
          </cell>
          <cell r="T547">
            <v>34</v>
          </cell>
        </row>
        <row r="548">
          <cell r="C548" t="str">
            <v>Glacier CDP, Washington</v>
          </cell>
          <cell r="D548">
            <v>29</v>
          </cell>
          <cell r="E548">
            <v>29</v>
          </cell>
          <cell r="F548">
            <v>29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29</v>
          </cell>
          <cell r="T548">
            <v>0</v>
          </cell>
        </row>
        <row r="549">
          <cell r="C549" t="str">
            <v>Gleed CDP, Washington</v>
          </cell>
          <cell r="D549">
            <v>106</v>
          </cell>
          <cell r="E549">
            <v>106</v>
          </cell>
          <cell r="F549">
            <v>98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8</v>
          </cell>
          <cell r="M549">
            <v>0</v>
          </cell>
          <cell r="N549">
            <v>0</v>
          </cell>
          <cell r="O549">
            <v>8</v>
          </cell>
          <cell r="P549">
            <v>0</v>
          </cell>
          <cell r="Q549">
            <v>0</v>
          </cell>
          <cell r="R549">
            <v>0</v>
          </cell>
          <cell r="S549">
            <v>98</v>
          </cell>
          <cell r="T549">
            <v>8</v>
          </cell>
        </row>
        <row r="550">
          <cell r="C550" t="str">
            <v>Gold Bar city, Washington</v>
          </cell>
          <cell r="D550">
            <v>96</v>
          </cell>
          <cell r="E550">
            <v>94</v>
          </cell>
          <cell r="F550">
            <v>53</v>
          </cell>
          <cell r="G550">
            <v>28</v>
          </cell>
          <cell r="H550">
            <v>3</v>
          </cell>
          <cell r="I550">
            <v>5</v>
          </cell>
          <cell r="J550">
            <v>11</v>
          </cell>
          <cell r="K550">
            <v>9</v>
          </cell>
          <cell r="L550">
            <v>13</v>
          </cell>
          <cell r="M550">
            <v>0</v>
          </cell>
          <cell r="N550">
            <v>4</v>
          </cell>
          <cell r="O550">
            <v>9</v>
          </cell>
          <cell r="P550">
            <v>2</v>
          </cell>
          <cell r="Q550">
            <v>2</v>
          </cell>
          <cell r="R550">
            <v>0</v>
          </cell>
          <cell r="S550">
            <v>81</v>
          </cell>
          <cell r="T550">
            <v>15</v>
          </cell>
        </row>
        <row r="551">
          <cell r="C551" t="str">
            <v>Goldendale city, Washington</v>
          </cell>
          <cell r="D551">
            <v>31</v>
          </cell>
          <cell r="E551">
            <v>31</v>
          </cell>
          <cell r="F551">
            <v>7</v>
          </cell>
          <cell r="G551">
            <v>24</v>
          </cell>
          <cell r="H551">
            <v>0</v>
          </cell>
          <cell r="I551">
            <v>8</v>
          </cell>
          <cell r="J551">
            <v>0</v>
          </cell>
          <cell r="K551">
            <v>16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31</v>
          </cell>
          <cell r="T551">
            <v>0</v>
          </cell>
        </row>
        <row r="552">
          <cell r="C552" t="str">
            <v>Graham CDP, Washington</v>
          </cell>
          <cell r="D552">
            <v>378</v>
          </cell>
          <cell r="E552">
            <v>378</v>
          </cell>
          <cell r="F552">
            <v>251</v>
          </cell>
          <cell r="G552">
            <v>108</v>
          </cell>
          <cell r="H552">
            <v>14</v>
          </cell>
          <cell r="I552">
            <v>14</v>
          </cell>
          <cell r="J552">
            <v>9</v>
          </cell>
          <cell r="K552">
            <v>71</v>
          </cell>
          <cell r="L552">
            <v>19</v>
          </cell>
          <cell r="M552">
            <v>0</v>
          </cell>
          <cell r="N552">
            <v>0</v>
          </cell>
          <cell r="O552">
            <v>19</v>
          </cell>
          <cell r="P552">
            <v>0</v>
          </cell>
          <cell r="Q552">
            <v>0</v>
          </cell>
          <cell r="R552">
            <v>0</v>
          </cell>
          <cell r="S552">
            <v>359</v>
          </cell>
          <cell r="T552">
            <v>19</v>
          </cell>
        </row>
        <row r="553">
          <cell r="C553" t="str">
            <v>Grand Coulee city, Washington</v>
          </cell>
          <cell r="D553">
            <v>14</v>
          </cell>
          <cell r="E553">
            <v>14</v>
          </cell>
          <cell r="F553">
            <v>8</v>
          </cell>
          <cell r="G553">
            <v>6</v>
          </cell>
          <cell r="H553">
            <v>0</v>
          </cell>
          <cell r="I553">
            <v>0</v>
          </cell>
          <cell r="J553">
            <v>3</v>
          </cell>
          <cell r="K553">
            <v>3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14</v>
          </cell>
          <cell r="T553">
            <v>0</v>
          </cell>
        </row>
        <row r="554">
          <cell r="C554" t="str">
            <v>Grand Mound CDP, Washington</v>
          </cell>
          <cell r="D554">
            <v>72</v>
          </cell>
          <cell r="E554">
            <v>72</v>
          </cell>
          <cell r="F554">
            <v>37</v>
          </cell>
          <cell r="G554">
            <v>35</v>
          </cell>
          <cell r="H554">
            <v>0</v>
          </cell>
          <cell r="I554">
            <v>0</v>
          </cell>
          <cell r="J554">
            <v>8</v>
          </cell>
          <cell r="K554">
            <v>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72</v>
          </cell>
          <cell r="T554">
            <v>0</v>
          </cell>
        </row>
        <row r="555">
          <cell r="C555" t="str">
            <v>Grandview city, Washington</v>
          </cell>
          <cell r="D555">
            <v>294</v>
          </cell>
          <cell r="E555">
            <v>228</v>
          </cell>
          <cell r="F555">
            <v>123</v>
          </cell>
          <cell r="G555">
            <v>105</v>
          </cell>
          <cell r="H555">
            <v>0</v>
          </cell>
          <cell r="I555">
            <v>6</v>
          </cell>
          <cell r="J555">
            <v>57</v>
          </cell>
          <cell r="K555">
            <v>42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66</v>
          </cell>
          <cell r="Q555">
            <v>39</v>
          </cell>
          <cell r="R555">
            <v>27</v>
          </cell>
          <cell r="S555">
            <v>228</v>
          </cell>
          <cell r="T555">
            <v>66</v>
          </cell>
        </row>
        <row r="556">
          <cell r="C556" t="str">
            <v>Granger town, Washington</v>
          </cell>
          <cell r="D556">
            <v>61</v>
          </cell>
          <cell r="E556">
            <v>48</v>
          </cell>
          <cell r="F556">
            <v>42</v>
          </cell>
          <cell r="G556">
            <v>6</v>
          </cell>
          <cell r="H556">
            <v>0</v>
          </cell>
          <cell r="I556">
            <v>0</v>
          </cell>
          <cell r="J556">
            <v>3</v>
          </cell>
          <cell r="K556">
            <v>3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13</v>
          </cell>
          <cell r="Q556">
            <v>0</v>
          </cell>
          <cell r="R556">
            <v>13</v>
          </cell>
          <cell r="S556">
            <v>48</v>
          </cell>
          <cell r="T556">
            <v>13</v>
          </cell>
        </row>
        <row r="557">
          <cell r="C557" t="str">
            <v>Granite Falls city, Washington</v>
          </cell>
          <cell r="D557">
            <v>73</v>
          </cell>
          <cell r="E557">
            <v>70</v>
          </cell>
          <cell r="F557">
            <v>44</v>
          </cell>
          <cell r="G557">
            <v>26</v>
          </cell>
          <cell r="H557">
            <v>6</v>
          </cell>
          <cell r="I557">
            <v>0</v>
          </cell>
          <cell r="J557">
            <v>7</v>
          </cell>
          <cell r="K557">
            <v>13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3</v>
          </cell>
          <cell r="Q557">
            <v>0</v>
          </cell>
          <cell r="R557">
            <v>3</v>
          </cell>
          <cell r="S557">
            <v>70</v>
          </cell>
          <cell r="T557">
            <v>3</v>
          </cell>
        </row>
        <row r="558">
          <cell r="C558" t="str">
            <v>Grayland CDP, Washington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</row>
        <row r="559">
          <cell r="C559" t="str">
            <v>Green Acres CDP, Washington</v>
          </cell>
          <cell r="D559">
            <v>135</v>
          </cell>
          <cell r="E559">
            <v>121</v>
          </cell>
          <cell r="F559">
            <v>62</v>
          </cell>
          <cell r="G559">
            <v>59</v>
          </cell>
          <cell r="H559">
            <v>22</v>
          </cell>
          <cell r="I559">
            <v>5</v>
          </cell>
          <cell r="J559">
            <v>0</v>
          </cell>
          <cell r="K559">
            <v>32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14</v>
          </cell>
          <cell r="Q559">
            <v>7</v>
          </cell>
          <cell r="R559">
            <v>7</v>
          </cell>
          <cell r="S559">
            <v>121</v>
          </cell>
          <cell r="T559">
            <v>14</v>
          </cell>
        </row>
        <row r="560">
          <cell r="C560" t="str">
            <v>Greenwater CDP, Washington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</row>
        <row r="561">
          <cell r="C561" t="str">
            <v>Hamilton town, Washington</v>
          </cell>
          <cell r="D561">
            <v>14</v>
          </cell>
          <cell r="E561">
            <v>11</v>
          </cell>
          <cell r="F561">
            <v>0</v>
          </cell>
          <cell r="G561">
            <v>9</v>
          </cell>
          <cell r="H561">
            <v>0</v>
          </cell>
          <cell r="I561">
            <v>2</v>
          </cell>
          <cell r="J561">
            <v>0</v>
          </cell>
          <cell r="K561">
            <v>7</v>
          </cell>
          <cell r="L561">
            <v>2</v>
          </cell>
          <cell r="M561">
            <v>0</v>
          </cell>
          <cell r="N561">
            <v>0</v>
          </cell>
          <cell r="O561">
            <v>2</v>
          </cell>
          <cell r="P561">
            <v>3</v>
          </cell>
          <cell r="Q561">
            <v>0</v>
          </cell>
          <cell r="R561">
            <v>3</v>
          </cell>
          <cell r="S561">
            <v>9</v>
          </cell>
          <cell r="T561">
            <v>5</v>
          </cell>
        </row>
        <row r="562">
          <cell r="C562" t="str">
            <v>Harrah town, Washington</v>
          </cell>
          <cell r="D562">
            <v>32</v>
          </cell>
          <cell r="E562">
            <v>32</v>
          </cell>
          <cell r="F562">
            <v>30</v>
          </cell>
          <cell r="G562">
            <v>2</v>
          </cell>
          <cell r="H562">
            <v>0</v>
          </cell>
          <cell r="I562">
            <v>0</v>
          </cell>
          <cell r="J562">
            <v>0</v>
          </cell>
          <cell r="K562">
            <v>2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32</v>
          </cell>
          <cell r="T562">
            <v>0</v>
          </cell>
        </row>
        <row r="563">
          <cell r="C563" t="str">
            <v>Harrington city, Washington</v>
          </cell>
          <cell r="D563">
            <v>47</v>
          </cell>
          <cell r="E563">
            <v>47</v>
          </cell>
          <cell r="F563">
            <v>42</v>
          </cell>
          <cell r="G563">
            <v>5</v>
          </cell>
          <cell r="H563">
            <v>0</v>
          </cell>
          <cell r="I563">
            <v>0</v>
          </cell>
          <cell r="J563">
            <v>0</v>
          </cell>
          <cell r="K563">
            <v>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47</v>
          </cell>
          <cell r="T563">
            <v>0</v>
          </cell>
        </row>
        <row r="564">
          <cell r="C564" t="str">
            <v>Hartline town, Washington</v>
          </cell>
          <cell r="D564">
            <v>7</v>
          </cell>
          <cell r="E564">
            <v>7</v>
          </cell>
          <cell r="F564">
            <v>5</v>
          </cell>
          <cell r="G564">
            <v>2</v>
          </cell>
          <cell r="H564">
            <v>0</v>
          </cell>
          <cell r="I564">
            <v>0</v>
          </cell>
          <cell r="J564">
            <v>0</v>
          </cell>
          <cell r="K564">
            <v>2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7</v>
          </cell>
          <cell r="T564">
            <v>0</v>
          </cell>
        </row>
        <row r="565">
          <cell r="C565" t="str">
            <v>Hatton town, Washington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</row>
        <row r="566">
          <cell r="C566" t="str">
            <v>Hazel Dell North CDP, Washington</v>
          </cell>
          <cell r="D566">
            <v>280</v>
          </cell>
          <cell r="E566">
            <v>213</v>
          </cell>
          <cell r="F566">
            <v>66</v>
          </cell>
          <cell r="G566">
            <v>147</v>
          </cell>
          <cell r="H566">
            <v>0</v>
          </cell>
          <cell r="I566">
            <v>13</v>
          </cell>
          <cell r="J566">
            <v>17</v>
          </cell>
          <cell r="K566">
            <v>117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67</v>
          </cell>
          <cell r="Q566">
            <v>0</v>
          </cell>
          <cell r="R566">
            <v>67</v>
          </cell>
          <cell r="S566">
            <v>213</v>
          </cell>
          <cell r="T566">
            <v>67</v>
          </cell>
        </row>
        <row r="567">
          <cell r="C567" t="str">
            <v>Hazel Dell South CDP, Washington</v>
          </cell>
          <cell r="D567">
            <v>173</v>
          </cell>
          <cell r="E567">
            <v>132</v>
          </cell>
          <cell r="F567">
            <v>59</v>
          </cell>
          <cell r="G567">
            <v>73</v>
          </cell>
          <cell r="H567">
            <v>5</v>
          </cell>
          <cell r="I567">
            <v>13</v>
          </cell>
          <cell r="J567">
            <v>12</v>
          </cell>
          <cell r="K567">
            <v>43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41</v>
          </cell>
          <cell r="Q567">
            <v>0</v>
          </cell>
          <cell r="R567">
            <v>41</v>
          </cell>
          <cell r="S567">
            <v>132</v>
          </cell>
          <cell r="T567">
            <v>41</v>
          </cell>
        </row>
        <row r="568">
          <cell r="C568" t="str">
            <v>Highland CDP, Washington</v>
          </cell>
          <cell r="D568">
            <v>50</v>
          </cell>
          <cell r="E568">
            <v>50</v>
          </cell>
          <cell r="F568">
            <v>44</v>
          </cell>
          <cell r="G568">
            <v>6</v>
          </cell>
          <cell r="H568">
            <v>0</v>
          </cell>
          <cell r="I568">
            <v>6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50</v>
          </cell>
          <cell r="T568">
            <v>0</v>
          </cell>
        </row>
        <row r="569">
          <cell r="C569" t="str">
            <v>Hobart CDP, Washington</v>
          </cell>
          <cell r="D569">
            <v>148</v>
          </cell>
          <cell r="E569">
            <v>139</v>
          </cell>
          <cell r="F569">
            <v>72</v>
          </cell>
          <cell r="G569">
            <v>67</v>
          </cell>
          <cell r="H569">
            <v>0</v>
          </cell>
          <cell r="I569">
            <v>8</v>
          </cell>
          <cell r="J569">
            <v>20</v>
          </cell>
          <cell r="K569">
            <v>39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9</v>
          </cell>
          <cell r="Q569">
            <v>9</v>
          </cell>
          <cell r="R569">
            <v>0</v>
          </cell>
          <cell r="S569">
            <v>139</v>
          </cell>
          <cell r="T569">
            <v>9</v>
          </cell>
        </row>
        <row r="570">
          <cell r="C570" t="str">
            <v>Hockinson CDP, Washington</v>
          </cell>
          <cell r="D570">
            <v>149</v>
          </cell>
          <cell r="E570">
            <v>139</v>
          </cell>
          <cell r="F570">
            <v>55</v>
          </cell>
          <cell r="G570">
            <v>84</v>
          </cell>
          <cell r="H570">
            <v>0</v>
          </cell>
          <cell r="I570">
            <v>12</v>
          </cell>
          <cell r="J570">
            <v>0</v>
          </cell>
          <cell r="K570">
            <v>72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10</v>
          </cell>
          <cell r="Q570">
            <v>0</v>
          </cell>
          <cell r="R570">
            <v>10</v>
          </cell>
          <cell r="S570">
            <v>139</v>
          </cell>
          <cell r="T570">
            <v>10</v>
          </cell>
        </row>
        <row r="571">
          <cell r="C571" t="str">
            <v>Hoquiam city, Washington</v>
          </cell>
          <cell r="D571">
            <v>229</v>
          </cell>
          <cell r="E571">
            <v>211</v>
          </cell>
          <cell r="F571">
            <v>153</v>
          </cell>
          <cell r="G571">
            <v>51</v>
          </cell>
          <cell r="H571">
            <v>0</v>
          </cell>
          <cell r="I571">
            <v>9</v>
          </cell>
          <cell r="J571">
            <v>5</v>
          </cell>
          <cell r="K571">
            <v>37</v>
          </cell>
          <cell r="L571">
            <v>7</v>
          </cell>
          <cell r="M571">
            <v>0</v>
          </cell>
          <cell r="N571">
            <v>7</v>
          </cell>
          <cell r="O571">
            <v>0</v>
          </cell>
          <cell r="P571">
            <v>18</v>
          </cell>
          <cell r="Q571">
            <v>0</v>
          </cell>
          <cell r="R571">
            <v>18</v>
          </cell>
          <cell r="S571">
            <v>204</v>
          </cell>
          <cell r="T571">
            <v>25</v>
          </cell>
        </row>
        <row r="572">
          <cell r="C572" t="str">
            <v>Humptulips CDP, Washington</v>
          </cell>
          <cell r="D572">
            <v>6</v>
          </cell>
          <cell r="E572">
            <v>6</v>
          </cell>
          <cell r="F572">
            <v>2</v>
          </cell>
          <cell r="G572">
            <v>4</v>
          </cell>
          <cell r="H572">
            <v>0</v>
          </cell>
          <cell r="I572">
            <v>2</v>
          </cell>
          <cell r="J572">
            <v>2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6</v>
          </cell>
          <cell r="T572">
            <v>0</v>
          </cell>
        </row>
        <row r="573">
          <cell r="C573" t="str">
            <v>Hunts Point town, Washington</v>
          </cell>
          <cell r="D573">
            <v>15</v>
          </cell>
          <cell r="E573">
            <v>15</v>
          </cell>
          <cell r="F573">
            <v>13</v>
          </cell>
          <cell r="G573">
            <v>2</v>
          </cell>
          <cell r="H573">
            <v>0</v>
          </cell>
          <cell r="I573">
            <v>0</v>
          </cell>
          <cell r="J573">
            <v>0</v>
          </cell>
          <cell r="K573">
            <v>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15</v>
          </cell>
          <cell r="T573">
            <v>0</v>
          </cell>
        </row>
        <row r="574">
          <cell r="C574" t="str">
            <v>Ilwaco city, Washington</v>
          </cell>
          <cell r="D574">
            <v>36</v>
          </cell>
          <cell r="E574">
            <v>35</v>
          </cell>
          <cell r="F574">
            <v>6</v>
          </cell>
          <cell r="G574">
            <v>29</v>
          </cell>
          <cell r="H574">
            <v>0</v>
          </cell>
          <cell r="I574">
            <v>0</v>
          </cell>
          <cell r="J574">
            <v>5</v>
          </cell>
          <cell r="K574">
            <v>24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1</v>
          </cell>
          <cell r="Q574">
            <v>1</v>
          </cell>
          <cell r="R574">
            <v>0</v>
          </cell>
          <cell r="S574">
            <v>35</v>
          </cell>
          <cell r="T574">
            <v>1</v>
          </cell>
        </row>
        <row r="575">
          <cell r="C575" t="str">
            <v>Inchelium CDP, Washington</v>
          </cell>
          <cell r="D575">
            <v>15</v>
          </cell>
          <cell r="E575">
            <v>15</v>
          </cell>
          <cell r="F575">
            <v>13</v>
          </cell>
          <cell r="G575">
            <v>2</v>
          </cell>
          <cell r="H575">
            <v>0</v>
          </cell>
          <cell r="I575">
            <v>0</v>
          </cell>
          <cell r="J575">
            <v>2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15</v>
          </cell>
          <cell r="T575">
            <v>0</v>
          </cell>
        </row>
        <row r="576">
          <cell r="C576" t="str">
            <v>Index town, Washington</v>
          </cell>
          <cell r="D576">
            <v>6</v>
          </cell>
          <cell r="E576">
            <v>6</v>
          </cell>
          <cell r="F576">
            <v>6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6</v>
          </cell>
          <cell r="T576">
            <v>0</v>
          </cell>
        </row>
        <row r="577">
          <cell r="C577" t="str">
            <v>Indianola CDP, Washington</v>
          </cell>
          <cell r="D577">
            <v>150</v>
          </cell>
          <cell r="E577">
            <v>148</v>
          </cell>
          <cell r="F577">
            <v>93</v>
          </cell>
          <cell r="G577">
            <v>45</v>
          </cell>
          <cell r="H577">
            <v>0</v>
          </cell>
          <cell r="I577">
            <v>0</v>
          </cell>
          <cell r="J577">
            <v>17</v>
          </cell>
          <cell r="K577">
            <v>28</v>
          </cell>
          <cell r="L577">
            <v>10</v>
          </cell>
          <cell r="M577">
            <v>0</v>
          </cell>
          <cell r="N577">
            <v>8</v>
          </cell>
          <cell r="O577">
            <v>2</v>
          </cell>
          <cell r="P577">
            <v>2</v>
          </cell>
          <cell r="Q577">
            <v>0</v>
          </cell>
          <cell r="R577">
            <v>2</v>
          </cell>
          <cell r="S577">
            <v>138</v>
          </cell>
          <cell r="T577">
            <v>12</v>
          </cell>
        </row>
        <row r="578">
          <cell r="C578" t="str">
            <v>Inglewood-Finn Hill CDP, Washington</v>
          </cell>
          <cell r="D578">
            <v>977</v>
          </cell>
          <cell r="E578">
            <v>857</v>
          </cell>
          <cell r="F578">
            <v>507</v>
          </cell>
          <cell r="G578">
            <v>332</v>
          </cell>
          <cell r="H578">
            <v>32</v>
          </cell>
          <cell r="I578">
            <v>32</v>
          </cell>
          <cell r="J578">
            <v>65</v>
          </cell>
          <cell r="K578">
            <v>203</v>
          </cell>
          <cell r="L578">
            <v>18</v>
          </cell>
          <cell r="M578">
            <v>0</v>
          </cell>
          <cell r="N578">
            <v>0</v>
          </cell>
          <cell r="O578">
            <v>18</v>
          </cell>
          <cell r="P578">
            <v>120</v>
          </cell>
          <cell r="Q578">
            <v>26</v>
          </cell>
          <cell r="R578">
            <v>94</v>
          </cell>
          <cell r="S578">
            <v>839</v>
          </cell>
          <cell r="T578">
            <v>138</v>
          </cell>
        </row>
        <row r="579">
          <cell r="C579" t="str">
            <v>Ione town, Washington</v>
          </cell>
          <cell r="D579">
            <v>31</v>
          </cell>
          <cell r="E579">
            <v>31</v>
          </cell>
          <cell r="F579">
            <v>27</v>
          </cell>
          <cell r="G579">
            <v>4</v>
          </cell>
          <cell r="H579">
            <v>0</v>
          </cell>
          <cell r="I579">
            <v>0</v>
          </cell>
          <cell r="J579">
            <v>0</v>
          </cell>
          <cell r="K579">
            <v>4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31</v>
          </cell>
          <cell r="T579">
            <v>0</v>
          </cell>
        </row>
        <row r="580">
          <cell r="C580" t="str">
            <v>Issaquah city, Washington</v>
          </cell>
          <cell r="D580">
            <v>343</v>
          </cell>
          <cell r="E580">
            <v>289</v>
          </cell>
          <cell r="F580">
            <v>176</v>
          </cell>
          <cell r="G580">
            <v>105</v>
          </cell>
          <cell r="H580">
            <v>6</v>
          </cell>
          <cell r="I580">
            <v>20</v>
          </cell>
          <cell r="J580">
            <v>8</v>
          </cell>
          <cell r="K580">
            <v>71</v>
          </cell>
          <cell r="L580">
            <v>8</v>
          </cell>
          <cell r="M580">
            <v>0</v>
          </cell>
          <cell r="N580">
            <v>0</v>
          </cell>
          <cell r="O580">
            <v>8</v>
          </cell>
          <cell r="P580">
            <v>54</v>
          </cell>
          <cell r="Q580">
            <v>18</v>
          </cell>
          <cell r="R580">
            <v>36</v>
          </cell>
          <cell r="S580">
            <v>281</v>
          </cell>
          <cell r="T580">
            <v>62</v>
          </cell>
        </row>
        <row r="581">
          <cell r="C581" t="str">
            <v>John Sam Lake CDP, Washington</v>
          </cell>
          <cell r="D581">
            <v>33</v>
          </cell>
          <cell r="E581">
            <v>30</v>
          </cell>
          <cell r="F581">
            <v>27</v>
          </cell>
          <cell r="G581">
            <v>3</v>
          </cell>
          <cell r="H581">
            <v>0</v>
          </cell>
          <cell r="I581">
            <v>3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3</v>
          </cell>
          <cell r="Q581">
            <v>0</v>
          </cell>
          <cell r="R581">
            <v>3</v>
          </cell>
          <cell r="S581">
            <v>30</v>
          </cell>
          <cell r="T581">
            <v>3</v>
          </cell>
        </row>
        <row r="582">
          <cell r="C582" t="str">
            <v>Jordan Road-Canyon Creek CDP, Washington</v>
          </cell>
          <cell r="D582">
            <v>73</v>
          </cell>
          <cell r="E582">
            <v>73</v>
          </cell>
          <cell r="F582">
            <v>58</v>
          </cell>
          <cell r="G582">
            <v>15</v>
          </cell>
          <cell r="H582">
            <v>0</v>
          </cell>
          <cell r="I582">
            <v>0</v>
          </cell>
          <cell r="J582">
            <v>0</v>
          </cell>
          <cell r="K582">
            <v>15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73</v>
          </cell>
          <cell r="T582">
            <v>0</v>
          </cell>
        </row>
        <row r="583">
          <cell r="C583" t="str">
            <v>Junction City CDP, Washington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</row>
        <row r="584">
          <cell r="C584" t="str">
            <v>Kahlotus city, Washington</v>
          </cell>
          <cell r="D584">
            <v>9</v>
          </cell>
          <cell r="E584">
            <v>9</v>
          </cell>
          <cell r="F584">
            <v>2</v>
          </cell>
          <cell r="G584">
            <v>7</v>
          </cell>
          <cell r="H584">
            <v>0</v>
          </cell>
          <cell r="I584">
            <v>0</v>
          </cell>
          <cell r="J584">
            <v>0</v>
          </cell>
          <cell r="K584">
            <v>7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9</v>
          </cell>
          <cell r="T584">
            <v>0</v>
          </cell>
        </row>
        <row r="585">
          <cell r="C585" t="str">
            <v>Kalama city, Washington</v>
          </cell>
          <cell r="D585">
            <v>28</v>
          </cell>
          <cell r="E585">
            <v>28</v>
          </cell>
          <cell r="F585">
            <v>19</v>
          </cell>
          <cell r="G585">
            <v>9</v>
          </cell>
          <cell r="H585">
            <v>0</v>
          </cell>
          <cell r="I585">
            <v>0</v>
          </cell>
          <cell r="J585">
            <v>0</v>
          </cell>
          <cell r="K585">
            <v>9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28</v>
          </cell>
          <cell r="T585">
            <v>0</v>
          </cell>
        </row>
        <row r="586">
          <cell r="C586" t="str">
            <v>Kelso city, Washington</v>
          </cell>
          <cell r="D586">
            <v>384</v>
          </cell>
          <cell r="E586">
            <v>328</v>
          </cell>
          <cell r="F586">
            <v>220</v>
          </cell>
          <cell r="G586">
            <v>108</v>
          </cell>
          <cell r="H586">
            <v>6</v>
          </cell>
          <cell r="I586">
            <v>10</v>
          </cell>
          <cell r="J586">
            <v>9</v>
          </cell>
          <cell r="K586">
            <v>83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56</v>
          </cell>
          <cell r="Q586">
            <v>25</v>
          </cell>
          <cell r="R586">
            <v>31</v>
          </cell>
          <cell r="S586">
            <v>328</v>
          </cell>
          <cell r="T586">
            <v>56</v>
          </cell>
        </row>
        <row r="587">
          <cell r="C587" t="str">
            <v>Kendall CDP, Washington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</row>
        <row r="588">
          <cell r="C588" t="str">
            <v>Kenmore city, Washington</v>
          </cell>
          <cell r="D588">
            <v>524</v>
          </cell>
          <cell r="E588">
            <v>494</v>
          </cell>
          <cell r="F588">
            <v>276</v>
          </cell>
          <cell r="G588">
            <v>200</v>
          </cell>
          <cell r="H588">
            <v>28</v>
          </cell>
          <cell r="I588">
            <v>0</v>
          </cell>
          <cell r="J588">
            <v>43</v>
          </cell>
          <cell r="K588">
            <v>129</v>
          </cell>
          <cell r="L588">
            <v>18</v>
          </cell>
          <cell r="M588">
            <v>0</v>
          </cell>
          <cell r="N588">
            <v>0</v>
          </cell>
          <cell r="O588">
            <v>18</v>
          </cell>
          <cell r="P588">
            <v>30</v>
          </cell>
          <cell r="Q588">
            <v>22</v>
          </cell>
          <cell r="R588">
            <v>8</v>
          </cell>
          <cell r="S588">
            <v>476</v>
          </cell>
          <cell r="T588">
            <v>48</v>
          </cell>
        </row>
        <row r="589">
          <cell r="C589" t="str">
            <v>Kennewick city, Washington</v>
          </cell>
          <cell r="D589">
            <v>1806</v>
          </cell>
          <cell r="E589">
            <v>1474</v>
          </cell>
          <cell r="F589">
            <v>957</v>
          </cell>
          <cell r="G589">
            <v>492</v>
          </cell>
          <cell r="H589">
            <v>51</v>
          </cell>
          <cell r="I589">
            <v>77</v>
          </cell>
          <cell r="J589">
            <v>66</v>
          </cell>
          <cell r="K589">
            <v>298</v>
          </cell>
          <cell r="L589">
            <v>25</v>
          </cell>
          <cell r="M589">
            <v>0</v>
          </cell>
          <cell r="N589">
            <v>0</v>
          </cell>
          <cell r="O589">
            <v>25</v>
          </cell>
          <cell r="P589">
            <v>332</v>
          </cell>
          <cell r="Q589">
            <v>91</v>
          </cell>
          <cell r="R589">
            <v>241</v>
          </cell>
          <cell r="S589">
            <v>1449</v>
          </cell>
          <cell r="T589">
            <v>357</v>
          </cell>
        </row>
        <row r="590">
          <cell r="C590" t="str">
            <v>Kent city, Washington</v>
          </cell>
          <cell r="D590">
            <v>4473</v>
          </cell>
          <cell r="E590">
            <v>3610</v>
          </cell>
          <cell r="F590">
            <v>2289</v>
          </cell>
          <cell r="G590">
            <v>1239</v>
          </cell>
          <cell r="H590">
            <v>44</v>
          </cell>
          <cell r="I590">
            <v>200</v>
          </cell>
          <cell r="J590">
            <v>179</v>
          </cell>
          <cell r="K590">
            <v>816</v>
          </cell>
          <cell r="L590">
            <v>82</v>
          </cell>
          <cell r="M590">
            <v>0</v>
          </cell>
          <cell r="N590">
            <v>0</v>
          </cell>
          <cell r="O590">
            <v>82</v>
          </cell>
          <cell r="P590">
            <v>863</v>
          </cell>
          <cell r="Q590">
            <v>262</v>
          </cell>
          <cell r="R590">
            <v>601</v>
          </cell>
          <cell r="S590">
            <v>3528</v>
          </cell>
          <cell r="T590">
            <v>945</v>
          </cell>
        </row>
        <row r="591">
          <cell r="C591" t="str">
            <v>Kettle Falls city, Washington</v>
          </cell>
          <cell r="D591">
            <v>53</v>
          </cell>
          <cell r="E591">
            <v>53</v>
          </cell>
          <cell r="F591">
            <v>37</v>
          </cell>
          <cell r="G591">
            <v>14</v>
          </cell>
          <cell r="H591">
            <v>0</v>
          </cell>
          <cell r="I591">
            <v>0</v>
          </cell>
          <cell r="J591">
            <v>0</v>
          </cell>
          <cell r="K591">
            <v>14</v>
          </cell>
          <cell r="L591">
            <v>2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0</v>
          </cell>
          <cell r="R591">
            <v>0</v>
          </cell>
          <cell r="S591">
            <v>51</v>
          </cell>
          <cell r="T591">
            <v>2</v>
          </cell>
        </row>
        <row r="592">
          <cell r="C592" t="str">
            <v>Kingsgate CDP, Washington</v>
          </cell>
          <cell r="D592">
            <v>486</v>
          </cell>
          <cell r="E592">
            <v>411</v>
          </cell>
          <cell r="F592">
            <v>287</v>
          </cell>
          <cell r="G592">
            <v>119</v>
          </cell>
          <cell r="H592">
            <v>14</v>
          </cell>
          <cell r="I592">
            <v>14</v>
          </cell>
          <cell r="J592">
            <v>7</v>
          </cell>
          <cell r="K592">
            <v>84</v>
          </cell>
          <cell r="L592">
            <v>5</v>
          </cell>
          <cell r="M592">
            <v>0</v>
          </cell>
          <cell r="N592">
            <v>0</v>
          </cell>
          <cell r="O592">
            <v>5</v>
          </cell>
          <cell r="P592">
            <v>75</v>
          </cell>
          <cell r="Q592">
            <v>33</v>
          </cell>
          <cell r="R592">
            <v>42</v>
          </cell>
          <cell r="S592">
            <v>406</v>
          </cell>
          <cell r="T592">
            <v>80</v>
          </cell>
        </row>
        <row r="593">
          <cell r="C593" t="str">
            <v>Kingston CDP, Washington</v>
          </cell>
          <cell r="D593">
            <v>113</v>
          </cell>
          <cell r="E593">
            <v>105</v>
          </cell>
          <cell r="F593">
            <v>66</v>
          </cell>
          <cell r="G593">
            <v>32</v>
          </cell>
          <cell r="H593">
            <v>0</v>
          </cell>
          <cell r="I593">
            <v>32</v>
          </cell>
          <cell r="J593">
            <v>0</v>
          </cell>
          <cell r="K593">
            <v>0</v>
          </cell>
          <cell r="L593">
            <v>7</v>
          </cell>
          <cell r="M593">
            <v>0</v>
          </cell>
          <cell r="N593">
            <v>0</v>
          </cell>
          <cell r="O593">
            <v>7</v>
          </cell>
          <cell r="P593">
            <v>8</v>
          </cell>
          <cell r="Q593">
            <v>8</v>
          </cell>
          <cell r="R593">
            <v>0</v>
          </cell>
          <cell r="S593">
            <v>98</v>
          </cell>
          <cell r="T593">
            <v>15</v>
          </cell>
        </row>
        <row r="594">
          <cell r="C594" t="str">
            <v>Kirkland city, Washington</v>
          </cell>
          <cell r="D594">
            <v>1486</v>
          </cell>
          <cell r="E594">
            <v>1180</v>
          </cell>
          <cell r="F594">
            <v>636</v>
          </cell>
          <cell r="G594">
            <v>480</v>
          </cell>
          <cell r="H594">
            <v>40</v>
          </cell>
          <cell r="I594">
            <v>92</v>
          </cell>
          <cell r="J594">
            <v>67</v>
          </cell>
          <cell r="K594">
            <v>281</v>
          </cell>
          <cell r="L594">
            <v>64</v>
          </cell>
          <cell r="M594">
            <v>0</v>
          </cell>
          <cell r="N594">
            <v>7</v>
          </cell>
          <cell r="O594">
            <v>57</v>
          </cell>
          <cell r="P594">
            <v>306</v>
          </cell>
          <cell r="Q594">
            <v>180</v>
          </cell>
          <cell r="R594">
            <v>126</v>
          </cell>
          <cell r="S594">
            <v>1116</v>
          </cell>
          <cell r="T594">
            <v>370</v>
          </cell>
        </row>
        <row r="595">
          <cell r="C595" t="str">
            <v>Kittitas city, Washington</v>
          </cell>
          <cell r="D595">
            <v>9</v>
          </cell>
          <cell r="E595">
            <v>9</v>
          </cell>
          <cell r="F595">
            <v>8</v>
          </cell>
          <cell r="G595">
            <v>1</v>
          </cell>
          <cell r="H595">
            <v>0</v>
          </cell>
          <cell r="I595">
            <v>0</v>
          </cell>
          <cell r="J595">
            <v>1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9</v>
          </cell>
          <cell r="T595">
            <v>0</v>
          </cell>
        </row>
        <row r="596">
          <cell r="C596" t="str">
            <v>Klickitat CDP, Washington</v>
          </cell>
          <cell r="D596">
            <v>8</v>
          </cell>
          <cell r="E596">
            <v>8</v>
          </cell>
          <cell r="F596">
            <v>4</v>
          </cell>
          <cell r="G596">
            <v>2</v>
          </cell>
          <cell r="H596">
            <v>0</v>
          </cell>
          <cell r="I596">
            <v>2</v>
          </cell>
          <cell r="J596">
            <v>0</v>
          </cell>
          <cell r="K596">
            <v>0</v>
          </cell>
          <cell r="L596">
            <v>2</v>
          </cell>
          <cell r="M596">
            <v>0</v>
          </cell>
          <cell r="N596">
            <v>0</v>
          </cell>
          <cell r="O596">
            <v>2</v>
          </cell>
          <cell r="P596">
            <v>0</v>
          </cell>
          <cell r="Q596">
            <v>0</v>
          </cell>
          <cell r="R596">
            <v>0</v>
          </cell>
          <cell r="S596">
            <v>6</v>
          </cell>
          <cell r="T596">
            <v>2</v>
          </cell>
        </row>
        <row r="597">
          <cell r="C597" t="str">
            <v>Krupp town, Washington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</row>
        <row r="598">
          <cell r="C598" t="str">
            <v>La Center city, Washington</v>
          </cell>
          <cell r="D598">
            <v>60</v>
          </cell>
          <cell r="E598">
            <v>47</v>
          </cell>
          <cell r="F598">
            <v>16</v>
          </cell>
          <cell r="G598">
            <v>31</v>
          </cell>
          <cell r="H598">
            <v>0</v>
          </cell>
          <cell r="I598">
            <v>0</v>
          </cell>
          <cell r="J598">
            <v>3</v>
          </cell>
          <cell r="K598">
            <v>28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13</v>
          </cell>
          <cell r="Q598">
            <v>10</v>
          </cell>
          <cell r="R598">
            <v>3</v>
          </cell>
          <cell r="S598">
            <v>47</v>
          </cell>
          <cell r="T598">
            <v>13</v>
          </cell>
        </row>
        <row r="599">
          <cell r="C599" t="str">
            <v>Lacey city, Washington</v>
          </cell>
          <cell r="D599">
            <v>1332</v>
          </cell>
          <cell r="E599">
            <v>1231</v>
          </cell>
          <cell r="F599">
            <v>645</v>
          </cell>
          <cell r="G599">
            <v>497</v>
          </cell>
          <cell r="H599">
            <v>31</v>
          </cell>
          <cell r="I599">
            <v>45</v>
          </cell>
          <cell r="J599">
            <v>163</v>
          </cell>
          <cell r="K599">
            <v>258</v>
          </cell>
          <cell r="L599">
            <v>89</v>
          </cell>
          <cell r="M599">
            <v>0</v>
          </cell>
          <cell r="N599">
            <v>0</v>
          </cell>
          <cell r="O599">
            <v>89</v>
          </cell>
          <cell r="P599">
            <v>101</v>
          </cell>
          <cell r="Q599">
            <v>42</v>
          </cell>
          <cell r="R599">
            <v>59</v>
          </cell>
          <cell r="S599">
            <v>1142</v>
          </cell>
          <cell r="T599">
            <v>190</v>
          </cell>
        </row>
        <row r="600">
          <cell r="C600" t="str">
            <v>La Conner town, Washington</v>
          </cell>
          <cell r="D600">
            <v>37</v>
          </cell>
          <cell r="E600">
            <v>35</v>
          </cell>
          <cell r="F600">
            <v>16</v>
          </cell>
          <cell r="G600">
            <v>19</v>
          </cell>
          <cell r="H600">
            <v>0</v>
          </cell>
          <cell r="I600">
            <v>2</v>
          </cell>
          <cell r="J600">
            <v>5</v>
          </cell>
          <cell r="K600">
            <v>12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2</v>
          </cell>
          <cell r="Q600">
            <v>0</v>
          </cell>
          <cell r="R600">
            <v>2</v>
          </cell>
          <cell r="S600">
            <v>35</v>
          </cell>
          <cell r="T600">
            <v>2</v>
          </cell>
        </row>
        <row r="601">
          <cell r="C601" t="str">
            <v>La Crosse town, Washington</v>
          </cell>
          <cell r="D601">
            <v>4</v>
          </cell>
          <cell r="E601">
            <v>4</v>
          </cell>
          <cell r="F601">
            <v>0</v>
          </cell>
          <cell r="G601">
            <v>4</v>
          </cell>
          <cell r="H601">
            <v>0</v>
          </cell>
          <cell r="I601">
            <v>0</v>
          </cell>
          <cell r="J601">
            <v>0</v>
          </cell>
          <cell r="K601">
            <v>4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4</v>
          </cell>
          <cell r="T601">
            <v>0</v>
          </cell>
        </row>
        <row r="602">
          <cell r="C602" t="str">
            <v>Lake Bosworth CDP, Washington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</row>
        <row r="603">
          <cell r="C603" t="str">
            <v>Lake Cavanaugh CDP, Washington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</row>
        <row r="604">
          <cell r="C604" t="str">
            <v>Lake Forest Park city, Washington</v>
          </cell>
          <cell r="D604">
            <v>516</v>
          </cell>
          <cell r="E604">
            <v>459</v>
          </cell>
          <cell r="F604">
            <v>269</v>
          </cell>
          <cell r="G604">
            <v>157</v>
          </cell>
          <cell r="H604">
            <v>26</v>
          </cell>
          <cell r="I604">
            <v>29</v>
          </cell>
          <cell r="J604">
            <v>30</v>
          </cell>
          <cell r="K604">
            <v>72</v>
          </cell>
          <cell r="L604">
            <v>33</v>
          </cell>
          <cell r="M604">
            <v>0</v>
          </cell>
          <cell r="N604">
            <v>0</v>
          </cell>
          <cell r="O604">
            <v>33</v>
          </cell>
          <cell r="P604">
            <v>57</v>
          </cell>
          <cell r="Q604">
            <v>36</v>
          </cell>
          <cell r="R604">
            <v>21</v>
          </cell>
          <cell r="S604">
            <v>426</v>
          </cell>
          <cell r="T604">
            <v>90</v>
          </cell>
        </row>
        <row r="605">
          <cell r="C605" t="str">
            <v>Lake Goodwin CDP, Washington</v>
          </cell>
          <cell r="D605">
            <v>69</v>
          </cell>
          <cell r="E605">
            <v>69</v>
          </cell>
          <cell r="F605">
            <v>57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12</v>
          </cell>
          <cell r="M605">
            <v>0</v>
          </cell>
          <cell r="N605">
            <v>0</v>
          </cell>
          <cell r="O605">
            <v>12</v>
          </cell>
          <cell r="P605">
            <v>0</v>
          </cell>
          <cell r="Q605">
            <v>0</v>
          </cell>
          <cell r="R605">
            <v>0</v>
          </cell>
          <cell r="S605">
            <v>57</v>
          </cell>
          <cell r="T605">
            <v>12</v>
          </cell>
        </row>
        <row r="606">
          <cell r="C606" t="str">
            <v>Lake Ketchum CDP, Washington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</row>
        <row r="607">
          <cell r="C607" t="str">
            <v>Lakeland North CDP, Washington</v>
          </cell>
          <cell r="D607">
            <v>640</v>
          </cell>
          <cell r="E607">
            <v>541</v>
          </cell>
          <cell r="F607">
            <v>389</v>
          </cell>
          <cell r="G607">
            <v>142</v>
          </cell>
          <cell r="H607">
            <v>11</v>
          </cell>
          <cell r="I607">
            <v>23</v>
          </cell>
          <cell r="J607">
            <v>25</v>
          </cell>
          <cell r="K607">
            <v>83</v>
          </cell>
          <cell r="L607">
            <v>10</v>
          </cell>
          <cell r="M607">
            <v>0</v>
          </cell>
          <cell r="N607">
            <v>0</v>
          </cell>
          <cell r="O607">
            <v>10</v>
          </cell>
          <cell r="P607">
            <v>99</v>
          </cell>
          <cell r="Q607">
            <v>34</v>
          </cell>
          <cell r="R607">
            <v>65</v>
          </cell>
          <cell r="S607">
            <v>531</v>
          </cell>
          <cell r="T607">
            <v>109</v>
          </cell>
        </row>
        <row r="608">
          <cell r="C608" t="str">
            <v>Lakeland South CDP, Washington</v>
          </cell>
          <cell r="D608">
            <v>396</v>
          </cell>
          <cell r="E608">
            <v>352</v>
          </cell>
          <cell r="F608">
            <v>221</v>
          </cell>
          <cell r="G608">
            <v>109</v>
          </cell>
          <cell r="H608">
            <v>8</v>
          </cell>
          <cell r="I608">
            <v>0</v>
          </cell>
          <cell r="J608">
            <v>23</v>
          </cell>
          <cell r="K608">
            <v>78</v>
          </cell>
          <cell r="L608">
            <v>22</v>
          </cell>
          <cell r="M608">
            <v>0</v>
          </cell>
          <cell r="N608">
            <v>0</v>
          </cell>
          <cell r="O608">
            <v>22</v>
          </cell>
          <cell r="P608">
            <v>44</v>
          </cell>
          <cell r="Q608">
            <v>20</v>
          </cell>
          <cell r="R608">
            <v>24</v>
          </cell>
          <cell r="S608">
            <v>330</v>
          </cell>
          <cell r="T608">
            <v>66</v>
          </cell>
        </row>
        <row r="609">
          <cell r="C609" t="str">
            <v>Lake McMurray CDP, Washington</v>
          </cell>
          <cell r="D609">
            <v>21</v>
          </cell>
          <cell r="E609">
            <v>21</v>
          </cell>
          <cell r="F609">
            <v>0</v>
          </cell>
          <cell r="G609">
            <v>21</v>
          </cell>
          <cell r="H609">
            <v>0</v>
          </cell>
          <cell r="I609">
            <v>0</v>
          </cell>
          <cell r="J609">
            <v>21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21</v>
          </cell>
          <cell r="T609">
            <v>0</v>
          </cell>
        </row>
        <row r="610">
          <cell r="C610" t="str">
            <v>Lake Marcel-Stillwater CDP, Washington</v>
          </cell>
          <cell r="D610">
            <v>7</v>
          </cell>
          <cell r="E610">
            <v>7</v>
          </cell>
          <cell r="F610">
            <v>7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7</v>
          </cell>
          <cell r="T610">
            <v>0</v>
          </cell>
        </row>
        <row r="611">
          <cell r="C611" t="str">
            <v>Lake Morton-Berrydale CDP, Washington</v>
          </cell>
          <cell r="D611">
            <v>314</v>
          </cell>
          <cell r="E611">
            <v>282</v>
          </cell>
          <cell r="F611">
            <v>206</v>
          </cell>
          <cell r="G611">
            <v>76</v>
          </cell>
          <cell r="H611">
            <v>0</v>
          </cell>
          <cell r="I611">
            <v>6</v>
          </cell>
          <cell r="J611">
            <v>20</v>
          </cell>
          <cell r="K611">
            <v>50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32</v>
          </cell>
          <cell r="Q611">
            <v>18</v>
          </cell>
          <cell r="R611">
            <v>14</v>
          </cell>
          <cell r="S611">
            <v>282</v>
          </cell>
          <cell r="T611">
            <v>32</v>
          </cell>
        </row>
        <row r="612">
          <cell r="C612" t="str">
            <v>Lake Roesiger CDP, Washington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</row>
        <row r="613">
          <cell r="C613" t="str">
            <v>Lake Shore CDP, Washington</v>
          </cell>
          <cell r="D613">
            <v>192</v>
          </cell>
          <cell r="E613">
            <v>159</v>
          </cell>
          <cell r="F613">
            <v>28</v>
          </cell>
          <cell r="G613">
            <v>131</v>
          </cell>
          <cell r="H613">
            <v>5</v>
          </cell>
          <cell r="I613">
            <v>0</v>
          </cell>
          <cell r="J613">
            <v>7</v>
          </cell>
          <cell r="K613">
            <v>119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33</v>
          </cell>
          <cell r="Q613">
            <v>28</v>
          </cell>
          <cell r="R613">
            <v>5</v>
          </cell>
          <cell r="S613">
            <v>159</v>
          </cell>
          <cell r="T613">
            <v>33</v>
          </cell>
        </row>
        <row r="614">
          <cell r="C614" t="str">
            <v>Lake Stevens city, Washington</v>
          </cell>
          <cell r="D614">
            <v>258</v>
          </cell>
          <cell r="E614">
            <v>237</v>
          </cell>
          <cell r="F614">
            <v>178</v>
          </cell>
          <cell r="G614">
            <v>59</v>
          </cell>
          <cell r="H614">
            <v>8</v>
          </cell>
          <cell r="I614">
            <v>0</v>
          </cell>
          <cell r="J614">
            <v>0</v>
          </cell>
          <cell r="K614">
            <v>51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21</v>
          </cell>
          <cell r="Q614">
            <v>15</v>
          </cell>
          <cell r="R614">
            <v>6</v>
          </cell>
          <cell r="S614">
            <v>237</v>
          </cell>
          <cell r="T614">
            <v>21</v>
          </cell>
        </row>
        <row r="615">
          <cell r="C615" t="str">
            <v>Lakeview CDP, Washington</v>
          </cell>
          <cell r="D615">
            <v>20</v>
          </cell>
          <cell r="E615">
            <v>13</v>
          </cell>
          <cell r="F615">
            <v>4</v>
          </cell>
          <cell r="G615">
            <v>9</v>
          </cell>
          <cell r="H615">
            <v>0</v>
          </cell>
          <cell r="I615">
            <v>0</v>
          </cell>
          <cell r="J615">
            <v>5</v>
          </cell>
          <cell r="K615">
            <v>4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7</v>
          </cell>
          <cell r="Q615">
            <v>7</v>
          </cell>
          <cell r="R615">
            <v>0</v>
          </cell>
          <cell r="S615">
            <v>13</v>
          </cell>
          <cell r="T615">
            <v>7</v>
          </cell>
        </row>
        <row r="616">
          <cell r="C616" t="str">
            <v>Lakewood city, Washington</v>
          </cell>
          <cell r="D616">
            <v>4493</v>
          </cell>
          <cell r="E616">
            <v>3989</v>
          </cell>
          <cell r="F616">
            <v>1841</v>
          </cell>
          <cell r="G616">
            <v>1851</v>
          </cell>
          <cell r="H616">
            <v>124</v>
          </cell>
          <cell r="I616">
            <v>363</v>
          </cell>
          <cell r="J616">
            <v>565</v>
          </cell>
          <cell r="K616">
            <v>799</v>
          </cell>
          <cell r="L616">
            <v>297</v>
          </cell>
          <cell r="M616">
            <v>27</v>
          </cell>
          <cell r="N616">
            <v>17</v>
          </cell>
          <cell r="O616">
            <v>253</v>
          </cell>
          <cell r="P616">
            <v>504</v>
          </cell>
          <cell r="Q616">
            <v>257</v>
          </cell>
          <cell r="R616">
            <v>247</v>
          </cell>
          <cell r="S616">
            <v>3692</v>
          </cell>
          <cell r="T616">
            <v>801</v>
          </cell>
        </row>
        <row r="617">
          <cell r="C617" t="str">
            <v>Lamont town, Washington</v>
          </cell>
          <cell r="D617">
            <v>9</v>
          </cell>
          <cell r="E617">
            <v>9</v>
          </cell>
          <cell r="F617">
            <v>5</v>
          </cell>
          <cell r="G617">
            <v>4</v>
          </cell>
          <cell r="H617">
            <v>4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9</v>
          </cell>
          <cell r="T617">
            <v>0</v>
          </cell>
        </row>
        <row r="618">
          <cell r="C618" t="str">
            <v>Langley city, Washington</v>
          </cell>
          <cell r="D618">
            <v>16</v>
          </cell>
          <cell r="E618">
            <v>16</v>
          </cell>
          <cell r="F618">
            <v>13</v>
          </cell>
          <cell r="G618">
            <v>1</v>
          </cell>
          <cell r="H618">
            <v>0</v>
          </cell>
          <cell r="I618">
            <v>1</v>
          </cell>
          <cell r="J618">
            <v>0</v>
          </cell>
          <cell r="K618">
            <v>0</v>
          </cell>
          <cell r="L618">
            <v>2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0</v>
          </cell>
          <cell r="R618">
            <v>0</v>
          </cell>
          <cell r="S618">
            <v>14</v>
          </cell>
          <cell r="T618">
            <v>2</v>
          </cell>
        </row>
        <row r="619">
          <cell r="C619" t="str">
            <v>Latah town, Washington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</row>
        <row r="620">
          <cell r="C620" t="str">
            <v>Lea Hill CDP, Washington</v>
          </cell>
          <cell r="D620">
            <v>608</v>
          </cell>
          <cell r="E620">
            <v>453</v>
          </cell>
          <cell r="F620">
            <v>282</v>
          </cell>
          <cell r="G620">
            <v>159</v>
          </cell>
          <cell r="H620">
            <v>0</v>
          </cell>
          <cell r="I620">
            <v>0</v>
          </cell>
          <cell r="J620">
            <v>13</v>
          </cell>
          <cell r="K620">
            <v>146</v>
          </cell>
          <cell r="L620">
            <v>12</v>
          </cell>
          <cell r="M620">
            <v>0</v>
          </cell>
          <cell r="N620">
            <v>0</v>
          </cell>
          <cell r="O620">
            <v>12</v>
          </cell>
          <cell r="P620">
            <v>155</v>
          </cell>
          <cell r="Q620">
            <v>63</v>
          </cell>
          <cell r="R620">
            <v>92</v>
          </cell>
          <cell r="S620">
            <v>441</v>
          </cell>
          <cell r="T620">
            <v>167</v>
          </cell>
        </row>
        <row r="621">
          <cell r="C621" t="str">
            <v>Leavenworth city, Washington</v>
          </cell>
          <cell r="D621">
            <v>58</v>
          </cell>
          <cell r="E621">
            <v>58</v>
          </cell>
          <cell r="F621">
            <v>33</v>
          </cell>
          <cell r="G621">
            <v>25</v>
          </cell>
          <cell r="H621">
            <v>0</v>
          </cell>
          <cell r="I621">
            <v>6</v>
          </cell>
          <cell r="J621">
            <v>1</v>
          </cell>
          <cell r="K621">
            <v>18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58</v>
          </cell>
          <cell r="T621">
            <v>0</v>
          </cell>
        </row>
        <row r="622">
          <cell r="C622" t="str">
            <v>Lebam CDP, Washington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</row>
        <row r="623">
          <cell r="C623" t="str">
            <v>Lewisville CDP, Washington</v>
          </cell>
          <cell r="D623">
            <v>41</v>
          </cell>
          <cell r="E623">
            <v>41</v>
          </cell>
          <cell r="F623">
            <v>22</v>
          </cell>
          <cell r="G623">
            <v>19</v>
          </cell>
          <cell r="H623">
            <v>0</v>
          </cell>
          <cell r="I623">
            <v>15</v>
          </cell>
          <cell r="J623">
            <v>0</v>
          </cell>
          <cell r="K623">
            <v>4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41</v>
          </cell>
          <cell r="T623">
            <v>0</v>
          </cell>
        </row>
        <row r="624">
          <cell r="C624" t="str">
            <v>Liberty Lake CDP, Washington</v>
          </cell>
          <cell r="D624">
            <v>156</v>
          </cell>
          <cell r="E624">
            <v>146</v>
          </cell>
          <cell r="F624">
            <v>106</v>
          </cell>
          <cell r="G624">
            <v>36</v>
          </cell>
          <cell r="H624">
            <v>4</v>
          </cell>
          <cell r="I624">
            <v>9</v>
          </cell>
          <cell r="J624">
            <v>0</v>
          </cell>
          <cell r="K624">
            <v>23</v>
          </cell>
          <cell r="L624">
            <v>4</v>
          </cell>
          <cell r="M624">
            <v>0</v>
          </cell>
          <cell r="N624">
            <v>0</v>
          </cell>
          <cell r="O624">
            <v>4</v>
          </cell>
          <cell r="P624">
            <v>10</v>
          </cell>
          <cell r="Q624">
            <v>10</v>
          </cell>
          <cell r="R624">
            <v>0</v>
          </cell>
          <cell r="S624">
            <v>142</v>
          </cell>
          <cell r="T624">
            <v>14</v>
          </cell>
        </row>
        <row r="625">
          <cell r="C625" t="str">
            <v>Lind town, Washington</v>
          </cell>
          <cell r="D625">
            <v>4</v>
          </cell>
          <cell r="E625">
            <v>4</v>
          </cell>
          <cell r="F625">
            <v>0</v>
          </cell>
          <cell r="G625">
            <v>4</v>
          </cell>
          <cell r="H625">
            <v>0</v>
          </cell>
          <cell r="I625">
            <v>0</v>
          </cell>
          <cell r="J625">
            <v>2</v>
          </cell>
          <cell r="K625">
            <v>2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4</v>
          </cell>
          <cell r="T625">
            <v>0</v>
          </cell>
        </row>
        <row r="626">
          <cell r="C626" t="str">
            <v>Lochsloy CDP, Washington</v>
          </cell>
          <cell r="D626">
            <v>32</v>
          </cell>
          <cell r="E626">
            <v>32</v>
          </cell>
          <cell r="F626">
            <v>24</v>
          </cell>
          <cell r="G626">
            <v>8</v>
          </cell>
          <cell r="H626">
            <v>0</v>
          </cell>
          <cell r="I626">
            <v>8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32</v>
          </cell>
          <cell r="T626">
            <v>0</v>
          </cell>
        </row>
        <row r="627">
          <cell r="C627" t="str">
            <v>Long Beach city, Washington</v>
          </cell>
          <cell r="D627">
            <v>61</v>
          </cell>
          <cell r="E627">
            <v>54</v>
          </cell>
          <cell r="F627">
            <v>26</v>
          </cell>
          <cell r="G627">
            <v>26</v>
          </cell>
          <cell r="H627">
            <v>0</v>
          </cell>
          <cell r="I627">
            <v>6</v>
          </cell>
          <cell r="J627">
            <v>5</v>
          </cell>
          <cell r="K627">
            <v>15</v>
          </cell>
          <cell r="L627">
            <v>2</v>
          </cell>
          <cell r="M627">
            <v>0</v>
          </cell>
          <cell r="N627">
            <v>0</v>
          </cell>
          <cell r="O627">
            <v>2</v>
          </cell>
          <cell r="P627">
            <v>7</v>
          </cell>
          <cell r="Q627">
            <v>5</v>
          </cell>
          <cell r="R627">
            <v>2</v>
          </cell>
          <cell r="S627">
            <v>52</v>
          </cell>
          <cell r="T627">
            <v>9</v>
          </cell>
        </row>
        <row r="628">
          <cell r="C628" t="str">
            <v>Longview city, Washington</v>
          </cell>
          <cell r="D628">
            <v>873</v>
          </cell>
          <cell r="E628">
            <v>824</v>
          </cell>
          <cell r="F628">
            <v>523</v>
          </cell>
          <cell r="G628">
            <v>281</v>
          </cell>
          <cell r="H628">
            <v>2</v>
          </cell>
          <cell r="I628">
            <v>50</v>
          </cell>
          <cell r="J628">
            <v>37</v>
          </cell>
          <cell r="K628">
            <v>192</v>
          </cell>
          <cell r="L628">
            <v>20</v>
          </cell>
          <cell r="M628">
            <v>0</v>
          </cell>
          <cell r="N628">
            <v>0</v>
          </cell>
          <cell r="O628">
            <v>20</v>
          </cell>
          <cell r="P628">
            <v>49</v>
          </cell>
          <cell r="Q628">
            <v>13</v>
          </cell>
          <cell r="R628">
            <v>36</v>
          </cell>
          <cell r="S628">
            <v>804</v>
          </cell>
          <cell r="T628">
            <v>69</v>
          </cell>
        </row>
        <row r="629">
          <cell r="C629" t="str">
            <v>Longview Heights CDP, Washington</v>
          </cell>
          <cell r="D629">
            <v>58</v>
          </cell>
          <cell r="E629">
            <v>58</v>
          </cell>
          <cell r="F629">
            <v>11</v>
          </cell>
          <cell r="G629">
            <v>47</v>
          </cell>
          <cell r="H629">
            <v>0</v>
          </cell>
          <cell r="I629">
            <v>0</v>
          </cell>
          <cell r="J629">
            <v>0</v>
          </cell>
          <cell r="K629">
            <v>47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58</v>
          </cell>
          <cell r="T629">
            <v>0</v>
          </cell>
        </row>
        <row r="630">
          <cell r="C630" t="str">
            <v>Lyle CDP, Washington</v>
          </cell>
          <cell r="D630">
            <v>4</v>
          </cell>
          <cell r="E630">
            <v>4</v>
          </cell>
          <cell r="F630">
            <v>4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4</v>
          </cell>
          <cell r="T630">
            <v>0</v>
          </cell>
        </row>
        <row r="631">
          <cell r="C631" t="str">
            <v>Lyman town, Washington</v>
          </cell>
          <cell r="D631">
            <v>6</v>
          </cell>
          <cell r="E631">
            <v>6</v>
          </cell>
          <cell r="F631">
            <v>5</v>
          </cell>
          <cell r="G631">
            <v>1</v>
          </cell>
          <cell r="H631">
            <v>0</v>
          </cell>
          <cell r="I631">
            <v>0</v>
          </cell>
          <cell r="J631">
            <v>0</v>
          </cell>
          <cell r="K631">
            <v>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6</v>
          </cell>
          <cell r="T631">
            <v>0</v>
          </cell>
        </row>
        <row r="632">
          <cell r="C632" t="str">
            <v>Lynden city, Washington</v>
          </cell>
          <cell r="D632">
            <v>90</v>
          </cell>
          <cell r="E632">
            <v>84</v>
          </cell>
          <cell r="F632">
            <v>63</v>
          </cell>
          <cell r="G632">
            <v>21</v>
          </cell>
          <cell r="H632">
            <v>0</v>
          </cell>
          <cell r="I632">
            <v>0</v>
          </cell>
          <cell r="J632">
            <v>5</v>
          </cell>
          <cell r="K632">
            <v>16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6</v>
          </cell>
          <cell r="Q632">
            <v>6</v>
          </cell>
          <cell r="R632">
            <v>0</v>
          </cell>
          <cell r="S632">
            <v>84</v>
          </cell>
          <cell r="T632">
            <v>6</v>
          </cell>
        </row>
        <row r="633">
          <cell r="C633" t="str">
            <v>Lynnwood city, Washington</v>
          </cell>
          <cell r="D633">
            <v>1427</v>
          </cell>
          <cell r="E633">
            <v>1197</v>
          </cell>
          <cell r="F633">
            <v>608</v>
          </cell>
          <cell r="G633">
            <v>523</v>
          </cell>
          <cell r="H633">
            <v>59</v>
          </cell>
          <cell r="I633">
            <v>69</v>
          </cell>
          <cell r="J633">
            <v>36</v>
          </cell>
          <cell r="K633">
            <v>359</v>
          </cell>
          <cell r="L633">
            <v>66</v>
          </cell>
          <cell r="M633">
            <v>0</v>
          </cell>
          <cell r="N633">
            <v>0</v>
          </cell>
          <cell r="O633">
            <v>66</v>
          </cell>
          <cell r="P633">
            <v>230</v>
          </cell>
          <cell r="Q633">
            <v>122</v>
          </cell>
          <cell r="R633">
            <v>108</v>
          </cell>
          <cell r="S633">
            <v>1131</v>
          </cell>
          <cell r="T633">
            <v>296</v>
          </cell>
        </row>
        <row r="634">
          <cell r="C634" t="str">
            <v>Mabton city, Washington</v>
          </cell>
          <cell r="D634">
            <v>63</v>
          </cell>
          <cell r="E634">
            <v>49</v>
          </cell>
          <cell r="F634">
            <v>26</v>
          </cell>
          <cell r="G634">
            <v>23</v>
          </cell>
          <cell r="H634">
            <v>0</v>
          </cell>
          <cell r="I634">
            <v>5</v>
          </cell>
          <cell r="J634">
            <v>3</v>
          </cell>
          <cell r="K634">
            <v>15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14</v>
          </cell>
          <cell r="Q634">
            <v>3</v>
          </cell>
          <cell r="R634">
            <v>11</v>
          </cell>
          <cell r="S634">
            <v>49</v>
          </cell>
          <cell r="T634">
            <v>14</v>
          </cell>
        </row>
        <row r="635">
          <cell r="C635" t="str">
            <v>McChord AFB CDP, Washington</v>
          </cell>
          <cell r="D635">
            <v>354</v>
          </cell>
          <cell r="E635">
            <v>329</v>
          </cell>
          <cell r="F635">
            <v>61</v>
          </cell>
          <cell r="G635">
            <v>243</v>
          </cell>
          <cell r="H635">
            <v>21</v>
          </cell>
          <cell r="I635">
            <v>20</v>
          </cell>
          <cell r="J635">
            <v>29</v>
          </cell>
          <cell r="K635">
            <v>173</v>
          </cell>
          <cell r="L635">
            <v>25</v>
          </cell>
          <cell r="M635">
            <v>0</v>
          </cell>
          <cell r="N635">
            <v>0</v>
          </cell>
          <cell r="O635">
            <v>25</v>
          </cell>
          <cell r="P635">
            <v>25</v>
          </cell>
          <cell r="Q635">
            <v>8</v>
          </cell>
          <cell r="R635">
            <v>17</v>
          </cell>
          <cell r="S635">
            <v>304</v>
          </cell>
          <cell r="T635">
            <v>50</v>
          </cell>
        </row>
        <row r="636">
          <cell r="C636" t="str">
            <v>McCleary city, Washington</v>
          </cell>
          <cell r="D636">
            <v>71</v>
          </cell>
          <cell r="E636">
            <v>71</v>
          </cell>
          <cell r="F636">
            <v>35</v>
          </cell>
          <cell r="G636">
            <v>32</v>
          </cell>
          <cell r="H636">
            <v>1</v>
          </cell>
          <cell r="I636">
            <v>9</v>
          </cell>
          <cell r="J636">
            <v>4</v>
          </cell>
          <cell r="K636">
            <v>18</v>
          </cell>
          <cell r="L636">
            <v>4</v>
          </cell>
          <cell r="M636">
            <v>0</v>
          </cell>
          <cell r="N636">
            <v>0</v>
          </cell>
          <cell r="O636">
            <v>4</v>
          </cell>
          <cell r="P636">
            <v>0</v>
          </cell>
          <cell r="Q636">
            <v>0</v>
          </cell>
          <cell r="R636">
            <v>0</v>
          </cell>
          <cell r="S636">
            <v>67</v>
          </cell>
          <cell r="T636">
            <v>4</v>
          </cell>
        </row>
        <row r="637">
          <cell r="C637" t="str">
            <v>Machias CDP, Washington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</row>
        <row r="638">
          <cell r="C638" t="str">
            <v>Malden town, Washington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</row>
        <row r="639">
          <cell r="C639" t="str">
            <v>Malone-Porter CDP, Washington</v>
          </cell>
          <cell r="D639">
            <v>25</v>
          </cell>
          <cell r="E639">
            <v>25</v>
          </cell>
          <cell r="F639">
            <v>19</v>
          </cell>
          <cell r="G639">
            <v>6</v>
          </cell>
          <cell r="H639">
            <v>0</v>
          </cell>
          <cell r="I639">
            <v>0</v>
          </cell>
          <cell r="J639">
            <v>6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25</v>
          </cell>
          <cell r="T639">
            <v>0</v>
          </cell>
        </row>
        <row r="640">
          <cell r="C640" t="str">
            <v>Maltby CDP, Washington</v>
          </cell>
          <cell r="D640">
            <v>173</v>
          </cell>
          <cell r="E640">
            <v>169</v>
          </cell>
          <cell r="F640">
            <v>95</v>
          </cell>
          <cell r="G640">
            <v>74</v>
          </cell>
          <cell r="H640">
            <v>14</v>
          </cell>
          <cell r="I640">
            <v>8</v>
          </cell>
          <cell r="J640">
            <v>17</v>
          </cell>
          <cell r="K640">
            <v>35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</v>
          </cell>
          <cell r="Q640">
            <v>4</v>
          </cell>
          <cell r="R640">
            <v>0</v>
          </cell>
          <cell r="S640">
            <v>169</v>
          </cell>
          <cell r="T640">
            <v>4</v>
          </cell>
        </row>
        <row r="641">
          <cell r="C641" t="str">
            <v>Manchester CDP, Washington</v>
          </cell>
          <cell r="D641">
            <v>189</v>
          </cell>
          <cell r="E641">
            <v>181</v>
          </cell>
          <cell r="F641">
            <v>112</v>
          </cell>
          <cell r="G641">
            <v>52</v>
          </cell>
          <cell r="H641">
            <v>0</v>
          </cell>
          <cell r="I641">
            <v>0</v>
          </cell>
          <cell r="J641">
            <v>0</v>
          </cell>
          <cell r="K641">
            <v>52</v>
          </cell>
          <cell r="L641">
            <v>17</v>
          </cell>
          <cell r="M641">
            <v>0</v>
          </cell>
          <cell r="N641">
            <v>0</v>
          </cell>
          <cell r="O641">
            <v>17</v>
          </cell>
          <cell r="P641">
            <v>8</v>
          </cell>
          <cell r="Q641">
            <v>8</v>
          </cell>
          <cell r="R641">
            <v>0</v>
          </cell>
          <cell r="S641">
            <v>164</v>
          </cell>
          <cell r="T641">
            <v>25</v>
          </cell>
        </row>
        <row r="642">
          <cell r="C642" t="str">
            <v>Mansfield town, Washington</v>
          </cell>
          <cell r="D642">
            <v>23</v>
          </cell>
          <cell r="E642">
            <v>23</v>
          </cell>
          <cell r="F642">
            <v>21</v>
          </cell>
          <cell r="G642">
            <v>2</v>
          </cell>
          <cell r="H642">
            <v>0</v>
          </cell>
          <cell r="I642">
            <v>0</v>
          </cell>
          <cell r="J642">
            <v>2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23</v>
          </cell>
          <cell r="T642">
            <v>0</v>
          </cell>
        </row>
        <row r="643">
          <cell r="C643" t="str">
            <v>Maple Falls CDP, Washington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</row>
        <row r="644">
          <cell r="C644" t="str">
            <v>Maple Heights-Lake Desire CDP, Washington</v>
          </cell>
          <cell r="D644">
            <v>107</v>
          </cell>
          <cell r="E644">
            <v>107</v>
          </cell>
          <cell r="F644">
            <v>90</v>
          </cell>
          <cell r="G644">
            <v>17</v>
          </cell>
          <cell r="H644">
            <v>0</v>
          </cell>
          <cell r="I644">
            <v>17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107</v>
          </cell>
          <cell r="T644">
            <v>0</v>
          </cell>
        </row>
        <row r="645">
          <cell r="C645" t="str">
            <v>Maple Valley city, Washington</v>
          </cell>
          <cell r="D645">
            <v>424</v>
          </cell>
          <cell r="E645">
            <v>416</v>
          </cell>
          <cell r="F645">
            <v>291</v>
          </cell>
          <cell r="G645">
            <v>117</v>
          </cell>
          <cell r="H645">
            <v>0</v>
          </cell>
          <cell r="I645">
            <v>5</v>
          </cell>
          <cell r="J645">
            <v>12</v>
          </cell>
          <cell r="K645">
            <v>100</v>
          </cell>
          <cell r="L645">
            <v>8</v>
          </cell>
          <cell r="M645">
            <v>0</v>
          </cell>
          <cell r="N645">
            <v>0</v>
          </cell>
          <cell r="O645">
            <v>8</v>
          </cell>
          <cell r="P645">
            <v>8</v>
          </cell>
          <cell r="Q645">
            <v>0</v>
          </cell>
          <cell r="R645">
            <v>8</v>
          </cell>
          <cell r="S645">
            <v>408</v>
          </cell>
          <cell r="T645">
            <v>16</v>
          </cell>
        </row>
        <row r="646">
          <cell r="C646" t="str">
            <v>Marblemount CDP, Washington</v>
          </cell>
          <cell r="D646">
            <v>12</v>
          </cell>
          <cell r="E646">
            <v>12</v>
          </cell>
          <cell r="F646">
            <v>0</v>
          </cell>
          <cell r="G646">
            <v>12</v>
          </cell>
          <cell r="H646">
            <v>0</v>
          </cell>
          <cell r="I646">
            <v>0</v>
          </cell>
          <cell r="J646">
            <v>12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12</v>
          </cell>
          <cell r="T646">
            <v>0</v>
          </cell>
        </row>
        <row r="647">
          <cell r="C647" t="str">
            <v>Marcus town, Washington</v>
          </cell>
          <cell r="D647">
            <v>11</v>
          </cell>
          <cell r="E647">
            <v>11</v>
          </cell>
          <cell r="F647">
            <v>8</v>
          </cell>
          <cell r="G647">
            <v>3</v>
          </cell>
          <cell r="H647">
            <v>0</v>
          </cell>
          <cell r="I647">
            <v>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11</v>
          </cell>
          <cell r="T647">
            <v>0</v>
          </cell>
        </row>
        <row r="648">
          <cell r="C648" t="str">
            <v>Marietta-Alderwood CDP, Washington</v>
          </cell>
          <cell r="D648">
            <v>56</v>
          </cell>
          <cell r="E648">
            <v>56</v>
          </cell>
          <cell r="F648">
            <v>34</v>
          </cell>
          <cell r="G648">
            <v>22</v>
          </cell>
          <cell r="H648">
            <v>0</v>
          </cell>
          <cell r="I648">
            <v>0</v>
          </cell>
          <cell r="J648">
            <v>0</v>
          </cell>
          <cell r="K648">
            <v>22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56</v>
          </cell>
          <cell r="T648">
            <v>0</v>
          </cell>
        </row>
        <row r="649">
          <cell r="C649" t="str">
            <v>Markham CDP, Washington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</row>
        <row r="650">
          <cell r="C650" t="str">
            <v>Marrowstone CDP, Washington</v>
          </cell>
          <cell r="D650">
            <v>8</v>
          </cell>
          <cell r="E650">
            <v>8</v>
          </cell>
          <cell r="F650">
            <v>5</v>
          </cell>
          <cell r="G650">
            <v>3</v>
          </cell>
          <cell r="H650">
            <v>0</v>
          </cell>
          <cell r="I650">
            <v>0</v>
          </cell>
          <cell r="J650">
            <v>0</v>
          </cell>
          <cell r="K650">
            <v>3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8</v>
          </cell>
          <cell r="T650">
            <v>0</v>
          </cell>
        </row>
        <row r="651">
          <cell r="C651" t="str">
            <v>Martha Lake CDP, Washington</v>
          </cell>
          <cell r="D651">
            <v>452</v>
          </cell>
          <cell r="E651">
            <v>373</v>
          </cell>
          <cell r="F651">
            <v>255</v>
          </cell>
          <cell r="G651">
            <v>99</v>
          </cell>
          <cell r="H651">
            <v>8</v>
          </cell>
          <cell r="I651">
            <v>9</v>
          </cell>
          <cell r="J651">
            <v>26</v>
          </cell>
          <cell r="K651">
            <v>56</v>
          </cell>
          <cell r="L651">
            <v>19</v>
          </cell>
          <cell r="M651">
            <v>0</v>
          </cell>
          <cell r="N651">
            <v>0</v>
          </cell>
          <cell r="O651">
            <v>19</v>
          </cell>
          <cell r="P651">
            <v>79</v>
          </cell>
          <cell r="Q651">
            <v>39</v>
          </cell>
          <cell r="R651">
            <v>40</v>
          </cell>
          <cell r="S651">
            <v>354</v>
          </cell>
          <cell r="T651">
            <v>98</v>
          </cell>
        </row>
        <row r="652">
          <cell r="C652" t="str">
            <v>Maryhill CDP, Washington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</row>
        <row r="653">
          <cell r="C653" t="str">
            <v>Marysville city, Washington</v>
          </cell>
          <cell r="D653">
            <v>938</v>
          </cell>
          <cell r="E653">
            <v>816</v>
          </cell>
          <cell r="F653">
            <v>474</v>
          </cell>
          <cell r="G653">
            <v>322</v>
          </cell>
          <cell r="H653">
            <v>24</v>
          </cell>
          <cell r="I653">
            <v>27</v>
          </cell>
          <cell r="J653">
            <v>61</v>
          </cell>
          <cell r="K653">
            <v>210</v>
          </cell>
          <cell r="L653">
            <v>20</v>
          </cell>
          <cell r="M653">
            <v>0</v>
          </cell>
          <cell r="N653">
            <v>0</v>
          </cell>
          <cell r="O653">
            <v>20</v>
          </cell>
          <cell r="P653">
            <v>122</v>
          </cell>
          <cell r="Q653">
            <v>86</v>
          </cell>
          <cell r="R653">
            <v>36</v>
          </cell>
          <cell r="S653">
            <v>796</v>
          </cell>
          <cell r="T653">
            <v>142</v>
          </cell>
        </row>
        <row r="654">
          <cell r="C654" t="str">
            <v>Mattawa town, Washington</v>
          </cell>
          <cell r="D654">
            <v>112</v>
          </cell>
          <cell r="E654">
            <v>17</v>
          </cell>
          <cell r="F654">
            <v>11</v>
          </cell>
          <cell r="G654">
            <v>6</v>
          </cell>
          <cell r="H654">
            <v>0</v>
          </cell>
          <cell r="I654">
            <v>0</v>
          </cell>
          <cell r="J654">
            <v>4</v>
          </cell>
          <cell r="K654">
            <v>2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95</v>
          </cell>
          <cell r="Q654">
            <v>3</v>
          </cell>
          <cell r="R654">
            <v>92</v>
          </cell>
          <cell r="S654">
            <v>17</v>
          </cell>
          <cell r="T654">
            <v>95</v>
          </cell>
        </row>
        <row r="655">
          <cell r="C655" t="str">
            <v>May Creek CDP, Washington</v>
          </cell>
          <cell r="D655">
            <v>21</v>
          </cell>
          <cell r="E655">
            <v>21</v>
          </cell>
          <cell r="F655">
            <v>16</v>
          </cell>
          <cell r="G655">
            <v>5</v>
          </cell>
          <cell r="H655">
            <v>2</v>
          </cell>
          <cell r="I655">
            <v>0</v>
          </cell>
          <cell r="J655">
            <v>0</v>
          </cell>
          <cell r="K655">
            <v>3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21</v>
          </cell>
          <cell r="T655">
            <v>0</v>
          </cell>
        </row>
        <row r="656">
          <cell r="C656" t="str">
            <v>Meadow Glade CDP, Washington</v>
          </cell>
          <cell r="D656">
            <v>16</v>
          </cell>
          <cell r="E656">
            <v>16</v>
          </cell>
          <cell r="F656">
            <v>0</v>
          </cell>
          <cell r="G656">
            <v>16</v>
          </cell>
          <cell r="H656">
            <v>0</v>
          </cell>
          <cell r="I656">
            <v>0</v>
          </cell>
          <cell r="J656">
            <v>9</v>
          </cell>
          <cell r="K656">
            <v>7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16</v>
          </cell>
          <cell r="T656">
            <v>0</v>
          </cell>
        </row>
        <row r="657">
          <cell r="C657" t="str">
            <v>Medical Lake city, Washington</v>
          </cell>
          <cell r="D657">
            <v>64</v>
          </cell>
          <cell r="E657">
            <v>64</v>
          </cell>
          <cell r="F657">
            <v>39</v>
          </cell>
          <cell r="G657">
            <v>25</v>
          </cell>
          <cell r="H657">
            <v>0</v>
          </cell>
          <cell r="I657">
            <v>3</v>
          </cell>
          <cell r="J657">
            <v>12</v>
          </cell>
          <cell r="K657">
            <v>10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64</v>
          </cell>
          <cell r="T657">
            <v>0</v>
          </cell>
        </row>
        <row r="658">
          <cell r="C658" t="str">
            <v>Medina city, Washington</v>
          </cell>
          <cell r="D658">
            <v>44</v>
          </cell>
          <cell r="E658">
            <v>44</v>
          </cell>
          <cell r="F658">
            <v>29</v>
          </cell>
          <cell r="G658">
            <v>15</v>
          </cell>
          <cell r="H658">
            <v>0</v>
          </cell>
          <cell r="I658">
            <v>6</v>
          </cell>
          <cell r="J658">
            <v>0</v>
          </cell>
          <cell r="K658">
            <v>9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44</v>
          </cell>
          <cell r="T658">
            <v>0</v>
          </cell>
        </row>
        <row r="659">
          <cell r="C659" t="str">
            <v>Mercer Island city, Washington</v>
          </cell>
          <cell r="D659">
            <v>597</v>
          </cell>
          <cell r="E659">
            <v>566</v>
          </cell>
          <cell r="F659">
            <v>378</v>
          </cell>
          <cell r="G659">
            <v>172</v>
          </cell>
          <cell r="H659">
            <v>24</v>
          </cell>
          <cell r="I659">
            <v>28</v>
          </cell>
          <cell r="J659">
            <v>37</v>
          </cell>
          <cell r="K659">
            <v>83</v>
          </cell>
          <cell r="L659">
            <v>16</v>
          </cell>
          <cell r="M659">
            <v>7</v>
          </cell>
          <cell r="N659">
            <v>0</v>
          </cell>
          <cell r="O659">
            <v>9</v>
          </cell>
          <cell r="P659">
            <v>31</v>
          </cell>
          <cell r="Q659">
            <v>21</v>
          </cell>
          <cell r="R659">
            <v>10</v>
          </cell>
          <cell r="S659">
            <v>550</v>
          </cell>
          <cell r="T659">
            <v>47</v>
          </cell>
        </row>
        <row r="660">
          <cell r="C660" t="str">
            <v>Mesa city, Washington</v>
          </cell>
          <cell r="D660">
            <v>76</v>
          </cell>
          <cell r="E660">
            <v>29</v>
          </cell>
          <cell r="F660">
            <v>21</v>
          </cell>
          <cell r="G660">
            <v>8</v>
          </cell>
          <cell r="H660">
            <v>0</v>
          </cell>
          <cell r="I660">
            <v>0</v>
          </cell>
          <cell r="J660">
            <v>2</v>
          </cell>
          <cell r="K660">
            <v>6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47</v>
          </cell>
          <cell r="Q660">
            <v>7</v>
          </cell>
          <cell r="R660">
            <v>40</v>
          </cell>
          <cell r="S660">
            <v>29</v>
          </cell>
          <cell r="T660">
            <v>47</v>
          </cell>
        </row>
        <row r="661">
          <cell r="C661" t="str">
            <v>Metaline town, Washington</v>
          </cell>
          <cell r="D661">
            <v>6</v>
          </cell>
          <cell r="E661">
            <v>6</v>
          </cell>
          <cell r="F661">
            <v>4</v>
          </cell>
          <cell r="G661">
            <v>2</v>
          </cell>
          <cell r="H661">
            <v>0</v>
          </cell>
          <cell r="I661">
            <v>2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6</v>
          </cell>
          <cell r="T661">
            <v>0</v>
          </cell>
        </row>
        <row r="662">
          <cell r="C662" t="str">
            <v>Metaline Falls town, Washington</v>
          </cell>
          <cell r="D662">
            <v>5</v>
          </cell>
          <cell r="E662">
            <v>5</v>
          </cell>
          <cell r="F662">
            <v>2</v>
          </cell>
          <cell r="G662">
            <v>3</v>
          </cell>
          <cell r="H662">
            <v>0</v>
          </cell>
          <cell r="I662">
            <v>0</v>
          </cell>
          <cell r="J662">
            <v>0</v>
          </cell>
          <cell r="K662">
            <v>3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5</v>
          </cell>
          <cell r="T662">
            <v>0</v>
          </cell>
        </row>
        <row r="663">
          <cell r="C663" t="str">
            <v>Midland CDP, Washington</v>
          </cell>
          <cell r="D663">
            <v>603</v>
          </cell>
          <cell r="E663">
            <v>550</v>
          </cell>
          <cell r="F663">
            <v>371</v>
          </cell>
          <cell r="G663">
            <v>163</v>
          </cell>
          <cell r="H663">
            <v>9</v>
          </cell>
          <cell r="I663">
            <v>32</v>
          </cell>
          <cell r="J663">
            <v>38</v>
          </cell>
          <cell r="K663">
            <v>84</v>
          </cell>
          <cell r="L663">
            <v>16</v>
          </cell>
          <cell r="M663">
            <v>0</v>
          </cell>
          <cell r="N663">
            <v>0</v>
          </cell>
          <cell r="O663">
            <v>16</v>
          </cell>
          <cell r="P663">
            <v>53</v>
          </cell>
          <cell r="Q663">
            <v>34</v>
          </cell>
          <cell r="R663">
            <v>19</v>
          </cell>
          <cell r="S663">
            <v>534</v>
          </cell>
          <cell r="T663">
            <v>69</v>
          </cell>
        </row>
        <row r="664">
          <cell r="C664" t="str">
            <v>Mill Creek city, Washington</v>
          </cell>
          <cell r="D664">
            <v>412</v>
          </cell>
          <cell r="E664">
            <v>342</v>
          </cell>
          <cell r="F664">
            <v>188</v>
          </cell>
          <cell r="G664">
            <v>95</v>
          </cell>
          <cell r="H664">
            <v>8</v>
          </cell>
          <cell r="I664">
            <v>0</v>
          </cell>
          <cell r="J664">
            <v>8</v>
          </cell>
          <cell r="K664">
            <v>79</v>
          </cell>
          <cell r="L664">
            <v>59</v>
          </cell>
          <cell r="M664">
            <v>0</v>
          </cell>
          <cell r="N664">
            <v>15</v>
          </cell>
          <cell r="O664">
            <v>44</v>
          </cell>
          <cell r="P664">
            <v>70</v>
          </cell>
          <cell r="Q664">
            <v>45</v>
          </cell>
          <cell r="R664">
            <v>25</v>
          </cell>
          <cell r="S664">
            <v>283</v>
          </cell>
          <cell r="T664">
            <v>129</v>
          </cell>
        </row>
        <row r="665">
          <cell r="C665" t="str">
            <v>Mill Plain CDP, Washington</v>
          </cell>
          <cell r="D665">
            <v>190</v>
          </cell>
          <cell r="E665">
            <v>181</v>
          </cell>
          <cell r="F665">
            <v>87</v>
          </cell>
          <cell r="G665">
            <v>88</v>
          </cell>
          <cell r="H665">
            <v>0</v>
          </cell>
          <cell r="I665">
            <v>0</v>
          </cell>
          <cell r="J665">
            <v>11</v>
          </cell>
          <cell r="K665">
            <v>77</v>
          </cell>
          <cell r="L665">
            <v>6</v>
          </cell>
          <cell r="M665">
            <v>0</v>
          </cell>
          <cell r="N665">
            <v>0</v>
          </cell>
          <cell r="O665">
            <v>6</v>
          </cell>
          <cell r="P665">
            <v>9</v>
          </cell>
          <cell r="Q665">
            <v>9</v>
          </cell>
          <cell r="R665">
            <v>0</v>
          </cell>
          <cell r="S665">
            <v>175</v>
          </cell>
          <cell r="T665">
            <v>15</v>
          </cell>
        </row>
        <row r="666">
          <cell r="C666" t="str">
            <v>Millwood town, Washington</v>
          </cell>
          <cell r="D666">
            <v>31</v>
          </cell>
          <cell r="E666">
            <v>31</v>
          </cell>
          <cell r="F666">
            <v>21</v>
          </cell>
          <cell r="G666">
            <v>10</v>
          </cell>
          <cell r="H666">
            <v>0</v>
          </cell>
          <cell r="I666">
            <v>0</v>
          </cell>
          <cell r="J666">
            <v>2</v>
          </cell>
          <cell r="K666">
            <v>8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31</v>
          </cell>
          <cell r="T666">
            <v>0</v>
          </cell>
        </row>
        <row r="667">
          <cell r="C667" t="str">
            <v>Milton city, Washington</v>
          </cell>
          <cell r="D667">
            <v>204</v>
          </cell>
          <cell r="E667">
            <v>196</v>
          </cell>
          <cell r="F667">
            <v>122</v>
          </cell>
          <cell r="G667">
            <v>63</v>
          </cell>
          <cell r="H667">
            <v>0</v>
          </cell>
          <cell r="I667">
            <v>13</v>
          </cell>
          <cell r="J667">
            <v>20</v>
          </cell>
          <cell r="K667">
            <v>30</v>
          </cell>
          <cell r="L667">
            <v>11</v>
          </cell>
          <cell r="M667">
            <v>0</v>
          </cell>
          <cell r="N667">
            <v>11</v>
          </cell>
          <cell r="O667">
            <v>0</v>
          </cell>
          <cell r="P667">
            <v>8</v>
          </cell>
          <cell r="Q667">
            <v>5</v>
          </cell>
          <cell r="R667">
            <v>3</v>
          </cell>
          <cell r="S667">
            <v>185</v>
          </cell>
          <cell r="T667">
            <v>19</v>
          </cell>
        </row>
        <row r="668">
          <cell r="C668" t="str">
            <v>Minnehaha CDP, Washington</v>
          </cell>
          <cell r="D668">
            <v>354</v>
          </cell>
          <cell r="E668">
            <v>254</v>
          </cell>
          <cell r="F668">
            <v>118</v>
          </cell>
          <cell r="G668">
            <v>136</v>
          </cell>
          <cell r="H668">
            <v>13</v>
          </cell>
          <cell r="I668">
            <v>6</v>
          </cell>
          <cell r="J668">
            <v>15</v>
          </cell>
          <cell r="K668">
            <v>102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100</v>
          </cell>
          <cell r="Q668">
            <v>39</v>
          </cell>
          <cell r="R668">
            <v>61</v>
          </cell>
          <cell r="S668">
            <v>254</v>
          </cell>
          <cell r="T668">
            <v>100</v>
          </cell>
        </row>
        <row r="669">
          <cell r="C669" t="str">
            <v>Mirrormont CDP, Washington</v>
          </cell>
          <cell r="D669">
            <v>163</v>
          </cell>
          <cell r="E669">
            <v>144</v>
          </cell>
          <cell r="F669">
            <v>124</v>
          </cell>
          <cell r="G669">
            <v>20</v>
          </cell>
          <cell r="H669">
            <v>0</v>
          </cell>
          <cell r="I669">
            <v>5</v>
          </cell>
          <cell r="J669">
            <v>0</v>
          </cell>
          <cell r="K669">
            <v>15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19</v>
          </cell>
          <cell r="Q669">
            <v>9</v>
          </cell>
          <cell r="R669">
            <v>10</v>
          </cell>
          <cell r="S669">
            <v>144</v>
          </cell>
          <cell r="T669">
            <v>19</v>
          </cell>
        </row>
        <row r="670">
          <cell r="C670" t="str">
            <v>Moclips CDP, Washington</v>
          </cell>
          <cell r="D670">
            <v>60</v>
          </cell>
          <cell r="E670">
            <v>53</v>
          </cell>
          <cell r="F670">
            <v>45</v>
          </cell>
          <cell r="G670">
            <v>8</v>
          </cell>
          <cell r="H670">
            <v>0</v>
          </cell>
          <cell r="I670">
            <v>4</v>
          </cell>
          <cell r="J670">
            <v>0</v>
          </cell>
          <cell r="K670">
            <v>4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7</v>
          </cell>
          <cell r="Q670">
            <v>7</v>
          </cell>
          <cell r="R670">
            <v>0</v>
          </cell>
          <cell r="S670">
            <v>53</v>
          </cell>
          <cell r="T670">
            <v>7</v>
          </cell>
        </row>
        <row r="671">
          <cell r="C671" t="str">
            <v>Monroe city, Washington</v>
          </cell>
          <cell r="D671">
            <v>301</v>
          </cell>
          <cell r="E671">
            <v>269</v>
          </cell>
          <cell r="F671">
            <v>185</v>
          </cell>
          <cell r="G671">
            <v>66</v>
          </cell>
          <cell r="H671">
            <v>0</v>
          </cell>
          <cell r="I671">
            <v>26</v>
          </cell>
          <cell r="J671">
            <v>9</v>
          </cell>
          <cell r="K671">
            <v>31</v>
          </cell>
          <cell r="L671">
            <v>18</v>
          </cell>
          <cell r="M671">
            <v>0</v>
          </cell>
          <cell r="N671">
            <v>0</v>
          </cell>
          <cell r="O671">
            <v>18</v>
          </cell>
          <cell r="P671">
            <v>32</v>
          </cell>
          <cell r="Q671">
            <v>15</v>
          </cell>
          <cell r="R671">
            <v>17</v>
          </cell>
          <cell r="S671">
            <v>251</v>
          </cell>
          <cell r="T671">
            <v>50</v>
          </cell>
        </row>
        <row r="672">
          <cell r="C672" t="str">
            <v>Montesano city, Washington</v>
          </cell>
          <cell r="D672">
            <v>49</v>
          </cell>
          <cell r="E672">
            <v>49</v>
          </cell>
          <cell r="F672">
            <v>9</v>
          </cell>
          <cell r="G672">
            <v>40</v>
          </cell>
          <cell r="H672">
            <v>0</v>
          </cell>
          <cell r="I672">
            <v>11</v>
          </cell>
          <cell r="J672">
            <v>0</v>
          </cell>
          <cell r="K672">
            <v>29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49</v>
          </cell>
          <cell r="T672">
            <v>0</v>
          </cell>
        </row>
        <row r="673">
          <cell r="C673" t="str">
            <v>Morton city, Washington</v>
          </cell>
          <cell r="D673">
            <v>26</v>
          </cell>
          <cell r="E673">
            <v>26</v>
          </cell>
          <cell r="F673">
            <v>15</v>
          </cell>
          <cell r="G673">
            <v>11</v>
          </cell>
          <cell r="H673">
            <v>0</v>
          </cell>
          <cell r="I673">
            <v>2</v>
          </cell>
          <cell r="J673">
            <v>5</v>
          </cell>
          <cell r="K673">
            <v>4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26</v>
          </cell>
          <cell r="T673">
            <v>0</v>
          </cell>
        </row>
        <row r="674">
          <cell r="C674" t="str">
            <v>Moses Lake city, Washington</v>
          </cell>
          <cell r="D674">
            <v>613</v>
          </cell>
          <cell r="E674">
            <v>512</v>
          </cell>
          <cell r="F674">
            <v>297</v>
          </cell>
          <cell r="G674">
            <v>215</v>
          </cell>
          <cell r="H674">
            <v>2</v>
          </cell>
          <cell r="I674">
            <v>14</v>
          </cell>
          <cell r="J674">
            <v>83</v>
          </cell>
          <cell r="K674">
            <v>116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101</v>
          </cell>
          <cell r="Q674">
            <v>19</v>
          </cell>
          <cell r="R674">
            <v>82</v>
          </cell>
          <cell r="S674">
            <v>512</v>
          </cell>
          <cell r="T674">
            <v>101</v>
          </cell>
        </row>
        <row r="675">
          <cell r="C675" t="str">
            <v>Moses Lake North CDP, Washington</v>
          </cell>
          <cell r="D675">
            <v>273</v>
          </cell>
          <cell r="E675">
            <v>213</v>
          </cell>
          <cell r="F675">
            <v>148</v>
          </cell>
          <cell r="G675">
            <v>55</v>
          </cell>
          <cell r="H675">
            <v>0</v>
          </cell>
          <cell r="I675">
            <v>23</v>
          </cell>
          <cell r="J675">
            <v>13</v>
          </cell>
          <cell r="K675">
            <v>19</v>
          </cell>
          <cell r="L675">
            <v>10</v>
          </cell>
          <cell r="M675">
            <v>0</v>
          </cell>
          <cell r="N675">
            <v>0</v>
          </cell>
          <cell r="O675">
            <v>10</v>
          </cell>
          <cell r="P675">
            <v>60</v>
          </cell>
          <cell r="Q675">
            <v>5</v>
          </cell>
          <cell r="R675">
            <v>55</v>
          </cell>
          <cell r="S675">
            <v>203</v>
          </cell>
          <cell r="T675">
            <v>70</v>
          </cell>
        </row>
        <row r="676">
          <cell r="C676" t="str">
            <v>Mossyrock city, Washington</v>
          </cell>
          <cell r="D676">
            <v>8</v>
          </cell>
          <cell r="E676">
            <v>3</v>
          </cell>
          <cell r="F676">
            <v>3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5</v>
          </cell>
          <cell r="Q676">
            <v>0</v>
          </cell>
          <cell r="R676">
            <v>5</v>
          </cell>
          <cell r="S676">
            <v>3</v>
          </cell>
          <cell r="T676">
            <v>5</v>
          </cell>
        </row>
        <row r="677">
          <cell r="C677" t="str">
            <v>Mountlake Terrace city, Washington</v>
          </cell>
          <cell r="D677">
            <v>1036</v>
          </cell>
          <cell r="E677">
            <v>858</v>
          </cell>
          <cell r="F677">
            <v>485</v>
          </cell>
          <cell r="G677">
            <v>252</v>
          </cell>
          <cell r="H677">
            <v>11</v>
          </cell>
          <cell r="I677">
            <v>37</v>
          </cell>
          <cell r="J677">
            <v>55</v>
          </cell>
          <cell r="K677">
            <v>149</v>
          </cell>
          <cell r="L677">
            <v>121</v>
          </cell>
          <cell r="M677">
            <v>0</v>
          </cell>
          <cell r="N677">
            <v>74</v>
          </cell>
          <cell r="O677">
            <v>47</v>
          </cell>
          <cell r="P677">
            <v>178</v>
          </cell>
          <cell r="Q677">
            <v>67</v>
          </cell>
          <cell r="R677">
            <v>111</v>
          </cell>
          <cell r="S677">
            <v>737</v>
          </cell>
          <cell r="T677">
            <v>299</v>
          </cell>
        </row>
        <row r="678">
          <cell r="C678" t="str">
            <v>Mount Vernon city, Washington</v>
          </cell>
          <cell r="D678">
            <v>718</v>
          </cell>
          <cell r="E678">
            <v>612</v>
          </cell>
          <cell r="F678">
            <v>421</v>
          </cell>
          <cell r="G678">
            <v>191</v>
          </cell>
          <cell r="H678">
            <v>5</v>
          </cell>
          <cell r="I678">
            <v>61</v>
          </cell>
          <cell r="J678">
            <v>30</v>
          </cell>
          <cell r="K678">
            <v>95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106</v>
          </cell>
          <cell r="Q678">
            <v>17</v>
          </cell>
          <cell r="R678">
            <v>89</v>
          </cell>
          <cell r="S678">
            <v>612</v>
          </cell>
          <cell r="T678">
            <v>106</v>
          </cell>
        </row>
        <row r="679">
          <cell r="C679" t="str">
            <v>Mount Vista CDP, Washington</v>
          </cell>
          <cell r="D679">
            <v>164</v>
          </cell>
          <cell r="E679">
            <v>138</v>
          </cell>
          <cell r="F679">
            <v>30</v>
          </cell>
          <cell r="G679">
            <v>108</v>
          </cell>
          <cell r="H679">
            <v>0</v>
          </cell>
          <cell r="I679">
            <v>22</v>
          </cell>
          <cell r="J679">
            <v>16</v>
          </cell>
          <cell r="K679">
            <v>70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26</v>
          </cell>
          <cell r="Q679">
            <v>0</v>
          </cell>
          <cell r="R679">
            <v>26</v>
          </cell>
          <cell r="S679">
            <v>138</v>
          </cell>
          <cell r="T679">
            <v>26</v>
          </cell>
        </row>
        <row r="680">
          <cell r="C680" t="str">
            <v>Moxee city, Washington</v>
          </cell>
          <cell r="D680">
            <v>25</v>
          </cell>
          <cell r="E680">
            <v>21</v>
          </cell>
          <cell r="F680">
            <v>18</v>
          </cell>
          <cell r="G680">
            <v>3</v>
          </cell>
          <cell r="H680">
            <v>0</v>
          </cell>
          <cell r="I680">
            <v>1</v>
          </cell>
          <cell r="J680">
            <v>0</v>
          </cell>
          <cell r="K680">
            <v>2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4</v>
          </cell>
          <cell r="Q680">
            <v>3</v>
          </cell>
          <cell r="R680">
            <v>1</v>
          </cell>
          <cell r="S680">
            <v>21</v>
          </cell>
          <cell r="T680">
            <v>4</v>
          </cell>
        </row>
        <row r="681">
          <cell r="C681" t="str">
            <v>Mukilteo city, Washington</v>
          </cell>
          <cell r="D681">
            <v>789</v>
          </cell>
          <cell r="E681">
            <v>708</v>
          </cell>
          <cell r="F681">
            <v>459</v>
          </cell>
          <cell r="G681">
            <v>243</v>
          </cell>
          <cell r="H681">
            <v>0</v>
          </cell>
          <cell r="I681">
            <v>32</v>
          </cell>
          <cell r="J681">
            <v>18</v>
          </cell>
          <cell r="K681">
            <v>193</v>
          </cell>
          <cell r="L681">
            <v>6</v>
          </cell>
          <cell r="M681">
            <v>0</v>
          </cell>
          <cell r="N681">
            <v>0</v>
          </cell>
          <cell r="O681">
            <v>6</v>
          </cell>
          <cell r="P681">
            <v>81</v>
          </cell>
          <cell r="Q681">
            <v>17</v>
          </cell>
          <cell r="R681">
            <v>64</v>
          </cell>
          <cell r="S681">
            <v>702</v>
          </cell>
          <cell r="T681">
            <v>87</v>
          </cell>
        </row>
        <row r="682">
          <cell r="C682" t="str">
            <v>Naches town, Washington</v>
          </cell>
          <cell r="D682">
            <v>14</v>
          </cell>
          <cell r="E682">
            <v>14</v>
          </cell>
          <cell r="F682">
            <v>12</v>
          </cell>
          <cell r="G682">
            <v>2</v>
          </cell>
          <cell r="H682">
            <v>0</v>
          </cell>
          <cell r="I682">
            <v>0</v>
          </cell>
          <cell r="J682">
            <v>0</v>
          </cell>
          <cell r="K682">
            <v>2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14</v>
          </cell>
          <cell r="T682">
            <v>0</v>
          </cell>
        </row>
        <row r="683">
          <cell r="C683" t="str">
            <v>Napavine city, Washington</v>
          </cell>
          <cell r="D683">
            <v>22</v>
          </cell>
          <cell r="E683">
            <v>19</v>
          </cell>
          <cell r="F683">
            <v>15</v>
          </cell>
          <cell r="G683">
            <v>4</v>
          </cell>
          <cell r="H683">
            <v>0</v>
          </cell>
          <cell r="I683">
            <v>0</v>
          </cell>
          <cell r="J683">
            <v>2</v>
          </cell>
          <cell r="K683">
            <v>2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</v>
          </cell>
          <cell r="Q683">
            <v>0</v>
          </cell>
          <cell r="R683">
            <v>3</v>
          </cell>
          <cell r="S683">
            <v>19</v>
          </cell>
          <cell r="T683">
            <v>3</v>
          </cell>
        </row>
        <row r="684">
          <cell r="C684" t="str">
            <v>Naselle CDP, Washington</v>
          </cell>
          <cell r="D684">
            <v>19</v>
          </cell>
          <cell r="E684">
            <v>17</v>
          </cell>
          <cell r="F684">
            <v>11</v>
          </cell>
          <cell r="G684">
            <v>3</v>
          </cell>
          <cell r="H684">
            <v>0</v>
          </cell>
          <cell r="I684">
            <v>3</v>
          </cell>
          <cell r="J684">
            <v>0</v>
          </cell>
          <cell r="K684">
            <v>0</v>
          </cell>
          <cell r="L684">
            <v>3</v>
          </cell>
          <cell r="M684">
            <v>0</v>
          </cell>
          <cell r="N684">
            <v>0</v>
          </cell>
          <cell r="O684">
            <v>3</v>
          </cell>
          <cell r="P684">
            <v>2</v>
          </cell>
          <cell r="Q684">
            <v>0</v>
          </cell>
          <cell r="R684">
            <v>2</v>
          </cell>
          <cell r="S684">
            <v>14</v>
          </cell>
          <cell r="T684">
            <v>5</v>
          </cell>
        </row>
        <row r="685">
          <cell r="C685" t="str">
            <v>Navy Yard City CDP, Washington</v>
          </cell>
          <cell r="D685">
            <v>233</v>
          </cell>
          <cell r="E685">
            <v>233</v>
          </cell>
          <cell r="F685">
            <v>98</v>
          </cell>
          <cell r="G685">
            <v>135</v>
          </cell>
          <cell r="H685">
            <v>15</v>
          </cell>
          <cell r="I685">
            <v>56</v>
          </cell>
          <cell r="J685">
            <v>33</v>
          </cell>
          <cell r="K685">
            <v>31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233</v>
          </cell>
          <cell r="T685">
            <v>0</v>
          </cell>
        </row>
        <row r="686">
          <cell r="C686" t="str">
            <v>Neah Bay CDP, Washington</v>
          </cell>
          <cell r="D686">
            <v>63</v>
          </cell>
          <cell r="E686">
            <v>61</v>
          </cell>
          <cell r="F686">
            <v>42</v>
          </cell>
          <cell r="G686">
            <v>19</v>
          </cell>
          <cell r="H686">
            <v>0</v>
          </cell>
          <cell r="I686">
            <v>0</v>
          </cell>
          <cell r="J686">
            <v>3</v>
          </cell>
          <cell r="K686">
            <v>16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2</v>
          </cell>
          <cell r="Q686">
            <v>0</v>
          </cell>
          <cell r="R686">
            <v>2</v>
          </cell>
          <cell r="S686">
            <v>61</v>
          </cell>
          <cell r="T686">
            <v>2</v>
          </cell>
        </row>
        <row r="687">
          <cell r="C687" t="str">
            <v>Neilton CDP, Washington</v>
          </cell>
          <cell r="D687">
            <v>8</v>
          </cell>
          <cell r="E687">
            <v>8</v>
          </cell>
          <cell r="F687">
            <v>4</v>
          </cell>
          <cell r="G687">
            <v>4</v>
          </cell>
          <cell r="H687">
            <v>0</v>
          </cell>
          <cell r="I687">
            <v>0</v>
          </cell>
          <cell r="J687">
            <v>3</v>
          </cell>
          <cell r="K687">
            <v>1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8</v>
          </cell>
          <cell r="T687">
            <v>0</v>
          </cell>
        </row>
        <row r="688">
          <cell r="C688" t="str">
            <v>Nespelem town, Washington</v>
          </cell>
          <cell r="D688">
            <v>2</v>
          </cell>
          <cell r="E688">
            <v>2</v>
          </cell>
          <cell r="F688">
            <v>2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</v>
          </cell>
          <cell r="T688">
            <v>0</v>
          </cell>
        </row>
        <row r="689">
          <cell r="C689" t="str">
            <v>Nespelem Community CDP, Washington</v>
          </cell>
          <cell r="D689">
            <v>6</v>
          </cell>
          <cell r="E689">
            <v>6</v>
          </cell>
          <cell r="F689">
            <v>6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6</v>
          </cell>
          <cell r="T689">
            <v>0</v>
          </cell>
        </row>
        <row r="690">
          <cell r="C690" t="str">
            <v>Newcastle city, Washington</v>
          </cell>
          <cell r="D690">
            <v>296</v>
          </cell>
          <cell r="E690">
            <v>245</v>
          </cell>
          <cell r="F690">
            <v>155</v>
          </cell>
          <cell r="G690">
            <v>84</v>
          </cell>
          <cell r="H690">
            <v>20</v>
          </cell>
          <cell r="I690">
            <v>3</v>
          </cell>
          <cell r="J690">
            <v>17</v>
          </cell>
          <cell r="K690">
            <v>44</v>
          </cell>
          <cell r="L690">
            <v>6</v>
          </cell>
          <cell r="M690">
            <v>0</v>
          </cell>
          <cell r="N690">
            <v>0</v>
          </cell>
          <cell r="O690">
            <v>6</v>
          </cell>
          <cell r="P690">
            <v>51</v>
          </cell>
          <cell r="Q690">
            <v>15</v>
          </cell>
          <cell r="R690">
            <v>36</v>
          </cell>
          <cell r="S690">
            <v>239</v>
          </cell>
          <cell r="T690">
            <v>57</v>
          </cell>
        </row>
        <row r="691">
          <cell r="C691" t="str">
            <v>Newport city, Washington</v>
          </cell>
          <cell r="D691">
            <v>52</v>
          </cell>
          <cell r="E691">
            <v>51</v>
          </cell>
          <cell r="F691">
            <v>27</v>
          </cell>
          <cell r="G691">
            <v>24</v>
          </cell>
          <cell r="H691">
            <v>0</v>
          </cell>
          <cell r="I691">
            <v>1</v>
          </cell>
          <cell r="J691">
            <v>3</v>
          </cell>
          <cell r="K691">
            <v>20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</v>
          </cell>
          <cell r="Q691">
            <v>1</v>
          </cell>
          <cell r="R691">
            <v>0</v>
          </cell>
          <cell r="S691">
            <v>51</v>
          </cell>
          <cell r="T691">
            <v>1</v>
          </cell>
        </row>
        <row r="692">
          <cell r="C692" t="str">
            <v>Nisqually Indian Community CDP, Washington</v>
          </cell>
          <cell r="D692">
            <v>69</v>
          </cell>
          <cell r="E692">
            <v>67</v>
          </cell>
          <cell r="F692">
            <v>51</v>
          </cell>
          <cell r="G692">
            <v>13</v>
          </cell>
          <cell r="H692">
            <v>0</v>
          </cell>
          <cell r="I692">
            <v>3</v>
          </cell>
          <cell r="J692">
            <v>7</v>
          </cell>
          <cell r="K692">
            <v>3</v>
          </cell>
          <cell r="L692">
            <v>3</v>
          </cell>
          <cell r="M692">
            <v>0</v>
          </cell>
          <cell r="N692">
            <v>0</v>
          </cell>
          <cell r="O692">
            <v>3</v>
          </cell>
          <cell r="P692">
            <v>2</v>
          </cell>
          <cell r="Q692">
            <v>2</v>
          </cell>
          <cell r="R692">
            <v>0</v>
          </cell>
          <cell r="S692">
            <v>64</v>
          </cell>
          <cell r="T692">
            <v>5</v>
          </cell>
        </row>
        <row r="693">
          <cell r="C693" t="str">
            <v>Nooksack city, Washington</v>
          </cell>
          <cell r="D693">
            <v>23</v>
          </cell>
          <cell r="E693">
            <v>23</v>
          </cell>
          <cell r="F693">
            <v>15</v>
          </cell>
          <cell r="G693">
            <v>6</v>
          </cell>
          <cell r="H693">
            <v>0</v>
          </cell>
          <cell r="I693">
            <v>0</v>
          </cell>
          <cell r="J693">
            <v>0</v>
          </cell>
          <cell r="K693">
            <v>6</v>
          </cell>
          <cell r="L693">
            <v>2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0</v>
          </cell>
          <cell r="R693">
            <v>0</v>
          </cell>
          <cell r="S693">
            <v>21</v>
          </cell>
          <cell r="T693">
            <v>2</v>
          </cell>
        </row>
        <row r="694">
          <cell r="C694" t="str">
            <v>Normandy Park city, Washington</v>
          </cell>
          <cell r="D694">
            <v>148</v>
          </cell>
          <cell r="E694">
            <v>136</v>
          </cell>
          <cell r="F694">
            <v>66</v>
          </cell>
          <cell r="G694">
            <v>56</v>
          </cell>
          <cell r="H694">
            <v>28</v>
          </cell>
          <cell r="I694">
            <v>0</v>
          </cell>
          <cell r="J694">
            <v>0</v>
          </cell>
          <cell r="K694">
            <v>28</v>
          </cell>
          <cell r="L694">
            <v>14</v>
          </cell>
          <cell r="M694">
            <v>0</v>
          </cell>
          <cell r="N694">
            <v>0</v>
          </cell>
          <cell r="O694">
            <v>14</v>
          </cell>
          <cell r="P694">
            <v>12</v>
          </cell>
          <cell r="Q694">
            <v>0</v>
          </cell>
          <cell r="R694">
            <v>12</v>
          </cell>
          <cell r="S694">
            <v>122</v>
          </cell>
          <cell r="T694">
            <v>26</v>
          </cell>
        </row>
        <row r="695">
          <cell r="C695" t="str">
            <v>North Bend city, Washington</v>
          </cell>
          <cell r="D695">
            <v>143</v>
          </cell>
          <cell r="E695">
            <v>143</v>
          </cell>
          <cell r="F695">
            <v>51</v>
          </cell>
          <cell r="G695">
            <v>73</v>
          </cell>
          <cell r="H695">
            <v>12</v>
          </cell>
          <cell r="I695">
            <v>5</v>
          </cell>
          <cell r="J695">
            <v>20</v>
          </cell>
          <cell r="K695">
            <v>36</v>
          </cell>
          <cell r="L695">
            <v>19</v>
          </cell>
          <cell r="M695">
            <v>0</v>
          </cell>
          <cell r="N695">
            <v>0</v>
          </cell>
          <cell r="O695">
            <v>19</v>
          </cell>
          <cell r="P695">
            <v>0</v>
          </cell>
          <cell r="Q695">
            <v>0</v>
          </cell>
          <cell r="R695">
            <v>0</v>
          </cell>
          <cell r="S695">
            <v>124</v>
          </cell>
          <cell r="T695">
            <v>19</v>
          </cell>
        </row>
        <row r="696">
          <cell r="C696" t="str">
            <v>North Bonneville city, Washington</v>
          </cell>
          <cell r="D696">
            <v>4</v>
          </cell>
          <cell r="E696">
            <v>4</v>
          </cell>
          <cell r="F696">
            <v>0</v>
          </cell>
          <cell r="G696">
            <v>4</v>
          </cell>
          <cell r="H696">
            <v>0</v>
          </cell>
          <cell r="I696">
            <v>0</v>
          </cell>
          <cell r="J696">
            <v>0</v>
          </cell>
          <cell r="K696">
            <v>4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4</v>
          </cell>
          <cell r="T696">
            <v>0</v>
          </cell>
        </row>
        <row r="697">
          <cell r="C697" t="str">
            <v>North Creek CDP, Washington</v>
          </cell>
          <cell r="D697">
            <v>871</v>
          </cell>
          <cell r="E697">
            <v>846</v>
          </cell>
          <cell r="F697">
            <v>634</v>
          </cell>
          <cell r="G697">
            <v>177</v>
          </cell>
          <cell r="H697">
            <v>8</v>
          </cell>
          <cell r="I697">
            <v>10</v>
          </cell>
          <cell r="J697">
            <v>0</v>
          </cell>
          <cell r="K697">
            <v>159</v>
          </cell>
          <cell r="L697">
            <v>35</v>
          </cell>
          <cell r="M697">
            <v>0</v>
          </cell>
          <cell r="N697">
            <v>0</v>
          </cell>
          <cell r="O697">
            <v>35</v>
          </cell>
          <cell r="P697">
            <v>25</v>
          </cell>
          <cell r="Q697">
            <v>0</v>
          </cell>
          <cell r="R697">
            <v>25</v>
          </cell>
          <cell r="S697">
            <v>811</v>
          </cell>
          <cell r="T697">
            <v>60</v>
          </cell>
        </row>
        <row r="698">
          <cell r="C698" t="str">
            <v>North Marysville CDP, Washington</v>
          </cell>
          <cell r="D698">
            <v>578</v>
          </cell>
          <cell r="E698">
            <v>546</v>
          </cell>
          <cell r="F698">
            <v>265</v>
          </cell>
          <cell r="G698">
            <v>250</v>
          </cell>
          <cell r="H698">
            <v>0</v>
          </cell>
          <cell r="I698">
            <v>7</v>
          </cell>
          <cell r="J698">
            <v>75</v>
          </cell>
          <cell r="K698">
            <v>168</v>
          </cell>
          <cell r="L698">
            <v>31</v>
          </cell>
          <cell r="M698">
            <v>9</v>
          </cell>
          <cell r="N698">
            <v>0</v>
          </cell>
          <cell r="O698">
            <v>22</v>
          </cell>
          <cell r="P698">
            <v>32</v>
          </cell>
          <cell r="Q698">
            <v>23</v>
          </cell>
          <cell r="R698">
            <v>9</v>
          </cell>
          <cell r="S698">
            <v>515</v>
          </cell>
          <cell r="T698">
            <v>63</v>
          </cell>
        </row>
        <row r="699">
          <cell r="C699" t="str">
            <v>North Omak CDP, Washington</v>
          </cell>
          <cell r="D699">
            <v>23</v>
          </cell>
          <cell r="E699">
            <v>23</v>
          </cell>
          <cell r="F699">
            <v>15</v>
          </cell>
          <cell r="G699">
            <v>8</v>
          </cell>
          <cell r="H699">
            <v>0</v>
          </cell>
          <cell r="I699">
            <v>0</v>
          </cell>
          <cell r="J699">
            <v>0</v>
          </cell>
          <cell r="K699">
            <v>8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23</v>
          </cell>
          <cell r="T699">
            <v>0</v>
          </cell>
        </row>
        <row r="700">
          <cell r="C700" t="str">
            <v>Northport town, Washington</v>
          </cell>
          <cell r="D700">
            <v>3</v>
          </cell>
          <cell r="E700">
            <v>3</v>
          </cell>
          <cell r="F700">
            <v>1</v>
          </cell>
          <cell r="G700">
            <v>2</v>
          </cell>
          <cell r="H700">
            <v>0</v>
          </cell>
          <cell r="I700">
            <v>2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3</v>
          </cell>
          <cell r="T700">
            <v>0</v>
          </cell>
        </row>
        <row r="701">
          <cell r="C701" t="str">
            <v>North Stanwood CDP, Washington</v>
          </cell>
          <cell r="D701">
            <v>7</v>
          </cell>
          <cell r="E701">
            <v>7</v>
          </cell>
          <cell r="F701">
            <v>0</v>
          </cell>
          <cell r="G701">
            <v>7</v>
          </cell>
          <cell r="H701">
            <v>7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7</v>
          </cell>
          <cell r="T701">
            <v>0</v>
          </cell>
        </row>
        <row r="702">
          <cell r="C702" t="str">
            <v>North Sultan CDP, Washington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</row>
        <row r="703">
          <cell r="C703" t="str">
            <v>Northwest Snohomish CDP, Washington</v>
          </cell>
          <cell r="D703">
            <v>73</v>
          </cell>
          <cell r="E703">
            <v>73</v>
          </cell>
          <cell r="F703">
            <v>13</v>
          </cell>
          <cell r="G703">
            <v>53</v>
          </cell>
          <cell r="H703">
            <v>0</v>
          </cell>
          <cell r="I703">
            <v>19</v>
          </cell>
          <cell r="J703">
            <v>6</v>
          </cell>
          <cell r="K703">
            <v>28</v>
          </cell>
          <cell r="L703">
            <v>7</v>
          </cell>
          <cell r="M703">
            <v>7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66</v>
          </cell>
          <cell r="T703">
            <v>7</v>
          </cell>
        </row>
        <row r="704">
          <cell r="C704" t="str">
            <v>North Yelm CDP, Washington</v>
          </cell>
          <cell r="D704">
            <v>164</v>
          </cell>
          <cell r="E704">
            <v>164</v>
          </cell>
          <cell r="F704">
            <v>61</v>
          </cell>
          <cell r="G704">
            <v>85</v>
          </cell>
          <cell r="H704">
            <v>0</v>
          </cell>
          <cell r="I704">
            <v>14</v>
          </cell>
          <cell r="J704">
            <v>32</v>
          </cell>
          <cell r="K704">
            <v>39</v>
          </cell>
          <cell r="L704">
            <v>18</v>
          </cell>
          <cell r="M704">
            <v>0</v>
          </cell>
          <cell r="N704">
            <v>0</v>
          </cell>
          <cell r="O704">
            <v>18</v>
          </cell>
          <cell r="P704">
            <v>0</v>
          </cell>
          <cell r="Q704">
            <v>0</v>
          </cell>
          <cell r="R704">
            <v>0</v>
          </cell>
          <cell r="S704">
            <v>146</v>
          </cell>
          <cell r="T704">
            <v>18</v>
          </cell>
        </row>
        <row r="705">
          <cell r="C705" t="str">
            <v>Oakesdale town, Washington</v>
          </cell>
          <cell r="D705">
            <v>11</v>
          </cell>
          <cell r="E705">
            <v>11</v>
          </cell>
          <cell r="F705">
            <v>5</v>
          </cell>
          <cell r="G705">
            <v>6</v>
          </cell>
          <cell r="H705">
            <v>0</v>
          </cell>
          <cell r="I705">
            <v>0</v>
          </cell>
          <cell r="J705">
            <v>0</v>
          </cell>
          <cell r="K705">
            <v>6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11</v>
          </cell>
          <cell r="T705">
            <v>0</v>
          </cell>
        </row>
        <row r="706">
          <cell r="C706" t="str">
            <v>Oak Harbor city, Washington</v>
          </cell>
          <cell r="D706">
            <v>1358</v>
          </cell>
          <cell r="E706">
            <v>1207</v>
          </cell>
          <cell r="F706">
            <v>460</v>
          </cell>
          <cell r="G706">
            <v>619</v>
          </cell>
          <cell r="H706">
            <v>52</v>
          </cell>
          <cell r="I706">
            <v>97</v>
          </cell>
          <cell r="J706">
            <v>129</v>
          </cell>
          <cell r="K706">
            <v>341</v>
          </cell>
          <cell r="L706">
            <v>128</v>
          </cell>
          <cell r="M706">
            <v>5</v>
          </cell>
          <cell r="N706">
            <v>42</v>
          </cell>
          <cell r="O706">
            <v>81</v>
          </cell>
          <cell r="P706">
            <v>151</v>
          </cell>
          <cell r="Q706">
            <v>92</v>
          </cell>
          <cell r="R706">
            <v>59</v>
          </cell>
          <cell r="S706">
            <v>1079</v>
          </cell>
          <cell r="T706">
            <v>279</v>
          </cell>
        </row>
        <row r="707">
          <cell r="C707" t="str">
            <v>Oakville city, Washington</v>
          </cell>
          <cell r="D707">
            <v>77</v>
          </cell>
          <cell r="E707">
            <v>75</v>
          </cell>
          <cell r="F707">
            <v>36</v>
          </cell>
          <cell r="G707">
            <v>37</v>
          </cell>
          <cell r="H707">
            <v>0</v>
          </cell>
          <cell r="I707">
            <v>5</v>
          </cell>
          <cell r="J707">
            <v>10</v>
          </cell>
          <cell r="K707">
            <v>22</v>
          </cell>
          <cell r="L707">
            <v>2</v>
          </cell>
          <cell r="M707">
            <v>0</v>
          </cell>
          <cell r="N707">
            <v>0</v>
          </cell>
          <cell r="O707">
            <v>2</v>
          </cell>
          <cell r="P707">
            <v>2</v>
          </cell>
          <cell r="Q707">
            <v>2</v>
          </cell>
          <cell r="R707">
            <v>0</v>
          </cell>
          <cell r="S707">
            <v>73</v>
          </cell>
          <cell r="T707">
            <v>4</v>
          </cell>
        </row>
        <row r="708">
          <cell r="C708" t="str">
            <v>Ocean City CDP, Washington</v>
          </cell>
          <cell r="D708">
            <v>4</v>
          </cell>
          <cell r="E708">
            <v>4</v>
          </cell>
          <cell r="F708">
            <v>4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4</v>
          </cell>
          <cell r="T708">
            <v>0</v>
          </cell>
        </row>
        <row r="709">
          <cell r="C709" t="str">
            <v>Ocean Park CDP, Washington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</row>
        <row r="710">
          <cell r="C710" t="str">
            <v>Ocean Shores city, Washington</v>
          </cell>
          <cell r="D710">
            <v>94</v>
          </cell>
          <cell r="E710">
            <v>94</v>
          </cell>
          <cell r="F710">
            <v>54</v>
          </cell>
          <cell r="G710">
            <v>40</v>
          </cell>
          <cell r="H710">
            <v>0</v>
          </cell>
          <cell r="I710">
            <v>20</v>
          </cell>
          <cell r="J710">
            <v>0</v>
          </cell>
          <cell r="K710">
            <v>20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94</v>
          </cell>
          <cell r="T710">
            <v>0</v>
          </cell>
        </row>
        <row r="711">
          <cell r="C711" t="str">
            <v>Odessa town, Washington</v>
          </cell>
          <cell r="D711">
            <v>10</v>
          </cell>
          <cell r="E711">
            <v>10</v>
          </cell>
          <cell r="F711">
            <v>5</v>
          </cell>
          <cell r="G711">
            <v>5</v>
          </cell>
          <cell r="H711">
            <v>0</v>
          </cell>
          <cell r="I711">
            <v>0</v>
          </cell>
          <cell r="J711">
            <v>5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10</v>
          </cell>
          <cell r="T711">
            <v>0</v>
          </cell>
        </row>
        <row r="712">
          <cell r="C712" t="str">
            <v>Okanogan city, Washington</v>
          </cell>
          <cell r="D712">
            <v>62</v>
          </cell>
          <cell r="E712">
            <v>62</v>
          </cell>
          <cell r="F712">
            <v>50</v>
          </cell>
          <cell r="G712">
            <v>12</v>
          </cell>
          <cell r="H712">
            <v>0</v>
          </cell>
          <cell r="I712">
            <v>0</v>
          </cell>
          <cell r="J712">
            <v>0</v>
          </cell>
          <cell r="K712">
            <v>12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62</v>
          </cell>
          <cell r="T712">
            <v>0</v>
          </cell>
        </row>
        <row r="713">
          <cell r="C713" t="str">
            <v>Olympia city, Washington</v>
          </cell>
          <cell r="D713">
            <v>1905</v>
          </cell>
          <cell r="E713">
            <v>1790</v>
          </cell>
          <cell r="F713">
            <v>949</v>
          </cell>
          <cell r="G713">
            <v>715</v>
          </cell>
          <cell r="H713">
            <v>53</v>
          </cell>
          <cell r="I713">
            <v>103</v>
          </cell>
          <cell r="J713">
            <v>126</v>
          </cell>
          <cell r="K713">
            <v>433</v>
          </cell>
          <cell r="L713">
            <v>126</v>
          </cell>
          <cell r="M713">
            <v>10</v>
          </cell>
          <cell r="N713">
            <v>20</v>
          </cell>
          <cell r="O713">
            <v>96</v>
          </cell>
          <cell r="P713">
            <v>115</v>
          </cell>
          <cell r="Q713">
            <v>38</v>
          </cell>
          <cell r="R713">
            <v>77</v>
          </cell>
          <cell r="S713">
            <v>1664</v>
          </cell>
          <cell r="T713">
            <v>241</v>
          </cell>
        </row>
        <row r="714">
          <cell r="C714" t="str">
            <v>Omak city, Washington</v>
          </cell>
          <cell r="D714">
            <v>141</v>
          </cell>
          <cell r="E714">
            <v>134</v>
          </cell>
          <cell r="F714">
            <v>85</v>
          </cell>
          <cell r="G714">
            <v>29</v>
          </cell>
          <cell r="H714">
            <v>0</v>
          </cell>
          <cell r="I714">
            <v>8</v>
          </cell>
          <cell r="J714">
            <v>0</v>
          </cell>
          <cell r="K714">
            <v>21</v>
          </cell>
          <cell r="L714">
            <v>20</v>
          </cell>
          <cell r="M714">
            <v>0</v>
          </cell>
          <cell r="N714">
            <v>0</v>
          </cell>
          <cell r="O714">
            <v>20</v>
          </cell>
          <cell r="P714">
            <v>7</v>
          </cell>
          <cell r="Q714">
            <v>0</v>
          </cell>
          <cell r="R714">
            <v>7</v>
          </cell>
          <cell r="S714">
            <v>114</v>
          </cell>
          <cell r="T714">
            <v>27</v>
          </cell>
        </row>
        <row r="715">
          <cell r="C715" t="str">
            <v>Opportunity CDP, Washington</v>
          </cell>
          <cell r="D715">
            <v>667</v>
          </cell>
          <cell r="E715">
            <v>605</v>
          </cell>
          <cell r="F715">
            <v>369</v>
          </cell>
          <cell r="G715">
            <v>219</v>
          </cell>
          <cell r="H715">
            <v>0</v>
          </cell>
          <cell r="I715">
            <v>38</v>
          </cell>
          <cell r="J715">
            <v>8</v>
          </cell>
          <cell r="K715">
            <v>173</v>
          </cell>
          <cell r="L715">
            <v>17</v>
          </cell>
          <cell r="M715">
            <v>0</v>
          </cell>
          <cell r="N715">
            <v>0</v>
          </cell>
          <cell r="O715">
            <v>17</v>
          </cell>
          <cell r="P715">
            <v>62</v>
          </cell>
          <cell r="Q715">
            <v>28</v>
          </cell>
          <cell r="R715">
            <v>34</v>
          </cell>
          <cell r="S715">
            <v>588</v>
          </cell>
          <cell r="T715">
            <v>79</v>
          </cell>
        </row>
        <row r="716">
          <cell r="C716" t="str">
            <v>Orchards CDP, Washington</v>
          </cell>
          <cell r="D716">
            <v>746</v>
          </cell>
          <cell r="E716">
            <v>615</v>
          </cell>
          <cell r="F716">
            <v>199</v>
          </cell>
          <cell r="G716">
            <v>385</v>
          </cell>
          <cell r="H716">
            <v>19</v>
          </cell>
          <cell r="I716">
            <v>26</v>
          </cell>
          <cell r="J716">
            <v>77</v>
          </cell>
          <cell r="K716">
            <v>263</v>
          </cell>
          <cell r="L716">
            <v>31</v>
          </cell>
          <cell r="M716">
            <v>0</v>
          </cell>
          <cell r="N716">
            <v>0</v>
          </cell>
          <cell r="O716">
            <v>31</v>
          </cell>
          <cell r="P716">
            <v>131</v>
          </cell>
          <cell r="Q716">
            <v>42</v>
          </cell>
          <cell r="R716">
            <v>89</v>
          </cell>
          <cell r="S716">
            <v>584</v>
          </cell>
          <cell r="T716">
            <v>162</v>
          </cell>
        </row>
        <row r="717">
          <cell r="C717" t="str">
            <v>Oroville city, Washington</v>
          </cell>
          <cell r="D717">
            <v>51</v>
          </cell>
          <cell r="E717">
            <v>46</v>
          </cell>
          <cell r="F717">
            <v>29</v>
          </cell>
          <cell r="G717">
            <v>17</v>
          </cell>
          <cell r="H717">
            <v>0</v>
          </cell>
          <cell r="I717">
            <v>4</v>
          </cell>
          <cell r="J717">
            <v>4</v>
          </cell>
          <cell r="K717">
            <v>9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5</v>
          </cell>
          <cell r="Q717">
            <v>2</v>
          </cell>
          <cell r="R717">
            <v>3</v>
          </cell>
          <cell r="S717">
            <v>46</v>
          </cell>
          <cell r="T717">
            <v>5</v>
          </cell>
        </row>
        <row r="718">
          <cell r="C718" t="str">
            <v>Orting city, Washington</v>
          </cell>
          <cell r="D718">
            <v>174</v>
          </cell>
          <cell r="E718">
            <v>147</v>
          </cell>
          <cell r="F718">
            <v>106</v>
          </cell>
          <cell r="G718">
            <v>41</v>
          </cell>
          <cell r="H718">
            <v>0</v>
          </cell>
          <cell r="I718">
            <v>8</v>
          </cell>
          <cell r="J718">
            <v>7</v>
          </cell>
          <cell r="K718">
            <v>26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27</v>
          </cell>
          <cell r="Q718">
            <v>4</v>
          </cell>
          <cell r="R718">
            <v>23</v>
          </cell>
          <cell r="S718">
            <v>147</v>
          </cell>
          <cell r="T718">
            <v>27</v>
          </cell>
        </row>
        <row r="719">
          <cell r="C719" t="str">
            <v>Oso CDP, Washington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</row>
        <row r="720">
          <cell r="C720" t="str">
            <v>Othello city, Washington</v>
          </cell>
          <cell r="D720">
            <v>223</v>
          </cell>
          <cell r="E720">
            <v>159</v>
          </cell>
          <cell r="F720">
            <v>116</v>
          </cell>
          <cell r="G720">
            <v>43</v>
          </cell>
          <cell r="H720">
            <v>0</v>
          </cell>
          <cell r="I720">
            <v>0</v>
          </cell>
          <cell r="J720">
            <v>0</v>
          </cell>
          <cell r="K720">
            <v>43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64</v>
          </cell>
          <cell r="Q720">
            <v>26</v>
          </cell>
          <cell r="R720">
            <v>38</v>
          </cell>
          <cell r="S720">
            <v>159</v>
          </cell>
          <cell r="T720">
            <v>64</v>
          </cell>
        </row>
        <row r="721">
          <cell r="C721" t="str">
            <v>Otis Orchards-East Farms CDP, Washington</v>
          </cell>
          <cell r="D721">
            <v>112</v>
          </cell>
          <cell r="E721">
            <v>112</v>
          </cell>
          <cell r="F721">
            <v>26</v>
          </cell>
          <cell r="G721">
            <v>86</v>
          </cell>
          <cell r="H721">
            <v>0</v>
          </cell>
          <cell r="I721">
            <v>0</v>
          </cell>
          <cell r="J721">
            <v>41</v>
          </cell>
          <cell r="K721">
            <v>45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112</v>
          </cell>
          <cell r="T721">
            <v>0</v>
          </cell>
        </row>
        <row r="722">
          <cell r="C722" t="str">
            <v>Oyehut-Hogans Corner CDP, Washington</v>
          </cell>
          <cell r="D722">
            <v>7</v>
          </cell>
          <cell r="E722">
            <v>7</v>
          </cell>
          <cell r="F722">
            <v>7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7</v>
          </cell>
          <cell r="T722">
            <v>0</v>
          </cell>
        </row>
        <row r="723">
          <cell r="C723" t="str">
            <v>Pacific city, Washington</v>
          </cell>
          <cell r="D723">
            <v>247</v>
          </cell>
          <cell r="E723">
            <v>233</v>
          </cell>
          <cell r="F723">
            <v>157</v>
          </cell>
          <cell r="G723">
            <v>76</v>
          </cell>
          <cell r="H723">
            <v>24</v>
          </cell>
          <cell r="I723">
            <v>4</v>
          </cell>
          <cell r="J723">
            <v>5</v>
          </cell>
          <cell r="K723">
            <v>43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14</v>
          </cell>
          <cell r="Q723">
            <v>0</v>
          </cell>
          <cell r="R723">
            <v>14</v>
          </cell>
          <cell r="S723">
            <v>233</v>
          </cell>
          <cell r="T723">
            <v>14</v>
          </cell>
        </row>
        <row r="724">
          <cell r="C724" t="str">
            <v>Paine Field-Lake Stickney CDP, Washington</v>
          </cell>
          <cell r="D724">
            <v>1386</v>
          </cell>
          <cell r="E724">
            <v>1246</v>
          </cell>
          <cell r="F724">
            <v>720</v>
          </cell>
          <cell r="G724">
            <v>489</v>
          </cell>
          <cell r="H724">
            <v>78</v>
          </cell>
          <cell r="I724">
            <v>25</v>
          </cell>
          <cell r="J724">
            <v>61</v>
          </cell>
          <cell r="K724">
            <v>325</v>
          </cell>
          <cell r="L724">
            <v>37</v>
          </cell>
          <cell r="M724">
            <v>0</v>
          </cell>
          <cell r="N724">
            <v>0</v>
          </cell>
          <cell r="O724">
            <v>37</v>
          </cell>
          <cell r="P724">
            <v>140</v>
          </cell>
          <cell r="Q724">
            <v>52</v>
          </cell>
          <cell r="R724">
            <v>88</v>
          </cell>
          <cell r="S724">
            <v>1209</v>
          </cell>
          <cell r="T724">
            <v>177</v>
          </cell>
        </row>
        <row r="725">
          <cell r="C725" t="str">
            <v>Palouse city, Washington</v>
          </cell>
          <cell r="D725">
            <v>21</v>
          </cell>
          <cell r="E725">
            <v>21</v>
          </cell>
          <cell r="F725">
            <v>14</v>
          </cell>
          <cell r="G725">
            <v>7</v>
          </cell>
          <cell r="H725">
            <v>0</v>
          </cell>
          <cell r="I725">
            <v>0</v>
          </cell>
          <cell r="J725">
            <v>0</v>
          </cell>
          <cell r="K725">
            <v>7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21</v>
          </cell>
          <cell r="T725">
            <v>0</v>
          </cell>
        </row>
        <row r="726">
          <cell r="C726" t="str">
            <v>Parkland CDP, Washington</v>
          </cell>
          <cell r="D726">
            <v>1849</v>
          </cell>
          <cell r="E726">
            <v>1664</v>
          </cell>
          <cell r="F726">
            <v>1075</v>
          </cell>
          <cell r="G726">
            <v>476</v>
          </cell>
          <cell r="H726">
            <v>34</v>
          </cell>
          <cell r="I726">
            <v>69</v>
          </cell>
          <cell r="J726">
            <v>139</v>
          </cell>
          <cell r="K726">
            <v>234</v>
          </cell>
          <cell r="L726">
            <v>113</v>
          </cell>
          <cell r="M726">
            <v>0</v>
          </cell>
          <cell r="N726">
            <v>0</v>
          </cell>
          <cell r="O726">
            <v>113</v>
          </cell>
          <cell r="P726">
            <v>185</v>
          </cell>
          <cell r="Q726">
            <v>135</v>
          </cell>
          <cell r="R726">
            <v>50</v>
          </cell>
          <cell r="S726">
            <v>1551</v>
          </cell>
          <cell r="T726">
            <v>298</v>
          </cell>
        </row>
        <row r="727">
          <cell r="C727" t="str">
            <v>Parkwood CDP, Washington</v>
          </cell>
          <cell r="D727">
            <v>498</v>
          </cell>
          <cell r="E727">
            <v>490</v>
          </cell>
          <cell r="F727">
            <v>259</v>
          </cell>
          <cell r="G727">
            <v>224</v>
          </cell>
          <cell r="H727">
            <v>44</v>
          </cell>
          <cell r="I727">
            <v>39</v>
          </cell>
          <cell r="J727">
            <v>14</v>
          </cell>
          <cell r="K727">
            <v>127</v>
          </cell>
          <cell r="L727">
            <v>7</v>
          </cell>
          <cell r="M727">
            <v>0</v>
          </cell>
          <cell r="N727">
            <v>0</v>
          </cell>
          <cell r="O727">
            <v>7</v>
          </cell>
          <cell r="P727">
            <v>8</v>
          </cell>
          <cell r="Q727">
            <v>0</v>
          </cell>
          <cell r="R727">
            <v>8</v>
          </cell>
          <cell r="S727">
            <v>483</v>
          </cell>
          <cell r="T727">
            <v>15</v>
          </cell>
        </row>
        <row r="728">
          <cell r="C728" t="str">
            <v>Pasco city, Washington</v>
          </cell>
          <cell r="D728">
            <v>1366</v>
          </cell>
          <cell r="E728">
            <v>1037</v>
          </cell>
          <cell r="F728">
            <v>696</v>
          </cell>
          <cell r="G728">
            <v>333</v>
          </cell>
          <cell r="H728">
            <v>0</v>
          </cell>
          <cell r="I728">
            <v>26</v>
          </cell>
          <cell r="J728">
            <v>79</v>
          </cell>
          <cell r="K728">
            <v>228</v>
          </cell>
          <cell r="L728">
            <v>8</v>
          </cell>
          <cell r="M728">
            <v>0</v>
          </cell>
          <cell r="N728">
            <v>0</v>
          </cell>
          <cell r="O728">
            <v>8</v>
          </cell>
          <cell r="P728">
            <v>329</v>
          </cell>
          <cell r="Q728">
            <v>56</v>
          </cell>
          <cell r="R728">
            <v>273</v>
          </cell>
          <cell r="S728">
            <v>1029</v>
          </cell>
          <cell r="T728">
            <v>337</v>
          </cell>
        </row>
        <row r="729">
          <cell r="C729" t="str">
            <v>Pateros city, Washington</v>
          </cell>
          <cell r="D729">
            <v>20</v>
          </cell>
          <cell r="E729">
            <v>16</v>
          </cell>
          <cell r="F729">
            <v>13</v>
          </cell>
          <cell r="G729">
            <v>3</v>
          </cell>
          <cell r="H729">
            <v>0</v>
          </cell>
          <cell r="I729">
            <v>0</v>
          </cell>
          <cell r="J729">
            <v>0</v>
          </cell>
          <cell r="K729">
            <v>3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4</v>
          </cell>
          <cell r="Q729">
            <v>0</v>
          </cell>
          <cell r="R729">
            <v>4</v>
          </cell>
          <cell r="S729">
            <v>16</v>
          </cell>
          <cell r="T729">
            <v>4</v>
          </cell>
        </row>
        <row r="730">
          <cell r="C730" t="str">
            <v>Peaceful Valley CDP, Washington</v>
          </cell>
          <cell r="D730">
            <v>96</v>
          </cell>
          <cell r="E730">
            <v>89</v>
          </cell>
          <cell r="F730">
            <v>44</v>
          </cell>
          <cell r="G730">
            <v>45</v>
          </cell>
          <cell r="H730">
            <v>10</v>
          </cell>
          <cell r="I730">
            <v>0</v>
          </cell>
          <cell r="J730">
            <v>9</v>
          </cell>
          <cell r="K730">
            <v>26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7</v>
          </cell>
          <cell r="Q730">
            <v>0</v>
          </cell>
          <cell r="R730">
            <v>7</v>
          </cell>
          <cell r="S730">
            <v>89</v>
          </cell>
          <cell r="T730">
            <v>7</v>
          </cell>
        </row>
        <row r="731">
          <cell r="C731" t="str">
            <v>Pe Ell town, Washington</v>
          </cell>
          <cell r="D731">
            <v>18</v>
          </cell>
          <cell r="E731">
            <v>18</v>
          </cell>
          <cell r="F731">
            <v>13</v>
          </cell>
          <cell r="G731">
            <v>5</v>
          </cell>
          <cell r="H731">
            <v>0</v>
          </cell>
          <cell r="I731">
            <v>0</v>
          </cell>
          <cell r="J731">
            <v>0</v>
          </cell>
          <cell r="K731">
            <v>5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18</v>
          </cell>
          <cell r="T731">
            <v>0</v>
          </cell>
        </row>
        <row r="732">
          <cell r="C732" t="str">
            <v>Picnic Point-North Lynnwood CDP, Washington</v>
          </cell>
          <cell r="D732">
            <v>1159</v>
          </cell>
          <cell r="E732">
            <v>947</v>
          </cell>
          <cell r="F732">
            <v>575</v>
          </cell>
          <cell r="G732">
            <v>362</v>
          </cell>
          <cell r="H732">
            <v>42</v>
          </cell>
          <cell r="I732">
            <v>25</v>
          </cell>
          <cell r="J732">
            <v>31</v>
          </cell>
          <cell r="K732">
            <v>264</v>
          </cell>
          <cell r="L732">
            <v>10</v>
          </cell>
          <cell r="M732">
            <v>7</v>
          </cell>
          <cell r="N732">
            <v>0</v>
          </cell>
          <cell r="O732">
            <v>3</v>
          </cell>
          <cell r="P732">
            <v>212</v>
          </cell>
          <cell r="Q732">
            <v>100</v>
          </cell>
          <cell r="R732">
            <v>112</v>
          </cell>
          <cell r="S732">
            <v>937</v>
          </cell>
          <cell r="T732">
            <v>222</v>
          </cell>
        </row>
        <row r="733">
          <cell r="C733" t="str">
            <v>Pomeroy city, Washington</v>
          </cell>
          <cell r="D733">
            <v>27</v>
          </cell>
          <cell r="E733">
            <v>27</v>
          </cell>
          <cell r="F733">
            <v>16</v>
          </cell>
          <cell r="G733">
            <v>11</v>
          </cell>
          <cell r="H733">
            <v>0</v>
          </cell>
          <cell r="I733">
            <v>1</v>
          </cell>
          <cell r="J733">
            <v>0</v>
          </cell>
          <cell r="K733">
            <v>10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27</v>
          </cell>
          <cell r="T733">
            <v>0</v>
          </cell>
        </row>
        <row r="734">
          <cell r="C734" t="str">
            <v>Port Angeles city, Washington</v>
          </cell>
          <cell r="D734">
            <v>562</v>
          </cell>
          <cell r="E734">
            <v>522</v>
          </cell>
          <cell r="F734">
            <v>296</v>
          </cell>
          <cell r="G734">
            <v>198</v>
          </cell>
          <cell r="H734">
            <v>27</v>
          </cell>
          <cell r="I734">
            <v>29</v>
          </cell>
          <cell r="J734">
            <v>50</v>
          </cell>
          <cell r="K734">
            <v>92</v>
          </cell>
          <cell r="L734">
            <v>28</v>
          </cell>
          <cell r="M734">
            <v>0</v>
          </cell>
          <cell r="N734">
            <v>0</v>
          </cell>
          <cell r="O734">
            <v>28</v>
          </cell>
          <cell r="P734">
            <v>40</v>
          </cell>
          <cell r="Q734">
            <v>20</v>
          </cell>
          <cell r="R734">
            <v>20</v>
          </cell>
          <cell r="S734">
            <v>494</v>
          </cell>
          <cell r="T734">
            <v>68</v>
          </cell>
        </row>
        <row r="735">
          <cell r="C735" t="str">
            <v>Port Angeles East CDP, Washington</v>
          </cell>
          <cell r="D735">
            <v>27</v>
          </cell>
          <cell r="E735">
            <v>27</v>
          </cell>
          <cell r="F735">
            <v>19</v>
          </cell>
          <cell r="G735">
            <v>8</v>
          </cell>
          <cell r="H735">
            <v>0</v>
          </cell>
          <cell r="I735">
            <v>0</v>
          </cell>
          <cell r="J735">
            <v>0</v>
          </cell>
          <cell r="K735">
            <v>8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27</v>
          </cell>
          <cell r="T735">
            <v>0</v>
          </cell>
        </row>
        <row r="736">
          <cell r="C736" t="str">
            <v>Port Hadlock-Irondale CDP, Washington</v>
          </cell>
          <cell r="D736">
            <v>179</v>
          </cell>
          <cell r="E736">
            <v>174</v>
          </cell>
          <cell r="F736">
            <v>104</v>
          </cell>
          <cell r="G736">
            <v>70</v>
          </cell>
          <cell r="H736">
            <v>9</v>
          </cell>
          <cell r="I736">
            <v>0</v>
          </cell>
          <cell r="J736">
            <v>7</v>
          </cell>
          <cell r="K736">
            <v>54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5</v>
          </cell>
          <cell r="Q736">
            <v>0</v>
          </cell>
          <cell r="R736">
            <v>5</v>
          </cell>
          <cell r="S736">
            <v>174</v>
          </cell>
          <cell r="T736">
            <v>5</v>
          </cell>
        </row>
        <row r="737">
          <cell r="C737" t="str">
            <v>Port Ludlow CDP, Washington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</row>
        <row r="738">
          <cell r="C738" t="str">
            <v>Port Orchard city, Washington</v>
          </cell>
          <cell r="D738">
            <v>552</v>
          </cell>
          <cell r="E738">
            <v>543</v>
          </cell>
          <cell r="F738">
            <v>279</v>
          </cell>
          <cell r="G738">
            <v>236</v>
          </cell>
          <cell r="H738">
            <v>13</v>
          </cell>
          <cell r="I738">
            <v>36</v>
          </cell>
          <cell r="J738">
            <v>25</v>
          </cell>
          <cell r="K738">
            <v>162</v>
          </cell>
          <cell r="L738">
            <v>28</v>
          </cell>
          <cell r="M738">
            <v>0</v>
          </cell>
          <cell r="N738">
            <v>3</v>
          </cell>
          <cell r="O738">
            <v>25</v>
          </cell>
          <cell r="P738">
            <v>9</v>
          </cell>
          <cell r="Q738">
            <v>9</v>
          </cell>
          <cell r="R738">
            <v>0</v>
          </cell>
          <cell r="S738">
            <v>515</v>
          </cell>
          <cell r="T738">
            <v>37</v>
          </cell>
        </row>
        <row r="739">
          <cell r="C739" t="str">
            <v>Port Townsend city, Washington</v>
          </cell>
          <cell r="D739">
            <v>256</v>
          </cell>
          <cell r="E739">
            <v>247</v>
          </cell>
          <cell r="F739">
            <v>138</v>
          </cell>
          <cell r="G739">
            <v>109</v>
          </cell>
          <cell r="H739">
            <v>0</v>
          </cell>
          <cell r="I739">
            <v>0</v>
          </cell>
          <cell r="J739">
            <v>13</v>
          </cell>
          <cell r="K739">
            <v>96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9</v>
          </cell>
          <cell r="Q739">
            <v>0</v>
          </cell>
          <cell r="R739">
            <v>9</v>
          </cell>
          <cell r="S739">
            <v>247</v>
          </cell>
          <cell r="T739">
            <v>9</v>
          </cell>
        </row>
        <row r="740">
          <cell r="C740" t="str">
            <v>Poulsbo city, Washington</v>
          </cell>
          <cell r="D740">
            <v>350</v>
          </cell>
          <cell r="E740">
            <v>329</v>
          </cell>
          <cell r="F740">
            <v>140</v>
          </cell>
          <cell r="G740">
            <v>171</v>
          </cell>
          <cell r="H740">
            <v>0</v>
          </cell>
          <cell r="I740">
            <v>42</v>
          </cell>
          <cell r="J740">
            <v>22</v>
          </cell>
          <cell r="K740">
            <v>107</v>
          </cell>
          <cell r="L740">
            <v>18</v>
          </cell>
          <cell r="M740">
            <v>0</v>
          </cell>
          <cell r="N740">
            <v>0</v>
          </cell>
          <cell r="O740">
            <v>18</v>
          </cell>
          <cell r="P740">
            <v>21</v>
          </cell>
          <cell r="Q740">
            <v>10</v>
          </cell>
          <cell r="R740">
            <v>11</v>
          </cell>
          <cell r="S740">
            <v>311</v>
          </cell>
          <cell r="T740">
            <v>39</v>
          </cell>
        </row>
        <row r="741">
          <cell r="C741" t="str">
            <v>Prairie Ridge CDP, Washington</v>
          </cell>
          <cell r="D741">
            <v>342</v>
          </cell>
          <cell r="E741">
            <v>319</v>
          </cell>
          <cell r="F741">
            <v>249</v>
          </cell>
          <cell r="G741">
            <v>50</v>
          </cell>
          <cell r="H741">
            <v>0</v>
          </cell>
          <cell r="I741">
            <v>0</v>
          </cell>
          <cell r="J741">
            <v>22</v>
          </cell>
          <cell r="K741">
            <v>28</v>
          </cell>
          <cell r="L741">
            <v>20</v>
          </cell>
          <cell r="M741">
            <v>0</v>
          </cell>
          <cell r="N741">
            <v>0</v>
          </cell>
          <cell r="O741">
            <v>20</v>
          </cell>
          <cell r="P741">
            <v>23</v>
          </cell>
          <cell r="Q741">
            <v>7</v>
          </cell>
          <cell r="R741">
            <v>16</v>
          </cell>
          <cell r="S741">
            <v>299</v>
          </cell>
          <cell r="T741">
            <v>43</v>
          </cell>
        </row>
        <row r="742">
          <cell r="C742" t="str">
            <v>Prescott town, Washington</v>
          </cell>
          <cell r="D742">
            <v>2</v>
          </cell>
          <cell r="E742">
            <v>2</v>
          </cell>
          <cell r="F742">
            <v>0</v>
          </cell>
          <cell r="G742">
            <v>2</v>
          </cell>
          <cell r="H742">
            <v>0</v>
          </cell>
          <cell r="I742">
            <v>0</v>
          </cell>
          <cell r="J742">
            <v>0</v>
          </cell>
          <cell r="K742">
            <v>2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</v>
          </cell>
          <cell r="T742">
            <v>0</v>
          </cell>
        </row>
        <row r="743">
          <cell r="C743" t="str">
            <v>Priest Point CDP, Washington</v>
          </cell>
          <cell r="D743">
            <v>46</v>
          </cell>
          <cell r="E743">
            <v>46</v>
          </cell>
          <cell r="F743">
            <v>39</v>
          </cell>
          <cell r="G743">
            <v>7</v>
          </cell>
          <cell r="H743">
            <v>0</v>
          </cell>
          <cell r="I743">
            <v>0</v>
          </cell>
          <cell r="J743">
            <v>0</v>
          </cell>
          <cell r="K743">
            <v>7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46</v>
          </cell>
          <cell r="T743">
            <v>0</v>
          </cell>
        </row>
        <row r="744">
          <cell r="C744" t="str">
            <v>Prosser city, Washington</v>
          </cell>
          <cell r="D744">
            <v>94</v>
          </cell>
          <cell r="E744">
            <v>94</v>
          </cell>
          <cell r="F744">
            <v>68</v>
          </cell>
          <cell r="G744">
            <v>26</v>
          </cell>
          <cell r="H744">
            <v>0</v>
          </cell>
          <cell r="I744">
            <v>0</v>
          </cell>
          <cell r="J744">
            <v>0</v>
          </cell>
          <cell r="K744">
            <v>26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94</v>
          </cell>
          <cell r="T744">
            <v>0</v>
          </cell>
        </row>
        <row r="745">
          <cell r="C745" t="str">
            <v>Pullman city, Washington</v>
          </cell>
          <cell r="D745">
            <v>890</v>
          </cell>
          <cell r="E745">
            <v>713</v>
          </cell>
          <cell r="F745">
            <v>360</v>
          </cell>
          <cell r="G745">
            <v>307</v>
          </cell>
          <cell r="H745">
            <v>7</v>
          </cell>
          <cell r="I745">
            <v>29</v>
          </cell>
          <cell r="J745">
            <v>20</v>
          </cell>
          <cell r="K745">
            <v>251</v>
          </cell>
          <cell r="L745">
            <v>46</v>
          </cell>
          <cell r="M745">
            <v>0</v>
          </cell>
          <cell r="N745">
            <v>0</v>
          </cell>
          <cell r="O745">
            <v>46</v>
          </cell>
          <cell r="P745">
            <v>177</v>
          </cell>
          <cell r="Q745">
            <v>61</v>
          </cell>
          <cell r="R745">
            <v>116</v>
          </cell>
          <cell r="S745">
            <v>667</v>
          </cell>
          <cell r="T745">
            <v>223</v>
          </cell>
        </row>
        <row r="746">
          <cell r="C746" t="str">
            <v>Puyallup city, Washington</v>
          </cell>
          <cell r="D746">
            <v>1560</v>
          </cell>
          <cell r="E746">
            <v>1414</v>
          </cell>
          <cell r="F746">
            <v>771</v>
          </cell>
          <cell r="G746">
            <v>579</v>
          </cell>
          <cell r="H746">
            <v>18</v>
          </cell>
          <cell r="I746">
            <v>117</v>
          </cell>
          <cell r="J746">
            <v>75</v>
          </cell>
          <cell r="K746">
            <v>369</v>
          </cell>
          <cell r="L746">
            <v>64</v>
          </cell>
          <cell r="M746">
            <v>0</v>
          </cell>
          <cell r="N746">
            <v>0</v>
          </cell>
          <cell r="O746">
            <v>64</v>
          </cell>
          <cell r="P746">
            <v>146</v>
          </cell>
          <cell r="Q746">
            <v>38</v>
          </cell>
          <cell r="R746">
            <v>108</v>
          </cell>
          <cell r="S746">
            <v>1350</v>
          </cell>
          <cell r="T746">
            <v>210</v>
          </cell>
        </row>
        <row r="747">
          <cell r="C747" t="str">
            <v>Quilcene CDP, Washington</v>
          </cell>
          <cell r="D747">
            <v>57</v>
          </cell>
          <cell r="E747">
            <v>51</v>
          </cell>
          <cell r="F747">
            <v>19</v>
          </cell>
          <cell r="G747">
            <v>26</v>
          </cell>
          <cell r="H747">
            <v>4</v>
          </cell>
          <cell r="I747">
            <v>13</v>
          </cell>
          <cell r="J747">
            <v>0</v>
          </cell>
          <cell r="K747">
            <v>9</v>
          </cell>
          <cell r="L747">
            <v>6</v>
          </cell>
          <cell r="M747">
            <v>0</v>
          </cell>
          <cell r="N747">
            <v>0</v>
          </cell>
          <cell r="O747">
            <v>6</v>
          </cell>
          <cell r="P747">
            <v>6</v>
          </cell>
          <cell r="Q747">
            <v>0</v>
          </cell>
          <cell r="R747">
            <v>6</v>
          </cell>
          <cell r="S747">
            <v>45</v>
          </cell>
          <cell r="T747">
            <v>12</v>
          </cell>
        </row>
        <row r="748">
          <cell r="C748" t="str">
            <v>Quincy city, Washington</v>
          </cell>
          <cell r="D748">
            <v>150</v>
          </cell>
          <cell r="E748">
            <v>72</v>
          </cell>
          <cell r="F748">
            <v>56</v>
          </cell>
          <cell r="G748">
            <v>16</v>
          </cell>
          <cell r="H748">
            <v>0</v>
          </cell>
          <cell r="I748">
            <v>0</v>
          </cell>
          <cell r="J748">
            <v>0</v>
          </cell>
          <cell r="K748">
            <v>16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78</v>
          </cell>
          <cell r="Q748">
            <v>47</v>
          </cell>
          <cell r="R748">
            <v>31</v>
          </cell>
          <cell r="S748">
            <v>72</v>
          </cell>
          <cell r="T748">
            <v>78</v>
          </cell>
        </row>
        <row r="749">
          <cell r="C749" t="str">
            <v>Rainier town, Washington</v>
          </cell>
          <cell r="D749">
            <v>67</v>
          </cell>
          <cell r="E749">
            <v>67</v>
          </cell>
          <cell r="F749">
            <v>42</v>
          </cell>
          <cell r="G749">
            <v>23</v>
          </cell>
          <cell r="H749">
            <v>0</v>
          </cell>
          <cell r="I749">
            <v>2</v>
          </cell>
          <cell r="J749">
            <v>0</v>
          </cell>
          <cell r="K749">
            <v>21</v>
          </cell>
          <cell r="L749">
            <v>2</v>
          </cell>
          <cell r="M749">
            <v>0</v>
          </cell>
          <cell r="N749">
            <v>0</v>
          </cell>
          <cell r="O749">
            <v>2</v>
          </cell>
          <cell r="P749">
            <v>0</v>
          </cell>
          <cell r="Q749">
            <v>0</v>
          </cell>
          <cell r="R749">
            <v>0</v>
          </cell>
          <cell r="S749">
            <v>65</v>
          </cell>
          <cell r="T749">
            <v>2</v>
          </cell>
        </row>
        <row r="750">
          <cell r="C750" t="str">
            <v>Ravensdale CDP, Washington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</row>
        <row r="751">
          <cell r="C751" t="str">
            <v>Raymond city, Washington</v>
          </cell>
          <cell r="D751">
            <v>66</v>
          </cell>
          <cell r="E751">
            <v>58</v>
          </cell>
          <cell r="F751">
            <v>39</v>
          </cell>
          <cell r="G751">
            <v>19</v>
          </cell>
          <cell r="H751">
            <v>0</v>
          </cell>
          <cell r="I751">
            <v>0</v>
          </cell>
          <cell r="J751">
            <v>11</v>
          </cell>
          <cell r="K751">
            <v>8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8</v>
          </cell>
          <cell r="Q751">
            <v>0</v>
          </cell>
          <cell r="R751">
            <v>8</v>
          </cell>
          <cell r="S751">
            <v>58</v>
          </cell>
          <cell r="T751">
            <v>8</v>
          </cell>
        </row>
        <row r="752">
          <cell r="C752" t="str">
            <v>Reardan town, Washington</v>
          </cell>
          <cell r="D752">
            <v>15</v>
          </cell>
          <cell r="E752">
            <v>15</v>
          </cell>
          <cell r="F752">
            <v>12</v>
          </cell>
          <cell r="G752">
            <v>3</v>
          </cell>
          <cell r="H752">
            <v>0</v>
          </cell>
          <cell r="I752">
            <v>0</v>
          </cell>
          <cell r="J752">
            <v>0</v>
          </cell>
          <cell r="K752">
            <v>3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15</v>
          </cell>
          <cell r="T752">
            <v>0</v>
          </cell>
        </row>
        <row r="753">
          <cell r="C753" t="str">
            <v>Redmond city, Washington</v>
          </cell>
          <cell r="D753">
            <v>1571</v>
          </cell>
          <cell r="E753">
            <v>1294</v>
          </cell>
          <cell r="F753">
            <v>633</v>
          </cell>
          <cell r="G753">
            <v>651</v>
          </cell>
          <cell r="H753">
            <v>57</v>
          </cell>
          <cell r="I753">
            <v>90</v>
          </cell>
          <cell r="J753">
            <v>56</v>
          </cell>
          <cell r="K753">
            <v>448</v>
          </cell>
          <cell r="L753">
            <v>10</v>
          </cell>
          <cell r="M753">
            <v>0</v>
          </cell>
          <cell r="N753">
            <v>0</v>
          </cell>
          <cell r="O753">
            <v>10</v>
          </cell>
          <cell r="P753">
            <v>277</v>
          </cell>
          <cell r="Q753">
            <v>92</v>
          </cell>
          <cell r="R753">
            <v>185</v>
          </cell>
          <cell r="S753">
            <v>1284</v>
          </cell>
          <cell r="T753">
            <v>287</v>
          </cell>
        </row>
        <row r="754">
          <cell r="C754" t="str">
            <v>Renton city, Washington</v>
          </cell>
          <cell r="D754">
            <v>2646</v>
          </cell>
          <cell r="E754">
            <v>2137</v>
          </cell>
          <cell r="F754">
            <v>1434</v>
          </cell>
          <cell r="G754">
            <v>658</v>
          </cell>
          <cell r="H754">
            <v>69</v>
          </cell>
          <cell r="I754">
            <v>148</v>
          </cell>
          <cell r="J754">
            <v>132</v>
          </cell>
          <cell r="K754">
            <v>309</v>
          </cell>
          <cell r="L754">
            <v>45</v>
          </cell>
          <cell r="M754">
            <v>0</v>
          </cell>
          <cell r="N754">
            <v>0</v>
          </cell>
          <cell r="O754">
            <v>45</v>
          </cell>
          <cell r="P754">
            <v>509</v>
          </cell>
          <cell r="Q754">
            <v>147</v>
          </cell>
          <cell r="R754">
            <v>362</v>
          </cell>
          <cell r="S754">
            <v>2092</v>
          </cell>
          <cell r="T754">
            <v>554</v>
          </cell>
        </row>
        <row r="755">
          <cell r="C755" t="str">
            <v>Republic city, Washington</v>
          </cell>
          <cell r="D755">
            <v>27</v>
          </cell>
          <cell r="E755">
            <v>27</v>
          </cell>
          <cell r="F755">
            <v>18</v>
          </cell>
          <cell r="G755">
            <v>9</v>
          </cell>
          <cell r="H755">
            <v>3</v>
          </cell>
          <cell r="I755">
            <v>0</v>
          </cell>
          <cell r="J755">
            <v>4</v>
          </cell>
          <cell r="K755">
            <v>2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27</v>
          </cell>
          <cell r="T755">
            <v>0</v>
          </cell>
        </row>
        <row r="756">
          <cell r="C756" t="str">
            <v>Richland city, Washington</v>
          </cell>
          <cell r="D756">
            <v>1217</v>
          </cell>
          <cell r="E756">
            <v>1059</v>
          </cell>
          <cell r="F756">
            <v>528</v>
          </cell>
          <cell r="G756">
            <v>502</v>
          </cell>
          <cell r="H756">
            <v>16</v>
          </cell>
          <cell r="I756">
            <v>75</v>
          </cell>
          <cell r="J756">
            <v>93</v>
          </cell>
          <cell r="K756">
            <v>318</v>
          </cell>
          <cell r="L756">
            <v>29</v>
          </cell>
          <cell r="M756">
            <v>0</v>
          </cell>
          <cell r="N756">
            <v>0</v>
          </cell>
          <cell r="O756">
            <v>29</v>
          </cell>
          <cell r="P756">
            <v>158</v>
          </cell>
          <cell r="Q756">
            <v>40</v>
          </cell>
          <cell r="R756">
            <v>118</v>
          </cell>
          <cell r="S756">
            <v>1030</v>
          </cell>
          <cell r="T756">
            <v>187</v>
          </cell>
        </row>
        <row r="757">
          <cell r="C757" t="str">
            <v>Ridgefield city, Washington</v>
          </cell>
          <cell r="D757">
            <v>62</v>
          </cell>
          <cell r="E757">
            <v>60</v>
          </cell>
          <cell r="F757">
            <v>20</v>
          </cell>
          <cell r="G757">
            <v>40</v>
          </cell>
          <cell r="H757">
            <v>0</v>
          </cell>
          <cell r="I757">
            <v>0</v>
          </cell>
          <cell r="J757">
            <v>5</v>
          </cell>
          <cell r="K757">
            <v>35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2</v>
          </cell>
          <cell r="Q757">
            <v>0</v>
          </cell>
          <cell r="R757">
            <v>2</v>
          </cell>
          <cell r="S757">
            <v>60</v>
          </cell>
          <cell r="T757">
            <v>2</v>
          </cell>
        </row>
        <row r="758">
          <cell r="C758" t="str">
            <v>Ritzville city, Washington</v>
          </cell>
          <cell r="D758">
            <v>34</v>
          </cell>
          <cell r="E758">
            <v>30</v>
          </cell>
          <cell r="F758">
            <v>16</v>
          </cell>
          <cell r="G758">
            <v>14</v>
          </cell>
          <cell r="H758">
            <v>0</v>
          </cell>
          <cell r="I758">
            <v>2</v>
          </cell>
          <cell r="J758">
            <v>4</v>
          </cell>
          <cell r="K758">
            <v>8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4</v>
          </cell>
          <cell r="Q758">
            <v>1</v>
          </cell>
          <cell r="R758">
            <v>3</v>
          </cell>
          <cell r="S758">
            <v>30</v>
          </cell>
          <cell r="T758">
            <v>4</v>
          </cell>
        </row>
        <row r="759">
          <cell r="C759" t="str">
            <v>Riverbend CDP, Washington</v>
          </cell>
          <cell r="D759">
            <v>25</v>
          </cell>
          <cell r="E759">
            <v>16</v>
          </cell>
          <cell r="F759">
            <v>0</v>
          </cell>
          <cell r="G759">
            <v>16</v>
          </cell>
          <cell r="H759">
            <v>0</v>
          </cell>
          <cell r="I759">
            <v>0</v>
          </cell>
          <cell r="J759">
            <v>0</v>
          </cell>
          <cell r="K759">
            <v>16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9</v>
          </cell>
          <cell r="Q759">
            <v>9</v>
          </cell>
          <cell r="R759">
            <v>0</v>
          </cell>
          <cell r="S759">
            <v>16</v>
          </cell>
          <cell r="T759">
            <v>9</v>
          </cell>
        </row>
        <row r="760">
          <cell r="C760" t="str">
            <v>River Road CDP, Washington</v>
          </cell>
          <cell r="D760">
            <v>34</v>
          </cell>
          <cell r="E760">
            <v>34</v>
          </cell>
          <cell r="F760">
            <v>25</v>
          </cell>
          <cell r="G760">
            <v>9</v>
          </cell>
          <cell r="H760">
            <v>0</v>
          </cell>
          <cell r="I760">
            <v>0</v>
          </cell>
          <cell r="J760">
            <v>0</v>
          </cell>
          <cell r="K760">
            <v>9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34</v>
          </cell>
          <cell r="T760">
            <v>0</v>
          </cell>
        </row>
        <row r="761">
          <cell r="C761" t="str">
            <v>Riverside town, Washington</v>
          </cell>
          <cell r="D761">
            <v>11</v>
          </cell>
          <cell r="E761">
            <v>11</v>
          </cell>
          <cell r="F761">
            <v>9</v>
          </cell>
          <cell r="G761">
            <v>2</v>
          </cell>
          <cell r="H761">
            <v>0</v>
          </cell>
          <cell r="I761">
            <v>0</v>
          </cell>
          <cell r="J761">
            <v>2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11</v>
          </cell>
          <cell r="T761">
            <v>0</v>
          </cell>
        </row>
        <row r="762">
          <cell r="C762" t="str">
            <v>Riverton-Boulevard Park CDP, Washington</v>
          </cell>
          <cell r="D762">
            <v>816</v>
          </cell>
          <cell r="E762">
            <v>667</v>
          </cell>
          <cell r="F762">
            <v>440</v>
          </cell>
          <cell r="G762">
            <v>210</v>
          </cell>
          <cell r="H762">
            <v>39</v>
          </cell>
          <cell r="I762">
            <v>31</v>
          </cell>
          <cell r="J762">
            <v>51</v>
          </cell>
          <cell r="K762">
            <v>89</v>
          </cell>
          <cell r="L762">
            <v>17</v>
          </cell>
          <cell r="M762">
            <v>0</v>
          </cell>
          <cell r="N762">
            <v>0</v>
          </cell>
          <cell r="O762">
            <v>17</v>
          </cell>
          <cell r="P762">
            <v>149</v>
          </cell>
          <cell r="Q762">
            <v>59</v>
          </cell>
          <cell r="R762">
            <v>90</v>
          </cell>
          <cell r="S762">
            <v>650</v>
          </cell>
          <cell r="T762">
            <v>166</v>
          </cell>
        </row>
        <row r="763">
          <cell r="C763" t="str">
            <v>Rochester CDP, Washington</v>
          </cell>
          <cell r="D763">
            <v>110</v>
          </cell>
          <cell r="E763">
            <v>110</v>
          </cell>
          <cell r="F763">
            <v>103</v>
          </cell>
          <cell r="G763">
            <v>7</v>
          </cell>
          <cell r="H763">
            <v>0</v>
          </cell>
          <cell r="I763">
            <v>0</v>
          </cell>
          <cell r="J763">
            <v>0</v>
          </cell>
          <cell r="K763">
            <v>7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110</v>
          </cell>
          <cell r="T763">
            <v>0</v>
          </cell>
        </row>
        <row r="764">
          <cell r="C764" t="str">
            <v>Rockford town, Washington</v>
          </cell>
          <cell r="D764">
            <v>8</v>
          </cell>
          <cell r="E764">
            <v>8</v>
          </cell>
          <cell r="F764">
            <v>8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8</v>
          </cell>
          <cell r="T764">
            <v>0</v>
          </cell>
        </row>
        <row r="765">
          <cell r="C765" t="str">
            <v>Rock Island city, Washington</v>
          </cell>
          <cell r="D765">
            <v>9</v>
          </cell>
          <cell r="E765">
            <v>6</v>
          </cell>
          <cell r="F765">
            <v>6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</v>
          </cell>
          <cell r="Q765">
            <v>3</v>
          </cell>
          <cell r="R765">
            <v>0</v>
          </cell>
          <cell r="S765">
            <v>6</v>
          </cell>
          <cell r="T765">
            <v>3</v>
          </cell>
        </row>
        <row r="766">
          <cell r="C766" t="str">
            <v>Rockport CDP, Washington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</row>
        <row r="767">
          <cell r="C767" t="str">
            <v>Ronald CDP, Washington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</row>
        <row r="768">
          <cell r="C768" t="str">
            <v>Roosevelt CDP, Washington</v>
          </cell>
          <cell r="D768">
            <v>13</v>
          </cell>
          <cell r="E768">
            <v>13</v>
          </cell>
          <cell r="F768">
            <v>13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13</v>
          </cell>
          <cell r="T768">
            <v>0</v>
          </cell>
        </row>
        <row r="769">
          <cell r="C769" t="str">
            <v>Rosalia town, Washington</v>
          </cell>
          <cell r="D769">
            <v>13</v>
          </cell>
          <cell r="E769">
            <v>13</v>
          </cell>
          <cell r="F769">
            <v>7</v>
          </cell>
          <cell r="G769">
            <v>6</v>
          </cell>
          <cell r="H769">
            <v>3</v>
          </cell>
          <cell r="I769">
            <v>0</v>
          </cell>
          <cell r="J769">
            <v>2</v>
          </cell>
          <cell r="K769">
            <v>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13</v>
          </cell>
          <cell r="T769">
            <v>0</v>
          </cell>
        </row>
        <row r="770">
          <cell r="C770" t="str">
            <v>Roslyn city, Washington</v>
          </cell>
          <cell r="D770">
            <v>24</v>
          </cell>
          <cell r="E770">
            <v>24</v>
          </cell>
          <cell r="F770">
            <v>11</v>
          </cell>
          <cell r="G770">
            <v>13</v>
          </cell>
          <cell r="H770">
            <v>3</v>
          </cell>
          <cell r="I770">
            <v>0</v>
          </cell>
          <cell r="J770">
            <v>2</v>
          </cell>
          <cell r="K770">
            <v>8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24</v>
          </cell>
          <cell r="T770">
            <v>0</v>
          </cell>
        </row>
        <row r="771">
          <cell r="C771" t="str">
            <v>Roy city, Washington</v>
          </cell>
          <cell r="D771">
            <v>35</v>
          </cell>
          <cell r="E771">
            <v>35</v>
          </cell>
          <cell r="F771">
            <v>6</v>
          </cell>
          <cell r="G771">
            <v>29</v>
          </cell>
          <cell r="H771">
            <v>0</v>
          </cell>
          <cell r="I771">
            <v>3</v>
          </cell>
          <cell r="J771">
            <v>4</v>
          </cell>
          <cell r="K771">
            <v>22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35</v>
          </cell>
          <cell r="T771">
            <v>0</v>
          </cell>
        </row>
        <row r="772">
          <cell r="C772" t="str">
            <v>Royal City city, Washington</v>
          </cell>
          <cell r="D772">
            <v>10</v>
          </cell>
          <cell r="E772">
            <v>7</v>
          </cell>
          <cell r="F772">
            <v>7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3</v>
          </cell>
          <cell r="Q772">
            <v>0</v>
          </cell>
          <cell r="R772">
            <v>3</v>
          </cell>
          <cell r="S772">
            <v>7</v>
          </cell>
          <cell r="T772">
            <v>3</v>
          </cell>
        </row>
        <row r="773">
          <cell r="C773" t="str">
            <v>Ruston town, Washington</v>
          </cell>
          <cell r="D773">
            <v>34</v>
          </cell>
          <cell r="E773">
            <v>32</v>
          </cell>
          <cell r="F773">
            <v>12</v>
          </cell>
          <cell r="G773">
            <v>17</v>
          </cell>
          <cell r="H773">
            <v>0</v>
          </cell>
          <cell r="I773">
            <v>2</v>
          </cell>
          <cell r="J773">
            <v>4</v>
          </cell>
          <cell r="K773">
            <v>11</v>
          </cell>
          <cell r="L773">
            <v>3</v>
          </cell>
          <cell r="M773">
            <v>0</v>
          </cell>
          <cell r="N773">
            <v>0</v>
          </cell>
          <cell r="O773">
            <v>3</v>
          </cell>
          <cell r="P773">
            <v>2</v>
          </cell>
          <cell r="Q773">
            <v>0</v>
          </cell>
          <cell r="R773">
            <v>2</v>
          </cell>
          <cell r="S773">
            <v>29</v>
          </cell>
          <cell r="T773">
            <v>5</v>
          </cell>
        </row>
        <row r="774">
          <cell r="C774" t="str">
            <v>St. John town, Washington</v>
          </cell>
          <cell r="D774">
            <v>7</v>
          </cell>
          <cell r="E774">
            <v>7</v>
          </cell>
          <cell r="F774">
            <v>0</v>
          </cell>
          <cell r="G774">
            <v>7</v>
          </cell>
          <cell r="H774">
            <v>0</v>
          </cell>
          <cell r="I774">
            <v>0</v>
          </cell>
          <cell r="J774">
            <v>0</v>
          </cell>
          <cell r="K774">
            <v>7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7</v>
          </cell>
          <cell r="T774">
            <v>0</v>
          </cell>
        </row>
        <row r="775">
          <cell r="C775" t="str">
            <v>Salmon Creek CDP, Washington</v>
          </cell>
          <cell r="D775">
            <v>436</v>
          </cell>
          <cell r="E775">
            <v>395</v>
          </cell>
          <cell r="F775">
            <v>176</v>
          </cell>
          <cell r="G775">
            <v>187</v>
          </cell>
          <cell r="H775">
            <v>0</v>
          </cell>
          <cell r="I775">
            <v>5</v>
          </cell>
          <cell r="J775">
            <v>22</v>
          </cell>
          <cell r="K775">
            <v>160</v>
          </cell>
          <cell r="L775">
            <v>32</v>
          </cell>
          <cell r="M775">
            <v>0</v>
          </cell>
          <cell r="N775">
            <v>20</v>
          </cell>
          <cell r="O775">
            <v>12</v>
          </cell>
          <cell r="P775">
            <v>41</v>
          </cell>
          <cell r="Q775">
            <v>19</v>
          </cell>
          <cell r="R775">
            <v>22</v>
          </cell>
          <cell r="S775">
            <v>363</v>
          </cell>
          <cell r="T775">
            <v>73</v>
          </cell>
        </row>
        <row r="776">
          <cell r="C776" t="str">
            <v>Sammamish city, Washington</v>
          </cell>
          <cell r="D776">
            <v>1127</v>
          </cell>
          <cell r="E776">
            <v>922</v>
          </cell>
          <cell r="F776">
            <v>446</v>
          </cell>
          <cell r="G776">
            <v>451</v>
          </cell>
          <cell r="H776">
            <v>55</v>
          </cell>
          <cell r="I776">
            <v>75</v>
          </cell>
          <cell r="J776">
            <v>17</v>
          </cell>
          <cell r="K776">
            <v>304</v>
          </cell>
          <cell r="L776">
            <v>25</v>
          </cell>
          <cell r="M776">
            <v>0</v>
          </cell>
          <cell r="N776">
            <v>0</v>
          </cell>
          <cell r="O776">
            <v>25</v>
          </cell>
          <cell r="P776">
            <v>205</v>
          </cell>
          <cell r="Q776">
            <v>125</v>
          </cell>
          <cell r="R776">
            <v>80</v>
          </cell>
          <cell r="S776">
            <v>897</v>
          </cell>
          <cell r="T776">
            <v>230</v>
          </cell>
        </row>
        <row r="777">
          <cell r="C777" t="str">
            <v>Satsop CDP, Washington</v>
          </cell>
          <cell r="D777">
            <v>3</v>
          </cell>
          <cell r="E777">
            <v>3</v>
          </cell>
          <cell r="F777">
            <v>3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</v>
          </cell>
          <cell r="T777">
            <v>0</v>
          </cell>
        </row>
        <row r="778">
          <cell r="C778" t="str">
            <v>Satus CDP, Washington</v>
          </cell>
          <cell r="D778">
            <v>19</v>
          </cell>
          <cell r="E778">
            <v>19</v>
          </cell>
          <cell r="F778">
            <v>19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19</v>
          </cell>
          <cell r="T778">
            <v>0</v>
          </cell>
        </row>
        <row r="779">
          <cell r="C779" t="str">
            <v>SeaTac city, Washington</v>
          </cell>
          <cell r="D779">
            <v>1627</v>
          </cell>
          <cell r="E779">
            <v>1301</v>
          </cell>
          <cell r="F779">
            <v>807</v>
          </cell>
          <cell r="G779">
            <v>463</v>
          </cell>
          <cell r="H779">
            <v>6</v>
          </cell>
          <cell r="I779">
            <v>45</v>
          </cell>
          <cell r="J779">
            <v>79</v>
          </cell>
          <cell r="K779">
            <v>333</v>
          </cell>
          <cell r="L779">
            <v>31</v>
          </cell>
          <cell r="M779">
            <v>0</v>
          </cell>
          <cell r="N779">
            <v>0</v>
          </cell>
          <cell r="O779">
            <v>31</v>
          </cell>
          <cell r="P779">
            <v>326</v>
          </cell>
          <cell r="Q779">
            <v>67</v>
          </cell>
          <cell r="R779">
            <v>259</v>
          </cell>
          <cell r="S779">
            <v>1270</v>
          </cell>
          <cell r="T779">
            <v>357</v>
          </cell>
        </row>
        <row r="780">
          <cell r="C780" t="str">
            <v>Seattle city, Washington</v>
          </cell>
          <cell r="D780">
            <v>27137</v>
          </cell>
          <cell r="E780">
            <v>21629</v>
          </cell>
          <cell r="F780">
            <v>12475</v>
          </cell>
          <cell r="G780">
            <v>8154</v>
          </cell>
          <cell r="H780">
            <v>882</v>
          </cell>
          <cell r="I780">
            <v>1407</v>
          </cell>
          <cell r="J780">
            <v>1559</v>
          </cell>
          <cell r="K780">
            <v>4306</v>
          </cell>
          <cell r="L780">
            <v>1000</v>
          </cell>
          <cell r="M780">
            <v>50</v>
          </cell>
          <cell r="N780">
            <v>88</v>
          </cell>
          <cell r="O780">
            <v>862</v>
          </cell>
          <cell r="P780">
            <v>5508</v>
          </cell>
          <cell r="Q780">
            <v>2315</v>
          </cell>
          <cell r="R780">
            <v>3193</v>
          </cell>
          <cell r="S780">
            <v>20629</v>
          </cell>
          <cell r="T780">
            <v>6508</v>
          </cell>
        </row>
        <row r="781">
          <cell r="C781" t="str">
            <v>Seattle Hill-Silver Firs CDP, Washington</v>
          </cell>
          <cell r="D781">
            <v>1373</v>
          </cell>
          <cell r="E781">
            <v>1215</v>
          </cell>
          <cell r="F781">
            <v>763</v>
          </cell>
          <cell r="G781">
            <v>321</v>
          </cell>
          <cell r="H781">
            <v>34</v>
          </cell>
          <cell r="I781">
            <v>32</v>
          </cell>
          <cell r="J781">
            <v>39</v>
          </cell>
          <cell r="K781">
            <v>216</v>
          </cell>
          <cell r="L781">
            <v>131</v>
          </cell>
          <cell r="M781">
            <v>0</v>
          </cell>
          <cell r="N781">
            <v>10</v>
          </cell>
          <cell r="O781">
            <v>121</v>
          </cell>
          <cell r="P781">
            <v>158</v>
          </cell>
          <cell r="Q781">
            <v>40</v>
          </cell>
          <cell r="R781">
            <v>118</v>
          </cell>
          <cell r="S781">
            <v>1084</v>
          </cell>
          <cell r="T781">
            <v>289</v>
          </cell>
        </row>
        <row r="782">
          <cell r="C782" t="str">
            <v>Sedro-Woolley city, Washington</v>
          </cell>
          <cell r="D782">
            <v>152</v>
          </cell>
          <cell r="E782">
            <v>142</v>
          </cell>
          <cell r="F782">
            <v>125</v>
          </cell>
          <cell r="G782">
            <v>17</v>
          </cell>
          <cell r="H782">
            <v>0</v>
          </cell>
          <cell r="I782">
            <v>0</v>
          </cell>
          <cell r="J782">
            <v>0</v>
          </cell>
          <cell r="K782">
            <v>17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10</v>
          </cell>
          <cell r="Q782">
            <v>5</v>
          </cell>
          <cell r="R782">
            <v>5</v>
          </cell>
          <cell r="S782">
            <v>142</v>
          </cell>
          <cell r="T782">
            <v>10</v>
          </cell>
        </row>
        <row r="783">
          <cell r="C783" t="str">
            <v>Selah city, Washington</v>
          </cell>
          <cell r="D783">
            <v>298</v>
          </cell>
          <cell r="E783">
            <v>298</v>
          </cell>
          <cell r="F783">
            <v>234</v>
          </cell>
          <cell r="G783">
            <v>64</v>
          </cell>
          <cell r="H783">
            <v>0</v>
          </cell>
          <cell r="I783">
            <v>0</v>
          </cell>
          <cell r="J783">
            <v>32</v>
          </cell>
          <cell r="K783">
            <v>32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298</v>
          </cell>
          <cell r="T783">
            <v>0</v>
          </cell>
        </row>
        <row r="784">
          <cell r="C784" t="str">
            <v>Sequim city, Washington</v>
          </cell>
          <cell r="D784">
            <v>56</v>
          </cell>
          <cell r="E784">
            <v>56</v>
          </cell>
          <cell r="F784">
            <v>53</v>
          </cell>
          <cell r="G784">
            <v>3</v>
          </cell>
          <cell r="H784">
            <v>0</v>
          </cell>
          <cell r="I784">
            <v>0</v>
          </cell>
          <cell r="J784">
            <v>0</v>
          </cell>
          <cell r="K784">
            <v>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56</v>
          </cell>
          <cell r="T784">
            <v>0</v>
          </cell>
        </row>
        <row r="785">
          <cell r="C785" t="str">
            <v>Shaker Church CDP, Washington</v>
          </cell>
          <cell r="D785">
            <v>32</v>
          </cell>
          <cell r="E785">
            <v>32</v>
          </cell>
          <cell r="F785">
            <v>30</v>
          </cell>
          <cell r="G785">
            <v>2</v>
          </cell>
          <cell r="H785">
            <v>0</v>
          </cell>
          <cell r="I785">
            <v>0</v>
          </cell>
          <cell r="J785">
            <v>0</v>
          </cell>
          <cell r="K785">
            <v>2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32</v>
          </cell>
          <cell r="T785">
            <v>0</v>
          </cell>
        </row>
        <row r="786">
          <cell r="C786" t="str">
            <v>Shelton city, Washington</v>
          </cell>
          <cell r="D786">
            <v>340</v>
          </cell>
          <cell r="E786">
            <v>292</v>
          </cell>
          <cell r="F786">
            <v>178</v>
          </cell>
          <cell r="G786">
            <v>102</v>
          </cell>
          <cell r="H786">
            <v>9</v>
          </cell>
          <cell r="I786">
            <v>16</v>
          </cell>
          <cell r="J786">
            <v>0</v>
          </cell>
          <cell r="K786">
            <v>77</v>
          </cell>
          <cell r="L786">
            <v>12</v>
          </cell>
          <cell r="M786">
            <v>0</v>
          </cell>
          <cell r="N786">
            <v>12</v>
          </cell>
          <cell r="O786">
            <v>0</v>
          </cell>
          <cell r="P786">
            <v>48</v>
          </cell>
          <cell r="Q786">
            <v>23</v>
          </cell>
          <cell r="R786">
            <v>25</v>
          </cell>
          <cell r="S786">
            <v>280</v>
          </cell>
          <cell r="T786">
            <v>60</v>
          </cell>
        </row>
        <row r="787">
          <cell r="C787" t="str">
            <v>Shoreline city, Washington</v>
          </cell>
          <cell r="D787">
            <v>2520</v>
          </cell>
          <cell r="E787">
            <v>2172</v>
          </cell>
          <cell r="F787">
            <v>1452</v>
          </cell>
          <cell r="G787">
            <v>660</v>
          </cell>
          <cell r="H787">
            <v>54</v>
          </cell>
          <cell r="I787">
            <v>56</v>
          </cell>
          <cell r="J787">
            <v>129</v>
          </cell>
          <cell r="K787">
            <v>421</v>
          </cell>
          <cell r="L787">
            <v>60</v>
          </cell>
          <cell r="M787">
            <v>0</v>
          </cell>
          <cell r="N787">
            <v>6</v>
          </cell>
          <cell r="O787">
            <v>54</v>
          </cell>
          <cell r="P787">
            <v>348</v>
          </cell>
          <cell r="Q787">
            <v>212</v>
          </cell>
          <cell r="R787">
            <v>136</v>
          </cell>
          <cell r="S787">
            <v>2112</v>
          </cell>
          <cell r="T787">
            <v>408</v>
          </cell>
        </row>
        <row r="788">
          <cell r="C788" t="str">
            <v>Silvana CDP, Washington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</row>
        <row r="789">
          <cell r="C789" t="str">
            <v>Silverdale CDP, Washington</v>
          </cell>
          <cell r="D789">
            <v>798</v>
          </cell>
          <cell r="E789">
            <v>720</v>
          </cell>
          <cell r="F789">
            <v>285</v>
          </cell>
          <cell r="G789">
            <v>331</v>
          </cell>
          <cell r="H789">
            <v>51</v>
          </cell>
          <cell r="I789">
            <v>62</v>
          </cell>
          <cell r="J789">
            <v>95</v>
          </cell>
          <cell r="K789">
            <v>123</v>
          </cell>
          <cell r="L789">
            <v>104</v>
          </cell>
          <cell r="M789">
            <v>0</v>
          </cell>
          <cell r="N789">
            <v>0</v>
          </cell>
          <cell r="O789">
            <v>104</v>
          </cell>
          <cell r="P789">
            <v>78</v>
          </cell>
          <cell r="Q789">
            <v>61</v>
          </cell>
          <cell r="R789">
            <v>17</v>
          </cell>
          <cell r="S789">
            <v>616</v>
          </cell>
          <cell r="T789">
            <v>182</v>
          </cell>
        </row>
        <row r="790">
          <cell r="C790" t="str">
            <v>Skokomish CDP, Washington</v>
          </cell>
          <cell r="D790">
            <v>11</v>
          </cell>
          <cell r="E790">
            <v>11</v>
          </cell>
          <cell r="F790">
            <v>5</v>
          </cell>
          <cell r="G790">
            <v>6</v>
          </cell>
          <cell r="H790">
            <v>0</v>
          </cell>
          <cell r="I790">
            <v>0</v>
          </cell>
          <cell r="J790">
            <v>0</v>
          </cell>
          <cell r="K790">
            <v>6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11</v>
          </cell>
          <cell r="T790">
            <v>0</v>
          </cell>
        </row>
        <row r="791">
          <cell r="C791" t="str">
            <v>Skykomish town, Washington</v>
          </cell>
          <cell r="D791">
            <v>2</v>
          </cell>
          <cell r="E791">
            <v>2</v>
          </cell>
          <cell r="F791">
            <v>0</v>
          </cell>
          <cell r="G791">
            <v>2</v>
          </cell>
          <cell r="H791">
            <v>0</v>
          </cell>
          <cell r="I791">
            <v>0</v>
          </cell>
          <cell r="J791">
            <v>0</v>
          </cell>
          <cell r="K791">
            <v>2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2</v>
          </cell>
          <cell r="T791">
            <v>0</v>
          </cell>
        </row>
        <row r="792">
          <cell r="C792" t="str">
            <v>Smokey Point CDP, Washington</v>
          </cell>
          <cell r="D792">
            <v>21</v>
          </cell>
          <cell r="E792">
            <v>21</v>
          </cell>
          <cell r="F792">
            <v>21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21</v>
          </cell>
          <cell r="T792">
            <v>0</v>
          </cell>
        </row>
        <row r="793">
          <cell r="C793" t="str">
            <v>Snohomish city, Washington</v>
          </cell>
          <cell r="D793">
            <v>280</v>
          </cell>
          <cell r="E793">
            <v>272</v>
          </cell>
          <cell r="F793">
            <v>114</v>
          </cell>
          <cell r="G793">
            <v>141</v>
          </cell>
          <cell r="H793">
            <v>0</v>
          </cell>
          <cell r="I793">
            <v>5</v>
          </cell>
          <cell r="J793">
            <v>13</v>
          </cell>
          <cell r="K793">
            <v>123</v>
          </cell>
          <cell r="L793">
            <v>17</v>
          </cell>
          <cell r="M793">
            <v>0</v>
          </cell>
          <cell r="N793">
            <v>0</v>
          </cell>
          <cell r="O793">
            <v>17</v>
          </cell>
          <cell r="P793">
            <v>8</v>
          </cell>
          <cell r="Q793">
            <v>0</v>
          </cell>
          <cell r="R793">
            <v>8</v>
          </cell>
          <cell r="S793">
            <v>255</v>
          </cell>
          <cell r="T793">
            <v>25</v>
          </cell>
        </row>
        <row r="794">
          <cell r="C794" t="str">
            <v>Snoqualmie city, Washington</v>
          </cell>
          <cell r="D794">
            <v>55</v>
          </cell>
          <cell r="E794">
            <v>55</v>
          </cell>
          <cell r="F794">
            <v>42</v>
          </cell>
          <cell r="G794">
            <v>13</v>
          </cell>
          <cell r="H794">
            <v>0</v>
          </cell>
          <cell r="I794">
            <v>9</v>
          </cell>
          <cell r="J794">
            <v>0</v>
          </cell>
          <cell r="K794">
            <v>4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55</v>
          </cell>
          <cell r="T794">
            <v>0</v>
          </cell>
        </row>
        <row r="795">
          <cell r="C795" t="str">
            <v>Snoqualmie Pass CDP, Washington</v>
          </cell>
          <cell r="D795">
            <v>23</v>
          </cell>
          <cell r="E795">
            <v>23</v>
          </cell>
          <cell r="F795">
            <v>14</v>
          </cell>
          <cell r="G795">
            <v>9</v>
          </cell>
          <cell r="H795">
            <v>0</v>
          </cell>
          <cell r="I795">
            <v>0</v>
          </cell>
          <cell r="J795">
            <v>0</v>
          </cell>
          <cell r="K795">
            <v>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23</v>
          </cell>
          <cell r="T795">
            <v>0</v>
          </cell>
        </row>
        <row r="796">
          <cell r="C796" t="str">
            <v>Soap Lake city, Washington</v>
          </cell>
          <cell r="D796">
            <v>92</v>
          </cell>
          <cell r="E796">
            <v>57</v>
          </cell>
          <cell r="F796">
            <v>38</v>
          </cell>
          <cell r="G796">
            <v>19</v>
          </cell>
          <cell r="H796">
            <v>0</v>
          </cell>
          <cell r="I796">
            <v>0</v>
          </cell>
          <cell r="J796">
            <v>0</v>
          </cell>
          <cell r="K796">
            <v>19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35</v>
          </cell>
          <cell r="Q796">
            <v>0</v>
          </cell>
          <cell r="R796">
            <v>35</v>
          </cell>
          <cell r="S796">
            <v>57</v>
          </cell>
          <cell r="T796">
            <v>35</v>
          </cell>
        </row>
        <row r="797">
          <cell r="C797" t="str">
            <v>South Bend city, Washington</v>
          </cell>
          <cell r="D797">
            <v>89</v>
          </cell>
          <cell r="E797">
            <v>82</v>
          </cell>
          <cell r="F797">
            <v>55</v>
          </cell>
          <cell r="G797">
            <v>25</v>
          </cell>
          <cell r="H797">
            <v>0</v>
          </cell>
          <cell r="I797">
            <v>4</v>
          </cell>
          <cell r="J797">
            <v>9</v>
          </cell>
          <cell r="K797">
            <v>12</v>
          </cell>
          <cell r="L797">
            <v>2</v>
          </cell>
          <cell r="M797">
            <v>0</v>
          </cell>
          <cell r="N797">
            <v>0</v>
          </cell>
          <cell r="O797">
            <v>2</v>
          </cell>
          <cell r="P797">
            <v>7</v>
          </cell>
          <cell r="Q797">
            <v>4</v>
          </cell>
          <cell r="R797">
            <v>3</v>
          </cell>
          <cell r="S797">
            <v>80</v>
          </cell>
          <cell r="T797">
            <v>9</v>
          </cell>
        </row>
        <row r="798">
          <cell r="C798" t="str">
            <v>South Cle Elum town, Washington</v>
          </cell>
          <cell r="D798">
            <v>5</v>
          </cell>
          <cell r="E798">
            <v>5</v>
          </cell>
          <cell r="F798">
            <v>0</v>
          </cell>
          <cell r="G798">
            <v>5</v>
          </cell>
          <cell r="H798">
            <v>0</v>
          </cell>
          <cell r="I798">
            <v>0</v>
          </cell>
          <cell r="J798">
            <v>0</v>
          </cell>
          <cell r="K798">
            <v>5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5</v>
          </cell>
          <cell r="T798">
            <v>0</v>
          </cell>
        </row>
        <row r="799">
          <cell r="C799" t="str">
            <v>South Hill CDP, Washington</v>
          </cell>
          <cell r="D799">
            <v>1651</v>
          </cell>
          <cell r="E799">
            <v>1586</v>
          </cell>
          <cell r="F799">
            <v>933</v>
          </cell>
          <cell r="G799">
            <v>605</v>
          </cell>
          <cell r="H799">
            <v>37</v>
          </cell>
          <cell r="I799">
            <v>73</v>
          </cell>
          <cell r="J799">
            <v>149</v>
          </cell>
          <cell r="K799">
            <v>346</v>
          </cell>
          <cell r="L799">
            <v>48</v>
          </cell>
          <cell r="M799">
            <v>0</v>
          </cell>
          <cell r="N799">
            <v>13</v>
          </cell>
          <cell r="O799">
            <v>35</v>
          </cell>
          <cell r="P799">
            <v>65</v>
          </cell>
          <cell r="Q799">
            <v>44</v>
          </cell>
          <cell r="R799">
            <v>21</v>
          </cell>
          <cell r="S799">
            <v>1538</v>
          </cell>
          <cell r="T799">
            <v>113</v>
          </cell>
        </row>
        <row r="800">
          <cell r="C800" t="str">
            <v>South Prairie town, Washington</v>
          </cell>
          <cell r="D800">
            <v>1</v>
          </cell>
          <cell r="E800">
            <v>1</v>
          </cell>
          <cell r="F800">
            <v>1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1</v>
          </cell>
          <cell r="T800">
            <v>0</v>
          </cell>
        </row>
        <row r="801">
          <cell r="C801" t="str">
            <v>South Wenatchee CDP, Washington</v>
          </cell>
          <cell r="D801">
            <v>64</v>
          </cell>
          <cell r="E801">
            <v>16</v>
          </cell>
          <cell r="F801">
            <v>9</v>
          </cell>
          <cell r="G801">
            <v>7</v>
          </cell>
          <cell r="H801">
            <v>0</v>
          </cell>
          <cell r="I801">
            <v>0</v>
          </cell>
          <cell r="J801">
            <v>0</v>
          </cell>
          <cell r="K801">
            <v>7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48</v>
          </cell>
          <cell r="Q801">
            <v>3</v>
          </cell>
          <cell r="R801">
            <v>45</v>
          </cell>
          <cell r="S801">
            <v>16</v>
          </cell>
          <cell r="T801">
            <v>48</v>
          </cell>
        </row>
        <row r="802">
          <cell r="C802" t="str">
            <v>Spanaway CDP, Washington</v>
          </cell>
          <cell r="D802">
            <v>1731</v>
          </cell>
          <cell r="E802">
            <v>1651</v>
          </cell>
          <cell r="F802">
            <v>834</v>
          </cell>
          <cell r="G802">
            <v>600</v>
          </cell>
          <cell r="H802">
            <v>28</v>
          </cell>
          <cell r="I802">
            <v>117</v>
          </cell>
          <cell r="J802">
            <v>183</v>
          </cell>
          <cell r="K802">
            <v>272</v>
          </cell>
          <cell r="L802">
            <v>217</v>
          </cell>
          <cell r="M802">
            <v>39</v>
          </cell>
          <cell r="N802">
            <v>31</v>
          </cell>
          <cell r="O802">
            <v>147</v>
          </cell>
          <cell r="P802">
            <v>80</v>
          </cell>
          <cell r="Q802">
            <v>41</v>
          </cell>
          <cell r="R802">
            <v>39</v>
          </cell>
          <cell r="S802">
            <v>1434</v>
          </cell>
          <cell r="T802">
            <v>297</v>
          </cell>
        </row>
        <row r="803">
          <cell r="C803" t="str">
            <v>Spangle town, Washington</v>
          </cell>
          <cell r="D803">
            <v>5</v>
          </cell>
          <cell r="E803">
            <v>5</v>
          </cell>
          <cell r="F803">
            <v>0</v>
          </cell>
          <cell r="G803">
            <v>5</v>
          </cell>
          <cell r="H803">
            <v>0</v>
          </cell>
          <cell r="I803">
            <v>5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5</v>
          </cell>
          <cell r="T803">
            <v>0</v>
          </cell>
        </row>
        <row r="804">
          <cell r="C804" t="str">
            <v>Spokane city, Washington</v>
          </cell>
          <cell r="D804">
            <v>7635</v>
          </cell>
          <cell r="E804">
            <v>6487</v>
          </cell>
          <cell r="F804">
            <v>3911</v>
          </cell>
          <cell r="G804">
            <v>2405</v>
          </cell>
          <cell r="H804">
            <v>97</v>
          </cell>
          <cell r="I804">
            <v>360</v>
          </cell>
          <cell r="J804">
            <v>366</v>
          </cell>
          <cell r="K804">
            <v>1582</v>
          </cell>
          <cell r="L804">
            <v>171</v>
          </cell>
          <cell r="M804">
            <v>0</v>
          </cell>
          <cell r="N804">
            <v>9</v>
          </cell>
          <cell r="O804">
            <v>162</v>
          </cell>
          <cell r="P804">
            <v>1148</v>
          </cell>
          <cell r="Q804">
            <v>252</v>
          </cell>
          <cell r="R804">
            <v>896</v>
          </cell>
          <cell r="S804">
            <v>6316</v>
          </cell>
          <cell r="T804">
            <v>1319</v>
          </cell>
        </row>
        <row r="805">
          <cell r="C805" t="str">
            <v>Sprague city, Washington</v>
          </cell>
          <cell r="D805">
            <v>2</v>
          </cell>
          <cell r="E805">
            <v>2</v>
          </cell>
          <cell r="F805">
            <v>0</v>
          </cell>
          <cell r="G805">
            <v>2</v>
          </cell>
          <cell r="H805">
            <v>0</v>
          </cell>
          <cell r="I805">
            <v>0</v>
          </cell>
          <cell r="J805">
            <v>0</v>
          </cell>
          <cell r="K805">
            <v>2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2</v>
          </cell>
          <cell r="T805">
            <v>0</v>
          </cell>
        </row>
        <row r="806">
          <cell r="C806" t="str">
            <v>Springdale town, Washington</v>
          </cell>
          <cell r="D806">
            <v>29</v>
          </cell>
          <cell r="E806">
            <v>29</v>
          </cell>
          <cell r="F806">
            <v>18</v>
          </cell>
          <cell r="G806">
            <v>11</v>
          </cell>
          <cell r="H806">
            <v>0</v>
          </cell>
          <cell r="I806">
            <v>0</v>
          </cell>
          <cell r="J806">
            <v>0</v>
          </cell>
          <cell r="K806">
            <v>11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29</v>
          </cell>
          <cell r="T806">
            <v>0</v>
          </cell>
        </row>
        <row r="807">
          <cell r="C807" t="str">
            <v>Stanwood city, Washington</v>
          </cell>
          <cell r="D807">
            <v>217</v>
          </cell>
          <cell r="E807">
            <v>217</v>
          </cell>
          <cell r="F807">
            <v>145</v>
          </cell>
          <cell r="G807">
            <v>59</v>
          </cell>
          <cell r="H807">
            <v>8</v>
          </cell>
          <cell r="I807">
            <v>0</v>
          </cell>
          <cell r="J807">
            <v>10</v>
          </cell>
          <cell r="K807">
            <v>41</v>
          </cell>
          <cell r="L807">
            <v>13</v>
          </cell>
          <cell r="M807">
            <v>0</v>
          </cell>
          <cell r="N807">
            <v>8</v>
          </cell>
          <cell r="O807">
            <v>5</v>
          </cell>
          <cell r="P807">
            <v>0</v>
          </cell>
          <cell r="Q807">
            <v>0</v>
          </cell>
          <cell r="R807">
            <v>0</v>
          </cell>
          <cell r="S807">
            <v>204</v>
          </cell>
          <cell r="T807">
            <v>13</v>
          </cell>
        </row>
        <row r="808">
          <cell r="C808" t="str">
            <v>Starbuck town, Washington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</row>
        <row r="809">
          <cell r="C809" t="str">
            <v>Startup CDP, Washington</v>
          </cell>
          <cell r="D809">
            <v>25</v>
          </cell>
          <cell r="E809">
            <v>25</v>
          </cell>
          <cell r="F809">
            <v>25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25</v>
          </cell>
          <cell r="T809">
            <v>0</v>
          </cell>
        </row>
        <row r="810">
          <cell r="C810" t="str">
            <v>Steilacoom town, Washington</v>
          </cell>
          <cell r="D810">
            <v>210</v>
          </cell>
          <cell r="E810">
            <v>198</v>
          </cell>
          <cell r="F810">
            <v>82</v>
          </cell>
          <cell r="G810">
            <v>94</v>
          </cell>
          <cell r="H810">
            <v>0</v>
          </cell>
          <cell r="I810">
            <v>12</v>
          </cell>
          <cell r="J810">
            <v>31</v>
          </cell>
          <cell r="K810">
            <v>51</v>
          </cell>
          <cell r="L810">
            <v>22</v>
          </cell>
          <cell r="M810">
            <v>0</v>
          </cell>
          <cell r="N810">
            <v>0</v>
          </cell>
          <cell r="O810">
            <v>22</v>
          </cell>
          <cell r="P810">
            <v>12</v>
          </cell>
          <cell r="Q810">
            <v>7</v>
          </cell>
          <cell r="R810">
            <v>5</v>
          </cell>
          <cell r="S810">
            <v>176</v>
          </cell>
          <cell r="T810">
            <v>34</v>
          </cell>
        </row>
        <row r="811">
          <cell r="C811" t="str">
            <v>Stevenson city, Washington</v>
          </cell>
          <cell r="D811">
            <v>40</v>
          </cell>
          <cell r="E811">
            <v>40</v>
          </cell>
          <cell r="F811">
            <v>6</v>
          </cell>
          <cell r="G811">
            <v>32</v>
          </cell>
          <cell r="H811">
            <v>0</v>
          </cell>
          <cell r="I811">
            <v>8</v>
          </cell>
          <cell r="J811">
            <v>2</v>
          </cell>
          <cell r="K811">
            <v>22</v>
          </cell>
          <cell r="L811">
            <v>2</v>
          </cell>
          <cell r="M811">
            <v>0</v>
          </cell>
          <cell r="N811">
            <v>0</v>
          </cell>
          <cell r="O811">
            <v>2</v>
          </cell>
          <cell r="P811">
            <v>0</v>
          </cell>
          <cell r="Q811">
            <v>0</v>
          </cell>
          <cell r="R811">
            <v>0</v>
          </cell>
          <cell r="S811">
            <v>38</v>
          </cell>
          <cell r="T811">
            <v>2</v>
          </cell>
        </row>
        <row r="812">
          <cell r="C812" t="str">
            <v>Stimson Crossing CDP, Washington</v>
          </cell>
          <cell r="D812">
            <v>29</v>
          </cell>
          <cell r="E812">
            <v>29</v>
          </cell>
          <cell r="F812">
            <v>20</v>
          </cell>
          <cell r="G812">
            <v>9</v>
          </cell>
          <cell r="H812">
            <v>0</v>
          </cell>
          <cell r="I812">
            <v>3</v>
          </cell>
          <cell r="J812">
            <v>0</v>
          </cell>
          <cell r="K812">
            <v>6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29</v>
          </cell>
          <cell r="T812">
            <v>0</v>
          </cell>
        </row>
        <row r="813">
          <cell r="C813" t="str">
            <v>Sudden Valley CDP, Washington</v>
          </cell>
          <cell r="D813">
            <v>121</v>
          </cell>
          <cell r="E813">
            <v>121</v>
          </cell>
          <cell r="F813">
            <v>46</v>
          </cell>
          <cell r="G813">
            <v>60</v>
          </cell>
          <cell r="H813">
            <v>0</v>
          </cell>
          <cell r="I813">
            <v>0</v>
          </cell>
          <cell r="J813">
            <v>18</v>
          </cell>
          <cell r="K813">
            <v>42</v>
          </cell>
          <cell r="L813">
            <v>15</v>
          </cell>
          <cell r="M813">
            <v>0</v>
          </cell>
          <cell r="N813">
            <v>0</v>
          </cell>
          <cell r="O813">
            <v>15</v>
          </cell>
          <cell r="P813">
            <v>0</v>
          </cell>
          <cell r="Q813">
            <v>0</v>
          </cell>
          <cell r="R813">
            <v>0</v>
          </cell>
          <cell r="S813">
            <v>106</v>
          </cell>
          <cell r="T813">
            <v>15</v>
          </cell>
        </row>
        <row r="814">
          <cell r="C814" t="str">
            <v>Sultan city, Washington</v>
          </cell>
          <cell r="D814">
            <v>168</v>
          </cell>
          <cell r="E814">
            <v>168</v>
          </cell>
          <cell r="F814">
            <v>96</v>
          </cell>
          <cell r="G814">
            <v>72</v>
          </cell>
          <cell r="H814">
            <v>5</v>
          </cell>
          <cell r="I814">
            <v>20</v>
          </cell>
          <cell r="J814">
            <v>5</v>
          </cell>
          <cell r="K814">
            <v>42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168</v>
          </cell>
          <cell r="T814">
            <v>0</v>
          </cell>
        </row>
        <row r="815">
          <cell r="C815" t="str">
            <v>Sumas city, Washington</v>
          </cell>
          <cell r="D815">
            <v>7</v>
          </cell>
          <cell r="E815">
            <v>7</v>
          </cell>
          <cell r="F815">
            <v>3</v>
          </cell>
          <cell r="G815">
            <v>4</v>
          </cell>
          <cell r="H815">
            <v>0</v>
          </cell>
          <cell r="I815">
            <v>0</v>
          </cell>
          <cell r="J815">
            <v>4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7</v>
          </cell>
          <cell r="T815">
            <v>0</v>
          </cell>
        </row>
        <row r="816">
          <cell r="C816" t="str">
            <v>Summit CDP, Washington</v>
          </cell>
          <cell r="D816">
            <v>471</v>
          </cell>
          <cell r="E816">
            <v>447</v>
          </cell>
          <cell r="F816">
            <v>258</v>
          </cell>
          <cell r="G816">
            <v>121</v>
          </cell>
          <cell r="H816">
            <v>0</v>
          </cell>
          <cell r="I816">
            <v>0</v>
          </cell>
          <cell r="J816">
            <v>35</v>
          </cell>
          <cell r="K816">
            <v>86</v>
          </cell>
          <cell r="L816">
            <v>68</v>
          </cell>
          <cell r="M816">
            <v>0</v>
          </cell>
          <cell r="N816">
            <v>0</v>
          </cell>
          <cell r="O816">
            <v>68</v>
          </cell>
          <cell r="P816">
            <v>24</v>
          </cell>
          <cell r="Q816">
            <v>10</v>
          </cell>
          <cell r="R816">
            <v>14</v>
          </cell>
          <cell r="S816">
            <v>379</v>
          </cell>
          <cell r="T816">
            <v>92</v>
          </cell>
        </row>
        <row r="817">
          <cell r="C817" t="str">
            <v>Summitview CDP, Washington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</row>
        <row r="818">
          <cell r="C818" t="str">
            <v>Sumner city, Washington</v>
          </cell>
          <cell r="D818">
            <v>256</v>
          </cell>
          <cell r="E818">
            <v>235</v>
          </cell>
          <cell r="F818">
            <v>163</v>
          </cell>
          <cell r="G818">
            <v>72</v>
          </cell>
          <cell r="H818">
            <v>0</v>
          </cell>
          <cell r="I818">
            <v>8</v>
          </cell>
          <cell r="J818">
            <v>14</v>
          </cell>
          <cell r="K818">
            <v>50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21</v>
          </cell>
          <cell r="Q818">
            <v>0</v>
          </cell>
          <cell r="R818">
            <v>21</v>
          </cell>
          <cell r="S818">
            <v>235</v>
          </cell>
          <cell r="T818">
            <v>21</v>
          </cell>
        </row>
        <row r="819">
          <cell r="C819" t="str">
            <v>Sunnyside city, Washington</v>
          </cell>
          <cell r="D819">
            <v>405</v>
          </cell>
          <cell r="E819">
            <v>293</v>
          </cell>
          <cell r="F819">
            <v>193</v>
          </cell>
          <cell r="G819">
            <v>91</v>
          </cell>
          <cell r="H819">
            <v>9</v>
          </cell>
          <cell r="I819">
            <v>40</v>
          </cell>
          <cell r="J819">
            <v>21</v>
          </cell>
          <cell r="K819">
            <v>21</v>
          </cell>
          <cell r="L819">
            <v>9</v>
          </cell>
          <cell r="M819">
            <v>0</v>
          </cell>
          <cell r="N819">
            <v>0</v>
          </cell>
          <cell r="O819">
            <v>9</v>
          </cell>
          <cell r="P819">
            <v>112</v>
          </cell>
          <cell r="Q819">
            <v>25</v>
          </cell>
          <cell r="R819">
            <v>87</v>
          </cell>
          <cell r="S819">
            <v>284</v>
          </cell>
          <cell r="T819">
            <v>121</v>
          </cell>
        </row>
        <row r="820">
          <cell r="C820" t="str">
            <v>Sunnyslope CDP, Washington</v>
          </cell>
          <cell r="D820">
            <v>50</v>
          </cell>
          <cell r="E820">
            <v>50</v>
          </cell>
          <cell r="F820">
            <v>36</v>
          </cell>
          <cell r="G820">
            <v>14</v>
          </cell>
          <cell r="H820">
            <v>0</v>
          </cell>
          <cell r="I820">
            <v>0</v>
          </cell>
          <cell r="J820">
            <v>0</v>
          </cell>
          <cell r="K820">
            <v>14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50</v>
          </cell>
          <cell r="T820">
            <v>0</v>
          </cell>
        </row>
        <row r="821">
          <cell r="C821" t="str">
            <v>Suquamish CDP, Washington</v>
          </cell>
          <cell r="D821">
            <v>154</v>
          </cell>
          <cell r="E821">
            <v>142</v>
          </cell>
          <cell r="F821">
            <v>67</v>
          </cell>
          <cell r="G821">
            <v>70</v>
          </cell>
          <cell r="H821">
            <v>2</v>
          </cell>
          <cell r="I821">
            <v>5</v>
          </cell>
          <cell r="J821">
            <v>14</v>
          </cell>
          <cell r="K821">
            <v>49</v>
          </cell>
          <cell r="L821">
            <v>5</v>
          </cell>
          <cell r="M821">
            <v>0</v>
          </cell>
          <cell r="N821">
            <v>2</v>
          </cell>
          <cell r="O821">
            <v>3</v>
          </cell>
          <cell r="P821">
            <v>12</v>
          </cell>
          <cell r="Q821">
            <v>7</v>
          </cell>
          <cell r="R821">
            <v>5</v>
          </cell>
          <cell r="S821">
            <v>137</v>
          </cell>
          <cell r="T821">
            <v>17</v>
          </cell>
        </row>
        <row r="822">
          <cell r="C822" t="str">
            <v>Tacoma city, Washington</v>
          </cell>
          <cell r="D822">
            <v>13105</v>
          </cell>
          <cell r="E822">
            <v>11833</v>
          </cell>
          <cell r="F822">
            <v>7585</v>
          </cell>
          <cell r="G822">
            <v>3604</v>
          </cell>
          <cell r="H822">
            <v>322</v>
          </cell>
          <cell r="I822">
            <v>434</v>
          </cell>
          <cell r="J822">
            <v>913</v>
          </cell>
          <cell r="K822">
            <v>1935</v>
          </cell>
          <cell r="L822">
            <v>644</v>
          </cell>
          <cell r="M822">
            <v>30</v>
          </cell>
          <cell r="N822">
            <v>59</v>
          </cell>
          <cell r="O822">
            <v>555</v>
          </cell>
          <cell r="P822">
            <v>1272</v>
          </cell>
          <cell r="Q822">
            <v>553</v>
          </cell>
          <cell r="R822">
            <v>719</v>
          </cell>
          <cell r="S822">
            <v>11189</v>
          </cell>
          <cell r="T822">
            <v>1916</v>
          </cell>
        </row>
        <row r="823">
          <cell r="C823" t="str">
            <v>Taholah CDP, Washington</v>
          </cell>
          <cell r="D823">
            <v>18</v>
          </cell>
          <cell r="E823">
            <v>16</v>
          </cell>
          <cell r="F823">
            <v>8</v>
          </cell>
          <cell r="G823">
            <v>8</v>
          </cell>
          <cell r="H823">
            <v>0</v>
          </cell>
          <cell r="I823">
            <v>0</v>
          </cell>
          <cell r="J823">
            <v>0</v>
          </cell>
          <cell r="K823">
            <v>8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2</v>
          </cell>
          <cell r="Q823">
            <v>0</v>
          </cell>
          <cell r="R823">
            <v>2</v>
          </cell>
          <cell r="S823">
            <v>16</v>
          </cell>
          <cell r="T823">
            <v>2</v>
          </cell>
        </row>
        <row r="824">
          <cell r="C824" t="str">
            <v>Tanglewilde-Thompson Place CDP, Washington</v>
          </cell>
          <cell r="D824">
            <v>326</v>
          </cell>
          <cell r="E824">
            <v>320</v>
          </cell>
          <cell r="F824">
            <v>117</v>
          </cell>
          <cell r="G824">
            <v>120</v>
          </cell>
          <cell r="H824">
            <v>0</v>
          </cell>
          <cell r="I824">
            <v>25</v>
          </cell>
          <cell r="J824">
            <v>28</v>
          </cell>
          <cell r="K824">
            <v>67</v>
          </cell>
          <cell r="L824">
            <v>83</v>
          </cell>
          <cell r="M824">
            <v>0</v>
          </cell>
          <cell r="N824">
            <v>25</v>
          </cell>
          <cell r="O824">
            <v>58</v>
          </cell>
          <cell r="P824">
            <v>6</v>
          </cell>
          <cell r="Q824">
            <v>6</v>
          </cell>
          <cell r="R824">
            <v>0</v>
          </cell>
          <cell r="S824">
            <v>237</v>
          </cell>
          <cell r="T824">
            <v>89</v>
          </cell>
        </row>
        <row r="825">
          <cell r="C825" t="str">
            <v>Tanner CDP, Washington</v>
          </cell>
          <cell r="D825">
            <v>80</v>
          </cell>
          <cell r="E825">
            <v>80</v>
          </cell>
          <cell r="F825">
            <v>61</v>
          </cell>
          <cell r="G825">
            <v>19</v>
          </cell>
          <cell r="H825">
            <v>0</v>
          </cell>
          <cell r="I825">
            <v>5</v>
          </cell>
          <cell r="J825">
            <v>14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80</v>
          </cell>
          <cell r="T825">
            <v>0</v>
          </cell>
        </row>
        <row r="826">
          <cell r="C826" t="str">
            <v>Tekoa city, Washington</v>
          </cell>
          <cell r="D826">
            <v>20</v>
          </cell>
          <cell r="E826">
            <v>20</v>
          </cell>
          <cell r="F826">
            <v>17</v>
          </cell>
          <cell r="G826">
            <v>3</v>
          </cell>
          <cell r="H826">
            <v>0</v>
          </cell>
          <cell r="I826">
            <v>3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20</v>
          </cell>
          <cell r="T826">
            <v>0</v>
          </cell>
        </row>
        <row r="827">
          <cell r="C827" t="str">
            <v>Tenino city, Washington</v>
          </cell>
          <cell r="D827">
            <v>38</v>
          </cell>
          <cell r="E827">
            <v>36</v>
          </cell>
          <cell r="F827">
            <v>30</v>
          </cell>
          <cell r="G827">
            <v>6</v>
          </cell>
          <cell r="H827">
            <v>0</v>
          </cell>
          <cell r="I827">
            <v>4</v>
          </cell>
          <cell r="J827">
            <v>0</v>
          </cell>
          <cell r="K827">
            <v>2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2</v>
          </cell>
          <cell r="Q827">
            <v>0</v>
          </cell>
          <cell r="R827">
            <v>2</v>
          </cell>
          <cell r="S827">
            <v>36</v>
          </cell>
          <cell r="T827">
            <v>2</v>
          </cell>
        </row>
        <row r="828">
          <cell r="C828" t="str">
            <v>Terrace Heights CDP, Washington</v>
          </cell>
          <cell r="D828">
            <v>219</v>
          </cell>
          <cell r="E828">
            <v>206</v>
          </cell>
          <cell r="F828">
            <v>145</v>
          </cell>
          <cell r="G828">
            <v>61</v>
          </cell>
          <cell r="H828">
            <v>0</v>
          </cell>
          <cell r="I828">
            <v>9</v>
          </cell>
          <cell r="J828">
            <v>26</v>
          </cell>
          <cell r="K828">
            <v>26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13</v>
          </cell>
          <cell r="Q828">
            <v>13</v>
          </cell>
          <cell r="R828">
            <v>0</v>
          </cell>
          <cell r="S828">
            <v>206</v>
          </cell>
          <cell r="T828">
            <v>13</v>
          </cell>
        </row>
        <row r="829">
          <cell r="C829" t="str">
            <v>Thorp CDP, Washington</v>
          </cell>
          <cell r="D829">
            <v>3</v>
          </cell>
          <cell r="E829">
            <v>3</v>
          </cell>
          <cell r="F829">
            <v>3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3</v>
          </cell>
          <cell r="T829">
            <v>0</v>
          </cell>
        </row>
        <row r="830">
          <cell r="C830" t="str">
            <v>Three Lakes CDP, Washington</v>
          </cell>
          <cell r="D830">
            <v>69</v>
          </cell>
          <cell r="E830">
            <v>69</v>
          </cell>
          <cell r="F830">
            <v>44</v>
          </cell>
          <cell r="G830">
            <v>25</v>
          </cell>
          <cell r="H830">
            <v>0</v>
          </cell>
          <cell r="I830">
            <v>11</v>
          </cell>
          <cell r="J830">
            <v>0</v>
          </cell>
          <cell r="K830">
            <v>14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69</v>
          </cell>
          <cell r="T830">
            <v>0</v>
          </cell>
        </row>
        <row r="831">
          <cell r="C831" t="str">
            <v>Tieton town, Washington</v>
          </cell>
          <cell r="D831">
            <v>27</v>
          </cell>
          <cell r="E831">
            <v>13</v>
          </cell>
          <cell r="F831">
            <v>11</v>
          </cell>
          <cell r="G831">
            <v>2</v>
          </cell>
          <cell r="H831">
            <v>0</v>
          </cell>
          <cell r="I831">
            <v>0</v>
          </cell>
          <cell r="J831">
            <v>0</v>
          </cell>
          <cell r="K831">
            <v>2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14</v>
          </cell>
          <cell r="Q831">
            <v>0</v>
          </cell>
          <cell r="R831">
            <v>14</v>
          </cell>
          <cell r="S831">
            <v>13</v>
          </cell>
          <cell r="T831">
            <v>14</v>
          </cell>
        </row>
        <row r="832">
          <cell r="C832" t="str">
            <v>Tokeland CDP, Washington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</row>
        <row r="833">
          <cell r="C833" t="str">
            <v>Toledo city, Washington</v>
          </cell>
          <cell r="D833">
            <v>9</v>
          </cell>
          <cell r="E833">
            <v>9</v>
          </cell>
          <cell r="F833">
            <v>2</v>
          </cell>
          <cell r="G833">
            <v>7</v>
          </cell>
          <cell r="H833">
            <v>0</v>
          </cell>
          <cell r="I833">
            <v>0</v>
          </cell>
          <cell r="J833">
            <v>7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9</v>
          </cell>
          <cell r="T833">
            <v>0</v>
          </cell>
        </row>
        <row r="834">
          <cell r="C834" t="str">
            <v>Tonasket city, Washington</v>
          </cell>
          <cell r="D834">
            <v>10</v>
          </cell>
          <cell r="E834">
            <v>6</v>
          </cell>
          <cell r="F834">
            <v>4</v>
          </cell>
          <cell r="G834">
            <v>2</v>
          </cell>
          <cell r="H834">
            <v>0</v>
          </cell>
          <cell r="I834">
            <v>0</v>
          </cell>
          <cell r="J834">
            <v>2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4</v>
          </cell>
          <cell r="Q834">
            <v>2</v>
          </cell>
          <cell r="R834">
            <v>2</v>
          </cell>
          <cell r="S834">
            <v>6</v>
          </cell>
          <cell r="T834">
            <v>4</v>
          </cell>
        </row>
        <row r="835">
          <cell r="C835" t="str">
            <v>Toppenish city, Washington</v>
          </cell>
          <cell r="D835">
            <v>329</v>
          </cell>
          <cell r="E835">
            <v>262</v>
          </cell>
          <cell r="F835">
            <v>237</v>
          </cell>
          <cell r="G835">
            <v>25</v>
          </cell>
          <cell r="H835">
            <v>0</v>
          </cell>
          <cell r="I835">
            <v>0</v>
          </cell>
          <cell r="J835">
            <v>13</v>
          </cell>
          <cell r="K835">
            <v>12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67</v>
          </cell>
          <cell r="Q835">
            <v>11</v>
          </cell>
          <cell r="R835">
            <v>56</v>
          </cell>
          <cell r="S835">
            <v>262</v>
          </cell>
          <cell r="T835">
            <v>67</v>
          </cell>
        </row>
        <row r="836">
          <cell r="C836" t="str">
            <v>Touchet CDP, Washington</v>
          </cell>
          <cell r="D836">
            <v>7</v>
          </cell>
          <cell r="E836">
            <v>5</v>
          </cell>
          <cell r="F836">
            <v>4</v>
          </cell>
          <cell r="G836">
            <v>1</v>
          </cell>
          <cell r="H836">
            <v>0</v>
          </cell>
          <cell r="I836">
            <v>0</v>
          </cell>
          <cell r="J836">
            <v>0</v>
          </cell>
          <cell r="K836">
            <v>1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2</v>
          </cell>
          <cell r="Q836">
            <v>1</v>
          </cell>
          <cell r="R836">
            <v>1</v>
          </cell>
          <cell r="S836">
            <v>5</v>
          </cell>
          <cell r="T836">
            <v>2</v>
          </cell>
        </row>
        <row r="837">
          <cell r="C837" t="str">
            <v>Town and Country CDP, Washington</v>
          </cell>
          <cell r="D837">
            <v>107</v>
          </cell>
          <cell r="E837">
            <v>107</v>
          </cell>
          <cell r="F837">
            <v>75</v>
          </cell>
          <cell r="G837">
            <v>20</v>
          </cell>
          <cell r="H837">
            <v>0</v>
          </cell>
          <cell r="I837">
            <v>0</v>
          </cell>
          <cell r="J837">
            <v>0</v>
          </cell>
          <cell r="K837">
            <v>20</v>
          </cell>
          <cell r="L837">
            <v>12</v>
          </cell>
          <cell r="M837">
            <v>0</v>
          </cell>
          <cell r="N837">
            <v>0</v>
          </cell>
          <cell r="O837">
            <v>12</v>
          </cell>
          <cell r="P837">
            <v>0</v>
          </cell>
          <cell r="Q837">
            <v>0</v>
          </cell>
          <cell r="R837">
            <v>0</v>
          </cell>
          <cell r="S837">
            <v>95</v>
          </cell>
          <cell r="T837">
            <v>12</v>
          </cell>
        </row>
        <row r="838">
          <cell r="C838" t="str">
            <v>Tracyton CDP, Washington</v>
          </cell>
          <cell r="D838">
            <v>184</v>
          </cell>
          <cell r="E838">
            <v>184</v>
          </cell>
          <cell r="F838">
            <v>80</v>
          </cell>
          <cell r="G838">
            <v>94</v>
          </cell>
          <cell r="H838">
            <v>0</v>
          </cell>
          <cell r="I838">
            <v>37</v>
          </cell>
          <cell r="J838">
            <v>23</v>
          </cell>
          <cell r="K838">
            <v>34</v>
          </cell>
          <cell r="L838">
            <v>10</v>
          </cell>
          <cell r="M838">
            <v>0</v>
          </cell>
          <cell r="N838">
            <v>0</v>
          </cell>
          <cell r="O838">
            <v>10</v>
          </cell>
          <cell r="P838">
            <v>0</v>
          </cell>
          <cell r="Q838">
            <v>0</v>
          </cell>
          <cell r="R838">
            <v>0</v>
          </cell>
          <cell r="S838">
            <v>174</v>
          </cell>
          <cell r="T838">
            <v>10</v>
          </cell>
        </row>
        <row r="839">
          <cell r="C839" t="str">
            <v>Trentwood CDP, Washington</v>
          </cell>
          <cell r="D839">
            <v>62</v>
          </cell>
          <cell r="E839">
            <v>30</v>
          </cell>
          <cell r="F839">
            <v>9</v>
          </cell>
          <cell r="G839">
            <v>21</v>
          </cell>
          <cell r="H839">
            <v>0</v>
          </cell>
          <cell r="I839">
            <v>0</v>
          </cell>
          <cell r="J839">
            <v>11</v>
          </cell>
          <cell r="K839">
            <v>10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32</v>
          </cell>
          <cell r="Q839">
            <v>32</v>
          </cell>
          <cell r="R839">
            <v>0</v>
          </cell>
          <cell r="S839">
            <v>30</v>
          </cell>
          <cell r="T839">
            <v>32</v>
          </cell>
        </row>
        <row r="840">
          <cell r="C840" t="str">
            <v>Trout Lake CDP, Washington</v>
          </cell>
          <cell r="D840">
            <v>8</v>
          </cell>
          <cell r="E840">
            <v>8</v>
          </cell>
          <cell r="F840">
            <v>0</v>
          </cell>
          <cell r="G840">
            <v>8</v>
          </cell>
          <cell r="H840">
            <v>0</v>
          </cell>
          <cell r="I840">
            <v>2</v>
          </cell>
          <cell r="J840">
            <v>0</v>
          </cell>
          <cell r="K840">
            <v>6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8</v>
          </cell>
          <cell r="T840">
            <v>0</v>
          </cell>
        </row>
        <row r="841">
          <cell r="C841" t="str">
            <v>Tukwila city, Washington</v>
          </cell>
          <cell r="D841">
            <v>1198</v>
          </cell>
          <cell r="E841">
            <v>913</v>
          </cell>
          <cell r="F841">
            <v>562</v>
          </cell>
          <cell r="G841">
            <v>341</v>
          </cell>
          <cell r="H841">
            <v>18</v>
          </cell>
          <cell r="I841">
            <v>73</v>
          </cell>
          <cell r="J841">
            <v>22</v>
          </cell>
          <cell r="K841">
            <v>228</v>
          </cell>
          <cell r="L841">
            <v>10</v>
          </cell>
          <cell r="M841">
            <v>0</v>
          </cell>
          <cell r="N841">
            <v>4</v>
          </cell>
          <cell r="O841">
            <v>6</v>
          </cell>
          <cell r="P841">
            <v>285</v>
          </cell>
          <cell r="Q841">
            <v>59</v>
          </cell>
          <cell r="R841">
            <v>226</v>
          </cell>
          <cell r="S841">
            <v>903</v>
          </cell>
          <cell r="T841">
            <v>295</v>
          </cell>
        </row>
        <row r="842">
          <cell r="C842" t="str">
            <v>Tulalip Bay CDP, Washington</v>
          </cell>
          <cell r="D842">
            <v>62</v>
          </cell>
          <cell r="E842">
            <v>62</v>
          </cell>
          <cell r="F842">
            <v>24</v>
          </cell>
          <cell r="G842">
            <v>36</v>
          </cell>
          <cell r="H842">
            <v>6</v>
          </cell>
          <cell r="I842">
            <v>7</v>
          </cell>
          <cell r="J842">
            <v>16</v>
          </cell>
          <cell r="K842">
            <v>7</v>
          </cell>
          <cell r="L842">
            <v>2</v>
          </cell>
          <cell r="M842">
            <v>0</v>
          </cell>
          <cell r="N842">
            <v>0</v>
          </cell>
          <cell r="O842">
            <v>2</v>
          </cell>
          <cell r="P842">
            <v>0</v>
          </cell>
          <cell r="Q842">
            <v>0</v>
          </cell>
          <cell r="R842">
            <v>0</v>
          </cell>
          <cell r="S842">
            <v>60</v>
          </cell>
          <cell r="T842">
            <v>2</v>
          </cell>
        </row>
        <row r="843">
          <cell r="C843" t="str">
            <v>Tumwater city, Washington</v>
          </cell>
          <cell r="D843">
            <v>355</v>
          </cell>
          <cell r="E843">
            <v>340</v>
          </cell>
          <cell r="F843">
            <v>169</v>
          </cell>
          <cell r="G843">
            <v>143</v>
          </cell>
          <cell r="H843">
            <v>6</v>
          </cell>
          <cell r="I843">
            <v>12</v>
          </cell>
          <cell r="J843">
            <v>17</v>
          </cell>
          <cell r="K843">
            <v>108</v>
          </cell>
          <cell r="L843">
            <v>28</v>
          </cell>
          <cell r="M843">
            <v>0</v>
          </cell>
          <cell r="N843">
            <v>0</v>
          </cell>
          <cell r="O843">
            <v>28</v>
          </cell>
          <cell r="P843">
            <v>15</v>
          </cell>
          <cell r="Q843">
            <v>0</v>
          </cell>
          <cell r="R843">
            <v>15</v>
          </cell>
          <cell r="S843">
            <v>312</v>
          </cell>
          <cell r="T843">
            <v>43</v>
          </cell>
        </row>
        <row r="844">
          <cell r="C844" t="str">
            <v>Twisp town, Washington</v>
          </cell>
          <cell r="D844">
            <v>22</v>
          </cell>
          <cell r="E844">
            <v>22</v>
          </cell>
          <cell r="F844">
            <v>8</v>
          </cell>
          <cell r="G844">
            <v>11</v>
          </cell>
          <cell r="H844">
            <v>0</v>
          </cell>
          <cell r="I844">
            <v>2</v>
          </cell>
          <cell r="J844">
            <v>5</v>
          </cell>
          <cell r="K844">
            <v>4</v>
          </cell>
          <cell r="L844">
            <v>3</v>
          </cell>
          <cell r="M844">
            <v>0</v>
          </cell>
          <cell r="N844">
            <v>0</v>
          </cell>
          <cell r="O844">
            <v>3</v>
          </cell>
          <cell r="P844">
            <v>0</v>
          </cell>
          <cell r="Q844">
            <v>0</v>
          </cell>
          <cell r="R844">
            <v>0</v>
          </cell>
          <cell r="S844">
            <v>19</v>
          </cell>
          <cell r="T844">
            <v>3</v>
          </cell>
        </row>
        <row r="845">
          <cell r="C845" t="str">
            <v>Union Gap city, Washington</v>
          </cell>
          <cell r="D845">
            <v>252</v>
          </cell>
          <cell r="E845">
            <v>206</v>
          </cell>
          <cell r="F845">
            <v>135</v>
          </cell>
          <cell r="G845">
            <v>71</v>
          </cell>
          <cell r="H845">
            <v>10</v>
          </cell>
          <cell r="I845">
            <v>8</v>
          </cell>
          <cell r="J845">
            <v>8</v>
          </cell>
          <cell r="K845">
            <v>45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46</v>
          </cell>
          <cell r="Q845">
            <v>10</v>
          </cell>
          <cell r="R845">
            <v>36</v>
          </cell>
          <cell r="S845">
            <v>206</v>
          </cell>
          <cell r="T845">
            <v>46</v>
          </cell>
        </row>
        <row r="846">
          <cell r="C846" t="str">
            <v>Union Hill-Novelty Hill CDP, Washington</v>
          </cell>
          <cell r="D846">
            <v>272</v>
          </cell>
          <cell r="E846">
            <v>255</v>
          </cell>
          <cell r="F846">
            <v>164</v>
          </cell>
          <cell r="G846">
            <v>78</v>
          </cell>
          <cell r="H846">
            <v>31</v>
          </cell>
          <cell r="I846">
            <v>0</v>
          </cell>
          <cell r="J846">
            <v>15</v>
          </cell>
          <cell r="K846">
            <v>32</v>
          </cell>
          <cell r="L846">
            <v>13</v>
          </cell>
          <cell r="M846">
            <v>0</v>
          </cell>
          <cell r="N846">
            <v>0</v>
          </cell>
          <cell r="O846">
            <v>13</v>
          </cell>
          <cell r="P846">
            <v>17</v>
          </cell>
          <cell r="Q846">
            <v>10</v>
          </cell>
          <cell r="R846">
            <v>7</v>
          </cell>
          <cell r="S846">
            <v>242</v>
          </cell>
          <cell r="T846">
            <v>30</v>
          </cell>
        </row>
        <row r="847">
          <cell r="C847" t="str">
            <v>Uniontown town, Washington</v>
          </cell>
          <cell r="D847">
            <v>2</v>
          </cell>
          <cell r="E847">
            <v>2</v>
          </cell>
          <cell r="F847">
            <v>0</v>
          </cell>
          <cell r="G847">
            <v>2</v>
          </cell>
          <cell r="H847">
            <v>0</v>
          </cell>
          <cell r="I847">
            <v>0</v>
          </cell>
          <cell r="J847">
            <v>0</v>
          </cell>
          <cell r="K847">
            <v>2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2</v>
          </cell>
          <cell r="T847">
            <v>0</v>
          </cell>
        </row>
        <row r="848">
          <cell r="C848" t="str">
            <v>University Place city, Washington</v>
          </cell>
          <cell r="D848">
            <v>1568</v>
          </cell>
          <cell r="E848">
            <v>1419</v>
          </cell>
          <cell r="F848">
            <v>823</v>
          </cell>
          <cell r="G848">
            <v>492</v>
          </cell>
          <cell r="H848">
            <v>54</v>
          </cell>
          <cell r="I848">
            <v>69</v>
          </cell>
          <cell r="J848">
            <v>158</v>
          </cell>
          <cell r="K848">
            <v>211</v>
          </cell>
          <cell r="L848">
            <v>104</v>
          </cell>
          <cell r="M848">
            <v>0</v>
          </cell>
          <cell r="N848">
            <v>6</v>
          </cell>
          <cell r="O848">
            <v>98</v>
          </cell>
          <cell r="P848">
            <v>149</v>
          </cell>
          <cell r="Q848">
            <v>89</v>
          </cell>
          <cell r="R848">
            <v>60</v>
          </cell>
          <cell r="S848">
            <v>1315</v>
          </cell>
          <cell r="T848">
            <v>253</v>
          </cell>
        </row>
        <row r="849">
          <cell r="C849" t="str">
            <v>Vader city, Washington</v>
          </cell>
          <cell r="D849">
            <v>21</v>
          </cell>
          <cell r="E849">
            <v>12</v>
          </cell>
          <cell r="F849">
            <v>8</v>
          </cell>
          <cell r="G849">
            <v>4</v>
          </cell>
          <cell r="H849">
            <v>0</v>
          </cell>
          <cell r="I849">
            <v>1</v>
          </cell>
          <cell r="J849">
            <v>0</v>
          </cell>
          <cell r="K849">
            <v>3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9</v>
          </cell>
          <cell r="Q849">
            <v>0</v>
          </cell>
          <cell r="R849">
            <v>9</v>
          </cell>
          <cell r="S849">
            <v>12</v>
          </cell>
          <cell r="T849">
            <v>9</v>
          </cell>
        </row>
        <row r="850">
          <cell r="C850" t="str">
            <v>Vancouver city, Washington</v>
          </cell>
          <cell r="D850">
            <v>6279</v>
          </cell>
          <cell r="E850">
            <v>5318</v>
          </cell>
          <cell r="F850">
            <v>2077</v>
          </cell>
          <cell r="G850">
            <v>3113</v>
          </cell>
          <cell r="H850">
            <v>91</v>
          </cell>
          <cell r="I850">
            <v>211</v>
          </cell>
          <cell r="J850">
            <v>380</v>
          </cell>
          <cell r="K850">
            <v>2431</v>
          </cell>
          <cell r="L850">
            <v>128</v>
          </cell>
          <cell r="M850">
            <v>0</v>
          </cell>
          <cell r="N850">
            <v>0</v>
          </cell>
          <cell r="O850">
            <v>128</v>
          </cell>
          <cell r="P850">
            <v>961</v>
          </cell>
          <cell r="Q850">
            <v>243</v>
          </cell>
          <cell r="R850">
            <v>718</v>
          </cell>
          <cell r="S850">
            <v>5190</v>
          </cell>
          <cell r="T850">
            <v>1089</v>
          </cell>
        </row>
        <row r="851">
          <cell r="C851" t="str">
            <v>Vantage CDP, Washington</v>
          </cell>
          <cell r="D851">
            <v>4</v>
          </cell>
          <cell r="E851">
            <v>4</v>
          </cell>
          <cell r="F851">
            <v>0</v>
          </cell>
          <cell r="G851">
            <v>4</v>
          </cell>
          <cell r="H851">
            <v>0</v>
          </cell>
          <cell r="I851">
            <v>0</v>
          </cell>
          <cell r="J851">
            <v>0</v>
          </cell>
          <cell r="K851">
            <v>4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4</v>
          </cell>
          <cell r="T851">
            <v>0</v>
          </cell>
        </row>
        <row r="852">
          <cell r="C852" t="str">
            <v>Vashon CDP, Washington</v>
          </cell>
          <cell r="D852">
            <v>250</v>
          </cell>
          <cell r="E852">
            <v>246</v>
          </cell>
          <cell r="F852">
            <v>145</v>
          </cell>
          <cell r="G852">
            <v>87</v>
          </cell>
          <cell r="H852">
            <v>0</v>
          </cell>
          <cell r="I852">
            <v>17</v>
          </cell>
          <cell r="J852">
            <v>6</v>
          </cell>
          <cell r="K852">
            <v>64</v>
          </cell>
          <cell r="L852">
            <v>14</v>
          </cell>
          <cell r="M852">
            <v>0</v>
          </cell>
          <cell r="N852">
            <v>0</v>
          </cell>
          <cell r="O852">
            <v>14</v>
          </cell>
          <cell r="P852">
            <v>4</v>
          </cell>
          <cell r="Q852">
            <v>0</v>
          </cell>
          <cell r="R852">
            <v>4</v>
          </cell>
          <cell r="S852">
            <v>232</v>
          </cell>
          <cell r="T852">
            <v>18</v>
          </cell>
        </row>
        <row r="853">
          <cell r="C853" t="str">
            <v>Venersborg CDP, Washington</v>
          </cell>
          <cell r="D853">
            <v>25</v>
          </cell>
          <cell r="E853">
            <v>22</v>
          </cell>
          <cell r="F853">
            <v>0</v>
          </cell>
          <cell r="G853">
            <v>22</v>
          </cell>
          <cell r="H853">
            <v>0</v>
          </cell>
          <cell r="I853">
            <v>6</v>
          </cell>
          <cell r="J853">
            <v>4</v>
          </cell>
          <cell r="K853">
            <v>12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3</v>
          </cell>
          <cell r="Q853">
            <v>3</v>
          </cell>
          <cell r="R853">
            <v>0</v>
          </cell>
          <cell r="S853">
            <v>22</v>
          </cell>
          <cell r="T853">
            <v>3</v>
          </cell>
        </row>
        <row r="854">
          <cell r="C854" t="str">
            <v>Veradale CDP, Washington</v>
          </cell>
          <cell r="D854">
            <v>209</v>
          </cell>
          <cell r="E854">
            <v>209</v>
          </cell>
          <cell r="F854">
            <v>110</v>
          </cell>
          <cell r="G854">
            <v>81</v>
          </cell>
          <cell r="H854">
            <v>0</v>
          </cell>
          <cell r="I854">
            <v>21</v>
          </cell>
          <cell r="J854">
            <v>30</v>
          </cell>
          <cell r="K854">
            <v>30</v>
          </cell>
          <cell r="L854">
            <v>18</v>
          </cell>
          <cell r="M854">
            <v>0</v>
          </cell>
          <cell r="N854">
            <v>0</v>
          </cell>
          <cell r="O854">
            <v>18</v>
          </cell>
          <cell r="P854">
            <v>0</v>
          </cell>
          <cell r="Q854">
            <v>0</v>
          </cell>
          <cell r="R854">
            <v>0</v>
          </cell>
          <cell r="S854">
            <v>191</v>
          </cell>
          <cell r="T854">
            <v>18</v>
          </cell>
        </row>
        <row r="855">
          <cell r="C855" t="str">
            <v>Verlot CDP, Washington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</row>
        <row r="856">
          <cell r="C856" t="str">
            <v>Waitsburg city, Washington</v>
          </cell>
          <cell r="D856">
            <v>43</v>
          </cell>
          <cell r="E856">
            <v>43</v>
          </cell>
          <cell r="F856">
            <v>25</v>
          </cell>
          <cell r="G856">
            <v>11</v>
          </cell>
          <cell r="H856">
            <v>0</v>
          </cell>
          <cell r="I856">
            <v>3</v>
          </cell>
          <cell r="J856">
            <v>4</v>
          </cell>
          <cell r="K856">
            <v>4</v>
          </cell>
          <cell r="L856">
            <v>7</v>
          </cell>
          <cell r="M856">
            <v>0</v>
          </cell>
          <cell r="N856">
            <v>0</v>
          </cell>
          <cell r="O856">
            <v>7</v>
          </cell>
          <cell r="P856">
            <v>0</v>
          </cell>
          <cell r="Q856">
            <v>0</v>
          </cell>
          <cell r="R856">
            <v>0</v>
          </cell>
          <cell r="S856">
            <v>36</v>
          </cell>
          <cell r="T856">
            <v>7</v>
          </cell>
        </row>
        <row r="857">
          <cell r="C857" t="str">
            <v>Walla Walla city, Washington</v>
          </cell>
          <cell r="D857">
            <v>777</v>
          </cell>
          <cell r="E857">
            <v>600</v>
          </cell>
          <cell r="F857">
            <v>319</v>
          </cell>
          <cell r="G857">
            <v>260</v>
          </cell>
          <cell r="H857">
            <v>43</v>
          </cell>
          <cell r="I857">
            <v>40</v>
          </cell>
          <cell r="J857">
            <v>40</v>
          </cell>
          <cell r="K857">
            <v>137</v>
          </cell>
          <cell r="L857">
            <v>21</v>
          </cell>
          <cell r="M857">
            <v>0</v>
          </cell>
          <cell r="N857">
            <v>0</v>
          </cell>
          <cell r="O857">
            <v>21</v>
          </cell>
          <cell r="P857">
            <v>177</v>
          </cell>
          <cell r="Q857">
            <v>21</v>
          </cell>
          <cell r="R857">
            <v>156</v>
          </cell>
          <cell r="S857">
            <v>579</v>
          </cell>
          <cell r="T857">
            <v>198</v>
          </cell>
        </row>
        <row r="858">
          <cell r="C858" t="str">
            <v>Walla Walla East CDP, Washington</v>
          </cell>
          <cell r="D858">
            <v>105</v>
          </cell>
          <cell r="E858">
            <v>96</v>
          </cell>
          <cell r="F858">
            <v>62</v>
          </cell>
          <cell r="G858">
            <v>34</v>
          </cell>
          <cell r="H858">
            <v>0</v>
          </cell>
          <cell r="I858">
            <v>0</v>
          </cell>
          <cell r="J858">
            <v>11</v>
          </cell>
          <cell r="K858">
            <v>23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9</v>
          </cell>
          <cell r="Q858">
            <v>0</v>
          </cell>
          <cell r="R858">
            <v>9</v>
          </cell>
          <cell r="S858">
            <v>96</v>
          </cell>
          <cell r="T858">
            <v>9</v>
          </cell>
        </row>
        <row r="859">
          <cell r="C859" t="str">
            <v>Waller CDP, Washington</v>
          </cell>
          <cell r="D859">
            <v>411</v>
          </cell>
          <cell r="E859">
            <v>352</v>
          </cell>
          <cell r="F859">
            <v>258</v>
          </cell>
          <cell r="G859">
            <v>78</v>
          </cell>
          <cell r="H859">
            <v>18</v>
          </cell>
          <cell r="I859">
            <v>9</v>
          </cell>
          <cell r="J859">
            <v>24</v>
          </cell>
          <cell r="K859">
            <v>27</v>
          </cell>
          <cell r="L859">
            <v>16</v>
          </cell>
          <cell r="M859">
            <v>0</v>
          </cell>
          <cell r="N859">
            <v>0</v>
          </cell>
          <cell r="O859">
            <v>16</v>
          </cell>
          <cell r="P859">
            <v>59</v>
          </cell>
          <cell r="Q859">
            <v>9</v>
          </cell>
          <cell r="R859">
            <v>50</v>
          </cell>
          <cell r="S859">
            <v>336</v>
          </cell>
          <cell r="T859">
            <v>75</v>
          </cell>
        </row>
        <row r="860">
          <cell r="C860" t="str">
            <v>Wallula CDP, Washington</v>
          </cell>
          <cell r="D860">
            <v>6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6</v>
          </cell>
          <cell r="Q860">
            <v>0</v>
          </cell>
          <cell r="R860">
            <v>6</v>
          </cell>
          <cell r="S860">
            <v>0</v>
          </cell>
          <cell r="T860">
            <v>6</v>
          </cell>
        </row>
        <row r="861">
          <cell r="C861" t="str">
            <v>Walnut Grove CDP, Washington</v>
          </cell>
          <cell r="D861">
            <v>265</v>
          </cell>
          <cell r="E861">
            <v>218</v>
          </cell>
          <cell r="F861">
            <v>68</v>
          </cell>
          <cell r="G861">
            <v>141</v>
          </cell>
          <cell r="H861">
            <v>0</v>
          </cell>
          <cell r="I861">
            <v>4</v>
          </cell>
          <cell r="J861">
            <v>12</v>
          </cell>
          <cell r="K861">
            <v>125</v>
          </cell>
          <cell r="L861">
            <v>9</v>
          </cell>
          <cell r="M861">
            <v>0</v>
          </cell>
          <cell r="N861">
            <v>0</v>
          </cell>
          <cell r="O861">
            <v>9</v>
          </cell>
          <cell r="P861">
            <v>47</v>
          </cell>
          <cell r="Q861">
            <v>10</v>
          </cell>
          <cell r="R861">
            <v>37</v>
          </cell>
          <cell r="S861">
            <v>209</v>
          </cell>
          <cell r="T861">
            <v>56</v>
          </cell>
        </row>
        <row r="862">
          <cell r="C862" t="str">
            <v>Wapato city, Washington</v>
          </cell>
          <cell r="D862">
            <v>201</v>
          </cell>
          <cell r="E862">
            <v>179</v>
          </cell>
          <cell r="F862">
            <v>146</v>
          </cell>
          <cell r="G862">
            <v>33</v>
          </cell>
          <cell r="H862">
            <v>0</v>
          </cell>
          <cell r="I862">
            <v>14</v>
          </cell>
          <cell r="J862">
            <v>12</v>
          </cell>
          <cell r="K862">
            <v>7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22</v>
          </cell>
          <cell r="Q862">
            <v>7</v>
          </cell>
          <cell r="R862">
            <v>15</v>
          </cell>
          <cell r="S862">
            <v>179</v>
          </cell>
          <cell r="T862">
            <v>22</v>
          </cell>
        </row>
        <row r="863">
          <cell r="C863" t="str">
            <v>Warden city, Washington</v>
          </cell>
          <cell r="D863">
            <v>69</v>
          </cell>
          <cell r="E863">
            <v>40</v>
          </cell>
          <cell r="F863">
            <v>21</v>
          </cell>
          <cell r="G863">
            <v>19</v>
          </cell>
          <cell r="H863">
            <v>0</v>
          </cell>
          <cell r="I863">
            <v>3</v>
          </cell>
          <cell r="J863">
            <v>10</v>
          </cell>
          <cell r="K863">
            <v>6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29</v>
          </cell>
          <cell r="Q863">
            <v>7</v>
          </cell>
          <cell r="R863">
            <v>22</v>
          </cell>
          <cell r="S863">
            <v>40</v>
          </cell>
          <cell r="T863">
            <v>29</v>
          </cell>
        </row>
        <row r="864">
          <cell r="C864" t="str">
            <v>Warm Beach CDP, Washington</v>
          </cell>
          <cell r="D864">
            <v>63</v>
          </cell>
          <cell r="E864">
            <v>63</v>
          </cell>
          <cell r="F864">
            <v>55</v>
          </cell>
          <cell r="G864">
            <v>8</v>
          </cell>
          <cell r="H864">
            <v>0</v>
          </cell>
          <cell r="I864">
            <v>0</v>
          </cell>
          <cell r="J864">
            <v>8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63</v>
          </cell>
          <cell r="T864">
            <v>0</v>
          </cell>
        </row>
        <row r="865">
          <cell r="C865" t="str">
            <v>Washougal city, Washington</v>
          </cell>
          <cell r="D865">
            <v>306</v>
          </cell>
          <cell r="E865">
            <v>306</v>
          </cell>
          <cell r="F865">
            <v>129</v>
          </cell>
          <cell r="G865">
            <v>162</v>
          </cell>
          <cell r="H865">
            <v>0</v>
          </cell>
          <cell r="I865">
            <v>28</v>
          </cell>
          <cell r="J865">
            <v>5</v>
          </cell>
          <cell r="K865">
            <v>129</v>
          </cell>
          <cell r="L865">
            <v>15</v>
          </cell>
          <cell r="M865">
            <v>0</v>
          </cell>
          <cell r="N865">
            <v>0</v>
          </cell>
          <cell r="O865">
            <v>15</v>
          </cell>
          <cell r="P865">
            <v>0</v>
          </cell>
          <cell r="Q865">
            <v>0</v>
          </cell>
          <cell r="R865">
            <v>0</v>
          </cell>
          <cell r="S865">
            <v>291</v>
          </cell>
          <cell r="T865">
            <v>15</v>
          </cell>
        </row>
        <row r="866">
          <cell r="C866" t="str">
            <v>Washtucna town, Washington</v>
          </cell>
          <cell r="D866">
            <v>13</v>
          </cell>
          <cell r="E866">
            <v>13</v>
          </cell>
          <cell r="F866">
            <v>6</v>
          </cell>
          <cell r="G866">
            <v>7</v>
          </cell>
          <cell r="H866">
            <v>0</v>
          </cell>
          <cell r="I866">
            <v>0</v>
          </cell>
          <cell r="J866">
            <v>0</v>
          </cell>
          <cell r="K866">
            <v>7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13</v>
          </cell>
          <cell r="T866">
            <v>0</v>
          </cell>
        </row>
        <row r="867">
          <cell r="C867" t="str">
            <v>Waterville town, Washington</v>
          </cell>
          <cell r="D867">
            <v>25</v>
          </cell>
          <cell r="E867">
            <v>25</v>
          </cell>
          <cell r="F867">
            <v>20</v>
          </cell>
          <cell r="G867">
            <v>5</v>
          </cell>
          <cell r="H867">
            <v>0</v>
          </cell>
          <cell r="I867">
            <v>0</v>
          </cell>
          <cell r="J867">
            <v>0</v>
          </cell>
          <cell r="K867">
            <v>5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25</v>
          </cell>
          <cell r="T867">
            <v>0</v>
          </cell>
        </row>
        <row r="868">
          <cell r="C868" t="str">
            <v>Waverly town, Washington</v>
          </cell>
          <cell r="D868">
            <v>13</v>
          </cell>
          <cell r="E868">
            <v>13</v>
          </cell>
          <cell r="F868">
            <v>5</v>
          </cell>
          <cell r="G868">
            <v>8</v>
          </cell>
          <cell r="H868">
            <v>0</v>
          </cell>
          <cell r="I868">
            <v>0</v>
          </cell>
          <cell r="J868">
            <v>0</v>
          </cell>
          <cell r="K868">
            <v>8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13</v>
          </cell>
          <cell r="T868">
            <v>0</v>
          </cell>
        </row>
        <row r="869">
          <cell r="C869" t="str">
            <v>Weallup Lake CDP, Washington</v>
          </cell>
          <cell r="D869">
            <v>10</v>
          </cell>
          <cell r="E869">
            <v>8</v>
          </cell>
          <cell r="F869">
            <v>3</v>
          </cell>
          <cell r="G869">
            <v>5</v>
          </cell>
          <cell r="H869">
            <v>0</v>
          </cell>
          <cell r="I869">
            <v>2</v>
          </cell>
          <cell r="J869">
            <v>0</v>
          </cell>
          <cell r="K869">
            <v>3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</v>
          </cell>
          <cell r="Q869">
            <v>2</v>
          </cell>
          <cell r="R869">
            <v>0</v>
          </cell>
          <cell r="S869">
            <v>8</v>
          </cell>
          <cell r="T869">
            <v>2</v>
          </cell>
        </row>
        <row r="870">
          <cell r="C870" t="str">
            <v>Wenatchee city, Washington</v>
          </cell>
          <cell r="D870">
            <v>822</v>
          </cell>
          <cell r="E870">
            <v>655</v>
          </cell>
          <cell r="F870">
            <v>419</v>
          </cell>
          <cell r="G870">
            <v>212</v>
          </cell>
          <cell r="H870">
            <v>14</v>
          </cell>
          <cell r="I870">
            <v>68</v>
          </cell>
          <cell r="J870">
            <v>23</v>
          </cell>
          <cell r="K870">
            <v>107</v>
          </cell>
          <cell r="L870">
            <v>24</v>
          </cell>
          <cell r="M870">
            <v>0</v>
          </cell>
          <cell r="N870">
            <v>0</v>
          </cell>
          <cell r="O870">
            <v>24</v>
          </cell>
          <cell r="P870">
            <v>167</v>
          </cell>
          <cell r="Q870">
            <v>21</v>
          </cell>
          <cell r="R870">
            <v>146</v>
          </cell>
          <cell r="S870">
            <v>631</v>
          </cell>
          <cell r="T870">
            <v>191</v>
          </cell>
        </row>
        <row r="871">
          <cell r="C871" t="str">
            <v>West Clarkston-Highland CDP, Washington</v>
          </cell>
          <cell r="D871">
            <v>151</v>
          </cell>
          <cell r="E871">
            <v>151</v>
          </cell>
          <cell r="F871">
            <v>29</v>
          </cell>
          <cell r="G871">
            <v>122</v>
          </cell>
          <cell r="H871">
            <v>7</v>
          </cell>
          <cell r="I871">
            <v>12</v>
          </cell>
          <cell r="J871">
            <v>22</v>
          </cell>
          <cell r="K871">
            <v>81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151</v>
          </cell>
          <cell r="T871">
            <v>0</v>
          </cell>
        </row>
        <row r="872">
          <cell r="C872" t="str">
            <v>West Lake Sammamish CDP, Washington</v>
          </cell>
          <cell r="D872">
            <v>130</v>
          </cell>
          <cell r="E872">
            <v>122</v>
          </cell>
          <cell r="F872">
            <v>53</v>
          </cell>
          <cell r="G872">
            <v>69</v>
          </cell>
          <cell r="H872">
            <v>0</v>
          </cell>
          <cell r="I872">
            <v>5</v>
          </cell>
          <cell r="J872">
            <v>0</v>
          </cell>
          <cell r="K872">
            <v>64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8</v>
          </cell>
          <cell r="Q872">
            <v>8</v>
          </cell>
          <cell r="R872">
            <v>0</v>
          </cell>
          <cell r="S872">
            <v>122</v>
          </cell>
          <cell r="T872">
            <v>8</v>
          </cell>
        </row>
        <row r="873">
          <cell r="C873" t="str">
            <v>West Lake Stevens CDP, Washington</v>
          </cell>
          <cell r="D873">
            <v>609</v>
          </cell>
          <cell r="E873">
            <v>527</v>
          </cell>
          <cell r="F873">
            <v>245</v>
          </cell>
          <cell r="G873">
            <v>274</v>
          </cell>
          <cell r="H873">
            <v>16</v>
          </cell>
          <cell r="I873">
            <v>28</v>
          </cell>
          <cell r="J873">
            <v>89</v>
          </cell>
          <cell r="K873">
            <v>141</v>
          </cell>
          <cell r="L873">
            <v>8</v>
          </cell>
          <cell r="M873">
            <v>0</v>
          </cell>
          <cell r="N873">
            <v>0</v>
          </cell>
          <cell r="O873">
            <v>8</v>
          </cell>
          <cell r="P873">
            <v>82</v>
          </cell>
          <cell r="Q873">
            <v>9</v>
          </cell>
          <cell r="R873">
            <v>73</v>
          </cell>
          <cell r="S873">
            <v>519</v>
          </cell>
          <cell r="T873">
            <v>90</v>
          </cell>
        </row>
        <row r="874">
          <cell r="C874" t="str">
            <v>West Longview CDP, Washington</v>
          </cell>
          <cell r="D874">
            <v>18</v>
          </cell>
          <cell r="E874">
            <v>18</v>
          </cell>
          <cell r="F874">
            <v>10</v>
          </cell>
          <cell r="G874">
            <v>8</v>
          </cell>
          <cell r="H874">
            <v>0</v>
          </cell>
          <cell r="I874">
            <v>0</v>
          </cell>
          <cell r="J874">
            <v>0</v>
          </cell>
          <cell r="K874">
            <v>8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18</v>
          </cell>
          <cell r="T874">
            <v>0</v>
          </cell>
        </row>
        <row r="875">
          <cell r="C875" t="str">
            <v>West Pasco CDP, Washington</v>
          </cell>
          <cell r="D875">
            <v>170</v>
          </cell>
          <cell r="E875">
            <v>154</v>
          </cell>
          <cell r="F875">
            <v>58</v>
          </cell>
          <cell r="G875">
            <v>96</v>
          </cell>
          <cell r="H875">
            <v>13</v>
          </cell>
          <cell r="I875">
            <v>13</v>
          </cell>
          <cell r="J875">
            <v>0</v>
          </cell>
          <cell r="K875">
            <v>70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16</v>
          </cell>
          <cell r="Q875">
            <v>9</v>
          </cell>
          <cell r="R875">
            <v>7</v>
          </cell>
          <cell r="S875">
            <v>154</v>
          </cell>
          <cell r="T875">
            <v>16</v>
          </cell>
        </row>
        <row r="876">
          <cell r="C876" t="str">
            <v>Westport city, Washington</v>
          </cell>
          <cell r="D876">
            <v>33</v>
          </cell>
          <cell r="E876">
            <v>33</v>
          </cell>
          <cell r="F876">
            <v>19</v>
          </cell>
          <cell r="G876">
            <v>14</v>
          </cell>
          <cell r="H876">
            <v>0</v>
          </cell>
          <cell r="I876">
            <v>0</v>
          </cell>
          <cell r="J876">
            <v>0</v>
          </cell>
          <cell r="K876">
            <v>14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33</v>
          </cell>
          <cell r="T876">
            <v>0</v>
          </cell>
        </row>
        <row r="877">
          <cell r="C877" t="str">
            <v>West Richland city, Washington</v>
          </cell>
          <cell r="D877">
            <v>134</v>
          </cell>
          <cell r="E877">
            <v>134</v>
          </cell>
          <cell r="F877">
            <v>77</v>
          </cell>
          <cell r="G877">
            <v>57</v>
          </cell>
          <cell r="H877">
            <v>0</v>
          </cell>
          <cell r="I877">
            <v>25</v>
          </cell>
          <cell r="J877">
            <v>13</v>
          </cell>
          <cell r="K877">
            <v>19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134</v>
          </cell>
          <cell r="T877">
            <v>0</v>
          </cell>
        </row>
        <row r="878">
          <cell r="C878" t="str">
            <v>West Side Highway CDP, Washington</v>
          </cell>
          <cell r="D878">
            <v>190</v>
          </cell>
          <cell r="E878">
            <v>190</v>
          </cell>
          <cell r="F878">
            <v>107</v>
          </cell>
          <cell r="G878">
            <v>77</v>
          </cell>
          <cell r="H878">
            <v>0</v>
          </cell>
          <cell r="I878">
            <v>19</v>
          </cell>
          <cell r="J878">
            <v>0</v>
          </cell>
          <cell r="K878">
            <v>58</v>
          </cell>
          <cell r="L878">
            <v>6</v>
          </cell>
          <cell r="M878">
            <v>0</v>
          </cell>
          <cell r="N878">
            <v>0</v>
          </cell>
          <cell r="O878">
            <v>6</v>
          </cell>
          <cell r="P878">
            <v>0</v>
          </cell>
          <cell r="Q878">
            <v>0</v>
          </cell>
          <cell r="R878">
            <v>0</v>
          </cell>
          <cell r="S878">
            <v>184</v>
          </cell>
          <cell r="T878">
            <v>6</v>
          </cell>
        </row>
        <row r="879">
          <cell r="C879" t="str">
            <v>West Valley CDP, Washington</v>
          </cell>
          <cell r="D879">
            <v>326</v>
          </cell>
          <cell r="E879">
            <v>291</v>
          </cell>
          <cell r="F879">
            <v>178</v>
          </cell>
          <cell r="G879">
            <v>48</v>
          </cell>
          <cell r="H879">
            <v>0</v>
          </cell>
          <cell r="I879">
            <v>12</v>
          </cell>
          <cell r="J879">
            <v>10</v>
          </cell>
          <cell r="K879">
            <v>26</v>
          </cell>
          <cell r="L879">
            <v>65</v>
          </cell>
          <cell r="M879">
            <v>0</v>
          </cell>
          <cell r="N879">
            <v>35</v>
          </cell>
          <cell r="O879">
            <v>30</v>
          </cell>
          <cell r="P879">
            <v>35</v>
          </cell>
          <cell r="Q879">
            <v>35</v>
          </cell>
          <cell r="R879">
            <v>0</v>
          </cell>
          <cell r="S879">
            <v>226</v>
          </cell>
          <cell r="T879">
            <v>100</v>
          </cell>
        </row>
        <row r="880">
          <cell r="C880" t="str">
            <v>West Wenatchee CDP, Washington</v>
          </cell>
          <cell r="D880">
            <v>8</v>
          </cell>
          <cell r="E880">
            <v>8</v>
          </cell>
          <cell r="F880">
            <v>0</v>
          </cell>
          <cell r="G880">
            <v>8</v>
          </cell>
          <cell r="H880">
            <v>0</v>
          </cell>
          <cell r="I880">
            <v>0</v>
          </cell>
          <cell r="J880">
            <v>0</v>
          </cell>
          <cell r="K880">
            <v>8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8</v>
          </cell>
          <cell r="T880">
            <v>0</v>
          </cell>
        </row>
        <row r="881">
          <cell r="C881" t="str">
            <v>White Center CDP, Washington</v>
          </cell>
          <cell r="D881">
            <v>1058</v>
          </cell>
          <cell r="E881">
            <v>748</v>
          </cell>
          <cell r="F881">
            <v>547</v>
          </cell>
          <cell r="G881">
            <v>194</v>
          </cell>
          <cell r="H881">
            <v>0</v>
          </cell>
          <cell r="I881">
            <v>39</v>
          </cell>
          <cell r="J881">
            <v>14</v>
          </cell>
          <cell r="K881">
            <v>141</v>
          </cell>
          <cell r="L881">
            <v>7</v>
          </cell>
          <cell r="M881">
            <v>0</v>
          </cell>
          <cell r="N881">
            <v>0</v>
          </cell>
          <cell r="O881">
            <v>7</v>
          </cell>
          <cell r="P881">
            <v>310</v>
          </cell>
          <cell r="Q881">
            <v>83</v>
          </cell>
          <cell r="R881">
            <v>227</v>
          </cell>
          <cell r="S881">
            <v>741</v>
          </cell>
          <cell r="T881">
            <v>317</v>
          </cell>
        </row>
        <row r="882">
          <cell r="C882" t="str">
            <v>White Salmon city, Washington</v>
          </cell>
          <cell r="D882">
            <v>84</v>
          </cell>
          <cell r="E882">
            <v>74</v>
          </cell>
          <cell r="F882">
            <v>28</v>
          </cell>
          <cell r="G882">
            <v>46</v>
          </cell>
          <cell r="H882">
            <v>2</v>
          </cell>
          <cell r="I882">
            <v>4</v>
          </cell>
          <cell r="J882">
            <v>3</v>
          </cell>
          <cell r="K882">
            <v>37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10</v>
          </cell>
          <cell r="Q882">
            <v>0</v>
          </cell>
          <cell r="R882">
            <v>10</v>
          </cell>
          <cell r="S882">
            <v>74</v>
          </cell>
          <cell r="T882">
            <v>10</v>
          </cell>
        </row>
        <row r="883">
          <cell r="C883" t="str">
            <v>White Swan CDP, Washington</v>
          </cell>
          <cell r="D883">
            <v>116</v>
          </cell>
          <cell r="E883">
            <v>116</v>
          </cell>
          <cell r="F883">
            <v>90</v>
          </cell>
          <cell r="G883">
            <v>26</v>
          </cell>
          <cell r="H883">
            <v>0</v>
          </cell>
          <cell r="I883">
            <v>6</v>
          </cell>
          <cell r="J883">
            <v>13</v>
          </cell>
          <cell r="K883">
            <v>7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116</v>
          </cell>
          <cell r="T883">
            <v>0</v>
          </cell>
        </row>
        <row r="884">
          <cell r="C884" t="str">
            <v>Wilbur town, Washington</v>
          </cell>
          <cell r="D884">
            <v>11</v>
          </cell>
          <cell r="E884">
            <v>11</v>
          </cell>
          <cell r="F884">
            <v>8</v>
          </cell>
          <cell r="G884">
            <v>3</v>
          </cell>
          <cell r="H884">
            <v>0</v>
          </cell>
          <cell r="I884">
            <v>3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11</v>
          </cell>
          <cell r="T884">
            <v>0</v>
          </cell>
        </row>
        <row r="885">
          <cell r="C885" t="str">
            <v>Wilkeson town, Washington</v>
          </cell>
          <cell r="D885">
            <v>5</v>
          </cell>
          <cell r="E885">
            <v>5</v>
          </cell>
          <cell r="F885">
            <v>4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1</v>
          </cell>
          <cell r="M885">
            <v>0</v>
          </cell>
          <cell r="N885">
            <v>0</v>
          </cell>
          <cell r="O885">
            <v>1</v>
          </cell>
          <cell r="P885">
            <v>0</v>
          </cell>
          <cell r="Q885">
            <v>0</v>
          </cell>
          <cell r="R885">
            <v>0</v>
          </cell>
          <cell r="S885">
            <v>4</v>
          </cell>
          <cell r="T885">
            <v>1</v>
          </cell>
        </row>
        <row r="886">
          <cell r="C886" t="str">
            <v>Wilson Creek town, Washington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</row>
        <row r="887">
          <cell r="C887" t="str">
            <v>Winlock city, Washington</v>
          </cell>
          <cell r="D887">
            <v>44</v>
          </cell>
          <cell r="E887">
            <v>41</v>
          </cell>
          <cell r="F887">
            <v>32</v>
          </cell>
          <cell r="G887">
            <v>9</v>
          </cell>
          <cell r="H887">
            <v>0</v>
          </cell>
          <cell r="I887">
            <v>0</v>
          </cell>
          <cell r="J887">
            <v>0</v>
          </cell>
          <cell r="K887">
            <v>9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3</v>
          </cell>
          <cell r="Q887">
            <v>0</v>
          </cell>
          <cell r="R887">
            <v>3</v>
          </cell>
          <cell r="S887">
            <v>41</v>
          </cell>
          <cell r="T887">
            <v>3</v>
          </cell>
        </row>
        <row r="888">
          <cell r="C888" t="str">
            <v>Winthrop town, Washington</v>
          </cell>
          <cell r="D888">
            <v>4</v>
          </cell>
          <cell r="E888">
            <v>4</v>
          </cell>
          <cell r="F888">
            <v>2</v>
          </cell>
          <cell r="G888">
            <v>2</v>
          </cell>
          <cell r="H888">
            <v>0</v>
          </cell>
          <cell r="I888">
            <v>0</v>
          </cell>
          <cell r="J888">
            <v>0</v>
          </cell>
          <cell r="K888">
            <v>2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4</v>
          </cell>
          <cell r="T888">
            <v>0</v>
          </cell>
        </row>
        <row r="889">
          <cell r="C889" t="str">
            <v>Wishram CDP, Washington</v>
          </cell>
          <cell r="D889">
            <v>13</v>
          </cell>
          <cell r="E889">
            <v>13</v>
          </cell>
          <cell r="F889">
            <v>0</v>
          </cell>
          <cell r="G889">
            <v>13</v>
          </cell>
          <cell r="H889">
            <v>0</v>
          </cell>
          <cell r="I889">
            <v>0</v>
          </cell>
          <cell r="J889">
            <v>4</v>
          </cell>
          <cell r="K889">
            <v>9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13</v>
          </cell>
          <cell r="T889">
            <v>0</v>
          </cell>
        </row>
        <row r="890">
          <cell r="C890" t="str">
            <v>Woodinville city, Washington</v>
          </cell>
          <cell r="D890">
            <v>386</v>
          </cell>
          <cell r="E890">
            <v>305</v>
          </cell>
          <cell r="F890">
            <v>173</v>
          </cell>
          <cell r="G890">
            <v>132</v>
          </cell>
          <cell r="H890">
            <v>3</v>
          </cell>
          <cell r="I890">
            <v>39</v>
          </cell>
          <cell r="J890">
            <v>24</v>
          </cell>
          <cell r="K890">
            <v>66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81</v>
          </cell>
          <cell r="Q890">
            <v>0</v>
          </cell>
          <cell r="R890">
            <v>81</v>
          </cell>
          <cell r="S890">
            <v>305</v>
          </cell>
          <cell r="T890">
            <v>81</v>
          </cell>
        </row>
        <row r="891">
          <cell r="C891" t="str">
            <v>Woodland city, Washington</v>
          </cell>
          <cell r="D891">
            <v>91</v>
          </cell>
          <cell r="E891">
            <v>91</v>
          </cell>
          <cell r="F891">
            <v>49</v>
          </cell>
          <cell r="G891">
            <v>42</v>
          </cell>
          <cell r="H891">
            <v>0</v>
          </cell>
          <cell r="I891">
            <v>0</v>
          </cell>
          <cell r="J891">
            <v>11</v>
          </cell>
          <cell r="K891">
            <v>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91</v>
          </cell>
          <cell r="T891">
            <v>0</v>
          </cell>
        </row>
        <row r="892">
          <cell r="C892" t="str">
            <v>Woods Creek CDP, Washington</v>
          </cell>
          <cell r="D892">
            <v>100</v>
          </cell>
          <cell r="E892">
            <v>81</v>
          </cell>
          <cell r="F892">
            <v>35</v>
          </cell>
          <cell r="G892">
            <v>46</v>
          </cell>
          <cell r="H892">
            <v>0</v>
          </cell>
          <cell r="I892">
            <v>0</v>
          </cell>
          <cell r="J892">
            <v>0</v>
          </cell>
          <cell r="K892">
            <v>46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19</v>
          </cell>
          <cell r="Q892">
            <v>0</v>
          </cell>
          <cell r="R892">
            <v>19</v>
          </cell>
          <cell r="S892">
            <v>81</v>
          </cell>
          <cell r="T892">
            <v>19</v>
          </cell>
        </row>
        <row r="893">
          <cell r="C893" t="str">
            <v>Woodway city, Washington</v>
          </cell>
          <cell r="D893">
            <v>10</v>
          </cell>
          <cell r="E893">
            <v>10</v>
          </cell>
          <cell r="F893">
            <v>6</v>
          </cell>
          <cell r="G893">
            <v>4</v>
          </cell>
          <cell r="H893">
            <v>0</v>
          </cell>
          <cell r="I893">
            <v>0</v>
          </cell>
          <cell r="J893">
            <v>0</v>
          </cell>
          <cell r="K893">
            <v>4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10</v>
          </cell>
          <cell r="T893">
            <v>0</v>
          </cell>
        </row>
        <row r="894">
          <cell r="C894" t="str">
            <v>Yacolt town, Washington</v>
          </cell>
          <cell r="D894">
            <v>59</v>
          </cell>
          <cell r="E894">
            <v>59</v>
          </cell>
          <cell r="F894">
            <v>31</v>
          </cell>
          <cell r="G894">
            <v>28</v>
          </cell>
          <cell r="H894">
            <v>1</v>
          </cell>
          <cell r="I894">
            <v>4</v>
          </cell>
          <cell r="J894">
            <v>6</v>
          </cell>
          <cell r="K894">
            <v>17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59</v>
          </cell>
          <cell r="T894">
            <v>0</v>
          </cell>
        </row>
        <row r="895">
          <cell r="C895" t="str">
            <v>Yakima city, Washington</v>
          </cell>
          <cell r="D895">
            <v>2880</v>
          </cell>
          <cell r="E895">
            <v>2305</v>
          </cell>
          <cell r="F895">
            <v>1689</v>
          </cell>
          <cell r="G895">
            <v>610</v>
          </cell>
          <cell r="H895">
            <v>14</v>
          </cell>
          <cell r="I895">
            <v>107</v>
          </cell>
          <cell r="J895">
            <v>117</v>
          </cell>
          <cell r="K895">
            <v>372</v>
          </cell>
          <cell r="L895">
            <v>6</v>
          </cell>
          <cell r="M895">
            <v>0</v>
          </cell>
          <cell r="N895">
            <v>0</v>
          </cell>
          <cell r="O895">
            <v>6</v>
          </cell>
          <cell r="P895">
            <v>575</v>
          </cell>
          <cell r="Q895">
            <v>118</v>
          </cell>
          <cell r="R895">
            <v>457</v>
          </cell>
          <cell r="S895">
            <v>2299</v>
          </cell>
          <cell r="T895">
            <v>581</v>
          </cell>
        </row>
        <row r="896">
          <cell r="C896" t="str">
            <v>Yarrow Point town, Washington</v>
          </cell>
          <cell r="D896">
            <v>7</v>
          </cell>
          <cell r="E896">
            <v>7</v>
          </cell>
          <cell r="F896">
            <v>7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7</v>
          </cell>
          <cell r="T896">
            <v>0</v>
          </cell>
        </row>
        <row r="897">
          <cell r="C897" t="str">
            <v>Yelm city, Washington</v>
          </cell>
          <cell r="D897">
            <v>227</v>
          </cell>
          <cell r="E897">
            <v>223</v>
          </cell>
          <cell r="F897">
            <v>114</v>
          </cell>
          <cell r="G897">
            <v>105</v>
          </cell>
          <cell r="H897">
            <v>5</v>
          </cell>
          <cell r="I897">
            <v>11</v>
          </cell>
          <cell r="J897">
            <v>19</v>
          </cell>
          <cell r="K897">
            <v>70</v>
          </cell>
          <cell r="L897">
            <v>4</v>
          </cell>
          <cell r="M897">
            <v>0</v>
          </cell>
          <cell r="N897">
            <v>0</v>
          </cell>
          <cell r="O897">
            <v>4</v>
          </cell>
          <cell r="P897">
            <v>4</v>
          </cell>
          <cell r="Q897">
            <v>0</v>
          </cell>
          <cell r="R897">
            <v>4</v>
          </cell>
          <cell r="S897">
            <v>219</v>
          </cell>
          <cell r="T897">
            <v>8</v>
          </cell>
        </row>
        <row r="898">
          <cell r="C898" t="str">
            <v>Zillah city, Washington</v>
          </cell>
          <cell r="D898">
            <v>123</v>
          </cell>
          <cell r="E898">
            <v>115</v>
          </cell>
          <cell r="F898">
            <v>80</v>
          </cell>
          <cell r="G898">
            <v>32</v>
          </cell>
          <cell r="H898">
            <v>0</v>
          </cell>
          <cell r="I898">
            <v>13</v>
          </cell>
          <cell r="J898">
            <v>7</v>
          </cell>
          <cell r="K898">
            <v>12</v>
          </cell>
          <cell r="L898">
            <v>3</v>
          </cell>
          <cell r="M898">
            <v>0</v>
          </cell>
          <cell r="N898">
            <v>0</v>
          </cell>
          <cell r="O898">
            <v>3</v>
          </cell>
          <cell r="P898">
            <v>8</v>
          </cell>
          <cell r="Q898">
            <v>4</v>
          </cell>
          <cell r="R898">
            <v>4</v>
          </cell>
          <cell r="S898">
            <v>112</v>
          </cell>
          <cell r="T898">
            <v>11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534.702364699071" createdVersion="6" refreshedVersion="6" minRefreshableVersion="3" recordCount="517" xr:uid="{1E24C852-3264-4EF9-BA5C-843254DA32F5}">
  <cacheSource type="worksheet">
    <worksheetSource ref="AB2:AY519" sheet="2017 Seattle Tracts Conc"/>
  </cacheSource>
  <cacheFields count="24">
    <cacheField name="S_HOOD" numFmtId="0">
      <sharedItems containsBlank="1" count="92">
        <s v="Ravenna"/>
        <s v="Bryant"/>
        <s v="Wedgwood"/>
        <s v="Minor"/>
        <s v="Broadway"/>
        <s v="Stevens"/>
        <s v="Roosevelt"/>
        <s v="Pike-Market"/>
        <s v="Belltown"/>
        <s v="Central Business District"/>
        <s v="Pioneer Square"/>
        <s v="OOO"/>
        <s v="Matthews Beach"/>
        <s v="Cedar Park"/>
        <s v="Wallingford"/>
        <s v="Fremont"/>
        <s v="Atlantic"/>
        <s v="First Hill"/>
        <s v="Yesler Terrace"/>
        <s v="Alki"/>
        <s v="North Admiral"/>
        <s v="Industrial District"/>
        <s v="Seaview"/>
        <s v="Genesee"/>
        <s v="Fairmount Park"/>
        <s v="Harbor Island"/>
        <s v="North Delridge"/>
        <s v="Riverview"/>
        <s v="High Point"/>
        <s v="Mid-Beacon Hill"/>
        <s v="Mount Baker"/>
        <s v="Columbia City"/>
        <s v="Seward Park"/>
        <s v="Brighton"/>
        <s v="Gatewood"/>
        <s v="South Park"/>
        <s v="Highland Park"/>
        <s v="South Delridge"/>
        <m/>
        <s v="Georgetown"/>
        <s v="South Beacon Hill"/>
        <s v="Dunlap"/>
        <s v="Rainier Beach"/>
        <s v="Holly Park"/>
        <s v="Rainier View"/>
        <s v="Arbor Heights"/>
        <s v="Fauntleroy"/>
        <s v="Roxhill"/>
        <s v="East Queen Anne"/>
        <s v="West Queen Anne"/>
        <s v="North Queen Anne"/>
        <s v="Westlake"/>
        <s v="Eastlake"/>
        <s v="South Lake Union"/>
        <s v="Montlake"/>
        <s v="Lower Queen Anne"/>
        <s v="Broadview"/>
        <s v="Bitter Lake"/>
        <s v="Haller Lake"/>
        <s v="North Beach/Blue Ridge"/>
        <s v="Victory Heights"/>
        <s v="Meadowbrook"/>
        <s v="Pinehurst"/>
        <s v="Maple Leaf"/>
        <s v="North College Park"/>
        <s v="Greenwood"/>
        <s v="Loyal Heights"/>
        <s v="Sunset Hill"/>
        <s v="Phinney Ridge"/>
        <s v="Green Lake"/>
        <s v="View Ridge"/>
        <s v="Sand Point"/>
        <s v="Windermere"/>
        <s v="Laurelhurst"/>
        <s v="University District"/>
        <s v="Whittier Heights"/>
        <s v="West Woodland"/>
        <s v="Adams"/>
        <s v="Interbay"/>
        <s v="International District"/>
        <s v="Mann"/>
        <s v="Madrona"/>
        <s v="Leschi"/>
        <s v="North Beacon Hill"/>
        <s v="Olympic Hills"/>
        <s v="Crown Hill"/>
        <s v="Lawton Park"/>
        <s v="Southeast Magnolia"/>
        <s v="Harrison/Denny-Blaine"/>
        <s v="Briarcliff"/>
        <s v="Portage Bay"/>
        <s v="Madison Park"/>
      </sharedItems>
    </cacheField>
    <cacheField name="TractName" numFmtId="0">
      <sharedItems/>
    </cacheField>
    <cacheField name="AllTotalLookup" numFmtId="0">
      <sharedItems containsSemiMixedTypes="0" containsString="0" containsNumber="1" minValue="0" maxValue="7991.4219463462405"/>
    </cacheField>
    <cacheField name="N-T Lookup" numFmtId="0">
      <sharedItems containsSemiMixedTypes="0" containsString="0" containsNumber="1" minValue="0" maxValue="6947.3226373315783"/>
    </cacheField>
    <cacheField name="F-T Lookup" numFmtId="0">
      <sharedItems containsSemiMixedTypes="0" containsString="0" containsNumber="1" minValue="0" maxValue="2677"/>
    </cacheField>
    <cacheField name="AllTotalCalc" numFmtId="0">
      <sharedItems containsSemiMixedTypes="0" containsString="0" containsNumber="1" minValue="0" maxValue="7991.4219463462405"/>
    </cacheField>
    <cacheField name="N-T Calc" numFmtId="0">
      <sharedItems containsSemiMixedTypes="0" containsString="0" containsNumber="1" minValue="0" maxValue="6947.3226373315783"/>
    </cacheField>
    <cacheField name="F-T Calc" numFmtId="0">
      <sharedItems containsSemiMixedTypes="0" containsString="0" containsNumber="1" minValue="0" maxValue="2677"/>
    </cacheField>
    <cacheField name="N-WN" numFmtId="0">
      <sharedItems containsSemiMixedTypes="0" containsString="0" containsNumber="1" minValue="0" maxValue="6055.8878864642829"/>
    </cacheField>
    <cacheField name="F-WN" numFmtId="0">
      <sharedItems containsSemiMixedTypes="0" containsString="0" containsNumber="1" minValue="0" maxValue="905.20286416791919"/>
    </cacheField>
    <cacheField name="N-WH" numFmtId="0">
      <sharedItems containsSemiMixedTypes="0" containsString="0" containsNumber="1" minValue="0" maxValue="322.16129846400139"/>
    </cacheField>
    <cacheField name="F-WH" numFmtId="0">
      <sharedItems containsSemiMixedTypes="0" containsString="0" containsNumber="1" minValue="0" maxValue="256.81704601371518"/>
    </cacheField>
    <cacheField name="N-AA" numFmtId="0">
      <sharedItems containsSemiMixedTypes="0" containsString="0" containsNumber="1" minValue="0" maxValue="1347.8553354430594"/>
    </cacheField>
    <cacheField name="F-AA" numFmtId="0">
      <sharedItems containsSemiMixedTypes="0" containsString="0" containsNumber="1" minValue="0" maxValue="887.21683815121162"/>
    </cacheField>
    <cacheField name="N-AI" numFmtId="0">
      <sharedItems containsSemiMixedTypes="0" containsString="0" containsNumber="1" minValue="0" maxValue="184"/>
    </cacheField>
    <cacheField name="F-AI" numFmtId="0">
      <sharedItems containsSemiMixedTypes="0" containsString="0" containsNumber="1" minValue="0" maxValue="97.930235444918637"/>
    </cacheField>
    <cacheField name="N-AS" numFmtId="0">
      <sharedItems containsSemiMixedTypes="0" containsString="0" containsNumber="1" minValue="0" maxValue="844.40152233935964"/>
    </cacheField>
    <cacheField name="F-AS" numFmtId="0">
      <sharedItems containsSemiMixedTypes="0" containsString="0" containsNumber="1" minValue="0" maxValue="2033"/>
    </cacheField>
    <cacheField name="N-PI" numFmtId="0">
      <sharedItems containsSemiMixedTypes="0" containsString="0" containsNumber="1" minValue="0" maxValue="134.14430230454465"/>
    </cacheField>
    <cacheField name="F-PI" numFmtId="0">
      <sharedItems containsSemiMixedTypes="0" containsString="0" containsNumber="1" minValue="0" maxValue="94.983726294857561"/>
    </cacheField>
    <cacheField name="N-OT" numFmtId="0">
      <sharedItems containsSemiMixedTypes="0" containsString="0" containsNumber="1" minValue="0" maxValue="297.68095663542988"/>
    </cacheField>
    <cacheField name="F-OT" numFmtId="0">
      <sharedItems containsSemiMixedTypes="0" containsString="0" containsNumber="1" minValue="0" maxValue="602.96180280562885"/>
    </cacheField>
    <cacheField name="N-2R" numFmtId="0">
      <sharedItems containsSemiMixedTypes="0" containsString="0" containsNumber="1" minValue="0" maxValue="1260.8412829878291"/>
    </cacheField>
    <cacheField name="F-2R" numFmtId="0">
      <sharedItems containsSemiMixedTypes="0" containsString="0" containsNumber="1" minValue="0" maxValue="181.929829126093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534.72822824074" createdVersion="6" refreshedVersion="6" minRefreshableVersion="3" recordCount="501" xr:uid="{288BF5D4-216C-4925-8976-ECD3E4CA8F80}">
  <cacheSource type="worksheet">
    <worksheetSource ref="AA2:AX542" sheet="2000 Seattle Tracts Conc"/>
  </cacheSource>
  <cacheFields count="24">
    <cacheField name="S_HOOD" numFmtId="0">
      <sharedItems containsBlank="1" count="92">
        <s v="Phinney Ridge"/>
        <s v="Green Lake"/>
        <s v="Greenwood"/>
        <s v="Roosevelt"/>
        <s v="North College Park"/>
        <s v="Maple Leaf"/>
        <s v="Ravenna"/>
        <s v="Wedgwood"/>
        <s v="View Ridge"/>
        <s v="Bryant"/>
        <s v="OOO"/>
        <s v="Sand Point"/>
        <s v="Matthews Beach"/>
        <s v="Meadowbrook"/>
        <s v="Victory Heights"/>
        <s v="Whittier Heights"/>
        <s v="Broadview"/>
        <s v="Bitter Lake"/>
        <s v="Crown Hill"/>
        <s v="Loyal Heights"/>
        <s v="North Beach/Blue Ridge"/>
        <s v="Sunset Hill"/>
        <s v="Haller Lake"/>
        <s v="Pinehurst"/>
        <s v="Cedar Park"/>
        <s v="Olympic Hills"/>
        <s v="Arbor Heights"/>
        <s v="Fauntleroy"/>
        <s v="Roxhill"/>
        <s v="Rainier Beach"/>
        <s v="Rainier View"/>
        <s v="Industrial District"/>
        <s v="Georgetown"/>
        <s v="Mid-Beacon Hill"/>
        <s v="South Beacon Hill"/>
        <s v="South Park"/>
        <s v="Highland Park"/>
        <s v="North Delridge"/>
        <s v="Riverview"/>
        <s v="High Point"/>
        <s v="South Delridge"/>
        <m/>
        <s v="Seaview"/>
        <s v="Gatewood"/>
        <s v="Alki"/>
        <s v="Fairmount Park"/>
        <s v="Genesee"/>
        <s v="North Beacon Hill"/>
        <s v="Columbia City"/>
        <s v="Brighton"/>
        <s v="Seward Park"/>
        <s v="Mount Baker"/>
        <s v="Atlantic"/>
        <s v="Harbor Island"/>
        <s v="North Admiral"/>
        <s v="Leschi"/>
        <s v="International District"/>
        <s v="Pioneer Square"/>
        <s v="Yesler Terrace"/>
        <s v="Minor"/>
        <s v="Madrona"/>
        <s v="Mann"/>
        <s v="Dunlap"/>
        <s v="Holly Park"/>
        <s v="First Hill"/>
        <s v="Central Business District"/>
        <s v="Broadway"/>
        <s v="Belltown"/>
        <s v="Pike-Market"/>
        <s v="Lower Queen Anne"/>
        <s v="Interbay"/>
        <s v="Stevens"/>
        <s v="Harrison/Denny-Blaine"/>
        <s v="South Lake Union"/>
        <s v="West Queen Anne"/>
        <s v="East Queen Anne"/>
        <s v="North Queen Anne"/>
        <s v="Westlake"/>
        <s v="Eastlake"/>
        <s v="Montlake"/>
        <s v="Madison Park"/>
        <s v="Portage Bay"/>
        <s v="Lawton Park"/>
        <s v="Southeast Magnolia"/>
        <s v="Briarcliff"/>
        <s v="Wallingford"/>
        <s v="Fremont"/>
        <s v="Laurelhurst"/>
        <s v="University District"/>
        <s v="West Woodland"/>
        <s v="Adams"/>
        <s v="Windermere"/>
      </sharedItems>
    </cacheField>
    <cacheField name="Tract" numFmtId="0">
      <sharedItems containsBlank="1"/>
    </cacheField>
    <cacheField name="AllTotalLookup" numFmtId="0">
      <sharedItems containsString="0" containsBlank="1" containsNumber="1" minValue="0" maxValue="9047"/>
    </cacheField>
    <cacheField name="N-T Lookup" numFmtId="0">
      <sharedItems containsString="0" containsBlank="1" containsNumber="1" minValue="0" maxValue="7755"/>
    </cacheField>
    <cacheField name="F-T Lookup" numFmtId="0">
      <sharedItems containsString="0" containsBlank="1" containsNumber="1" minValue="0" maxValue="4005.2226056652239"/>
    </cacheField>
    <cacheField name="AllTotalCalc" numFmtId="0">
      <sharedItems containsString="0" containsBlank="1" containsNumber="1" minValue="0" maxValue="9047"/>
    </cacheField>
    <cacheField name="N-T Calc" numFmtId="0">
      <sharedItems containsString="0" containsBlank="1" containsNumber="1" minValue="0" maxValue="7755"/>
    </cacheField>
    <cacheField name="F-T Calc" numFmtId="0">
      <sharedItems containsString="0" containsBlank="1" containsNumber="1" minValue="0" maxValue="4005.2226056652239"/>
    </cacheField>
    <cacheField name="N-WN" numFmtId="0">
      <sharedItems containsString="0" containsBlank="1" containsNumber="1" minValue="0" maxValue="6337"/>
    </cacheField>
    <cacheField name="F-WN" numFmtId="0">
      <sharedItems containsString="0" containsBlank="1" containsNumber="1" minValue="0" maxValue="505"/>
    </cacheField>
    <cacheField name="N-WH" numFmtId="0">
      <sharedItems containsString="0" containsBlank="1" containsNumber="1" minValue="0" maxValue="175"/>
    </cacheField>
    <cacheField name="F-WH" numFmtId="0">
      <sharedItems containsString="0" containsBlank="1" containsNumber="1" minValue="0" maxValue="278.7307651654661"/>
    </cacheField>
    <cacheField name="N-AA" numFmtId="0">
      <sharedItems containsString="0" containsBlank="1" containsNumber="1" minValue="0" maxValue="1796.474336481295"/>
    </cacheField>
    <cacheField name="F-AA" numFmtId="0">
      <sharedItems containsString="0" containsBlank="1" containsNumber="1" minValue="0" maxValue="204.84471276695936"/>
    </cacheField>
    <cacheField name="N-AI" numFmtId="0">
      <sharedItems containsString="0" containsBlank="1" containsNumber="1" minValue="0" maxValue="248.8838384810968"/>
    </cacheField>
    <cacheField name="F-AI" numFmtId="0">
      <sharedItems containsString="0" containsBlank="1" containsNumber="1" minValue="0" maxValue="102.1347259187709"/>
    </cacheField>
    <cacheField name="N-AS" numFmtId="0">
      <sharedItems containsString="0" containsBlank="1" containsNumber="1" minValue="0" maxValue="1504.9150882999008"/>
    </cacheField>
    <cacheField name="F-AS" numFmtId="0">
      <sharedItems containsString="0" containsBlank="1" containsNumber="1" minValue="0" maxValue="3583.4127446355201"/>
    </cacheField>
    <cacheField name="N-PI" numFmtId="0">
      <sharedItems containsString="0" containsBlank="1" containsNumber="1" minValue="0" maxValue="109.58318261481128"/>
    </cacheField>
    <cacheField name="F-PI" numFmtId="0">
      <sharedItems containsString="0" containsBlank="1" containsNumber="1" minValue="0" maxValue="117.89987302824963"/>
    </cacheField>
    <cacheField name="N-OT" numFmtId="0">
      <sharedItems containsString="0" containsBlank="1" containsNumber="1" minValue="0" maxValue="379.4650416989503"/>
    </cacheField>
    <cacheField name="F-OT" numFmtId="0">
      <sharedItems containsString="0" containsBlank="1" containsNumber="1" minValue="0" maxValue="475.309304808479"/>
    </cacheField>
    <cacheField name="N-2R" numFmtId="0">
      <sharedItems containsString="0" containsBlank="1" containsNumber="1" minValue="0" maxValue="393.40783316859898"/>
    </cacheField>
    <cacheField name="F-2R" numFmtId="0">
      <sharedItems containsString="0" containsBlank="1" containsNumber="1" minValue="0" maxValue="290.75307670525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7">
  <r>
    <x v="0"/>
    <s v="Census Tract 38, King County, Washington"/>
    <n v="2149.7088685752951"/>
    <n v="1885.8673337989687"/>
    <n v="263.84153477632634"/>
    <n v="2149.7088685752951"/>
    <n v="1885.8673337989687"/>
    <n v="263.84153477632634"/>
    <n v="1590.0450069285423"/>
    <n v="100.93937504700362"/>
    <n v="16.989795799990709"/>
    <n v="24.984993823515751"/>
    <n v="36.97779085880331"/>
    <n v="0"/>
    <n v="0.99939975294062999"/>
    <n v="0"/>
    <n v="97.941175788181738"/>
    <n v="132.92016714110378"/>
    <n v="0"/>
    <n v="0"/>
    <n v="2.9981992588218898"/>
    <n v="0"/>
    <n v="139.91596541168821"/>
    <n v="4.9969987647031502"/>
  </r>
  <r>
    <x v="1"/>
    <s v="Census Tract 38, King County, Washington"/>
    <n v="0.81473747819790088"/>
    <n v="0.71474180444418367"/>
    <n v="9.9995673753717262E-2"/>
    <n v="0.81473747819790088"/>
    <n v="0.71474180444418367"/>
    <n v="9.9995673753717262E-2"/>
    <n v="0.60262544296274312"/>
    <n v="3.8255920640626682E-2"/>
    <n v="6.4391153553530062E-3"/>
    <n v="9.469287287283832E-3"/>
    <n v="1.4014545185180071E-2"/>
    <n v="0"/>
    <n v="3.7877149149135328E-4"/>
    <n v="0"/>
    <n v="3.7119606166152619E-2"/>
    <n v="5.0376608368349986E-2"/>
    <n v="0"/>
    <n v="0"/>
    <n v="1.1363144744740599E-3"/>
    <n v="0"/>
    <n v="5.302800880878946E-2"/>
    <n v="1.8938574574567664E-3"/>
  </r>
  <r>
    <x v="2"/>
    <s v="Census Tract 38, King County, Washington"/>
    <n v="0.47639394650717354"/>
    <n v="0.41792439658718566"/>
    <n v="5.8469549919987825E-2"/>
    <n v="0.47639394650717354"/>
    <n v="0.41792439658718566"/>
    <n v="5.8469549919987825E-2"/>
    <n v="0.35236762849507813"/>
    <n v="2.2369032355752917E-2"/>
    <n v="3.76508465393861E-3"/>
    <n v="5.5368891969685436E-3"/>
    <n v="8.1945960115134449E-3"/>
    <n v="0"/>
    <n v="2.2147556787874176E-4"/>
    <n v="0"/>
    <n v="2.1704605652116692E-2"/>
    <n v="2.9456250527872655E-2"/>
    <n v="0"/>
    <n v="0"/>
    <n v="6.6442670363622532E-4"/>
    <n v="0"/>
    <n v="3.1006579503023844E-2"/>
    <n v="1.1073778393937087E-3"/>
  </r>
  <r>
    <x v="3"/>
    <s v="Census Tract 79, King County, Washington"/>
    <n v="4900.6274650121695"/>
    <n v="4006.1605180143652"/>
    <n v="894.46694699780403"/>
    <n v="4900.6274650121695"/>
    <n v="4006.1605180143652"/>
    <n v="894.46694699780403"/>
    <n v="3109.3742963052446"/>
    <n v="468.49349168597172"/>
    <n v="93.544080023106559"/>
    <n v="39.427670092383757"/>
    <n v="411.28471547349329"/>
    <n v="148.43358152426828"/>
    <n v="49.477860508089421"/>
    <n v="0"/>
    <n v="174.71869491919077"/>
    <n v="169.3070539261185"/>
    <n v="5.4116409930722806"/>
    <n v="0.7730915704388972"/>
    <n v="16.23492297921684"/>
    <n v="32.46984595843368"/>
    <n v="146.11430681295158"/>
    <n v="35.562212240189268"/>
  </r>
  <r>
    <x v="4"/>
    <s v="Census Tract 79, King County, Washington"/>
    <n v="1.1619575007223018"/>
    <n v="0.94987596919750239"/>
    <n v="0.21208153152479936"/>
    <n v="1.1619575007223018"/>
    <n v="0.94987596919750239"/>
    <n v="0.21208153152479936"/>
    <n v="0.73724452877505886"/>
    <n v="0.11108159732413865"/>
    <n v="2.2179658871651447E-2"/>
    <n v="9.3484512599522618E-3"/>
    <n v="9.7517177848913797E-2"/>
    <n v="3.5194169449232045E-2"/>
    <n v="1.1731389816410682E-2"/>
    <n v="0"/>
    <n v="4.1426470289200219E-2"/>
    <n v="4.0143349528030302E-2"/>
    <n v="1.2831207611699183E-3"/>
    <n v="1.8330296588141691E-4"/>
    <n v="3.849362283509755E-3"/>
    <n v="7.69872456701951E-3"/>
    <n v="3.4644260551587792E-2"/>
    <n v="8.4319364305451786E-3"/>
  </r>
  <r>
    <x v="5"/>
    <s v="Census Tract 79, King County, Washington"/>
    <n v="1437.2105684115847"/>
    <n v="1174.8895985973863"/>
    <n v="262.32096981419841"/>
    <n v="1437.2105684115847"/>
    <n v="1174.8895985973863"/>
    <n v="262.32096981419841"/>
    <n v="911.8884534076974"/>
    <n v="137.39542584909614"/>
    <n v="27.433740144786523"/>
    <n v="11.562981383339773"/>
    <n v="120.61776658699529"/>
    <n v="43.531224031396796"/>
    <n v="14.510408010465598"/>
    <n v="0"/>
    <n v="51.239878286956646"/>
    <n v="49.652802410811965"/>
    <n v="1.5870758761446748"/>
    <n v="0.22672512516352497"/>
    <n v="4.7612276284340247"/>
    <n v="9.5224552568680494"/>
    <n v="42.851048655906219"/>
    <n v="10.429355757522149"/>
  </r>
  <r>
    <x v="0"/>
    <s v="Census Tract 25, King County, Washington"/>
    <n v="2366.6656767489017"/>
    <n v="2101.8788956651133"/>
    <n v="264.78678108378847"/>
    <n v="2366.6656767489017"/>
    <n v="2101.8788956651133"/>
    <n v="264.78678108378847"/>
    <n v="1787.1323445655155"/>
    <n v="154.16157604878251"/>
    <n v="33.544417010614708"/>
    <n v="24.979885007904571"/>
    <n v="23.552463007452882"/>
    <n v="4.2822660013550689"/>
    <n v="6.4233990020326042"/>
    <n v="0"/>
    <n v="67.088834021229417"/>
    <n v="81.363054025746322"/>
    <n v="0"/>
    <n v="0"/>
    <n v="17.129064005420275"/>
    <n v="0"/>
    <n v="167.0083740528477"/>
    <n v="0"/>
  </r>
  <r>
    <x v="6"/>
    <s v="Census Tract 25, King County, Washington"/>
    <n v="0.17686389546644599"/>
    <n v="0.15707604708947029"/>
    <n v="1.9787848376975715E-2"/>
    <n v="0.17686389546644599"/>
    <n v="0.15707604708947029"/>
    <n v="1.9787848376975715E-2"/>
    <n v="0.13355464241495199"/>
    <n v="1.1520688003845699E-2"/>
    <n v="2.506816371207166E-3"/>
    <n v="1.8667781487712938E-3"/>
    <n v="1.7601051116986483E-3"/>
    <n v="3.2001911121793607E-4"/>
    <n v="4.800286668269041E-4"/>
    <n v="0"/>
    <n v="5.0136327424143319E-3"/>
    <n v="6.080363113140785E-3"/>
    <n v="0"/>
    <n v="0"/>
    <n v="1.2800764448717443E-3"/>
    <n v="0"/>
    <n v="1.2480745337499507E-2"/>
    <n v="0"/>
  </r>
  <r>
    <x v="2"/>
    <s v="Census Tract 25, King County, Washington"/>
    <n v="949.1574694619477"/>
    <n v="842.96403726340043"/>
    <n v="106.19343219854721"/>
    <n v="949.1574694619477"/>
    <n v="842.96403726340043"/>
    <n v="106.19343219854721"/>
    <n v="716.73410842361784"/>
    <n v="61.826903921526146"/>
    <n v="13.453076316258004"/>
    <n v="10.018248320617662"/>
    <n v="9.4457769880109392"/>
    <n v="1.7174139978201706"/>
    <n v="2.5761209967302561"/>
    <n v="0"/>
    <n v="26.906152632516008"/>
    <n v="32.630865958583243"/>
    <n v="0"/>
    <n v="0"/>
    <n v="6.8696559912806823"/>
    <n v="0"/>
    <n v="66.97914591498666"/>
    <n v="0"/>
  </r>
  <r>
    <x v="7"/>
    <s v="Census Tract 81, King County, Washington"/>
    <n v="912.90834426565243"/>
    <n v="687.30455803908319"/>
    <n v="225.6037862265693"/>
    <n v="912.90834426565243"/>
    <n v="687.30455803908319"/>
    <n v="225.6037862265693"/>
    <n v="495.99104829047252"/>
    <n v="71.76598847572761"/>
    <n v="14.428149119141059"/>
    <n v="6.9330067195872624"/>
    <n v="61.460167676341136"/>
    <n v="17.800963198940266"/>
    <n v="24.921348478516375"/>
    <n v="0"/>
    <n v="28.856298238282118"/>
    <n v="89.004815994701332"/>
    <n v="2.4359212798549841"/>
    <n v="0"/>
    <n v="9.556306559431091"/>
    <n v="36.913576317802452"/>
    <n v="49.655318397043906"/>
    <n v="3.1854355198103637"/>
  </r>
  <r>
    <x v="8"/>
    <s v="Census Tract 81, King County, Washington"/>
    <n v="3.6382318784368257"/>
    <n v="2.7391285981334725"/>
    <n v="0.89910328030335351"/>
    <n v="3.6382318784368257"/>
    <n v="2.7391285981334725"/>
    <n v="0.89910328030335351"/>
    <n v="1.9766830423280539"/>
    <n v="0.2860104288672628"/>
    <n v="5.7500791182191216E-2"/>
    <n v="2.7630250308325648E-2"/>
    <n v="0.24493843516569763"/>
    <n v="7.0942534575430719E-2"/>
    <n v="9.9319548405603003E-2"/>
    <n v="0"/>
    <n v="0.11500158236438243"/>
    <n v="0.35471267287715358"/>
    <n v="9.7079257840063087E-3"/>
    <n v="0"/>
    <n v="3.8084939614178595E-2"/>
    <n v="0.14711241380378792"/>
    <n v="0.19789233328935937"/>
    <n v="1.2694979871392866E-2"/>
  </r>
  <r>
    <x v="9"/>
    <s v="Census Tract 81, King County, Washington"/>
    <n v="3202.0069666604099"/>
    <n v="2410.7063944397337"/>
    <n v="791.30057222067603"/>
    <n v="3202.0069666604099"/>
    <n v="2410.7063944397337"/>
    <n v="791.30057222067603"/>
    <n v="1739.6782513854896"/>
    <n v="251.71770694395258"/>
    <n v="50.606431944345559"/>
    <n v="24.317376388841371"/>
    <n v="215.57025555513434"/>
    <n v="62.436506944322439"/>
    <n v="87.411109722051421"/>
    <n v="0"/>
    <n v="101.21286388869112"/>
    <n v="312.18253472161223"/>
    <n v="8.5439430555388611"/>
    <n v="0"/>
    <n v="33.518545833267837"/>
    <n v="129.47359861085812"/>
    <n v="174.16499305521523"/>
    <n v="11.172848611089279"/>
  </r>
  <r>
    <x v="10"/>
    <s v="Census Tract 81, King County, Washington"/>
    <n v="749.14829152105358"/>
    <n v="564.01394361642542"/>
    <n v="185.13434790462819"/>
    <n v="749.14829152105358"/>
    <n v="564.01394361642542"/>
    <n v="185.13434790462819"/>
    <n v="407.01878646474319"/>
    <n v="58.89240469059186"/>
    <n v="11.839987365993663"/>
    <n v="5.689344578464488"/>
    <n v="50.435270857739241"/>
    <n v="14.607776620381793"/>
    <n v="20.450887268534508"/>
    <n v="0"/>
    <n v="23.679974731987325"/>
    <n v="73.038883101908965"/>
    <n v="1.9989589059469821"/>
    <n v="0"/>
    <n v="7.842069554099699"/>
    <n v="30.291915728581191"/>
    <n v="40.748008467380792"/>
    <n v="2.6140231846998998"/>
  </r>
  <r>
    <x v="11"/>
    <s v="Census Tract 9, King County, Washington"/>
    <n v="0.37902714623676514"/>
    <n v="0.32770856203533699"/>
    <n v="5.1318584201428138E-2"/>
    <n v="0.37902714623676514"/>
    <n v="0.32770856203533699"/>
    <n v="5.1318584201428138E-2"/>
    <n v="0.27696659113954286"/>
    <n v="2.0758079002824864E-2"/>
    <n v="6.1505419267629232E-3"/>
    <n v="4.0362931394381683E-3"/>
    <n v="4.2284975746495097E-3"/>
    <n v="0"/>
    <n v="1.1532266112680481E-3"/>
    <n v="4.6129064450721926E-3"/>
    <n v="2.0950283438036208E-2"/>
    <n v="2.0565874567613524E-2"/>
    <n v="6.3427463619742646E-3"/>
    <n v="0"/>
    <n v="2.1142487873247549E-3"/>
    <n v="0"/>
    <n v="9.8024261957784086E-3"/>
    <n v="1.3454310464793894E-3"/>
  </r>
  <r>
    <x v="12"/>
    <s v="Census Tract 9, King County, Washington"/>
    <n v="1726.2131710893611"/>
    <n v="1492.4916109063695"/>
    <n v="233.7215601829916"/>
    <n v="1726.2131710893611"/>
    <n v="1492.4916109063695"/>
    <n v="233.7215601829916"/>
    <n v="1261.3961356692541"/>
    <n v="94.539058051547158"/>
    <n v="28.011572756013972"/>
    <n v="18.382594621134171"/>
    <n v="19.257956269759607"/>
    <n v="0"/>
    <n v="5.2521698917526196"/>
    <n v="21.008679567010478"/>
    <n v="95.414419700172587"/>
    <n v="93.663696402921715"/>
    <n v="28.886934404639408"/>
    <n v="0"/>
    <n v="9.6289781348798034"/>
    <n v="0"/>
    <n v="44.643444079897272"/>
    <n v="6.1275315403780564"/>
  </r>
  <r>
    <x v="13"/>
    <s v="Census Tract 9, King County, Washington"/>
    <n v="216.1848987321512"/>
    <n v="186.91442816344716"/>
    <n v="29.270470568704042"/>
    <n v="216.1848987321512"/>
    <n v="186.91442816344716"/>
    <n v="29.270470568704042"/>
    <n v="157.97283928652632"/>
    <n v="11.839740904194894"/>
    <n v="3.5080713790207092"/>
    <n v="2.3021718424823403"/>
    <n v="2.4117990730767378"/>
    <n v="0"/>
    <n v="0.65776338356638298"/>
    <n v="2.6310535342655319"/>
    <n v="11.949368134789291"/>
    <n v="11.730113673600496"/>
    <n v="3.6176986096151063"/>
    <n v="0"/>
    <n v="1.2058995365383689"/>
    <n v="0"/>
    <n v="5.5909887603142554"/>
    <n v="0.76739061416078014"/>
  </r>
  <r>
    <x v="14"/>
    <s v="Census Tract 54, King County, Washington"/>
    <n v="4093.1766042964946"/>
    <n v="3601.9666018100952"/>
    <n v="491.21000248639967"/>
    <n v="4093.1766042964946"/>
    <n v="3601.9666018100952"/>
    <n v="491.21000248639967"/>
    <n v="3017.8444434281741"/>
    <n v="213.19378407034355"/>
    <n v="84.269164649426344"/>
    <n v="0"/>
    <n v="54.738944558601723"/>
    <n v="0"/>
    <n v="0"/>
    <n v="0"/>
    <n v="197.34830011916938"/>
    <n v="157.01434097072601"/>
    <n v="0"/>
    <n v="0"/>
    <n v="0"/>
    <n v="10.803739057618762"/>
    <n v="247.76574905472359"/>
    <n v="110.19813838771137"/>
  </r>
  <r>
    <x v="15"/>
    <s v="Census Tract 54, King County, Washington"/>
    <n v="1575.4436944581705"/>
    <n v="1386.3793623060551"/>
    <n v="189.06433215211547"/>
    <n v="1575.4436944581705"/>
    <n v="1386.3793623060551"/>
    <n v="189.06433215211547"/>
    <n v="1161.5535948934955"/>
    <n v="82.057246799158619"/>
    <n v="32.434790119937702"/>
    <n v="0"/>
    <n v="21.06875255654073"/>
    <n v="0"/>
    <n v="0"/>
    <n v="0"/>
    <n v="75.958397374896833"/>
    <n v="60.434053385866825"/>
    <n v="0"/>
    <n v="0"/>
    <n v="0"/>
    <n v="4.1583064256330386"/>
    <n v="95.363827361184349"/>
    <n v="42.414725541456995"/>
  </r>
  <r>
    <x v="3"/>
    <s v="Census Tract 86, King County, Washington"/>
    <n v="2745.6552348270461"/>
    <n v="2172.6939726159685"/>
    <n v="572.96126221107795"/>
    <n v="2745.6552348270461"/>
    <n v="2172.6939726159685"/>
    <n v="572.96126221107795"/>
    <n v="1486.7982120667214"/>
    <n v="64.756019689317128"/>
    <n v="47.142382333822873"/>
    <n v="15.023396567921575"/>
    <n v="103.6096315029074"/>
    <n v="91.176475722558521"/>
    <n v="7.7707223627180557"/>
    <n v="0"/>
    <n v="273.52942716767558"/>
    <n v="305.64841293357682"/>
    <n v="17.095589197979724"/>
    <n v="0"/>
    <n v="84.959897832384073"/>
    <n v="69.936501264462493"/>
    <n v="151.78811015175935"/>
    <n v="26.42045603324139"/>
  </r>
  <r>
    <x v="16"/>
    <s v="Census Tract 86, King County, Washington"/>
    <n v="3.5299250945211198"/>
    <n v="2.7933029898908632"/>
    <n v="0.73662210463025635"/>
    <n v="3.5299250945211198"/>
    <n v="2.7933029898908632"/>
    <n v="0.73662210463025635"/>
    <n v="1.9114877398633234"/>
    <n v="8.3252950342479246E-2"/>
    <n v="6.0608147849324889E-2"/>
    <n v="1.9314684479455183E-2"/>
    <n v="0.13320472054796678"/>
    <n v="0.11722015408221077"/>
    <n v="9.990354041097509E-3"/>
    <n v="0"/>
    <n v="0.35166046224663233"/>
    <n v="0.392953925616502"/>
    <n v="2.1978778890414521E-2"/>
    <n v="0"/>
    <n v="0.10922787084933276"/>
    <n v="8.9913186369877579E-2"/>
    <n v="0.19514491560277133"/>
    <n v="3.3967203739731527E-2"/>
  </r>
  <r>
    <x v="17"/>
    <s v="Census Tract 86, King County, Washington"/>
    <n v="1328.0637212910233"/>
    <n v="1050.9243862442549"/>
    <n v="277.13933504676822"/>
    <n v="1328.0637212910233"/>
    <n v="1050.9243862442549"/>
    <n v="277.13933504676822"/>
    <n v="719.15903398212015"/>
    <n v="31.322257577618473"/>
    <n v="22.802603516506249"/>
    <n v="7.2667637580074853"/>
    <n v="50.115612124189553"/>
    <n v="44.10173866928681"/>
    <n v="3.7586709093142168"/>
    <n v="0"/>
    <n v="132.30521600786042"/>
    <n v="147.8410557663592"/>
    <n v="8.2690760004912764"/>
    <n v="0"/>
    <n v="41.094801941835435"/>
    <n v="33.82803818382795"/>
    <n v="73.419371761937697"/>
    <n v="12.779481091668337"/>
  </r>
  <r>
    <x v="18"/>
    <s v="Census Tract 86, King County, Washington"/>
    <n v="1222.7511187874093"/>
    <n v="967.58833814988577"/>
    <n v="255.16278063752353"/>
    <n v="1222.7511187874093"/>
    <n v="967.58833814988577"/>
    <n v="255.16278063752353"/>
    <n v="662.13126621129527"/>
    <n v="28.838469782721916"/>
    <n v="20.994406001821556"/>
    <n v="6.6905249895914851"/>
    <n v="46.141551652355069"/>
    <n v="40.604565454072457"/>
    <n v="3.46061637392663"/>
    <n v="0"/>
    <n v="121.81369636221737"/>
    <n v="136.11757737444745"/>
    <n v="7.6133560226385857"/>
    <n v="0"/>
    <n v="37.836072354931154"/>
    <n v="31.14554736533967"/>
    <n v="67.59737317070018"/>
    <n v="11.766095671350541"/>
  </r>
  <r>
    <x v="19"/>
    <s v="Census Tract 96, King County, Washington"/>
    <n v="997.14796101349214"/>
    <n v="879.20758312429473"/>
    <n v="117.94037788919741"/>
    <n v="997.14796101349214"/>
    <n v="879.20758312429473"/>
    <n v="117.94037788919741"/>
    <n v="776.61324855693726"/>
    <n v="46.727839777737572"/>
    <n v="21.036149272634624"/>
    <n v="2.7588392488701148"/>
    <n v="5.1728235916314649"/>
    <n v="7.7592353874471982"/>
    <n v="1.896701983598204"/>
    <n v="0"/>
    <n v="11.725066807697988"/>
    <n v="43.624145622758689"/>
    <n v="0"/>
    <n v="0"/>
    <n v="2.4139843427613505"/>
    <n v="10.518074636317312"/>
    <n v="60.349608569033762"/>
    <n v="6.5522432160665227"/>
  </r>
  <r>
    <x v="20"/>
    <s v="Census Tract 96, King County, Washington"/>
    <n v="4641.4219865339965"/>
    <n v="4092.4452203591295"/>
    <n v="548.97676617486661"/>
    <n v="4641.4219865339965"/>
    <n v="4092.4452203591295"/>
    <n v="548.97676617486661"/>
    <n v="3614.899641595905"/>
    <n v="217.50395268039304"/>
    <n v="97.916908586745208"/>
    <n v="12.841561781868224"/>
    <n v="24.07792834100292"/>
    <n v="36.116892511504382"/>
    <n v="8.8285737250344045"/>
    <n v="0"/>
    <n v="54.576637572939951"/>
    <n v="203.05719567579129"/>
    <n v="0"/>
    <n v="0"/>
    <n v="11.236366559134696"/>
    <n v="48.958454293372604"/>
    <n v="280.90916397836742"/>
    <n v="30.498709231937031"/>
  </r>
  <r>
    <x v="21"/>
    <s v="Census Tract 96, King County, Washington"/>
    <n v="142.59631961968358"/>
    <n v="125.73035340493975"/>
    <n v="16.865966214743828"/>
    <n v="142.59631961968358"/>
    <n v="125.73035340493975"/>
    <n v="16.865966214743828"/>
    <n v="111.05893542574006"/>
    <n v="6.6822760880052305"/>
    <n v="3.0082571318695135"/>
    <n v="0.39452552549108372"/>
    <n v="0.73973536029578202"/>
    <n v="1.109603040443673"/>
    <n v="0.27123629877512007"/>
    <n v="0"/>
    <n v="1.6767334833371057"/>
    <n v="6.2384348718277609"/>
    <n v="0"/>
    <n v="0"/>
    <n v="0.34520983480469825"/>
    <n v="1.5041285659347567"/>
    <n v="8.6302458701174558"/>
    <n v="0.93699812304132379"/>
  </r>
  <r>
    <x v="22"/>
    <s v="Census Tract 97.01, King County, Washington"/>
    <n v="1.1915801937732358"/>
    <n v="1.0250561948353067"/>
    <n v="0.16652399893792902"/>
    <n v="1.1915801937732358"/>
    <n v="1.0250561948353067"/>
    <n v="0.16652399893792902"/>
    <n v="0.84233707014254489"/>
    <n v="9.2216951356930948E-2"/>
    <n v="5.3539180436565283E-2"/>
    <n v="1.314663149509966E-2"/>
    <n v="2.3244768730466065E-2"/>
    <n v="0"/>
    <n v="6.2875194106998371E-3"/>
    <n v="0"/>
    <n v="2.2482645165532753E-2"/>
    <n v="5.411077311026527E-2"/>
    <n v="0"/>
    <n v="0"/>
    <n v="1.5814063972366257E-2"/>
    <n v="3.8106178246665682E-3"/>
    <n v="6.1350946977131747E-2"/>
    <n v="3.239025150966583E-3"/>
  </r>
  <r>
    <x v="19"/>
    <s v="Census Tract 97.01, King County, Washington"/>
    <n v="6243.468546803806"/>
    <n v="5370.9403232818158"/>
    <n v="872.52822352199007"/>
    <n v="6243.468546803806"/>
    <n v="5370.9403232818158"/>
    <n v="872.52822352199007"/>
    <n v="4413.5552359161538"/>
    <n v="483.18496588631945"/>
    <n v="280.5268087067268"/>
    <n v="68.883807120157115"/>
    <n v="121.79455751679953"/>
    <n v="0"/>
    <n v="32.944429492249057"/>
    <n v="0"/>
    <n v="117.80129333592086"/>
    <n v="283.5217568423858"/>
    <n v="0"/>
    <n v="0"/>
    <n v="82.860231753232469"/>
    <n v="19.966320904393367"/>
    <n v="321.45776656073321"/>
    <n v="16.971372768734362"/>
  </r>
  <r>
    <x v="20"/>
    <s v="Census Tract 97.01, King County, Washington"/>
    <n v="6.6752315977475805"/>
    <n v="5.7423642462235343"/>
    <n v="0.93286735152404621"/>
    <n v="6.6752315977475805"/>
    <n v="5.7423642462235343"/>
    <n v="0.93286735152404621"/>
    <n v="4.7187718090249522"/>
    <n v="0.51659931137029558"/>
    <n v="0.2999264597005229"/>
    <n v="7.3647422488740497E-2"/>
    <n v="0.13021718179168609"/>
    <n v="0"/>
    <n v="3.5222680320701971E-2"/>
    <n v="0"/>
    <n v="0.12594776599523735"/>
    <n v="0.30312852154785941"/>
    <n v="0"/>
    <n v="0"/>
    <n v="8.8590377776311027E-2"/>
    <n v="2.1347078982243622E-2"/>
    <n v="0.34368797161412229"/>
    <n v="1.8145017134907078E-2"/>
  </r>
  <r>
    <x v="23"/>
    <s v="Census Tract 97.01, King County, Washington"/>
    <n v="0.29925198440895934"/>
    <n v="0.2574313521138793"/>
    <n v="4.1820632295080019E-2"/>
    <n v="0.29925198440895934"/>
    <n v="0.2574313521138793"/>
    <n v="4.1820632295080019E-2"/>
    <n v="0.21154349585417478"/>
    <n v="2.3159251751508843E-2"/>
    <n v="1.3445763930111539E-2"/>
    <n v="3.3016288654010542E-3"/>
    <n v="5.8376626315786752E-3"/>
    <n v="0"/>
    <n v="1.5790398921483302E-3"/>
    <n v="0"/>
    <n v="5.6462638567728171E-3"/>
    <n v="1.3589313011215933E-2"/>
    <n v="0"/>
    <n v="0"/>
    <n v="3.9715245772215576E-3"/>
    <n v="9.5699387402929106E-4"/>
    <n v="1.5407601371871586E-2"/>
    <n v="8.1344479292489737E-4"/>
  </r>
  <r>
    <x v="22"/>
    <s v="Census Tract 97.02, King County, Washington"/>
    <n v="106.23583578122908"/>
    <n v="98.408335000374692"/>
    <n v="7.8275007808543853"/>
    <n v="106.23583578122908"/>
    <n v="98.408335000374692"/>
    <n v="7.8275007808543853"/>
    <n v="84.85852924769766"/>
    <n v="3.1003792823922014"/>
    <n v="3.7893524562571352"/>
    <n v="0.2679340120585853"/>
    <n v="0"/>
    <n v="0.30621029949552608"/>
    <n v="0.28707215577705569"/>
    <n v="0"/>
    <n v="0.7272494613018744"/>
    <n v="4.1529771869080729"/>
    <n v="0"/>
    <n v="0"/>
    <n v="1.9329525155655085"/>
    <n v="0"/>
    <n v="6.8131791637754553"/>
    <n v="0"/>
  </r>
  <r>
    <x v="19"/>
    <s v="Census Tract 97.02, King County, Washington"/>
    <n v="352.38662995069859"/>
    <n v="326.42263577850696"/>
    <n v="25.963994172191629"/>
    <n v="352.38662995069859"/>
    <n v="326.42263577850696"/>
    <n v="25.963994172191629"/>
    <n v="281.47762875182809"/>
    <n v="10.284027031528224"/>
    <n v="12.569366371867829"/>
    <n v="0.88874307679873543"/>
    <n v="0"/>
    <n v="1.0157063734842691"/>
    <n v="0.95222472514150225"/>
    <n v="0"/>
    <n v="2.4123026370251388"/>
    <n v="13.775517690380399"/>
    <n v="0"/>
    <n v="0"/>
    <n v="6.4116464826194486"/>
    <n v="0"/>
    <n v="22.599466810024985"/>
    <n v="0"/>
  </r>
  <r>
    <x v="20"/>
    <s v="Census Tract 97.02, King County, Washington"/>
    <n v="3304.7065901308124"/>
    <n v="3061.2144273919362"/>
    <n v="243.49216273887629"/>
    <n v="3304.7065901308124"/>
    <n v="3061.2144273919362"/>
    <n v="243.49216273887629"/>
    <n v="2639.7169916483554"/>
    <n v="96.444328517598919"/>
    <n v="117.87640152150979"/>
    <n v="8.3346950570764502"/>
    <n v="0"/>
    <n v="9.5253657795159423"/>
    <n v="8.9300304182961963"/>
    <n v="0"/>
    <n v="22.622743726350365"/>
    <n v="129.18777338468496"/>
    <n v="0"/>
    <n v="0"/>
    <n v="60.128871483194388"/>
    <n v="0"/>
    <n v="211.93938859422971"/>
    <n v="0"/>
  </r>
  <r>
    <x v="23"/>
    <s v="Census Tract 97.02, King County, Washington"/>
    <n v="1787.6709316297458"/>
    <n v="1655.9545902432269"/>
    <n v="131.71634138651882"/>
    <n v="1787.6709316297458"/>
    <n v="1655.9545902432269"/>
    <n v="131.71634138651882"/>
    <n v="1427.9468403614292"/>
    <n v="52.171264803462229"/>
    <n v="63.764879204231612"/>
    <n v="4.5086278225214267"/>
    <n v="0"/>
    <n v="5.1527175114530595"/>
    <n v="4.8306726669872431"/>
    <n v="0"/>
    <n v="12.237704089701015"/>
    <n v="69.883731249082118"/>
    <n v="0"/>
    <n v="0"/>
    <n v="32.526529291047439"/>
    <n v="0"/>
    <n v="114.64796462983057"/>
    <n v="0"/>
  </r>
  <r>
    <x v="20"/>
    <s v="Census Tract 98, King County, Washington"/>
    <n v="4371.4207677044487"/>
    <n v="3916.1390251766716"/>
    <n v="455.281742527777"/>
    <n v="4371.4207677044487"/>
    <n v="3916.1390251766716"/>
    <n v="455.281742527777"/>
    <n v="3431.0223060743351"/>
    <n v="258.37089713568469"/>
    <n v="96.665324101572565"/>
    <n v="0"/>
    <n v="21.481183133682794"/>
    <n v="0"/>
    <n v="0"/>
    <n v="0"/>
    <n v="132.4672959910439"/>
    <n v="166.47916928604164"/>
    <n v="0"/>
    <n v="0"/>
    <n v="29.238277043068248"/>
    <n v="0"/>
    <n v="205.26463883296893"/>
    <n v="30.431676106050624"/>
  </r>
  <r>
    <x v="24"/>
    <s v="Census Tract 98, King County, Washington"/>
    <n v="27.304762713007307"/>
    <n v="24.460982485048724"/>
    <n v="2.8437802279585824"/>
    <n v="27.304762713007307"/>
    <n v="24.460982485048724"/>
    <n v="2.8437802279585824"/>
    <n v="21.430847065218675"/>
    <n v="1.613835961606902"/>
    <n v="0.60379082166355225"/>
    <n v="0"/>
    <n v="0.13417573814745606"/>
    <n v="0"/>
    <n v="0"/>
    <n v="0"/>
    <n v="0.82741705190931236"/>
    <n v="1.0398619706427845"/>
    <n v="0"/>
    <n v="0"/>
    <n v="0.18262808803403741"/>
    <n v="0"/>
    <n v="1.2821237200756912"/>
    <n v="0.19008229570889609"/>
  </r>
  <r>
    <x v="23"/>
    <s v="Census Tract 98, King County, Washington"/>
    <n v="2927.2744733771469"/>
    <n v="2622.3999957376764"/>
    <n v="304.87447763947085"/>
    <n v="2927.2744733771469"/>
    <n v="2622.3999957376764"/>
    <n v="304.87447763947085"/>
    <n v="2297.5468498387381"/>
    <n v="173.01526712698671"/>
    <n v="64.730885160674021"/>
    <n v="0"/>
    <n v="14.384641146816447"/>
    <n v="0"/>
    <n v="0"/>
    <n v="0"/>
    <n v="88.705287072034764"/>
    <n v="111.48096888782747"/>
    <n v="0"/>
    <n v="0"/>
    <n v="19.579094894277944"/>
    <n v="0"/>
    <n v="137.45323762513496"/>
    <n v="20.378241624656635"/>
  </r>
  <r>
    <x v="25"/>
    <s v="Census Tract 99, King County, Washington"/>
    <n v="1420.6374147414381"/>
    <n v="1174.0598194074616"/>
    <n v="246.57759533397649"/>
    <n v="1420.6374147414381"/>
    <n v="1174.0598194074616"/>
    <n v="246.57759533397649"/>
    <n v="925.98022856891271"/>
    <n v="131.42460665008898"/>
    <n v="52.069177491844783"/>
    <n v="6.0079820182897823"/>
    <n v="25.283590993636167"/>
    <n v="8.7616404433392656"/>
    <n v="0"/>
    <n v="0"/>
    <n v="58.327492094229967"/>
    <n v="71.094453883095753"/>
    <n v="0"/>
    <n v="0"/>
    <n v="5.5073168500989667"/>
    <n v="22.780265152682091"/>
    <n v="106.89201340873905"/>
    <n v="6.5086471864805979"/>
  </r>
  <r>
    <x v="20"/>
    <s v="Census Tract 99, King County, Washington"/>
    <n v="533.87651637806107"/>
    <n v="441.21248666310242"/>
    <n v="92.664029714958616"/>
    <n v="533.87651637806107"/>
    <n v="441.21248666310242"/>
    <n v="92.664029714958616"/>
    <n v="347.98400600571767"/>
    <n v="49.389457462287588"/>
    <n v="19.567632670772987"/>
    <n v="2.2578037697045752"/>
    <n v="9.501590864173421"/>
    <n v="3.2926304974858391"/>
    <n v="0"/>
    <n v="0"/>
    <n v="21.919511597548585"/>
    <n v="26.717344608170809"/>
    <n v="0"/>
    <n v="0"/>
    <n v="2.0696534555625274"/>
    <n v="8.5608392934631805"/>
    <n v="40.170092069327232"/>
    <n v="2.4459540838466234"/>
  </r>
  <r>
    <x v="24"/>
    <s v="Census Tract 99, King County, Washington"/>
    <n v="128.45768718437654"/>
    <n v="106.16150711801338"/>
    <n v="22.296180066363153"/>
    <n v="128.45768718437654"/>
    <n v="106.16150711801338"/>
    <n v="22.296180066363153"/>
    <n v="83.729512756829749"/>
    <n v="11.883750796792542"/>
    <n v="4.7082288871101881"/>
    <n v="0.54325717928194484"/>
    <n v="2.286207296144851"/>
    <n v="0.79225005311950281"/>
    <n v="0"/>
    <n v="0"/>
    <n v="5.2741217821955475"/>
    <n v="6.4285432881696805"/>
    <n v="0"/>
    <n v="0"/>
    <n v="0.49798574767511605"/>
    <n v="2.0598501381107073"/>
    <n v="9.6654506480579343"/>
    <n v="0.58852861088877351"/>
  </r>
  <r>
    <x v="23"/>
    <s v="Census Tract 99, King County, Washington"/>
    <n v="90.426205524685258"/>
    <n v="74.731084389563676"/>
    <n v="15.695121135121584"/>
    <n v="90.426205524685258"/>
    <n v="74.731084389563676"/>
    <n v="15.695121135121584"/>
    <n v="58.940358455649481"/>
    <n v="8.3654198943541438"/>
    <n v="3.314299691477451"/>
    <n v="0.38241919517047512"/>
    <n v="1.6093474463424162"/>
    <n v="0.55769465962360953"/>
    <n v="0"/>
    <n v="0"/>
    <n v="3.7126530197800292"/>
    <n v="4.5252938095172892"/>
    <n v="0"/>
    <n v="0"/>
    <n v="0.35055092890626888"/>
    <n v="1.4500061150213848"/>
    <n v="6.8038748474080366"/>
    <n v="0.41428746143468137"/>
  </r>
  <r>
    <x v="26"/>
    <s v="Census Tract 99, King County, Washington"/>
    <n v="2133.0569592670531"/>
    <n v="1762.8259275704811"/>
    <n v="370.23103169657224"/>
    <n v="2133.0569592670531"/>
    <n v="1762.8259275704811"/>
    <n v="370.23103169657224"/>
    <n v="1390.3396814676353"/>
    <n v="197.33126054893444"/>
    <n v="78.180766084149269"/>
    <n v="9.0208576250941466"/>
    <n v="37.962775838937866"/>
    <n v="13.155417369928964"/>
    <n v="0"/>
    <n v="0"/>
    <n v="87.577492776955665"/>
    <n v="106.74681523028073"/>
    <n v="0"/>
    <n v="0"/>
    <n v="8.2691194896696345"/>
    <n v="34.204085161815307"/>
    <n v="160.49609191313334"/>
    <n v="9.7725957605186586"/>
  </r>
  <r>
    <x v="27"/>
    <s v="Census Tract 99, King County, Washington"/>
    <n v="18.107878397372684"/>
    <n v="14.96492505439258"/>
    <n v="3.1429533429801046"/>
    <n v="18.107878397372684"/>
    <n v="14.96492505439258"/>
    <n v="3.1429533429801046"/>
    <n v="11.802826817952697"/>
    <n v="1.6751781777305126"/>
    <n v="0.66368963993894603"/>
    <n v="7.6579573839109155E-2"/>
    <n v="0.32227237323958435"/>
    <n v="0.11167854518203418"/>
    <n v="0"/>
    <n v="0"/>
    <n v="0.74346002935468469"/>
    <n v="0.90619162376279161"/>
    <n v="0"/>
    <n v="0"/>
    <n v="7.0197942685850057E-2"/>
    <n v="0.29036421747328889"/>
    <n v="1.3624782512208169"/>
    <n v="8.2961204992368254E-2"/>
  </r>
  <r>
    <x v="28"/>
    <s v="Census Tract 99, King County, Washington"/>
    <n v="0.51706533846709446"/>
    <n v="0.42731919601950186"/>
    <n v="8.9746142447592617E-2"/>
    <n v="0.51706533846709446"/>
    <n v="0.42731919601950186"/>
    <n v="8.9746142447592617E-2"/>
    <n v="0.33702637656207624"/>
    <n v="4.7834238360392002E-2"/>
    <n v="1.8951469674212448E-2"/>
    <n v="2.1867080393322058E-3"/>
    <n v="9.2023963321896992E-3"/>
    <n v="3.1889492240261335E-3"/>
    <n v="0"/>
    <n v="0"/>
    <n v="2.1229290548516831E-2"/>
    <n v="2.5876045132097767E-2"/>
    <n v="0"/>
    <n v="0"/>
    <n v="2.0044823693878555E-3"/>
    <n v="8.291267982467947E-3"/>
    <n v="3.8905180533118824E-2"/>
    <n v="2.368933709276556E-3"/>
  </r>
  <r>
    <x v="21"/>
    <s v="Census Tract 99, King County, Washington"/>
    <n v="1321.8637124284071"/>
    <n v="1092.430098905591"/>
    <n v="229.43361352281602"/>
    <n v="1321.8637124284071"/>
    <n v="1092.430098905591"/>
    <n v="229.43361352281602"/>
    <n v="861.59892022426038"/>
    <n v="122.28695137002885"/>
    <n v="48.448925495173334"/>
    <n v="5.5902606340584615"/>
    <n v="23.525680168329359"/>
    <n v="8.1524634246685892"/>
    <n v="0"/>
    <n v="0"/>
    <n v="54.272113655650898"/>
    <n v="66.151417503025129"/>
    <n v="0"/>
    <n v="0"/>
    <n v="5.1244055812202562"/>
    <n v="21.196404904138333"/>
    <n v="99.460053780956784"/>
    <n v="6.0561156868966668"/>
  </r>
  <r>
    <x v="11"/>
    <s v="Census Tract 101, King County, Washington"/>
    <n v="10.681684714814651"/>
    <n v="8.1753155786157734"/>
    <n v="2.5063691361988769"/>
    <n v="10.681684714814651"/>
    <n v="8.1753155786157734"/>
    <n v="2.5063691361988769"/>
    <n v="3.6697077580989399"/>
    <n v="0.2662102109611128"/>
    <n v="0.20231976033044571"/>
    <n v="3.0614174260527972E-2"/>
    <n v="2.7499514792282951"/>
    <n v="0.51910991137416995"/>
    <n v="4.7917837973000303E-2"/>
    <n v="0"/>
    <n v="0.84521741980153309"/>
    <n v="1.3044300337094525"/>
    <n v="7.8532012233528278E-2"/>
    <n v="3.8600480589361351E-2"/>
    <n v="0"/>
    <n v="0.16371927974108436"/>
    <n v="0.58166931095003138"/>
    <n v="0.18368504556316781"/>
  </r>
  <r>
    <x v="29"/>
    <s v="Census Tract 101, King County, Washington"/>
    <n v="5.1044395652917835E-3"/>
    <n v="3.9067249607504222E-3"/>
    <n v="1.197714604541362E-3"/>
    <n v="5.1044395652917835E-3"/>
    <n v="3.9067249607504222E-3"/>
    <n v="1.197714604541362E-3"/>
    <n v="1.7536373684123923E-3"/>
    <n v="1.2721344711007562E-4"/>
    <n v="9.668221980365746E-5"/>
    <n v="1.4629546417658696E-5"/>
    <n v="1.3141149086470811E-3"/>
    <n v="2.4806622186464744E-4"/>
    <n v="2.2898420479813609E-5"/>
    <n v="0"/>
    <n v="4.0390269457449008E-4"/>
    <n v="6.2334589083937045E-4"/>
    <n v="3.7527966897472307E-5"/>
    <n v="1.8445949830960964E-5"/>
    <n v="0"/>
    <n v="7.8236269972696502E-5"/>
    <n v="2.7796138193551519E-4"/>
    <n v="8.777727850595217E-5"/>
  </r>
  <r>
    <x v="30"/>
    <s v="Census Tract 101, King County, Washington"/>
    <n v="2465.9453306603941"/>
    <n v="1887.3316163135378"/>
    <n v="578.61371434685634"/>
    <n v="2465.9453306603941"/>
    <n v="1887.3316163135378"/>
    <n v="578.61371434685634"/>
    <n v="847.17897528108494"/>
    <n v="61.456581449480232"/>
    <n v="46.707001901604976"/>
    <n v="7.0675068666902261"/>
    <n v="634.8464863731308"/>
    <n v="119.84033382648644"/>
    <n v="11.062184660906441"/>
    <n v="0"/>
    <n v="195.12464610209972"/>
    <n v="301.13724910245315"/>
    <n v="18.129691527596666"/>
    <n v="8.9112043101746341"/>
    <n v="0"/>
    <n v="37.795797591430343"/>
    <n v="134.2826304671143"/>
    <n v="42.405041200141362"/>
  </r>
  <r>
    <x v="31"/>
    <s v="Census Tract 101, King County, Washington"/>
    <n v="3168.9874276348037"/>
    <n v="2425.4106891629863"/>
    <n v="743.57673847181752"/>
    <n v="3168.9874276348037"/>
    <n v="2425.4106891629863"/>
    <n v="743.57673847181752"/>
    <n v="1088.7100732696765"/>
    <n v="78.977879816443703"/>
    <n v="60.023188660497219"/>
    <n v="9.082456178891027"/>
    <n v="815.84149850386348"/>
    <n v="154.00686564206524"/>
    <n v="14.216018366959867"/>
    <n v="0"/>
    <n v="250.75476841720877"/>
    <n v="386.99161110057418"/>
    <n v="23.298474545850894"/>
    <n v="11.451792573384338"/>
    <n v="0"/>
    <n v="48.57139608711288"/>
    <n v="172.5666673989295"/>
    <n v="54.494737073346158"/>
  </r>
  <r>
    <x v="32"/>
    <s v="Census Tract 101, King County, Washington"/>
    <n v="2370.1422154151237"/>
    <n v="1814.0079111625782"/>
    <n v="556.13430425254558"/>
    <n v="2370.1422154151237"/>
    <n v="1814.0079111625782"/>
    <n v="556.13430425254558"/>
    <n v="814.26568073513965"/>
    <n v="59.068964870158844"/>
    <n v="44.892413301320722"/>
    <n v="6.7929309600682677"/>
    <n v="610.1824071087409"/>
    <n v="115.18448149680975"/>
    <n v="10.632413676628593"/>
    <n v="0"/>
    <n v="187.54396346275433"/>
    <n v="289.43792786377833"/>
    <n v="17.42534463669686"/>
    <n v="8.564999906173032"/>
    <n v="0"/>
    <n v="36.327413395147694"/>
    <n v="129.06568824129707"/>
    <n v="40.757585760409604"/>
  </r>
  <r>
    <x v="33"/>
    <s v="Census Tract 102, King County, Washington"/>
    <n v="7.234564174083748E-3"/>
    <n v="6.0045299589277148E-3"/>
    <n v="1.2300342151560333E-3"/>
    <n v="7.234564174083748E-3"/>
    <n v="6.0045299589277148E-3"/>
    <n v="1.2300342151560333E-3"/>
    <n v="4.1982634988337198E-3"/>
    <n v="3.3560779100782372E-4"/>
    <n v="7.2820558426225912E-5"/>
    <n v="8.073583651603307E-5"/>
    <n v="7.2187336179041332E-4"/>
    <n v="7.9152780898071633E-5"/>
    <n v="7.9152780898071647E-6"/>
    <n v="0"/>
    <n v="6.4588669212826456E-4"/>
    <n v="6.7279863763360895E-4"/>
    <n v="0"/>
    <n v="0"/>
    <n v="8.2318892133994507E-5"/>
    <n v="3.1661112359228659E-5"/>
    <n v="2.7545167752528931E-4"/>
    <n v="3.0078056741267222E-5"/>
  </r>
  <r>
    <x v="31"/>
    <s v="Census Tract 102, King County, Washington"/>
    <n v="470.6947904913734"/>
    <n v="390.6663764406519"/>
    <n v="80.02841405072148"/>
    <n v="470.6947904913734"/>
    <n v="390.6663764406519"/>
    <n v="80.02841405072148"/>
    <n v="273.1471738256285"/>
    <n v="21.835294438549489"/>
    <n v="4.7378469064777189"/>
    <n v="5.2528302658774715"/>
    <n v="46.966482377257392"/>
    <n v="5.1498335939975206"/>
    <n v="0.51498335939975204"/>
    <n v="0"/>
    <n v="42.022642127019772"/>
    <n v="43.773585548978929"/>
    <n v="0"/>
    <n v="0"/>
    <n v="5.3558269377574215"/>
    <n v="2.0599334375990082"/>
    <n v="17.921420907111372"/>
    <n v="1.9569367657190579"/>
  </r>
  <r>
    <x v="32"/>
    <s v="Census Tract 102, King County, Washington"/>
    <n v="4081.2298794408298"/>
    <n v="3387.3314951245225"/>
    <n v="693.89838431630733"/>
    <n v="4081.2298794408298"/>
    <n v="3387.3314951245225"/>
    <n v="693.89838431630733"/>
    <n v="2368.3635974348099"/>
    <n v="189.32620009659865"/>
    <n v="41.080213228507255"/>
    <n v="45.545453796823267"/>
    <n v="407.22993983041977"/>
    <n v="44.652405683160062"/>
    <n v="4.4652405683160064"/>
    <n v="0"/>
    <n v="364.36363037458614"/>
    <n v="379.54544830686052"/>
    <n v="0"/>
    <n v="0"/>
    <n v="46.438501910486465"/>
    <n v="17.860962273264025"/>
    <n v="155.39037177739701"/>
    <n v="16.967914159600824"/>
  </r>
  <r>
    <x v="29"/>
    <s v="Census Tract 103, King County, Washington"/>
    <n v="5.5157239215460709"/>
    <n v="3.8743989601373867"/>
    <n v="1.641324961408684"/>
    <n v="5.5157239215460709"/>
    <n v="3.8743989601373867"/>
    <n v="1.641324961408684"/>
    <n v="2.0680071620025924"/>
    <n v="9.6548527141687282E-2"/>
    <n v="0.10978501876595087"/>
    <n v="0.12535736185331978"/>
    <n v="1.0503545412430335"/>
    <n v="0.59252765447438727"/>
    <n v="3.5816389100948511E-2"/>
    <n v="1.0900640161158243E-2"/>
    <n v="0.30288207304932546"/>
    <n v="0.80509013761697301"/>
    <n v="0"/>
    <n v="0"/>
    <n v="0"/>
    <n v="0"/>
    <n v="0.30755377597553613"/>
    <n v="1.0900640161158243E-2"/>
  </r>
  <r>
    <x v="33"/>
    <s v="Census Tract 103, King County, Washington"/>
    <n v="0.33874292828081864"/>
    <n v="0.23794251992170434"/>
    <n v="0.1008004083591143"/>
    <n v="0.33874292828081864"/>
    <n v="0.23794251992170434"/>
    <n v="0.1008004083591143"/>
    <n v="0.12700468909004156"/>
    <n v="5.9294357858302536E-3"/>
    <n v="6.7423423048553685E-3"/>
    <n v="7.6987029154731513E-3"/>
    <n v="6.4506523186169451E-2"/>
    <n v="3.6389521234006635E-2"/>
    <n v="2.1996294044209002E-3"/>
    <n v="6.694524274324479E-4"/>
    <n v="1.8601213876515876E-2"/>
    <n v="4.9443843568939369E-2"/>
    <n v="0"/>
    <n v="0"/>
    <n v="0"/>
    <n v="0"/>
    <n v="1.8888122059701209E-2"/>
    <n v="6.694524274324479E-4"/>
  </r>
  <r>
    <x v="31"/>
    <s v="Census Tract 103, King County, Washington"/>
    <n v="7077.9890261516921"/>
    <n v="4971.7777236209513"/>
    <n v="2106.2113025307408"/>
    <n v="7077.9890261516921"/>
    <n v="4971.7777236209513"/>
    <n v="2106.2113025307408"/>
    <n v="2653.7463090709903"/>
    <n v="123.89478250180827"/>
    <n v="140.88035752221748"/>
    <n v="160.86338695799299"/>
    <n v="1347.8553354430594"/>
    <n v="760.35427003125881"/>
    <n v="45.96096770228371"/>
    <n v="13.988120605042869"/>
    <n v="388.66992252583401"/>
    <n v="1033.1226218295949"/>
    <n v="0"/>
    <n v="0"/>
    <n v="0"/>
    <n v="0"/>
    <n v="394.66483135656665"/>
    <n v="13.988120605042869"/>
  </r>
  <r>
    <x v="32"/>
    <s v="Census Tract 103, King County, Washington"/>
    <n v="0.15650699848016664"/>
    <n v="0.10993489898889175"/>
    <n v="4.6572099491274881E-2"/>
    <n v="0.15650699848016664"/>
    <n v="0.10993489898889175"/>
    <n v="4.6572099491274881E-2"/>
    <n v="5.867907791690042E-2"/>
    <n v="2.73953526419264E-3"/>
    <n v="3.1151167117029212E-3"/>
    <n v="3.5569772381856051E-3"/>
    <n v="2.9803492511257027E-2"/>
    <n v="1.6812793032666123E-2"/>
    <n v="1.0162792109101729E-3"/>
    <n v="3.0930236853787872E-4"/>
    <n v="8.5941872400882007E-3"/>
    <n v="2.2844189219154758E-2"/>
    <n v="0"/>
    <n v="0"/>
    <n v="0"/>
    <n v="0"/>
    <n v="8.7267453980330069E-3"/>
    <n v="3.0930236853787872E-4"/>
  </r>
  <r>
    <x v="22"/>
    <s v="Census Tract 106, King County, Washington"/>
    <n v="3768.3593312732141"/>
    <n v="3357.9484386861818"/>
    <n v="410.41089258703232"/>
    <n v="3768.3593312732141"/>
    <n v="3357.9484386861818"/>
    <n v="410.41089258703232"/>
    <n v="2757.0381130460728"/>
    <n v="131.22288737622864"/>
    <n v="119.4580767838771"/>
    <n v="7.6923761565375406"/>
    <n v="78.733732425737188"/>
    <n v="35.746924492145041"/>
    <n v="24.887099329974397"/>
    <n v="5.8824052961757669"/>
    <n v="72.851327129561412"/>
    <n v="184.16453504181055"/>
    <n v="7.2398834414470974"/>
    <n v="0"/>
    <n v="65.611443688114321"/>
    <n v="39.366866212868594"/>
    <n v="232.12876284139756"/>
    <n v="6.3348980112662101"/>
  </r>
  <r>
    <x v="34"/>
    <s v="Census Tract 106, King County, Washington"/>
    <n v="2780.3764742437834"/>
    <n v="2477.5665004038324"/>
    <n v="302.80997383995094"/>
    <n v="2780.3764742437834"/>
    <n v="2477.5665004038324"/>
    <n v="302.80997383995094"/>
    <n v="2034.2019521574653"/>
    <n v="96.819065505607242"/>
    <n v="88.1387354947597"/>
    <n v="5.6756003917080111"/>
    <n v="58.091439303364346"/>
    <n v="26.374848879113699"/>
    <n v="18.36223656140827"/>
    <n v="4.3401650054237733"/>
    <n v="53.751274297940576"/>
    <n v="135.88055055442121"/>
    <n v="5.3417415451369514"/>
    <n v="0"/>
    <n v="48.409532752803621"/>
    <n v="29.045719651682173"/>
    <n v="171.26958829095349"/>
    <n v="4.6740238519948321"/>
  </r>
  <r>
    <x v="19"/>
    <s v="Census Tract 106, King County, Washington"/>
    <n v="0.22425304760600626"/>
    <n v="0.19982971497168256"/>
    <n v="2.442333263432369E-2"/>
    <n v="0.22425304760600626"/>
    <n v="0.19982971497168256"/>
    <n v="2.442333263432369E-2"/>
    <n v="0.16406986299992748"/>
    <n v="7.8090038191332631E-3"/>
    <n v="7.1088862353489018E-3"/>
    <n v="4.5776918939746713E-4"/>
    <n v="4.6854022914799582E-3"/>
    <n v="2.1272803507294061E-3"/>
    <n v="1.4810179656976879E-3"/>
    <n v="3.5005879189218078E-4"/>
    <n v="4.3353434995877767E-3"/>
    <n v="1.095953294616289E-2"/>
    <n v="4.3084159002114555E-4"/>
    <n v="0"/>
    <n v="3.9045019095666315E-3"/>
    <n v="2.3427011457399791E-3"/>
    <n v="1.381385848005298E-2"/>
    <n v="3.7698639126850235E-4"/>
  </r>
  <r>
    <x v="24"/>
    <s v="Census Tract 106, King County, Washington"/>
    <n v="1766.2455443622482"/>
    <n v="1573.8842680970515"/>
    <n v="192.36127626519684"/>
    <n v="1766.2455443622482"/>
    <n v="1573.8842680970515"/>
    <n v="192.36127626519684"/>
    <n v="1292.2351226944259"/>
    <n v="61.504707956898656"/>
    <n v="55.990492760762912"/>
    <n v="3.6054483974733693"/>
    <n v="36.902824774139191"/>
    <n v="16.754730788258598"/>
    <n v="11.664685991825607"/>
    <n v="2.7571075980678708"/>
    <n v="34.145717176071322"/>
    <n v="86.318676339509494"/>
    <n v="3.3933631976219947"/>
    <n v="0"/>
    <n v="30.752353978449328"/>
    <n v="18.451412387069595"/>
    <n v="108.7997075237552"/>
    <n v="2.9691927979192454"/>
  </r>
  <r>
    <x v="28"/>
    <s v="Census Tract 106, King County, Washington"/>
    <n v="6.8137387078049336"/>
    <n v="6.0716564542051401"/>
    <n v="0.74208225359979285"/>
    <n v="6.8137387078049336"/>
    <n v="6.0716564542051401"/>
    <n v="0.74208225359979285"/>
    <n v="4.9851236727492143"/>
    <n v="0.23726995980588744"/>
    <n v="0.21599748065087684"/>
    <n v="1.390892867827616E-2"/>
    <n v="0.14236197588353247"/>
    <n v="6.4635609740224517E-2"/>
    <n v="4.4999475135599341E-2"/>
    <n v="1.0636239577505299E-2"/>
    <n v="0.13172573630602716"/>
    <n v="0.33299611600343515"/>
    <n v="1.3090756403083445E-2"/>
    <n v="0"/>
    <n v="0.11863497990294372"/>
    <n v="7.1180987941766236E-2"/>
    <n v="0.41972237717386296"/>
    <n v="1.1454411852698014E-2"/>
  </r>
  <r>
    <x v="11"/>
    <s v="Census Tract 108, King County, Washington"/>
    <n v="5.5258330191684905E-2"/>
    <n v="4.4517978689639109E-2"/>
    <n v="1.0740351502045798E-2"/>
    <n v="5.5258330191684905E-2"/>
    <n v="4.4517978689639109E-2"/>
    <n v="1.0740351502045798E-2"/>
    <n v="2.6050355661794311E-2"/>
    <n v="1.8901239703393227E-4"/>
    <n v="1.8901239703393226E-3"/>
    <n v="0"/>
    <n v="4.4028770132610107E-3"/>
    <n v="1.5788094340481401E-3"/>
    <n v="0"/>
    <n v="0"/>
    <n v="5.3590573747267856E-3"/>
    <n v="7.7383899020951096E-3"/>
    <n v="6.5598420147070608E-4"/>
    <n v="5.5591881480568318E-4"/>
    <n v="1.3675602844219806E-3"/>
    <n v="2.2236752592227326E-5"/>
    <n v="4.7920201836249886E-3"/>
    <n v="6.5598420147070608E-4"/>
  </r>
  <r>
    <x v="35"/>
    <s v="Census Tract 108, King County, Washington"/>
    <n v="4.4716878611664699"/>
    <n v="3.6025428966017192"/>
    <n v="0.86914496456475043"/>
    <n v="4.4716878611664699"/>
    <n v="3.6025428966017192"/>
    <n v="0.86914496456475043"/>
    <n v="2.1080814202641927"/>
    <n v="1.5295511798758548E-2"/>
    <n v="0.15295511798758549"/>
    <n v="0"/>
    <n v="0.35629545131225793"/>
    <n v="0.12776251031904198"/>
    <n v="0"/>
    <n v="0"/>
    <n v="0.43367274629421293"/>
    <n v="0.6262162477609382"/>
    <n v="5.3084423301573785E-2"/>
    <n v="4.4986799408113377E-2"/>
    <n v="0.11066752654395891"/>
    <n v="1.7994719763245351E-3"/>
    <n v="0.3877862108979373"/>
    <n v="5.3084423301573785E-2"/>
  </r>
  <r>
    <x v="36"/>
    <s v="Census Tract 108, King County, Washington"/>
    <n v="4.7725250240330173"/>
    <n v="3.8449074841505437"/>
    <n v="0.92761753988247375"/>
    <n v="4.7725250240330173"/>
    <n v="3.8449074841505437"/>
    <n v="0.92761753988247375"/>
    <n v="2.2499046541869938"/>
    <n v="1.6324532275364446E-2"/>
    <n v="0.16324532275364445"/>
    <n v="0"/>
    <n v="0.38026557535554828"/>
    <n v="0.13635785782951479"/>
    <n v="0"/>
    <n v="0"/>
    <n v="0.46284850333680372"/>
    <n v="0.6683455566855091"/>
    <n v="5.6655729661558962E-2"/>
    <n v="4.8013330221660135E-2"/>
    <n v="0.11811279234528393"/>
    <n v="1.9205332088664054E-3"/>
    <n v="0.41387490651071035"/>
    <n v="5.6655729661558962E-2"/>
  </r>
  <r>
    <x v="26"/>
    <s v="Census Tract 108, King County, Washington"/>
    <n v="348.17400754280283"/>
    <n v="280.50074973870875"/>
    <n v="67.673257804094064"/>
    <n v="348.17400754280283"/>
    <n v="280.50074973870875"/>
    <n v="67.673257804094064"/>
    <n v="164.13917498446418"/>
    <n v="1.1909372491403718"/>
    <n v="11.909372491403719"/>
    <n v="0"/>
    <n v="27.741832391740424"/>
    <n v="9.9478287869372224"/>
    <n v="0"/>
    <n v="0"/>
    <n v="33.76657376974466"/>
    <n v="48.758372082452865"/>
    <n v="4.1332528058401135"/>
    <n v="3.5027566151187406"/>
    <n v="8.6167812731921014"/>
    <n v="0.14011026460474962"/>
    <n v="30.193762022323543"/>
    <n v="4.1332528058401135"/>
  </r>
  <r>
    <x v="27"/>
    <s v="Census Tract 108, King County, Washington"/>
    <n v="3684.1015705338064"/>
    <n v="2968.036758232869"/>
    <n v="716.06481230093698"/>
    <n v="3684.1015705338064"/>
    <n v="2968.036758232869"/>
    <n v="716.06481230093698"/>
    <n v="1736.7907403945087"/>
    <n v="12.601554667821873"/>
    <n v="126.01554667821873"/>
    <n v="0"/>
    <n v="293.54209696808596"/>
    <n v="105.26004487239446"/>
    <n v="0"/>
    <n v="0"/>
    <n v="357.29113822883193"/>
    <n v="515.92247345906014"/>
    <n v="43.734807376558265"/>
    <n v="37.063396081829033"/>
    <n v="91.175954361299432"/>
    <n v="1.4825358432731615"/>
    <n v="319.48647422536629"/>
    <n v="43.734807376558265"/>
  </r>
  <r>
    <x v="28"/>
    <s v="Census Tract 108, King County, Washington"/>
    <n v="0.79675473935330532"/>
    <n v="0.64189255057759254"/>
    <n v="0.15486218877571287"/>
    <n v="0.79675473935330532"/>
    <n v="0.64189255057759254"/>
    <n v="0.15486218877571287"/>
    <n v="0.37561294855227251"/>
    <n v="2.7253180219328353E-3"/>
    <n v="2.7253180219328352E-2"/>
    <n v="0"/>
    <n v="6.3483878628553106E-2"/>
    <n v="2.2764421124380152E-2"/>
    <n v="0"/>
    <n v="0"/>
    <n v="7.7270781563036864E-2"/>
    <n v="0.11157772607442666"/>
    <n v="9.4584566643551339E-3"/>
    <n v="8.0156412409789265E-3"/>
    <n v="1.9718477452808161E-2"/>
    <n v="3.2062564963915709E-4"/>
    <n v="6.9094827497238345E-2"/>
    <n v="9.4584566643551339E-3"/>
  </r>
  <r>
    <x v="37"/>
    <s v="Census Tract 108, King County, Washington"/>
    <n v="0.36205334374544845"/>
    <n v="0.29168241214422047"/>
    <n v="7.0370931601228009E-2"/>
    <n v="0.36205334374544845"/>
    <n v="0.29168241214422047"/>
    <n v="7.0370931601228009E-2"/>
    <n v="0.17068229062285428"/>
    <n v="1.2384118397731638E-3"/>
    <n v="1.2384118397731637E-2"/>
    <n v="0"/>
    <n v="2.884771109118664E-2"/>
    <n v="1.0344381249869956E-2"/>
    <n v="0"/>
    <n v="0"/>
    <n v="3.5112618045333228E-2"/>
    <n v="5.0702037675418941E-2"/>
    <n v="4.2980175615656858E-3"/>
    <n v="3.6423877640387168E-3"/>
    <n v="8.9602738995352444E-3"/>
    <n v="1.4569551056154868E-4"/>
    <n v="3.1397382526013741E-2"/>
    <n v="4.2980175615656858E-3"/>
  </r>
  <r>
    <x v="21"/>
    <s v="Census Tract 108, King County, Washington"/>
    <n v="840.34218144881811"/>
    <n v="677.00806730806187"/>
    <n v="163.33411414075618"/>
    <n v="840.34218144881811"/>
    <n v="677.00806730806187"/>
    <n v="163.33411414075618"/>
    <n v="396.16131411158563"/>
    <n v="2.8744098761830799"/>
    <n v="28.744098761830799"/>
    <n v="0"/>
    <n v="66.956841821676448"/>
    <n v="24.009776612823373"/>
    <n v="0"/>
    <n v="0"/>
    <n v="81.49797413648497"/>
    <n v="117.68172198961315"/>
    <n v="9.9758930996942183"/>
    <n v="8.4541466946561172"/>
    <n v="20.797200868854048"/>
    <n v="0.33816586778624469"/>
    <n v="72.874744507935731"/>
    <n v="9.9758930996942183"/>
  </r>
  <r>
    <x v="38"/>
    <s v="Census Tract 108, King County, Washington"/>
    <n v="63.549907984672181"/>
    <n v="51.197954038355611"/>
    <n v="12.351953946316565"/>
    <n v="63.549907984672181"/>
    <n v="51.197954038355611"/>
    <n v="12.351953946316565"/>
    <n v="29.959242335631171"/>
    <n v="0.21737393073227909"/>
    <n v="2.1737393073227906"/>
    <n v="0"/>
    <n v="5.0635339158813242"/>
    <n v="1.8157116567049194"/>
    <n v="0"/>
    <n v="0"/>
    <n v="6.1631902713505013"/>
    <n v="8.8995444582156615"/>
    <n v="0.75441540665908624"/>
    <n v="0.63933509038905612"/>
    <n v="1.572764322357078"/>
    <n v="2.5573403615562245E-2"/>
    <n v="5.5110684791536642"/>
    <n v="0.75441540665908624"/>
  </r>
  <r>
    <x v="21"/>
    <s v="Census Tract 109, King County, Washington"/>
    <n v="33.20490739214037"/>
    <n v="32.28343149321973"/>
    <n v="0.92147589892064186"/>
    <n v="33.20490739214037"/>
    <n v="32.28343149321973"/>
    <n v="0.92147589892064186"/>
    <n v="25.5153498908026"/>
    <n v="0.66727565094253372"/>
    <n v="0.79437577493158773"/>
    <n v="0"/>
    <n v="0.57195055795074323"/>
    <n v="0"/>
    <n v="0.19065018598358108"/>
    <n v="0"/>
    <n v="0.60372558894800665"/>
    <n v="0.25420024797810808"/>
    <n v="0.57195055795074323"/>
    <n v="0"/>
    <n v="1.9700519218303376"/>
    <n v="0"/>
    <n v="2.0653770148221282"/>
    <n v="0"/>
  </r>
  <r>
    <x v="39"/>
    <s v="Census Tract 109, King County, Washington"/>
    <n v="1007.5665173900059"/>
    <n v="979.60534130932626"/>
    <n v="27.961176080679586"/>
    <n v="1007.5665173900059"/>
    <n v="979.60534130932626"/>
    <n v="27.961176080679586"/>
    <n v="774.23532388916237"/>
    <n v="20.247748196354184"/>
    <n v="24.104462138516887"/>
    <n v="0"/>
    <n v="17.355212739732156"/>
    <n v="0"/>
    <n v="5.7850709132440521"/>
    <n v="0"/>
    <n v="18.319391225272835"/>
    <n v="7.7134278843254034"/>
    <n v="17.355212739732156"/>
    <n v="0"/>
    <n v="59.779066103521878"/>
    <n v="0"/>
    <n v="62.671601560143905"/>
    <n v="0"/>
  </r>
  <r>
    <x v="29"/>
    <s v="Census Tract 109, King County, Washington"/>
    <n v="0.700172103248073"/>
    <n v="0.68074148985649963"/>
    <n v="1.9430613391573318E-2"/>
    <n v="0.700172103248073"/>
    <n v="0.68074148985649963"/>
    <n v="1.9430613391573318E-2"/>
    <n v="0.53802698460115084"/>
    <n v="1.4070444180104816E-2"/>
    <n v="1.6750528785839068E-2"/>
    <n v="0"/>
    <n v="1.2060380725804128E-2"/>
    <n v="0"/>
    <n v="4.0201269086013762E-3"/>
    <n v="0"/>
    <n v="1.2730401877237691E-2"/>
    <n v="5.3601692114685013E-3"/>
    <n v="1.2060380725804128E-2"/>
    <n v="0"/>
    <n v="4.1541311388880883E-2"/>
    <n v="0"/>
    <n v="4.355137484318157E-2"/>
    <n v="0"/>
  </r>
  <r>
    <x v="40"/>
    <s v="Census Tract 109, King County, Washington"/>
    <n v="0.42163565265358238"/>
    <n v="0.40993475894357861"/>
    <n v="1.1700893710003721E-2"/>
    <n v="0.42163565265358238"/>
    <n v="0.40993475894357861"/>
    <n v="1.1700893710003721E-2"/>
    <n v="0.32399371203906857"/>
    <n v="8.4730609624164878E-3"/>
    <n v="1.0086977336210104E-2"/>
    <n v="0"/>
    <n v="7.2626236820712755E-3"/>
    <n v="0"/>
    <n v="2.420874560690425E-3"/>
    <n v="0"/>
    <n v="7.666102775519679E-3"/>
    <n v="3.2278327475872334E-3"/>
    <n v="7.2626236820712755E-3"/>
    <n v="0"/>
    <n v="2.501570379380106E-2"/>
    <n v="0"/>
    <n v="2.622614107414627E-2"/>
    <n v="0"/>
  </r>
  <r>
    <x v="33"/>
    <s v="Census Tract 118, King County, Washington"/>
    <n v="8.6974539459392926"/>
    <n v="5.2060695811879052"/>
    <n v="3.4913843647513882"/>
    <n v="8.6974539459392926"/>
    <n v="5.2060695811879052"/>
    <n v="3.4913843647513882"/>
    <n v="1.6712754641216681"/>
    <n v="7.0282456128802365E-2"/>
    <n v="0.29353261089088051"/>
    <n v="0.14986700203935799"/>
    <n v="1.6454363258390201"/>
    <n v="1.0439011866189765"/>
    <n v="3.4107662533095266E-2"/>
    <n v="1.8604179563506511E-2"/>
    <n v="0.49197719290161657"/>
    <n v="1.6226978841502899"/>
    <n v="0"/>
    <n v="0"/>
    <n v="0.17053831266547634"/>
    <n v="0.52401772437210004"/>
    <n v="0.89920201223614793"/>
    <n v="6.2013931878355029E-2"/>
  </r>
  <r>
    <x v="41"/>
    <s v="Census Tract 118, King County, Washington"/>
    <n v="5378.4485308774329"/>
    <n v="3219.3993166998966"/>
    <n v="2159.0492141775367"/>
    <n v="5378.4485308774329"/>
    <n v="3219.3993166998966"/>
    <n v="2159.0492141775367"/>
    <n v="1033.5057961293892"/>
    <n v="43.462210350524714"/>
    <n v="181.51864322866203"/>
    <n v="92.676772070971808"/>
    <n v="1017.5270423240491"/>
    <n v="645.54165373573471"/>
    <n v="21.091955023048758"/>
    <n v="11.504702739844777"/>
    <n v="304.23547245367297"/>
    <n v="1003.46573897535"/>
    <n v="0"/>
    <n v="0"/>
    <n v="105.45977511524379"/>
    <n v="324.04912717229456"/>
    <n v="556.06063242583093"/>
    <n v="38.349009132815922"/>
  </r>
  <r>
    <x v="42"/>
    <s v="Census Tract 118, King County, Washington"/>
    <n v="3008.421501886337"/>
    <n v="1800.7628169936399"/>
    <n v="1207.6586848926972"/>
    <n v="3008.421501886337"/>
    <n v="1800.7628169936399"/>
    <n v="1207.6586848926972"/>
    <n v="578.08883761737457"/>
    <n v="24.310476782919896"/>
    <n v="101.53199126984191"/>
    <n v="51.838516669461541"/>
    <n v="569.15116232953642"/>
    <n v="361.08208162866316"/>
    <n v="11.79773137994642"/>
    <n v="6.4351262072435018"/>
    <n v="170.17333748043927"/>
    <n v="561.28600807623877"/>
    <n v="0"/>
    <n v="0"/>
    <n v="58.988656899732099"/>
    <n v="181.25605483735862"/>
    <n v="311.03110001676924"/>
    <n v="21.450420690811672"/>
  </r>
  <r>
    <x v="32"/>
    <s v="Census Tract 118, King County, Washington"/>
    <n v="7.1862416218501055"/>
    <n v="4.3014972132215066"/>
    <n v="2.8847444086285985"/>
    <n v="7.1862416218501055"/>
    <n v="4.3014972132215066"/>
    <n v="2.8847444086285985"/>
    <n v="1.3808856449829614"/>
    <n v="5.8070639368485701E-2"/>
    <n v="0.24253031736249911"/>
    <n v="0.12382709865338863"/>
    <n v="1.3595361452151358"/>
    <n v="0.86251979062015527"/>
    <n v="2.8181339693529824E-2"/>
    <n v="1.537163983283445E-2"/>
    <n v="0.40649447557939988"/>
    <n v="1.3407485854194492"/>
    <n v="0"/>
    <n v="0"/>
    <n v="0.14090669846764914"/>
    <n v="0.43296785529150367"/>
    <n v="0.74296259192033176"/>
    <n v="5.1238799442781501E-2"/>
  </r>
  <r>
    <x v="29"/>
    <s v="Census Tract 111.01, King County, Washington"/>
    <n v="4.987810207962232"/>
    <n v="2.8014104672609892"/>
    <n v="2.1863997407012428"/>
    <n v="4.987810207962232"/>
    <n v="2.8014104672609892"/>
    <n v="2.1863997407012428"/>
    <n v="0.902381810101057"/>
    <n v="9.6095426024960434E-2"/>
    <n v="9.6095426024960434E-2"/>
    <n v="1.7388696137849984E-2"/>
    <n v="0.83191183101608601"/>
    <n v="0.42098948544268378"/>
    <n v="3.8438170409984172E-2"/>
    <n v="6.4063617349973626E-3"/>
    <n v="0.49878102079622322"/>
    <n v="1.5832865430779195"/>
    <n v="1.5558307070707879E-2"/>
    <n v="2.9286225074273656E-2"/>
    <n v="5.0335699346407844E-2"/>
    <n v="2.5625446939989451E-2"/>
    <n v="0.36790820249556277"/>
    <n v="7.3215562685684139E-3"/>
  </r>
  <r>
    <x v="43"/>
    <s v="Census Tract 111.01, King County, Washington"/>
    <n v="4.5821032482261685"/>
    <n v="2.5735445950128994"/>
    <n v="2.0085586532132691"/>
    <n v="4.5821032482261685"/>
    <n v="2.5735445950128994"/>
    <n v="2.0085586532132691"/>
    <n v="0.82898234912862434"/>
    <n v="8.8279053406192243E-2"/>
    <n v="8.8279053406192243E-2"/>
    <n v="1.5974304902072883E-2"/>
    <n v="0.76424437663074996"/>
    <n v="0.38674632920808028"/>
    <n v="3.5311621362476897E-2"/>
    <n v="5.8852702270794826E-3"/>
    <n v="0.45821032482261687"/>
    <n v="1.4545024989782149"/>
    <n v="1.4292799122907315E-2"/>
    <n v="2.6904092466649064E-2"/>
    <n v="4.6241408927053078E-2"/>
    <n v="2.354108090831793E-2"/>
    <n v="0.33798266161227886"/>
    <n v="6.726023116662266E-3"/>
  </r>
  <r>
    <x v="33"/>
    <s v="Census Tract 111.01, King County, Washington"/>
    <n v="5439.6903198054233"/>
    <n v="3055.2095539310831"/>
    <n v="2384.4807658743407"/>
    <n v="5439.6903198054233"/>
    <n v="3055.2095539310831"/>
    <n v="2384.4807658743407"/>
    <n v="984.13479914277934"/>
    <n v="104.80137313386597"/>
    <n v="104.80137313386597"/>
    <n v="18.964057995651935"/>
    <n v="907.28045884461096"/>
    <n v="459.12982515788894"/>
    <n v="41.920549253546383"/>
    <n v="6.9867582089243969"/>
    <n v="543.96903198054235"/>
    <n v="1726.7273859198867"/>
    <n v="16.967841364530678"/>
    <n v="31.939466097940102"/>
    <n v="54.895957355834547"/>
    <n v="27.947032835697588"/>
    <n v="401.23954285537252"/>
    <n v="7.9848665244850254"/>
  </r>
  <r>
    <x v="41"/>
    <s v="Census Tract 111.01, King County, Washington"/>
    <n v="0.43948626285883025"/>
    <n v="0.24683806433227143"/>
    <n v="0.19264819852655879"/>
    <n v="0.43948626285883025"/>
    <n v="0.24683806433227143"/>
    <n v="0.19264819852655879"/>
    <n v="7.9510725720881942E-2"/>
    <n v="8.4671665321426007E-3"/>
    <n v="8.4671665321426007E-3"/>
    <n v="1.5321539439115182E-3"/>
    <n v="7.3301470263977375E-2"/>
    <n v="3.7094253378910438E-2"/>
    <n v="3.3868666128570404E-3"/>
    <n v="5.6447776880950669E-4"/>
    <n v="4.3948626285883023E-2"/>
    <n v="0.13950664857720665"/>
    <n v="1.3708745813945163E-3"/>
    <n v="2.5804698002720307E-3"/>
    <n v="4.435182469217553E-3"/>
    <n v="2.2579110752380268E-3"/>
    <n v="3.2417151865917385E-2"/>
    <n v="6.4511745006800767E-4"/>
  </r>
  <r>
    <x v="31"/>
    <s v="Census Tract 111.01, King County, Washington"/>
    <n v="0.30029468842027651"/>
    <n v="0.16866092500081953"/>
    <n v="0.13163376341945698"/>
    <n v="0.30029468842027651"/>
    <n v="0.16866092500081953"/>
    <n v="0.13163376341945698"/>
    <n v="5.4328543629796819E-2"/>
    <n v="5.7854939970878958E-3"/>
    <n v="5.7854939970878958E-3"/>
    <n v="1.0468989137587621E-3"/>
    <n v="5.0085848031932362E-2"/>
    <n v="2.5345973701527927E-2"/>
    <n v="2.3141975988351586E-3"/>
    <n v="3.8569959980585975E-4"/>
    <n v="3.0029468842027653E-2"/>
    <n v="9.5322901094876761E-2"/>
    <n v="9.3669902809994515E-4"/>
    <n v="1.7631981705410731E-3"/>
    <n v="3.0304968556174694E-3"/>
    <n v="1.542798399223439E-3"/>
    <n v="2.215017701742223E-2"/>
    <n v="4.4079954263526828E-4"/>
  </r>
  <r>
    <x v="42"/>
    <s v="Census Tract 119, King County, Washington"/>
    <n v="3540.605485817548"/>
    <n v="2604.3047854085112"/>
    <n v="936.30070040903695"/>
    <n v="3540.605485817548"/>
    <n v="2604.3047854085112"/>
    <n v="936.30070040903695"/>
    <n v="781.57106748927572"/>
    <n v="67.111648013390408"/>
    <n v="117.91143713463731"/>
    <n v="59.188745122920707"/>
    <n v="812.33057282874631"/>
    <n v="48.469523565226403"/>
    <n v="49.401629787634604"/>
    <n v="0"/>
    <n v="529.90238743906173"/>
    <n v="750.34550903860111"/>
    <n v="119.77564957945371"/>
    <n v="11.185274668898401"/>
    <n v="21.904496226592702"/>
    <n v="0"/>
    <n v="171.50754492310881"/>
    <n v="0"/>
  </r>
  <r>
    <x v="44"/>
    <s v="Census Tract 119, King County, Washington"/>
    <n v="3965.3473331036021"/>
    <n v="2916.7251411587376"/>
    <n v="1048.6221919448647"/>
    <n v="3965.3473331036021"/>
    <n v="2916.7251411587376"/>
    <n v="1048.6221919448647"/>
    <n v="875.33071970708704"/>
    <n v="75.162566271807123"/>
    <n v="132.0564532414389"/>
    <n v="66.28920775360767"/>
    <n v="909.78022924833203"/>
    <n v="54.284075640749585"/>
    <n v="55.328000172302467"/>
    <n v="0"/>
    <n v="593.47109618781042"/>
    <n v="840.35924790006572"/>
    <n v="134.14430230454465"/>
    <n v="12.527094378634519"/>
    <n v="24.532226491492601"/>
    <n v="0"/>
    <n v="192.08211380572931"/>
    <n v="0"/>
  </r>
  <r>
    <x v="45"/>
    <s v="Census Tract 120, King County, Washington"/>
    <n v="3583.0511021110383"/>
    <n v="3350.1280014205558"/>
    <n v="232.92310069048241"/>
    <n v="3583.0511021110383"/>
    <n v="3350.1280014205558"/>
    <n v="232.92310069048241"/>
    <n v="2628.561970345359"/>
    <n v="153.63013024265862"/>
    <n v="58.478565705270057"/>
    <n v="10.902783436575774"/>
    <n v="228.95845216809124"/>
    <n v="28.743701787336128"/>
    <n v="98.125050929181953"/>
    <n v="0"/>
    <n v="50.549268660487677"/>
    <n v="27.752539656738332"/>
    <n v="22.796729003749345"/>
    <n v="0"/>
    <n v="59.469727835867857"/>
    <n v="0"/>
    <n v="203.18823677254849"/>
    <n v="11.893945567173571"/>
  </r>
  <r>
    <x v="46"/>
    <s v="Census Tract 120, King County, Washington"/>
    <n v="29.562416541175573"/>
    <n v="27.640655023284491"/>
    <n v="1.9217615178910816"/>
    <n v="29.562416541175573"/>
    <n v="27.640655023284491"/>
    <n v="1.9217615178910816"/>
    <n v="21.687283172115524"/>
    <n v="1.2675448309494368"/>
    <n v="0.48248480661946302"/>
    <n v="8.9954794454476156E-2"/>
    <n v="1.8890506835439993"/>
    <n v="0.23715354901634622"/>
    <n v="0.80959315009028543"/>
    <n v="0"/>
    <n v="0.41706313792529853"/>
    <n v="0.22897584042957567"/>
    <n v="0.18808729749572287"/>
    <n v="0"/>
    <n v="0.49066251520623361"/>
    <n v="0"/>
    <n v="1.6764302602879648"/>
    <n v="9.813250304124671E-2"/>
  </r>
  <r>
    <x v="47"/>
    <s v="Census Tract 120, King County, Washington"/>
    <n v="3.8052698587806487E-2"/>
    <n v="3.557901002124092E-2"/>
    <n v="2.473688566565567E-3"/>
    <n v="3.8052698587806487E-2"/>
    <n v="3.557901002124092E-2"/>
    <n v="2.473688566565567E-3"/>
    <n v="2.7915838632050567E-2"/>
    <n v="1.631581820500693E-3"/>
    <n v="6.2105372522284444E-4"/>
    <n v="1.1578967758392015E-4"/>
    <n v="2.4315832292623233E-3"/>
    <n v="3.0526369544851676E-4"/>
    <n v="1.0421070982552813E-3"/>
    <n v="0"/>
    <n v="5.3684305061635709E-4"/>
    <n v="2.9473736112270584E-4"/>
    <n v="2.4210568949365122E-4"/>
    <n v="0"/>
    <n v="6.3158005954865536E-4"/>
    <n v="0"/>
    <n v="2.1578985367912392E-3"/>
    <n v="1.2631601190973108E-4"/>
  </r>
  <r>
    <x v="35"/>
    <s v="Census Tract 112, King County, Washington"/>
    <n v="3641.6956504183017"/>
    <n v="2843.6365068068699"/>
    <n v="798.05914361143209"/>
    <n v="3641.6956504183017"/>
    <n v="2843.6365068068699"/>
    <n v="798.05914361143209"/>
    <n v="1139.8047155382908"/>
    <n v="77.357880178286052"/>
    <n v="322.16129846400139"/>
    <n v="122.40170914285768"/>
    <n v="164.50789708800073"/>
    <n v="31.334837540571566"/>
    <n v="16.646632443428643"/>
    <n v="0"/>
    <n v="107.71350404571476"/>
    <n v="246.7618456320011"/>
    <n v="57.773606715428826"/>
    <n v="94.983726294857561"/>
    <n v="297.68095663542988"/>
    <n v="216.40622176457239"/>
    <n v="737.34789587657463"/>
    <n v="8.8129230582857527"/>
  </r>
  <r>
    <x v="36"/>
    <s v="Census Tract 112, King County, Washington"/>
    <n v="40.73495074122475"/>
    <n v="31.808092754105047"/>
    <n v="8.9268579871197016"/>
    <n v="40.73495074122475"/>
    <n v="31.808092754105047"/>
    <n v="8.9268579871197016"/>
    <n v="12.749524781604089"/>
    <n v="0.8653027987514802"/>
    <n v="3.6036027948004685"/>
    <n v="1.3691499980244941"/>
    <n v="1.8401375973449201"/>
    <n v="0.35050239949427048"/>
    <n v="0.18620439973133118"/>
    <n v="0"/>
    <n v="1.2048519982615549"/>
    <n v="2.7602063960173799"/>
    <n v="0.64623879906756121"/>
    <n v="1.0624603984670073"/>
    <n v="3.3297727951955696"/>
    <n v="2.4206571965073054"/>
    <n v="8.2477595880995516"/>
    <n v="9.8578799857763577E-2"/>
  </r>
  <r>
    <x v="21"/>
    <s v="Census Tract 112, King County, Washington"/>
    <n v="8.5647637269575778"/>
    <n v="6.687839167272065"/>
    <n v="1.876924559685514"/>
    <n v="8.5647637269575778"/>
    <n v="6.687839167272065"/>
    <n v="1.876924559685514"/>
    <n v="2.6806628067164886"/>
    <n v="0.18193501866890258"/>
    <n v="0.75767874863378415"/>
    <n v="0.28787186498244077"/>
    <n v="0.38689978653640045"/>
    <n v="7.3695197435504844E-2"/>
    <n v="3.915057363761195E-2"/>
    <n v="0"/>
    <n v="0.25332724118454791"/>
    <n v="0.58034967980460062"/>
    <n v="0.13587552027171207"/>
    <n v="0.22338856722637407"/>
    <n v="0.70010437563729599"/>
    <n v="0.50895745728895536"/>
    <n v="1.7341401146542235"/>
    <n v="2.0726774278735739E-2"/>
  </r>
  <r>
    <x v="35"/>
    <s v="Census Tract 113, King County, Washington"/>
    <n v="43.202812989662092"/>
    <n v="33.164620405304824"/>
    <n v="10.038192584357267"/>
    <n v="43.202812989662092"/>
    <n v="33.164620405304824"/>
    <n v="10.038192584357267"/>
    <n v="17.240702943847289"/>
    <n v="2.4559580392478733"/>
    <n v="0.58183544570710222"/>
    <n v="0.87581546038016433"/>
    <n v="2.2783451137162318"/>
    <n v="0.18986209280968597"/>
    <n v="0.25110792919990726"/>
    <n v="7.3495003668265529E-2"/>
    <n v="4.5750639783495295"/>
    <n v="4.1279693727009139"/>
    <n v="0.11024250550239831"/>
    <n v="0"/>
    <n v="0.33685210014621703"/>
    <n v="1.200418393248337"/>
    <n v="7.7904703888361473"/>
    <n v="1.1146742223020274"/>
  </r>
  <r>
    <x v="36"/>
    <s v="Census Tract 113, King County, Washington"/>
    <n v="6992.1182470095491"/>
    <n v="5367.4964995118671"/>
    <n v="1624.6217474976825"/>
    <n v="6992.1182470095491"/>
    <n v="5367.4964995118671"/>
    <n v="1624.6217474976825"/>
    <n v="2790.3051978071849"/>
    <n v="397.48219691676064"/>
    <n v="94.16660525459416"/>
    <n v="141.74552159375753"/>
    <n v="368.7366016285161"/>
    <n v="30.728050135709672"/>
    <n v="40.640324373035376"/>
    <n v="11.894729084790841"/>
    <n v="740.44688552822993"/>
    <n v="668.0872835957523"/>
    <n v="17.842093627186262"/>
    <n v="0"/>
    <n v="54.517508305291358"/>
    <n v="194.28057505158375"/>
    <n v="1260.8412829878291"/>
    <n v="180.40339111932775"/>
  </r>
  <r>
    <x v="27"/>
    <s v="Census Tract 113, King County, Washington"/>
    <n v="1.4113063270494053"/>
    <n v="1.083388681736962"/>
    <n v="0.32791764531244333"/>
    <n v="1.4113063270494053"/>
    <n v="1.083388681736962"/>
    <n v="0.32791764531244333"/>
    <n v="0.56320205708024895"/>
    <n v="8.022878326436228E-2"/>
    <n v="1.9006818977841438E-2"/>
    <n v="2.8610264356119217E-2"/>
    <n v="7.4426701681652788E-2"/>
    <n v="6.2022251401377326E-3"/>
    <n v="8.2029429272789372E-3"/>
    <n v="2.4008613445694448E-3"/>
    <n v="0.14945361869944795"/>
    <n v="0.13484837885331716"/>
    <n v="3.6012920168541672E-3"/>
    <n v="0"/>
    <n v="1.1003947829276623E-2"/>
    <n v="3.9214068627967599E-2"/>
    <n v="0.25449130252436114"/>
    <n v="3.6413063725969912E-2"/>
  </r>
  <r>
    <x v="37"/>
    <s v="Census Tract 113, King County, Washington"/>
    <n v="15.877574840883536"/>
    <n v="12.188413348934555"/>
    <n v="3.6891614919489815"/>
    <n v="15.877574840883536"/>
    <n v="12.188413348934555"/>
    <n v="3.6891614919489815"/>
    <n v="6.3361742524932172"/>
    <n v="0.90259533756652932"/>
    <n v="0.21383181313920271"/>
    <n v="0.32187315030427355"/>
    <n v="0.83732036302929902"/>
    <n v="6.9776696919108247E-2"/>
    <n v="9.2285308828498003E-2"/>
    <n v="2.7010334291267708E-2"/>
    <n v="1.6813933096314149"/>
    <n v="1.5170804426928697"/>
    <n v="4.0515501436901566E-2"/>
    <n v="0"/>
    <n v="0.12379736550164368"/>
    <n v="0.44116879342403925"/>
    <n v="2.8630954348743773"/>
    <n v="0.40965673675089359"/>
  </r>
  <r>
    <x v="21"/>
    <s v="Census Tract 113, King County, Washington"/>
    <n v="0.3286715474900983"/>
    <n v="0.25230456899048515"/>
    <n v="7.6366978499613145E-2"/>
    <n v="0.3286715474900983"/>
    <n v="0.25230456899048515"/>
    <n v="7.6366978499613145E-2"/>
    <n v="0.13116110096181269"/>
    <n v="1.8684050261345252E-2"/>
    <n v="4.426395947201494E-3"/>
    <n v="6.662890741576985E-3"/>
    <n v="1.733283465641006E-2"/>
    <n v="1.4444028880341716E-3"/>
    <n v="1.9103393035290656E-3"/>
    <n v="5.5912369859387287E-4"/>
    <n v="3.4805450237468588E-2"/>
    <n v="3.1404114404355858E-2"/>
    <n v="8.3868554789080937E-4"/>
    <n v="0"/>
    <n v="2.5626502852219173E-3"/>
    <n v="9.1323537436999239E-3"/>
    <n v="5.9267112050950525E-2"/>
    <n v="8.4800427620070722E-3"/>
  </r>
  <r>
    <x v="45"/>
    <s v="Census Tract 121, King County, Washington"/>
    <n v="1553.2864210350745"/>
    <n v="1365.4688365163761"/>
    <n v="187.81758451869845"/>
    <n v="1553.2864210350745"/>
    <n v="1365.4688365163761"/>
    <n v="187.81758451869845"/>
    <n v="1136.2380578957286"/>
    <n v="47.829322765631289"/>
    <n v="47.246038341660174"/>
    <n v="0"/>
    <n v="27.997652350613436"/>
    <n v="29.164221198555662"/>
    <n v="15.165395023248944"/>
    <n v="0"/>
    <n v="18.081817143104509"/>
    <n v="21.581523686931192"/>
    <n v="0"/>
    <n v="68.244277604620251"/>
    <n v="38.496771982093478"/>
    <n v="20.998239262960077"/>
    <n v="82.243103779926969"/>
    <n v="0"/>
  </r>
  <r>
    <x v="46"/>
    <s v="Census Tract 121, King County, Washington"/>
    <n v="1101.4032356024281"/>
    <n v="968.22567575864969"/>
    <n v="133.1775598437784"/>
    <n v="1101.4032356024281"/>
    <n v="968.22567575864969"/>
    <n v="133.1775598437784"/>
    <n v="805.68287756422455"/>
    <n v="33.914782320465306"/>
    <n v="33.501187414118164"/>
    <n v="0"/>
    <n v="19.852555504662618"/>
    <n v="20.679745317356893"/>
    <n v="10.753467565025584"/>
    <n v="0"/>
    <n v="12.821442096761274"/>
    <n v="15.303011534844101"/>
    <n v="0"/>
    <n v="48.390604042615131"/>
    <n v="27.297263818911098"/>
    <n v="14.889416628496964"/>
    <n v="58.31688179494644"/>
    <n v="0"/>
  </r>
  <r>
    <x v="4"/>
    <s v="Census Tract 74.01, King County, Washington"/>
    <n v="5192"/>
    <n v="4250"/>
    <n v="942"/>
    <n v="5192"/>
    <n v="4250"/>
    <n v="942"/>
    <n v="3245"/>
    <n v="382"/>
    <n v="275"/>
    <n v="67"/>
    <n v="74"/>
    <n v="21"/>
    <n v="0"/>
    <n v="0"/>
    <n v="302"/>
    <n v="440"/>
    <n v="0"/>
    <n v="0"/>
    <n v="17"/>
    <n v="0"/>
    <n v="337"/>
    <n v="32"/>
  </r>
  <r>
    <x v="34"/>
    <s v="Census Tract 115, King County, Washington"/>
    <n v="1088.1584128666591"/>
    <n v="961.64553699842509"/>
    <n v="126.51287586823408"/>
    <n v="1088.1584128666591"/>
    <n v="961.64553699842509"/>
    <n v="126.51287586823408"/>
    <n v="784.42905718299994"/>
    <n v="57.34922194026953"/>
    <n v="6.8917519928220896"/>
    <n v="7.6301539920530272"/>
    <n v="52.180407945652966"/>
    <n v="0"/>
    <n v="0"/>
    <n v="0"/>
    <n v="61.533499935911514"/>
    <n v="37.658501960777848"/>
    <n v="0"/>
    <n v="0"/>
    <n v="5.661081994103859"/>
    <n v="18.213915981029807"/>
    <n v="50.949737946934732"/>
    <n v="5.661081994103859"/>
  </r>
  <r>
    <x v="46"/>
    <s v="Census Tract 115, King County, Washington"/>
    <n v="608.97539880103159"/>
    <n v="538.17391610848915"/>
    <n v="70.801482692542464"/>
    <n v="608.97539880103159"/>
    <n v="538.17391610848915"/>
    <n v="70.801482692542464"/>
    <n v="438.99674190881876"/>
    <n v="32.094835539615552"/>
    <n v="3.8568901077649591"/>
    <n v="4.2701283335969187"/>
    <n v="29.202167958791833"/>
    <n v="0"/>
    <n v="0"/>
    <n v="0"/>
    <n v="34.43651881932999"/>
    <n v="21.075149517429956"/>
    <n v="0"/>
    <n v="0"/>
    <n v="3.1681597313783594"/>
    <n v="10.193209570521677"/>
    <n v="28.513437582405235"/>
    <n v="3.1681597313783594"/>
  </r>
  <r>
    <x v="28"/>
    <s v="Census Tract 115, King County, Washington"/>
    <n v="236.8480726092391"/>
    <n v="209.31133673021876"/>
    <n v="27.536735879020334"/>
    <n v="236.8480726092391"/>
    <n v="209.31133673021876"/>
    <n v="27.536735879020334"/>
    <n v="170.73847713314748"/>
    <n v="12.482605952941123"/>
    <n v="1.5000556509972165"/>
    <n v="1.660775899318347"/>
    <n v="11.357564214693211"/>
    <n v="0"/>
    <n v="0"/>
    <n v="0"/>
    <n v="13.393354026760862"/>
    <n v="8.196732664377647"/>
    <n v="0"/>
    <n v="0"/>
    <n v="1.2321885704619993"/>
    <n v="3.9644327919212152"/>
    <n v="11.089697134157994"/>
    <n v="1.2321885704619993"/>
  </r>
  <r>
    <x v="47"/>
    <s v="Census Tract 115, King County, Washington"/>
    <n v="2487.018112849255"/>
    <n v="2197.869207623171"/>
    <n v="289.14890522608391"/>
    <n v="2487.018112849255"/>
    <n v="2197.869207623171"/>
    <n v="289.14890522608391"/>
    <n v="1792.8357217033647"/>
    <n v="131.07333641571509"/>
    <n v="15.751302230214689"/>
    <n v="17.438941754880549"/>
    <n v="119.25985974305408"/>
    <n v="0"/>
    <n v="0"/>
    <n v="0"/>
    <n v="140.6366270554883"/>
    <n v="86.069615757958843"/>
    <n v="0"/>
    <n v="0"/>
    <n v="12.938569689104924"/>
    <n v="41.628441608424538"/>
    <n v="116.44712720194431"/>
    <n v="12.938569689104924"/>
  </r>
  <r>
    <x v="22"/>
    <s v="Census Tract 116, King County, Washington"/>
    <n v="2.2247966585516165E-6"/>
    <n v="2.0938693584542172E-6"/>
    <n v="1.3092730009739907E-7"/>
    <n v="2.2247966585516165E-6"/>
    <n v="2.0938693584542172E-6"/>
    <n v="1.3092730009739907E-7"/>
    <n v="1.8423341513705441E-6"/>
    <n v="7.223575177787535E-8"/>
    <n v="5.6434181076465121E-8"/>
    <n v="1.0964355180570367E-8"/>
    <n v="6.1271396597304985E-9"/>
    <n v="4.8372155208398674E-9"/>
    <n v="3.8052762097273621E-8"/>
    <n v="0"/>
    <n v="2.6443444847257944E-8"/>
    <n v="4.1277572444500203E-8"/>
    <n v="0"/>
    <n v="0"/>
    <n v="1.3866684493074286E-8"/>
    <n v="0"/>
    <n v="1.1061099490987164E-7"/>
    <n v="1.6124051736132891E-9"/>
  </r>
  <r>
    <x v="34"/>
    <s v="Census Tract 116, King County, Washington"/>
    <n v="1996.7413830697285"/>
    <n v="1879.2349326383166"/>
    <n v="117.50645043141176"/>
    <n v="1996.7413830697285"/>
    <n v="1879.2349326383166"/>
    <n v="117.50645043141176"/>
    <n v="1653.4836239277226"/>
    <n v="64.831145065606492"/>
    <n v="50.649332082505069"/>
    <n v="9.8404416617438422"/>
    <n v="5.4990703403862646"/>
    <n v="4.3413713213575775"/>
    <n v="34.152121061346278"/>
    <n v="0"/>
    <n v="23.732829890088091"/>
    <n v="37.046368608917994"/>
    <n v="0"/>
    <n v="0"/>
    <n v="12.445264454558389"/>
    <n v="0"/>
    <n v="99.272690881709934"/>
    <n v="1.4471237737858591"/>
  </r>
  <r>
    <x v="45"/>
    <s v="Census Tract 116, King County, Washington"/>
    <n v="4.0637868789504799"/>
    <n v="3.8246366437201718"/>
    <n v="0.23915023523030798"/>
    <n v="4.0637868789504799"/>
    <n v="3.8246366437201718"/>
    <n v="0.23915023523030798"/>
    <n v="3.3651854528836194"/>
    <n v="0.13194495736844578"/>
    <n v="0.10308199794409827"/>
    <n v="2.0027359600567663E-2"/>
    <n v="1.1191759776787812E-2"/>
    <n v="8.8355998237798512E-3"/>
    <n v="6.9506718613734836E-2"/>
    <n v="0"/>
    <n v="4.8301279036663189E-2"/>
    <n v="7.5397118496254731E-2"/>
    <n v="0"/>
    <n v="0"/>
    <n v="2.5328719494835575E-2"/>
    <n v="0"/>
    <n v="0.2020407159704326"/>
    <n v="2.9451999412599505E-3"/>
  </r>
  <r>
    <x v="46"/>
    <s v="Census Tract 116, King County, Washington"/>
    <n v="4892.4125724117621"/>
    <n v="4604.4984537859937"/>
    <n v="287.91411862576825"/>
    <n v="4892.4125724117621"/>
    <n v="4604.4984537859937"/>
    <n v="287.91411862576825"/>
    <n v="4051.3629549483107"/>
    <n v="158.84916889697561"/>
    <n v="124.10091320076219"/>
    <n v="24.11103456471951"/>
    <n v="13.47381343322561"/>
    <n v="10.637221131493902"/>
    <n v="83.679472901085362"/>
    <n v="0"/>
    <n v="58.150142185499995"/>
    <n v="90.77095365541463"/>
    <n v="0"/>
    <n v="0"/>
    <n v="30.493367243615854"/>
    <n v="0"/>
    <n v="243.23778987349388"/>
    <n v="3.5457403771646341"/>
  </r>
  <r>
    <x v="47"/>
    <s v="Census Tract 116, King County, Washington"/>
    <n v="2.978108357543876"/>
    <n v="2.8028493354880979"/>
    <n v="0.1752590220557782"/>
    <n v="2.978108357543876"/>
    <n v="2.8028493354880979"/>
    <n v="0.1752590220557782"/>
    <n v="2.4661448103563073"/>
    <n v="9.6694632858360385E-2"/>
    <n v="7.5542681920594046E-2"/>
    <n v="1.4676863916001129E-2"/>
    <n v="8.2017768942359258E-3"/>
    <n v="6.4750870217652043E-3"/>
    <n v="5.0937351237886272E-2"/>
    <n v="0"/>
    <n v="3.5397142385649782E-2"/>
    <n v="5.5254075919063075E-2"/>
    <n v="0"/>
    <n v="0"/>
    <n v="1.8561916129060253E-2"/>
    <n v="0"/>
    <n v="0.14806365656436432"/>
    <n v="2.1583623405884013E-3"/>
  </r>
  <r>
    <x v="39"/>
    <s v="Census Tract 117, King County, Washington"/>
    <n v="113.90215874140365"/>
    <n v="65.906408456462827"/>
    <n v="47.995750284940826"/>
    <n v="113.90215874140365"/>
    <n v="65.906408456462827"/>
    <n v="47.995750284940826"/>
    <n v="13.036873249148156"/>
    <n v="0.12034036845367528"/>
    <n v="2.6675448340564687"/>
    <n v="2.6876015621320812"/>
    <n v="20.357578996746735"/>
    <n v="9.0656410901768716"/>
    <n v="0.5415316580415388"/>
    <n v="0"/>
    <n v="11.913696476913852"/>
    <n v="31.489063078711698"/>
    <n v="2.0658429917880925"/>
    <n v="2.4469208252247308"/>
    <n v="1.4841978775953284"/>
    <n v="0.68192875457082658"/>
    <n v="13.839142372172658"/>
    <n v="1.5042546056709409"/>
  </r>
  <r>
    <x v="40"/>
    <s v="Census Tract 117, King County, Washington"/>
    <n v="3772.4240528133096"/>
    <n v="2182.8113114183016"/>
    <n v="1589.612741395008"/>
    <n v="3772.4240528133096"/>
    <n v="2182.8113114183016"/>
    <n v="1589.612741395008"/>
    <n v="431.77947426107613"/>
    <n v="3.9856566854868563"/>
    <n v="88.348723194958652"/>
    <n v="89.012999309206464"/>
    <n v="674.2402559615266"/>
    <n v="300.25280364000986"/>
    <n v="17.935455084690854"/>
    <n v="0"/>
    <n v="394.58001186319876"/>
    <n v="1042.9134993690607"/>
    <n v="68.420439767524371"/>
    <n v="81.041685938232746"/>
    <n v="49.156432454337896"/>
    <n v="22.585387884425518"/>
    <n v="458.35051883098851"/>
    <n v="49.820708568585708"/>
  </r>
  <r>
    <x v="43"/>
    <s v="Census Tract 117, King County, Washington"/>
    <n v="2.0705753088374822E-2"/>
    <n v="1.1980824907272347E-2"/>
    <n v="8.7249281811024731E-3"/>
    <n v="2.0705753088374822E-2"/>
    <n v="1.1980824907272347E-2"/>
    <n v="8.7249281811024731E-3"/>
    <n v="2.3699136304707932E-3"/>
    <n v="2.1876125819730396E-5"/>
    <n v="4.849207890040238E-4"/>
    <n v="4.885668099739789E-4"/>
    <n v="3.700711284504392E-3"/>
    <n v="1.6480014784196898E-3"/>
    <n v="9.844256618878679E-5"/>
    <n v="0"/>
    <n v="2.1657364561533093E-3"/>
    <n v="5.7242529228294535E-3"/>
    <n v="3.7554015990537182E-4"/>
    <n v="4.4481455833451808E-4"/>
    <n v="2.6980555177667488E-4"/>
    <n v="1.2396471297847225E-4"/>
    <n v="2.5157544692689954E-3"/>
    <n v="2.7345157274662998E-4"/>
  </r>
  <r>
    <x v="41"/>
    <s v="Census Tract 117, King County, Washington"/>
    <n v="552.44586251032251"/>
    <n v="319.65788064957206"/>
    <n v="232.78798186075045"/>
    <n v="552.44586251032251"/>
    <n v="319.65788064957206"/>
    <n v="232.78798186075045"/>
    <n v="63.231169331169156"/>
    <n v="0.58367233228771531"/>
    <n v="12.938070032377688"/>
    <n v="13.035348754425641"/>
    <n v="98.737902878671832"/>
    <n v="43.969982365674547"/>
    <n v="2.6265254952947186"/>
    <n v="0"/>
    <n v="57.783560896483813"/>
    <n v="152.72759361528549"/>
    <n v="10.019708370939112"/>
    <n v="11.86800408985021"/>
    <n v="7.1986254315484883"/>
    <n v="3.3074765496303864"/>
    <n v="67.122318213087254"/>
    <n v="7.2959041535964406"/>
  </r>
  <r>
    <x v="42"/>
    <s v="Census Tract 117, King County, Washington"/>
    <n v="1225.3329327853039"/>
    <n v="709.00581389901549"/>
    <n v="516.32711888628853"/>
    <n v="1225.3329327853039"/>
    <n v="709.00581389901549"/>
    <n v="516.32711888628853"/>
    <n v="140.24765034520999"/>
    <n v="1.2945936954942461"/>
    <n v="28.696826916789124"/>
    <n v="28.912592532704831"/>
    <n v="219.00210015444333"/>
    <n v="97.526058393899874"/>
    <n v="5.8256716297241082"/>
    <n v="0"/>
    <n v="128.16477585393037"/>
    <n v="338.75201698766108"/>
    <n v="22.223858439317894"/>
    <n v="26.323405141716339"/>
    <n v="15.966655577762369"/>
    <n v="7.3360309411340614"/>
    <n v="148.8782749818383"/>
    <n v="16.182421193678078"/>
  </r>
  <r>
    <x v="7"/>
    <s v="Census Tract 80.02, King County, Washington"/>
    <n v="861.74985830717571"/>
    <n v="699.94159164319478"/>
    <n v="161.8082666639809"/>
    <n v="861.74985830717571"/>
    <n v="699.94159164319478"/>
    <n v="161.8082666639809"/>
    <n v="537.90315674782846"/>
    <n v="24.397832526859141"/>
    <n v="31.993384162579442"/>
    <n v="8.5162245612621525"/>
    <n v="40.509608723841595"/>
    <n v="14.730766808669671"/>
    <n v="7.595551635720299"/>
    <n v="4.6033646277092721"/>
    <n v="27.159851303484707"/>
    <n v="105.41704997454234"/>
    <n v="0"/>
    <n v="0"/>
    <n v="3.4525234707819541"/>
    <n v="4.1430281649383449"/>
    <n v="51.327515598958385"/>
    <n v="0"/>
  </r>
  <r>
    <x v="8"/>
    <s v="Census Tract 80.02, King County, Washington"/>
    <n v="2880.6602456160876"/>
    <n v="2339.7670424461867"/>
    <n v="540.89320316990108"/>
    <n v="2880.6602456160876"/>
    <n v="2339.7670424461867"/>
    <n v="540.89320316990108"/>
    <n v="1798.1044321594009"/>
    <n v="81.557154389771711"/>
    <n v="106.9475892469648"/>
    <n v="28.468063324731634"/>
    <n v="135.41565257169643"/>
    <n v="49.242055480616884"/>
    <n v="25.390434857193082"/>
    <n v="15.388142337692777"/>
    <n v="90.790039792387375"/>
    <n v="352.38845953316456"/>
    <n v="0"/>
    <n v="0"/>
    <n v="11.541106753269583"/>
    <n v="13.849328103923499"/>
    <n v="171.57778706527446"/>
    <n v="0"/>
  </r>
  <r>
    <x v="9"/>
    <s v="Census Tract 80.02, King County, Washington"/>
    <n v="1.5897653166063048"/>
    <n v="1.2912597029379735"/>
    <n v="0.29850561366833128"/>
    <n v="1.5897653166063048"/>
    <n v="1.2912597029379735"/>
    <n v="0.29850561366833128"/>
    <n v="0.99232947246499315"/>
    <n v="4.5009381292806704E-2"/>
    <n v="5.9021735846227656E-2"/>
    <n v="1.5710821772017436E-2"/>
    <n v="7.4732557618245099E-2"/>
    <n v="2.717547549754367E-2"/>
    <n v="1.4012354553420954E-2"/>
    <n v="8.4923360929823975E-3"/>
    <n v="5.010478294859614E-2"/>
    <n v="0.19447449652929688"/>
    <n v="0"/>
    <n v="0"/>
    <n v="6.3692520697367977E-3"/>
    <n v="7.6431024836841575E-3"/>
    <n v="9.4689547436753729E-2"/>
    <n v="0"/>
  </r>
  <r>
    <x v="22"/>
    <s v="Census Tract 105, King County, Washington"/>
    <n v="2289.2132427249217"/>
    <n v="1991.5664753593755"/>
    <n v="297.64676736554622"/>
    <n v="2289.2132427249217"/>
    <n v="1991.5664753593755"/>
    <n v="297.64676736554622"/>
    <n v="1653.1503773454076"/>
    <n v="141.9263164678145"/>
    <n v="64.066091018948669"/>
    <n v="0"/>
    <n v="26.362123577175051"/>
    <n v="23.603296691191616"/>
    <n v="5.2111174513020444"/>
    <n v="0"/>
    <n v="91.654359878783026"/>
    <n v="113.72497496665051"/>
    <n v="0"/>
    <n v="0"/>
    <n v="0"/>
    <n v="8.276480657950307"/>
    <n v="151.12240608775929"/>
    <n v="10.115698581939263"/>
  </r>
  <r>
    <x v="19"/>
    <s v="Census Tract 105, King County, Washington"/>
    <n v="1.4536741051702242E-2"/>
    <n v="1.2646653269002339E-2"/>
    <n v="1.8900877826999033E-3"/>
    <n v="1.4536741051702242E-2"/>
    <n v="1.2646653269002339E-2"/>
    <n v="1.8900877826999033E-3"/>
    <n v="1.049767601658144E-2"/>
    <n v="9.0124680060767789E-4"/>
    <n v="4.0682630956156518E-4"/>
    <n v="0"/>
    <n v="1.6740221350380194E-4"/>
    <n v="1.4988337720689242E-4"/>
    <n v="3.3091135227495731E-5"/>
    <n v="0"/>
    <n v="5.8201467253066023E-4"/>
    <n v="7.2216536290593629E-4"/>
    <n v="0"/>
    <n v="0"/>
    <n v="0"/>
    <n v="5.2556508890728517E-5"/>
    <n v="9.5964292159737624E-4"/>
    <n v="6.4235733088668191E-5"/>
  </r>
  <r>
    <x v="24"/>
    <s v="Census Tract 105, King County, Washington"/>
    <n v="3533.1185620693773"/>
    <n v="3073.7374528340579"/>
    <n v="459.3811092353194"/>
    <n v="3533.1185620693773"/>
    <n v="3073.7374528340579"/>
    <n v="459.3811092353194"/>
    <n v="2551.4339053615627"/>
    <n v="219.04578123167136"/>
    <n v="98.878117229847334"/>
    <n v="0"/>
    <n v="40.686689386444357"/>
    <n v="36.428780032049019"/>
    <n v="8.0427176694134186"/>
    <n v="0"/>
    <n v="141.45721077380071"/>
    <n v="175.52048560896344"/>
    <n v="0"/>
    <n v="0"/>
    <n v="0"/>
    <n v="12.773728063186018"/>
    <n v="233.23881241298915"/>
    <n v="15.612334299449579"/>
  </r>
  <r>
    <x v="23"/>
    <s v="Census Tract 105, King County, Washington"/>
    <n v="1636.7709576317595"/>
    <n v="1423.9556657382891"/>
    <n v="212.81529189347063"/>
    <n v="1636.7709576317595"/>
    <n v="1423.9556657382891"/>
    <n v="212.81529189347063"/>
    <n v="1181.9905964793893"/>
    <n v="101.47629263303492"/>
    <n v="45.806793002817052"/>
    <n v="0"/>
    <n v="18.848728221254863"/>
    <n v="16.876186895774705"/>
    <n v="3.7259113925736358"/>
    <n v="0"/>
    <n v="65.532206257618654"/>
    <n v="81.312536861459932"/>
    <n v="0"/>
    <n v="0"/>
    <n v="0"/>
    <n v="5.9176239764404803"/>
    <n v="108.05143038463544"/>
    <n v="7.2326515267605878"/>
  </r>
  <r>
    <x v="26"/>
    <s v="Census Tract 105, King County, Washington"/>
    <n v="7.8128853725602037"/>
    <n v="6.7970428850460154"/>
    <n v="1.0158424875141883"/>
    <n v="7.8128853725602037"/>
    <n v="6.7970428850460154"/>
    <n v="1.0158424875141883"/>
    <n v="5.6420582236498635"/>
    <n v="0.48438215419059644"/>
    <n v="0.21865198752880055"/>
    <n v="0"/>
    <n v="8.9971631231946639E-2"/>
    <n v="8.055599540534758E-2"/>
    <n v="1.7785089894687127E-2"/>
    <n v="0"/>
    <n v="0.31280834579479122"/>
    <n v="0.38813343240758374"/>
    <n v="0"/>
    <n v="0"/>
    <n v="0"/>
    <n v="2.82469074797972E-2"/>
    <n v="0.51576760694592672"/>
    <n v="3.4523998030863243E-2"/>
  </r>
  <r>
    <x v="28"/>
    <s v="Census Tract 105, King County, Washington"/>
    <n v="1.0698111132179327"/>
    <n v="0.93071274806868076"/>
    <n v="0.13909836514925181"/>
    <n v="1.0698111132179327"/>
    <n v="0.93071274806868076"/>
    <n v="0.13909836514925181"/>
    <n v="0.77256177471669929"/>
    <n v="6.6325996976419763E-2"/>
    <n v="2.9939812890003737E-2"/>
    <n v="0"/>
    <n v="1.231973161981015E-2"/>
    <n v="1.1030457380527693E-2"/>
    <n v="2.4352957853113087E-3"/>
    <n v="0"/>
    <n v="4.2832555282828311E-2"/>
    <n v="5.3146749197087971E-2"/>
    <n v="0"/>
    <n v="0"/>
    <n v="0"/>
    <n v="3.8678227178473726E-3"/>
    <n v="7.0623577774027946E-2"/>
    <n v="4.727338877369011E-3"/>
  </r>
  <r>
    <x v="48"/>
    <s v="Census Tract 60, King County, Washington"/>
    <n v="2244.2466627579288"/>
    <n v="1896.6502911363034"/>
    <n v="347.59637162162562"/>
    <n v="2244.2466627579288"/>
    <n v="1896.6502911363034"/>
    <n v="347.59637162162562"/>
    <n v="1549.8298042727617"/>
    <n v="244.01575641741354"/>
    <n v="29.483620807191461"/>
    <n v="13.965925645511746"/>
    <n v="12.414156129343773"/>
    <n v="0"/>
    <n v="66.726089195222784"/>
    <n v="0"/>
    <n v="67.501973953306774"/>
    <n v="62.846665404802849"/>
    <n v="0.38794237904199291"/>
    <n v="0"/>
    <n v="12.802098508385766"/>
    <n v="6.5950204437138797"/>
    <n v="157.50460589104912"/>
    <n v="20.173003710183632"/>
  </r>
  <r>
    <x v="49"/>
    <s v="Census Tract 60, King County, Washington"/>
    <n v="6.1536285159910664E-2"/>
    <n v="5.2005341079827697E-2"/>
    <n v="9.5309440800829641E-3"/>
    <n v="6.1536285159910664E-2"/>
    <n v="5.2005341079827697E-2"/>
    <n v="9.5309440800829641E-3"/>
    <n v="4.2495671428494919E-2"/>
    <n v="6.6908078419332419E-3"/>
    <n v="8.0842829250703718E-4"/>
    <n v="3.8293971750333344E-4"/>
    <n v="3.4039086000296303E-4"/>
    <n v="0"/>
    <n v="1.8296008725159263E-3"/>
    <n v="0"/>
    <n v="1.8508753012661115E-3"/>
    <n v="1.7232287287650004E-3"/>
    <n v="1.0637214375092595E-5"/>
    <n v="0"/>
    <n v="3.5102807437805561E-4"/>
    <n v="1.8083264437657412E-4"/>
    <n v="4.3187090362875932E-3"/>
    <n v="5.5313514750481496E-4"/>
  </r>
  <r>
    <x v="50"/>
    <s v="Census Tract 60, King County, Washington"/>
    <n v="3536.3438993025111"/>
    <n v="2988.623219306824"/>
    <n v="547.72067999568708"/>
    <n v="3536.3438993025111"/>
    <n v="2988.623219306824"/>
    <n v="547.72067999568708"/>
    <n v="2442.1251301146985"/>
    <n v="384.50480772018659"/>
    <n v="46.458450535348462"/>
    <n v="22.00663446411243"/>
    <n v="19.561452856988826"/>
    <n v="0"/>
    <n v="105.14280910631494"/>
    <n v="0"/>
    <n v="106.36539990987674"/>
    <n v="99.029855088505926"/>
    <n v="0.6112954017809008"/>
    <n v="0"/>
    <n v="20.172748258769726"/>
    <n v="10.392021830275313"/>
    <n v="248.18593312304571"/>
    <n v="31.787360892606841"/>
  </r>
  <r>
    <x v="51"/>
    <s v="Census Tract 60, King County, Washington"/>
    <n v="0.40850749906744288"/>
    <n v="0.34523650180479315"/>
    <n v="6.3270997262649759E-2"/>
    <n v="0.40850749906744288"/>
    <n v="0.34523650180479315"/>
    <n v="6.3270997262649759E-2"/>
    <n v="0.2821067344467475"/>
    <n v="4.4416804997998549E-2"/>
    <n v="5.3667363749568993E-3"/>
    <n v="2.5421382828743205E-3"/>
    <n v="2.2596784736660627E-3"/>
    <n v="0"/>
    <n v="1.2145771795955088E-2"/>
    <n v="0"/>
    <n v="1.2287001700559215E-2"/>
    <n v="1.1439622272934442E-2"/>
    <n v="7.0614952302064461E-5"/>
    <n v="0"/>
    <n v="2.3302934259681273E-3"/>
    <n v="1.2004541891350959E-3"/>
    <n v="2.866967063463817E-2"/>
    <n v="3.6719775197073521E-3"/>
  </r>
  <r>
    <x v="52"/>
    <s v="Census Tract 66, King County, Washington"/>
    <n v="921.79358033530127"/>
    <n v="787.08376580927245"/>
    <n v="134.70981452602888"/>
    <n v="921.79358033530127"/>
    <n v="787.08376580927245"/>
    <n v="134.70981452602888"/>
    <n v="629.84722644611497"/>
    <n v="52.487268870509581"/>
    <n v="19.147716111559291"/>
    <n v="2.4779397320841432"/>
    <n v="16.44450913110386"/>
    <n v="1.3516034902277145"/>
    <n v="0.67580174511385727"/>
    <n v="0"/>
    <n v="46.405053164484869"/>
    <n v="67.580174511385721"/>
    <n v="0"/>
    <n v="0"/>
    <n v="1.3516034902277145"/>
    <n v="0.45053449674257151"/>
    <n v="73.21185572066787"/>
    <n v="10.362293425079145"/>
  </r>
  <r>
    <x v="53"/>
    <s v="Census Tract 66, King County, Washington"/>
    <n v="1625.6773140200901"/>
    <n v="1388.102770084603"/>
    <n v="237.57454393548727"/>
    <n v="1625.6773140200901"/>
    <n v="1388.102770084603"/>
    <n v="237.57454393548727"/>
    <n v="1110.800041544519"/>
    <n v="92.56667012870993"/>
    <n v="33.768956913907054"/>
    <n v="4.370100306505619"/>
    <n v="29.001574761355471"/>
    <n v="2.3836910762757921"/>
    <n v="1.1918455381378961"/>
    <n v="0"/>
    <n v="81.840060285468866"/>
    <n v="119.18455381378961"/>
    <n v="0"/>
    <n v="0"/>
    <n v="2.3836910762757921"/>
    <n v="0.79456369209193067"/>
    <n v="129.11659996493873"/>
    <n v="18.274964918114406"/>
  </r>
  <r>
    <x v="54"/>
    <s v="Census Tract 66, King County, Washington"/>
    <n v="0.5516143092236695"/>
    <n v="0.47100205191287908"/>
    <n v="8.0612257310790414E-2"/>
    <n v="0.5516143092236695"/>
    <n v="0.47100205191287908"/>
    <n v="8.0612257310790414E-2"/>
    <n v="0.37690948401499996"/>
    <n v="3.1409123667916664E-2"/>
    <n v="1.1458263999025392E-2"/>
    <n v="1.4828341645797567E-3"/>
    <n v="9.840626728574749E-3"/>
    <n v="8.0881863522532177E-4"/>
    <n v="4.0440931761266089E-4"/>
    <n v="0"/>
    <n v="2.7769439809402715E-2"/>
    <n v="4.0440931761266091E-2"/>
    <n v="0"/>
    <n v="0"/>
    <n v="8.0881863522532177E-4"/>
    <n v="2.6960621174177394E-4"/>
    <n v="4.3811009408038268E-2"/>
    <n v="6.2009428700608004E-3"/>
  </r>
  <r>
    <x v="4"/>
    <s v="Census Tract 66, King County, Washington"/>
    <n v="1525.7925526725121"/>
    <n v="1302.815048640703"/>
    <n v="222.97750403180896"/>
    <n v="1525.7925526725121"/>
    <n v="1302.815048640703"/>
    <n v="222.97750403180896"/>
    <n v="1042.5503365768191"/>
    <n v="86.879194714734922"/>
    <n v="31.694126827263815"/>
    <n v="4.1015928835282587"/>
    <n v="27.219661863414807"/>
    <n v="2.2372324819245044"/>
    <n v="1.1186162409622522"/>
    <n v="0"/>
    <n v="76.81164854607465"/>
    <n v="111.86162409622523"/>
    <n v="0"/>
    <n v="0"/>
    <n v="2.2372324819245044"/>
    <n v="0.74574416064150151"/>
    <n v="121.18342610424399"/>
    <n v="17.152115694754535"/>
  </r>
  <r>
    <x v="48"/>
    <s v="Census Tract 67, King County, Washington"/>
    <n v="4917.6708819376445"/>
    <n v="3459.5769372010686"/>
    <n v="1458.0939447365758"/>
    <n v="4917.6708819376445"/>
    <n v="3459.5769372010686"/>
    <n v="1458.0939447365758"/>
    <n v="2968.2626732137437"/>
    <n v="408.10781605398728"/>
    <n v="52.074783740591997"/>
    <n v="15.848847225397565"/>
    <n v="43.018299611793388"/>
    <n v="0"/>
    <n v="10.754574902948347"/>
    <n v="0"/>
    <n v="174.90334973742313"/>
    <n v="932.81786526625672"/>
    <n v="0"/>
    <n v="0"/>
    <n v="0"/>
    <n v="0"/>
    <n v="210.56325599456764"/>
    <n v="101.31941619093443"/>
  </r>
  <r>
    <x v="55"/>
    <s v="Census Tract 67, King County, Washington"/>
    <n v="973.88743027632074"/>
    <n v="685.12891043380205"/>
    <n v="288.75851984251864"/>
    <n v="973.88743027632074"/>
    <n v="685.12891043380205"/>
    <n v="288.75851984251864"/>
    <n v="587.82984396512722"/>
    <n v="80.820998760270172"/>
    <n v="10.312804280089953"/>
    <n v="3.1386795635056375"/>
    <n v="8.5192731009438738"/>
    <n v="0"/>
    <n v="2.1298182752359684"/>
    <n v="0"/>
    <n v="34.637570897258641"/>
    <n v="184.73371145204609"/>
    <n v="0"/>
    <n v="0"/>
    <n v="0"/>
    <n v="0"/>
    <n v="41.699599915146329"/>
    <n v="20.065130066696753"/>
  </r>
  <r>
    <x v="51"/>
    <s v="Census Tract 67, King County, Washington"/>
    <n v="2283.9375487711181"/>
    <n v="1606.7479624872324"/>
    <n v="677.18958628388589"/>
    <n v="2283.9375487711181"/>
    <n v="1606.7479624872324"/>
    <n v="677.18958628388589"/>
    <n v="1378.5645149350535"/>
    <n v="189.53947659576156"/>
    <n v="24.185342367281638"/>
    <n v="7.3607563726509335"/>
    <n v="19.979195868623965"/>
    <n v="0"/>
    <n v="4.9947989671559911"/>
    <n v="0"/>
    <n v="81.231204255326375"/>
    <n v="433.23308936174067"/>
    <n v="0"/>
    <n v="0"/>
    <n v="0"/>
    <n v="0"/>
    <n v="97.792906093790975"/>
    <n v="47.056263953732753"/>
  </r>
  <r>
    <x v="53"/>
    <s v="Census Tract 67, King County, Washington"/>
    <n v="509.02035293350639"/>
    <n v="358.09534957753118"/>
    <n v="150.92500335597518"/>
    <n v="509.02035293350639"/>
    <n v="358.09534957753118"/>
    <n v="150.92500335597518"/>
    <n v="307.24018540323522"/>
    <n v="42.242596048003925"/>
    <n v="5.3901786912848282"/>
    <n v="1.6404891669127737"/>
    <n v="4.4527563101918144"/>
    <n v="0"/>
    <n v="1.1131890775479536"/>
    <n v="0"/>
    <n v="18.103969734858826"/>
    <n v="96.554505252580398"/>
    <n v="0"/>
    <n v="0"/>
    <n v="0"/>
    <n v="0"/>
    <n v="21.795070360412566"/>
    <n v="10.48741288847809"/>
  </r>
  <r>
    <x v="48"/>
    <s v="Census Tract 68, King County, Washington"/>
    <n v="1805.1488492046619"/>
    <n v="1541.033963166253"/>
    <n v="264.11488603840883"/>
    <n v="1805.1488492046619"/>
    <n v="1541.033963166253"/>
    <n v="264.11488603840883"/>
    <n v="1350.5874854236815"/>
    <n v="178.98694756321919"/>
    <n v="14.187989745864936"/>
    <n v="6.5483029596299707"/>
    <n v="0"/>
    <n v="0"/>
    <n v="0"/>
    <n v="0"/>
    <n v="78.579635515559644"/>
    <n v="66.028721509602207"/>
    <n v="0"/>
    <n v="0"/>
    <n v="22.919060358704897"/>
    <n v="6.5483029596299707"/>
    <n v="74.759792122442164"/>
    <n v="6.0026110463274733"/>
  </r>
  <r>
    <x v="49"/>
    <s v="Census Tract 68, King County, Washington"/>
    <n v="1502.1322495253821"/>
    <n v="1282.3523194255379"/>
    <n v="219.77993009984431"/>
    <n v="1502.1322495253821"/>
    <n v="1282.3523194255379"/>
    <n v="219.77993009984431"/>
    <n v="1123.8746425560221"/>
    <n v="148.94177081146475"/>
    <n v="11.806359881396595"/>
    <n v="5.4490891760291973"/>
    <n v="0"/>
    <n v="0"/>
    <n v="0"/>
    <n v="0"/>
    <n v="65.389070112350367"/>
    <n v="54.944982524961077"/>
    <n v="0"/>
    <n v="0"/>
    <n v="19.071812116102191"/>
    <n v="5.4490891760291973"/>
    <n v="62.210434759666676"/>
    <n v="4.9949984113600978"/>
  </r>
  <r>
    <x v="55"/>
    <s v="Census Tract 68, King County, Washington"/>
    <n v="0.57652141315889582"/>
    <n v="0.4921694288877636"/>
    <n v="8.4351984271132288E-2"/>
    <n v="0.57652141315889582"/>
    <n v="0.4921694288877636"/>
    <n v="8.4351984271132288E-2"/>
    <n v="0.43134537411374463"/>
    <n v="5.7164154630023535E-2"/>
    <n v="4.5313049401847919E-3"/>
    <n v="2.0913715108545196E-3"/>
    <n v="0"/>
    <n v="0"/>
    <n v="0"/>
    <n v="0"/>
    <n v="2.5096458130254233E-2"/>
    <n v="2.1087996067783072E-2"/>
    <n v="0"/>
    <n v="0"/>
    <n v="7.3198002879908183E-3"/>
    <n v="2.0913715108545196E-3"/>
    <n v="2.3876491415589098E-2"/>
    <n v="1.9170905516166428E-3"/>
  </r>
  <r>
    <x v="50"/>
    <s v="Census Tract 68, King County, Washington"/>
    <n v="0.14237525022773903"/>
    <n v="0.12154404674822704"/>
    <n v="2.0831203479511999E-2"/>
    <n v="0.14237525022773903"/>
    <n v="0.12154404674822704"/>
    <n v="2.0831203479511999E-2"/>
    <n v="0.10652319961114091"/>
    <n v="1.4117013928264331E-2"/>
    <n v="1.1190315918746115E-3"/>
    <n v="5.1647611932674378E-4"/>
    <n v="0"/>
    <n v="0"/>
    <n v="0"/>
    <n v="0"/>
    <n v="6.1977134319209258E-3"/>
    <n v="5.2078008698779998E-3"/>
    <n v="0"/>
    <n v="0"/>
    <n v="1.8076664176436034E-3"/>
    <n v="5.1647611932674378E-4"/>
    <n v="5.8964356956469916E-3"/>
    <n v="4.7343644271618184E-4"/>
  </r>
  <r>
    <x v="49"/>
    <s v="Census Tract 69, King County, Washington"/>
    <n v="4799.3218506734656"/>
    <n v="4358.4494163650252"/>
    <n v="440.87243430844086"/>
    <n v="4799.3218506734656"/>
    <n v="4358.4494163650252"/>
    <n v="440.87243430844086"/>
    <n v="3849.8991960881831"/>
    <n v="325.82019816215916"/>
    <n v="110.21810857711021"/>
    <n v="0"/>
    <n v="37.706195039537704"/>
    <n v="0"/>
    <n v="5.8009530830058011"/>
    <n v="0"/>
    <n v="142.12335053364211"/>
    <n v="115.05223614628171"/>
    <n v="0"/>
    <n v="0"/>
    <n v="0"/>
    <n v="0"/>
    <n v="212.70161304354605"/>
    <n v="0"/>
  </r>
  <r>
    <x v="55"/>
    <s v="Census Tract 69, King County, Washington"/>
    <n v="164.21968425060703"/>
    <n v="149.13423380373419"/>
    <n v="15.085450446872846"/>
    <n v="164.21968425060703"/>
    <n v="149.13423380373419"/>
    <n v="15.085450446872846"/>
    <n v="131.73303438475367"/>
    <n v="11.148677194289801"/>
    <n v="3.7713626117182115"/>
    <n v="0"/>
    <n v="1.290202998745704"/>
    <n v="0"/>
    <n v="0.19849276903780061"/>
    <n v="0"/>
    <n v="4.8630728414261153"/>
    <n v="3.9367732525830452"/>
    <n v="0"/>
    <n v="0"/>
    <n v="0"/>
    <n v="0"/>
    <n v="7.2780681980526891"/>
    <n v="0"/>
  </r>
  <r>
    <x v="50"/>
    <s v="Census Tract 69, King County, Washington"/>
    <n v="0.45855304246038803"/>
    <n v="0.41642971704500992"/>
    <n v="4.212332541537811E-2"/>
    <n v="0.45855304246038803"/>
    <n v="0.41642971704500992"/>
    <n v="4.212332541537811E-2"/>
    <n v="0.36784009167551673"/>
    <n v="3.1130615493382505E-2"/>
    <n v="1.0530831353844528E-2"/>
    <n v="0"/>
    <n v="3.6026528315783908E-3"/>
    <n v="0"/>
    <n v="5.5425428178129091E-4"/>
    <n v="0"/>
    <n v="1.3579229903641627E-2"/>
    <n v="1.0992709921995603E-2"/>
    <n v="0"/>
    <n v="0"/>
    <n v="0"/>
    <n v="0"/>
    <n v="2.0322656998647333E-2"/>
    <n v="0"/>
  </r>
  <r>
    <x v="56"/>
    <s v="Census Tract 4.02, King County, Washington"/>
    <n v="1685.5250324518604"/>
    <n v="1483.2620285576372"/>
    <n v="202.26300389422326"/>
    <n v="1685.5250324518604"/>
    <n v="1483.2620285576372"/>
    <n v="202.26300389422326"/>
    <n v="1262.8716799747806"/>
    <n v="54.064010474870997"/>
    <n v="22.897698554063009"/>
    <n v="29.258170374636066"/>
    <n v="56.926222794128869"/>
    <n v="0"/>
    <n v="4.7703538654297937"/>
    <n v="0"/>
    <n v="67.739024889103064"/>
    <n v="62.014600250587314"/>
    <n v="12.402920050117464"/>
    <n v="1.9081415461719176"/>
    <n v="0"/>
    <n v="24.805840100234928"/>
    <n v="55.654128430014261"/>
    <n v="30.212241147722025"/>
  </r>
  <r>
    <x v="57"/>
    <s v="Census Tract 4.02, King County, Washington"/>
    <n v="3613.2596201911483"/>
    <n v="3179.6684657682104"/>
    <n v="433.59115442293779"/>
    <n v="3613.2596201911483"/>
    <n v="3179.6684657682104"/>
    <n v="433.59115442293779"/>
    <n v="2707.2177267507641"/>
    <n v="115.89700668537645"/>
    <n v="49.085791066747674"/>
    <n v="62.72073302973314"/>
    <n v="122.03273056871991"/>
    <n v="0"/>
    <n v="10.226206472239099"/>
    <n v="0"/>
    <n v="145.21213190579522"/>
    <n v="132.94068413910827"/>
    <n v="26.588136827821657"/>
    <n v="4.0904825888956395"/>
    <n v="0"/>
    <n v="53.176273655643314"/>
    <n v="119.30574217612282"/>
    <n v="64.765974324180959"/>
  </r>
  <r>
    <x v="58"/>
    <s v="Census Tract 4.02, King County, Washington"/>
    <n v="1.2153503031809647"/>
    <n v="1.0695082667992488"/>
    <n v="0.14584203638171575"/>
    <n v="1.2153503031809647"/>
    <n v="1.0695082667992488"/>
    <n v="0.14584203638171575"/>
    <n v="0.91059548187388883"/>
    <n v="3.898293425297434E-2"/>
    <n v="1.6510419213024426E-2"/>
    <n v="2.1096646772197879E-2"/>
    <n v="4.1046736654602393E-2"/>
    <n v="0"/>
    <n v="3.4396706693800888E-3"/>
    <n v="0"/>
    <n v="4.884332350519726E-2"/>
    <n v="4.4715718701941153E-2"/>
    <n v="8.9431437403882305E-3"/>
    <n v="1.3758682677520355E-3"/>
    <n v="0"/>
    <n v="1.7886287480776461E-2"/>
    <n v="4.0129491142767704E-2"/>
    <n v="2.1784580906073894E-2"/>
  </r>
  <r>
    <x v="56"/>
    <s v="Census Tract 5, King County, Washington"/>
    <n v="3051.4557634014182"/>
    <n v="2724.5140744655523"/>
    <n v="326.94168893586624"/>
    <n v="3051.4557634014182"/>
    <n v="2724.5140744655523"/>
    <n v="326.94168893586624"/>
    <n v="2351.5805883093499"/>
    <n v="94.98305947678071"/>
    <n v="79.985734296236387"/>
    <n v="22.995898610167963"/>
    <n v="21.996076931465009"/>
    <n v="17.996790216653189"/>
    <n v="0"/>
    <n v="0"/>
    <n v="151.97289516284914"/>
    <n v="158.97164691376983"/>
    <n v="0"/>
    <n v="0"/>
    <n v="0"/>
    <n v="0"/>
    <n v="118.97877976565164"/>
    <n v="31.994293718494557"/>
  </r>
  <r>
    <x v="59"/>
    <s v="Census Tract 5, King County, Washington"/>
    <n v="0.53317918956335975"/>
    <n v="0.4760528478244283"/>
    <n v="5.7126341738931399E-2"/>
    <n v="0.53317918956335975"/>
    <n v="0.4760528478244283"/>
    <n v="5.7126341738931399E-2"/>
    <n v="0.410890384617635"/>
    <n v="1.6596337814062639E-2"/>
    <n v="1.3975863422368538E-2"/>
    <n v="4.0180607339309546E-3"/>
    <n v="3.843362441151348E-3"/>
    <n v="3.1445692700329212E-3"/>
    <n v="0"/>
    <n v="0"/>
    <n v="2.6554140502500222E-2"/>
    <n v="2.7777028551957468E-2"/>
    <n v="0"/>
    <n v="0"/>
    <n v="0"/>
    <n v="0"/>
    <n v="2.0789096840773201E-2"/>
    <n v="5.5903453689474152E-3"/>
  </r>
  <r>
    <x v="60"/>
    <s v="Census Tract 11, King County, Washington"/>
    <n v="2789.6831420704002"/>
    <n v="2248.9383983011112"/>
    <n v="540.74474376928936"/>
    <n v="2789.6831420704002"/>
    <n v="2248.9383983011112"/>
    <n v="540.74474376928936"/>
    <n v="1865.1195783243882"/>
    <n v="152.92781108447554"/>
    <n v="68.967444214567408"/>
    <n v="19.990563540454321"/>
    <n v="7.9962254161817281"/>
    <n v="0"/>
    <n v="0"/>
    <n v="0"/>
    <n v="110.94762764952148"/>
    <n v="316.85043211620098"/>
    <n v="0"/>
    <n v="0"/>
    <n v="47.977352497090365"/>
    <n v="50.975937028158519"/>
    <n v="147.93017019936198"/>
    <n v="0"/>
  </r>
  <r>
    <x v="61"/>
    <s v="Census Tract 11, King County, Washington"/>
    <n v="0.62658340152433079"/>
    <n v="0.50512814526325489"/>
    <n v="0.12145525626107595"/>
    <n v="0.62658340152433079"/>
    <n v="0.50512814526325489"/>
    <n v="0.12145525626107595"/>
    <n v="0.41891960847165938"/>
    <n v="3.4348713877901331E-2"/>
    <n v="1.5490596454739816E-2"/>
    <n v="4.4900279578955985E-3"/>
    <n v="1.7960111831582396E-3"/>
    <n v="0"/>
    <n v="0"/>
    <n v="0"/>
    <n v="2.4919655166320574E-2"/>
    <n v="7.1166943132645238E-2"/>
    <n v="0"/>
    <n v="0"/>
    <n v="1.0776067098949437E-2"/>
    <n v="1.1449571292633777E-2"/>
    <n v="3.322620688842743E-2"/>
    <n v="0"/>
  </r>
  <r>
    <x v="62"/>
    <s v="Census Tract 11, King County, Washington"/>
    <n v="0.10620539437933092"/>
    <n v="8.561882384575227E-2"/>
    <n v="2.0586570533578655E-2"/>
    <n v="0.10620539437933092"/>
    <n v="8.561882384575227E-2"/>
    <n v="2.0586570533578655E-2"/>
    <n v="7.1006544576077218E-2"/>
    <n v="5.8220800215111543E-3"/>
    <n v="2.6256439312697362E-3"/>
    <n v="7.6105621196224243E-4"/>
    <n v="3.0442248478489695E-4"/>
    <n v="0"/>
    <n v="0"/>
    <n v="0"/>
    <n v="4.2238619763904448E-3"/>
    <n v="1.2062740959601541E-2"/>
    <n v="0"/>
    <n v="0"/>
    <n v="1.8265349087093817E-3"/>
    <n v="1.9406933405037182E-3"/>
    <n v="5.6318159685205937E-3"/>
    <n v="0"/>
  </r>
  <r>
    <x v="63"/>
    <s v="Census Tract 11, King County, Washington"/>
    <n v="0.58405334185503044"/>
    <n v="0.47084199898739471"/>
    <n v="0.11321134286763579"/>
    <n v="0.58405334185503044"/>
    <n v="0.47084199898739471"/>
    <n v="0.11321134286763579"/>
    <n v="0.39048496449354597"/>
    <n v="3.2017255931142838E-2"/>
    <n v="1.4439154635613436E-2"/>
    <n v="4.1852622132212865E-3"/>
    <n v="1.6741048852885144E-3"/>
    <n v="0"/>
    <n v="0"/>
    <n v="0"/>
    <n v="2.3228205283378139E-2"/>
    <n v="6.6336406079557389E-2"/>
    <n v="0"/>
    <n v="0"/>
    <n v="1.0044629311731086E-2"/>
    <n v="1.0672418643714279E-2"/>
    <n v="3.0970940377837517E-2"/>
    <n v="0"/>
  </r>
  <r>
    <x v="60"/>
    <s v="Census Tract 12, King County, Washington"/>
    <n v="0.33671638084850053"/>
    <n v="0.22995849643084526"/>
    <n v="0.10675788441765528"/>
    <n v="0.33671638084850053"/>
    <n v="0.22995849643084526"/>
    <n v="0.10675788441765528"/>
    <n v="0.15388092006316725"/>
    <n v="4.5876648130981641E-2"/>
    <n v="1.208037129467855E-2"/>
    <n v="6.711317385932528E-4"/>
    <n v="9.443782321633629E-3"/>
    <n v="1.1313363593429118E-2"/>
    <n v="7.6700770124943178E-4"/>
    <n v="1.3422634771865056E-3"/>
    <n v="2.3968990664044742E-2"/>
    <n v="3.6145237921379469E-2"/>
    <n v="0"/>
    <n v="0"/>
    <n v="9.3479063589774498E-3"/>
    <n v="5.6566817967145591E-3"/>
    <n v="2.0469518027094211E-2"/>
    <n v="5.7525577593707383E-3"/>
  </r>
  <r>
    <x v="58"/>
    <s v="Census Tract 12, King County, Washington"/>
    <n v="533.28398267778357"/>
    <n v="364.20319830656712"/>
    <n v="169.0807843712164"/>
    <n v="533.28398267778357"/>
    <n v="364.20319830656712"/>
    <n v="169.0807843712164"/>
    <n v="243.71320962353147"/>
    <n v="72.658424177482743"/>
    <n v="19.132625802221163"/>
    <n v="1.0629236556789534"/>
    <n v="14.956854297768132"/>
    <n v="17.917855910016645"/>
    <n v="1.2147698922045183"/>
    <n v="2.1258473113579068"/>
    <n v="37.961559131391198"/>
    <n v="57.246031170137925"/>
    <n v="0"/>
    <n v="0"/>
    <n v="14.805008061242566"/>
    <n v="8.9589279550083223"/>
    <n v="32.41917149820808"/>
    <n v="9.1107741915338867"/>
  </r>
  <r>
    <x v="62"/>
    <s v="Census Tract 12, King County, Washington"/>
    <n v="1994.3362193276498"/>
    <n v="1362.0203365766993"/>
    <n v="632.31588275095044"/>
    <n v="1994.3362193276498"/>
    <n v="1362.0203365766993"/>
    <n v="632.31588275095044"/>
    <n v="911.42073804694701"/>
    <n v="271.72263124951036"/>
    <n v="71.550786912096783"/>
    <n v="3.9750437173387096"/>
    <n v="55.934543736837561"/>
    <n v="67.00787980656682"/>
    <n v="4.5429071055299541"/>
    <n v="7.9500874346774193"/>
    <n v="141.96584704781105"/>
    <n v="214.08449734809909"/>
    <n v="0"/>
    <n v="0"/>
    <n v="55.366680348646319"/>
    <n v="33.50393990328341"/>
    <n v="121.23883337883065"/>
    <n v="34.071803291474659"/>
  </r>
  <r>
    <x v="64"/>
    <s v="Census Tract 12, King County, Washington"/>
    <n v="742.60951277068239"/>
    <n v="507.16085318350844"/>
    <n v="235.44865958717392"/>
    <n v="742.60951277068239"/>
    <n v="507.16085318350844"/>
    <n v="235.44865958717392"/>
    <n v="339.37593052304817"/>
    <n v="101.17843162322652"/>
    <n v="26.6425964148935"/>
    <n v="1.4801442452718612"/>
    <n v="20.827744022754047"/>
    <n v="24.951002991725659"/>
    <n v="1.6915934231678413"/>
    <n v="2.9602884905437223"/>
    <n v="52.862294473995043"/>
    <n v="79.716340066784525"/>
    <n v="0"/>
    <n v="0"/>
    <n v="20.616294844858068"/>
    <n v="12.475501495862829"/>
    <n v="45.144399480791769"/>
    <n v="12.68695067375881"/>
  </r>
  <r>
    <x v="63"/>
    <s v="Census Tract 12, King County, Washington"/>
    <n v="3753.4335688430365"/>
    <n v="2563.3856534367947"/>
    <n v="1190.0479154062418"/>
    <n v="3753.4335688430365"/>
    <n v="2563.3856534367947"/>
    <n v="1190.0479154062418"/>
    <n v="1715.3362408864105"/>
    <n v="511.39463630164948"/>
    <n v="134.6619104994939"/>
    <n v="7.4812172499718841"/>
    <n v="105.27141416031864"/>
    <n v="126.11194792809746"/>
    <n v="8.5499625713964384"/>
    <n v="14.962434499943768"/>
    <n v="267.18633035613868"/>
    <n v="402.91698617705714"/>
    <n v="0"/>
    <n v="0"/>
    <n v="104.2026688388941"/>
    <n v="63.055973964048732"/>
    <n v="228.17712612414246"/>
    <n v="64.12471928547329"/>
  </r>
  <r>
    <x v="57"/>
    <s v="Census Tract 13, King County, Washington"/>
    <n v="248.58742698732968"/>
    <n v="188.16532633642547"/>
    <n v="60.422100650904213"/>
    <n v="248.58742698732968"/>
    <n v="188.16532633642547"/>
    <n v="60.422100650904213"/>
    <n v="130.41381576953913"/>
    <n v="7.9561329586365588"/>
    <n v="12.073292671497436"/>
    <n v="4.5622580601971876"/>
    <n v="4.3953461799460714"/>
    <n v="5.2299055812016544"/>
    <n v="0"/>
    <n v="0"/>
    <n v="20.697073151138461"/>
    <n v="37.110074709164927"/>
    <n v="0"/>
    <n v="0"/>
    <n v="5.3411801680357316"/>
    <n v="4.6735326470312657"/>
    <n v="15.244618396268651"/>
    <n v="0.89019669467262197"/>
  </r>
  <r>
    <x v="58"/>
    <s v="Census Tract 13, King County, Washington"/>
    <n v="431.21501655133306"/>
    <n v="326.4031302543886"/>
    <n v="104.81188629694442"/>
    <n v="431.21501655133306"/>
    <n v="326.4031302543886"/>
    <n v="104.81188629694442"/>
    <n v="226.22381351753015"/>
    <n v="13.801196814422701"/>
    <n v="20.943074886221861"/>
    <n v="7.9139729984801495"/>
    <n v="7.6244374009747782"/>
    <n v="9.0721153885016346"/>
    <n v="0"/>
    <n v="0"/>
    <n v="35.902414090666042"/>
    <n v="64.373414512027566"/>
    <n v="0"/>
    <n v="0"/>
    <n v="9.2651391201718827"/>
    <n v="8.1069967301503976"/>
    <n v="26.444251238823917"/>
    <n v="1.5441898533619804"/>
  </r>
  <r>
    <x v="64"/>
    <s v="Census Tract 13, King County, Washington"/>
    <n v="2559.3590986663662"/>
    <n v="1937.2767394112914"/>
    <n v="622.08235925507472"/>
    <n v="2559.3590986663662"/>
    <n v="1937.2767394112914"/>
    <n v="622.08235925507472"/>
    <n v="1342.6897330514687"/>
    <n v="81.913238833771345"/>
    <n v="124.30190788061805"/>
    <n v="46.971227862722031"/>
    <n v="45.252768306768786"/>
    <n v="53.845066086535006"/>
    <n v="0"/>
    <n v="0"/>
    <n v="213.08898493820237"/>
    <n v="382.0708412736048"/>
    <n v="0"/>
    <n v="0"/>
    <n v="54.990705790503839"/>
    <n v="48.116867566690857"/>
    <n v="156.95263944372971"/>
    <n v="9.1651176317506398"/>
  </r>
  <r>
    <x v="65"/>
    <s v="Census Tract 13, King County, Washington"/>
    <n v="1228.8384577949707"/>
    <n v="930.15480399789419"/>
    <n v="298.6836537970766"/>
    <n v="1228.8384577949707"/>
    <n v="930.15480399789419"/>
    <n v="298.6836537970766"/>
    <n v="644.67263766146186"/>
    <n v="39.329431393169386"/>
    <n v="59.681724561662641"/>
    <n v="22.55254107860063"/>
    <n v="21.727448112310363"/>
    <n v="25.852912943761698"/>
    <n v="0"/>
    <n v="0"/>
    <n v="102.3115278199931"/>
    <n v="183.44566950520269"/>
    <n v="0"/>
    <n v="0"/>
    <n v="26.402974921288539"/>
    <n v="23.102603056127474"/>
    <n v="75.358490921177705"/>
    <n v="4.4004958202147568"/>
  </r>
  <r>
    <x v="66"/>
    <s v="Census Tract 15, King County, Washington"/>
    <n v="0.39018021939823599"/>
    <n v="0.35159096693027858"/>
    <n v="3.8589252467957406E-2"/>
    <n v="0.39018021939823599"/>
    <n v="0.35159096693027858"/>
    <n v="3.8589252467957406E-2"/>
    <n v="0.32295529148778634"/>
    <n v="2.4501112678068194E-2"/>
    <n v="6.278410123754974E-3"/>
    <n v="0"/>
    <n v="0"/>
    <n v="0"/>
    <n v="1.0719236796654834E-3"/>
    <n v="0"/>
    <n v="9.1879172542755731E-3"/>
    <n v="1.4088139789889211E-2"/>
    <n v="0"/>
    <n v="0"/>
    <n v="0"/>
    <n v="0"/>
    <n v="1.209742438479617E-2"/>
    <n v="0"/>
  </r>
  <r>
    <x v="59"/>
    <s v="Census Tract 15, King County, Washington"/>
    <n v="2375.5417194958914"/>
    <n v="2140.5980329523418"/>
    <n v="234.94368654354969"/>
    <n v="2375.5417194958914"/>
    <n v="2140.5980329523418"/>
    <n v="234.94368654354969"/>
    <n v="1966.2549004775647"/>
    <n v="149.17059463082521"/>
    <n v="38.224964874148959"/>
    <n v="0"/>
    <n v="0"/>
    <n v="0"/>
    <n v="6.5262135150986023"/>
    <n v="0"/>
    <n v="55.938972986559449"/>
    <n v="85.773091912724496"/>
    <n v="0"/>
    <n v="0"/>
    <n v="0"/>
    <n v="0"/>
    <n v="73.652981098969946"/>
    <n v="0"/>
  </r>
  <r>
    <x v="67"/>
    <s v="Census Tract 15, King County, Washington"/>
    <n v="172.02367237965029"/>
    <n v="155.01034214430027"/>
    <n v="17.013330235350029"/>
    <n v="172.02367237965029"/>
    <n v="155.01034214430027"/>
    <n v="17.013330235350029"/>
    <n v="142.38537089822702"/>
    <n v="10.802114435142876"/>
    <n v="2.7680418240053619"/>
    <n v="0"/>
    <n v="0"/>
    <n v="0"/>
    <n v="0.47259250653750079"/>
    <n v="0"/>
    <n v="4.0507929131785785"/>
    <n v="6.2112158002071531"/>
    <n v="0"/>
    <n v="0"/>
    <n v="0"/>
    <n v="0"/>
    <n v="5.333544002351795"/>
    <n v="0"/>
  </r>
  <r>
    <x v="68"/>
    <s v="Census Tract 35, King County, Washington"/>
    <n v="4041.5334758368444"/>
    <n v="3588.5943995519947"/>
    <n v="452.93907628484999"/>
    <n v="4041.5334758368444"/>
    <n v="3588.5943995519947"/>
    <n v="452.93907628484999"/>
    <n v="3078.7885229406324"/>
    <n v="327.2335176683498"/>
    <n v="76.820063598972354"/>
    <n v="9.9766316362301772"/>
    <n v="26.936905417821478"/>
    <n v="11.971957963476212"/>
    <n v="0.99766316362301766"/>
    <n v="0"/>
    <n v="203.5232853790956"/>
    <n v="103.75696901679383"/>
    <n v="10.974294799853194"/>
    <n v="0"/>
    <n v="7.9813053089841413"/>
    <n v="0"/>
    <n v="182.57235894301223"/>
    <n v="0"/>
  </r>
  <r>
    <x v="14"/>
    <s v="Census Tract 35, King County, Washington"/>
    <n v="2.7031653525218E-2"/>
    <n v="2.4002186553988929E-2"/>
    <n v="3.0294669712290726E-3"/>
    <n v="2.7031653525218E-2"/>
    <n v="2.4002186553988929E-2"/>
    <n v="3.0294669712290726E-3"/>
    <n v="2.0592368002671627E-2"/>
    <n v="2.188689794191929E-3"/>
    <n v="5.1380827485603218E-4"/>
    <n v="6.672834738390028E-5"/>
    <n v="1.8016653793653074E-4"/>
    <n v="8.0074016860680325E-5"/>
    <n v="6.6728347383900276E-6"/>
    <n v="0"/>
    <n v="1.3612582866315657E-3"/>
    <n v="6.9397481279256283E-4"/>
    <n v="7.3401182122290309E-5"/>
    <n v="0"/>
    <n v="5.3382677907120221E-5"/>
    <n v="0"/>
    <n v="1.2211287571253751E-3"/>
    <n v="0"/>
  </r>
  <r>
    <x v="15"/>
    <s v="Census Tract 35, King County, Washington"/>
    <n v="1.4697267362091555"/>
    <n v="1.3050128536520198"/>
    <n v="0.16471388255713568"/>
    <n v="1.4697267362091555"/>
    <n v="1.3050128536520198"/>
    <n v="0.16471388255713568"/>
    <n v="1.1196190342980632"/>
    <n v="0.11900033805889978"/>
    <n v="2.7936054971144157E-2"/>
    <n v="3.6280590871615786E-3"/>
    <n v="9.7957595353362625E-3"/>
    <n v="4.353670904593895E-3"/>
    <n v="3.6280590871615788E-4"/>
    <n v="0"/>
    <n v="7.401240537809621E-2"/>
    <n v="3.7731814506480423E-2"/>
    <n v="3.9908649958777364E-3"/>
    <n v="0"/>
    <n v="2.9024472697292631E-3"/>
    <n v="0"/>
    <n v="6.6393481295056886E-2"/>
    <n v="0"/>
  </r>
  <r>
    <x v="69"/>
    <s v="Census Tract 35, King County, Washington"/>
    <n v="7.9697563140764682"/>
    <n v="7.0765770085739463"/>
    <n v="0.893179305502522"/>
    <n v="7.9697563140764682"/>
    <n v="7.0765770085739463"/>
    <n v="0.893179305502522"/>
    <n v="6.0712584510589931"/>
    <n v="0.6452925378960952"/>
    <n v="0.15148635798170526"/>
    <n v="1.9673552984637049E-2"/>
    <n v="5.3118593058520028E-2"/>
    <n v="2.3608263581564457E-2"/>
    <n v="1.9673552984637048E-3"/>
    <n v="0"/>
    <n v="0.4013404808865958"/>
    <n v="0.2046049510402253"/>
    <n v="2.1640908283100752E-2"/>
    <n v="0"/>
    <n v="1.5738842387709638E-2"/>
    <n v="0"/>
    <n v="0.360026019618858"/>
    <n v="0"/>
  </r>
  <r>
    <x v="70"/>
    <s v="Census Tract 40, King County, Washington"/>
    <n v="911.64974427072843"/>
    <n v="765.69456319924222"/>
    <n v="145.95518107148624"/>
    <n v="911.64974427072843"/>
    <n v="765.69456319924222"/>
    <n v="145.95518107148624"/>
    <n v="586.10127399018688"/>
    <n v="45.040856658778957"/>
    <n v="11.402748521209862"/>
    <n v="2.2805497042419725"/>
    <n v="89.796644604527671"/>
    <n v="19.954809912117259"/>
    <n v="0"/>
    <n v="0"/>
    <n v="15.393710503633313"/>
    <n v="69.271697266349918"/>
    <n v="0"/>
    <n v="0"/>
    <n v="7.4117865387864104"/>
    <n v="0"/>
    <n v="55.588399040898075"/>
    <n v="9.407267529998137"/>
  </r>
  <r>
    <x v="71"/>
    <s v="Census Tract 40, King County, Washington"/>
    <n v="2281.667133927102"/>
    <n v="1916.3720830919938"/>
    <n v="365.29505083510827"/>
    <n v="2281.667133927102"/>
    <n v="1916.3720830919938"/>
    <n v="365.29505083510827"/>
    <n v="1466.8879385097316"/>
    <n v="112.7277695936467"/>
    <n v="28.538675846492833"/>
    <n v="5.7077351692985667"/>
    <n v="224.74207229113105"/>
    <n v="49.94268273136246"/>
    <n v="0"/>
    <n v="0"/>
    <n v="38.527212392765328"/>
    <n v="173.37245576744397"/>
    <n v="0"/>
    <n v="0"/>
    <n v="18.550139300220341"/>
    <n v="0"/>
    <n v="139.12604475165256"/>
    <n v="23.544407573356587"/>
  </r>
  <r>
    <x v="72"/>
    <s v="Census Tract 40, King County, Washington"/>
    <n v="2.7220343257514257"/>
    <n v="2.2862364599650808"/>
    <n v="0.43579786578634455"/>
    <n v="2.7220343257514257"/>
    <n v="2.2862364599650808"/>
    <n v="0.43579786578634455"/>
    <n v="1.7500008047982898"/>
    <n v="0.13448449764500475"/>
    <n v="3.4046708264558169E-2"/>
    <n v="6.8093416529116336E-3"/>
    <n v="0.26811782758339558"/>
    <n v="5.9581739462976797E-2"/>
    <n v="0"/>
    <n v="0"/>
    <n v="4.5963056157153528E-2"/>
    <n v="0.20683375270719087"/>
    <n v="0"/>
    <n v="0"/>
    <n v="2.2130360371962809E-2"/>
    <n v="0"/>
    <n v="0.16597770278972107"/>
    <n v="2.8088534318260489E-2"/>
  </r>
  <r>
    <x v="70"/>
    <s v="Census Tract 41, King County, Washington"/>
    <n v="2.2620683714472904E-3"/>
    <n v="1.8796302970321486E-3"/>
    <n v="3.8243807441514161E-4"/>
    <n v="2.2620683714472904E-3"/>
    <n v="1.8796302970321486E-3"/>
    <n v="3.8243807441514161E-4"/>
    <n v="1.6856979202376145E-3"/>
    <n v="1.6422844868462018E-4"/>
    <n v="1.1995817121311387E-5"/>
    <n v="1.3995119974863285E-5"/>
    <n v="1.999302853551898E-6"/>
    <n v="2.8561469336455684E-7"/>
    <n v="0"/>
    <n v="0"/>
    <n v="7.4545434968149334E-5"/>
    <n v="2.0364327636892903E-4"/>
    <n v="4.5698350938329095E-6"/>
    <n v="0"/>
    <n v="0"/>
    <n v="2.8561469336455684E-7"/>
    <n v="1.0082198675768857E-4"/>
    <n v="0"/>
  </r>
  <r>
    <x v="71"/>
    <s v="Census Tract 41, King County, Washington"/>
    <n v="30.075716932796173"/>
    <n v="24.990946102870154"/>
    <n v="5.0847708299260193"/>
    <n v="30.075716932796173"/>
    <n v="24.990946102870154"/>
    <n v="5.0847708299260193"/>
    <n v="22.412485017343815"/>
    <n v="2.1835274288330555"/>
    <n v="0.15949243827997969"/>
    <n v="0.18607451132664299"/>
    <n v="2.6582073046663282E-2"/>
    <n v="3.7974390066661833E-3"/>
    <n v="0"/>
    <n v="0"/>
    <n v="0.99113158073987384"/>
    <n v="2.7075740117529885"/>
    <n v="6.0759024106658933E-2"/>
    <n v="0"/>
    <n v="0"/>
    <n v="3.7974390066661833E-3"/>
    <n v="1.3404959693531626"/>
    <n v="0"/>
  </r>
  <r>
    <x v="1"/>
    <s v="Census Tract 41, King County, Washington"/>
    <n v="1.570755555074294"/>
    <n v="1.3051947358515061"/>
    <n v="0.26556081922278785"/>
    <n v="1.570755555074294"/>
    <n v="1.3051947358515061"/>
    <n v="0.26556081922278785"/>
    <n v="1.1705302128849095"/>
    <n v="0.11403843992016655"/>
    <n v="8.3297643072121653E-3"/>
    <n v="9.7180583584141923E-3"/>
    <n v="1.3882940512020276E-3"/>
    <n v="1.9832772160028965E-4"/>
    <n v="0"/>
    <n v="0"/>
    <n v="5.1763535337675602E-2"/>
    <n v="0.14140766550100653"/>
    <n v="3.1732435456046345E-3"/>
    <n v="0"/>
    <n v="0"/>
    <n v="1.9832772160028965E-4"/>
    <n v="7.0009685724902251E-2"/>
    <n v="0"/>
  </r>
  <r>
    <x v="72"/>
    <s v="Census Tract 41, King County, Washington"/>
    <n v="3414.2791364370764"/>
    <n v="2837.0417925369193"/>
    <n v="577.23734390015727"/>
    <n v="3414.2791364370764"/>
    <n v="2837.0417925369193"/>
    <n v="577.23734390015727"/>
    <n v="2544.3277100065184"/>
    <n v="247.88011407213622"/>
    <n v="18.10602572352995"/>
    <n v="21.123696677451608"/>
    <n v="3.0176709539216584"/>
    <n v="0.43109585056023692"/>
    <n v="0"/>
    <n v="0"/>
    <n v="112.51601699622184"/>
    <n v="307.37134144944895"/>
    <n v="6.8975336089637906"/>
    <n v="0"/>
    <n v="0"/>
    <n v="0.43109585056023692"/>
    <n v="152.17683524776362"/>
    <n v="0"/>
  </r>
  <r>
    <x v="73"/>
    <s v="Census Tract 41, King County, Washington"/>
    <n v="4339.5419414618827"/>
    <n v="3605.8744339344253"/>
    <n v="733.66750752745713"/>
    <n v="4339.5419414618827"/>
    <n v="3605.8744339344253"/>
    <n v="733.66750752745713"/>
    <n v="3233.8354215287918"/>
    <n v="315.05512832583111"/>
    <n v="23.012722416843317"/>
    <n v="26.848176152983871"/>
    <n v="3.8354537361405527"/>
    <n v="0.54792196230579326"/>
    <n v="0"/>
    <n v="0"/>
    <n v="143.00763216181204"/>
    <n v="390.66835912403059"/>
    <n v="8.7667513968926922"/>
    <n v="0"/>
    <n v="0"/>
    <n v="0.54792196230579326"/>
    <n v="193.41645269394502"/>
    <n v="0"/>
  </r>
  <r>
    <x v="74"/>
    <s v="Census Tract 41, King County, Washington"/>
    <n v="84.619782442481011"/>
    <n v="70.313483365399932"/>
    <n v="14.30629907708107"/>
    <n v="84.619782442481011"/>
    <n v="70.313483365399932"/>
    <n v="14.30629907708107"/>
    <n v="63.058832825192283"/>
    <n v="6.143481679851841"/>
    <n v="0.44874127052830837"/>
    <n v="0.52353148228302637"/>
    <n v="7.4790211754718061E-2"/>
    <n v="1.0684315964959723E-2"/>
    <n v="0"/>
    <n v="0"/>
    <n v="2.7886064668544877"/>
    <n v="7.6179172830162827"/>
    <n v="0.17094905543935557"/>
    <n v="0"/>
    <n v="0"/>
    <n v="1.0684315964959723E-2"/>
    <n v="3.7715635356307824"/>
    <n v="0"/>
  </r>
  <r>
    <x v="70"/>
    <s v="Census Tract 42, King County, Washington"/>
    <n v="1.1613210427042584"/>
    <n v="0.96703524518397865"/>
    <n v="0.19428579752027966"/>
    <n v="1.1613210427042584"/>
    <n v="0.96703524518397865"/>
    <n v="0.19428579752027966"/>
    <n v="0.85760359810011788"/>
    <n v="6.1787002744965271E-2"/>
    <n v="3.8857159504055938E-2"/>
    <n v="6.5906136261296286E-3"/>
    <n v="1.3455836153347991E-2"/>
    <n v="7.5517447799401992E-3"/>
    <n v="1.3730445054436726E-4"/>
    <n v="0"/>
    <n v="2.4852105548530474E-2"/>
    <n v="8.8561370601116879E-2"/>
    <n v="0"/>
    <n v="1.2220096098448686E-2"/>
    <n v="4.8056557690528542E-3"/>
    <n v="2.746089010887345E-3"/>
    <n v="2.7323585658329087E-2"/>
    <n v="1.4828880658791664E-2"/>
  </r>
  <r>
    <x v="0"/>
    <s v="Census Tract 42, King County, Washington"/>
    <n v="2244.1841790171115"/>
    <n v="1868.7383746532889"/>
    <n v="375.44580436382279"/>
    <n v="2244.1841790171115"/>
    <n v="1868.7383746532889"/>
    <n v="375.44580436382279"/>
    <n v="1657.2681936794609"/>
    <n v="119.39972576941361"/>
    <n v="75.089160872764552"/>
    <n v="12.735970748737451"/>
    <n v="26.002606945338961"/>
    <n v="14.593299816261663"/>
    <n v="0.26533272393203022"/>
    <n v="0"/>
    <n v="48.025223031697472"/>
    <n v="171.13960693615948"/>
    <n v="0"/>
    <n v="23.614612429950689"/>
    <n v="9.2866453376210583"/>
    <n v="5.3066544786406045"/>
    <n v="52.801212062474015"/>
    <n v="28.655934184659266"/>
  </r>
  <r>
    <x v="71"/>
    <s v="Census Tract 42, King County, Washington"/>
    <n v="2.7082502370279309E-3"/>
    <n v="2.2551674650493872E-3"/>
    <n v="4.5308277197854369E-4"/>
    <n v="2.7082502370279309E-3"/>
    <n v="2.2551674650493872E-3"/>
    <n v="4.5308277197854369E-4"/>
    <n v="1.9999681934826739E-3"/>
    <n v="1.440899274843425E-4"/>
    <n v="9.0616554395708731E-5"/>
    <n v="1.5369592264996535E-5"/>
    <n v="3.1379584207701257E-5"/>
    <n v="1.7610991136975195E-5"/>
    <n v="3.2019983885409447E-7"/>
    <n v="0"/>
    <n v="5.79561708325911E-5"/>
    <n v="2.0652889606089092E-4"/>
    <n v="0"/>
    <n v="2.8497785658014407E-5"/>
    <n v="1.1206994359893306E-5"/>
    <n v="6.4039967770818891E-6"/>
    <n v="6.3719767931964794E-5"/>
    <n v="3.4581582596242204E-5"/>
  </r>
  <r>
    <x v="1"/>
    <s v="Census Tract 42, King County, Washington"/>
    <n v="3815.4935431209419"/>
    <n v="3177.1720293450926"/>
    <n v="638.32151377584921"/>
    <n v="3815.4935431209419"/>
    <n v="3177.1720293450926"/>
    <n v="638.32151377584921"/>
    <n v="2817.6368728225825"/>
    <n v="202.99977469903334"/>
    <n v="127.66430275516984"/>
    <n v="21.653309301230223"/>
    <n v="44.208839823345038"/>
    <n v="24.811083574326297"/>
    <n v="0.45111061044229628"/>
    <n v="0"/>
    <n v="81.651020490055629"/>
    <n v="290.9663437352811"/>
    <n v="0"/>
    <n v="40.148844329364366"/>
    <n v="15.78887136548037"/>
    <n v="9.0222122088459251"/>
    <n v="89.771011478016959"/>
    <n v="48.719945927767995"/>
  </r>
  <r>
    <x v="72"/>
    <s v="Census Tract 42, King County, Washington"/>
    <n v="2377.0018027003371"/>
    <n v="1979.3359773490747"/>
    <n v="397.66582535126236"/>
    <n v="2377.0018027003371"/>
    <n v="1979.3359773490747"/>
    <n v="397.66582535126236"/>
    <n v="1755.3503499250776"/>
    <n v="126.46616353927072"/>
    <n v="79.53316507025248"/>
    <n v="13.489724110855544"/>
    <n v="27.541520059663402"/>
    <n v="15.456975543688642"/>
    <n v="0.28103591897615715"/>
    <n v="0"/>
    <n v="50.867501334684441"/>
    <n v="181.26816773962136"/>
    <n v="0"/>
    <n v="25.012196788877986"/>
    <n v="9.8362571641655006"/>
    <n v="5.6207183795231428"/>
    <n v="55.926147876255271"/>
    <n v="30.351879249424972"/>
  </r>
  <r>
    <x v="73"/>
    <s v="Census Tract 42, King County, Washington"/>
    <n v="18.340493718290542"/>
    <n v="15.272179860241227"/>
    <n v="3.0683138580493163"/>
    <n v="18.340493718290542"/>
    <n v="15.272179860241227"/>
    <n v="3.0683138580493163"/>
    <n v="13.54394936917034"/>
    <n v="0.97578885945031268"/>
    <n v="0.61366277160986327"/>
    <n v="0.10408414500803334"/>
    <n v="0.21250512939140143"/>
    <n v="0.11926308282170488"/>
    <n v="2.1684196876673614E-3"/>
    <n v="0"/>
    <n v="0.39248396346779241"/>
    <n v="1.3986306985454482"/>
    <n v="0"/>
    <n v="0.19298935220239516"/>
    <n v="7.5894689068357654E-2"/>
    <n v="4.336839375334723E-2"/>
    <n v="0.43151551784580494"/>
    <n v="0.23418932626807504"/>
  </r>
  <r>
    <x v="74"/>
    <s v="Census Tract 42, King County, Washington"/>
    <n v="1.8161272083783653"/>
    <n v="1.5122941509350705"/>
    <n v="0.30383305744329475"/>
    <n v="1.8161272083783653"/>
    <n v="1.5122941509350705"/>
    <n v="0.30383305744329475"/>
    <n v="1.3411599129263738"/>
    <n v="9.6625353957231541E-2"/>
    <n v="6.0766611488658945E-2"/>
    <n v="1.0306704422104698E-2"/>
    <n v="2.1042854861797092E-2"/>
    <n v="1.1809765483661633E-2"/>
    <n v="2.1472300879384786E-4"/>
    <n v="0"/>
    <n v="3.8864864591686463E-2"/>
    <n v="0.13849634067203187"/>
    <n v="0"/>
    <n v="1.911034778265246E-2"/>
    <n v="7.5153053077846753E-3"/>
    <n v="4.294460175876957E-3"/>
    <n v="4.2729878749975726E-2"/>
    <n v="2.3190084949735568E-2"/>
  </r>
  <r>
    <x v="75"/>
    <s v="Census Tract 34, King County, Washington"/>
    <n v="2.0957154426282546E-2"/>
    <n v="1.9291344008897069E-2"/>
    <n v="1.665810417385474E-3"/>
    <n v="2.0957154426282546E-2"/>
    <n v="1.9291344008897069E-2"/>
    <n v="1.665810417385474E-3"/>
    <n v="1.6938601460630989E-2"/>
    <n v="8.1859412263272436E-4"/>
    <n v="2.6332398350423301E-4"/>
    <n v="5.1519909816045588E-5"/>
    <n v="2.8622172120025329E-4"/>
    <n v="0"/>
    <n v="9.7315385208086118E-5"/>
    <n v="0"/>
    <n v="6.98380999728618E-4"/>
    <n v="6.2968778664055714E-4"/>
    <n v="0"/>
    <n v="0"/>
    <n v="1.316619917521165E-4"/>
    <n v="0"/>
    <n v="8.7583846687277502E-4"/>
    <n v="1.6600859829614691E-4"/>
  </r>
  <r>
    <x v="76"/>
    <s v="Census Tract 34, King County, Washington"/>
    <n v="1520.1080390713714"/>
    <n v="1399.2800031877962"/>
    <n v="120.82803588357528"/>
    <n v="1520.1080390713714"/>
    <n v="1399.2800031877962"/>
    <n v="120.82803588357528"/>
    <n v="1228.625973125427"/>
    <n v="59.375976396396098"/>
    <n v="19.099964435204342"/>
    <n v="3.7369495634095449"/>
    <n v="20.760830907830805"/>
    <n v="0"/>
    <n v="7.0586825086624732"/>
    <n v="0"/>
    <n v="50.65642741510716"/>
    <n v="45.673827997227768"/>
    <n v="0"/>
    <n v="0"/>
    <n v="9.5499822176021709"/>
    <n v="0"/>
    <n v="63.528142577962264"/>
    <n v="12.041281926541867"/>
  </r>
  <r>
    <x v="68"/>
    <s v="Census Tract 34, King County, Washington"/>
    <n v="2140.8709991232586"/>
    <n v="1970.7007011869384"/>
    <n v="170.1702979363202"/>
    <n v="2140.8709991232586"/>
    <n v="1970.7007011869384"/>
    <n v="170.1702979363202"/>
    <n v="1730.3570845139911"/>
    <n v="83.623204827813709"/>
    <n v="26.899772182373638"/>
    <n v="5.2629989052470165"/>
    <n v="29.238882806927869"/>
    <n v="0"/>
    <n v="9.9412201543554755"/>
    <n v="0"/>
    <n v="71.342874048903994"/>
    <n v="64.32554217524131"/>
    <n v="0"/>
    <n v="0"/>
    <n v="13.449886091186819"/>
    <n v="0"/>
    <n v="89.470981389199281"/>
    <n v="16.958552028018165"/>
  </r>
  <r>
    <x v="14"/>
    <s v="Census Tract 45, King County, Washington"/>
    <n v="1857.5765246504225"/>
    <n v="1659.2859675369627"/>
    <n v="198.29055711345973"/>
    <n v="1857.5765246504225"/>
    <n v="1659.2859675369627"/>
    <n v="198.29055711345973"/>
    <n v="1386.8571012356813"/>
    <n v="82.375899097579705"/>
    <n v="25.301169008542338"/>
    <n v="0"/>
    <n v="17.06357909878437"/>
    <n v="2.9419963963421325"/>
    <n v="9.414388468294824"/>
    <n v="0"/>
    <n v="121.21025152929586"/>
    <n v="97.085881079290374"/>
    <n v="0"/>
    <n v="0"/>
    <n v="0"/>
    <n v="0"/>
    <n v="99.439478196364078"/>
    <n v="15.886780540247516"/>
  </r>
  <r>
    <x v="69"/>
    <s v="Census Tract 45, King County, Washington"/>
    <n v="1.8359107974014013"/>
    <n v="1.6399329897598833"/>
    <n v="0.19597780764151795"/>
    <n v="1.8359107974014013"/>
    <n v="1.6399329897598833"/>
    <n v="0.19597780764151795"/>
    <n v="1.3706815804482428"/>
    <n v="8.1415112966802719E-2"/>
    <n v="2.5006070411232262E-2"/>
    <n v="0"/>
    <n v="1.6864559114551991E-2"/>
    <n v="2.9076826059572401E-3"/>
    <n v="9.3045843390631676E-3"/>
    <n v="0"/>
    <n v="0.11979652336543828"/>
    <n v="9.595352599658892E-2"/>
    <n v="0"/>
    <n v="0"/>
    <n v="0"/>
    <n v="0"/>
    <n v="9.8279672081354713E-2"/>
    <n v="1.5701486072169094E-2"/>
  </r>
  <r>
    <x v="6"/>
    <s v="Census Tract 45, King County, Washington"/>
    <n v="3.6322153912233747E-3"/>
    <n v="3.2444876158536319E-3"/>
    <n v="3.8772777536974257E-4"/>
    <n v="3.6322153912233747E-3"/>
    <n v="3.2444876158536319E-3"/>
    <n v="3.8772777536974257E-4"/>
    <n v="2.711793372541493E-3"/>
    <n v="1.6107385326932924E-4"/>
    <n v="4.9472683504151129E-5"/>
    <n v="0"/>
    <n v="3.3365298177218203E-5"/>
    <n v="5.7526376167617586E-6"/>
    <n v="1.8408440373637628E-5"/>
    <n v="0"/>
    <n v="2.3700866981058447E-4"/>
    <n v="1.8983704135313803E-4"/>
    <n v="0"/>
    <n v="0"/>
    <n v="0"/>
    <n v="0"/>
    <n v="1.9443915144654744E-4"/>
    <n v="3.1064243130513497E-5"/>
  </r>
  <r>
    <x v="74"/>
    <s v="Census Tract 45, King County, Washington"/>
    <n v="1297.5838805824208"/>
    <n v="1159.0708087559158"/>
    <n v="138.51307182650484"/>
    <n v="1297.5838805824208"/>
    <n v="1159.0708087559158"/>
    <n v="138.51307182650484"/>
    <n v="968.76946675095519"/>
    <n v="57.542522420506458"/>
    <n v="17.673774743441271"/>
    <n v="0"/>
    <n v="11.919522501390624"/>
    <n v="2.0550900864466595"/>
    <n v="6.5762882766293096"/>
    <n v="0"/>
    <n v="84.669711561602355"/>
    <n v="67.817972852739757"/>
    <n v="0"/>
    <n v="0"/>
    <n v="0"/>
    <n v="0"/>
    <n v="69.462044921897089"/>
    <n v="11.09748646681196"/>
  </r>
  <r>
    <x v="77"/>
    <s v="Census Tract 47, King County, Washington"/>
    <n v="3873.7863529239503"/>
    <n v="3337.6639960676698"/>
    <n v="536.12235685628036"/>
    <n v="3873.7863529239503"/>
    <n v="3337.6639960676698"/>
    <n v="536.12235685628036"/>
    <n v="2743.3161535043582"/>
    <n v="277.69077798737993"/>
    <n v="38.070509885366604"/>
    <n v="31.800072963070928"/>
    <n v="38.070509885366604"/>
    <n v="32.695849666256024"/>
    <n v="0"/>
    <n v="0"/>
    <n v="199.75820481027654"/>
    <n v="174.67645712109385"/>
    <n v="0"/>
    <n v="0"/>
    <n v="30.008519556700737"/>
    <n v="0"/>
    <n v="288.44009842560109"/>
    <n v="19.259199118479579"/>
  </r>
  <r>
    <x v="76"/>
    <s v="Census Tract 47, King County, Washington"/>
    <n v="4758.1447892486804"/>
    <n v="4099.6294334005279"/>
    <n v="658.51535584815247"/>
    <n v="4758.1447892486804"/>
    <n v="4099.6294334005279"/>
    <n v="658.51535584815247"/>
    <n v="3369.5961191060433"/>
    <n v="341.0856479748158"/>
    <n v="46.761742061063458"/>
    <n v="39.059808074535361"/>
    <n v="46.761742061063458"/>
    <n v="40.160084358325086"/>
    <n v="0"/>
    <n v="0"/>
    <n v="245.36161128510943"/>
    <n v="214.55387533899705"/>
    <n v="0"/>
    <n v="0"/>
    <n v="36.859255506955904"/>
    <n v="0"/>
    <n v="354.28896338029256"/>
    <n v="23.65594010147916"/>
  </r>
  <r>
    <x v="15"/>
    <s v="Census Tract 47, King County, Washington"/>
    <n v="1.9786439468750167E-2"/>
    <n v="1.7048045660900249E-2"/>
    <n v="2.7383938078499193E-3"/>
    <n v="1.9786439468750167E-2"/>
    <n v="1.7048045660900249E-2"/>
    <n v="2.7383938078499193E-3"/>
    <n v="1.4012249016775903E-2"/>
    <n v="1.4183827576164994E-3"/>
    <n v="1.9445570064097171E-4"/>
    <n v="1.6242770288834107E-4"/>
    <n v="1.9445570064097171E-4"/>
    <n v="1.6700313113871687E-4"/>
    <n v="0"/>
    <n v="0"/>
    <n v="1.0203204998338045E-3"/>
    <n v="8.9220850882328192E-4"/>
    <n v="0"/>
    <n v="0"/>
    <n v="1.5327684638758945E-4"/>
    <n v="0"/>
    <n v="1.4732878966210092E-3"/>
    <n v="9.8371707383079803E-5"/>
  </r>
  <r>
    <x v="76"/>
    <s v="Census Tract 48, King County, Washington"/>
    <n v="1298.3944255912945"/>
    <n v="1200.0541935907079"/>
    <n v="98.340232000586752"/>
    <n v="1298.3944255912945"/>
    <n v="1200.0541935907079"/>
    <n v="98.340232000586752"/>
    <n v="1041.0413248802474"/>
    <n v="46.010082838320798"/>
    <n v="3.5392371414092922"/>
    <n v="9.353698159438844"/>
    <n v="0"/>
    <n v="9.60650081239665"/>
    <n v="2.7808291825358724"/>
    <n v="4.0448424473249052"/>
    <n v="53.846965080012801"/>
    <n v="29.325107743105562"/>
    <n v="0"/>
    <n v="0"/>
    <n v="18.707396318877688"/>
    <n v="0"/>
    <n v="80.138440987624691"/>
    <n v="0"/>
  </r>
  <r>
    <x v="68"/>
    <s v="Census Tract 48, King County, Washington"/>
    <n v="609.07090804072948"/>
    <n v="562.93995336241096"/>
    <n v="46.130954678318489"/>
    <n v="609.07090804072948"/>
    <n v="562.93995336241096"/>
    <n v="46.130954678318489"/>
    <n v="488.34774129901166"/>
    <n v="21.583120183686283"/>
    <n v="1.6602400141297142"/>
    <n v="4.3877771801999588"/>
    <n v="0"/>
    <n v="4.5063657526377954"/>
    <n v="1.304474296816204"/>
    <n v="1.8974171590053877"/>
    <n v="25.259365929259221"/>
    <n v="13.75627440278906"/>
    <n v="0"/>
    <n v="0"/>
    <n v="8.7755543603999175"/>
    <n v="0"/>
    <n v="37.592577462794246"/>
    <n v="0"/>
  </r>
  <r>
    <x v="15"/>
    <s v="Census Tract 48, King County, Washington"/>
    <n v="3224.5002351468611"/>
    <n v="2980.2769891437206"/>
    <n v="244.22324600314036"/>
    <n v="3224.5002351468611"/>
    <n v="2980.2769891437206"/>
    <n v="244.22324600314036"/>
    <n v="2585.3761620589512"/>
    <n v="114.26383232023534"/>
    <n v="8.789525563095026"/>
    <n v="23.229460416751138"/>
    <n v="0"/>
    <n v="23.857283671257928"/>
    <n v="6.9060557995746628"/>
    <n v="10.045172072108601"/>
    <n v="133.72635320994576"/>
    <n v="72.827497522787354"/>
    <n v="0"/>
    <n v="0"/>
    <n v="46.458920833502276"/>
    <n v="0"/>
    <n v="199.01997167865164"/>
    <n v="0"/>
  </r>
  <r>
    <x v="53"/>
    <s v="Census Tract 73, King County, Washington"/>
    <n v="4028.6966615960114"/>
    <n v="2879.7291878669812"/>
    <n v="1148.9674737290302"/>
    <n v="4028.6966615960114"/>
    <n v="2879.7291878669812"/>
    <n v="1148.9674737290302"/>
    <n v="1999.4227193948448"/>
    <n v="284.5004296031056"/>
    <n v="160.83107797691622"/>
    <n v="123.06014299748892"/>
    <n v="268.66100525689416"/>
    <n v="103.56546687907483"/>
    <n v="4.8736690296035219"/>
    <n v="0"/>
    <n v="136.46273282889862"/>
    <n v="533.05755011288522"/>
    <n v="37.770934979427295"/>
    <n v="0"/>
    <n v="46.909064409933897"/>
    <n v="68.840575043149741"/>
    <n v="224.79798399046246"/>
    <n v="35.943309093325972"/>
  </r>
  <r>
    <x v="8"/>
    <s v="Census Tract 73, King County, Washington"/>
    <n v="2237.7225702443611"/>
    <n v="1599.5334325639037"/>
    <n v="638.18913768045752"/>
    <n v="2237.7225702443611"/>
    <n v="1599.5334325639037"/>
    <n v="638.18913768045752"/>
    <n v="1110.5709172148788"/>
    <n v="158.02456378407933"/>
    <n v="89.33294398072151"/>
    <n v="68.353237439794484"/>
    <n v="149.22662233143254"/>
    <n v="57.525001805767637"/>
    <n v="2.7070589085067125"/>
    <n v="0"/>
    <n v="75.797649438187946"/>
    <n v="296.08456811792166"/>
    <n v="20.979706540927022"/>
    <n v="0"/>
    <n v="26.055441994377109"/>
    <n v="38.237207082657314"/>
    <n v="124.86309215487212"/>
    <n v="19.964559450237005"/>
  </r>
  <r>
    <x v="9"/>
    <s v="Census Tract 73, King County, Washington"/>
    <n v="1.9663544138816573"/>
    <n v="1.4055583418143951"/>
    <n v="0.56079607206726234"/>
    <n v="1.9663544138816573"/>
    <n v="1.4055583418143951"/>
    <n v="0.56079607206726234"/>
    <n v="0.97589221024642359"/>
    <n v="0.13886095739947588"/>
    <n v="7.8499556217262595E-2"/>
    <n v="6.0064054378360016E-2"/>
    <n v="0.13112994049929091"/>
    <n v="5.054895665505546E-2"/>
    <n v="2.3787744308261393E-3"/>
    <n v="0"/>
    <n v="6.6605684063131901E-2"/>
    <n v="0.260178453371609"/>
    <n v="1.8435501838902579E-2"/>
    <n v="0"/>
    <n v="2.2895703896701591E-2"/>
    <n v="3.3600188835419216E-2"/>
    <n v="0.10972097062185568"/>
    <n v="1.7543461427342776E-2"/>
  </r>
  <r>
    <x v="4"/>
    <s v="Census Tract 73, King County, Washington"/>
    <n v="344.61436375798149"/>
    <n v="246.33178549583826"/>
    <n v="98.282578262143218"/>
    <n v="344.61436375798149"/>
    <n v="246.33178549583826"/>
    <n v="98.282578262143218"/>
    <n v="171.0304463713436"/>
    <n v="24.336142125355718"/>
    <n v="13.757476490565116"/>
    <n v="10.526553981417248"/>
    <n v="22.981239137648544"/>
    <n v="8.8589810734699608"/>
    <n v="0.41689322698682169"/>
    <n v="0"/>
    <n v="11.673010355631007"/>
    <n v="45.597696701683624"/>
    <n v="3.2309225091478679"/>
    <n v="0"/>
    <n v="4.0125973097481591"/>
    <n v="5.8886168311888563"/>
    <n v="19.229200094767151"/>
    <n v="3.0745875490278101"/>
  </r>
  <r>
    <x v="3"/>
    <s v="Census Tract 75, King County, Washington"/>
    <n v="279.46188500799866"/>
    <n v="242.45784928033152"/>
    <n v="37.004035727667137"/>
    <n v="279.46188500799866"/>
    <n v="242.45784928033152"/>
    <n v="37.004035727667137"/>
    <n v="184.98825108378202"/>
    <n v="17.847502995483975"/>
    <n v="6.9602068926932139"/>
    <n v="0.76626130928732628"/>
    <n v="9.4824837024306632"/>
    <n v="1.979508382325593"/>
    <n v="2.4264941460765335"/>
    <n v="0"/>
    <n v="11.749340075739005"/>
    <n v="8.5565846203751441"/>
    <n v="0"/>
    <n v="0"/>
    <n v="3.2885381190247753"/>
    <n v="4.4060025284021265"/>
    <n v="23.562535260585285"/>
    <n v="3.4481758917929684"/>
  </r>
  <r>
    <x v="17"/>
    <s v="Census Tract 75, King County, Washington"/>
    <n v="481.68197917672978"/>
    <n v="417.90162799818188"/>
    <n v="63.780351178547903"/>
    <n v="481.68197917672978"/>
    <n v="417.90162799818188"/>
    <n v="63.780351178547903"/>
    <n v="318.84672539129127"/>
    <n v="30.762050309584364"/>
    <n v="11.99664931572342"/>
    <n v="1.3207320347585416"/>
    <n v="16.344058930136953"/>
    <n v="3.4118910897928991"/>
    <n v="4.1823181100687155"/>
    <n v="0"/>
    <n v="20.251224532964304"/>
    <n v="14.748174388137048"/>
    <n v="0"/>
    <n v="0"/>
    <n v="5.6681416491720746"/>
    <n v="7.5942091998616146"/>
    <n v="40.612510068825152"/>
    <n v="5.9432941564134376"/>
  </r>
  <r>
    <x v="4"/>
    <s v="Census Tract 75, King County, Washington"/>
    <n v="7991.4219463462405"/>
    <n v="6933.263825037513"/>
    <n v="1058.1581213087277"/>
    <n v="7991.4219463462405"/>
    <n v="6933.263825037513"/>
    <n v="1058.1581213087277"/>
    <n v="5289.8776142042861"/>
    <n v="510.36271769765204"/>
    <n v="199.0323299786908"/>
    <n v="21.911816144443023"/>
    <n v="271.15872478748241"/>
    <n v="56.605525039811141"/>
    <n v="69.387417790736237"/>
    <n v="0"/>
    <n v="335.98118088145969"/>
    <n v="244.68194694628042"/>
    <n v="0"/>
    <n v="0"/>
    <n v="94.038210953234639"/>
    <n v="125.99294283054738"/>
    <n v="673.78834644162293"/>
    <n v="98.603172649993596"/>
  </r>
  <r>
    <x v="5"/>
    <s v="Census Tract 75, King County, Washington"/>
    <n v="0.43418946903136324"/>
    <n v="0.37669768397397152"/>
    <n v="5.7491785057391755E-2"/>
    <n v="0.43418946903136324"/>
    <n v="0.37669768397397152"/>
    <n v="5.7491785057391755E-2"/>
    <n v="0.28740932064066249"/>
    <n v="2.7728997279622081E-2"/>
    <n v="1.0813812892589649E-2"/>
    <n v="1.1905115111107869E-3"/>
    <n v="1.4732579949995989E-2"/>
    <n v="3.075488070369533E-3"/>
    <n v="3.7699531185174922E-3"/>
    <n v="0"/>
    <n v="1.8254509837032067E-2"/>
    <n v="1.3294045207403788E-2"/>
    <n v="0"/>
    <n v="0"/>
    <n v="5.1092785685171276E-3"/>
    <n v="6.8454411888870248E-3"/>
    <n v="3.6608228966656699E-2"/>
    <n v="5.3573017999985414E-3"/>
  </r>
  <r>
    <x v="55"/>
    <s v="Census Tract 80.01, King County, Washington"/>
    <n v="13.63402268811452"/>
    <n v="8.5457670504578314"/>
    <n v="5.0882556376566885"/>
    <n v="13.63402268811452"/>
    <n v="8.5457670504578314"/>
    <n v="5.0882556376566885"/>
    <n v="5.9390787114943642"/>
    <n v="1.96648568291404"/>
    <n v="0.33365610738732387"/>
    <n v="8.3414026846830969E-2"/>
    <n v="0.94049315269801914"/>
    <n v="0.17934015772068657"/>
    <n v="4.1707013423415484E-2"/>
    <n v="0"/>
    <n v="0.71527528021157549"/>
    <n v="2.6629928070850784"/>
    <n v="0"/>
    <n v="0"/>
    <n v="0.11677963758556334"/>
    <n v="0.15223059899546651"/>
    <n v="0.45877714765757027"/>
    <n v="4.3792364094586256E-2"/>
  </r>
  <r>
    <x v="7"/>
    <s v="Census Tract 80.01, King County, Washington"/>
    <n v="29.589343659584298"/>
    <n v="18.546517332055132"/>
    <n v="11.042826327529166"/>
    <n v="29.589343659584298"/>
    <n v="18.546517332055132"/>
    <n v="11.042826327529166"/>
    <n v="12.88933171344388"/>
    <n v="4.2677808306803291"/>
    <n v="0.72411975918224036"/>
    <n v="0.18102993979556009"/>
    <n v="2.0411125711949403"/>
    <n v="0.38921437056045421"/>
    <n v="9.0514969897780045E-2"/>
    <n v="0"/>
    <n v="1.5523317337469278"/>
    <n v="5.7793808279732559"/>
    <n v="0"/>
    <n v="0"/>
    <n v="0.25344191571378416"/>
    <n v="0.33037964012689719"/>
    <n v="0.99566466887558058"/>
    <n v="9.504071839266906E-2"/>
  </r>
  <r>
    <x v="8"/>
    <s v="Census Tract 80.01, King County, Washington"/>
    <n v="6275.9452024706852"/>
    <n v="3933.7447904137148"/>
    <n v="2342.20041205697"/>
    <n v="6275.9452024706852"/>
    <n v="3933.7447904137148"/>
    <n v="2342.20041205697"/>
    <n v="2733.8470383353488"/>
    <n v="905.20286416791919"/>
    <n v="153.58691226603082"/>
    <n v="38.396728066507706"/>
    <n v="432.9231089498744"/>
    <n v="82.55296534299157"/>
    <n v="19.198364033253853"/>
    <n v="0"/>
    <n v="329.2519431703036"/>
    <n v="1225.8155435232586"/>
    <n v="0"/>
    <n v="0"/>
    <n v="53.755419293110791"/>
    <n v="70.074028721376564"/>
    <n v="211.18200436579241"/>
    <n v="20.158282234916548"/>
  </r>
  <r>
    <x v="78"/>
    <s v="Census Tract 80.01, King County, Washington"/>
    <n v="188.21075703676033"/>
    <n v="117.96997282603914"/>
    <n v="70.240784210721202"/>
    <n v="188.21075703676033"/>
    <n v="117.96997282603914"/>
    <n v="70.240784210721202"/>
    <n v="81.985964521366384"/>
    <n v="27.146335865045121"/>
    <n v="4.6059530629981111"/>
    <n v="1.1514882657495278"/>
    <n v="12.983030196325927"/>
    <n v="2.475699771361485"/>
    <n v="0.57574413287476389"/>
    <n v="0"/>
    <n v="9.874011878802202"/>
    <n v="36.761262884053679"/>
    <n v="0"/>
    <n v="0"/>
    <n v="1.6120835720493392"/>
    <n v="2.1014660849928886"/>
    <n v="6.3331854616224037"/>
    <n v="0.60453133951850213"/>
  </r>
  <r>
    <x v="8"/>
    <s v="Census Tract 82, King County, Washington"/>
    <n v="5.1686671427363432E-4"/>
    <n v="3.9219041282491336E-4"/>
    <n v="1.2467630144872091E-4"/>
    <n v="5.1686671427363432E-4"/>
    <n v="3.9219041282491336E-4"/>
    <n v="1.2467630144872091E-4"/>
    <n v="3.208942207563043E-4"/>
    <n v="2.135204375204472E-5"/>
    <n v="7.4854866027283222E-6"/>
    <n v="2.5033430605845535E-5"/>
    <n v="3.7427433013641612E-5"/>
    <n v="2.8223965879139573E-6"/>
    <n v="0"/>
    <n v="0"/>
    <n v="1.1657725037035911E-5"/>
    <n v="7.3259598390636193E-5"/>
    <n v="0"/>
    <n v="0"/>
    <n v="0"/>
    <n v="0"/>
    <n v="1.4725547415203255E-5"/>
    <n v="2.2088321122804886E-6"/>
  </r>
  <r>
    <x v="9"/>
    <s v="Census Tract 82, King County, Washington"/>
    <n v="2845.6606699774479"/>
    <n v="2159.2429964976077"/>
    <n v="686.41767347984023"/>
    <n v="2845.6606699774479"/>
    <n v="2159.2429964976077"/>
    <n v="686.41767347984023"/>
    <n v="1766.7147796749825"/>
    <n v="117.55578266288603"/>
    <n v="41.212084726643951"/>
    <n v="137.82402105303879"/>
    <n v="206.06042363321976"/>
    <n v="15.538982765783786"/>
    <n v="0"/>
    <n v="0"/>
    <n v="64.182754902150421"/>
    <n v="403.33794396403999"/>
    <n v="0"/>
    <n v="0"/>
    <n v="0"/>
    <n v="0"/>
    <n v="81.072953560611055"/>
    <n v="12.160943034091659"/>
  </r>
  <r>
    <x v="17"/>
    <s v="Census Tract 82, King County, Washington"/>
    <n v="1366.0900509492217"/>
    <n v="1036.5678544239584"/>
    <n v="329.52219652526333"/>
    <n v="1366.0900509492217"/>
    <n v="1036.5678544239584"/>
    <n v="329.52219652526333"/>
    <n v="848.13045660783825"/>
    <n v="56.433919483657306"/>
    <n v="19.78430510633963"/>
    <n v="66.163905601529251"/>
    <n v="98.921525531698151"/>
    <n v="7.459656023701827"/>
    <n v="0"/>
    <n v="0"/>
    <n v="30.811622706594505"/>
    <n v="193.62672374565179"/>
    <n v="0"/>
    <n v="0"/>
    <n v="0"/>
    <n v="0"/>
    <n v="38.919944471487796"/>
    <n v="5.8379916707231692"/>
  </r>
  <r>
    <x v="4"/>
    <s v="Census Tract 82, King County, Washington"/>
    <n v="0.24870477698148896"/>
    <n v="0.18871331130884111"/>
    <n v="5.9991465672647862E-2"/>
    <n v="0.24870477698148896"/>
    <n v="0.18871331130884111"/>
    <n v="5.9991465672647862E-2"/>
    <n v="0.15440716804525015"/>
    <n v="1.0274128963622764E-2"/>
    <n v="3.6018498090861412E-3"/>
    <n v="1.2045530509074965E-2"/>
    <n v="1.8009249045430706E-2"/>
    <n v="1.3580745181800205E-3"/>
    <n v="0"/>
    <n v="0"/>
    <n v="5.6094382272653016E-3"/>
    <n v="3.525089075449879E-2"/>
    <n v="0"/>
    <n v="0"/>
    <n v="0"/>
    <n v="0"/>
    <n v="7.0856061818088028E-3"/>
    <n v="1.0628409272713203E-3"/>
  </r>
  <r>
    <x v="8"/>
    <s v="Census Tract 83, King County, Washington"/>
    <n v="3.2247379233353568"/>
    <n v="2.5091741146263451"/>
    <n v="0.71556380870901182"/>
    <n v="3.2247379233353568"/>
    <n v="2.5091741146263451"/>
    <n v="0.71556380870901182"/>
    <n v="2.0119356139759952"/>
    <n v="0.27891319259168779"/>
    <n v="0.10132801378799144"/>
    <n v="6.0587884533025813E-2"/>
    <n v="0.13475581215104018"/>
    <n v="1.4624661783833818E-2"/>
    <n v="5.5364791038799453E-2"/>
    <n v="0"/>
    <n v="8.4614114606467089E-2"/>
    <n v="0.33009950883510614"/>
    <n v="6.2677121930716359E-3"/>
    <n v="0"/>
    <n v="4.282936665265618E-2"/>
    <n v="3.1338560965358177E-2"/>
    <n v="7.2078690220323816E-2"/>
    <n v="0"/>
  </r>
  <r>
    <x v="9"/>
    <s v="Census Tract 83, King County, Washington"/>
    <n v="638.58122243192713"/>
    <n v="496.88114553984099"/>
    <n v="141.7000768920862"/>
    <n v="638.58122243192713"/>
    <n v="496.88114553984099"/>
    <n v="141.7000768920862"/>
    <n v="398.41510670680003"/>
    <n v="55.232000773995644"/>
    <n v="20.065558333623887"/>
    <n v="11.997962714950365"/>
    <n v="26.685123969458569"/>
    <n v="2.8960599656776744"/>
    <n v="10.963655584351196"/>
    <n v="0"/>
    <n v="16.755775515706546"/>
    <n v="65.368210653867507"/>
    <n v="1.2411685567190034"/>
    <n v="0"/>
    <n v="8.4813184709131892"/>
    <n v="6.2058427835950161"/>
    <n v="14.273438402268537"/>
    <n v="0"/>
  </r>
  <r>
    <x v="17"/>
    <s v="Census Tract 83, King County, Washington"/>
    <n v="2091.8873595603604"/>
    <n v="1627.7011459876855"/>
    <n v="464.18621357267472"/>
    <n v="2091.8873595603604"/>
    <n v="1627.7011459876855"/>
    <n v="464.18621357267472"/>
    <n v="1305.1425508627322"/>
    <n v="180.93097667723234"/>
    <n v="65.731478418320364"/>
    <n v="39.30335822951114"/>
    <n v="87.416089855292029"/>
    <n v="9.4870175036751032"/>
    <n v="35.915137692484322"/>
    <n v="0"/>
    <n v="54.889172699834525"/>
    <n v="214.13553794009519"/>
    <n v="4.0658646444321871"/>
    <n v="0"/>
    <n v="27.783408403619944"/>
    <n v="20.329323222160937"/>
    <n v="46.757443410970154"/>
    <n v="0"/>
  </r>
  <r>
    <x v="4"/>
    <s v="Census Tract 83, King County, Washington"/>
    <n v="353.30684909375429"/>
    <n v="274.90866586433361"/>
    <n v="78.398183229420695"/>
    <n v="353.30684909375429"/>
    <n v="274.90866586433361"/>
    <n v="78.398183229420695"/>
    <n v="220.43051226257558"/>
    <n v="30.558123974095366"/>
    <n v="11.101640544896069"/>
    <n v="6.6380943464327009"/>
    <n v="14.764037425686526"/>
    <n v="1.6022986353458244"/>
    <n v="6.0658448338091926"/>
    <n v="0"/>
    <n v="9.2704421045008409"/>
    <n v="36.16616919780575"/>
    <n v="0.68669941514821042"/>
    <n v="0"/>
    <n v="4.6924460035127717"/>
    <n v="3.4334970757410526"/>
    <n v="7.8970432742044201"/>
    <n v="0"/>
  </r>
  <r>
    <x v="17"/>
    <s v="Census Tract 84, King County, Washington"/>
    <n v="2488.2804410748527"/>
    <n v="2008.2016098387774"/>
    <n v="480.07883123607536"/>
    <n v="2488.2804410748527"/>
    <n v="2008.2016098387774"/>
    <n v="480.07883123607536"/>
    <n v="1548.4464819845496"/>
    <n v="153.25170928474259"/>
    <n v="15.929389137123781"/>
    <n v="15.380099856533306"/>
    <n v="70.858317196171299"/>
    <n v="54.37963877845705"/>
    <n v="3.2957356835428513"/>
    <n v="0"/>
    <n v="257.06738331634239"/>
    <n v="216.41997655264723"/>
    <n v="25.26730690716186"/>
    <n v="0"/>
    <n v="37.351671080152315"/>
    <n v="8.7886284894476034"/>
    <n v="49.985324533733248"/>
    <n v="31.858778274247562"/>
  </r>
  <r>
    <x v="4"/>
    <s v="Census Tract 84, King County, Washington"/>
    <n v="2041.7195115670013"/>
    <n v="1647.7983519401671"/>
    <n v="393.92115962683425"/>
    <n v="2041.7195115670013"/>
    <n v="1647.7983519401671"/>
    <n v="393.92115962683425"/>
    <n v="1270.5534885446748"/>
    <n v="125.74828779849743"/>
    <n v="13.07061055970045"/>
    <n v="12.619899850745263"/>
    <n v="58.141681455219242"/>
    <n v="44.620360186563609"/>
    <n v="2.7042642537311279"/>
    <n v="0"/>
    <n v="210.93261179102797"/>
    <n v="177.58001932834404"/>
    <n v="20.732692611938646"/>
    <n v="0"/>
    <n v="30.64832820895278"/>
    <n v="7.2113713432830071"/>
    <n v="41.014674514922106"/>
    <n v="26.1412211194009"/>
  </r>
  <r>
    <x v="79"/>
    <s v="Census Tract 85, King County, Washington"/>
    <n v="0.25512262601680358"/>
    <n v="0.19466759033591297"/>
    <n v="6.0455035680890605E-2"/>
    <n v="0.25512262601680358"/>
    <n v="0.19466759033591297"/>
    <n v="6.0455035680890605E-2"/>
    <n v="0.11966296355303985"/>
    <n v="1.0630109417366815E-2"/>
    <n v="5.9386086130540864E-3"/>
    <n v="3.563165167832452E-3"/>
    <n v="3.0940150874011793E-2"/>
    <n v="9.7987042115392428E-3"/>
    <n v="1.9597408423078486E-3"/>
    <n v="0"/>
    <n v="8.729754661189507E-3"/>
    <n v="3.4384543869583159E-2"/>
    <n v="6.5324694743594959E-4"/>
    <n v="8.3140520582757212E-4"/>
    <n v="6.8887859911427405E-3"/>
    <n v="1.2471078087413583E-3"/>
    <n v="1.9894338853731191E-2"/>
    <n v="0"/>
  </r>
  <r>
    <x v="9"/>
    <s v="Census Tract 85, King County, Washington"/>
    <n v="333.14637623047531"/>
    <n v="254.20247236580494"/>
    <n v="78.943903864670361"/>
    <n v="333.14637623047531"/>
    <n v="254.20247236580494"/>
    <n v="78.943903864670361"/>
    <n v="156.25929890698504"/>
    <n v="13.881099009603139"/>
    <n v="7.7548039159794069"/>
    <n v="4.6528823495876441"/>
    <n v="40.402528402252706"/>
    <n v="12.79542646136602"/>
    <n v="2.5590852922732044"/>
    <n v="0"/>
    <n v="11.399561756489728"/>
    <n v="44.900314673520761"/>
    <n v="0.85302843075773471"/>
    <n v="1.085672548237117"/>
    <n v="8.9955725425361113"/>
    <n v="1.6285088223556754"/>
    <n v="25.978593118531013"/>
    <n v="0"/>
  </r>
  <r>
    <x v="17"/>
    <s v="Census Tract 85, King County, Washington"/>
    <n v="1563.2424706889617"/>
    <n v="1192.8093153906927"/>
    <n v="370.43315529826884"/>
    <n v="1563.2424706889617"/>
    <n v="1192.8093153906927"/>
    <n v="370.43315529826884"/>
    <n v="733.22476220629835"/>
    <n v="65.135102945373404"/>
    <n v="36.38832566780637"/>
    <n v="21.832995400683821"/>
    <n v="189.5831767292712"/>
    <n v="60.040737351880509"/>
    <n v="12.008147470376102"/>
    <n v="0"/>
    <n v="53.490838731675368"/>
    <n v="210.68840561659889"/>
    <n v="4.0027158234587006"/>
    <n v="5.094365593492892"/>
    <n v="42.210457774655389"/>
    <n v="7.641548390239338"/>
    <n v="121.90089098715134"/>
    <n v="0"/>
  </r>
  <r>
    <x v="18"/>
    <s v="Census Tract 85, King County, Washington"/>
    <n v="1838.5401718716569"/>
    <n v="1402.8712019076561"/>
    <n v="435.66896996400061"/>
    <n v="1838.5401718716569"/>
    <n v="1402.8712019076561"/>
    <n v="435.66896996400061"/>
    <n v="862.35066255153356"/>
    <n v="76.605840494652369"/>
    <n v="42.796558935559979"/>
    <n v="25.67793536133599"/>
    <n v="222.97007205426749"/>
    <n v="70.614322243673968"/>
    <n v="14.122864448734793"/>
    <n v="0"/>
    <n v="62.910941635273169"/>
    <n v="247.79207623689229"/>
    <n v="4.7076214829115983"/>
    <n v="5.9915182509783973"/>
    <n v="49.644008365249576"/>
    <n v="8.9872773764675955"/>
    <n v="143.36847243412595"/>
    <n v="0"/>
  </r>
  <r>
    <x v="10"/>
    <s v="Census Tract 85, King County, Washington"/>
    <n v="560.81584952571006"/>
    <n v="427.92233583456181"/>
    <n v="132.89351369114823"/>
    <n v="560.81584952571006"/>
    <n v="427.92233583456181"/>
    <n v="132.89351369114823"/>
    <n v="263.04560912344175"/>
    <n v="23.367327063571253"/>
    <n v="13.054372661212991"/>
    <n v="7.8326235967277942"/>
    <n v="68.01328156491968"/>
    <n v="21.539714891001434"/>
    <n v="4.3079429782002867"/>
    <n v="0"/>
    <n v="19.189927811983097"/>
    <n v="75.584817708423216"/>
    <n v="1.4359809927334288"/>
    <n v="1.8276121725698187"/>
    <n v="15.143072287007069"/>
    <n v="2.7414182588547278"/>
    <n v="43.73214841506352"/>
    <n v="0"/>
  </r>
  <r>
    <x v="3"/>
    <s v="Census Tract 87, King County, Washington"/>
    <n v="4720.4701308981239"/>
    <n v="3767.7879847426748"/>
    <n v="952.68214615544969"/>
    <n v="4720.4701308981239"/>
    <n v="3767.7879847426748"/>
    <n v="952.68214615544969"/>
    <n v="2320.7896306763782"/>
    <n v="205.71543197905936"/>
    <n v="60.915734712245737"/>
    <n v="117.83699501713109"/>
    <n v="725.99572353774829"/>
    <n v="167.7679251091358"/>
    <n v="22.968227842322161"/>
    <n v="0"/>
    <n v="182.7472041367372"/>
    <n v="215.70161799746029"/>
    <n v="0"/>
    <n v="0"/>
    <n v="34.951651064403286"/>
    <n v="201.72095757169899"/>
    <n v="419.41981277283946"/>
    <n v="43.939218480964136"/>
  </r>
  <r>
    <x v="80"/>
    <s v="Census Tract 87, King County, Washington"/>
    <n v="5.138151846539869"/>
    <n v="4.1011734539866564"/>
    <n v="1.0369783925532126"/>
    <n v="5.138151846539869"/>
    <n v="4.1011734539866564"/>
    <n v="1.0369783925532126"/>
    <n v="2.5261402351086644"/>
    <n v="0.22391776610687816"/>
    <n v="6.6305746274366834E-2"/>
    <n v="0.1282635747602506"/>
    <n v="0.79023405805679814"/>
    <n v="0.18261254711628899"/>
    <n v="2.5000527283777659E-2"/>
    <n v="0"/>
    <n v="0.1989172388231005"/>
    <n v="0.23478756057808584"/>
    <n v="0"/>
    <n v="0"/>
    <n v="3.8044280649226873E-2"/>
    <n v="0.2195698483183951"/>
    <n v="0.45653136779072245"/>
    <n v="4.782709567331378E-2"/>
  </r>
  <r>
    <x v="16"/>
    <s v="Census Tract 87, King County, Washington"/>
    <n v="1.3917237095868114"/>
    <n v="1.1108469549970466"/>
    <n v="0.2808767545897648"/>
    <n v="1.3917237095868114"/>
    <n v="1.1108469549970466"/>
    <n v="0.2808767545897648"/>
    <n v="0.68423226170504547"/>
    <n v="6.0650536106385267E-2"/>
    <n v="1.7959624769366512E-2"/>
    <n v="3.474156922598768E-2"/>
    <n v="0.21404339684146645"/>
    <n v="4.9462573135304493E-2"/>
    <n v="6.7716617982857335E-3"/>
    <n v="0"/>
    <n v="5.3878874308099532E-2"/>
    <n v="6.3594736888248626E-2"/>
    <n v="0"/>
    <n v="0"/>
    <n v="1.0304702736521768E-2"/>
    <n v="5.9472855793639923E-2"/>
    <n v="0.12365643283826122"/>
    <n v="1.2954483440198795E-2"/>
  </r>
  <r>
    <x v="81"/>
    <s v="Census Tract 88, King County, Washington"/>
    <n v="671.72447331505964"/>
    <n v="570.39493166059242"/>
    <n v="101.32954165446721"/>
    <n v="671.72447331505964"/>
    <n v="570.39493166059242"/>
    <n v="101.32954165446721"/>
    <n v="366.4672468911952"/>
    <n v="22.359100740657084"/>
    <n v="23.627702201119899"/>
    <n v="4.4401051116198467"/>
    <n v="77.38468908823161"/>
    <n v="4.9158306592934018"/>
    <n v="3.1715036511570331"/>
    <n v="0"/>
    <n v="9.6730861360289513"/>
    <n v="45.352502211545577"/>
    <n v="12.210289056954577"/>
    <n v="9.6730861360289513"/>
    <n v="28.702108042971151"/>
    <n v="12.844589787185985"/>
    <n v="49.158306592934018"/>
    <n v="1.7443270081363682"/>
  </r>
  <r>
    <x v="3"/>
    <s v="Census Tract 88, King County, Washington"/>
    <n v="1.7697556076152607"/>
    <n v="1.5027882248800974"/>
    <n v="0.26696738273516324"/>
    <n v="1.7697556076152607"/>
    <n v="1.5027882248800974"/>
    <n v="0.26696738273516324"/>
    <n v="0.9655111447589394"/>
    <n v="5.8908295720904572E-2"/>
    <n v="6.2250610371736036E-2"/>
    <n v="1.1698101277910128E-2"/>
    <n v="0.20388119370071936"/>
    <n v="1.2951469271971926E-2"/>
    <n v="8.355786627078662E-3"/>
    <n v="0"/>
    <n v="2.548514921258992E-2"/>
    <n v="0.11948774876722487"/>
    <n v="3.2169778514252852E-2"/>
    <n v="2.548514921258992E-2"/>
    <n v="7.5619868975061899E-2"/>
    <n v="3.384093583966858E-2"/>
    <n v="0.12951469271971927"/>
    <n v="4.595682644893264E-3"/>
  </r>
  <r>
    <x v="82"/>
    <s v="Census Tract 88, King County, Washington"/>
    <n v="968.18948655502618"/>
    <n v="822.13823964552159"/>
    <n v="146.05124690950467"/>
    <n v="968.18948655502618"/>
    <n v="822.13823964552159"/>
    <n v="146.05124690950467"/>
    <n v="528.20724821262172"/>
    <n v="32.227270444820277"/>
    <n v="34.05576805871079"/>
    <n v="6.3997416486167928"/>
    <n v="111.53835444732124"/>
    <n v="7.0854282538257349"/>
    <n v="4.5712440347262806"/>
    <n v="0"/>
    <n v="13.942294305915155"/>
    <n v="65.368789696585807"/>
    <n v="17.599289533696179"/>
    <n v="13.942294305915155"/>
    <n v="41.369758514272839"/>
    <n v="18.513538340641436"/>
    <n v="70.854282538257351"/>
    <n v="2.5141842190994543"/>
  </r>
  <r>
    <x v="80"/>
    <s v="Census Tract 88, King County, Washington"/>
    <n v="2591.585755702949"/>
    <n v="2200.6454115352944"/>
    <n v="390.94034416765447"/>
    <n v="2591.585755702949"/>
    <n v="2200.6454115352944"/>
    <n v="390.94034416765447"/>
    <n v="1413.8703213950696"/>
    <n v="86.263831811642078"/>
    <n v="91.158233616557936"/>
    <n v="17.130406317205519"/>
    <n v="298.55851009986759"/>
    <n v="18.965806994048965"/>
    <n v="12.236004512289655"/>
    <n v="0"/>
    <n v="37.319813762483449"/>
    <n v="174.97486452574208"/>
    <n v="47.108617372315173"/>
    <n v="37.319813762483449"/>
    <n v="110.73584083622139"/>
    <n v="49.555818274773102"/>
    <n v="189.65806994048967"/>
    <n v="6.729802481759311"/>
  </r>
  <r>
    <x v="16"/>
    <s v="Census Tract 88, King County, Washington"/>
    <n v="2.7305198881139661"/>
    <n v="2.3186213497511652"/>
    <n v="0.41189853836280083"/>
    <n v="2.7305198881139661"/>
    <n v="2.3186213497511652"/>
    <n v="0.41189853836280083"/>
    <n v="1.4896674838128838"/>
    <n v="9.0888409873481874E-2"/>
    <n v="9.6045199086161701E-2"/>
    <n v="1.8048762244379381E-2"/>
    <n v="0.31456414197346916"/>
    <n v="1.9982558199134314E-2"/>
    <n v="1.2891973031699557E-2"/>
    <n v="0"/>
    <n v="3.9320517746683645E-2"/>
    <n v="0.18435521435330365"/>
    <n v="4.9634096172043292E-2"/>
    <n v="3.9320517746683645E-2"/>
    <n v="0.11667235593688099"/>
    <n v="5.2212490778383205E-2"/>
    <n v="0.19982558199134312"/>
    <n v="7.0905851674347561E-3"/>
  </r>
  <r>
    <x v="82"/>
    <s v="Census Tract 89, King County, Washington"/>
    <n v="3984.8168423126822"/>
    <n v="3255.8784497932734"/>
    <n v="728.93839251940835"/>
    <n v="3984.8168423126822"/>
    <n v="3255.8784497932734"/>
    <n v="728.93839251940835"/>
    <n v="1808.4349432733413"/>
    <n v="170.41021580844949"/>
    <n v="66.077430619602865"/>
    <n v="25.735420346582167"/>
    <n v="708.76738738289805"/>
    <n v="242.05206163812417"/>
    <n v="3.4777595062948876"/>
    <n v="26.430972247841144"/>
    <n v="262.2230667746345"/>
    <n v="199.62339566132653"/>
    <n v="0"/>
    <n v="0"/>
    <n v="6.2599671113307975"/>
    <n v="4.1733114075538644"/>
    <n v="400.63789512517104"/>
    <n v="60.513015409531043"/>
  </r>
  <r>
    <x v="16"/>
    <s v="Census Tract 89, King County, Washington"/>
    <n v="1737.0453039029874"/>
    <n v="1419.2894165770438"/>
    <n v="317.75588732594355"/>
    <n v="1737.0453039029874"/>
    <n v="1419.2894165770438"/>
    <n v="317.75588732594355"/>
    <n v="788.32567466360047"/>
    <n v="74.284534727916196"/>
    <n v="28.80420734347771"/>
    <n v="11.21848075482816"/>
    <n v="308.96302403161877"/>
    <n v="105.51435953189728"/>
    <n v="1.5160109128146162"/>
    <n v="11.521682937391084"/>
    <n v="114.30722282622206"/>
    <n v="87.019026395558967"/>
    <n v="0"/>
    <n v="0"/>
    <n v="2.7288196430663092"/>
    <n v="1.8192130953775396"/>
    <n v="174.64445715624379"/>
    <n v="26.378589882974321"/>
  </r>
  <r>
    <x v="30"/>
    <s v="Census Tract 89, King County, Washington"/>
    <n v="0.7990175637696707"/>
    <n v="0.65285411345886335"/>
    <n v="0.14616345031080727"/>
    <n v="0.7990175637696707"/>
    <n v="0.65285411345886335"/>
    <n v="0.14616345031080727"/>
    <n v="0.36261924695429287"/>
    <n v="3.4169890578385285E-2"/>
    <n v="1.3249549407945316E-2"/>
    <n v="5.1603508220418601E-3"/>
    <n v="0.14211885101785554"/>
    <n v="4.8535191515420732E-2"/>
    <n v="6.973447056813324E-4"/>
    <n v="5.2998197631781265E-3"/>
    <n v="5.257979080837246E-2"/>
    <n v="4.002758610610848E-2"/>
    <n v="0"/>
    <n v="0"/>
    <n v="1.2552204702263982E-3"/>
    <n v="8.3681364681759888E-4"/>
    <n v="8.0334110094489486E-2"/>
    <n v="1.2133797878855183E-2"/>
  </r>
  <r>
    <x v="3"/>
    <s v="Census Tract 90, King County, Washington"/>
    <n v="1.1094420904052553"/>
    <n v="0.71215616088870681"/>
    <n v="0.39728592951654856"/>
    <n v="1.1094420904052553"/>
    <n v="0.71215616088870681"/>
    <n v="0.39728592951654856"/>
    <n v="0.35592713594225744"/>
    <n v="4.618901764136165E-2"/>
    <n v="1.9622785272473905E-2"/>
    <n v="6.9434470964138432E-3"/>
    <n v="0.17358617741034607"/>
    <n v="0.13343493985282254"/>
    <n v="1.2377449171868156E-2"/>
    <n v="0"/>
    <n v="7.426469503120893E-2"/>
    <n v="0.19320896268281998"/>
    <n v="3.3207790461109686E-3"/>
    <n v="0"/>
    <n v="2.4151120335352497E-3"/>
    <n v="0"/>
    <n v="7.0642026980906061E-2"/>
    <n v="1.750956224313056E-2"/>
  </r>
  <r>
    <x v="16"/>
    <s v="Census Tract 90, King County, Washington"/>
    <n v="3108.4559075653665"/>
    <n v="1995.3326492371973"/>
    <n v="1113.1232583281694"/>
    <n v="3108.4559075653665"/>
    <n v="1995.3326492371973"/>
    <n v="1113.1232583281694"/>
    <n v="997.24340544750135"/>
    <n v="129.41326635578261"/>
    <n v="54.979492242652746"/>
    <n v="19.454281870477125"/>
    <n v="486.35704676192813"/>
    <n v="373.86054725003868"/>
    <n v="34.679372029980961"/>
    <n v="0"/>
    <n v="208.07623217988578"/>
    <n v="541.3365390045808"/>
    <n v="9.3042217641412339"/>
    <n v="0"/>
    <n v="6.7667067375572607"/>
    <n v="0"/>
    <n v="197.92617207354988"/>
    <n v="49.058623847290143"/>
  </r>
  <r>
    <x v="79"/>
    <s v="Census Tract 90, King County, Washington"/>
    <n v="564.22351947038226"/>
    <n v="362.17776392670254"/>
    <n v="202.04575554367975"/>
    <n v="564.22351947038226"/>
    <n v="362.17776392670254"/>
    <n v="202.04575554367975"/>
    <n v="181.01211685866141"/>
    <n v="23.490122035093467"/>
    <n v="9.9794636096802307"/>
    <n v="3.5311948157330049"/>
    <n v="88.279870393325112"/>
    <n v="67.860352545825563"/>
    <n v="6.2947385845675301"/>
    <n v="0"/>
    <n v="37.768431507405182"/>
    <n v="98.25933400300535"/>
    <n v="1.6888323031766546"/>
    <n v="0"/>
    <n v="1.2282416750375669"/>
    <n v="0"/>
    <n v="35.926068994848833"/>
    <n v="8.9047521440223605"/>
  </r>
  <r>
    <x v="18"/>
    <s v="Census Tract 90, King County, Washington"/>
    <n v="0.40894473372329798"/>
    <n v="0.26250357193285984"/>
    <n v="0.14644116179043815"/>
    <n v="0.40894473372329798"/>
    <n v="0.26250357193285984"/>
    <n v="0.14644116179043815"/>
    <n v="0.13119614722714784"/>
    <n v="1.7025454220316896E-2"/>
    <n v="7.2330361066705769E-3"/>
    <n v="2.5593820069757423E-3"/>
    <n v="6.3984550174393556E-2"/>
    <n v="4.9184645525359921E-2"/>
    <n v="4.5623766211306711E-3"/>
    <n v="0"/>
    <n v="2.7374259726784027E-2"/>
    <n v="7.1217586281064144E-2"/>
    <n v="1.2240522642057898E-3"/>
    <n v="0"/>
    <n v="8.9021982851330173E-4"/>
    <n v="0"/>
    <n v="2.6038929984014074E-2"/>
    <n v="6.4540937567214374E-3"/>
  </r>
  <r>
    <x v="83"/>
    <s v="Census Tract 90, King County, Washington"/>
    <n v="0.80218614012266165"/>
    <n v="0.51492710327873714"/>
    <n v="0.28725903684392456"/>
    <n v="0.80218614012266165"/>
    <n v="0.51492710327873714"/>
    <n v="0.28725903684392456"/>
    <n v="0.25735441066792331"/>
    <n v="3.339713726224959E-2"/>
    <n v="1.4188326287883812E-2"/>
    <n v="5.0204846864819646E-3"/>
    <n v="0.1255121171620491"/>
    <n v="9.6480618757609923E-2"/>
    <n v="8.9495596585113281E-3"/>
    <n v="0"/>
    <n v="5.3697357951067969E-2"/>
    <n v="0.13970044344993293"/>
    <n v="2.4011013717957219E-3"/>
    <n v="0"/>
    <n v="1.7462555431241615E-3"/>
    <n v="0"/>
    <n v="5.1077974636381723E-2"/>
    <n v="1.2660352687650171E-2"/>
  </r>
  <r>
    <x v="16"/>
    <s v="Census Tract 91, King County, Washington"/>
    <n v="0.18297672714486873"/>
    <n v="8.0222441115994109E-2"/>
    <n v="0.10275428602887464"/>
    <n v="0.18297672714486873"/>
    <n v="8.0222441115994109E-2"/>
    <n v="0.10275428602887464"/>
    <n v="3.4931920636747667E-2"/>
    <n v="3.4780700201090752E-3"/>
    <n v="4.6122232875359477E-3"/>
    <n v="2.0414758813683703E-3"/>
    <n v="9.2244465750718953E-3"/>
    <n v="8.468344396787314E-3"/>
    <n v="4.0829517627367405E-3"/>
    <n v="0"/>
    <n v="1.7919621625344582E-2"/>
    <n v="8.6498089195756134E-2"/>
    <n v="0"/>
    <n v="0"/>
    <n v="0"/>
    <n v="0"/>
    <n v="9.4512772285572696E-3"/>
    <n v="2.2683065348537445E-3"/>
  </r>
  <r>
    <x v="79"/>
    <s v="Census Tract 91, King County, Washington"/>
    <n v="1694.0480051011161"/>
    <n v="742.72104686458022"/>
    <n v="951.3269582365358"/>
    <n v="1694.0480051011161"/>
    <n v="742.72104686458022"/>
    <n v="951.3269582365358"/>
    <n v="323.40916461021305"/>
    <n v="32.200912493657576"/>
    <n v="42.701210045937223"/>
    <n v="18.90053559410336"/>
    <n v="85.402420091874447"/>
    <n v="78.402221723688015"/>
    <n v="37.80107118820672"/>
    <n v="0"/>
    <n v="165.9047013260184"/>
    <n v="800.82269332052761"/>
    <n v="0"/>
    <n v="0"/>
    <n v="0"/>
    <n v="0"/>
    <n v="87.502479602330368"/>
    <n v="21.000595104559288"/>
  </r>
  <r>
    <x v="18"/>
    <s v="Census Tract 91, King County, Washington"/>
    <n v="724.90086675052635"/>
    <n v="317.81810728194563"/>
    <n v="407.08275946858072"/>
    <n v="724.90086675052635"/>
    <n v="317.81810728194563"/>
    <n v="407.08275946858072"/>
    <n v="138.39016547055502"/>
    <n v="13.779107384514138"/>
    <n v="18.272294575116572"/>
    <n v="8.0877369430843853"/>
    <n v="36.544589150233143"/>
    <n v="33.549131023164854"/>
    <n v="16.175473886168771"/>
    <n v="0"/>
    <n v="70.992357611518486"/>
    <n v="342.68040973661243"/>
    <n v="0"/>
    <n v="0"/>
    <n v="0"/>
    <n v="0"/>
    <n v="37.443226588353632"/>
    <n v="8.9863743812048718"/>
  </r>
  <r>
    <x v="21"/>
    <s v="Census Tract 91, King County, Washington"/>
    <n v="0.73314917194742213"/>
    <n v="0.3214344096843863"/>
    <n v="0.41171476226303583"/>
    <n v="0.73314917194742213"/>
    <n v="0.3214344096843863"/>
    <n v="0.41171476226303583"/>
    <n v="0.13996484191723513"/>
    <n v="1.3935893351066701E-2"/>
    <n v="1.8480206400327583E-2"/>
    <n v="8.1797634886695853E-3"/>
    <n v="3.6960412800655165E-2"/>
    <n v="3.3930870767814578E-2"/>
    <n v="1.6359526977339171E-2"/>
    <n v="0"/>
    <n v="7.1800146178321922E-2"/>
    <n v="0.34657960855696318"/>
    <n v="0"/>
    <n v="0"/>
    <n v="0"/>
    <n v="0"/>
    <n v="3.7869275410507337E-2"/>
    <n v="9.0886260985217609E-3"/>
  </r>
  <r>
    <x v="83"/>
    <s v="Census Tract 91, King County, Washington"/>
    <n v="0.13502536114211311"/>
    <n v="5.9199135608174386E-2"/>
    <n v="7.5826225533938724E-2"/>
    <n v="0.13502536114211311"/>
    <n v="5.9199135608174386E-2"/>
    <n v="7.5826225533938724E-2"/>
    <n v="2.5777568945312503E-2"/>
    <n v="2.5665977737757036E-3"/>
    <n v="3.4035318304416941E-3"/>
    <n v="1.5064813019987826E-3"/>
    <n v="6.8070636608833883E-3"/>
    <n v="6.2491076231060609E-3"/>
    <n v="3.0129626039975652E-3"/>
    <n v="0"/>
    <n v="1.3223558095322647E-2"/>
    <n v="6.3830170721726198E-2"/>
    <n v="0"/>
    <n v="0"/>
    <n v="0"/>
    <n v="0"/>
    <n v="6.9744504722165862E-3"/>
    <n v="1.6738681133319807E-3"/>
  </r>
  <r>
    <x v="60"/>
    <s v="Census Tract 10, King County, Washington"/>
    <n v="0.88422385975461903"/>
    <n v="0.71201880936850259"/>
    <n v="0.17220505038611653"/>
    <n v="0.88422385975461903"/>
    <n v="0.71201880936850259"/>
    <n v="0.17220505038611653"/>
    <n v="0.54873630045316923"/>
    <n v="4.1489817839142067E-2"/>
    <n v="7.5841602501657539E-3"/>
    <n v="5.7996519560091064E-3"/>
    <n v="7.5841602501657543E-2"/>
    <n v="4.4166580280377038E-2"/>
    <n v="0"/>
    <n v="0"/>
    <n v="2.4983116118193073E-2"/>
    <n v="8.074900031058832E-2"/>
    <n v="0"/>
    <n v="0"/>
    <n v="2.6767624412349722E-3"/>
    <n v="0"/>
    <n v="5.2196867604081952E-2"/>
    <n v="0"/>
  </r>
  <r>
    <x v="12"/>
    <s v="Census Tract 10, King County, Washington"/>
    <n v="0.39149419638355032"/>
    <n v="0.31524961525133516"/>
    <n v="7.6244581132215147E-2"/>
    <n v="0.39149419638355032"/>
    <n v="0.31524961525133516"/>
    <n v="7.6244581132215147E-2"/>
    <n v="0.24295553055084101"/>
    <n v="1.8369808407502613E-2"/>
    <n v="3.3579219669628434E-3"/>
    <n v="2.5678226806186448E-3"/>
    <n v="3.357921966962843E-2"/>
    <n v="1.9554957337018911E-2"/>
    <n v="0"/>
    <n v="0"/>
    <n v="1.1061390008818778E-2"/>
    <n v="3.5751992707074978E-2"/>
    <n v="0"/>
    <n v="0"/>
    <n v="1.1851489295162977E-3"/>
    <n v="0"/>
    <n v="2.3110404125567804E-2"/>
    <n v="0"/>
  </r>
  <r>
    <x v="61"/>
    <s v="Census Tract 10, King County, Washington"/>
    <n v="1980.7242944031007"/>
    <n v="1594.9727416081475"/>
    <n v="385.751552794953"/>
    <n v="1980.7242944031007"/>
    <n v="1594.9727416081475"/>
    <n v="385.751552794953"/>
    <n v="1229.208315901016"/>
    <n v="92.940140958369511"/>
    <n v="16.989058024648187"/>
    <n v="12.991632607083909"/>
    <n v="169.8905802464819"/>
    <n v="98.93627908471592"/>
    <n v="0"/>
    <n v="0"/>
    <n v="55.963955845899918"/>
    <n v="180.88350014478365"/>
    <n v="0"/>
    <n v="0"/>
    <n v="5.9961381263464197"/>
    <n v="0"/>
    <n v="116.92469346375519"/>
    <n v="0"/>
  </r>
  <r>
    <x v="84"/>
    <s v="Census Tract 1, King County, Washington"/>
    <n v="1855.6014899860477"/>
    <n v="1258.1178506134208"/>
    <n v="597.48363937262661"/>
    <n v="1855.6014899860477"/>
    <n v="1258.1178506134208"/>
    <n v="597.48363937262661"/>
    <n v="818.62715488144988"/>
    <n v="182.69390533078754"/>
    <n v="47.304671916007493"/>
    <n v="27.264269035334369"/>
    <n v="148.20577014079194"/>
    <n v="121.87361286734935"/>
    <n v="12.117452904593053"/>
    <n v="3.0293632261482633"/>
    <n v="49.168895439791036"/>
    <n v="194.57833029490766"/>
    <n v="6.7578102737153563"/>
    <n v="14.447732309322486"/>
    <n v="40.313833701819192"/>
    <n v="35.886302832833273"/>
    <n v="135.62226135525302"/>
    <n v="17.710123475943693"/>
  </r>
  <r>
    <x v="13"/>
    <s v="Census Tract 1, King County, Washington"/>
    <n v="6079.846771720695"/>
    <n v="4122.2017732663608"/>
    <n v="1957.644998454334"/>
    <n v="6079.846771720695"/>
    <n v="4122.2017732663608"/>
    <n v="1957.644998454334"/>
    <n v="2682.2179717511995"/>
    <n v="598.59347846653577"/>
    <n v="154.99295424579944"/>
    <n v="89.330914516051891"/>
    <n v="485.59368916417952"/>
    <n v="399.31682300765078"/>
    <n v="39.702628673800845"/>
    <n v="9.9256571684502113"/>
    <n v="161.10105096484574"/>
    <n v="637.53259505045583"/>
    <n v="22.141850606542778"/>
    <n v="47.337749572608701"/>
    <n v="132.08759154937587"/>
    <n v="117.58086184164095"/>
    <n v="444.36403631061711"/>
    <n v="58.026918830939692"/>
  </r>
  <r>
    <x v="60"/>
    <s v="Census Tract 2, King County, Washington"/>
    <n v="0.29504154935207083"/>
    <n v="0.21536959955211993"/>
    <n v="7.9671949799950889E-2"/>
    <n v="0.29504154935207083"/>
    <n v="0.21536959955211993"/>
    <n v="7.9671949799950889E-2"/>
    <n v="0.1665968964233065"/>
    <n v="2.0019751436030391E-2"/>
    <n v="6.290864591728589E-3"/>
    <n v="7.8450781967438869E-3"/>
    <n v="3.8485289267045485E-3"/>
    <n v="8.9182256859211169E-3"/>
    <n v="3.8485289267045485E-3"/>
    <n v="0"/>
    <n v="1.298878512762785E-2"/>
    <n v="3.5339856971181187E-2"/>
    <n v="0"/>
    <n v="0"/>
    <n v="9.3622867159254882E-3"/>
    <n v="3.700508583369758E-5"/>
    <n v="1.2433708840122387E-2"/>
    <n v="7.5120324242406089E-3"/>
  </r>
  <r>
    <x v="84"/>
    <s v="Census Tract 2, King County, Washington"/>
    <n v="4776.2099715142713"/>
    <n v="3486.4595552756878"/>
    <n v="1289.7504162385835"/>
    <n v="4776.2099715142713"/>
    <n v="3486.4595552756878"/>
    <n v="1289.7504162385835"/>
    <n v="2696.9142470534616"/>
    <n v="324.0849861519153"/>
    <n v="101.83816570392902"/>
    <n v="126.99818311313501"/>
    <n v="62.300995489462466"/>
    <n v="144.3705760861582"/>
    <n v="62.300995489462466"/>
    <n v="0"/>
    <n v="210.2658597769358"/>
    <n v="572.09087204266007"/>
    <n v="0"/>
    <n v="0"/>
    <n v="151.5591524887885"/>
    <n v="0.59904803355252367"/>
    <n v="201.28013927364796"/>
    <n v="121.6067508111623"/>
  </r>
  <r>
    <x v="62"/>
    <s v="Census Tract 2, King County, Washington"/>
    <n v="3196.4949845097485"/>
    <n v="2333.3250733534096"/>
    <n v="863.16991115633869"/>
    <n v="3196.4949845097485"/>
    <n v="2333.3250733534096"/>
    <n v="863.16991115633869"/>
    <n v="1804.9191546799057"/>
    <n v="216.89499393199222"/>
    <n v="68.155543379738774"/>
    <n v="84.993971744144829"/>
    <n v="41.695155949957837"/>
    <n v="96.620505614806149"/>
    <n v="41.695155949957837"/>
    <n v="0"/>
    <n v="140.72115133110771"/>
    <n v="382.87378780970903"/>
    <n v="0"/>
    <n v="0"/>
    <n v="101.43148514749359"/>
    <n v="0.40091496105728691"/>
    <n v="134.70742691524839"/>
    <n v="81.385737094629249"/>
  </r>
  <r>
    <x v="57"/>
    <s v="Census Tract 3, King County, Washington"/>
    <n v="1.3594748878466369"/>
    <n v="1.1571434020579807"/>
    <n v="0.20233148578865609"/>
    <n v="1.3594748878466369"/>
    <n v="1.1571434020579807"/>
    <n v="0.20233148578865609"/>
    <n v="0.93506050932328921"/>
    <n v="6.6962086963388567E-2"/>
    <n v="2.0714890211695744E-2"/>
    <n v="1.3488765719243739E-2"/>
    <n v="4.7210680017353089E-2"/>
    <n v="2.3123598375846412E-2"/>
    <n v="0"/>
    <n v="0"/>
    <n v="7.0334278393199501E-2"/>
    <n v="8.0932594315462444E-2"/>
    <n v="1.1080057555093071E-2"/>
    <n v="3.3721914298109348E-3"/>
    <n v="0"/>
    <n v="0"/>
    <n v="7.2742986557350162E-2"/>
    <n v="1.4452248984904006E-2"/>
  </r>
  <r>
    <x v="58"/>
    <s v="Census Tract 3, King County, Washington"/>
    <n v="2651.8056242651082"/>
    <n v="2257.1357581448583"/>
    <n v="394.66986612024999"/>
    <n v="2651.8056242651082"/>
    <n v="2257.1357581448583"/>
    <n v="394.66986612024999"/>
    <n v="1823.9385955700125"/>
    <n v="130.61693188265417"/>
    <n v="40.406676769454165"/>
    <n v="26.311324408016667"/>
    <n v="92.08963542805833"/>
    <n v="45.105127556599996"/>
    <n v="0"/>
    <n v="0"/>
    <n v="137.19476298465833"/>
    <n v="157.86794644809999"/>
    <n v="21.612873620870833"/>
    <n v="6.5778311020041667"/>
    <n v="0"/>
    <n v="0"/>
    <n v="141.89321377180417"/>
    <n v="28.190704722874997"/>
  </r>
  <r>
    <x v="62"/>
    <s v="Census Tract 3, King County, Washington"/>
    <n v="168.83489385621095"/>
    <n v="143.70709250269977"/>
    <n v="25.127801353511199"/>
    <n v="168.83489385621095"/>
    <n v="143.70709250269977"/>
    <n v="25.127801353511199"/>
    <n v="116.12633911229818"/>
    <n v="8.3161056860429916"/>
    <n v="2.5726082338118608"/>
    <n v="1.6751867569007466"/>
    <n v="5.8631536491526131"/>
    <n v="2.8717487261155656"/>
    <n v="0"/>
    <n v="0"/>
    <n v="8.7349023752681791"/>
    <n v="10.05112054140448"/>
    <n v="1.3760462645970417"/>
    <n v="0.41879668922518665"/>
    <n v="0"/>
    <n v="0"/>
    <n v="9.034042867571884"/>
    <n v="1.7948429538222284"/>
  </r>
  <r>
    <x v="56"/>
    <s v="Census Tract 4.01, King County, Washington"/>
    <n v="2126.6648192286166"/>
    <n v="1564.3848930614911"/>
    <n v="562.27992616712572"/>
    <n v="2126.6648192286166"/>
    <n v="1564.3848930614911"/>
    <n v="562.27992616712572"/>
    <n v="1048.3024172153559"/>
    <n v="88.597849930666968"/>
    <n v="67.081229233219275"/>
    <n v="85.75006189718124"/>
    <n v="171.50012379436248"/>
    <n v="118.97425562118136"/>
    <n v="9.1762058856762216"/>
    <n v="0"/>
    <n v="136.69382560731475"/>
    <n v="245.54261266499131"/>
    <n v="0"/>
    <n v="0"/>
    <n v="0"/>
    <n v="0"/>
    <n v="131.63109132556235"/>
    <n v="23.415146053104841"/>
  </r>
  <r>
    <x v="57"/>
    <s v="Census Tract 4.01, King County, Washington"/>
    <n v="4593.6684261356468"/>
    <n v="3379.1246390142301"/>
    <n v="1214.5437871214172"/>
    <n v="4593.6684261356468"/>
    <n v="3379.1246390142301"/>
    <n v="1214.5437871214172"/>
    <n v="2264.3689176889452"/>
    <n v="191.37437275970558"/>
    <n v="144.89773937520565"/>
    <n v="185.22305363528648"/>
    <n v="370.44610727057295"/>
    <n v="256.98844342017605"/>
    <n v="19.820917178683793"/>
    <n v="0"/>
    <n v="295.26331797211719"/>
    <n v="530.38040450546976"/>
    <n v="0"/>
    <n v="0"/>
    <n v="0"/>
    <n v="0"/>
    <n v="284.32763952870545"/>
    <n v="50.577512800779331"/>
  </r>
  <r>
    <x v="58"/>
    <s v="Census Tract 4.01, King County, Washington"/>
    <n v="0.66676508709057558"/>
    <n v="0.49047561234575299"/>
    <n v="0.17628947474482262"/>
    <n v="0.66676508709057558"/>
    <n v="0.49047561234575299"/>
    <n v="0.17628947474482262"/>
    <n v="0.32867024751243518"/>
    <n v="2.7777745035762708E-2"/>
    <n v="2.1031721241363193E-2"/>
    <n v="2.6884888945327479E-2"/>
    <n v="5.3769777890654957E-2"/>
    <n v="3.7301543333738495E-2"/>
    <n v="2.8769807358468521E-3"/>
    <n v="0"/>
    <n v="4.2857092340891037E-2"/>
    <n v="7.6984036241970935E-2"/>
    <n v="0"/>
    <n v="0"/>
    <n v="0"/>
    <n v="0"/>
    <n v="4.1269792624561742E-2"/>
    <n v="7.3412611880230016E-3"/>
  </r>
  <r>
    <x v="60"/>
    <s v="Census Tract 6, King County, Washington"/>
    <n v="0.26372179079724956"/>
    <n v="0.20787597800840141"/>
    <n v="5.5845812788848155E-2"/>
    <n v="0.26372179079724956"/>
    <n v="0.20787597800840141"/>
    <n v="5.5845812788848155E-2"/>
    <n v="0.15157214449369275"/>
    <n v="1.3609758711283441E-2"/>
    <n v="3.3697239116879671E-3"/>
    <n v="1.9302302018406802E-3"/>
    <n v="2.1625121413842197E-2"/>
    <n v="5.365385645794433E-3"/>
    <n v="2.1592405647709303E-3"/>
    <n v="0"/>
    <n v="6.608584758844363E-3"/>
    <n v="2.3718930446347344E-2"/>
    <n v="0"/>
    <n v="0"/>
    <n v="8.6696780252166154E-3"/>
    <n v="1.122150778358226E-2"/>
    <n v="1.3871484840346584E-2"/>
    <n v="0"/>
  </r>
  <r>
    <x v="57"/>
    <s v="Census Tract 6, King County, Washington"/>
    <n v="0.14015185380487047"/>
    <n v="0.11047325134302778"/>
    <n v="2.9678602461842687E-2"/>
    <n v="0.14015185380487047"/>
    <n v="0.11047325134302778"/>
    <n v="2.9678602461842687E-2"/>
    <n v="8.0551239136331082E-2"/>
    <n v="7.232746704233484E-3"/>
    <n v="1.790800265711656E-3"/>
    <n v="1.0257982104561912E-3"/>
    <n v="1.1492417239178685E-2"/>
    <n v="2.8513712968612774E-3"/>
    <n v="1.1475030828831971E-3"/>
    <n v="0"/>
    <n v="3.5120548900364514E-3"/>
    <n v="1.2605147501368453E-2"/>
    <n v="0"/>
    <n v="0"/>
    <n v="4.6073987418795027E-3"/>
    <n v="5.963538748923281E-3"/>
    <n v="7.3718379870072051E-3"/>
    <n v="0"/>
  </r>
  <r>
    <x v="58"/>
    <s v="Census Tract 6, King County, Washington"/>
    <n v="6259.6080602882457"/>
    <n v="4934.0714074024945"/>
    <n v="1325.5366528857505"/>
    <n v="6259.6080602882457"/>
    <n v="4934.0714074024945"/>
    <n v="1325.5366528857505"/>
    <n v="3597.6633349851681"/>
    <n v="323.03646608112024"/>
    <n v="79.982586553738898"/>
    <n v="45.815268025928106"/>
    <n v="513.28630788370299"/>
    <n v="127.35091451274931"/>
    <n v="51.250977791716188"/>
    <n v="0"/>
    <n v="156.85905324131318"/>
    <n v="562.98422574233689"/>
    <n v="0"/>
    <n v="0"/>
    <n v="205.7804411334059"/>
    <n v="266.34977852361595"/>
    <n v="329.24870581344948"/>
    <n v="0"/>
  </r>
  <r>
    <x v="62"/>
    <s v="Census Tract 6, King County, Washington"/>
    <n v="1755.9776376069492"/>
    <n v="1384.1312379797241"/>
    <n v="371.8463996272252"/>
    <n v="1755.9776376069492"/>
    <n v="1384.1312379797241"/>
    <n v="371.8463996272252"/>
    <n v="1009.2351315014261"/>
    <n v="90.619860717589745"/>
    <n v="22.437128975749381"/>
    <n v="12.852336015235084"/>
    <n v="143.98973061136255"/>
    <n v="35.725137398280573"/>
    <n v="14.377189440771449"/>
    <n v="0"/>
    <n v="44.002913136906557"/>
    <n v="157.9312476448379"/>
    <n v="0"/>
    <n v="0"/>
    <n v="57.726593966733851"/>
    <n v="74.717817851281922"/>
    <n v="92.362550346774157"/>
    <n v="0"/>
  </r>
  <r>
    <x v="64"/>
    <s v="Census Tract 6, King County, Washington"/>
    <n v="45.010430592926042"/>
    <n v="35.479007069526368"/>
    <n v="9.5314235233996722"/>
    <n v="45.010430592926042"/>
    <n v="35.479007069526368"/>
    <n v="9.5314235233996722"/>
    <n v="25.869411355542283"/>
    <n v="2.3228308059368854"/>
    <n v="0.57512397358533462"/>
    <n v="0.32943994603431787"/>
    <n v="3.6908441411641375"/>
    <n v="0.915731375417426"/>
    <n v="0.36852604132652511"/>
    <n v="0"/>
    <n v="1.1279130355751223"/>
    <n v="4.0482027266928888"/>
    <n v="0"/>
    <n v="0"/>
    <n v="1.4796878932049871"/>
    <n v="1.9152186693181532"/>
    <n v="2.3675006291279792"/>
    <n v="0"/>
  </r>
  <r>
    <x v="60"/>
    <s v="Census Tract 7, King County, Washington"/>
    <n v="3441.3975746000669"/>
    <n v="2416.2099164064748"/>
    <n v="1025.1876581935924"/>
    <n v="3441.3975746000669"/>
    <n v="2416.2099164064748"/>
    <n v="1025.1876581935924"/>
    <n v="1680.2868256699958"/>
    <n v="133.99755698380977"/>
    <n v="133.28857520082667"/>
    <n v="100.67541318360311"/>
    <n v="214.82148024388553"/>
    <n v="236.79991551636226"/>
    <n v="11.343708527729929"/>
    <n v="0"/>
    <n v="180.79035466069573"/>
    <n v="421.13517909197361"/>
    <n v="50.337706591801556"/>
    <n v="29.068253102307942"/>
    <n v="40.411961630037872"/>
    <n v="87.913741089906949"/>
    <n v="104.92930388150184"/>
    <n v="15.597599225628652"/>
  </r>
  <r>
    <x v="12"/>
    <s v="Census Tract 7, King County, Washington"/>
    <n v="1.0594465617460316"/>
    <n v="0.74383887153491457"/>
    <n v="0.31560769021111695"/>
    <n v="1.0594465617460316"/>
    <n v="0.74383887153491457"/>
    <n v="0.31560769021111695"/>
    <n v="0.5172823138314987"/>
    <n v="4.1251627558714456E-2"/>
    <n v="4.1033364979038714E-2"/>
    <n v="3.0993286313954774E-2"/>
    <n v="6.6133561641748564E-2"/>
    <n v="7.2899701611696441E-2"/>
    <n v="3.4922012748118056E-3"/>
    <n v="0"/>
    <n v="5.5656957817313155E-2"/>
    <n v="0.12964797232738828"/>
    <n v="1.5496643156977387E-2"/>
    <n v="8.9487657667052523E-3"/>
    <n v="1.2440967041517058E-2"/>
    <n v="2.7064559879791492E-2"/>
    <n v="3.2302861792009203E-2"/>
    <n v="4.8017767528662327E-3"/>
  </r>
  <r>
    <x v="61"/>
    <s v="Census Tract 7, King County, Washington"/>
    <n v="823.42197845274711"/>
    <n v="578.12569068128596"/>
    <n v="245.29628777146112"/>
    <n v="823.42197845274711"/>
    <n v="578.12569068128596"/>
    <n v="245.29628777146112"/>
    <n v="402.04163348434503"/>
    <n v="32.061547986726247"/>
    <n v="31.891910166690657"/>
    <n v="24.088570445053584"/>
    <n v="51.400259470783347"/>
    <n v="56.659031891886599"/>
    <n v="2.7142051205694178"/>
    <n v="0"/>
    <n v="43.257644109075095"/>
    <n v="100.76486510113963"/>
    <n v="12.044285222526792"/>
    <n v="6.9551506214591328"/>
    <n v="9.6693557420285501"/>
    <n v="21.035089684412988"/>
    <n v="25.106397365267114"/>
    <n v="3.7320320407829493"/>
  </r>
  <r>
    <x v="84"/>
    <s v="Census Tract 7, King County, Washington"/>
    <n v="1.6515263972759942"/>
    <n v="1.1595389291134297"/>
    <n v="0.49198746816256439"/>
    <n v="1.6515263972759942"/>
    <n v="1.1595389291134297"/>
    <n v="0.49198746816256439"/>
    <n v="0.8063695017602196"/>
    <n v="6.4305415963156753E-2"/>
    <n v="6.3965175667055396E-2"/>
    <n v="4.8314122046392904E-2"/>
    <n v="0.10309280971871163"/>
    <n v="0.11364025889785374"/>
    <n v="5.443844737621736E-3"/>
    <n v="0"/>
    <n v="8.6761275505846419E-2"/>
    <n v="0.20210273588420696"/>
    <n v="2.4157061023196452E-2"/>
    <n v="1.3949852140155698E-2"/>
    <n v="1.9393696877777436E-2"/>
    <n v="4.2189796716568452E-2"/>
    <n v="5.0355563823001055E-2"/>
    <n v="7.4852865142298868E-3"/>
  </r>
  <r>
    <x v="13"/>
    <s v="Census Tract 7, King County, Washington"/>
    <n v="584.67576324872766"/>
    <n v="410.50164836251832"/>
    <n v="174.17411488620937"/>
    <n v="584.67576324872766"/>
    <n v="410.50164836251832"/>
    <n v="174.17411488620937"/>
    <n v="285.47209701266678"/>
    <n v="22.76549634404811"/>
    <n v="22.64504398243939"/>
    <n v="17.104235348438262"/>
    <n v="36.497065567442213"/>
    <n v="40.231088777312536"/>
    <n v="1.9272377857395226"/>
    <n v="0"/>
    <n v="30.715352210223642"/>
    <n v="71.548702795579771"/>
    <n v="8.5521176742191312"/>
    <n v="4.9385468259575269"/>
    <n v="6.8657846116970491"/>
    <n v="14.936092839481301"/>
    <n v="17.826949518090583"/>
    <n v="2.6499519553918436"/>
  </r>
  <r>
    <x v="62"/>
    <s v="Census Tract 7, King County, Washington"/>
    <n v="1.793718237819486"/>
    <n v="1.2593720136977355"/>
    <n v="0.53434622412175048"/>
    <n v="1.793718237819486"/>
    <n v="1.2593720136977355"/>
    <n v="0.53434622412175048"/>
    <n v="0.87579567853979856"/>
    <n v="6.9841933858237101E-2"/>
    <n v="6.9472399816659119E-2"/>
    <n v="5.2473833904072315E-2"/>
    <n v="0.11196881459812615"/>
    <n v="0.12342436988704333"/>
    <n v="5.9125446652475849E-3"/>
    <n v="0"/>
    <n v="9.4231180602383391E-2"/>
    <n v="0.21950322069731659"/>
    <n v="2.6236916952036157E-2"/>
    <n v="1.5150895704696937E-2"/>
    <n v="2.1063440369944522E-2"/>
    <n v="4.582222115566878E-2"/>
    <n v="5.4691038153540164E-2"/>
    <n v="8.1297489147154293E-3"/>
  </r>
  <r>
    <x v="12"/>
    <s v="Census Tract 8, King County, Washington"/>
    <n v="2089.0053978636297"/>
    <n v="1888.3573193701441"/>
    <n v="200.64807849348574"/>
    <n v="2089.0053978636297"/>
    <n v="1888.3573193701441"/>
    <n v="200.64807849348574"/>
    <n v="1613.2752762742361"/>
    <n v="93.042455753027667"/>
    <n v="0"/>
    <n v="0"/>
    <n v="52.589214121276505"/>
    <n v="12.135972489525347"/>
    <n v="0"/>
    <n v="0"/>
    <n v="96.278715083567761"/>
    <n v="88.997131589852543"/>
    <n v="0"/>
    <n v="0"/>
    <n v="0"/>
    <n v="0"/>
    <n v="126.21411389106362"/>
    <n v="6.4725186610801853"/>
  </r>
  <r>
    <x v="61"/>
    <s v="Census Tract 8, King County, Washington"/>
    <n v="0.16823464444414832"/>
    <n v="0.15207577851767706"/>
    <n v="1.6158865926471255E-2"/>
    <n v="0.16823464444414832"/>
    <n v="0.15207577851767706"/>
    <n v="1.6158865926471255E-2"/>
    <n v="0.12992249458622454"/>
    <n v="7.4930225062265904E-3"/>
    <n v="0"/>
    <n v="0"/>
    <n v="4.2351866339541602E-3"/>
    <n v="9.7735076168172928E-4"/>
    <n v="0"/>
    <n v="0"/>
    <n v="7.7536493760083855E-3"/>
    <n v="7.1672389189993474E-3"/>
    <n v="0"/>
    <n v="0"/>
    <n v="0"/>
    <n v="0"/>
    <n v="1.0164447921489983E-2"/>
    <n v="5.2125373956358892E-4"/>
  </r>
  <r>
    <x v="13"/>
    <s v="Census Tract 8, King County, Washington"/>
    <n v="492.82635165935454"/>
    <n v="445.49059053947855"/>
    <n v="47.33576111987604"/>
    <n v="492.82635165935454"/>
    <n v="445.49059053947855"/>
    <n v="47.33576111987604"/>
    <n v="380.59478900416462"/>
    <n v="21.950050519297356"/>
    <n v="0"/>
    <n v="0"/>
    <n v="12.406550293515897"/>
    <n v="2.8630500677344379"/>
    <n v="0"/>
    <n v="0"/>
    <n v="22.713530537359873"/>
    <n v="20.995700496719209"/>
    <n v="0"/>
    <n v="0"/>
    <n v="0"/>
    <n v="0"/>
    <n v="29.775720704438154"/>
    <n v="1.5269600361250335"/>
  </r>
  <r>
    <x v="56"/>
    <s v="Census Tract 14, King County, Washington"/>
    <n v="1733.4534778734592"/>
    <n v="1424.2428574960313"/>
    <n v="309.21062037742786"/>
    <n v="1733.4534778734592"/>
    <n v="1424.2428574960313"/>
    <n v="309.21062037742786"/>
    <n v="1195.6143987927212"/>
    <n v="81.831497514026367"/>
    <n v="28.422390357925188"/>
    <n v="15.616697998859994"/>
    <n v="12.493358399087995"/>
    <n v="0"/>
    <n v="12.181024439110795"/>
    <n v="0"/>
    <n v="36.855407277309588"/>
    <n v="130.55559527046955"/>
    <n v="0"/>
    <n v="0"/>
    <n v="31.545729957697187"/>
    <n v="2.8110056397947987"/>
    <n v="107.13054827217955"/>
    <n v="78.395823954277162"/>
  </r>
  <r>
    <x v="57"/>
    <s v="Census Tract 14, King County, Washington"/>
    <n v="844.31142575164131"/>
    <n v="693.70452277972697"/>
    <n v="150.60690297191439"/>
    <n v="844.31142575164131"/>
    <n v="693.70452277972697"/>
    <n v="150.60690297191439"/>
    <n v="582.34669149140234"/>
    <n v="39.857584422870275"/>
    <n v="13.843664818630517"/>
    <n v="7.6064092410057782"/>
    <n v="6.0851273928046226"/>
    <n v="0"/>
    <n v="5.9329992079845066"/>
    <n v="0"/>
    <n v="17.951125808773636"/>
    <n v="63.589581254808301"/>
    <n v="0"/>
    <n v="0"/>
    <n v="15.364946666831671"/>
    <n v="1.3691536633810399"/>
    <n v="52.179967393299634"/>
    <n v="38.184174389849005"/>
  </r>
  <r>
    <x v="59"/>
    <s v="Census Tract 14, King County, Washington"/>
    <n v="1023.2721136089758"/>
    <n v="840.74249334359092"/>
    <n v="182.52962026538489"/>
    <n v="1023.2721136089758"/>
    <n v="840.74249334359092"/>
    <n v="182.52962026538489"/>
    <n v="705.78119835948826"/>
    <n v="48.305818696495798"/>
    <n v="16.777975196111136"/>
    <n v="9.2186676901709532"/>
    <n v="7.3749341521367633"/>
    <n v="0"/>
    <n v="7.1905607983333439"/>
    <n v="0"/>
    <n v="21.756055748803451"/>
    <n v="77.068061889829167"/>
    <n v="0"/>
    <n v="0"/>
    <n v="18.621708734145326"/>
    <n v="1.6593601842307717"/>
    <n v="63.240060354572741"/>
    <n v="46.277711804658189"/>
  </r>
  <r>
    <x v="85"/>
    <s v="Census Tract 14, King County, Washington"/>
    <n v="1314.9505826776792"/>
    <n v="1080.3918300919311"/>
    <n v="234.55875258574821"/>
    <n v="1314.9505826776792"/>
    <n v="1080.3918300919311"/>
    <n v="234.55875258574821"/>
    <n v="906.96050999822637"/>
    <n v="62.075144623703061"/>
    <n v="21.560450995255643"/>
    <n v="11.846401645744859"/>
    <n v="9.4771213165958876"/>
    <n v="0"/>
    <n v="9.2401932836809895"/>
    <n v="0"/>
    <n v="27.957507883957867"/>
    <n v="99.035917758427018"/>
    <n v="0"/>
    <n v="0"/>
    <n v="23.929731324404614"/>
    <n v="2.1323522962340746"/>
    <n v="81.266315289809725"/>
    <n v="59.468936261639186"/>
  </r>
  <r>
    <x v="65"/>
    <s v="Census Tract 14, King County, Washington"/>
    <n v="632.73065352113372"/>
    <n v="519.86518559574233"/>
    <n v="112.86546792539143"/>
    <n v="632.73065352113372"/>
    <n v="519.86518559574233"/>
    <n v="112.86546792539143"/>
    <n v="436.41314264484686"/>
    <n v="29.869447067123794"/>
    <n v="10.374502607283455"/>
    <n v="5.7002761578480516"/>
    <n v="4.5602209262784417"/>
    <n v="0"/>
    <n v="4.4462154031214807"/>
    <n v="0"/>
    <n v="13.452651732521403"/>
    <n v="47.654308679609713"/>
    <n v="0"/>
    <n v="0"/>
    <n v="11.514557838853065"/>
    <n v="1.0260497084126494"/>
    <n v="39.103894442837635"/>
    <n v="28.61538631239722"/>
  </r>
  <r>
    <x v="66"/>
    <s v="Census Tract 16, King County, Washington"/>
    <n v="0.55356770703133285"/>
    <n v="0.49848753978815441"/>
    <n v="5.5080167243178463E-2"/>
    <n v="0.55356770703133285"/>
    <n v="0.49848753978815441"/>
    <n v="5.5080167243178463E-2"/>
    <n v="0.41815227402736138"/>
    <n v="4.0047370506503116E-2"/>
    <n v="9.6209899114722205E-3"/>
    <n v="1.924197982294444E-3"/>
    <n v="5.0510197035229156E-3"/>
    <n v="0"/>
    <n v="1.4431484867208329E-3"/>
    <n v="0"/>
    <n v="2.2729588665853121E-2"/>
    <n v="1.2747811632700692E-2"/>
    <n v="0"/>
    <n v="0"/>
    <n v="1.0823613650406247E-3"/>
    <n v="3.6078712168020823E-4"/>
    <n v="4.0408157628183325E-2"/>
    <n v="0"/>
  </r>
  <r>
    <x v="75"/>
    <s v="Census Tract 16, King County, Washington"/>
    <n v="8.0684073206441331E-2"/>
    <n v="7.2655981629524066E-2"/>
    <n v="8.0280915769172564E-3"/>
    <n v="8.0684073206441331E-2"/>
    <n v="7.2655981629524066E-2"/>
    <n v="8.0280915769172564E-3"/>
    <n v="6.094688736450065E-2"/>
    <n v="5.8370185482826331E-3"/>
    <n v="1.4022867383261582E-3"/>
    <n v="2.8045734766523163E-4"/>
    <n v="7.3620053762123302E-4"/>
    <n v="0"/>
    <n v="2.1034301074892371E-4"/>
    <n v="0"/>
    <n v="3.3129024192955487E-3"/>
    <n v="1.8580299282821597E-3"/>
    <n v="0"/>
    <n v="0"/>
    <n v="1.577572580616928E-4"/>
    <n v="5.2585752687230928E-5"/>
    <n v="5.8896043009698642E-3"/>
    <n v="0"/>
  </r>
  <r>
    <x v="56"/>
    <s v="Census Tract 16, King County, Washington"/>
    <n v="29.692157537486377"/>
    <n v="26.73777818659158"/>
    <n v="2.9543793508947993"/>
    <n v="29.692157537486377"/>
    <n v="26.73777818659158"/>
    <n v="2.9543793508947993"/>
    <n v="22.428770749041959"/>
    <n v="2.1480531088383583"/>
    <n v="0.5160487949161221"/>
    <n v="0.10320975898322443"/>
    <n v="0.27092561733096415"/>
    <n v="0"/>
    <n v="7.7407319237418323E-2"/>
    <n v="0"/>
    <n v="1.2191652779893385"/>
    <n v="0.68376465326386182"/>
    <n v="0"/>
    <n v="0"/>
    <n v="5.8055489428063739E-2"/>
    <n v="1.9351829809354581E-2"/>
    <n v="2.1674049386477132"/>
    <n v="0"/>
  </r>
  <r>
    <x v="59"/>
    <s v="Census Tract 16, King County, Washington"/>
    <n v="3385.6698303725011"/>
    <n v="3048.7945789472119"/>
    <n v="336.87525142528904"/>
    <n v="3385.6698303725011"/>
    <n v="3048.7945789472119"/>
    <n v="336.87525142528904"/>
    <n v="2557.4568759950439"/>
    <n v="244.93331599262282"/>
    <n v="58.842838676906382"/>
    <n v="11.768567735381277"/>
    <n v="30.892490305375851"/>
    <n v="0"/>
    <n v="8.826425801535958"/>
    <n v="0"/>
    <n v="139.01620637419134"/>
    <n v="77.966761246900958"/>
    <n v="0"/>
    <n v="0"/>
    <n v="6.6198193511519685"/>
    <n v="2.2066064503839895"/>
    <n v="247.13992244300681"/>
    <n v="0"/>
  </r>
  <r>
    <x v="85"/>
    <s v="Census Tract 16, King County, Washington"/>
    <n v="1187.0037603097751"/>
    <n v="1068.8964993447789"/>
    <n v="118.10726096499607"/>
    <n v="1187.0037603097751"/>
    <n v="1068.8964993447789"/>
    <n v="118.10726096499607"/>
    <n v="896.63525409452257"/>
    <n v="85.872746509484045"/>
    <n v="20.6300892515277"/>
    <n v="4.1260178503055398"/>
    <n v="10.830796857052041"/>
    <n v="0"/>
    <n v="3.0945133877291546"/>
    <n v="0"/>
    <n v="48.73858585673419"/>
    <n v="27.334868258274202"/>
    <n v="0"/>
    <n v="0"/>
    <n v="2.320885040796866"/>
    <n v="0.77362834693228866"/>
    <n v="86.64637485641633"/>
    <n v="0"/>
  </r>
  <r>
    <x v="11"/>
    <s v="Census Tract 22, King County, Washington"/>
    <n v="0.30887985781904914"/>
    <n v="0.26713499153850795"/>
    <n v="4.1744866280541165E-2"/>
    <n v="0.30887985781904914"/>
    <n v="0.26713499153850795"/>
    <n v="4.1744866280541165E-2"/>
    <n v="0.22930203185421777"/>
    <n v="9.9673236562010988E-3"/>
    <n v="5.2516006360629449E-3"/>
    <n v="4.1262576426208857E-3"/>
    <n v="2.6793880796239513E-4"/>
    <n v="0"/>
    <n v="8.5740418547966448E-4"/>
    <n v="0"/>
    <n v="1.2325185166270177E-2"/>
    <n v="2.5561362279612497E-2"/>
    <n v="6.9664090070222743E-4"/>
    <n v="0"/>
    <n v="1.0181674702571016E-3"/>
    <n v="9.1099194707214347E-4"/>
    <n v="1.7416022517555686E-2"/>
    <n v="1.1789307550345387E-3"/>
  </r>
  <r>
    <x v="70"/>
    <s v="Census Tract 22, King County, Washington"/>
    <n v="2137.4763526660995"/>
    <n v="1848.5981294310386"/>
    <n v="288.878223235061"/>
    <n v="2137.4763526660995"/>
    <n v="1848.5981294310386"/>
    <n v="288.878223235061"/>
    <n v="1586.7906511204442"/>
    <n v="68.974774739051796"/>
    <n v="36.341547980790729"/>
    <n v="28.554073413478431"/>
    <n v="1.8541606112648332"/>
    <n v="0"/>
    <n v="5.9333139560474661"/>
    <n v="0"/>
    <n v="85.291388118182326"/>
    <n v="176.88692231466507"/>
    <n v="4.8208175892885663"/>
    <n v="0"/>
    <n v="7.045810322806366"/>
    <n v="6.3041460783004331"/>
    <n v="120.52043973221416"/>
    <n v="8.1583066895652667"/>
  </r>
  <r>
    <x v="71"/>
    <s v="Census Tract 22, King County, Washington"/>
    <n v="1.8777479281793854"/>
    <n v="1.6239717942356413"/>
    <n v="0.25377613394374415"/>
    <n v="1.8777479281793854"/>
    <n v="1.6239717942356413"/>
    <n v="0.25377613394374415"/>
    <n v="1.3939769924843146"/>
    <n v="6.059353133958461E-2"/>
    <n v="3.1925624039135979E-2"/>
    <n v="2.5084418887892552E-2"/>
    <n v="1.6288583693436724E-3"/>
    <n v="0"/>
    <n v="5.2123467818997512E-3"/>
    <n v="0"/>
    <n v="7.4927484989808918E-2"/>
    <n v="0.15539308843538632"/>
    <n v="4.2350317602935479E-3"/>
    <n v="0"/>
    <n v="6.1896618035059544E-3"/>
    <n v="5.5381184557684853E-3"/>
    <n v="0.10587579400733869"/>
    <n v="7.1669768251121577E-3"/>
  </r>
  <r>
    <x v="2"/>
    <s v="Census Tract 22, King County, Washington"/>
    <n v="1304.7636054063094"/>
    <n v="1128.4258454112514"/>
    <n v="176.33775999505812"/>
    <n v="1304.7636054063094"/>
    <n v="1128.4258454112514"/>
    <n v="176.33775999505812"/>
    <n v="968.61267653254652"/>
    <n v="42.10375270742081"/>
    <n v="22.183697663049674"/>
    <n v="17.430048163824743"/>
    <n v="1.1318213093392691"/>
    <n v="0"/>
    <n v="3.6218281898856612"/>
    <n v="0"/>
    <n v="52.06378022960638"/>
    <n v="107.97575291096628"/>
    <n v="2.9427354042820997"/>
    <n v="0"/>
    <n v="4.3009209754892224"/>
    <n v="3.8481924517535151"/>
    <n v="73.568385107052492"/>
    <n v="4.9800137610927839"/>
  </r>
  <r>
    <x v="12"/>
    <s v="Census Tract 22, King County, Washington"/>
    <n v="2307.9984442595442"/>
    <n v="1996.0742964319618"/>
    <n v="311.92414782758243"/>
    <n v="2307.9984442595442"/>
    <n v="1996.0742964319618"/>
    <n v="311.92414782758243"/>
    <n v="1713.3805244598525"/>
    <n v="74.477396015314923"/>
    <n v="39.240778545703563"/>
    <n v="30.832040285909944"/>
    <n v="2.0020805380461"/>
    <n v="0"/>
    <n v="6.4066577217475205"/>
    <n v="0"/>
    <n v="92.095704750120603"/>
    <n v="190.99848332959795"/>
    <n v="5.2054093989198602"/>
    <n v="0"/>
    <n v="7.6079060445751807"/>
    <n v="6.8070738293567405"/>
    <n v="130.1352349729965"/>
    <n v="8.8091543674028401"/>
  </r>
  <r>
    <x v="61"/>
    <s v="Census Tract 22, King County, Washington"/>
    <n v="0.63266452532160578"/>
    <n v="0.54716041962668371"/>
    <n v="8.5504105694922089E-2"/>
    <n v="0.63266452532160578"/>
    <n v="0.54716041962668371"/>
    <n v="8.5504105694922089E-2"/>
    <n v="0.46966889379790966"/>
    <n v="2.0415614453473053E-2"/>
    <n v="1.0756614066883653E-2"/>
    <n v="8.451625338265727E-3"/>
    <n v="5.4880684014712504E-4"/>
    <n v="0"/>
    <n v="1.7561818884708003E-3"/>
    <n v="0"/>
    <n v="2.5245114646767753E-2"/>
    <n v="5.2356172550035732E-2"/>
    <n v="1.4268977843825252E-3"/>
    <n v="0"/>
    <n v="2.0854659925590752E-3"/>
    <n v="1.8659432565002253E-3"/>
    <n v="3.5672444609563134E-2"/>
    <n v="2.4147500966473505E-3"/>
  </r>
  <r>
    <x v="68"/>
    <s v="Census Tract 28, King County, Washington"/>
    <n v="1609.1940791231309"/>
    <n v="1442.1084145417426"/>
    <n v="167.08566458138813"/>
    <n v="1609.1940791231309"/>
    <n v="1442.1084145417426"/>
    <n v="167.08566458138813"/>
    <n v="1273.6966732573278"/>
    <n v="95.477522617936074"/>
    <n v="34.146475102942411"/>
    <n v="6.9619026908911721"/>
    <n v="0.66303835151344492"/>
    <n v="0.99455752727016744"/>
    <n v="0"/>
    <n v="0"/>
    <n v="39.119262739293248"/>
    <n v="38.12470521202308"/>
    <n v="0"/>
    <n v="0"/>
    <n v="6.9619026908911721"/>
    <n v="0"/>
    <n v="87.521062399774735"/>
    <n v="25.526976533267629"/>
  </r>
  <r>
    <x v="69"/>
    <s v="Census Tract 28, King County, Washington"/>
    <n v="11.080788310990524"/>
    <n v="9.9302491044105441"/>
    <n v="1.1505392065799804"/>
    <n v="11.080788310990524"/>
    <n v="9.9302491044105441"/>
    <n v="1.1505392065799804"/>
    <n v="8.770578634286279"/>
    <n v="0.65745097518856022"/>
    <n v="0.23513003626535312"/>
    <n v="4.7939133607499178E-2"/>
    <n v="4.5656317721427791E-3"/>
    <n v="6.8484476582141686E-3"/>
    <n v="0"/>
    <n v="0"/>
    <n v="0.26937227455642399"/>
    <n v="0.2625238268982098"/>
    <n v="0"/>
    <n v="0"/>
    <n v="4.7939133607499178E-2"/>
    <n v="0"/>
    <n v="0.60266339392284685"/>
    <n v="0.17577682322749699"/>
  </r>
  <r>
    <x v="65"/>
    <s v="Census Tract 28, King County, Washington"/>
    <n v="3233.7251325658785"/>
    <n v="2897.9613363538465"/>
    <n v="335.76379621203188"/>
    <n v="3233.7251325658785"/>
    <n v="2897.9613363538465"/>
    <n v="335.76379621203188"/>
    <n v="2559.5327481083859"/>
    <n v="191.86502640687536"/>
    <n v="68.618394860792222"/>
    <n v="13.990158175501328"/>
    <n v="1.3323960167144122"/>
    <n v="1.9985940250716183"/>
    <n v="0"/>
    <n v="0"/>
    <n v="78.611364986150321"/>
    <n v="76.612770961078695"/>
    <n v="0"/>
    <n v="0"/>
    <n v="13.990158175501328"/>
    <n v="0"/>
    <n v="175.87627420630241"/>
    <n v="51.29724664350487"/>
  </r>
  <r>
    <x v="54"/>
    <s v="Census Tract 65, King County, Washington"/>
    <n v="901.98925730357416"/>
    <n v="804.22840790578709"/>
    <n v="97.760849397786998"/>
    <n v="901.98925730357416"/>
    <n v="804.22840790578709"/>
    <n v="97.760849397786998"/>
    <n v="677.19559592440169"/>
    <n v="57.042798880858442"/>
    <n v="30.585448084144495"/>
    <n v="4.8786604305997354"/>
    <n v="3.5651749300536526"/>
    <n v="0"/>
    <n v="1.6887670721306776"/>
    <n v="0"/>
    <n v="29.647244155183007"/>
    <n v="24.580942938790972"/>
    <n v="2.6269710010921652"/>
    <n v="0"/>
    <n v="8.8191169322379821"/>
    <n v="3.0022525726767602"/>
    <n v="50.100089806543437"/>
    <n v="8.256194574861091"/>
  </r>
  <r>
    <x v="4"/>
    <s v="Census Tract 65, King County, Washington"/>
    <n v="3904.6701341002731"/>
    <n v="3481.4678998863678"/>
    <n v="423.20223421390523"/>
    <n v="3904.6701341002731"/>
    <n v="3481.4678998863678"/>
    <n v="423.20223421390523"/>
    <n v="2931.5486819155162"/>
    <n v="246.93566065456272"/>
    <n v="132.40300225886094"/>
    <n v="21.119497292824445"/>
    <n v="15.43347879091017"/>
    <n v="0"/>
    <n v="7.3105952167469228"/>
    <n v="0"/>
    <n v="128.3415604717793"/>
    <n v="106.40977482153855"/>
    <n v="11.372037003828547"/>
    <n v="0"/>
    <n v="38.177552798567262"/>
    <n v="12.996613718661196"/>
    <n v="216.8809914301587"/>
    <n v="35.740687726318292"/>
  </r>
  <r>
    <x v="5"/>
    <s v="Census Tract 65, King County, Washington"/>
    <n v="0.34062131824549269"/>
    <n v="0.30370355107139207"/>
    <n v="3.691776717410062E-2"/>
    <n v="0.34062131824549269"/>
    <n v="0.30370355107139207"/>
    <n v="3.691776717410062E-2"/>
    <n v="0.25573171157644747"/>
    <n v="2.1541269138054875E-2"/>
    <n v="1.1550088386522843E-2"/>
    <n v="1.8423453868073247E-3"/>
    <n v="1.3463293211284297E-3"/>
    <n v="0"/>
    <n v="6.3773494158715085E-4"/>
    <n v="0"/>
    <n v="1.1195791196752203E-2"/>
    <n v="9.2825863719907514E-3"/>
    <n v="9.9203213135779021E-4"/>
    <n v="0"/>
    <n v="3.3303935838440101E-3"/>
    <n v="1.133751007266046E-3"/>
    <n v="1.8919469933752143E-2"/>
    <n v="3.1178152699816264E-3"/>
  </r>
  <r>
    <x v="55"/>
    <s v="Census Tract 72, King County, Washington"/>
    <n v="1171.9680706494182"/>
    <n v="781.31204709961207"/>
    <n v="390.65602354980604"/>
    <n v="1171.9680706494182"/>
    <n v="781.31204709961207"/>
    <n v="390.65602354980604"/>
    <n v="575.2720725936548"/>
    <n v="90.324327719877303"/>
    <n v="40.599661215230356"/>
    <n v="26.581537147430947"/>
    <n v="37.029006971545599"/>
    <n v="26.713783600900754"/>
    <n v="14.414863428208822"/>
    <n v="0"/>
    <n v="56.73372853854665"/>
    <n v="183.55807741609033"/>
    <n v="0"/>
    <n v="0"/>
    <n v="0"/>
    <n v="8.9927588359467876"/>
    <n v="57.262714352425874"/>
    <n v="54.48553882955995"/>
  </r>
  <r>
    <x v="53"/>
    <s v="Census Tract 72, King County, Washington"/>
    <n v="3913.2576352316519"/>
    <n v="2608.8384234877681"/>
    <n v="1304.419211743884"/>
    <n v="3913.2576352316519"/>
    <n v="2608.8384234877681"/>
    <n v="1304.419211743884"/>
    <n v="1920.8610599478318"/>
    <n v="301.59726527456763"/>
    <n v="135.56421733424929"/>
    <n v="88.757028287244651"/>
    <n v="123.64163144491792"/>
    <n v="89.198605542405062"/>
    <n v="48.131920812485902"/>
    <n v="0"/>
    <n v="189.43664246382068"/>
    <n v="612.90923016266447"/>
    <n v="0"/>
    <n v="0"/>
    <n v="0"/>
    <n v="30.027253350908637"/>
    <n v="191.20295148446235"/>
    <n v="181.92982912609349"/>
  </r>
  <r>
    <x v="8"/>
    <s v="Census Tract 72, King County, Washington"/>
    <n v="3776.4664532623765"/>
    <n v="2517.6443021749178"/>
    <n v="1258.8221510874589"/>
    <n v="3776.4664532623765"/>
    <n v="2517.6443021749178"/>
    <n v="1258.8221510874589"/>
    <n v="1853.7157607415186"/>
    <n v="291.05468151412811"/>
    <n v="130.82545713738995"/>
    <n v="85.654452392883968"/>
    <n v="119.31963517416672"/>
    <n v="86.080593947077418"/>
    <n v="46.449429407086328"/>
    <n v="0"/>
    <n v="182.81472674899115"/>
    <n v="591.48447722051219"/>
    <n v="0"/>
    <n v="0"/>
    <n v="0"/>
    <n v="28.977625685154774"/>
    <n v="184.51929296576495"/>
    <n v="175.57032032770246"/>
  </r>
  <r>
    <x v="9"/>
    <s v="Census Tract 72, King County, Washington"/>
    <n v="0.30792857549550973"/>
    <n v="0.20528571699700648"/>
    <n v="0.10264285849850324"/>
    <n v="0.30792857549550973"/>
    <n v="0.20528571699700648"/>
    <n v="0.10264285849850324"/>
    <n v="0.15114977470158736"/>
    <n v="2.3732251981881419E-2"/>
    <n v="1.0667351915721223E-2"/>
    <n v="6.9841620034526578E-3"/>
    <n v="9.7291809003320611E-3"/>
    <n v="7.0189090780967012E-3"/>
    <n v="3.7874311362006952E-3"/>
    <n v="0"/>
    <n v="1.4906495022294479E-2"/>
    <n v="4.8228939605931789E-2"/>
    <n v="0"/>
    <n v="0"/>
    <n v="0"/>
    <n v="2.3628010757949288E-3"/>
    <n v="1.5045483320870651E-2"/>
    <n v="1.4315794753345747E-2"/>
  </r>
  <r>
    <x v="66"/>
    <s v="Census Tract 31, King County, Washington"/>
    <n v="3039.6539229925088"/>
    <n v="2866.8874695716863"/>
    <n v="172.76645342082247"/>
    <n v="3039.6539229925088"/>
    <n v="2866.8874695716863"/>
    <n v="172.76645342082247"/>
    <n v="2531.2403815906332"/>
    <n v="114.39304681542197"/>
    <n v="152.05330914148681"/>
    <n v="12.710338535046885"/>
    <n v="13.181091814122695"/>
    <n v="0"/>
    <n v="26.36218362824539"/>
    <n v="0"/>
    <n v="47.546081186656863"/>
    <n v="45.663068070353624"/>
    <n v="0"/>
    <n v="0"/>
    <n v="0"/>
    <n v="0"/>
    <n v="96.504422210541165"/>
    <n v="0"/>
  </r>
  <r>
    <x v="59"/>
    <s v="Census Tract 31, King County, Washington"/>
    <n v="11.717756737142395"/>
    <n v="11.051748262226605"/>
    <n v="0.66600847491579052"/>
    <n v="11.717756737142395"/>
    <n v="11.051748262226605"/>
    <n v="0.66600847491579052"/>
    <n v="9.7578407891613228"/>
    <n v="0.44098108829574134"/>
    <n v="0.58616004740545047"/>
    <n v="4.8997898699526816E-2"/>
    <n v="5.0812635688398181E-2"/>
    <n v="0"/>
    <n v="0.10162527137679636"/>
    <n v="0"/>
    <n v="0.18328843587600774"/>
    <n v="0.17602948792052228"/>
    <n v="0"/>
    <n v="0"/>
    <n v="0"/>
    <n v="0"/>
    <n v="0.37202108271862955"/>
    <n v="0"/>
  </r>
  <r>
    <x v="67"/>
    <s v="Census Tract 31, King County, Washington"/>
    <n v="3400.6813793203419"/>
    <n v="3207.3950131734368"/>
    <n v="193.28636614690498"/>
    <n v="3400.6813793203419"/>
    <n v="3207.3950131734368"/>
    <n v="193.28636614690498"/>
    <n v="2831.8822636836735"/>
    <n v="127.97980101825044"/>
    <n v="170.11306884318884"/>
    <n v="14.219977890916715"/>
    <n v="14.746643738728446"/>
    <n v="0"/>
    <n v="29.493287477456892"/>
    <n v="0"/>
    <n v="53.19325062898475"/>
    <n v="51.086587237737831"/>
    <n v="0"/>
    <n v="0"/>
    <n v="0"/>
    <n v="0"/>
    <n v="107.9664988014047"/>
    <n v="0"/>
  </r>
  <r>
    <x v="11"/>
    <s v="Census Tract 32, King County, Washington"/>
    <n v="1.5287811361830785"/>
    <n v="1.3856826196729974"/>
    <n v="0.14309851651008121"/>
    <n v="1.5287811361830785"/>
    <n v="1.3856826196729974"/>
    <n v="0.14309851651008121"/>
    <n v="1.2014163138654179"/>
    <n v="6.184156994908032E-2"/>
    <n v="8.2155806589330541E-2"/>
    <n v="1.2224496385283319E-2"/>
    <n v="9.7076883059602822E-3"/>
    <n v="0"/>
    <n v="5.9324761869757282E-3"/>
    <n v="0"/>
    <n v="3.7931893195511476E-2"/>
    <n v="2.0134464634584289E-2"/>
    <n v="0"/>
    <n v="0"/>
    <n v="5.3931601699779346E-3"/>
    <n v="2.8943292912214917E-2"/>
    <n v="4.3145281359823477E-2"/>
    <n v="1.9954692628918358E-2"/>
  </r>
  <r>
    <x v="66"/>
    <s v="Census Tract 32, King County, Washington"/>
    <n v="659.09152833432813"/>
    <n v="597.39857718732367"/>
    <n v="61.692951147004372"/>
    <n v="659.09152833432813"/>
    <n v="597.39857718732367"/>
    <n v="61.692951147004372"/>
    <n v="517.95727702943498"/>
    <n v="26.661275370062189"/>
    <n v="35.419194314297734"/>
    <n v="5.2702521080355496"/>
    <n v="4.1852002034399947"/>
    <n v="0"/>
    <n v="2.5576223465466636"/>
    <n v="0"/>
    <n v="16.353282276404425"/>
    <n v="8.6804152367644338"/>
    <n v="0"/>
    <n v="0"/>
    <n v="2.3251112241333303"/>
    <n v="12.478096902848874"/>
    <n v="18.600889793066642"/>
    <n v="8.6029115292933227"/>
  </r>
  <r>
    <x v="77"/>
    <s v="Census Tract 32, King County, Washington"/>
    <n v="3469.0593103977831"/>
    <n v="3144.3449158685457"/>
    <n v="324.71439452923744"/>
    <n v="3469.0593103977831"/>
    <n v="3144.3449158685457"/>
    <n v="324.71439452923744"/>
    <n v="2726.2139430136858"/>
    <n v="140.32883381665539"/>
    <n v="186.42522399480089"/>
    <n v="27.739420638176064"/>
    <n v="22.028363447963343"/>
    <n v="0"/>
    <n v="13.461777662644266"/>
    <n v="0"/>
    <n v="86.073790509634549"/>
    <n v="45.68845752170175"/>
    <n v="0"/>
    <n v="0"/>
    <n v="12.237979693312969"/>
    <n v="65.677157687446268"/>
    <n v="97.903837546503752"/>
    <n v="45.280524865257988"/>
  </r>
  <r>
    <x v="86"/>
    <s v="Census Tract 32, King County, Washington"/>
    <n v="7.2479468420329978"/>
    <n v="6.5695171987759107"/>
    <n v="0.67842964325708677"/>
    <n v="7.2479468420329978"/>
    <n v="6.5695171987759107"/>
    <n v="0.67842964325708677"/>
    <n v="5.695911188300391"/>
    <n v="0.29319070010105258"/>
    <n v="0.38950043589006111"/>
    <n v="5.7956301182766207E-2"/>
    <n v="4.6024121527490809E-2"/>
    <n v="0"/>
    <n v="2.812585204457772E-2"/>
    <n v="0"/>
    <n v="0.17983499337593631"/>
    <n v="9.5457437242203166E-2"/>
    <n v="0"/>
    <n v="0"/>
    <n v="2.5568956404161562E-2"/>
    <n v="0.13722006603566705"/>
    <n v="0.2045516512332925"/>
    <n v="9.4605138695397772E-2"/>
  </r>
  <r>
    <x v="67"/>
    <s v="Census Tract 32, King County, Washington"/>
    <n v="4231.9122450317518"/>
    <n v="3835.7925193679143"/>
    <n v="396.11972566383758"/>
    <n v="4231.9122450317518"/>
    <n v="3835.7925193679143"/>
    <n v="396.11972566383758"/>
    <n v="3325.7137268987767"/>
    <n v="171.18741913110568"/>
    <n v="227.42049576428866"/>
    <n v="33.839373549172052"/>
    <n v="26.872443700813101"/>
    <n v="0"/>
    <n v="16.422048928274673"/>
    <n v="0"/>
    <n v="105.00158557169563"/>
    <n v="55.735438786871619"/>
    <n v="0"/>
    <n v="0"/>
    <n v="14.929135389340612"/>
    <n v="80.119693256127945"/>
    <n v="119.43308311472489"/>
    <n v="55.237800940560263"/>
  </r>
  <r>
    <x v="66"/>
    <s v="Census Tract 33, King County, Washington"/>
    <n v="1758.4912146353295"/>
    <n v="1589.8653217191036"/>
    <n v="168.62589291622595"/>
    <n v="1758.4912146353295"/>
    <n v="1589.8653217191036"/>
    <n v="168.62589291622595"/>
    <n v="1395.0646633352842"/>
    <n v="49.077685251737407"/>
    <n v="30.201652462607633"/>
    <n v="12.584021859419847"/>
    <n v="35.990302517940762"/>
    <n v="0"/>
    <n v="0"/>
    <n v="0"/>
    <n v="25.671404593216486"/>
    <n v="79.027657277156635"/>
    <n v="0"/>
    <n v="0"/>
    <n v="5.0336087437679389"/>
    <n v="18.372671914752978"/>
    <n v="97.903690066286416"/>
    <n v="9.5638566131590839"/>
  </r>
  <r>
    <x v="77"/>
    <s v="Census Tract 33, King County, Washington"/>
    <n v="1849.3984938414962"/>
    <n v="1672.0552863312912"/>
    <n v="177.34320751020502"/>
    <n v="1849.3984938414962"/>
    <n v="1672.0552863312912"/>
    <n v="177.34320751020502"/>
    <n v="1467.1841779538304"/>
    <n v="51.614814126104449"/>
    <n v="31.762962539141199"/>
    <n v="13.234567724642165"/>
    <n v="37.850863692476594"/>
    <n v="0"/>
    <n v="0"/>
    <n v="0"/>
    <n v="26.998518158270016"/>
    <n v="83.113085310752794"/>
    <n v="0"/>
    <n v="0"/>
    <n v="5.2938270898568662"/>
    <n v="19.322468877977563"/>
    <n v="102.96493689771604"/>
    <n v="10.058271470728046"/>
  </r>
  <r>
    <x v="75"/>
    <s v="Census Tract 33, King County, Washington"/>
    <n v="1730.193901029083"/>
    <n v="1564.2815046229737"/>
    <n v="165.91239640610928"/>
    <n v="1730.193901029083"/>
    <n v="1564.2815046229737"/>
    <n v="165.91239640610928"/>
    <n v="1372.6155422075578"/>
    <n v="48.287936267449716"/>
    <n v="29.715653087661366"/>
    <n v="12.381522119858902"/>
    <n v="35.411153262796461"/>
    <n v="0"/>
    <n v="0"/>
    <n v="0"/>
    <n v="25.258305124512162"/>
    <n v="77.755958912713908"/>
    <n v="0"/>
    <n v="0"/>
    <n v="4.9526088479435613"/>
    <n v="18.077022294993998"/>
    <n v="96.328242092502265"/>
    <n v="9.4099568110927656"/>
  </r>
  <r>
    <x v="76"/>
    <s v="Census Tract 33, King County, Washington"/>
    <n v="1638.3118402506504"/>
    <n v="1481.2102325552253"/>
    <n v="157.1016076954252"/>
    <n v="1638.3118402506504"/>
    <n v="1481.2102325552253"/>
    <n v="157.1016076954252"/>
    <n v="1299.7227036652864"/>
    <n v="45.723602239713301"/>
    <n v="28.137601378285108"/>
    <n v="11.724000574285462"/>
    <n v="33.530641642456423"/>
    <n v="0"/>
    <n v="0"/>
    <n v="0"/>
    <n v="23.916961171542344"/>
    <n v="73.626723606512698"/>
    <n v="0"/>
    <n v="0"/>
    <n v="4.689600229714185"/>
    <n v="17.117040838456774"/>
    <n v="91.212724467940888"/>
    <n v="8.9102404364569505"/>
  </r>
  <r>
    <x v="68"/>
    <s v="Census Tract 33, King County, Washington"/>
    <n v="10.604550243440402"/>
    <n v="9.5876547714058997"/>
    <n v="1.0168954720345025"/>
    <n v="10.604550243440402"/>
    <n v="9.5876547714058997"/>
    <n v="1.0168954720345025"/>
    <n v="8.4129128380406684"/>
    <n v="0.29596211499511643"/>
    <n v="0.18213053230468701"/>
    <n v="7.5887721793619592E-2"/>
    <n v="0.21703888432975205"/>
    <n v="0"/>
    <n v="0"/>
    <n v="0"/>
    <n v="0.15481095245898396"/>
    <n v="0.47657489286393107"/>
    <n v="0"/>
    <n v="0"/>
    <n v="3.0355088717447836E-2"/>
    <n v="0.1107960738186846"/>
    <n v="0.59040647555436043"/>
    <n v="5.7674668563150892E-2"/>
  </r>
  <r>
    <x v="14"/>
    <s v="Census Tract 36, King County, Washington"/>
    <n v="0.30012686243195535"/>
    <n v="0.25789818460824637"/>
    <n v="4.2228677823708996E-2"/>
    <n v="0.30012686243195535"/>
    <n v="0.25789818460824637"/>
    <n v="4.2228677823708996E-2"/>
    <n v="0.21299909736160186"/>
    <n v="1.4438315354515724E-2"/>
    <n v="6.7891764989885849E-4"/>
    <n v="2.8967153062351295E-3"/>
    <n v="4.9787294325916286E-3"/>
    <n v="0"/>
    <n v="0"/>
    <n v="0"/>
    <n v="2.3037938919901264E-2"/>
    <n v="2.0050701260346287E-2"/>
    <n v="0"/>
    <n v="0"/>
    <n v="3.2135435428545969E-3"/>
    <n v="3.3493270728343683E-3"/>
    <n v="1.2989957701398158E-2"/>
    <n v="1.4936188297774886E-3"/>
  </r>
  <r>
    <x v="69"/>
    <s v="Census Tract 36, King County, Washington"/>
    <n v="4762.513222828391"/>
    <n v="4092.4144689603636"/>
    <n v="670.0987538680273"/>
    <n v="4762.513222828391"/>
    <n v="4092.4144689603636"/>
    <n v="670.0987538680273"/>
    <n v="3379.9407670985383"/>
    <n v="229.11200694951842"/>
    <n v="10.773291862830019"/>
    <n v="45.966045281408086"/>
    <n v="79.004140327420146"/>
    <n v="0"/>
    <n v="0"/>
    <n v="0"/>
    <n v="365.57370387869867"/>
    <n v="318.1712196822466"/>
    <n v="0"/>
    <n v="0"/>
    <n v="50.993581484062098"/>
    <n v="53.148239856628102"/>
    <n v="206.12898430881438"/>
    <n v="23.701242098226043"/>
  </r>
  <r>
    <x v="6"/>
    <s v="Census Tract 36, King County, Washington"/>
    <n v="1737.5764477124771"/>
    <n v="1493.0946462171157"/>
    <n v="244.48180149536134"/>
    <n v="1737.5764477124771"/>
    <n v="1493.0946462171157"/>
    <n v="244.48180149536134"/>
    <n v="1233.1525807472353"/>
    <n v="83.590240811382927"/>
    <n v="3.9305755867421439"/>
    <n v="16.77045583676648"/>
    <n v="28.824220969442386"/>
    <n v="0"/>
    <n v="0"/>
    <n v="0"/>
    <n v="133.37753157678341"/>
    <n v="116.08299899511798"/>
    <n v="0"/>
    <n v="0"/>
    <n v="18.604724443912815"/>
    <n v="19.390839561261242"/>
    <n v="75.20501289299969"/>
    <n v="8.6472662908327163"/>
  </r>
  <r>
    <x v="74"/>
    <s v="Census Tract 36, King County, Washington"/>
    <n v="130.6102580187206"/>
    <n v="112.23303426190168"/>
    <n v="18.377223756818932"/>
    <n v="130.6102580187206"/>
    <n v="112.23303426190168"/>
    <n v="18.377223756818932"/>
    <n v="92.693692389699777"/>
    <n v="6.2833165899520242"/>
    <n v="0.29545375814821428"/>
    <n v="1.2606027014323811"/>
    <n v="2.1666608930869051"/>
    <n v="0"/>
    <n v="0"/>
    <n v="0"/>
    <n v="10.025730859829405"/>
    <n v="8.725734323977262"/>
    <n v="0"/>
    <n v="0"/>
    <n v="1.3984811219015478"/>
    <n v="1.4575718735311907"/>
    <n v="5.6530152392358337"/>
    <n v="0.64999826792607152"/>
  </r>
  <r>
    <x v="70"/>
    <s v="Census Tract 39, King County, Washington"/>
    <n v="2017.3326180654694"/>
    <n v="1706.1554047317056"/>
    <n v="311.17721333376392"/>
    <n v="2017.3326180654694"/>
    <n v="1706.1554047317056"/>
    <n v="311.17721333376392"/>
    <n v="1456.1497803438954"/>
    <n v="97.076652022926353"/>
    <n v="31.915611623975785"/>
    <n v="51.197960313461159"/>
    <n v="14.627988660988903"/>
    <n v="0"/>
    <n v="23.271800142482345"/>
    <n v="7.9789029059939462"/>
    <n v="61.171588945953594"/>
    <n v="136.3062579773966"/>
    <n v="0"/>
    <n v="0"/>
    <n v="0"/>
    <n v="18.617440113985875"/>
    <n v="119.01863501440971"/>
    <n v="0"/>
  </r>
  <r>
    <x v="0"/>
    <s v="Census Tract 39, King County, Washington"/>
    <n v="5.7791356156002845E-2"/>
    <n v="4.8876934705439454E-2"/>
    <n v="8.9144214505633926E-3"/>
    <n v="5.7791356156002845E-2"/>
    <n v="4.8876934705439454E-2"/>
    <n v="8.9144214505633926E-3"/>
    <n v="4.1714920890456898E-2"/>
    <n v="2.7809947260304599E-3"/>
    <n v="9.1429963595521973E-4"/>
    <n v="1.4666889993448316E-3"/>
    <n v="4.1905399981280906E-4"/>
    <n v="0"/>
    <n v="6.6667681788401436E-4"/>
    <n v="2.2857490898880493E-4"/>
    <n v="1.7524076355808378E-3"/>
    <n v="3.9048213618920842E-3"/>
    <n v="0"/>
    <n v="0"/>
    <n v="0"/>
    <n v="5.3334145430721154E-4"/>
    <n v="3.4095757257496737E-3"/>
    <n v="0"/>
  </r>
  <r>
    <x v="1"/>
    <s v="Census Tract 39, King County, Washington"/>
    <n v="1016.3637413076368"/>
    <n v="859.58779175853522"/>
    <n v="156.77594954910151"/>
    <n v="1016.3637413076368"/>
    <n v="859.58779175853522"/>
    <n v="156.77594954910151"/>
    <n v="733.63104596694939"/>
    <n v="48.908736397796631"/>
    <n v="16.079584569138618"/>
    <n v="25.794333579659867"/>
    <n v="7.3698095941885331"/>
    <n v="0"/>
    <n v="11.724697081663574"/>
    <n v="4.0198961422846544"/>
    <n v="30.819203757515684"/>
    <n v="68.67322576402951"/>
    <n v="0"/>
    <n v="0"/>
    <n v="0"/>
    <n v="9.3797576653308603"/>
    <n v="59.963450789079431"/>
    <n v="0"/>
  </r>
  <r>
    <x v="72"/>
    <s v="Census Tract 39, King County, Washington"/>
    <n v="0.16069355633501314"/>
    <n v="0.13590628396692278"/>
    <n v="2.4787272368090359E-2"/>
    <n v="0.16069355633501314"/>
    <n v="0.13590628396692278"/>
    <n v="2.4787272368090359E-2"/>
    <n v="0.11599172326093565"/>
    <n v="7.7327815507290433E-3"/>
    <n v="2.5422843454451652E-3"/>
    <n v="4.0782478041516187E-3"/>
    <n v="1.1652136583290339E-3"/>
    <n v="0"/>
    <n v="1.8537490018870994E-3"/>
    <n v="6.355710863612913E-4"/>
    <n v="4.8727116621032325E-3"/>
    <n v="1.0857672725338725E-2"/>
    <n v="0"/>
    <n v="0"/>
    <n v="0"/>
    <n v="1.4829992015096796E-3"/>
    <n v="9.4806020382225947E-3"/>
    <n v="0"/>
  </r>
  <r>
    <x v="2"/>
    <s v="Census Tract 39, King County, Washington"/>
    <n v="8.5155714402710109E-2"/>
    <n v="7.2020291086800969E-2"/>
    <n v="1.3135423315909139E-2"/>
    <n v="8.5155714402710109E-2"/>
    <n v="7.2020291086800969E-2"/>
    <n v="1.3135423315909139E-2"/>
    <n v="6.1467045003933796E-2"/>
    <n v="4.0978030002622526E-3"/>
    <n v="1.3472229041958093E-3"/>
    <n v="2.161170075480777E-3"/>
    <n v="6.1747716442307917E-4"/>
    <n v="0"/>
    <n v="9.8235003430944428E-4"/>
    <n v="3.3680572604895232E-4"/>
    <n v="2.5821772330419674E-3"/>
    <n v="5.7537644866696019E-3"/>
    <n v="0"/>
    <n v="0"/>
    <n v="0"/>
    <n v="7.8588002744755538E-4"/>
    <n v="5.0240187468968715E-3"/>
    <n v="0"/>
  </r>
  <r>
    <x v="50"/>
    <s v="Census Tract 58.01, King County, Washington"/>
    <n v="199.17373680923379"/>
    <n v="172.45076351353381"/>
    <n v="26.722973295699969"/>
    <n v="199.17373680923379"/>
    <n v="172.45076351353381"/>
    <n v="26.722973295699969"/>
    <n v="135.10568786180249"/>
    <n v="15.504542386347541"/>
    <n v="14.423696883453122"/>
    <n v="2.7580195591098993"/>
    <n v="10.21212647562314"/>
    <n v="2.7580195591098993"/>
    <n v="0.74541069165132412"/>
    <n v="0"/>
    <n v="2.5716668861970682"/>
    <n v="5.7023917911326292"/>
    <n v="0"/>
    <n v="0"/>
    <n v="0"/>
    <n v="0"/>
    <n v="9.3921747148066839"/>
    <n v="0"/>
  </r>
  <r>
    <x v="86"/>
    <s v="Census Tract 58.01, King County, Washington"/>
    <n v="2696.4782465836738"/>
    <n v="2334.6940207602283"/>
    <n v="361.78422582344575"/>
    <n v="2696.4782465836738"/>
    <n v="2334.6940207602283"/>
    <n v="361.78422582344575"/>
    <n v="1829.1043495257893"/>
    <n v="209.9054922490285"/>
    <n v="195.27265745282219"/>
    <n v="37.338957755836802"/>
    <n v="138.25505979863897"/>
    <n v="37.338957755836802"/>
    <n v="10.091610204280217"/>
    <n v="0"/>
    <n v="34.816055204766748"/>
    <n v="77.200818062743664"/>
    <n v="0"/>
    <n v="0"/>
    <n v="0"/>
    <n v="0"/>
    <n v="127.15428857393073"/>
    <n v="0"/>
  </r>
  <r>
    <x v="87"/>
    <s v="Census Tract 58.01, King County, Washington"/>
    <n v="0.81942881326374839"/>
    <n v="0.70948673633446169"/>
    <n v="0.10994207692928659"/>
    <n v="0.81942881326374839"/>
    <n v="0.70948673633446169"/>
    <n v="0.10994207692928659"/>
    <n v="0.55584383384750891"/>
    <n v="6.378787169118999E-2"/>
    <n v="5.934112102040992E-2"/>
    <n v="1.1346881021990527E-2"/>
    <n v="4.2014127027370327E-2"/>
    <n v="1.1346881021990527E-2"/>
    <n v="3.0667246005379803E-3"/>
    <n v="0"/>
    <n v="1.0580199871856032E-2"/>
    <n v="2.3460443194115548E-2"/>
    <n v="0"/>
    <n v="0"/>
    <n v="0"/>
    <n v="0"/>
    <n v="3.8640729966778552E-2"/>
    <n v="0"/>
  </r>
  <r>
    <x v="78"/>
    <s v="Census Tract 58.01, King County, Washington"/>
    <n v="2435.448080181814"/>
    <n v="2108.6860529568216"/>
    <n v="326.76202722499266"/>
    <n v="2435.448080181814"/>
    <n v="2108.6860529568216"/>
    <n v="326.76202722499266"/>
    <n v="1652.0395379227314"/>
    <n v="189.58577869678794"/>
    <n v="176.36946239340608"/>
    <n v="33.724393325870928"/>
    <n v="124.87140231471128"/>
    <n v="33.724393325870928"/>
    <n v="9.1147008988840348"/>
    <n v="0"/>
    <n v="31.445718101149922"/>
    <n v="69.727461876462868"/>
    <n v="0"/>
    <n v="0"/>
    <n v="0"/>
    <n v="0"/>
    <n v="114.84523132593884"/>
    <n v="0"/>
  </r>
  <r>
    <x v="81"/>
    <s v="Census Tract 77, King County, Washington"/>
    <n v="934.79741692284188"/>
    <n v="833.00523399492124"/>
    <n v="101.79218292792061"/>
    <n v="934.79741692284188"/>
    <n v="833.00523399492124"/>
    <n v="101.79218292792061"/>
    <n v="601.94754541112911"/>
    <n v="47.72609268765828"/>
    <n v="15.673882838382239"/>
    <n v="10.21444050141764"/>
    <n v="94.219408073421334"/>
    <n v="11.799439889568653"/>
    <n v="7.7488858976271748"/>
    <n v="0"/>
    <n v="36.631096970601192"/>
    <n v="32.052209849276039"/>
    <n v="0"/>
    <n v="0"/>
    <n v="8.6294411132666262"/>
    <n v="0"/>
    <n v="68.154973690493563"/>
    <n v="0"/>
  </r>
  <r>
    <x v="88"/>
    <s v="Census Tract 77, King County, Washington"/>
    <n v="1048.2501134304346"/>
    <n v="934.10381245779115"/>
    <n v="114.1463009726434"/>
    <n v="1048.2501134304346"/>
    <n v="934.10381245779115"/>
    <n v="114.1463009726434"/>
    <n v="675.00355834687741"/>
    <n v="53.51842139028782"/>
    <n v="17.576160530389728"/>
    <n v="11.454127087220272"/>
    <n v="105.65444813211802"/>
    <n v="13.231491635237211"/>
    <n v="8.6893377903050339"/>
    <n v="0"/>
    <n v="41.076869554169249"/>
    <n v="35.942260859898091"/>
    <n v="0"/>
    <n v="0"/>
    <n v="9.6767625392033327"/>
    <n v="0"/>
    <n v="76.42667556472837"/>
    <n v="0"/>
  </r>
  <r>
    <x v="3"/>
    <s v="Census Tract 77, King County, Washington"/>
    <n v="1.7174133707002337"/>
    <n v="1.5304003849683694"/>
    <n v="0.18701298573186417"/>
    <n v="1.7174133707002337"/>
    <n v="1.5304003849683694"/>
    <n v="0.18701298573186417"/>
    <n v="1.1059003204697435"/>
    <n v="8.7682559054213127E-2"/>
    <n v="2.8796117180165937E-2"/>
    <n v="1.8766008948872183E-2"/>
    <n v="0.17310025495942447"/>
    <n v="2.1677975854731659E-2"/>
    <n v="1.4236282650868553E-2"/>
    <n v="0"/>
    <n v="6.7298790713196791E-2"/>
    <n v="5.88864418740472E-2"/>
    <n v="0"/>
    <n v="0"/>
    <n v="1.5854042043012707E-2"/>
    <n v="0"/>
    <n v="0.12521457695195751"/>
    <n v="0"/>
  </r>
  <r>
    <x v="80"/>
    <s v="Census Tract 77, King County, Washington"/>
    <n v="2273.3732907577109"/>
    <n v="2025.8205850195877"/>
    <n v="247.552705738123"/>
    <n v="2273.3732907577109"/>
    <n v="2025.8205850195877"/>
    <n v="247.552705738123"/>
    <n v="1463.901640506755"/>
    <n v="116.06709905714763"/>
    <n v="38.117977181129667"/>
    <n v="24.840928949500231"/>
    <n v="229.13615496521766"/>
    <n v="28.695555855457165"/>
    <n v="18.844842651345004"/>
    <n v="0"/>
    <n v="89.084710715449106"/>
    <n v="77.949121876017969"/>
    <n v="0"/>
    <n v="0"/>
    <n v="20.986302043543297"/>
    <n v="0"/>
    <n v="165.74895695614811"/>
    <n v="0"/>
  </r>
  <r>
    <x v="5"/>
    <s v="Census Tract 77, King County, Washington"/>
    <n v="1049.8617655183123"/>
    <n v="935.53996814273114"/>
    <n v="114.3217973755811"/>
    <n v="1049.8617655183123"/>
    <n v="935.53996814273114"/>
    <n v="114.3217973755811"/>
    <n v="676.04135541476853"/>
    <n v="53.600704305852041"/>
    <n v="17.603183332918196"/>
    <n v="11.471737452912983"/>
    <n v="105.81688857428354"/>
    <n v="13.251834643882239"/>
    <n v="8.7026973780719175"/>
    <n v="0"/>
    <n v="41.140023969067244"/>
    <n v="35.997520972933842"/>
    <n v="0"/>
    <n v="0"/>
    <n v="9.6916402619437267"/>
    <n v="0"/>
    <n v="76.544179211677999"/>
    <n v="0"/>
  </r>
  <r>
    <x v="4"/>
    <s v="Census Tract 76, King County, Washington"/>
    <n v="2.4151142167503212"/>
    <n v="2.0497551480194764"/>
    <n v="0.36535906873084495"/>
    <n v="2.4151142167503212"/>
    <n v="2.0497551480194764"/>
    <n v="0.36535906873084495"/>
    <n v="1.6826940960492021"/>
    <n v="0.12084080999948753"/>
    <n v="0.14863986957683442"/>
    <n v="3.1770353802682172E-2"/>
    <n v="5.389613591526439E-2"/>
    <n v="4.3684236478687979E-2"/>
    <n v="5.6732774647646729E-4"/>
    <n v="0"/>
    <n v="5.9002085633552595E-2"/>
    <n v="0.16055375225284024"/>
    <n v="0"/>
    <n v="0"/>
    <n v="7.942588450670543E-3"/>
    <n v="0"/>
    <n v="9.7013044647475913E-2"/>
    <n v="8.5099161971470098E-3"/>
  </r>
  <r>
    <x v="5"/>
    <s v="Census Tract 76, King County, Washington"/>
    <n v="4254.5848857832498"/>
    <n v="3610.9502448519802"/>
    <n v="643.63464093126913"/>
    <n v="4254.5848857832498"/>
    <n v="3610.9502448519802"/>
    <n v="643.63464093126913"/>
    <n v="2964.3173059039509"/>
    <n v="212.87915919000051"/>
    <n v="261.85136013042313"/>
    <n v="55.968229646197315"/>
    <n v="94.946103864084733"/>
    <n v="76.956315763521303"/>
    <n v="0.9994326722535235"/>
    <n v="0"/>
    <n v="103.94099791436645"/>
    <n v="282.83944624774716"/>
    <n v="0"/>
    <n v="0"/>
    <n v="13.992057411549329"/>
    <n v="0"/>
    <n v="170.90298695535253"/>
    <n v="14.991490083802853"/>
  </r>
  <r>
    <x v="81"/>
    <s v="Census Tract 78, King County, Washington"/>
    <n v="2674.0865287424117"/>
    <n v="2329.0724710765826"/>
    <n v="345.01405766582951"/>
    <n v="2674.0865287424117"/>
    <n v="2329.0724710765826"/>
    <n v="345.01405766582951"/>
    <n v="1772.4073094336939"/>
    <n v="185.25161143798496"/>
    <n v="47.792184769013318"/>
    <n v="0"/>
    <n v="96.039533202493431"/>
    <n v="31.861456512675545"/>
    <n v="10.013600618269457"/>
    <n v="0"/>
    <n v="44.150875453278971"/>
    <n v="79.198477617222068"/>
    <n v="0"/>
    <n v="0"/>
    <n v="32.31662017714234"/>
    <n v="44.150875453278971"/>
    <n v="326.35234742269097"/>
    <n v="4.5516366446679353"/>
  </r>
  <r>
    <x v="88"/>
    <s v="Census Tract 78, King County, Washington"/>
    <n v="1707.0395572374416"/>
    <n v="1486.7951343632321"/>
    <n v="220.24442287420948"/>
    <n v="1707.0395572374416"/>
    <n v="1486.7951343632321"/>
    <n v="220.24442287420948"/>
    <n v="1131.440346533208"/>
    <n v="118.25788932691722"/>
    <n v="30.508792086796827"/>
    <n v="0"/>
    <n v="61.308144098229818"/>
    <n v="20.339194724531218"/>
    <n v="6.3923183419955256"/>
    <n v="0"/>
    <n v="28.184312689707546"/>
    <n v="50.557426886691886"/>
    <n v="0"/>
    <n v="0"/>
    <n v="20.629754649167378"/>
    <n v="28.184312689707546"/>
    <n v="208.33146596412692"/>
    <n v="2.9055992463616027"/>
  </r>
  <r>
    <x v="82"/>
    <s v="Census Tract 78, King County, Washington"/>
    <n v="1470.7375890934418"/>
    <n v="1280.9811478112581"/>
    <n v="189.75644128218363"/>
    <n v="1470.7375890934418"/>
    <n v="1280.9811478112581"/>
    <n v="189.75644128218363"/>
    <n v="974.81739096678507"/>
    <n v="101.8876934061329"/>
    <n v="26.285522868904064"/>
    <n v="0"/>
    <n v="52.82138405084531"/>
    <n v="17.523681912602711"/>
    <n v="5.5074428868179943"/>
    <n v="0"/>
    <n v="24.282816364606614"/>
    <n v="43.558866468469596"/>
    <n v="0"/>
    <n v="0"/>
    <n v="17.774020225639891"/>
    <n v="24.282816364606614"/>
    <n v="179.49257044765918"/>
    <n v="2.5033831303718159"/>
  </r>
  <r>
    <x v="68"/>
    <s v="Census Tract 46, King County, Washington"/>
    <n v="991.55921860165779"/>
    <n v="896.55953298712768"/>
    <n v="94.999685614530094"/>
    <n v="991.55921860165779"/>
    <n v="896.55953298712768"/>
    <n v="94.999685614530094"/>
    <n v="833.67621836160072"/>
    <n v="48.309499218752521"/>
    <n v="15.923242759253624"/>
    <n v="2.428969234462417"/>
    <n v="6.7471367623956029"/>
    <n v="8.9062205263621959"/>
    <n v="0"/>
    <n v="1.6193128229749447"/>
    <n v="14.573815406774502"/>
    <n v="33.735683811978014"/>
    <n v="0"/>
    <n v="0"/>
    <n v="0"/>
    <n v="0"/>
    <n v="25.63911969710329"/>
    <n v="0"/>
  </r>
  <r>
    <x v="14"/>
    <s v="Census Tract 46, King County, Washington"/>
    <n v="1503.5337270621769"/>
    <n v="1359.4825915352619"/>
    <n v="144.05113552691517"/>
    <n v="1503.5337270621769"/>
    <n v="1359.4825915352619"/>
    <n v="144.05113552691517"/>
    <n v="1264.1305614847754"/>
    <n v="73.25327630488016"/>
    <n v="24.144934647977259"/>
    <n v="3.6831256242677171"/>
    <n v="10.230904511854771"/>
    <n v="13.504793955648296"/>
    <n v="0"/>
    <n v="2.4554170828451447"/>
    <n v="22.098753745606302"/>
    <n v="51.15452255927385"/>
    <n v="0"/>
    <n v="0"/>
    <n v="0"/>
    <n v="0"/>
    <n v="38.877437145048127"/>
    <n v="0"/>
  </r>
  <r>
    <x v="69"/>
    <s v="Census Tract 46, King County, Washington"/>
    <n v="1178.9070613380377"/>
    <n v="1065.957881808645"/>
    <n v="112.94917952939284"/>
    <n v="1178.9070613380377"/>
    <n v="1065.957881808645"/>
    <n v="112.94917952939284"/>
    <n v="991.19322604060926"/>
    <n v="57.437224817503747"/>
    <n v="18.931822705210731"/>
    <n v="2.8879051584219759"/>
    <n v="8.0219587733943776"/>
    <n v="10.588985580880578"/>
    <n v="0"/>
    <n v="1.9252701056146506"/>
    <n v="17.327430950531856"/>
    <n v="40.109793866971884"/>
    <n v="0"/>
    <n v="0"/>
    <n v="0"/>
    <n v="0"/>
    <n v="30.483443338898635"/>
    <n v="0"/>
  </r>
  <r>
    <x v="68"/>
    <s v="Census Tract 49, King County, Washington"/>
    <n v="6.0230178908888563"/>
    <n v="5.4279317242564131"/>
    <n v="0.59508616663244318"/>
    <n v="6.0230178908888563"/>
    <n v="5.4279317242564131"/>
    <n v="0.59508616663244318"/>
    <n v="4.9309455932677384"/>
    <n v="0.31700094162572928"/>
    <n v="0.11188268527966916"/>
    <n v="0"/>
    <n v="1.5404137828360247E-2"/>
    <n v="0"/>
    <n v="2.0268602405737166E-2"/>
    <n v="0"/>
    <n v="0.1159364057608166"/>
    <n v="0.11836863804950505"/>
    <n v="0"/>
    <n v="0"/>
    <n v="1.5404137828360247E-2"/>
    <n v="3.242976384917947E-2"/>
    <n v="0.21809016188573191"/>
    <n v="0.12728682310802941"/>
  </r>
  <r>
    <x v="14"/>
    <s v="Census Tract 49, King County, Washington"/>
    <n v="13.204616947839314"/>
    <n v="11.899974487250534"/>
    <n v="1.3046424605887814"/>
    <n v="13.204616947839314"/>
    <n v="11.899974487250534"/>
    <n v="1.3046424605887814"/>
    <n v="10.810402514034017"/>
    <n v="0.69497983935996388"/>
    <n v="0.2452870021270461"/>
    <n v="0"/>
    <n v="3.3771398843578812E-2"/>
    <n v="0"/>
    <n v="4.4436051109972119E-2"/>
    <n v="0"/>
    <n v="0.25417421234904053"/>
    <n v="0.25950653848223715"/>
    <n v="0"/>
    <n v="0"/>
    <n v="3.3771398843578812E-2"/>
    <n v="7.1097681775955393E-2"/>
    <n v="0.47813190994329996"/>
    <n v="0.2790584009706249"/>
  </r>
  <r>
    <x v="15"/>
    <s v="Census Tract 49, King County, Washington"/>
    <n v="7397.1047531310687"/>
    <n v="6666.2560670631992"/>
    <n v="730.84868606786972"/>
    <n v="7397.1047531310687"/>
    <n v="6666.2560670631992"/>
    <n v="730.84868606786972"/>
    <n v="6055.8878864642829"/>
    <n v="389.32130279637204"/>
    <n v="137.40751863401366"/>
    <n v="0"/>
    <n v="18.918426478596082"/>
    <n v="0"/>
    <n v="24.892666419205373"/>
    <n v="0"/>
    <n v="142.38605191785473"/>
    <n v="145.37317188815936"/>
    <n v="0"/>
    <n v="0"/>
    <n v="18.918426478596082"/>
    <n v="39.828266270728598"/>
    <n v="267.84509067064982"/>
    <n v="156.32594511260973"/>
  </r>
  <r>
    <x v="68"/>
    <s v="Census Tract 50, King County, Washington"/>
    <n v="2.9368844024419287"/>
    <n v="2.5916569321501144"/>
    <n v="0.34522747029181472"/>
    <n v="2.9368844024419287"/>
    <n v="2.5916569321501144"/>
    <n v="0.34522747029181472"/>
    <n v="2.1820056742987721"/>
    <n v="0.15335662473409215"/>
    <n v="0.10013697414143916"/>
    <n v="5.4620167713512267E-2"/>
    <n v="1.400517120859289E-2"/>
    <n v="2.9410859538045068E-2"/>
    <n v="9.8036198460150232E-3"/>
    <n v="0"/>
    <n v="0.10783981830616525"/>
    <n v="0.10783981830616525"/>
    <n v="2.0307498252459689E-2"/>
    <n v="0"/>
    <n v="0"/>
    <n v="0"/>
    <n v="0.15755817609667"/>
    <n v="0"/>
  </r>
  <r>
    <x v="14"/>
    <s v="Census Tract 50, King County, Washington"/>
    <n v="3096.5338425738123"/>
    <n v="2732.5397595054078"/>
    <n v="363.99408306840473"/>
    <n v="3096.5338425738123"/>
    <n v="2732.5397595054078"/>
    <n v="363.99408306840473"/>
    <n v="2300.6198029232237"/>
    <n v="161.69311195127921"/>
    <n v="105.58043383120057"/>
    <n v="57.589327544291223"/>
    <n v="14.766494242125955"/>
    <n v="31.009637908464502"/>
    <n v="10.336545969488167"/>
    <n v="0"/>
    <n v="113.70200566436985"/>
    <n v="113.70200566436985"/>
    <n v="21.411416651082632"/>
    <n v="0"/>
    <n v="0"/>
    <n v="0"/>
    <n v="166.12306022391698"/>
    <n v="0"/>
  </r>
  <r>
    <x v="15"/>
    <s v="Census Tract 50, King County, Washington"/>
    <n v="1094.5292785612337"/>
    <n v="965.86858844900485"/>
    <n v="128.66069011222896"/>
    <n v="1094.5292785612337"/>
    <n v="965.86858844900485"/>
    <n v="128.66069011222896"/>
    <n v="813.19819551664386"/>
    <n v="57.153531713140246"/>
    <n v="37.319429383466009"/>
    <n v="20.356052390981457"/>
    <n v="5.2195006130721691"/>
    <n v="10.960951287451554"/>
    <n v="3.6536504291505181"/>
    <n v="0"/>
    <n v="40.190154720655698"/>
    <n v="40.190154720655698"/>
    <n v="7.5682758889546449"/>
    <n v="0"/>
    <n v="0"/>
    <n v="0"/>
    <n v="58.719381897061901"/>
    <n v="0"/>
  </r>
  <r>
    <x v="74"/>
    <s v="Census Tract 53.01, King County, Washington"/>
    <n v="7792"/>
    <n v="5115"/>
    <n v="2677"/>
    <n v="7792"/>
    <n v="5115"/>
    <n v="2677"/>
    <n v="3344"/>
    <n v="382"/>
    <n v="132"/>
    <n v="23"/>
    <n v="131"/>
    <n v="69"/>
    <n v="184"/>
    <n v="0"/>
    <n v="531"/>
    <n v="2033"/>
    <n v="16"/>
    <n v="14"/>
    <n v="80"/>
    <n v="56"/>
    <n v="697"/>
    <n v="100"/>
  </r>
  <r>
    <x v="11"/>
    <s v="Census Tract 53.02, King County, Washington"/>
    <n v="0.98627294830546064"/>
    <n v="0.71382994392937094"/>
    <n v="0.2724430043760897"/>
    <n v="0.98627294830546064"/>
    <n v="0.71382994392937094"/>
    <n v="0.2724430043760897"/>
    <n v="0.40333273633267619"/>
    <n v="3.5545134876389294E-2"/>
    <n v="1.881801258161786E-2"/>
    <n v="1.4008964921871075E-2"/>
    <n v="1.3799875893186432E-2"/>
    <n v="7.1090269752778585E-3"/>
    <n v="3.3454244589542865E-3"/>
    <n v="0"/>
    <n v="0.14615323105056538"/>
    <n v="0.20386180296752685"/>
    <n v="2.7181573729003579E-3"/>
    <n v="2.9272464015850006E-3"/>
    <n v="2.3208882183995364E-2"/>
    <n v="1.2545341721078573E-3"/>
    <n v="0.10245362405547502"/>
    <n v="7.7362940613317872E-3"/>
  </r>
  <r>
    <x v="11"/>
    <s v="Census Tract 53.02, King County, Washington"/>
    <n v="1.9987239728895358"/>
    <n v="1.4466066659836496"/>
    <n v="0.55211730690588623"/>
    <n v="1.9987239728895358"/>
    <n v="1.4466066659836496"/>
    <n v="0.55211730690588623"/>
    <n v="0.81737090178162275"/>
    <n v="7.2033723848043477E-2"/>
    <n v="3.8135500860728901E-2"/>
    <n v="2.838976175187596E-2"/>
    <n v="2.7966033964534526E-2"/>
    <n v="1.4406744769608695E-2"/>
    <n v="6.7796445974629155E-3"/>
    <n v="0"/>
    <n v="0.2961857233516611"/>
    <n v="0.41313459265789643"/>
    <n v="5.5084612354386192E-3"/>
    <n v="5.9321890227800513E-3"/>
    <n v="4.7033784394898977E-2"/>
    <n v="2.5423667240485935E-3"/>
    <n v="0.20762661579730179"/>
    <n v="1.5677928131632993E-2"/>
  </r>
  <r>
    <x v="11"/>
    <s v="Census Tract 53.02, King County, Washington"/>
    <n v="0.31147360791257117"/>
    <n v="0.22543372851675175"/>
    <n v="8.6039879395819432E-2"/>
    <n v="0.31147360791257117"/>
    <n v="0.22543372851675175"/>
    <n v="8.6039879395819432E-2"/>
    <n v="0.12737599950463213"/>
    <n v="1.1225463927313356E-2"/>
    <n v="5.942892667401189E-3"/>
    <n v="4.4241534301764406E-3"/>
    <n v="4.3581212894275387E-3"/>
    <n v="2.2450927854626712E-3"/>
    <n v="1.0565142519824336E-3"/>
    <n v="0"/>
    <n v="4.6156466383482565E-2"/>
    <n v="6.4381337230179539E-2"/>
    <n v="8.5841782973572727E-4"/>
    <n v="9.2444997048462933E-4"/>
    <n v="7.3295676231281328E-3"/>
    <n v="3.9619284449341255E-4"/>
    <n v="3.2355748966962028E-2"/>
    <n v="2.4431892077093776E-3"/>
  </r>
  <r>
    <x v="11"/>
    <s v="Census Tract 53.02, King County, Washington"/>
    <n v="21.337709181771913"/>
    <n v="15.443489325115396"/>
    <n v="5.8942198566565205"/>
    <n v="21.337709181771913"/>
    <n v="15.443489325115396"/>
    <n v="5.8942198566565205"/>
    <n v="8.7259785905528986"/>
    <n v="0.76900796287920825"/>
    <n v="0.40712186270075734"/>
    <n v="0.30307960889945268"/>
    <n v="0.29855603264722202"/>
    <n v="0.15380159257584167"/>
    <n v="7.2377220035690193E-2"/>
    <n v="0"/>
    <n v="3.1619798003092154"/>
    <n v="4.4104868459248712"/>
    <n v="5.8806491278998285E-2"/>
    <n v="6.3330067531228912E-2"/>
    <n v="0.50211696399760075"/>
    <n v="2.7141457513383822E-2"/>
    <n v="2.2165523635930122"/>
    <n v="0.16737232133253357"/>
  </r>
  <r>
    <x v="11"/>
    <s v="Census Tract 53.02, King County, Washington"/>
    <n v="1.1403643068019202"/>
    <n v="0.82535589218184346"/>
    <n v="0.31500841462007673"/>
    <n v="1.1403643068019202"/>
    <n v="0.82535589218184346"/>
    <n v="0.31500841462007673"/>
    <n v="0.4663478371466831"/>
    <n v="4.1098565222880315E-2"/>
    <n v="2.1758063941524873E-2"/>
    <n v="1.6197669823135183E-2"/>
    <n v="1.5955913557118239E-2"/>
    <n v="8.2197130445760633E-3"/>
    <n v="3.8681002562710883E-3"/>
    <n v="0"/>
    <n v="0.16898762994584318"/>
    <n v="0.23571235936651944"/>
    <n v="3.1428314582202591E-3"/>
    <n v="3.3845877242372024E-3"/>
    <n v="2.6834945527880676E-2"/>
    <n v="1.4505375961016581E-3"/>
    <n v="0.11846057034830208"/>
    <n v="8.9449818426268913E-3"/>
  </r>
  <r>
    <x v="11"/>
    <s v="Census Tract 53.02, King County, Washington"/>
    <n v="2.0746929542147088"/>
    <n v="1.5015903637246166"/>
    <n v="0.57310259049009238"/>
    <n v="2.0746929542147088"/>
    <n v="1.5015903637246166"/>
    <n v="0.57310259049009238"/>
    <n v="0.84843814048763488"/>
    <n v="7.4771634983358176E-2"/>
    <n v="3.9584983226483739E-2"/>
    <n v="2.9468820846382339E-2"/>
    <n v="2.9028987699421409E-2"/>
    <n v="1.4954326996671635E-2"/>
    <n v="7.0373303513748871E-3"/>
    <n v="0"/>
    <n v="0.30744336972569036"/>
    <n v="0.42883731828690719"/>
    <n v="5.7178309104920959E-3"/>
    <n v="6.157664057453026E-3"/>
    <n v="4.8821479312663278E-2"/>
    <n v="2.6389988817655825E-3"/>
    <n v="0.21551824201085593"/>
    <n v="1.6273826437554425E-2"/>
  </r>
  <r>
    <x v="11"/>
    <s v="Census Tract 53.02, King County, Washington"/>
    <n v="3.0954633824228392"/>
    <n v="2.2403883798158941"/>
    <n v="0.85507500260694502"/>
    <n v="3.0954633824228392"/>
    <n v="2.2403883798158941"/>
    <n v="0.85507500260694502"/>
    <n v="1.265878495801072"/>
    <n v="0.11156005406230288"/>
    <n v="5.9061205091807407E-2"/>
    <n v="4.3967786012789958E-2"/>
    <n v="4.3311550400658767E-2"/>
    <n v="2.2312010812460575E-2"/>
    <n v="1.0499769794099095E-2"/>
    <n v="0"/>
    <n v="0.45870869287970417"/>
    <n v="0.63982972182791353"/>
    <n v="8.5310629577055146E-3"/>
    <n v="9.1872985698367073E-3"/>
    <n v="7.2842152946562475E-2"/>
    <n v="3.93741367278716E-3"/>
    <n v="0.32155544994428475"/>
    <n v="2.4280717648854155E-2"/>
  </r>
  <r>
    <x v="11"/>
    <s v="Census Tract 53.02, King County, Washington"/>
    <n v="0.4877304307558169"/>
    <n v="0.35300226639821047"/>
    <n v="0.1347281643576064"/>
    <n v="0.4877304307558169"/>
    <n v="0.35300226639821047"/>
    <n v="0.1347281643576064"/>
    <n v="0.19945558637438429"/>
    <n v="1.7577734413501987E-2"/>
    <n v="9.3058593953834045E-3"/>
    <n v="6.9276953276743124E-3"/>
    <n v="6.8242968899478304E-3"/>
    <n v="3.5155468827003972E-3"/>
    <n v="1.6543750036237164E-3"/>
    <n v="0"/>
    <n v="7.2275507970811115E-2"/>
    <n v="0.10081347678332021"/>
    <n v="1.3441796904442695E-3"/>
    <n v="1.4475781281707519E-3"/>
    <n v="1.1477226587639533E-2"/>
    <n v="6.2039062635889364E-4"/>
    <n v="5.0665234485976311E-2"/>
    <n v="3.8257421958798441E-3"/>
  </r>
  <r>
    <x v="11"/>
    <s v="Census Tract 53.02, King County, Washington"/>
    <n v="0.1138318776867953"/>
    <n v="8.2387540899452855E-2"/>
    <n v="3.1444336787342438E-2"/>
    <n v="0.1138318776867953"/>
    <n v="8.2387540899452855E-2"/>
    <n v="3.1444336787342438E-2"/>
    <n v="4.6551132511729515E-2"/>
    <n v="4.1024844618942546E-3"/>
    <n v="2.1719035386498996E-3"/>
    <n v="1.6168615232171476E-3"/>
    <n v="1.5927292616765931E-3"/>
    <n v="8.2049689237885103E-4"/>
    <n v="3.8611618464887105E-4"/>
    <n v="0"/>
    <n v="1.6868450816847555E-2"/>
    <n v="2.352895500204058E-2"/>
    <n v="3.1371940002720771E-4"/>
    <n v="3.3785166156776218E-4"/>
    <n v="2.6786810310015429E-3"/>
    <n v="1.4479356924332665E-4"/>
    <n v="1.1824808154871675E-2"/>
    <n v="8.9289367700051431E-4"/>
  </r>
  <r>
    <x v="11"/>
    <s v="Census Tract 53.02, King County, Washington"/>
    <n v="0.14059046869259517"/>
    <n v="0.10175447532680092"/>
    <n v="3.8835993365794255E-2"/>
    <n v="0.14059046869259517"/>
    <n v="0.10175447532680092"/>
    <n v="3.8835993365794255E-2"/>
    <n v="5.7493961015055349E-2"/>
    <n v="5.0668602242402326E-3"/>
    <n v="2.6824554128330644E-3"/>
    <n v="1.9969390295535034E-3"/>
    <n v="1.9671339694109138E-3"/>
    <n v="1.0133720448480465E-3"/>
    <n v="4.7688096228143368E-4"/>
    <n v="0"/>
    <n v="2.0833737039670133E-2"/>
    <n v="2.9059933639024864E-2"/>
    <n v="3.8746578185366485E-4"/>
    <n v="4.1727084199625448E-4"/>
    <n v="3.3083616758274462E-3"/>
    <n v="1.7883036085553764E-4"/>
    <n v="1.4604479469868906E-2"/>
    <n v="1.1027872252758154E-3"/>
  </r>
  <r>
    <x v="0"/>
    <s v="Census Tract 53.02, King County, Washington"/>
    <n v="0.41563089387907837"/>
    <n v="0.30081913752452266"/>
    <n v="0.11481175635455566"/>
    <n v="0.41563089387907837"/>
    <n v="0.30081913752452266"/>
    <n v="0.11481175635455566"/>
    <n v="0.16997074290708969"/>
    <n v="1.497927749829199E-2"/>
    <n v="7.930205734389878E-3"/>
    <n v="5.9035976022680193E-3"/>
    <n v="5.8154842052192436E-3"/>
    <n v="2.9958554996583979E-3"/>
    <n v="1.4098143527804226E-3"/>
    <n v="0"/>
    <n v="6.1591264537094716E-2"/>
    <n v="8.5910562122557002E-2"/>
    <n v="1.1454741616340933E-3"/>
    <n v="1.2335875586828699E-3"/>
    <n v="9.7805870724141826E-3"/>
    <n v="5.2868038229265848E-4"/>
    <n v="4.3175564553900446E-2"/>
    <n v="3.2601956908047272E-3"/>
  </r>
  <r>
    <x v="73"/>
    <s v="Census Tract 53.02, King County, Washington"/>
    <n v="9.9159269897265734"/>
    <n v="7.1768019382926695"/>
    <n v="2.7391250514339043"/>
    <n v="9.9159269897265734"/>
    <n v="7.1768019382926695"/>
    <n v="2.7391250514339043"/>
    <n v="4.0550822902655419"/>
    <n v="0.35736857923542875"/>
    <n v="0.18919513018346229"/>
    <n v="0.14084526358102192"/>
    <n v="0.13874309546787233"/>
    <n v="7.1473715847085756E-2"/>
    <n v="3.3634689810393296E-2"/>
    <n v="0"/>
    <n v="1.4694155110915572"/>
    <n v="2.0496139103208417"/>
    <n v="2.7328185470944552E-2"/>
    <n v="2.9430353584094134E-2"/>
    <n v="0.23334066055960351"/>
    <n v="1.2613008678897485E-2"/>
    <n v="1.0300623754432947"/>
    <n v="7.7780220186534493E-2"/>
  </r>
  <r>
    <x v="74"/>
    <s v="Census Tract 53.02, King County, Washington"/>
    <n v="4544.9473550261564"/>
    <n v="3289.4742993553741"/>
    <n v="1255.4730556707827"/>
    <n v="4544.9473550261564"/>
    <n v="3289.4742993553741"/>
    <n v="1255.4730556707827"/>
    <n v="1858.6396963844513"/>
    <n v="163.79924747815278"/>
    <n v="86.717248664904417"/>
    <n v="64.556174006095503"/>
    <n v="63.592649020929905"/>
    <n v="32.759849495630554"/>
    <n v="15.416399762649673"/>
    <n v="0"/>
    <n v="673.50396463075765"/>
    <n v="939.43686053646445"/>
    <n v="12.52582480715286"/>
    <n v="13.489349792318464"/>
    <n v="106.95127335338211"/>
    <n v="5.7811499109936273"/>
    <n v="472.12724273114623"/>
    <n v="35.650424451127371"/>
  </r>
  <r>
    <x v="86"/>
    <s v="Census Tract 57, King County, Washington"/>
    <n v="5726.3598380042149"/>
    <n v="4892.1058299146925"/>
    <n v="834.25400808952247"/>
    <n v="5726.3598380042149"/>
    <n v="4892.1058299146925"/>
    <n v="834.25400808952247"/>
    <n v="4307.3719027945435"/>
    <n v="304.12885289869803"/>
    <n v="141.98280701624299"/>
    <n v="13.442159244141349"/>
    <n v="28.564588393800367"/>
    <n v="57.969311740359565"/>
    <n v="36.125802968629877"/>
    <n v="0"/>
    <n v="148.70388663831366"/>
    <n v="401.58450741872281"/>
    <n v="0"/>
    <n v="0"/>
    <n v="29.404723346559202"/>
    <n v="14.282294196900184"/>
    <n v="199.95211875660257"/>
    <n v="42.846882590700552"/>
  </r>
  <r>
    <x v="89"/>
    <s v="Census Tract 57, King County, Washington"/>
    <n v="0.55350155374502941"/>
    <n v="0.4728637833710837"/>
    <n v="8.0637770373945747E-2"/>
    <n v="0.55350155374502941"/>
    <n v="0.4728637833710837"/>
    <n v="8.0637770373945747E-2"/>
    <n v="0.41634425851683771"/>
    <n v="2.9396649421317585E-2"/>
    <n v="1.3723850144206275E-2"/>
    <n v="1.2992994219366888E-3"/>
    <n v="2.7610112716154635E-3"/>
    <n v="5.6032287571019706E-3"/>
    <n v="3.4918671964548511E-3"/>
    <n v="0"/>
    <n v="1.437349985517462E-2"/>
    <n v="3.8816570230358574E-2"/>
    <n v="0"/>
    <n v="0"/>
    <n v="2.8422174854865066E-3"/>
    <n v="1.3805056358077317E-3"/>
    <n v="1.9327078901308244E-2"/>
    <n v="4.1415169074231952E-3"/>
  </r>
  <r>
    <x v="87"/>
    <s v="Census Tract 57, King County, Washington"/>
    <n v="874.15427670931797"/>
    <n v="746.80169502323338"/>
    <n v="127.35258168608462"/>
    <n v="874.15427670931797"/>
    <n v="746.80169502323338"/>
    <n v="127.35258168608462"/>
    <n v="657.53946254235234"/>
    <n v="46.426620916780095"/>
    <n v="21.674306450098992"/>
    <n v="2.0520053443880704"/>
    <n v="4.3605113568246496"/>
    <n v="8.8492730476735542"/>
    <n v="5.5147643630429393"/>
    <n v="0"/>
    <n v="22.700309122293028"/>
    <n v="61.303659663593599"/>
    <n v="0"/>
    <n v="0"/>
    <n v="4.4887616908489036"/>
    <n v="2.1802556784123248"/>
    <n v="30.523579497772548"/>
    <n v="6.540767035236974"/>
  </r>
  <r>
    <x v="78"/>
    <s v="Census Tract 57, King County, Washington"/>
    <n v="190.04019190149631"/>
    <n v="162.3538787327484"/>
    <n v="27.686313168747922"/>
    <n v="190.04019190149631"/>
    <n v="162.3538787327484"/>
    <n v="27.686313168747922"/>
    <n v="142.94836617942659"/>
    <n v="10.093097046411629"/>
    <n v="4.7119707205623351"/>
    <n v="0.44610373685797255"/>
    <n v="0.94797044082319171"/>
    <n v="1.9238223652000066"/>
    <n v="1.1989037928058013"/>
    <n v="0"/>
    <n v="4.9350225889913215"/>
    <n v="13.327349138631931"/>
    <n v="0"/>
    <n v="0"/>
    <n v="0.97585192437681501"/>
    <n v="0.47398522041159585"/>
    <n v="6.6357930857623417"/>
    <n v="1.4219556612347874"/>
  </r>
  <r>
    <x v="4"/>
    <s v="Census Tract 64, King County, Washington"/>
    <n v="2.270156806925355"/>
    <n v="2.0282184171523312"/>
    <n v="0.24193838977302384"/>
    <n v="2.270156806925355"/>
    <n v="2.0282184171523312"/>
    <n v="0.24193838977302384"/>
    <n v="1.7462744668656576"/>
    <n v="0.16256227764276668"/>
    <n v="5.0800711763364585E-2"/>
    <n v="2.4765346984640235E-2"/>
    <n v="1.9050266911261719E-2"/>
    <n v="5.0800711763364587E-3"/>
    <n v="5.0800711763364587E-3"/>
    <n v="0"/>
    <n v="7.6836076542088932E-2"/>
    <n v="3.619550713139727E-2"/>
    <n v="1.0795151249714975E-2"/>
    <n v="0"/>
    <n v="7.6201067645046885E-3"/>
    <n v="6.9850978674626304E-3"/>
    <n v="0.11176156587940209"/>
    <n v="6.3500889704205732E-3"/>
  </r>
  <r>
    <x v="5"/>
    <s v="Census Tract 64, King County, Washington"/>
    <n v="3572.7298431930749"/>
    <n v="3191.9717815828476"/>
    <n v="380.758061610227"/>
    <n v="3572.7298431930749"/>
    <n v="3191.9717815828476"/>
    <n v="380.758061610227"/>
    <n v="2748.2537255331345"/>
    <n v="255.83743772235724"/>
    <n v="79.949199288236642"/>
    <n v="38.975234653015363"/>
    <n v="29.980949733088739"/>
    <n v="7.9949199288236636"/>
    <n v="7.9949199288236636"/>
    <n v="0"/>
    <n v="120.92316392345791"/>
    <n v="56.963804492868604"/>
    <n v="16.989204848750287"/>
    <n v="0"/>
    <n v="11.992379893235496"/>
    <n v="10.993014902132538"/>
    <n v="175.88823843412061"/>
    <n v="9.9936499110295802"/>
  </r>
  <r>
    <x v="49"/>
    <s v="Census Tract 58.02, King County, Washington"/>
    <n v="933.57037256209924"/>
    <n v="772.3322501178352"/>
    <n v="161.23812244426398"/>
    <n v="933.57037256209924"/>
    <n v="772.3322501178352"/>
    <n v="161.23812244426398"/>
    <n v="598.27397114895086"/>
    <n v="64.922587528526265"/>
    <n v="20.545122635609577"/>
    <n v="9.20421494075309"/>
    <n v="56.868899455367313"/>
    <n v="0"/>
    <n v="0"/>
    <n v="0"/>
    <n v="50.130099230887367"/>
    <n v="78.728909939655907"/>
    <n v="0"/>
    <n v="3.6159415838672855"/>
    <n v="0"/>
    <n v="0"/>
    <n v="46.514157647020085"/>
    <n v="4.7664684514614217"/>
  </r>
  <r>
    <x v="55"/>
    <s v="Census Tract 58.02, King County, Washington"/>
    <n v="4.9469748531314508"/>
    <n v="4.092576555433924"/>
    <n v="0.85439829769752695"/>
    <n v="4.9469748531314508"/>
    <n v="4.092576555433924"/>
    <n v="0.85439829769752695"/>
    <n v="3.1702444481335355"/>
    <n v="0.34402377939910617"/>
    <n v="0.10886828461997031"/>
    <n v="4.8772991509746698E-2"/>
    <n v="0.30134741182807784"/>
    <n v="0"/>
    <n v="0"/>
    <n v="0"/>
    <n v="0.26563861447272757"/>
    <n v="0.41718326666372624"/>
    <n v="0"/>
    <n v="1.9160818093114776E-2"/>
    <n v="0"/>
    <n v="0"/>
    <n v="0.24647779637961278"/>
    <n v="2.5257442031833111E-2"/>
  </r>
  <r>
    <x v="50"/>
    <s v="Census Tract 58.02, King County, Washington"/>
    <n v="152.28059798646601"/>
    <n v="125.98002287647952"/>
    <n v="26.300575109986468"/>
    <n v="152.28059798646601"/>
    <n v="125.98002287647952"/>
    <n v="26.300575109986468"/>
    <n v="97.588270540622574"/>
    <n v="10.589935951523604"/>
    <n v="3.3512455542796213"/>
    <n v="1.5013580083172704"/>
    <n v="9.2762476942459919"/>
    <n v="0"/>
    <n v="0"/>
    <n v="0"/>
    <n v="8.1770391524422763"/>
    <n v="12.84197296399951"/>
    <n v="0"/>
    <n v="0.58981921755321332"/>
    <n v="0"/>
    <n v="0"/>
    <n v="7.5872199348890632"/>
    <n v="0.7774889685928722"/>
  </r>
  <r>
    <x v="86"/>
    <s v="Census Tract 58.02, King County, Washington"/>
    <n v="7.704095461172103E-2"/>
    <n v="6.373511368318259E-2"/>
    <n v="1.3305840928538438E-2"/>
    <n v="7.704095461172103E-2"/>
    <n v="6.373511368318259E-2"/>
    <n v="1.3305840928538438E-2"/>
    <n v="4.9371315983567705E-2"/>
    <n v="5.3576015971179237E-3"/>
    <n v="1.6954435433917481E-3"/>
    <n v="7.5955870743950316E-4"/>
    <n v="4.6929877281083584E-3"/>
    <n v="0"/>
    <n v="0"/>
    <n v="0"/>
    <n v="4.1368822458758654E-3"/>
    <n v="6.4969396582771786E-3"/>
    <n v="0"/>
    <n v="2.9839806363694767E-4"/>
    <n v="0"/>
    <n v="0"/>
    <n v="3.8384841822389176E-3"/>
    <n v="3.9334290206688557E-4"/>
  </r>
  <r>
    <x v="87"/>
    <s v="Census Tract 58.02, King County, Washington"/>
    <n v="1257.0027650418299"/>
    <n v="1039.9042241076688"/>
    <n v="217.09854093416112"/>
    <n v="1257.0027650418299"/>
    <n v="1039.9042241076688"/>
    <n v="217.09854093416112"/>
    <n v="805.54402548455289"/>
    <n v="87.414804963296262"/>
    <n v="27.66291296306844"/>
    <n v="12.39298500745466"/>
    <n v="76.570943081773436"/>
    <n v="0"/>
    <n v="0"/>
    <n v="0"/>
    <n v="67.497507629886996"/>
    <n v="106.00428247447826"/>
    <n v="0"/>
    <n v="4.868672681500045"/>
    <n v="0"/>
    <n v="0"/>
    <n v="62.628834948386945"/>
    <n v="6.4177958074318777"/>
  </r>
  <r>
    <x v="78"/>
    <s v="Census Tract 58.02, King County, Washington"/>
    <n v="3328.3374587207591"/>
    <n v="2753.496077205783"/>
    <n v="574.84138151497621"/>
    <n v="3328.3374587207591"/>
    <n v="2753.496077205783"/>
    <n v="574.84138151497621"/>
    <n v="2132.9486531238667"/>
    <n v="231.46008735822178"/>
    <n v="73.246863088044876"/>
    <n v="32.814594663444105"/>
    <n v="202.74731702770822"/>
    <n v="0"/>
    <n v="0"/>
    <n v="0"/>
    <n v="178.72234593482949"/>
    <n v="280.68197935338793"/>
    <n v="0"/>
    <n v="12.891447903495898"/>
    <n v="0"/>
    <n v="0"/>
    <n v="165.83089803133359"/>
    <n v="16.99327223642641"/>
  </r>
  <r>
    <x v="49"/>
    <s v="Census Tract 59, King County, Washington"/>
    <n v="10.752466116181054"/>
    <n v="9.3947566015736168"/>
    <n v="1.3577095146074385"/>
    <n v="10.752466116181054"/>
    <n v="9.3947566015736168"/>
    <n v="1.3577095146074385"/>
    <n v="7.7943581965696147"/>
    <n v="0.69840469569677577"/>
    <n v="0.12269271681159574"/>
    <n v="2.9661975492913255E-2"/>
    <n v="0.2251613594234779"/>
    <n v="2.4268889039656301E-2"/>
    <n v="2.4268889039656301E-2"/>
    <n v="0"/>
    <n v="0.4611088917534697"/>
    <n v="0.44897444723364155"/>
    <n v="0"/>
    <n v="0"/>
    <n v="7.5503210345597371E-2"/>
    <n v="9.5727284545310959E-2"/>
    <n v="0.69166333763020449"/>
    <n v="6.0672222599140749E-2"/>
  </r>
  <r>
    <x v="50"/>
    <s v="Census Tract 59, King County, Washington"/>
    <n v="7951.3343904591475"/>
    <n v="6947.3226373315783"/>
    <n v="1004.0117531275688"/>
    <n v="7951.3343904591475"/>
    <n v="6947.3226373315783"/>
    <n v="1004.0117531275688"/>
    <n v="5763.845029623114"/>
    <n v="516.46284818280105"/>
    <n v="90.729959815897487"/>
    <n v="21.934715559887305"/>
    <n v="166.50443175005361"/>
    <n v="17.946585458089611"/>
    <n v="17.946585458089611"/>
    <n v="0"/>
    <n v="340.98512370370264"/>
    <n v="332.01183097465781"/>
    <n v="0"/>
    <n v="0"/>
    <n v="55.833821425167685"/>
    <n v="70.789309306909018"/>
    <n v="511.47768555555393"/>
    <n v="44.86646364522403"/>
  </r>
  <r>
    <x v="78"/>
    <s v="Census Tract 59, King County, Washington"/>
    <n v="1.4110275088583293"/>
    <n v="1.2328576403416724"/>
    <n v="0.17816986851665675"/>
    <n v="1.4110275088583293"/>
    <n v="1.2328576403416724"/>
    <n v="0.17816986851665675"/>
    <n v="1.0228401289918496"/>
    <n v="9.1650438819888963E-2"/>
    <n v="1.610075276565617E-2"/>
    <n v="3.8924896796091839E-3"/>
    <n v="2.9547535295215168E-2"/>
    <n v="3.1847642833166051E-3"/>
    <n v="3.1847642833166051E-3"/>
    <n v="0"/>
    <n v="6.0510521383015499E-2"/>
    <n v="5.8918139241357192E-2"/>
    <n v="0"/>
    <n v="0"/>
    <n v="9.908155548096105E-3"/>
    <n v="1.2562125784193275E-2"/>
    <n v="9.0765782074523252E-2"/>
    <n v="7.9619107082915131E-3"/>
  </r>
  <r>
    <x v="52"/>
    <s v="Census Tract 61, King County, Washington"/>
    <n v="2110.4662508679899"/>
    <n v="1830.5793609391085"/>
    <n v="279.88688992888126"/>
    <n v="2110.4662508679899"/>
    <n v="1830.5793609391085"/>
    <n v="279.88688992888126"/>
    <n v="1573.7186264937382"/>
    <n v="132.20189268981201"/>
    <n v="28.187190333263221"/>
    <n v="6.7490455727531655"/>
    <n v="15.483104549257261"/>
    <n v="0"/>
    <n v="4.7640321690022347"/>
    <n v="0"/>
    <n v="119.49780690580604"/>
    <n v="106.79372112180009"/>
    <n v="0"/>
    <n v="19.056128676008939"/>
    <n v="5.9550402112527925"/>
    <n v="0"/>
    <n v="82.973560276788916"/>
    <n v="15.086101868507075"/>
  </r>
  <r>
    <x v="90"/>
    <s v="Census Tract 61, King County, Washington"/>
    <n v="1957.1680149903636"/>
    <n v="1697.6113087134249"/>
    <n v="259.55670627693877"/>
    <n v="1957.1680149903636"/>
    <n v="1697.6113087134249"/>
    <n v="259.55670627693877"/>
    <n v="1459.4082038039508"/>
    <n v="122.5991250925115"/>
    <n v="26.139753398103053"/>
    <n v="6.2588141939119986"/>
    <n v="14.358456091915761"/>
    <n v="0"/>
    <n v="4.4179864898202341"/>
    <n v="0"/>
    <n v="110.8178277863242"/>
    <n v="99.036530480136918"/>
    <n v="0"/>
    <n v="17.671945959280936"/>
    <n v="5.5224831122752924"/>
    <n v="0"/>
    <n v="76.946598031035748"/>
    <n v="13.990290551097408"/>
  </r>
  <r>
    <x v="54"/>
    <s v="Census Tract 61, King County, Washington"/>
    <n v="1159.0359146660032"/>
    <n v="1005.3262984433674"/>
    <n v="153.70961622263587"/>
    <n v="1159.0359146660032"/>
    <n v="1005.3262984433674"/>
    <n v="153.70961622263587"/>
    <n v="864.2622960376292"/>
    <n v="72.603265534947155"/>
    <n v="15.479975534478223"/>
    <n v="3.7064730152976026"/>
    <n v="8.5030851527415585"/>
    <n v="0"/>
    <n v="2.616333893151249"/>
    <n v="0"/>
    <n v="65.626375153210489"/>
    <n v="58.64948477147383"/>
    <n v="0"/>
    <n v="10.465335572604996"/>
    <n v="3.270417366439061"/>
    <n v="0"/>
    <n v="45.567815305717588"/>
    <n v="8.2850573283122877"/>
  </r>
  <r>
    <x v="4"/>
    <s v="Census Tract 61, King County, Washington"/>
    <n v="25.250220104159343"/>
    <n v="21.901573532783811"/>
    <n v="3.3486465713755336"/>
    <n v="25.250220104159343"/>
    <n v="21.901573532783811"/>
    <n v="3.3486465713755336"/>
    <n v="18.828418452386689"/>
    <n v="1.5817011464795074"/>
    <n v="0.33723958378391899"/>
    <n v="8.0747505976431308E-2"/>
    <n v="0.18524427841651889"/>
    <n v="0"/>
    <n v="5.6998239512775037E-2"/>
    <n v="0"/>
    <n v="1.4297058411121073"/>
    <n v="1.2777105357447072"/>
    <n v="0"/>
    <n v="0.22799295805110015"/>
    <n v="7.12477993909688E-2"/>
    <n v="0"/>
    <n v="0.99271933818083191"/>
    <n v="0.18049442512378763"/>
  </r>
  <r>
    <x v="11"/>
    <s v="Census Tract 62, King County, Washington"/>
    <n v="179.60805480237499"/>
    <n v="159.55670266977287"/>
    <n v="20.051352132602098"/>
    <n v="179.60805480237499"/>
    <n v="159.55670266977287"/>
    <n v="20.051352132602098"/>
    <n v="135.60082760668436"/>
    <n v="11.713568791459238"/>
    <n v="6.1821613066034864"/>
    <n v="1.5455403266508716"/>
    <n v="1.5455403266508716"/>
    <n v="0.65075382174773544"/>
    <n v="0"/>
    <n v="0"/>
    <n v="6.1008170788850196"/>
    <n v="5.6127517125742186"/>
    <n v="0"/>
    <n v="0"/>
    <n v="2.3589826038355408"/>
    <n v="0.52873748017003508"/>
    <n v="7.7683737471135919"/>
    <n v="0"/>
  </r>
  <r>
    <x v="11"/>
    <s v="Census Tract 62, King County, Washington"/>
    <n v="0.8254532142256451"/>
    <n v="0.73330003609764627"/>
    <n v="9.2153178127998878E-2"/>
    <n v="0.8254532142256451"/>
    <n v="0.73330003609764627"/>
    <n v="9.2153178127998878E-2"/>
    <n v="0.62320222287778548"/>
    <n v="5.3833905275585549E-2"/>
    <n v="2.841233889544793E-2"/>
    <n v="7.1030847238619825E-3"/>
    <n v="7.1030847238619825E-3"/>
    <n v="2.9907725153103084E-3"/>
    <n v="0"/>
    <n v="0"/>
    <n v="2.8038492331034139E-2"/>
    <n v="2.579541294455141E-2"/>
    <n v="0"/>
    <n v="0"/>
    <n v="1.0841550367999869E-2"/>
    <n v="2.4300026686896255E-3"/>
    <n v="3.5702346901516809E-2"/>
    <n v="0"/>
  </r>
  <r>
    <x v="11"/>
    <s v="Census Tract 62, King County, Washington"/>
    <n v="2.2572649058481482"/>
    <n v="2.0052649967487057"/>
    <n v="0.25199990909944225"/>
    <n v="2.2572649058481482"/>
    <n v="2.0052649967487057"/>
    <n v="0.25199990909944225"/>
    <n v="1.7041941114351733"/>
    <n v="0.14721292864227054"/>
    <n v="7.7695712338976111E-2"/>
    <n v="1.9423928084744028E-2"/>
    <n v="1.9423928084744028E-2"/>
    <n v="8.1784960356816958E-3"/>
    <n v="0"/>
    <n v="0"/>
    <n v="7.6673400334515904E-2"/>
    <n v="7.0539528307754631E-2"/>
    <n v="0"/>
    <n v="0"/>
    <n v="2.9647048129346147E-2"/>
    <n v="6.6450280289913777E-3"/>
    <n v="9.7630796425950239E-2"/>
    <n v="0"/>
  </r>
  <r>
    <x v="11"/>
    <s v="Census Tract 62, King County, Washington"/>
    <n v="0.65595293296005897"/>
    <n v="0.58272268025414653"/>
    <n v="7.323025270591238E-2"/>
    <n v="0.65595293296005897"/>
    <n v="0.58272268025414653"/>
    <n v="7.323025270591238E-2"/>
    <n v="0.49523258117953722"/>
    <n v="4.2779539106090801E-2"/>
    <n v="2.2578090083770142E-2"/>
    <n v="5.6445225209425355E-3"/>
    <n v="5.6445225209425355E-3"/>
    <n v="2.3766410614494888E-3"/>
    <n v="0"/>
    <n v="0"/>
    <n v="2.2281009951088959E-2"/>
    <n v="2.0498529155001843E-2"/>
    <n v="0"/>
    <n v="0"/>
    <n v="8.6153238477543973E-3"/>
    <n v="1.9310208624277096E-3"/>
    <n v="2.8371152671053272E-2"/>
    <n v="0"/>
  </r>
  <r>
    <x v="11"/>
    <s v="Census Tract 62, King County, Washington"/>
    <n v="1.6116494651756668"/>
    <n v="1.4317257363868072"/>
    <n v="0.17992372878885954"/>
    <n v="1.6116494651756668"/>
    <n v="1.4317257363868072"/>
    <n v="0.17992372878885954"/>
    <n v="1.2167661496593463"/>
    <n v="0.10510757381580435"/>
    <n v="5.5473441736118963E-2"/>
    <n v="1.3868360434029741E-2"/>
    <n v="1.3868360434029741E-2"/>
    <n v="5.839309656433575E-3"/>
    <n v="0"/>
    <n v="0"/>
    <n v="5.4743528029064764E-2"/>
    <n v="5.0364045786739586E-2"/>
    <n v="0"/>
    <n v="0"/>
    <n v="2.1167497504571711E-2"/>
    <n v="4.7444390958522797E-3"/>
    <n v="6.9706759023675804E-2"/>
    <n v="0"/>
  </r>
  <r>
    <x v="88"/>
    <s v="Census Tract 62, King County, Washington"/>
    <n v="0.22003990893079492"/>
    <n v="0.19547476511220752"/>
    <n v="2.4565143818587383E-2"/>
    <n v="0.22003990893079492"/>
    <n v="0.19547476511220752"/>
    <n v="2.4565143818587383E-2"/>
    <n v="0.16612614501251591"/>
    <n v="1.4350428843312711E-2"/>
    <n v="7.5738374450817093E-3"/>
    <n v="1.8934593612704273E-3"/>
    <n v="1.8934593612704273E-3"/>
    <n v="7.9724604685070619E-4"/>
    <n v="0"/>
    <n v="0"/>
    <n v="7.4741816892253702E-3"/>
    <n v="6.8762471540873412E-3"/>
    <n v="0"/>
    <n v="0"/>
    <n v="2.8900169198338098E-3"/>
    <n v="6.4776241306619873E-4"/>
    <n v="9.5171246842803044E-3"/>
    <n v="0"/>
  </r>
  <r>
    <x v="54"/>
    <s v="Census Tract 62, King County, Washington"/>
    <n v="2392.3289597104399"/>
    <n v="2125.2505681485636"/>
    <n v="267.07839156187657"/>
    <n v="2392.3289597104399"/>
    <n v="2125.2505681485636"/>
    <n v="267.07839156187657"/>
    <n v="1806.1650252886338"/>
    <n v="156.02145389415915"/>
    <n v="82.344656221917319"/>
    <n v="20.58616405547933"/>
    <n v="20.58616405547933"/>
    <n v="8.6678585496755076"/>
    <n v="0"/>
    <n v="0"/>
    <n v="81.26117390320789"/>
    <n v="74.760279990951247"/>
    <n v="0"/>
    <n v="0"/>
    <n v="31.420987242573716"/>
    <n v="7.0426350716113504"/>
    <n v="103.47256143675138"/>
    <n v="0"/>
  </r>
  <r>
    <x v="91"/>
    <s v="Census Tract 62, King County, Washington"/>
    <n v="701.17566181188499"/>
    <n v="622.89676659602014"/>
    <n v="78.278895215864878"/>
    <n v="701.17566181188499"/>
    <n v="622.89676659602014"/>
    <n v="78.278895215864878"/>
    <n v="529.37492221033165"/>
    <n v="45.728847509470761"/>
    <n v="24.134669518887346"/>
    <n v="6.0336673797218365"/>
    <n v="6.0336673797218365"/>
    <n v="2.5404915283039311"/>
    <n v="0"/>
    <n v="0"/>
    <n v="23.817108077849355"/>
    <n v="21.911739431621406"/>
    <n v="0"/>
    <n v="0"/>
    <n v="9.2092817901017501"/>
    <n v="2.0641493667469439"/>
    <n v="30.327117619128177"/>
    <n v="0"/>
  </r>
  <r>
    <x v="4"/>
    <s v="Census Tract 62, King County, Washington"/>
    <n v="0.2556402267175053"/>
    <n v="0.22710068147934176"/>
    <n v="2.853954523816352E-2"/>
    <n v="0.2556402267175053"/>
    <n v="0.22710068147934176"/>
    <n v="2.853954523816352E-2"/>
    <n v="0.19300374000818898"/>
    <n v="1.6672188698967735E-2"/>
    <n v="8.7992107022329714E-3"/>
    <n v="2.1998026755582429E-3"/>
    <n v="2.1998026755582429E-3"/>
    <n v="9.2623270549820752E-4"/>
    <n v="0"/>
    <n v="0"/>
    <n v="8.6834316140456946E-3"/>
    <n v="7.9887570849220407E-3"/>
    <n v="0"/>
    <n v="0"/>
    <n v="3.3575935574310023E-3"/>
    <n v="7.5256407321729361E-4"/>
    <n v="1.1056902921884852E-2"/>
    <n v="0"/>
  </r>
  <r>
    <x v="5"/>
    <s v="Census Tract 62, King County, Washington"/>
    <n v="1007.769372291109"/>
    <n v="895.26251075589244"/>
    <n v="112.50686153521666"/>
    <n v="1007.769372291109"/>
    <n v="895.26251075589244"/>
    <n v="112.50686153521666"/>
    <n v="760.84761938826034"/>
    <n v="65.72408949724624"/>
    <n v="34.687713901324408"/>
    <n v="8.6719284753311019"/>
    <n v="8.6719284753311019"/>
    <n v="3.651338305402569"/>
    <n v="0"/>
    <n v="0"/>
    <n v="34.231296613149084"/>
    <n v="31.492792884097156"/>
    <n v="0"/>
    <n v="0"/>
    <n v="13.236101357084312"/>
    <n v="2.9667123731395875"/>
    <n v="43.587851020743166"/>
    <n v="0"/>
  </r>
  <r>
    <x v="88"/>
    <s v="Census Tract 63, King County, Washington"/>
    <n v="1060.7263134207381"/>
    <n v="925.00724791046207"/>
    <n v="135.71906551027593"/>
    <n v="1060.7263134207381"/>
    <n v="925.00724791046207"/>
    <n v="135.71906551027593"/>
    <n v="845.6934110448824"/>
    <n v="80.468892742262881"/>
    <n v="10.010484264587728"/>
    <n v="3.4651676300495979"/>
    <n v="15.785763648003723"/>
    <n v="2.8876396917079981"/>
    <n v="0"/>
    <n v="0"/>
    <n v="4.8127328195133305"/>
    <n v="34.651676300495978"/>
    <n v="0"/>
    <n v="0"/>
    <n v="3.6576769428301308"/>
    <n v="0"/>
    <n v="45.047179190644769"/>
    <n v="14.245689145759458"/>
  </r>
  <r>
    <x v="54"/>
    <s v="Census Tract 63, King County, Washington"/>
    <n v="13.057736888550755"/>
    <n v="11.387010117874116"/>
    <n v="1.6707267706766393"/>
    <n v="13.057736888550755"/>
    <n v="11.387010117874116"/>
    <n v="1.6707267706766393"/>
    <n v="10.410642132741101"/>
    <n v="0.99058693637281592"/>
    <n v="0.12323091074494361"/>
    <n v="4.2656853719403559E-2"/>
    <n v="0.19432566694394954"/>
    <n v="3.5547378099502966E-2"/>
    <n v="0"/>
    <n v="0"/>
    <n v="5.9245630165838274E-2"/>
    <n v="0.42656853719403559"/>
    <n v="0"/>
    <n v="0"/>
    <n v="4.5026678926037088E-2"/>
    <n v="0"/>
    <n v="0.55453909835224624"/>
    <n v="0.17536706529088128"/>
  </r>
  <r>
    <x v="91"/>
    <s v="Census Tract 63, King County, Washington"/>
    <n v="4374.6789851927342"/>
    <n v="3814.9423818241539"/>
    <n v="559.7366033685804"/>
    <n v="4374.6789851927342"/>
    <n v="3814.9423818241539"/>
    <n v="559.7366033685804"/>
    <n v="3487.8338987208135"/>
    <n v="331.87219887669022"/>
    <n v="41.285536702363373"/>
    <n v="14.291147320048861"/>
    <n v="65.104115569111471"/>
    <n v="11.909289433374051"/>
    <n v="0"/>
    <n v="0"/>
    <n v="19.848815722290084"/>
    <n v="142.91147320048862"/>
    <n v="0"/>
    <n v="0"/>
    <n v="15.085099948940464"/>
    <n v="0"/>
    <n v="185.78491516063519"/>
    <n v="58.752494537978649"/>
  </r>
  <r>
    <x v="5"/>
    <s v="Census Tract 63, King County, Washington"/>
    <n v="1.3719188792696537E-2"/>
    <n v="1.1963829791090175E-2"/>
    <n v="1.7553590016063628E-3"/>
    <n v="1.3719188792696537E-2"/>
    <n v="1.1963829791090175E-2"/>
    <n v="1.7553590016063628E-3"/>
    <n v="1.0938002970293265E-2"/>
    <n v="1.0407660463424959E-3"/>
    <n v="1.2947328806174591E-4"/>
    <n v="4.4817676636758194E-5"/>
    <n v="2.0416941578967624E-4"/>
    <n v="3.7348063863965164E-5"/>
    <n v="0"/>
    <n v="0"/>
    <n v="6.2246773106608612E-5"/>
    <n v="4.4817676636758197E-4"/>
    <n v="0"/>
    <n v="0"/>
    <n v="4.7307547561022538E-5"/>
    <n v="0"/>
    <n v="5.8262979627785657E-4"/>
    <n v="1.8425044839556146E-4"/>
  </r>
  <r>
    <x v="48"/>
    <s v="Census Tract 70, King County, Washington"/>
    <n v="1832.1833126241886"/>
    <n v="1593.9419840758394"/>
    <n v="238.24132854834926"/>
    <n v="1832.1833126241886"/>
    <n v="1593.9419840758394"/>
    <n v="238.24132854834926"/>
    <n v="1331.9515199429222"/>
    <n v="150.74451323678343"/>
    <n v="29.248935404152007"/>
    <n v="0"/>
    <n v="20.249262972105235"/>
    <n v="0"/>
    <n v="13.749499548960346"/>
    <n v="0"/>
    <n v="88.996760716906962"/>
    <n v="87.49681531156584"/>
    <n v="14.999454053411286"/>
    <n v="0"/>
    <n v="0"/>
    <n v="0"/>
    <n v="94.746551437381285"/>
    <n v="0"/>
  </r>
  <r>
    <x v="49"/>
    <s v="Census Tract 70, King County, Washington"/>
    <n v="8.0803165897627789"/>
    <n v="7.0296218551408751"/>
    <n v="1.0506947346219031"/>
    <n v="8.0803165897627789"/>
    <n v="7.0296218551408751"/>
    <n v="1.0506947346219031"/>
    <n v="5.8741884009081842"/>
    <n v="0.6648152413190006"/>
    <n v="0.12899400204697026"/>
    <n v="0"/>
    <n v="8.930353987867172E-2"/>
    <n v="0"/>
    <n v="6.0638206090456108E-2"/>
    <n v="0"/>
    <n v="0.39249457033095225"/>
    <n v="0.3858794933029025"/>
    <n v="6.6150770280497567E-2"/>
    <n v="0"/>
    <n v="0"/>
    <n v="0"/>
    <n v="0.41785236560514299"/>
    <n v="0"/>
  </r>
  <r>
    <x v="55"/>
    <s v="Census Tract 70, King County, Washington"/>
    <n v="5488.7362252896255"/>
    <n v="4775.028267491698"/>
    <n v="713.70795779792786"/>
    <n v="5488.7362252896255"/>
    <n v="4775.028267491698"/>
    <n v="713.70795779792786"/>
    <n v="3990.1741858839032"/>
    <n v="451.59065955104984"/>
    <n v="87.622068271099224"/>
    <n v="0"/>
    <n v="60.661431879991767"/>
    <n v="0"/>
    <n v="41.189861153080834"/>
    <n v="0"/>
    <n v="266.61073764539594"/>
    <n v="262.11729824687802"/>
    <n v="44.934393985179085"/>
    <n v="0"/>
    <n v="0"/>
    <n v="0"/>
    <n v="283.83558867304794"/>
    <n v="0"/>
  </r>
  <r>
    <x v="66"/>
    <s v="Census Tract 30, King County, Washington"/>
    <n v="1959.529324312037"/>
    <n v="1738.8348600082065"/>
    <n v="220.69446430383042"/>
    <n v="1959.529324312037"/>
    <n v="1738.8348600082065"/>
    <n v="220.69446430383042"/>
    <n v="1501.6460411226249"/>
    <n v="74.554482709515213"/>
    <n v="40.246225179472816"/>
    <n v="12.865596573765899"/>
    <n v="5.9379676494304148"/>
    <n v="0"/>
    <n v="0"/>
    <n v="0"/>
    <n v="40.905999362742861"/>
    <n v="50.472725020158528"/>
    <n v="0"/>
    <n v="7.2575160159705074"/>
    <n v="18.473677131561292"/>
    <n v="75.544143984420273"/>
    <n v="131.62494956237421"/>
    <n v="0"/>
  </r>
  <r>
    <x v="75"/>
    <s v="Census Tract 30, King County, Washington"/>
    <n v="3967.3013791092344"/>
    <n v="3520.479052068144"/>
    <n v="446.82232704109055"/>
    <n v="3967.3013791092344"/>
    <n v="3520.479052068144"/>
    <n v="446.82232704109055"/>
    <n v="3040.2619322736086"/>
    <n v="150.9444632455702"/>
    <n v="81.483294318405157"/>
    <n v="26.047938347686895"/>
    <n v="12.022125391240104"/>
    <n v="0"/>
    <n v="0"/>
    <n v="0"/>
    <n v="82.819086028542941"/>
    <n v="102.18806582554089"/>
    <n v="0"/>
    <n v="14.693708811515684"/>
    <n v="37.402167883858105"/>
    <n v="152.94815081077689"/>
    <n v="266.49044617248899"/>
    <n v="0"/>
  </r>
  <r>
    <x v="68"/>
    <s v="Census Tract 30, King County, Washington"/>
    <n v="4.1167773053690366"/>
    <n v="3.6531200634007059"/>
    <n v="0.46365724196833091"/>
    <n v="4.1167773053690366"/>
    <n v="3.6531200634007059"/>
    <n v="0.46365724196833091"/>
    <n v="3.1548098138114233"/>
    <n v="0.15663159444670072"/>
    <n v="8.4553338595121638E-2"/>
    <n v="2.702934594434216E-2"/>
    <n v="1.2475082743542535E-2"/>
    <n v="0"/>
    <n v="0"/>
    <n v="0"/>
    <n v="8.5939458899959686E-2"/>
    <n v="0.10603820332011156"/>
    <n v="0"/>
    <n v="1.5247323353218656E-2"/>
    <n v="3.8811368535465671E-2"/>
    <n v="0.15871077490395782"/>
    <n v="0.27653100081519288"/>
    <n v="0"/>
  </r>
  <r>
    <x v="85"/>
    <s v="Census Tract 30, King County, Washington"/>
    <n v="0.51641406586471306"/>
    <n v="0.45825227965873783"/>
    <n v="5.8161786205975265E-2"/>
    <n v="0.51641406586471306"/>
    <n v="0.45825227965873783"/>
    <n v="5.8161786205975265E-2"/>
    <n v="0.3957435737064266"/>
    <n v="1.9648077253438579E-2"/>
    <n v="1.0606484181059764E-2"/>
    <n v="3.3905974021420557E-3"/>
    <n v="1.5648911086809489E-3"/>
    <n v="0"/>
    <n v="0"/>
    <n v="0"/>
    <n v="1.0780360970913203E-2"/>
    <n v="1.3301574423788065E-2"/>
    <n v="0"/>
    <n v="1.9126446883878264E-3"/>
    <n v="4.8685501158962849E-3"/>
    <n v="1.9908892438218737E-2"/>
    <n v="3.4688419575761034E-2"/>
    <n v="0"/>
  </r>
  <r>
    <x v="65"/>
    <s v="Census Tract 30, King County, Washington"/>
    <n v="8.5361012296015275"/>
    <n v="7.5747120507120629"/>
    <n v="0.96138917888946507"/>
    <n v="8.5361012296015275"/>
    <n v="7.5747120507120629"/>
    <n v="0.96138917888946507"/>
    <n v="6.5414701678697229"/>
    <n v="0.32477422186699417"/>
    <n v="0.17532059764501456"/>
    <n v="5.604510908324236E-2"/>
    <n v="2.5866973423034935E-2"/>
    <n v="0"/>
    <n v="0"/>
    <n v="0"/>
    <n v="0.17819470580312954"/>
    <n v="0.21986927409579693"/>
    <n v="0"/>
    <n v="3.1615189739264922E-2"/>
    <n v="8.0475028427219791E-2"/>
    <n v="0.32908538410416666"/>
    <n v="0.57338457754394101"/>
    <n v="0"/>
  </r>
  <r>
    <x v="0"/>
    <s v="Census Tract 44, King County, Washington"/>
    <n v="1524.3736435964336"/>
    <n v="1284.0669972925386"/>
    <n v="240.30664630389498"/>
    <n v="1524.3736435964336"/>
    <n v="1284.0669972925386"/>
    <n v="240.30664630389498"/>
    <n v="995.82407288812681"/>
    <n v="81.700091371315551"/>
    <n v="35.222743473857982"/>
    <n v="21.675534445451067"/>
    <n v="48.978371102701928"/>
    <n v="3.3346976069924716"/>
    <n v="0"/>
    <n v="0"/>
    <n v="108.37767222725533"/>
    <n v="117.13125344561057"/>
    <n v="0"/>
    <n v="0"/>
    <n v="29.803859862495216"/>
    <n v="9.5872556201033561"/>
    <n v="65.860277738101317"/>
    <n v="6.8778138144219731"/>
  </r>
  <r>
    <x v="6"/>
    <s v="Census Tract 44, King County, Washington"/>
    <n v="1434.7258405912876"/>
    <n v="1208.5515318407058"/>
    <n v="226.1743087505817"/>
    <n v="1434.7258405912876"/>
    <n v="1208.5515318407058"/>
    <n v="226.1743087505817"/>
    <n v="937.26005829165592"/>
    <n v="76.895341743476166"/>
    <n v="33.151308047570083"/>
    <n v="20.400804952350821"/>
    <n v="46.097972728869642"/>
    <n v="3.1385853772847416"/>
    <n v="0"/>
    <n v="0"/>
    <n v="102.00402476175411"/>
    <n v="110.24281137712654"/>
    <n v="0"/>
    <n v="0"/>
    <n v="28.051106809482377"/>
    <n v="9.0234329596936327"/>
    <n v="61.987061201373649"/>
    <n v="6.4733323406497796"/>
  </r>
  <r>
    <x v="74"/>
    <s v="Census Tract 44, King County, Washington"/>
    <n v="4354.9005158122791"/>
    <n v="3668.3814708667555"/>
    <n v="686.51904494552332"/>
    <n v="4354.9005158122791"/>
    <n v="3668.3814708667555"/>
    <n v="686.51904494552332"/>
    <n v="2844.9158688202169"/>
    <n v="233.40456688520825"/>
    <n v="100.62594847857193"/>
    <n v="61.923660602198112"/>
    <n v="139.92365616842844"/>
    <n v="9.5267170157227863"/>
    <n v="0"/>
    <n v="0"/>
    <n v="309.61830301099053"/>
    <n v="334.62593517726287"/>
    <n v="0"/>
    <n v="0"/>
    <n v="85.145033328022407"/>
    <n v="27.389311420203011"/>
    <n v="188.15266106052502"/>
    <n v="19.648853844928247"/>
  </r>
  <r>
    <x v="49"/>
    <s v="Census Tract 71, King County, Washington"/>
    <n v="0.33991931507101153"/>
    <n v="0.23465785939761713"/>
    <n v="0.10526145567339441"/>
    <n v="0.33991931507101153"/>
    <n v="0.23465785939761713"/>
    <n v="0.10526145567339441"/>
    <n v="0.19736522938761453"/>
    <n v="2.3232707002199194E-2"/>
    <n v="1.0601332321391866E-2"/>
    <n v="8.6464767160288267E-3"/>
    <n v="9.9998382889724697E-3"/>
    <n v="1.1278013107863688E-3"/>
    <n v="3.0074701620969832E-4"/>
    <n v="0"/>
    <n v="4.511205243145475E-3"/>
    <n v="4.7066908036817789E-2"/>
    <n v="6.0149403241939665E-4"/>
    <n v="0"/>
    <n v="1.6541085891533408E-3"/>
    <n v="1.7744073956372203E-2"/>
    <n v="9.6239045187103463E-3"/>
    <n v="7.4434886511900332E-3"/>
  </r>
  <r>
    <x v="55"/>
    <s v="Census Tract 71, King County, Washington"/>
    <n v="3779.1166500322147"/>
    <n v="2608.8527017806996"/>
    <n v="1170.2639482515153"/>
    <n v="3779.1166500322147"/>
    <n v="2608.8527017806996"/>
    <n v="1170.2639482515153"/>
    <n v="2194.2449029715913"/>
    <n v="258.29397143551301"/>
    <n v="117.86229764533118"/>
    <n v="96.128824320660186"/>
    <n v="111.17507508389396"/>
    <n v="12.538542302694808"/>
    <n v="3.3436112807186151"/>
    <n v="0"/>
    <n v="50.15416921077923"/>
    <n v="523.27516543246327"/>
    <n v="6.6872225614372303"/>
    <n v="0"/>
    <n v="18.389862043952384"/>
    <n v="197.2730655623983"/>
    <n v="106.99556098299568"/>
    <n v="82.754379197785724"/>
  </r>
  <r>
    <x v="53"/>
    <s v="Census Tract 71, King County, Washington"/>
    <n v="0.22254861263335057"/>
    <n v="0.15363287326447403"/>
    <n v="6.891573936887653E-2"/>
    <n v="0.22254861263335057"/>
    <n v="0.15363287326447403"/>
    <n v="6.891573936887653E-2"/>
    <n v="0.12921701131664348"/>
    <n v="1.5210688189273463E-2"/>
    <n v="6.9407994650082794E-3"/>
    <n v="5.6609357338720002E-3"/>
    <n v="6.5469952400432699E-3"/>
    <n v="7.383829218093914E-4"/>
    <n v="1.9690211248250437E-4"/>
    <n v="0"/>
    <n v="2.9535316872375656E-3"/>
    <n v="3.0815180603511932E-2"/>
    <n v="3.9380422496500874E-4"/>
    <n v="0"/>
    <n v="1.0829616186537739E-3"/>
    <n v="1.1617224636467758E-2"/>
    <n v="6.3008675994401398E-3"/>
    <n v="4.873327283941983E-3"/>
  </r>
  <r>
    <x v="8"/>
    <s v="Census Tract 71, King County, Washington"/>
    <n v="2.718599354080848E-2"/>
    <n v="1.8767415580814701E-2"/>
    <n v="8.4185779599937789E-3"/>
    <n v="2.718599354080848E-2"/>
    <n v="1.8767415580814701E-2"/>
    <n v="8.4185779599937789E-3"/>
    <n v="1.5784833674988334E-2"/>
    <n v="1.8581004211700553E-3"/>
    <n v="8.47871065970802E-4"/>
    <n v="6.9152604671377459E-4"/>
    <n v="7.9976490619940892E-4"/>
    <n v="9.0199049571361916E-5"/>
    <n v="2.4053079885696509E-5"/>
    <n v="0"/>
    <n v="3.6079619828544766E-4"/>
    <n v="3.7643070021115038E-3"/>
    <n v="4.8106159771393018E-5"/>
    <n v="0"/>
    <n v="1.3229193937133081E-4"/>
    <n v="1.4191317132560941E-3"/>
    <n v="7.6969855634228829E-4"/>
    <n v="5.9531372717098855E-4"/>
  </r>
  <r>
    <x v="78"/>
    <s v="Census Tract 71, King County, Washington"/>
    <n v="741.29368555811629"/>
    <n v="511.74023283054214"/>
    <n v="229.55345272757418"/>
    <n v="741.29368555811629"/>
    <n v="511.74023283054214"/>
    <n v="229.55345272757418"/>
    <n v="430.41272386420155"/>
    <n v="50.665726352014588"/>
    <n v="23.119312024705685"/>
    <n v="18.856176474050734"/>
    <n v="21.807578009119545"/>
    <n v="2.4595012792240087"/>
    <n v="0.65586700779306906"/>
    <n v="0"/>
    <n v="9.838005116896035"/>
    <n v="102.6431867196153"/>
    <n v="1.3117340155861381"/>
    <n v="0"/>
    <n v="3.6072685428618798"/>
    <n v="38.696153459791077"/>
    <n v="20.98774424937821"/>
    <n v="16.232708442878458"/>
  </r>
  <r>
    <x v="33"/>
    <s v="Census Tract 111.02, King County, Washington"/>
    <n v="1747.2569991707605"/>
    <n v="1093.5956753738421"/>
    <n v="653.6613237969184"/>
    <n v="1747.2569991707605"/>
    <n v="1093.5956753738421"/>
    <n v="653.6613237969184"/>
    <n v="692.27258337680803"/>
    <n v="45.241475871385759"/>
    <n v="12.87041985996319"/>
    <n v="16.380534367225881"/>
    <n v="130.65426221477784"/>
    <n v="53.821755778027892"/>
    <n v="2.3400763381751255"/>
    <n v="0"/>
    <n v="79.952608220983464"/>
    <n v="350.23142528021049"/>
    <n v="0"/>
    <n v="0"/>
    <n v="76.052480990691578"/>
    <n v="113.88371512452278"/>
    <n v="99.453244372442839"/>
    <n v="74.102417375545642"/>
  </r>
  <r>
    <x v="41"/>
    <s v="Census Tract 111.02, King County, Washington"/>
    <n v="0.31740464984852568"/>
    <n v="0.19866130316412187"/>
    <n v="0.1187433466844038"/>
    <n v="0.31740464984852568"/>
    <n v="0.19866130316412187"/>
    <n v="0.1187433466844038"/>
    <n v="0.12575742265203863"/>
    <n v="8.2185132550064675E-3"/>
    <n v="2.3380253225449435E-3"/>
    <n v="2.9756685923299281E-3"/>
    <n v="2.3734499486441091E-2"/>
    <n v="9.7771968033697632E-3"/>
    <n v="4.2509551318998975E-4"/>
    <n v="0"/>
    <n v="1.4524096700657982E-2"/>
    <n v="6.36226284741018E-2"/>
    <n v="0"/>
    <n v="0"/>
    <n v="1.3815604178674666E-2"/>
    <n v="2.0687981641912833E-2"/>
    <n v="1.8066559310574562E-2"/>
    <n v="1.3461357917683008E-2"/>
  </r>
  <r>
    <x v="31"/>
    <s v="Census Tract 111.02, King County, Washington"/>
    <n v="0.30975721778546944"/>
    <n v="0.19387483006036971"/>
    <n v="0.11588238772509973"/>
    <n v="0.30975721778546944"/>
    <n v="0.19387483006036971"/>
    <n v="0.11588238772509973"/>
    <n v="0.1227274691002697"/>
    <n v="8.0204993890880486E-3"/>
    <n v="2.2816937917233241E-3"/>
    <n v="2.9039739167387763E-3"/>
    <n v="2.3162649097797382E-2"/>
    <n v="9.5416285835702649E-3"/>
    <n v="4.1485341667696802E-4"/>
    <n v="0"/>
    <n v="1.4174158403129741E-2"/>
    <n v="6.2089728029319544E-2"/>
    <n v="0"/>
    <n v="0"/>
    <n v="1.348273604200146E-2"/>
    <n v="2.0189532944945777E-2"/>
    <n v="1.763127020877114E-2"/>
    <n v="1.313702486143732E-2"/>
  </r>
  <r>
    <x v="32"/>
    <s v="Census Tract 111.02, King County, Washington"/>
    <n v="2714.7350092482584"/>
    <n v="1699.1332513241332"/>
    <n v="1015.6017579241252"/>
    <n v="2714.7350092482584"/>
    <n v="1699.1332513241332"/>
    <n v="1015.6017579241252"/>
    <n v="1075.5925538874237"/>
    <n v="70.292245775178117"/>
    <n v="19.996931987766189"/>
    <n v="25.450640711702423"/>
    <n v="202.99915805762646"/>
    <n v="83.623533767022238"/>
    <n v="3.6358058159574886"/>
    <n v="0"/>
    <n v="124.22336537854754"/>
    <n v="544.15893712163745"/>
    <n v="0"/>
    <n v="0"/>
    <n v="118.16368901861838"/>
    <n v="176.94254970993111"/>
    <n v="154.52174717819327"/>
    <n v="115.13385083865381"/>
  </r>
  <r>
    <x v="68"/>
    <s v="Census Tract 27, King County, Washington"/>
    <n v="0.76551672467056298"/>
    <n v="0.66788380365246514"/>
    <n v="9.7632921018097799E-2"/>
    <n v="0.76551672467056298"/>
    <n v="0.66788380365246514"/>
    <n v="9.7632921018097799E-2"/>
    <n v="0.52510342998523429"/>
    <n v="4.2784362841051769E-2"/>
    <n v="1.1691075892612984E-2"/>
    <n v="3.3580749904313892E-3"/>
    <n v="8.3330009021815952E-3"/>
    <n v="2.611836103668858E-3"/>
    <n v="1.2437314779375515E-4"/>
    <n v="0"/>
    <n v="4.7759288752801977E-2"/>
    <n v="3.7560690633714054E-2"/>
    <n v="0"/>
    <n v="0"/>
    <n v="5.3480453551314712E-3"/>
    <n v="1.1317956449231718E-2"/>
    <n v="6.9524589616709126E-2"/>
    <n v="0"/>
  </r>
  <r>
    <x v="69"/>
    <s v="Census Tract 27, King County, Washington"/>
    <n v="4183.694068785313"/>
    <n v="3650.1116408411262"/>
    <n v="533.58242794418697"/>
    <n v="4183.694068785313"/>
    <n v="3650.1116408411262"/>
    <n v="533.58242794418697"/>
    <n v="2869.7898226501366"/>
    <n v="233.82465632203861"/>
    <n v="63.893946785673343"/>
    <n v="18.35251662992745"/>
    <n v="45.541430155745893"/>
    <n v="14.274179601054684"/>
    <n v="0.67972283814546108"/>
    <n v="0"/>
    <n v="261.01356984785707"/>
    <n v="205.27629711992924"/>
    <n v="0"/>
    <n v="0"/>
    <n v="29.228082040254826"/>
    <n v="61.85477827123696"/>
    <n v="379.96506652331277"/>
    <n v="0"/>
  </r>
  <r>
    <x v="6"/>
    <s v="Census Tract 27, King County, Washington"/>
    <n v="1924.4481777994711"/>
    <n v="1679.0067773815044"/>
    <n v="245.44140041796666"/>
    <n v="1924.4481777994711"/>
    <n v="1679.0067773815044"/>
    <n v="245.44140041796666"/>
    <n v="1320.0682707830003"/>
    <n v="107.55648629780958"/>
    <n v="29.390435209285179"/>
    <n v="8.4419335175606367"/>
    <n v="20.948501691724541"/>
    <n v="6.5659482914360501"/>
    <n v="0.31266420435409764"/>
    <n v="0"/>
    <n v="120.06305447197349"/>
    <n v="94.424589714937483"/>
    <n v="0"/>
    <n v="0"/>
    <n v="13.444560787226198"/>
    <n v="28.452442596222884"/>
    <n v="174.77929023394057"/>
    <n v="0"/>
  </r>
  <r>
    <x v="64"/>
    <s v="Census Tract 27, King County, Washington"/>
    <n v="15.812168140112407"/>
    <n v="13.795506565784505"/>
    <n v="2.0166615743279026"/>
    <n v="15.812168140112407"/>
    <n v="13.795506565784505"/>
    <n v="2.0166615743279026"/>
    <n v="10.846299575557204"/>
    <n v="0.88373449881375599"/>
    <n v="0.241485589792131"/>
    <n v="6.9362882174335505E-2"/>
    <n v="0.1721227076177955"/>
    <n v="5.3948908357816502E-2"/>
    <n v="2.5689956360865E-3"/>
    <n v="0"/>
    <n v="0.98649432425721595"/>
    <n v="0.77583668209812295"/>
    <n v="0"/>
    <n v="0"/>
    <n v="0.1104668123517195"/>
    <n v="0.23377860288387151"/>
    <n v="1.4360685605723535"/>
    <n v="0"/>
  </r>
  <r>
    <x v="63"/>
    <s v="Census Tract 27, King County, Washington"/>
    <n v="17.483965634496169"/>
    <n v="15.254085370795197"/>
    <n v="2.229880263700974"/>
    <n v="17.483965634496169"/>
    <n v="15.254085370795197"/>
    <n v="2.229880263700974"/>
    <n v="11.993063023370079"/>
    <n v="0.97717045950717829"/>
    <n v="0.26701750928393825"/>
    <n v="7.6696518624109922E-2"/>
    <n v="0.19032099065982833"/>
    <n v="5.9652847818752165E-2"/>
    <n v="2.8406118008929603E-3"/>
    <n v="0"/>
    <n v="1.0907949315428969"/>
    <n v="0.85786476386967403"/>
    <n v="0"/>
    <n v="0"/>
    <n v="0.12214630743839729"/>
    <n v="0.25849567388125938"/>
    <n v="1.5879019966991648"/>
    <n v="0"/>
  </r>
  <r>
    <x v="65"/>
    <s v="Census Tract 27, King County, Washington"/>
    <n v="12.796099062554546"/>
    <n v="11.164102675210058"/>
    <n v="1.6319963873444872"/>
    <n v="12.796099062554546"/>
    <n v="11.164102675210058"/>
    <n v="1.6319963873444872"/>
    <n v="8.7774378947368472"/>
    <n v="0.71516784362611918"/>
    <n v="0.19542377122341628"/>
    <n v="5.6132359819491912E-2"/>
    <n v="0.13929141140392437"/>
    <n v="4.3658502081827047E-2"/>
    <n v="2.0789762896108116E-3"/>
    <n v="0"/>
    <n v="0.79832689521055167"/>
    <n v="0.62785083946246512"/>
    <n v="0"/>
    <n v="0"/>
    <n v="8.9395980453264898E-2"/>
    <n v="0.18918684235458386"/>
    <n v="1.1621477458924436"/>
    <n v="0"/>
  </r>
  <r>
    <x v="21"/>
    <s v="Census Tract 104.02, King County, Washington"/>
    <n v="10.580413419623904"/>
    <n v="5.9629993006912363"/>
    <n v="4.6174141189326674"/>
    <n v="10.580413419623904"/>
    <n v="5.9629993006912363"/>
    <n v="4.6174141189326674"/>
    <n v="2.5069023290724926"/>
    <n v="0.20140924695112333"/>
    <n v="8.9991365659012543E-2"/>
    <n v="0.54423349708069491"/>
    <n v="0.6877911518224531"/>
    <n v="0.20569455007774295"/>
    <n v="0"/>
    <n v="0"/>
    <n v="1.8598215569529259"/>
    <n v="3.4282425012957161"/>
    <n v="0"/>
    <n v="0"/>
    <n v="0.20569455007774295"/>
    <n v="0.13498704848851883"/>
    <n v="0.6127983471066093"/>
    <n v="0.10284727503887148"/>
  </r>
  <r>
    <x v="39"/>
    <s v="Census Tract 104.02, King County, Washington"/>
    <n v="2.9222063357775832"/>
    <n v="1.6469218777782531"/>
    <n v="1.2752844579993301"/>
    <n v="2.9222063357775832"/>
    <n v="1.6469218777782531"/>
    <n v="1.2752844579993301"/>
    <n v="0.69238181710404456"/>
    <n v="5.5627257100666828E-2"/>
    <n v="2.4854731896042627E-2"/>
    <n v="0.15031195003797207"/>
    <n v="0.18996116520546866"/>
    <n v="5.6810815762383143E-2"/>
    <n v="0"/>
    <n v="0"/>
    <n v="0.51366445918488091"/>
    <n v="0.94684692937305248"/>
    <n v="0"/>
    <n v="0"/>
    <n v="5.6810815762383143E-2"/>
    <n v="3.7282097844063937E-2"/>
    <n v="0.16924888862543314"/>
    <n v="2.8405407881191572E-2"/>
  </r>
  <r>
    <x v="83"/>
    <s v="Census Tract 104.02, King County, Washington"/>
    <n v="0.23785604688104961"/>
    <n v="0.13405293205142993"/>
    <n v="0.10380311482961967"/>
    <n v="0.23785604688104961"/>
    <n v="0.13405293205142993"/>
    <n v="0.10380311482961967"/>
    <n v="5.6357143550187935E-2"/>
    <n v="4.5278388835193724E-3"/>
    <n v="2.0230769479554645E-3"/>
    <n v="1.2234798685254475E-2"/>
    <n v="1.5462088102231049E-2"/>
    <n v="4.6241758810410616E-3"/>
    <n v="0"/>
    <n v="0"/>
    <n v="4.1810256924412932E-2"/>
    <n v="7.7069598017351026E-2"/>
    <n v="0"/>
    <n v="0"/>
    <n v="4.6241758810410616E-3"/>
    <n v="3.0346154219331963E-3"/>
    <n v="1.3776190645601495E-2"/>
    <n v="2.3120879405205308E-3"/>
  </r>
  <r>
    <x v="29"/>
    <s v="Census Tract 104.02, King County, Washington"/>
    <n v="4803.7496743223019"/>
    <n v="2707.338060680228"/>
    <n v="2096.4116136420739"/>
    <n v="4803.7496743223019"/>
    <n v="2707.338060680228"/>
    <n v="2096.4116136420739"/>
    <n v="1138.1909920933765"/>
    <n v="91.444404492972126"/>
    <n v="40.858138177710948"/>
    <n v="247.09445469377573"/>
    <n v="312.27291321536228"/>
    <n v="93.390030120482166"/>
    <n v="0"/>
    <n v="0"/>
    <n v="844.40152233935964"/>
    <n v="1556.5005020080362"/>
    <n v="0"/>
    <n v="0"/>
    <n v="93.390030120482166"/>
    <n v="61.287207266566426"/>
    <n v="278.22446473393649"/>
    <n v="46.695015060241083"/>
  </r>
  <r>
    <x v="40"/>
    <s v="Census Tract 104.02, King County, Washington"/>
    <n v="120.48646229873505"/>
    <n v="67.904784240052578"/>
    <n v="52.581678058682463"/>
    <n v="120.48646229873505"/>
    <n v="67.904784240052578"/>
    <n v="52.581678058682463"/>
    <n v="28.547825210514379"/>
    <n v="2.2935859570840611"/>
    <n v="1.0247937255056443"/>
    <n v="6.1975620542484204"/>
    <n v="7.8323520449359965"/>
    <n v="2.3423856582986158"/>
    <n v="0"/>
    <n v="0"/>
    <n v="21.179070327116651"/>
    <n v="39.039760971643595"/>
    <n v="0"/>
    <n v="0"/>
    <n v="2.3423856582986158"/>
    <n v="1.5371905882584664"/>
    <n v="6.9783572736812927"/>
    <n v="1.1711928291493079"/>
  </r>
  <r>
    <x v="31"/>
    <s v="Census Tract 104.02, King County, Washington"/>
    <n v="2.3453457178900031E-2"/>
    <n v="1.3218098689525877E-2"/>
    <n v="1.0235358489374152E-2"/>
    <n v="2.3453457178900031E-2"/>
    <n v="1.3218098689525877E-2"/>
    <n v="1.0235358489374152E-2"/>
    <n v="5.557015977989679E-3"/>
    <n v="4.4646111276156397E-4"/>
    <n v="1.9948262485091156E-4"/>
    <n v="1.2063949217174174E-3"/>
    <n v="1.5246172042176812E-3"/>
    <n v="4.5596028537351208E-4"/>
    <n v="0"/>
    <n v="0"/>
    <n v="4.1226409135855053E-3"/>
    <n v="7.5993380895585348E-3"/>
    <n v="0"/>
    <n v="0"/>
    <n v="4.5596028537351208E-4"/>
    <n v="2.9922393727636735E-4"/>
    <n v="1.3583816835085881E-3"/>
    <n v="2.2798014268675604E-4"/>
  </r>
  <r>
    <x v="26"/>
    <s v="Census Tract 107.02, King County, Washington"/>
    <n v="4.0572302775466182"/>
    <n v="2.5216568181534309"/>
    <n v="1.5355734593931876"/>
    <n v="4.0572302775466182"/>
    <n v="2.5216568181534309"/>
    <n v="1.5355734593931876"/>
    <n v="0.99931345749137368"/>
    <n v="0.19668746780280347"/>
    <n v="0.10936881617734363"/>
    <n v="2.9988223790561964E-2"/>
    <n v="0.77704779880838493"/>
    <n v="0.78322184488291247"/>
    <n v="0"/>
    <n v="0"/>
    <n v="0.32281440903957875"/>
    <n v="0.39425694218768226"/>
    <n v="0"/>
    <n v="0"/>
    <n v="4.3218322521692241E-2"/>
    <n v="0.13141898072922742"/>
    <n v="0.26989401411505765"/>
    <n v="0"/>
  </r>
  <r>
    <x v="28"/>
    <s v="Census Tract 107.02, King County, Washington"/>
    <n v="4595.9430805130332"/>
    <n v="2856.4785363449482"/>
    <n v="1739.4645441680848"/>
    <n v="4595.9430805130332"/>
    <n v="2856.4785363449482"/>
    <n v="1739.4645441680848"/>
    <n v="1132.0007630915798"/>
    <n v="222.80332759878399"/>
    <n v="123.89063956165568"/>
    <n v="33.970014073357198"/>
    <n v="880.22301172434391"/>
    <n v="887.21683815121162"/>
    <n v="0"/>
    <n v="0"/>
    <n v="365.67721031908047"/>
    <n v="446.60577325854905"/>
    <n v="0"/>
    <n v="0"/>
    <n v="48.956784988073615"/>
    <n v="148.86859108618302"/>
    <n v="305.73012666021481"/>
    <n v="0"/>
  </r>
  <r>
    <x v="45"/>
    <s v="Census Tract 114.02, King County, Washington"/>
    <n v="0.53043734094605166"/>
    <n v="0.36418267219837591"/>
    <n v="0.16625466874767578"/>
    <n v="0.53043734094605166"/>
    <n v="0.36418267219837591"/>
    <n v="0.16625466874767578"/>
    <n v="0.21855814482814895"/>
    <n v="1.3712976327363038E-2"/>
    <n v="2.4877523425747103E-2"/>
    <n v="2.7304598881917552E-2"/>
    <n v="3.8711853525918667E-2"/>
    <n v="1.626140555634201E-2"/>
    <n v="7.4025801413198696E-3"/>
    <n v="3.5192594114471514E-3"/>
    <n v="1.6868174420384623E-2"/>
    <n v="5.1939414762047616E-2"/>
    <n v="3.2765518658301063E-3"/>
    <n v="1.0800485779958499E-2"/>
    <n v="2.3178570606427789E-2"/>
    <n v="3.8226438434684575E-2"/>
    <n v="3.1309273384598796E-2"/>
    <n v="4.490089593915331E-3"/>
  </r>
  <r>
    <x v="36"/>
    <s v="Census Tract 114.02, King County, Washington"/>
    <n v="2.9869988368776881E-2"/>
    <n v="2.0507855203545967E-2"/>
    <n v="9.3621331652309139E-3"/>
    <n v="2.9869988368776881E-2"/>
    <n v="2.0507855203545967E-2"/>
    <n v="9.3621331652309139E-3"/>
    <n v="1.2307446591664873E-2"/>
    <n v="7.7220514428546962E-4"/>
    <n v="1.40090313786302E-3"/>
    <n v="1.5375766147277049E-3"/>
    <n v="2.1799419559917236E-3"/>
    <n v="9.1571229499338872E-4"/>
    <n v="4.1685410443728887E-4"/>
    <n v="1.9817654145379306E-4"/>
    <n v="9.4988066420955992E-4"/>
    <n v="2.9248124049042565E-3"/>
    <n v="1.8450919376732458E-4"/>
    <n v="6.0819697204784768E-4"/>
    <n v="1.3052317040577405E-3"/>
    <n v="2.1526072606187869E-3"/>
    <n v="1.763087851554435E-3"/>
    <n v="2.5284593219966704E-4"/>
  </r>
  <r>
    <x v="37"/>
    <s v="Census Tract 114.02, King County, Washington"/>
    <n v="2542.9151753752799"/>
    <n v="1745.8907438346407"/>
    <n v="797.02443154063906"/>
    <n v="2542.9151753752799"/>
    <n v="1745.8907438346407"/>
    <n v="797.02443154063906"/>
    <n v="1047.7671541640079"/>
    <n v="65.739971360651253"/>
    <n v="119.26277990206643"/>
    <n v="130.89817306324363"/>
    <n v="185.58452092077653"/>
    <n v="77.957134179887319"/>
    <n v="35.487949141590498"/>
    <n v="16.871320083706959"/>
    <n v="80.865982470181621"/>
    <n v="248.99741364919234"/>
    <n v="15.707780767589236"/>
    <n v="51.777499567238593"/>
    <n v="111.11800468924237"/>
    <n v="183.25744228854109"/>
    <n v="150.09657177918604"/>
    <n v="21.525477348177841"/>
  </r>
  <r>
    <x v="47"/>
    <s v="Census Tract 114.02, King County, Washington"/>
    <n v="1826.5629328721611"/>
    <n v="1254.0643700639112"/>
    <n v="572.49856280824997"/>
    <n v="1826.5629328721611"/>
    <n v="1254.0643700639112"/>
    <n v="572.49856280824997"/>
    <n v="752.60577490340017"/>
    <n v="47.220684377614781"/>
    <n v="85.665843339920613"/>
    <n v="94.023486592595802"/>
    <n v="133.30440988016915"/>
    <n v="55.996209792923722"/>
    <n v="25.490811920659304"/>
    <n v="12.118582716379015"/>
    <n v="58.085620606092512"/>
    <n v="178.8535656072489"/>
    <n v="11.282818391111496"/>
    <n v="37.191512474404561"/>
    <n v="79.815493063047995"/>
    <n v="131.63288122963411"/>
    <n v="107.81359795950985"/>
    <n v="15.461640017449087"/>
  </r>
  <r>
    <x v="36"/>
    <s v="Census Tract 114.01, King County, Washington"/>
    <n v="0.42506024341188081"/>
    <n v="0.32371740616296307"/>
    <n v="0.10134283724891774"/>
    <n v="0.42506024341188081"/>
    <n v="0.32371740616296307"/>
    <n v="0.10134283724891774"/>
    <n v="0.17050382677184781"/>
    <n v="7.195941106432029E-3"/>
    <n v="2.0688330680992083E-2"/>
    <n v="1.4991543971733395E-2"/>
    <n v="6.8361440511104279E-2"/>
    <n v="1.4391882212864058E-2"/>
    <n v="2.8983651678684561E-3"/>
    <n v="0"/>
    <n v="1.5491262104124506E-2"/>
    <n v="3.338117124372636E-2"/>
    <n v="6.996053853475584E-4"/>
    <n v="0"/>
    <n v="1.36922768275165E-2"/>
    <n v="2.5785455631381439E-2"/>
    <n v="3.1382298714161906E-2"/>
    <n v="5.5968430827804672E-3"/>
  </r>
  <r>
    <x v="27"/>
    <s v="Census Tract 114.01, King County, Washington"/>
    <n v="5.3475624669013166"/>
    <n v="4.0725969504569397"/>
    <n v="1.2749655164443769"/>
    <n v="5.3475624669013166"/>
    <n v="4.0725969504569397"/>
    <n v="1.2749655164443769"/>
    <n v="2.1450603264833403"/>
    <n v="9.053009584220427E-2"/>
    <n v="0.26027402554633727"/>
    <n v="0.18860436633792557"/>
    <n v="0.86003591050094064"/>
    <n v="0.18106019168440854"/>
    <n v="3.6463510825332279E-2"/>
    <n v="0"/>
    <n v="0.19489117854918975"/>
    <n v="0.41995905571244763"/>
    <n v="8.8015370957698607E-3"/>
    <n v="0"/>
    <n v="0.17225865458863868"/>
    <n v="0.32439951010123197"/>
    <n v="0.39481180686739087"/>
    <n v="7.0412296766158886E-2"/>
  </r>
  <r>
    <x v="28"/>
    <s v="Census Tract 114.01, King County, Washington"/>
    <n v="3.9573961913712865"/>
    <n v="3.0138740333533032"/>
    <n v="0.94352215801798367"/>
    <n v="3.9573961913712865"/>
    <n v="3.0138740333533032"/>
    <n v="0.94352215801798367"/>
    <n v="1.5874248536278897"/>
    <n v="6.6995656190626057E-2"/>
    <n v="0.19261251154804993"/>
    <n v="0.13957428373047095"/>
    <n v="0.63645873381094753"/>
    <n v="0.13399131238125211"/>
    <n v="2.6984361521224385E-2"/>
    <n v="0"/>
    <n v="0.14422675985482"/>
    <n v="0.31078540510651537"/>
    <n v="6.5134665740886446E-3"/>
    <n v="0"/>
    <n v="0.12747784580716348"/>
    <n v="0.24006776801641005"/>
    <n v="0.29217550060911923"/>
    <n v="5.2107732592709156E-2"/>
  </r>
  <r>
    <x v="37"/>
    <s v="Census Tract 114.01, King County, Washington"/>
    <n v="3327.5355795097494"/>
    <n v="2534.1847500663248"/>
    <n v="793.35082944342491"/>
    <n v="3327.5355795097494"/>
    <n v="2534.1847500663248"/>
    <n v="793.35082944342491"/>
    <n v="1334.7697386888392"/>
    <n v="56.332603274089344"/>
    <n v="161.95623441300685"/>
    <n v="117.35959015435279"/>
    <n v="535.15973110384869"/>
    <n v="112.66520654817869"/>
    <n v="22.689520763174873"/>
    <n v="0"/>
    <n v="121.27157649283122"/>
    <n v="261.32068741035891"/>
    <n v="5.4767808738697967"/>
    <n v="0"/>
    <n v="107.18842567430889"/>
    <n v="201.85849506548681"/>
    <n v="245.67274205644517"/>
    <n v="43.814246990958374"/>
  </r>
  <r>
    <x v="47"/>
    <s v="Census Tract 114.01, King County, Washington"/>
    <n v="915.73436020204736"/>
    <n v="697.40503002455478"/>
    <n v="218.32933017749258"/>
    <n v="915.73436020204736"/>
    <n v="697.40503002455478"/>
    <n v="218.32933017749258"/>
    <n v="367.32725570296088"/>
    <n v="15.502674332129651"/>
    <n v="44.570188704872749"/>
    <n v="32.297238191936771"/>
    <n v="147.27540615523168"/>
    <n v="31.005348664259301"/>
    <n v="6.2441327171077763"/>
    <n v="0"/>
    <n v="33.373812798334669"/>
    <n v="71.915183707379214"/>
    <n v="1.5072044489570495"/>
    <n v="0"/>
    <n v="29.498144215302254"/>
    <n v="55.55124969013125"/>
    <n v="67.60888528178765"/>
    <n v="12.057635591656396"/>
  </r>
  <r>
    <x v="0"/>
    <s v="Census Tract 43.02, King County, Washington"/>
    <n v="103.99552234894597"/>
    <n v="66.649958537077467"/>
    <n v="37.345563811868502"/>
    <n v="103.99552234894597"/>
    <n v="66.649958537077467"/>
    <n v="37.345563811868502"/>
    <n v="49.137479553043747"/>
    <n v="9.5252774751369813"/>
    <n v="0.99840018861209157"/>
    <n v="0"/>
    <n v="1.3761732329518017"/>
    <n v="1.6460111217658806"/>
    <n v="0.21587031105126303"/>
    <n v="0"/>
    <n v="8.0681528755409566"/>
    <n v="24.717150615369619"/>
    <n v="0"/>
    <n v="0"/>
    <n v="0.51269198874674971"/>
    <n v="0.64761093315378915"/>
    <n v="6.3411903871308519"/>
    <n v="0.80951366644223632"/>
  </r>
  <r>
    <x v="74"/>
    <s v="Census Tract 43.02, King County, Washington"/>
    <n v="3750.0044660018393"/>
    <n v="2403.3500339970274"/>
    <n v="1346.654432004812"/>
    <n v="3750.0044660018393"/>
    <n v="2403.3500339970274"/>
    <n v="1346.654432004812"/>
    <n v="1771.8625149427476"/>
    <n v="343.47472145787475"/>
    <n v="36.00159969955061"/>
    <n v="0"/>
    <n v="49.623826612894085"/>
    <n v="59.353988693853708"/>
    <n v="7.7841296647676996"/>
    <n v="0"/>
    <n v="290.93184622069276"/>
    <n v="891.28284661590158"/>
    <n v="0"/>
    <n v="0"/>
    <n v="18.487307953823287"/>
    <n v="23.352388994303098"/>
    <n v="228.65880890255119"/>
    <n v="29.190486242878873"/>
  </r>
  <r>
    <x v="83"/>
    <s v="Census Tract 100.02, King County, Washington"/>
    <n v="4813.5708585527864"/>
    <n v="3175.7376351423613"/>
    <n v="1637.833223410425"/>
    <n v="4813.5708585527864"/>
    <n v="3175.7376351423613"/>
    <n v="1637.833223410425"/>
    <n v="1749.7534924903321"/>
    <n v="124.91101459811051"/>
    <n v="279.80067269976752"/>
    <n v="256.81704601371518"/>
    <n v="241.82772426194194"/>
    <n v="18.986474218912797"/>
    <n v="0"/>
    <n v="97.930235444918637"/>
    <n v="520.62910884492464"/>
    <n v="876.37567842034332"/>
    <n v="0"/>
    <n v="13.990033634988377"/>
    <n v="104.92525226241283"/>
    <n v="206.85264017447099"/>
    <n v="278.80138458298268"/>
    <n v="41.970100904965129"/>
  </r>
  <r>
    <x v="29"/>
    <s v="Census Tract 100.02, King County, Washington"/>
    <n v="3.4291414472133086"/>
    <n v="2.2623648576383424"/>
    <n v="1.1667765895749662"/>
    <n v="3.4291414472133086"/>
    <n v="2.2623648576383424"/>
    <n v="1.1667765895749662"/>
    <n v="1.2465075096679474"/>
    <n v="8.8985401889487975E-2"/>
    <n v="0.19932730023245307"/>
    <n v="0.18295398628478726"/>
    <n v="0.17227573805804872"/>
    <n v="1.3525781087202171E-2"/>
    <n v="0"/>
    <n v="6.9764555081358565E-2"/>
    <n v="0.37089115507538589"/>
    <n v="0.62432157965664759"/>
    <n v="0"/>
    <n v="9.9663650116226521E-3"/>
    <n v="7.4747737587169891E-2"/>
    <n v="0.14735982552899207"/>
    <n v="0.19861541701733715"/>
    <n v="2.989909503486796E-2"/>
  </r>
  <r>
    <x v="75"/>
    <s v="Census Tract 17.02, King County, Washington"/>
    <n v="0.4675125748995872"/>
    <n v="0.39456048850176251"/>
    <n v="7.2952086397824661E-2"/>
    <n v="0.4675125748995872"/>
    <n v="0.39456048850176251"/>
    <n v="7.2952086397824661E-2"/>
    <n v="0.31977008692945685"/>
    <n v="2.9993563373110932E-2"/>
    <n v="7.3532606979239707E-3"/>
    <n v="1.3158466512074474E-2"/>
    <n v="5.3214386629712946E-3"/>
    <n v="1.7415617442451509E-3"/>
    <n v="3.2896166280186184E-3"/>
    <n v="0"/>
    <n v="2.3898097268252903E-2"/>
    <n v="2.138250808212102E-2"/>
    <n v="0"/>
    <n v="0"/>
    <n v="6.8694935467447623E-3"/>
    <n v="1.4513014535376258E-3"/>
    <n v="2.8058494768394098E-2"/>
    <n v="5.2246852327354531E-3"/>
  </r>
  <r>
    <x v="56"/>
    <s v="Census Tract 17.02, King County, Washington"/>
    <n v="2.2646048547604047E-5"/>
    <n v="1.9112290144273451E-5"/>
    <n v="3.5337584033305986E-6"/>
    <n v="2.2646048547604047E-5"/>
    <n v="1.9112290144273451E-5"/>
    <n v="3.5337584033305986E-6"/>
    <n v="1.5489484778524707E-5"/>
    <n v="1.4528714920855245E-6"/>
    <n v="3.5618784967258021E-7"/>
    <n v="6.3738878362461723E-7"/>
    <n v="2.5776752278936728E-7"/>
    <n v="8.4360280185611103E-8"/>
    <n v="1.5934719590615431E-7"/>
    <n v="0"/>
    <n v="1.1576105114358858E-6"/>
    <n v="1.0357567733900031E-6"/>
    <n v="0"/>
    <n v="0"/>
    <n v="3.3275443850991046E-7"/>
    <n v="7.0300233488009257E-8"/>
    <n v="1.3591378474348455E-6"/>
    <n v="2.5308084055683334E-7"/>
  </r>
  <r>
    <x v="57"/>
    <s v="Census Tract 17.02, King County, Washington"/>
    <n v="4.1517755670607424E-5"/>
    <n v="3.5039198597834658E-5"/>
    <n v="6.4785570727727645E-6"/>
    <n v="4.1517755670607424E-5"/>
    <n v="3.5039198597834658E-5"/>
    <n v="6.4785570727727645E-6"/>
    <n v="2.8397388760628628E-5"/>
    <n v="2.6635977354901286E-6"/>
    <n v="6.5301105773306373E-7"/>
    <n v="1.1685461033117983E-6"/>
    <n v="4.7257379178050665E-7"/>
    <n v="1.5466051367362036E-7"/>
    <n v="2.9213652582794957E-7"/>
    <n v="0"/>
    <n v="2.1222859376324572E-6"/>
    <n v="1.8988874178816723E-6"/>
    <n v="0"/>
    <n v="0"/>
    <n v="6.1004980393483587E-7"/>
    <n v="1.2888376139468364E-7"/>
    <n v="2.4917527202972171E-6"/>
    <n v="4.6398154102086108E-7"/>
  </r>
  <r>
    <x v="85"/>
    <s v="Census Tract 17.02, King County, Washington"/>
    <n v="1789.1338280861719"/>
    <n v="1509.9519352101424"/>
    <n v="279.18189287602928"/>
    <n v="1789.1338280861719"/>
    <n v="1509.9519352101424"/>
    <n v="279.18189287602928"/>
    <n v="1223.7349548478471"/>
    <n v="114.78300635486616"/>
    <n v="28.14034994506396"/>
    <n v="50.356415691167086"/>
    <n v="20.364726933927866"/>
    <n v="6.6648197238309379"/>
    <n v="12.589103922791772"/>
    <n v="0"/>
    <n v="91.456137321457874"/>
    <n v="81.829175498146512"/>
    <n v="0"/>
    <n v="0"/>
    <n v="26.2890111328887"/>
    <n v="5.5540164365257816"/>
    <n v="107.3776511061651"/>
    <n v="19.994459171492814"/>
  </r>
  <r>
    <x v="65"/>
    <s v="Census Tract 17.02, King County, Washington"/>
    <n v="3042.3985612060515"/>
    <n v="2567.6534214814315"/>
    <n v="474.74513972461978"/>
    <n v="3042.3985612060515"/>
    <n v="2567.6534214814315"/>
    <n v="474.74513972461978"/>
    <n v="2080.9452079441226"/>
    <n v="195.18699378598424"/>
    <n v="47.852295250757429"/>
    <n v="85.630423080302762"/>
    <n v="34.629950510416563"/>
    <n v="11.333438348863602"/>
    <n v="21.407605770075691"/>
    <n v="0"/>
    <n v="155.51995956496165"/>
    <n v="139.14943750549199"/>
    <n v="0"/>
    <n v="0"/>
    <n v="44.704117931628652"/>
    <n v="9.4445319573863351"/>
    <n v="182.59428450946913"/>
    <n v="34.000315046590806"/>
  </r>
  <r>
    <x v="57"/>
    <s v="Census Tract 17.01, King County, Washington"/>
    <n v="8.7779112702539547E-2"/>
    <n v="7.68834536083432E-2"/>
    <n v="1.0895659094196342E-2"/>
    <n v="8.7779112702539547E-2"/>
    <n v="7.68834536083432E-2"/>
    <n v="1.0895659094196342E-2"/>
    <n v="5.8358640862677391E-2"/>
    <n v="2.8938169022815234E-3"/>
    <n v="2.2361312426720866E-3"/>
    <n v="0"/>
    <n v="4.3845710640629141E-3"/>
    <n v="1.4030627405001326E-3"/>
    <n v="1.1619113319766723E-3"/>
    <n v="0"/>
    <n v="3.4199654299690734E-3"/>
    <n v="5.0422567236723514E-3"/>
    <n v="4.1653425108597686E-4"/>
    <n v="0"/>
    <n v="6.7960851492975178E-4"/>
    <n v="7.6729993621101002E-4"/>
    <n v="6.2260909109693383E-3"/>
    <n v="7.8922279153132466E-4"/>
  </r>
  <r>
    <x v="65"/>
    <s v="Census Tract 17.01, King County, Washington"/>
    <n v="4003.9122208872973"/>
    <n v="3506.9231165463916"/>
    <n v="496.98910434090578"/>
    <n v="4003.9122208872973"/>
    <n v="3506.9231165463916"/>
    <n v="496.98910434090578"/>
    <n v="2661.9416413591375"/>
    <n v="131.99710618309771"/>
    <n v="101.99776386875733"/>
    <n v="0"/>
    <n v="199.99561542893593"/>
    <n v="63.998596937259499"/>
    <n v="52.998838088668023"/>
    <n v="0"/>
    <n v="155.99658003457003"/>
    <n v="229.99495774327633"/>
    <n v="18.999583465748913"/>
    <n v="0"/>
    <n v="30.999320391485071"/>
    <n v="34.999232700063786"/>
    <n v="283.99377390908904"/>
    <n v="35.999210777208468"/>
  </r>
  <r>
    <x v="29"/>
    <s v="Census Tract 104.01, King County, Washington"/>
    <n v="4301.6384362134022"/>
    <n v="2187.3076687043745"/>
    <n v="2114.3307675090277"/>
    <n v="4301.6384362134022"/>
    <n v="2187.3076687043745"/>
    <n v="2114.3307675090277"/>
    <n v="749.76268351383953"/>
    <n v="50.983862478941091"/>
    <n v="69.977850461291695"/>
    <n v="11.996202936221433"/>
    <n v="491.84432038507873"/>
    <n v="232.92627367829948"/>
    <n v="0"/>
    <n v="0"/>
    <n v="632.79970488568063"/>
    <n v="1719.4557541917388"/>
    <n v="0"/>
    <n v="0"/>
    <n v="96.969307067789913"/>
    <n v="93.970256333734554"/>
    <n v="145.95380239069411"/>
    <n v="4.9984178900922638"/>
  </r>
  <r>
    <x v="31"/>
    <s v="Census Tract 104.01, King County, Washington"/>
    <n v="1.3616223421843998"/>
    <n v="0.69236107011375003"/>
    <n v="0.66926127207064967"/>
    <n v="1.3616223421843998"/>
    <n v="0.69236107011375003"/>
    <n v="0.66926127207064967"/>
    <n v="0.23732669222363462"/>
    <n v="1.6138215071207156E-2"/>
    <n v="2.2150491274205899E-2"/>
    <n v="3.7972270755781542E-3"/>
    <n v="0.15568631009870432"/>
    <n v="7.3729492384142489E-2"/>
    <n v="0"/>
    <n v="0"/>
    <n v="0.20030372823674764"/>
    <n v="0.54426921416620211"/>
    <n v="0"/>
    <n v="0"/>
    <n v="3.0694252194256744E-2"/>
    <n v="2.9744945425362206E-2"/>
    <n v="4.6199596086200875E-2"/>
    <n v="1.5821779481575641E-3"/>
  </r>
  <r>
    <x v="26"/>
    <s v="Census Tract 107.01, King County, Washington"/>
    <n v="3.8878224117047355"/>
    <n v="2.7368771260127023"/>
    <n v="1.1509452856920337"/>
    <n v="3.8878224117047355"/>
    <n v="2.7368771260127023"/>
    <n v="1.1509452856920337"/>
    <n v="1.5952975795351605"/>
    <n v="0.1186326967169004"/>
    <n v="7.7007189096935338E-2"/>
    <n v="6.2438261429947576E-3"/>
    <n v="0.61813878815648104"/>
    <n v="0.63687026658546531"/>
    <n v="0"/>
    <n v="0"/>
    <n v="0.11447014595490389"/>
    <n v="0.30906939407824052"/>
    <n v="8.4291652930429228E-2"/>
    <n v="4.7869333762959806E-2"/>
    <n v="9.7819942906917867E-2"/>
    <n v="3.2259768405472913E-2"/>
    <n v="0.1498518274318742"/>
    <n v="0"/>
  </r>
  <r>
    <x v="27"/>
    <s v="Census Tract 107.01, King County, Washington"/>
    <n v="99.681262344707406"/>
    <n v="70.171766586343807"/>
    <n v="29.509495758363592"/>
    <n v="99.681262344707406"/>
    <n v="70.171766586343807"/>
    <n v="29.509495758363592"/>
    <n v="40.90240234861789"/>
    <n v="3.04166592807726"/>
    <n v="1.9744147252431337"/>
    <n v="0.16008768042511895"/>
    <n v="15.848680362086776"/>
    <n v="16.328943403362132"/>
    <n v="0"/>
    <n v="0"/>
    <n v="2.9349408077938475"/>
    <n v="7.9243401810433882"/>
    <n v="2.1611836857391058"/>
    <n v="1.2273388832592453"/>
    <n v="2.5080403266601969"/>
    <n v="0.82711968219644794"/>
    <n v="3.8421043302028548"/>
    <n v="0"/>
  </r>
  <r>
    <x v="28"/>
    <s v="Census Tract 107.01, King County, Washington"/>
    <n v="3327.4276474478538"/>
    <n v="2342.3808117740514"/>
    <n v="985.04683567380255"/>
    <n v="3327.4276474478538"/>
    <n v="2342.3808117740514"/>
    <n v="985.04683567380255"/>
    <n v="1365.3497279276123"/>
    <n v="101.53285647993987"/>
    <n v="65.907292802767984"/>
    <n v="5.3438345515757817"/>
    <n v="529.03962060600247"/>
    <n v="545.07112426072979"/>
    <n v="0"/>
    <n v="0"/>
    <n v="97.970300112222674"/>
    <n v="264.51981030300124"/>
    <n v="72.141766446273053"/>
    <n v="40.969398228747664"/>
    <n v="83.720074641353918"/>
    <n v="27.609811849808207"/>
    <n v="128.25202923781876"/>
    <n v="0"/>
  </r>
  <r>
    <x v="37"/>
    <s v="Census Tract 107.01, King County, Washington"/>
    <n v="4.4908089865446321"/>
    <n v="3.161356433247426"/>
    <n v="1.3294525532972064"/>
    <n v="4.4908089865446321"/>
    <n v="3.161356433247426"/>
    <n v="1.3294525532972064"/>
    <n v="1.8427222099499254"/>
    <n v="0.13703217999627626"/>
    <n v="8.8950713330916156E-2"/>
    <n v="7.2122199998040128E-3"/>
    <n v="0.71400977998059734"/>
    <n v="0.73564643998000934"/>
    <n v="0"/>
    <n v="0"/>
    <n v="0.13222403332974025"/>
    <n v="0.35700488999029867"/>
    <n v="9.7364969997354181E-2"/>
    <n v="5.5293686665164099E-2"/>
    <n v="0.1129914466635962"/>
    <n v="3.7263136665654069E-2"/>
    <n v="0.17309327999529631"/>
    <n v="0"/>
  </r>
  <r>
    <x v="47"/>
    <s v="Census Tract 107.01, King County, Washington"/>
    <n v="300.51244852462543"/>
    <n v="211.54918084040816"/>
    <n v="88.963267684217271"/>
    <n v="300.51244852462543"/>
    <n v="211.54918084040816"/>
    <n v="88.963267684217271"/>
    <n v="123.30984571419988"/>
    <n v="9.1698124014473503"/>
    <n v="5.9523343658517884"/>
    <n v="0.48262170533933418"/>
    <n v="47.779548828594088"/>
    <n v="49.227413944612088"/>
    <n v="0"/>
    <n v="0"/>
    <n v="8.8480645978877934"/>
    <n v="23.889774414297044"/>
    <n v="6.5153930220810112"/>
    <n v="3.7000997409348955"/>
    <n v="7.5610733836495685"/>
    <n v="2.4935454775865598"/>
    <n v="11.58292092814402"/>
    <n v="0"/>
  </r>
  <r>
    <x v="29"/>
    <s v="Census Tract 110.01, King County, Washington"/>
    <n v="892.45114200096339"/>
    <n v="492.30166253448931"/>
    <n v="400.14947946647413"/>
    <n v="892.45114200096339"/>
    <n v="492.30166253448931"/>
    <n v="400.14947946647413"/>
    <n v="112.67266919450103"/>
    <n v="13.870328585495066"/>
    <n v="12.350292576125744"/>
    <n v="15.200360093693224"/>
    <n v="185.82440214539966"/>
    <n v="120.65285824368996"/>
    <n v="1.7100405105404877"/>
    <n v="0"/>
    <n v="146.30346590179727"/>
    <n v="227.24538340071371"/>
    <n v="2.0900495128828185"/>
    <n v="2.0900495128828185"/>
    <n v="14.820351091350894"/>
    <n v="19.000450117116529"/>
    <n v="16.530391601891381"/>
    <n v="2.0900495128828185"/>
  </r>
  <r>
    <x v="40"/>
    <s v="Census Tract 110.01, King County, Washington"/>
    <n v="1230.0838918898467"/>
    <n v="678.54957715277681"/>
    <n v="551.53431473706985"/>
    <n v="1230.0838918898467"/>
    <n v="678.54957715277681"/>
    <n v="551.53431473706985"/>
    <n v="155.29907342786439"/>
    <n v="19.11776114710641"/>
    <n v="17.022664035094749"/>
    <n v="20.950971120116613"/>
    <n v="256.12562194342559"/>
    <n v="166.29833326592561"/>
    <n v="2.3569842510131189"/>
    <n v="0"/>
    <n v="201.6530970311224"/>
    <n v="313.21701824574336"/>
    <n v="2.8807585290160342"/>
    <n v="2.8807585290160342"/>
    <n v="20.427196842113698"/>
    <n v="26.188713900145764"/>
    <n v="22.784181093126815"/>
    <n v="2.8807585290160342"/>
  </r>
  <r>
    <x v="43"/>
    <s v="Census Tract 110.01, King County, Washington"/>
    <n v="2358.3006581744899"/>
    <n v="1300.9063243198007"/>
    <n v="1057.3943338546894"/>
    <n v="2358.3006581744899"/>
    <n v="1300.9063243198007"/>
    <n v="1057.3943338546894"/>
    <n v="297.73734091919789"/>
    <n v="36.652320214336335"/>
    <n v="32.635627588107695"/>
    <n v="40.166926262286395"/>
    <n v="491.04067355645117"/>
    <n v="318.82497720689827"/>
    <n v="4.5187792045072195"/>
    <n v="0"/>
    <n v="386.60666527450655"/>
    <n v="600.49554762118157"/>
    <n v="5.5229523610643794"/>
    <n v="5.5229523610643794"/>
    <n v="39.162753105729237"/>
    <n v="50.208657827857991"/>
    <n v="43.681532310236456"/>
    <n v="5.5229523610643794"/>
  </r>
  <r>
    <x v="33"/>
    <s v="Census Tract 110.01, King County, Washington"/>
    <n v="215.79492508190111"/>
    <n v="119.03867381034826"/>
    <n v="96.756251271552856"/>
    <n v="215.79492508190111"/>
    <n v="119.03867381034826"/>
    <n v="96.756251271552856"/>
    <n v="27.244281578362223"/>
    <n v="3.3538491656331235"/>
    <n v="2.9863040515911372"/>
    <n v="3.6754511404198613"/>
    <n v="44.932390191632805"/>
    <n v="29.17389342708265"/>
    <n v="0.41348825329723443"/>
    <n v="0"/>
    <n v="35.376217226541165"/>
    <n v="54.947994549276928"/>
    <n v="0.50537453180773095"/>
    <n v="0.50537453180773095"/>
    <n v="3.5835648619093647"/>
    <n v="4.5943139255248271"/>
    <n v="3.9970531152065991"/>
    <n v="0.50537453180773095"/>
  </r>
  <r>
    <x v="41"/>
    <s v="Census Tract 110.01, King County, Washington"/>
    <n v="0.36943987798759481"/>
    <n v="0.20379363931570324"/>
    <n v="0.16564623867189157"/>
    <n v="0.36943987798759481"/>
    <n v="0.20379363931570324"/>
    <n v="0.16564623867189157"/>
    <n v="4.6642079550062533E-2"/>
    <n v="5.7417737051510369E-3"/>
    <n v="5.1125382306139375E-3"/>
    <n v="6.2923547453709993E-3"/>
    <n v="7.6924036762160475E-2"/>
    <n v="4.9945565791382311E-2"/>
    <n v="7.0788990885423749E-4"/>
    <n v="0"/>
    <n v="6.0563914424195869E-2"/>
    <n v="9.4070703443296447E-2"/>
    <n v="8.6519877748851245E-4"/>
    <n v="8.6519877748851245E-4"/>
    <n v="6.1350458767367244E-3"/>
    <n v="7.8654434317137496E-3"/>
    <n v="6.8429357855909617E-3"/>
    <n v="8.6519877748851245E-4"/>
  </r>
  <r>
    <x v="0"/>
    <s v="Census Tract 43.01, King County, Washington"/>
    <n v="3440.8950175660834"/>
    <n v="2773.300951314925"/>
    <n v="667.59406625115832"/>
    <n v="3440.8950175660834"/>
    <n v="2773.300951314925"/>
    <n v="667.59406625115832"/>
    <n v="2225.6283085629143"/>
    <n v="220.95758345512172"/>
    <n v="90.649265007229417"/>
    <n v="0"/>
    <n v="39.659053440662873"/>
    <n v="11.331158125903677"/>
    <n v="0"/>
    <n v="0"/>
    <n v="179.41000366014157"/>
    <n v="350.32163872585539"/>
    <n v="0"/>
    <n v="0"/>
    <n v="68.931211932580709"/>
    <n v="76.485317349849822"/>
    <n v="169.02310871139653"/>
    <n v="8.4983685944277578"/>
  </r>
  <r>
    <x v="1"/>
    <s v="Census Tract 43.01, King County, Washington"/>
    <n v="3.0142294312158129E-4"/>
    <n v="2.4294159822944134E-4"/>
    <n v="5.8481344892139951E-5"/>
    <n v="3.0142294312158129E-4"/>
    <n v="2.4294159822944134E-4"/>
    <n v="5.8481344892139951E-5"/>
    <n v="1.949653888412643E-4"/>
    <n v="1.9355918960057637E-5"/>
    <n v="7.9408898297672347E-6"/>
    <n v="0"/>
    <n v="3.4741393005231654E-6"/>
    <n v="9.9261122872090434E-7"/>
    <n v="0"/>
    <n v="0"/>
    <n v="1.5716344454747653E-5"/>
    <n v="3.0688230487954624E-5"/>
    <n v="0"/>
    <n v="0"/>
    <n v="6.0383849747188349E-6"/>
    <n v="6.700125793866105E-6"/>
    <n v="1.4806450828420157E-5"/>
    <n v="7.4445842154067826E-7"/>
  </r>
  <r>
    <x v="74"/>
    <s v="Census Tract 43.01, King County, Washington"/>
    <n v="203.10467728970232"/>
    <n v="163.69880274419751"/>
    <n v="39.405874545504815"/>
    <n v="203.10467728970232"/>
    <n v="163.69880274419751"/>
    <n v="39.405874545504815"/>
    <n v="131.3714940647169"/>
    <n v="13.04239694999735"/>
    <n v="5.3507269538450668"/>
    <n v="0"/>
    <n v="2.3409430423072166"/>
    <n v="0.66884086923063335"/>
    <n v="0"/>
    <n v="0"/>
    <n v="10.589980429485028"/>
    <n v="20.678330207047082"/>
    <n v="0"/>
    <n v="0"/>
    <n v="4.0687819544863526"/>
    <n v="4.5146758673067753"/>
    <n v="9.9768762993569471"/>
    <n v="0.50163065192297496"/>
  </r>
  <r>
    <x v="4"/>
    <s v="Census Tract 74.02, King County, Washington"/>
    <n v="5362"/>
    <n v="4478"/>
    <n v="884"/>
    <n v="5362"/>
    <n v="4478"/>
    <n v="884"/>
    <n v="3343"/>
    <n v="328"/>
    <n v="103"/>
    <n v="18"/>
    <n v="263"/>
    <n v="98"/>
    <n v="0"/>
    <n v="0"/>
    <n v="258"/>
    <n v="334"/>
    <n v="19"/>
    <n v="0"/>
    <n v="0"/>
    <n v="83"/>
    <n v="492"/>
    <n v="23"/>
  </r>
  <r>
    <x v="16"/>
    <s v="Census Tract 100.01, King County, Washington"/>
    <n v="1.0014868872740932E-3"/>
    <n v="6.4244119078410607E-4"/>
    <n v="3.5904569648998711E-4"/>
    <n v="1.0014868872740932E-3"/>
    <n v="6.4244119078410607E-4"/>
    <n v="3.5904569648998711E-4"/>
    <n v="3.2883245784210167E-4"/>
    <n v="1.9205314489353518E-5"/>
    <n v="3.3023772475595682E-5"/>
    <n v="1.2413191072387029E-5"/>
    <n v="1.4310301406091463E-4"/>
    <n v="1.4778723710709841E-4"/>
    <n v="5.6210676554205412E-6"/>
    <n v="0"/>
    <n v="9.8837106274477854E-5"/>
    <n v="1.7448730847034597E-4"/>
    <n v="0"/>
    <n v="0"/>
    <n v="0"/>
    <n v="0"/>
    <n v="3.3023772475595682E-5"/>
    <n v="5.1526453508021631E-6"/>
  </r>
  <r>
    <x v="83"/>
    <s v="Census Tract 100.01, King County, Washington"/>
    <n v="2796.5094931822323"/>
    <n v="1793.9255238070307"/>
    <n v="1002.5839693752016"/>
    <n v="2796.5094931822323"/>
    <n v="1793.9255238070307"/>
    <n v="1002.5839693752016"/>
    <n v="918.21780365478355"/>
    <n v="53.628105341661147"/>
    <n v="92.214181136270994"/>
    <n v="34.662068086683426"/>
    <n v="399.59478492384096"/>
    <n v="412.67481061692905"/>
    <n v="15.696030831705702"/>
    <n v="0"/>
    <n v="275.98854212415858"/>
    <n v="487.23095706753116"/>
    <n v="0"/>
    <n v="0"/>
    <n v="0"/>
    <n v="0"/>
    <n v="92.214181136270994"/>
    <n v="14.388028262396892"/>
  </r>
  <r>
    <x v="29"/>
    <s v="Census Tract 100.01, King County, Washington"/>
    <n v="528.36615984688331"/>
    <n v="338.94021900374202"/>
    <n v="189.42594084314129"/>
    <n v="528.36615984688331"/>
    <n v="338.94021900374202"/>
    <n v="189.42594084314129"/>
    <n v="173.48598887395326"/>
    <n v="10.132372569561372"/>
    <n v="17.422738198879923"/>
    <n v="6.5489725144725952"/>
    <n v="75.498532195146325"/>
    <n v="77.969842577966176"/>
    <n v="2.9655724593838166"/>
    <n v="0"/>
    <n v="52.144649077498777"/>
    <n v="92.056311760039307"/>
    <n v="0"/>
    <n v="0"/>
    <n v="0"/>
    <n v="0"/>
    <n v="17.422738198879923"/>
    <n v="2.718441421101832"/>
  </r>
  <r>
    <x v="31"/>
    <s v="Census Tract 100.01, King County, Washington"/>
    <n v="951.12327503720087"/>
    <n v="610.13356955730637"/>
    <n v="340.9897054798945"/>
    <n v="951.12327503720087"/>
    <n v="610.13356955730637"/>
    <n v="340.9897054798945"/>
    <n v="312.29585550800516"/>
    <n v="18.239501532518819"/>
    <n v="31.363045318111627"/>
    <n v="11.788946112481677"/>
    <n v="135.90652971181706"/>
    <n v="140.35518862218751"/>
    <n v="5.3383906924445323"/>
    <n v="0"/>
    <n v="93.866703008816359"/>
    <n v="165.71254441129904"/>
    <n v="0"/>
    <n v="0"/>
    <n v="0"/>
    <n v="0"/>
    <n v="31.363045318111627"/>
    <n v="4.8935248014074881"/>
  </r>
  <r>
    <x v="39"/>
    <s v="Census Tract 110.02, King County, Washington"/>
    <n v="139.52336469408851"/>
    <n v="67.861777744088641"/>
    <n v="71.661586949999872"/>
    <n v="139.52336469408851"/>
    <n v="67.861777744088641"/>
    <n v="71.661586949999872"/>
    <n v="9.8513572005105861"/>
    <n v="0.98513572005105865"/>
    <n v="1.3510432732128805"/>
    <n v="0"/>
    <n v="34.704924080655864"/>
    <n v="14.551861921897066"/>
    <n v="1.210309598919872"/>
    <n v="1.7169508263747022"/>
    <n v="17.676149491201851"/>
    <n v="53.7321168450706"/>
    <n v="0.36590755316182177"/>
    <n v="0.67552163660644027"/>
    <n v="0.75996184118224519"/>
    <n v="0"/>
    <n v="1.9421247052435155"/>
    <n v="0"/>
  </r>
  <r>
    <x v="29"/>
    <s v="Census Tract 110.02, King County, Washington"/>
    <n v="1401.3534425667121"/>
    <n v="681.59434134120295"/>
    <n v="719.7591012255092"/>
    <n v="1401.3534425667121"/>
    <n v="681.59434134120295"/>
    <n v="719.7591012255092"/>
    <n v="98.945673774127343"/>
    <n v="9.8945673774127343"/>
    <n v="13.569692403308892"/>
    <n v="0"/>
    <n v="348.57147360999716"/>
    <n v="146.15689526063954"/>
    <n v="12.156182777964217"/>
    <n v="17.24481742920505"/>
    <n v="177.53680894329133"/>
    <n v="539.67797495659738"/>
    <n v="3.6751250258961585"/>
    <n v="6.784846201654446"/>
    <n v="7.6329519768612526"/>
    <n v="0"/>
    <n v="19.506432829756534"/>
    <n v="0"/>
  </r>
  <r>
    <x v="40"/>
    <s v="Census Tract 110.02, King County, Washington"/>
    <n v="2688.8672430456186"/>
    <n v="1307.8190282394567"/>
    <n v="1381.0482148061619"/>
    <n v="2688.8672430456186"/>
    <n v="1307.8190282394567"/>
    <n v="1381.0482148061619"/>
    <n v="189.85344665442133"/>
    <n v="18.985344665442131"/>
    <n v="26.037044112606353"/>
    <n v="0"/>
    <n v="668.82657064257569"/>
    <n v="280.44066262953095"/>
    <n v="23.32485201754319"/>
    <n v="33.08874355977057"/>
    <n v="340.65132713993313"/>
    <n v="1035.514941895115"/>
    <n v="7.0516994471642205"/>
    <n v="13.018522056303176"/>
    <n v="14.645837313341072"/>
    <n v="0"/>
    <n v="37.428250911871629"/>
    <n v="0"/>
  </r>
  <r>
    <x v="43"/>
    <s v="Census Tract 110.02, King County, Washington"/>
    <n v="727.25592899162905"/>
    <n v="353.72484260617665"/>
    <n v="373.5310863854524"/>
    <n v="727.25592899162905"/>
    <n v="353.72484260617665"/>
    <n v="373.5310863854524"/>
    <n v="51.349520909233441"/>
    <n v="5.1349520909233437"/>
    <n v="7.0422200104091575"/>
    <n v="0"/>
    <n v="180.89702651738523"/>
    <n v="75.850578028781968"/>
    <n v="6.3086554259915371"/>
    <n v="8.9494879298949712"/>
    <n v="92.135711802853137"/>
    <n v="280.07495833064752"/>
    <n v="1.9072679194858135"/>
    <n v="3.5211100052045787"/>
    <n v="3.9612487558551512"/>
    <n v="0"/>
    <n v="10.123191264963165"/>
    <n v="0"/>
  </r>
  <r>
    <x v="14"/>
    <s v="Census Tract 51, King County, Washington"/>
    <n v="3678"/>
    <n v="3239"/>
    <n v="439"/>
    <n v="3678"/>
    <n v="3239"/>
    <n v="439"/>
    <n v="2817"/>
    <n v="224"/>
    <n v="90"/>
    <n v="34"/>
    <n v="29"/>
    <n v="0"/>
    <n v="5"/>
    <n v="0"/>
    <n v="139"/>
    <n v="83"/>
    <n v="0"/>
    <n v="0"/>
    <n v="53"/>
    <n v="84"/>
    <n v="106"/>
    <n v="14"/>
  </r>
  <r>
    <x v="14"/>
    <s v="Census Tract 52, King County, Washington"/>
    <n v="4087.5747732987661"/>
    <n v="2761.0432639978599"/>
    <n v="1326.5315093009062"/>
    <n v="4087.5747732987661"/>
    <n v="2761.0432639978599"/>
    <n v="1326.5315093009062"/>
    <n v="2006.3426241330117"/>
    <n v="235.6988152193295"/>
    <n v="83.597609338875486"/>
    <n v="40.057187808211168"/>
    <n v="27.865869779625164"/>
    <n v="11.030240121101627"/>
    <n v="0"/>
    <n v="0"/>
    <n v="371.54493039500215"/>
    <n v="995.62430566785736"/>
    <n v="11.030240121101627"/>
    <n v="0"/>
    <n v="28.446408733367353"/>
    <n v="11.610779074843817"/>
    <n v="232.21558149687635"/>
    <n v="32.510181409562691"/>
  </r>
  <r>
    <x v="74"/>
    <s v="Census Tract 52, King County, Washington"/>
    <n v="2946.7280382115746"/>
    <n v="1990.4329711311245"/>
    <n v="956.29506708044983"/>
    <n v="2946.7280382115746"/>
    <n v="1990.4329711311245"/>
    <n v="956.29506708044983"/>
    <n v="1446.370132091919"/>
    <n v="169.91500973070575"/>
    <n v="60.26542217049662"/>
    <n v="28.877181456696299"/>
    <n v="20.088474056832208"/>
    <n v="7.9516876474960823"/>
    <n v="0"/>
    <n v="0"/>
    <n v="267.84632075776278"/>
    <n v="717.74443765556737"/>
    <n v="7.9516876474960823"/>
    <n v="0"/>
    <n v="20.506983933016212"/>
    <n v="8.370197523680087"/>
    <n v="167.40395047360172"/>
    <n v="23.436553066304242"/>
  </r>
  <r>
    <x v="86"/>
    <s v="Census Tract 56, King County, Washington"/>
    <n v="5.1142442193839184"/>
    <n v="4.4901204521020119"/>
    <n v="0.62412376728190655"/>
    <n v="5.1142442193839184"/>
    <n v="4.4901204521020119"/>
    <n v="0.62412376728190655"/>
    <n v="4.0095674679969919"/>
    <n v="0.29011712662686956"/>
    <n v="0.13315632222105039"/>
    <n v="1.2646131160658417E-2"/>
    <n v="1.2646131160658417E-2"/>
    <n v="0"/>
    <n v="1.5621691433754515E-2"/>
    <n v="1.1902241092384393E-2"/>
    <n v="1.4877801365480491E-2"/>
    <n v="0.23209370130149565"/>
    <n v="2.1572811979946711E-2"/>
    <n v="3.0499492799235008E-2"/>
    <n v="3.7938393481975252E-2"/>
    <n v="1.6365581502028541E-2"/>
    <n v="0.24473983246215408"/>
    <n v="3.0499492799235008E-2"/>
  </r>
  <r>
    <x v="89"/>
    <s v="Census Tract 56, King County, Washington"/>
    <n v="5671.4601478950881"/>
    <n v="4979.3357749374181"/>
    <n v="692.12437295766961"/>
    <n v="5671.4601478950881"/>
    <n v="4979.3357749374181"/>
    <n v="692.12437295766961"/>
    <n v="4446.4247559497489"/>
    <n v="321.72646657150318"/>
    <n v="147.6641987597412"/>
    <n v="14.023974183886036"/>
    <n v="14.023974183886036"/>
    <n v="0"/>
    <n v="17.323732815388631"/>
    <n v="13.199034526010387"/>
    <n v="16.498793157512985"/>
    <n v="257.38117325720253"/>
    <n v="23.923250078393824"/>
    <n v="33.822525972901616"/>
    <n v="42.071922551658105"/>
    <n v="18.148672473264281"/>
    <n v="271.40514744108856"/>
    <n v="33.822525972901616"/>
  </r>
  <r>
    <x v="87"/>
    <s v="Census Tract 56, King County, Washington"/>
    <n v="1032.8245824979911"/>
    <n v="906.78242617569083"/>
    <n v="126.04215632230029"/>
    <n v="1032.8245824979911"/>
    <n v="906.78242617569083"/>
    <n v="126.04215632230029"/>
    <n v="809.73447267842505"/>
    <n v="58.589321770795131"/>
    <n v="26.890996402493151"/>
    <n v="2.5538935130859417"/>
    <n v="2.5538935130859417"/>
    <n v="0"/>
    <n v="3.1548096338120453"/>
    <n v="2.4036644829044156"/>
    <n v="3.0045806036305196"/>
    <n v="46.871457416636105"/>
    <n v="4.3566418752642528"/>
    <n v="6.1593902374425653"/>
    <n v="7.6616805392578247"/>
    <n v="3.3050386639935714"/>
    <n v="49.425350929722043"/>
    <n v="6.1593902374425653"/>
  </r>
  <r>
    <x v="78"/>
    <s v="Census Tract 56, King County, Washington"/>
    <n v="154.37065060448742"/>
    <n v="135.53181775253617"/>
    <n v="18.838832851951267"/>
    <n v="154.37065060448742"/>
    <n v="135.53181775253617"/>
    <n v="18.838832851951267"/>
    <n v="121.02659007391814"/>
    <n v="8.757025997927288"/>
    <n v="4.0192503939204727"/>
    <n v="0.38171651785836891"/>
    <n v="0.38171651785836891"/>
    <n v="0"/>
    <n v="0.47153216911916163"/>
    <n v="0.35926260504317076"/>
    <n v="0.44907825630396347"/>
    <n v="7.0056207983418295"/>
    <n v="0.65116347164074695"/>
    <n v="0.9206104254231251"/>
    <n v="1.1451495535751068"/>
    <n v="0.49398608193435978"/>
    <n v="7.387337316200199"/>
    <n v="0.9206104254231251"/>
  </r>
  <r>
    <x v="79"/>
    <s v="Census Tract 92, King County, Washington"/>
    <n v="1132.522302149614"/>
    <n v="705.8033726885709"/>
    <n v="426.71892946104316"/>
    <n v="1132.522302149614"/>
    <n v="705.8033726885709"/>
    <n v="426.71892946104316"/>
    <n v="439.35075716016746"/>
    <n v="52.895778490083053"/>
    <n v="34.737526172591856"/>
    <n v="10.263360005538503"/>
    <n v="90.791261587455992"/>
    <n v="13.816061545917217"/>
    <n v="53.290523105680691"/>
    <n v="11.447593852331407"/>
    <n v="11.842338467929043"/>
    <n v="322.11160632766996"/>
    <n v="1.578978462390539"/>
    <n v="0"/>
    <n v="20.526720011077007"/>
    <n v="3.1579569247810779"/>
    <n v="53.685267721278322"/>
    <n v="13.026572314721946"/>
  </r>
  <r>
    <x v="18"/>
    <s v="Census Tract 92, King County, Washington"/>
    <n v="39.896644293929995"/>
    <n v="24.864133843690077"/>
    <n v="15.032510450239918"/>
    <n v="39.896644293929995"/>
    <n v="24.864133843690077"/>
    <n v="15.032510450239918"/>
    <n v="15.47750613424332"/>
    <n v="1.8634194267642452"/>
    <n v="1.2237381310093551"/>
    <n v="0.36155899325276397"/>
    <n v="3.1984064787744506"/>
    <n v="0.48671402937872077"/>
    <n v="1.8773255418893515"/>
    <n v="0.4032773386280829"/>
    <n v="0.41718345375318922"/>
    <n v="11.347389942086746"/>
    <n v="5.562446050042523E-2"/>
    <n v="0"/>
    <n v="0.72311798650552794"/>
    <n v="0.11124892100085046"/>
    <n v="1.8912316570144578"/>
    <n v="0.45890179912850815"/>
  </r>
  <r>
    <x v="10"/>
    <s v="Census Tract 92, King County, Washington"/>
    <n v="1694.5470881124268"/>
    <n v="1056.0648984123454"/>
    <n v="638.48218970008134"/>
    <n v="1694.5470881124268"/>
    <n v="1056.0648984123454"/>
    <n v="638.48218970008134"/>
    <n v="657.38268005198017"/>
    <n v="79.145803348576223"/>
    <n v="51.976348467721699"/>
    <n v="15.356648410917774"/>
    <n v="135.84727440427261"/>
    <n v="20.672411322389312"/>
    <n v="79.736443672073065"/>
    <n v="17.128569381408287"/>
    <n v="17.719209704905126"/>
    <n v="481.96250397341936"/>
    <n v="2.3625612939873499"/>
    <n v="0"/>
    <n v="30.713296821835549"/>
    <n v="4.7251225879746999"/>
    <n v="80.327083995569893"/>
    <n v="19.491130675395638"/>
  </r>
  <r>
    <x v="79"/>
    <s v="Census Tract 93, King County, Washington"/>
    <n v="9.4369414608666951"/>
    <n v="7.5141425065512664"/>
    <n v="1.9227989543154278"/>
    <n v="9.4369414608666951"/>
    <n v="7.5141425065512664"/>
    <n v="1.9227989543154278"/>
    <n v="4.4440380988321584"/>
    <n v="0.29744956199354683"/>
    <n v="0.16997117828202676"/>
    <n v="0.19121757556728011"/>
    <n v="0.67988471312810705"/>
    <n v="0.46387967406136471"/>
    <n v="0.11685518506889341"/>
    <n v="0"/>
    <n v="1.0127449372637427"/>
    <n v="0.80382203062541824"/>
    <n v="0"/>
    <n v="0"/>
    <n v="0.16997117828202676"/>
    <n v="0.10623198642626673"/>
    <n v="0.9206772156943116"/>
    <n v="6.0198125641551144E-2"/>
  </r>
  <r>
    <x v="10"/>
    <s v="Census Tract 93, King County, Washington"/>
    <n v="193.71226262791885"/>
    <n v="154.24293482042918"/>
    <n v="39.469327807489655"/>
    <n v="193.71226262791885"/>
    <n v="154.24293482042918"/>
    <n v="39.469327807489655"/>
    <n v="91.222847879188805"/>
    <n v="6.1057523680094494"/>
    <n v="3.4890013531482569"/>
    <n v="3.925126522291789"/>
    <n v="13.956005412593028"/>
    <n v="9.5220661929671184"/>
    <n v="2.3986884302894267"/>
    <n v="0"/>
    <n v="20.788633062508364"/>
    <n v="16.500068899263631"/>
    <n v="0"/>
    <n v="0"/>
    <n v="3.4890013531482569"/>
    <n v="2.1806258457176604"/>
    <n v="18.898757329553057"/>
    <n v="1.2356879792400077"/>
  </r>
  <r>
    <x v="21"/>
    <s v="Census Tract 93, King County, Washington"/>
    <n v="2117.5740485025281"/>
    <n v="1686.113369952107"/>
    <n v="431.46067855042133"/>
    <n v="2117.5740485025281"/>
    <n v="1686.113369952107"/>
    <n v="431.46067855042133"/>
    <n v="997.20654066441762"/>
    <n v="66.745298339291693"/>
    <n v="38.140170479595255"/>
    <n v="42.907691789544664"/>
    <n v="152.56068191838102"/>
    <n v="104.09088193389539"/>
    <n v="26.221367204721737"/>
    <n v="0"/>
    <n v="227.25184910758838"/>
    <n v="180.3712228930859"/>
    <n v="0"/>
    <n v="0"/>
    <n v="38.140170479595255"/>
    <n v="23.837606549747036"/>
    <n v="206.59259009780763"/>
    <n v="13.507977044856652"/>
  </r>
  <r>
    <x v="39"/>
    <s v="Census Tract 93, King County, Washington"/>
    <n v="0.54619137625666181"/>
    <n v="0.43490360240774345"/>
    <n v="0.11128777384891833"/>
    <n v="0.54619137625666181"/>
    <n v="0.43490360240774345"/>
    <n v="0.11128777384891833"/>
    <n v="0.2572120739970396"/>
    <n v="1.7215788219722174E-2"/>
    <n v="9.8375932684126709E-3"/>
    <n v="1.1067292426964255E-2"/>
    <n v="3.9350373073650684E-2"/>
    <n v="2.6848431628376246E-2"/>
    <n v="6.7633453720337107E-3"/>
    <n v="0"/>
    <n v="5.8615659890958828E-2"/>
    <n v="4.6523618165201584E-2"/>
    <n v="0"/>
    <n v="0"/>
    <n v="9.8375932684126709E-3"/>
    <n v="6.1484957927579187E-3"/>
    <n v="5.3286963537235298E-2"/>
    <n v="3.4841476158961543E-3"/>
  </r>
  <r>
    <x v="83"/>
    <s v="Census Tract 93, King County, Washington"/>
    <n v="182.60411385728213"/>
    <n v="145.39809741281528"/>
    <n v="37.206016444466869"/>
    <n v="182.60411385728213"/>
    <n v="145.39809741281528"/>
    <n v="37.206016444466869"/>
    <n v="85.991805962810162"/>
    <n v="5.7556268532876915"/>
    <n v="3.2889296304501094"/>
    <n v="3.7000458342563736"/>
    <n v="13.155718521800438"/>
    <n v="8.9760371164367569"/>
    <n v="2.2611391209344505"/>
    <n v="0"/>
    <n v="19.59653904809857"/>
    <n v="15.553896377336978"/>
    <n v="0"/>
    <n v="0"/>
    <n v="3.2889296304501094"/>
    <n v="2.0555810190313184"/>
    <n v="17.815035498271428"/>
    <n v="1.1648292441177472"/>
  </r>
  <r>
    <x v="29"/>
    <s v="Census Tract 93, King County, Washington"/>
    <n v="158.38070067099227"/>
    <n v="126.11026147236231"/>
    <n v="32.270439198629944"/>
    <n v="158.38070067099227"/>
    <n v="126.11026147236231"/>
    <n v="32.270439198629944"/>
    <n v="74.584532586152079"/>
    <n v="4.9921121412245215"/>
    <n v="2.8526355092711553"/>
    <n v="3.2092149479300494"/>
    <n v="11.410542037084621"/>
    <n v="7.7853177440525272"/>
    <n v="1.9611869126239192"/>
    <n v="0"/>
    <n v="16.996953242740631"/>
    <n v="13.490588762594838"/>
    <n v="0"/>
    <n v="0"/>
    <n v="2.8526355092711553"/>
    <n v="1.7828971932944719"/>
    <n v="15.451775675218757"/>
    <n v="1.0103084095335342"/>
  </r>
  <r>
    <x v="69"/>
    <s v="Census Tract 18, King County, Washington"/>
    <n v="0.65798653996564538"/>
    <n v="0.53177053452985612"/>
    <n v="0.12621600543578923"/>
    <n v="0.65798653996564538"/>
    <n v="0.53177053452985612"/>
    <n v="0.12621600543578923"/>
    <n v="0.40702215706425049"/>
    <n v="3.5712280607800823E-2"/>
    <n v="1.5654698348625019E-2"/>
    <n v="1.5899303010322285E-3"/>
    <n v="2.0791396244267605E-3"/>
    <n v="2.0791396244267605E-3"/>
    <n v="8.0719538360097751E-3"/>
    <n v="0"/>
    <n v="3.0575582712158243E-2"/>
    <n v="6.2251886401954178E-2"/>
    <n v="1.5899303010322285E-3"/>
    <n v="0"/>
    <n v="1.1496419099771499E-2"/>
    <n v="1.1007209776376967E-2"/>
    <n v="5.5280653543582102E-2"/>
    <n v="1.3575558724198258E-2"/>
  </r>
  <r>
    <x v="64"/>
    <s v="Census Tract 18, King County, Washington"/>
    <n v="3521.756273771417"/>
    <n v="2846.2074866836656"/>
    <n v="675.54878708775141"/>
    <n v="3521.756273771417"/>
    <n v="2846.2074866836656"/>
    <n v="675.54878708775141"/>
    <n v="2178.5139180504229"/>
    <n v="191.1436490597126"/>
    <n v="83.788996848093191"/>
    <n v="8.5098199923844646"/>
    <n v="11.128226143887376"/>
    <n v="11.128226143887376"/>
    <n v="43.203701499798051"/>
    <n v="0"/>
    <n v="163.650384468932"/>
    <n v="333.19218277874558"/>
    <n v="8.5098199923844646"/>
    <n v="0"/>
    <n v="61.532544560318435"/>
    <n v="58.914138408815525"/>
    <n v="295.87989511982909"/>
    <n v="72.660770704205817"/>
  </r>
  <r>
    <x v="65"/>
    <s v="Census Tract 18, King County, Washington"/>
    <n v="1857.5857339837628"/>
    <n v="1501.2607381712639"/>
    <n v="356.32499581249874"/>
    <n v="1857.5857339837628"/>
    <n v="1501.2607381712639"/>
    <n v="356.32499581249874"/>
    <n v="1149.0790562635618"/>
    <n v="100.82063835004809"/>
    <n v="44.1953483178293"/>
    <n v="4.4885900635295384"/>
    <n v="5.8696946984617036"/>
    <n v="5.8696946984617036"/>
    <n v="22.788226476380732"/>
    <n v="0"/>
    <n v="86.319039683260357"/>
    <n v="175.74556479511807"/>
    <n v="4.4885900635295384"/>
    <n v="0"/>
    <n v="32.455958920905893"/>
    <n v="31.074854285973725"/>
    <n v="156.06482374733471"/>
    <n v="38.325653619367593"/>
  </r>
  <r>
    <x v="6"/>
    <s v="Census Tract 19, King County, Washington"/>
    <n v="0.7775867254729113"/>
    <n v="0.62327393172195467"/>
    <n v="0.15431279375095666"/>
    <n v="0.7775867254729113"/>
    <n v="0.62327393172195467"/>
    <n v="0.15431279375095666"/>
    <n v="0.52723537864910186"/>
    <n v="3.3369327762601389E-2"/>
    <n v="1.8231047362982221E-2"/>
    <n v="8.3016376385008327E-3"/>
    <n v="6.0227567181280551E-3"/>
    <n v="1.2208290644854165E-2"/>
    <n v="1.3022176687844443E-3"/>
    <n v="0"/>
    <n v="3.6787649143160552E-2"/>
    <n v="9.0666905189116936E-2"/>
    <n v="2.1161037117747219E-3"/>
    <n v="0"/>
    <n v="1.4649948773824998E-3"/>
    <n v="1.4649948773824998E-3"/>
    <n v="3.0113783590640274E-2"/>
    <n v="8.3016376385008327E-3"/>
  </r>
  <r>
    <x v="64"/>
    <s v="Census Tract 19, King County, Washington"/>
    <n v="1453.2604328761256"/>
    <n v="1164.859576613499"/>
    <n v="288.40085626262658"/>
    <n v="1453.2604328761256"/>
    <n v="1164.859576613499"/>
    <n v="288.40085626262658"/>
    <n v="985.36959223064071"/>
    <n v="62.365164065230431"/>
    <n v="34.072675001491746"/>
    <n v="15.515235938179277"/>
    <n v="11.256151562992809"/>
    <n v="22.816523438498937"/>
    <n v="2.4337625001065533"/>
    <n v="0"/>
    <n v="68.753790628010137"/>
    <n v="169.45071406991877"/>
    <n v="3.954864062673149"/>
    <n v="0"/>
    <n v="2.7379828126198724"/>
    <n v="2.7379828126198724"/>
    <n v="56.280757814964048"/>
    <n v="15.515235938179277"/>
  </r>
  <r>
    <x v="63"/>
    <s v="Census Tract 19, King County, Washington"/>
    <n v="3322.961980398401"/>
    <n v="2663.5171494547785"/>
    <n v="659.44483094362238"/>
    <n v="3322.961980398401"/>
    <n v="2663.5171494547785"/>
    <n v="659.44483094362238"/>
    <n v="2253.1031723907099"/>
    <n v="142.60146660700696"/>
    <n v="77.909093951145266"/>
    <n v="35.476462424182216"/>
    <n v="25.73782568028906"/>
    <n v="52.171268270856203"/>
    <n v="5.5649352822246616"/>
    <n v="0"/>
    <n v="157.20942172284668"/>
    <n v="387.45861902489207"/>
    <n v="9.0430198336150749"/>
    <n v="0"/>
    <n v="6.2605521925027441"/>
    <n v="6.2605521925027441"/>
    <n v="128.68912840144529"/>
    <n v="35.476462424182216"/>
  </r>
  <r>
    <x v="6"/>
    <s v="Census Tract 20, King County, Washington"/>
    <n v="179.49556076354287"/>
    <n v="157.79984668069199"/>
    <n v="21.695714082850881"/>
    <n v="179.49556076354287"/>
    <n v="157.79984668069199"/>
    <n v="21.695714082850881"/>
    <n v="138.3160600639886"/>
    <n v="10.400765319544565"/>
    <n v="2.2589897526612632"/>
    <n v="0"/>
    <n v="0"/>
    <n v="0.18824914605510526"/>
    <n v="0.14118685954132895"/>
    <n v="0"/>
    <n v="4.9886023704602893"/>
    <n v="11.012575044223658"/>
    <n v="0"/>
    <n v="0"/>
    <n v="2.9178617638541313"/>
    <n v="0"/>
    <n v="9.1771458701863811"/>
    <n v="9.412457302755263E-2"/>
  </r>
  <r>
    <x v="2"/>
    <s v="Census Tract 20, King County, Washington"/>
    <n v="1.1507106289614735"/>
    <n v="1.0116236861320977"/>
    <n v="0.13908694282937578"/>
    <n v="1.1507106289614735"/>
    <n v="1.0116236861320977"/>
    <n v="0.13908694282937578"/>
    <n v="0.88671697391656279"/>
    <n v="6.6677254588486015E-2"/>
    <n v="1.4481937648177956E-2"/>
    <n v="0"/>
    <n v="0"/>
    <n v="1.2068281373481631E-3"/>
    <n v="9.0512110301112225E-4"/>
    <n v="0"/>
    <n v="3.1980945639726324E-2"/>
    <n v="7.0599446034867536E-2"/>
    <n v="0"/>
    <n v="0"/>
    <n v="1.8705836128896529E-2"/>
    <n v="0"/>
    <n v="5.8832871695722953E-2"/>
    <n v="6.0341406867408154E-4"/>
  </r>
  <r>
    <x v="60"/>
    <s v="Census Tract 20, King County, Washington"/>
    <n v="69.889346826529888"/>
    <n v="61.441788125158553"/>
    <n v="8.4475587013713369"/>
    <n v="69.889346826529888"/>
    <n v="61.441788125158553"/>
    <n v="8.4475587013713369"/>
    <n v="53.855477274035486"/>
    <n v="4.0496973384014439"/>
    <n v="0.87957227259397874"/>
    <n v="0"/>
    <n v="0"/>
    <n v="7.3297689382831557E-2"/>
    <n v="5.4973267037123671E-2"/>
    <n v="0"/>
    <n v="1.9423887686450363"/>
    <n v="4.2879148288956461"/>
    <n v="0"/>
    <n v="0"/>
    <n v="1.1361141854338892"/>
    <n v="0"/>
    <n v="3.5732623574130384"/>
    <n v="3.6648844691415779E-2"/>
  </r>
  <r>
    <x v="61"/>
    <s v="Census Tract 20, King County, Washington"/>
    <n v="0.47501216019159576"/>
    <n v="0.41759721371851616"/>
    <n v="5.7414946473079612E-2"/>
    <n v="0.47501216019159576"/>
    <n v="0.41759721371851616"/>
    <n v="5.7414946473079612E-2"/>
    <n v="0.36603585180993703"/>
    <n v="2.7524301888396083E-2"/>
    <n v="5.9781289169367063E-3"/>
    <n v="0"/>
    <n v="0"/>
    <n v="4.9817740974472549E-4"/>
    <n v="3.7363305730854415E-4"/>
    <n v="0"/>
    <n v="1.3201701358235226E-2"/>
    <n v="2.9143378470066442E-2"/>
    <n v="0"/>
    <n v="0"/>
    <n v="7.7217498510432454E-3"/>
    <n v="0"/>
    <n v="2.4286148725055367E-2"/>
    <n v="2.4908870487236275E-4"/>
  </r>
  <r>
    <x v="63"/>
    <s v="Census Tract 20, King County, Washington"/>
    <n v="3562.989362684772"/>
    <n v="3132.3291381966542"/>
    <n v="430.66022448811742"/>
    <n v="3562.989362684772"/>
    <n v="3132.3291381966542"/>
    <n v="430.66022448811742"/>
    <n v="2745.5757044914903"/>
    <n v="206.45533538367451"/>
    <n v="44.840977820888583"/>
    <n v="0"/>
    <n v="0"/>
    <n v="3.7367481517407151"/>
    <n v="2.8025611138055364"/>
    <n v="0"/>
    <n v="99.023826021128954"/>
    <n v="218.59976687683184"/>
    <n v="0"/>
    <n v="0"/>
    <n v="57.919596351981085"/>
    <n v="0"/>
    <n v="182.16647239735985"/>
    <n v="1.8683740758703575"/>
  </r>
  <r>
    <x v="0"/>
    <s v="Census Tract 21, King County, Washington"/>
    <n v="0.60620839499016843"/>
    <n v="0.5036857400654654"/>
    <n v="0.10252265492470307"/>
    <n v="0.60620839499016843"/>
    <n v="0.5036857400654654"/>
    <n v="0.10252265492470307"/>
    <n v="0.43456934348701387"/>
    <n v="3.2542303389020921E-2"/>
    <n v="1.1807384415485466E-2"/>
    <n v="3.0238423503072534E-3"/>
    <n v="2.1598873930766095E-3"/>
    <n v="0"/>
    <n v="8.6395495723064382E-4"/>
    <n v="0"/>
    <n v="3.6862078175174139E-2"/>
    <n v="5.2557259898197504E-2"/>
    <n v="0"/>
    <n v="0"/>
    <n v="7.487609629332247E-3"/>
    <n v="8.4955570794346645E-3"/>
    <n v="9.9354820081524048E-3"/>
    <n v="5.9036922077427331E-3"/>
  </r>
  <r>
    <x v="6"/>
    <s v="Census Tract 21, King County, Washington"/>
    <n v="3.0585286512877684E-2"/>
    <n v="2.5412667986234237E-2"/>
    <n v="5.1726185266434462E-3"/>
    <n v="3.0585286512877684E-2"/>
    <n v="2.5412667986234237E-2"/>
    <n v="5.1726185266434462E-3"/>
    <n v="2.192550942894652E-2"/>
    <n v="1.6418704873896333E-3"/>
    <n v="5.957229202033183E-4"/>
    <n v="1.5256318688133762E-4"/>
    <n v="1.0897370491524114E-4"/>
    <n v="0"/>
    <n v="4.358948196609646E-5"/>
    <n v="0"/>
    <n v="1.8598178972201156E-3"/>
    <n v="2.6516934862708679E-3"/>
    <n v="0"/>
    <n v="0"/>
    <n v="3.7777551037283601E-4"/>
    <n v="4.2862990599994854E-4"/>
    <n v="5.0127904261010933E-4"/>
    <n v="2.9786146010165915E-4"/>
  </r>
  <r>
    <x v="2"/>
    <s v="Census Tract 21, King County, Washington"/>
    <n v="2949.5106379497252"/>
    <n v="2450.6860359971824"/>
    <n v="498.82460195254259"/>
    <n v="2949.5106379497252"/>
    <n v="2450.6860359971824"/>
    <n v="498.82460195254259"/>
    <n v="2114.3997874898505"/>
    <n v="158.33477533886887"/>
    <n v="57.448900786669235"/>
    <n v="14.712523372195779"/>
    <n v="10.508945265854127"/>
    <n v="0"/>
    <n v="4.2035781063416513"/>
    <n v="0"/>
    <n v="179.35266587057711"/>
    <n v="255.71766813578378"/>
    <n v="0"/>
    <n v="0"/>
    <n v="36.431010254960974"/>
    <n v="41.33518471235957"/>
    <n v="48.341148222928986"/>
    <n v="28.724450393334617"/>
  </r>
  <r>
    <x v="61"/>
    <s v="Census Tract 21, King County, Washington"/>
    <n v="1259.3569942314366"/>
    <n v="1046.3731035205617"/>
    <n v="212.98389071087479"/>
    <n v="1259.3569942314366"/>
    <n v="1046.3731035205617"/>
    <n v="212.98389071087479"/>
    <n v="902.7884580975001"/>
    <n v="67.604437220024863"/>
    <n v="24.529043593106366"/>
    <n v="6.2818282372589476"/>
    <n v="4.4870201694706768"/>
    <n v="0"/>
    <n v="1.7948080677882707"/>
    <n v="0"/>
    <n v="76.578477558966213"/>
    <n v="109.1841574571198"/>
    <n v="0"/>
    <n v="0"/>
    <n v="15.555003254165012"/>
    <n v="17.648945999917995"/>
    <n v="20.640292779565112"/>
    <n v="12.264521796553183"/>
  </r>
  <r>
    <x v="63"/>
    <s v="Census Tract 21, King County, Washington"/>
    <n v="0.49557413733476635"/>
    <n v="0.41176207420356598"/>
    <n v="8.381206313120039E-2"/>
    <n v="0.49557413733476635"/>
    <n v="0.41176207420356598"/>
    <n v="8.381206313120039E-2"/>
    <n v="0.35525955973309375"/>
    <n v="2.6603267229847315E-2"/>
    <n v="9.6525128887056631E-3"/>
    <n v="2.4719850080831577E-3"/>
    <n v="1.7657035772022554E-3"/>
    <n v="0"/>
    <n v="7.0628143088090215E-4"/>
    <n v="0"/>
    <n v="3.0134674384251825E-2"/>
    <n v="4.296545371192155E-2"/>
    <n v="0"/>
    <n v="0"/>
    <n v="6.121105734301152E-3"/>
    <n v="6.9451007369955376E-3"/>
    <n v="8.1222364551303741E-3"/>
    <n v="4.8262564443528316E-3"/>
  </r>
  <r>
    <x v="70"/>
    <s v="Census Tract 24, King County, Washington"/>
    <n v="2.3385887583105442"/>
    <n v="2.0297185449487745"/>
    <n v="0.30887021336177001"/>
    <n v="2.3385887583105442"/>
    <n v="2.0297185449487745"/>
    <n v="0.30887021336177001"/>
    <n v="1.7782099426399045"/>
    <n v="0.12281268007479902"/>
    <n v="2.9416210796359046E-2"/>
    <n v="7.3540526990897616E-3"/>
    <n v="8.0894579689987384E-3"/>
    <n v="0"/>
    <n v="0"/>
    <n v="0"/>
    <n v="4.7801342544083456E-2"/>
    <n v="0.15664132249061194"/>
    <n v="5.8832421592718096E-3"/>
    <n v="0"/>
    <n v="1.8385131747724406E-2"/>
    <n v="1.6178915937997477E-2"/>
    <n v="0.1419332170924324"/>
    <n v="5.8832421592718096E-3"/>
  </r>
  <r>
    <x v="0"/>
    <s v="Census Tract 24, King County, Washington"/>
    <n v="0.13331053946008534"/>
    <n v="0.11570348707856462"/>
    <n v="1.7607052381520705E-2"/>
    <n v="0.13331053946008534"/>
    <n v="0.11570348707856462"/>
    <n v="1.7607052381520705E-2"/>
    <n v="0.10136631585361205"/>
    <n v="7.0008993993189465E-3"/>
    <n v="1.6768621315734005E-3"/>
    <n v="4.1921553289335012E-4"/>
    <n v="4.6113708618268509E-4"/>
    <n v="0"/>
    <n v="0"/>
    <n v="0"/>
    <n v="2.7249009638067754E-3"/>
    <n v="8.9292908506283571E-3"/>
    <n v="3.3537242631468008E-4"/>
    <n v="0"/>
    <n v="1.0480388322333751E-3"/>
    <n v="9.2227417236537019E-4"/>
    <n v="8.0908597848416575E-3"/>
    <n v="3.3537242631468008E-4"/>
  </r>
  <r>
    <x v="1"/>
    <s v="Census Tract 24, King County, Washington"/>
    <n v="0.1006787205815142"/>
    <n v="8.738153107074817E-2"/>
    <n v="1.3297189510766026E-2"/>
    <n v="0.1006787205815142"/>
    <n v="8.738153107074817E-2"/>
    <n v="1.3297189510766026E-2"/>
    <n v="7.6553819611981544E-2"/>
    <n v="5.2872158292807774E-3"/>
    <n v="1.2663990010253357E-3"/>
    <n v="3.1659975025633393E-4"/>
    <n v="3.4825972528196737E-4"/>
    <n v="0"/>
    <n v="0"/>
    <n v="0"/>
    <n v="2.0578983766661708E-3"/>
    <n v="6.7435746804599137E-3"/>
    <n v="2.5327980020506716E-4"/>
    <n v="0"/>
    <n v="7.9149937564083493E-4"/>
    <n v="6.9651945056393473E-4"/>
    <n v="6.110375179947245E-3"/>
    <n v="2.5327980020506716E-4"/>
  </r>
  <r>
    <x v="2"/>
    <s v="Census Tract 24, King County, Washington"/>
    <n v="3177.427421981648"/>
    <n v="2757.7671964369019"/>
    <n v="419.66022554474597"/>
    <n v="3177.427421981648"/>
    <n v="2757.7671964369019"/>
    <n v="419.66022554474597"/>
    <n v="2416.0438699218944"/>
    <n v="166.8648992046966"/>
    <n v="39.967640528071044"/>
    <n v="9.991910132017761"/>
    <n v="10.991101145219536"/>
    <n v="0"/>
    <n v="0"/>
    <n v="0"/>
    <n v="64.947415858115448"/>
    <n v="212.82768581197831"/>
    <n v="7.9935281056142085"/>
    <n v="0"/>
    <n v="24.979775330044401"/>
    <n v="21.982202290439073"/>
    <n v="192.84386554794278"/>
    <n v="7.9935281056142085"/>
  </r>
  <r>
    <x v="0"/>
    <s v="Census Tract 26, King County, Washington"/>
    <n v="1330.973348955559"/>
    <n v="1152.1427073254899"/>
    <n v="178.83064163006918"/>
    <n v="1330.973348955559"/>
    <n v="1152.1427073254899"/>
    <n v="178.83064163006918"/>
    <n v="999.87367570223978"/>
    <n v="76.528995168161956"/>
    <n v="21.301885252993536"/>
    <n v="12.623339409181355"/>
    <n v="12.623339409181355"/>
    <n v="2.629862376912782"/>
    <n v="0"/>
    <n v="0"/>
    <n v="23.931747629906319"/>
    <n v="79.684830020457298"/>
    <n v="0"/>
    <n v="0"/>
    <n v="23.405775154523759"/>
    <n v="3.1558348522953388"/>
    <n v="71.006284176645124"/>
    <n v="4.2077798030604514"/>
  </r>
  <r>
    <x v="6"/>
    <s v="Census Tract 26, King County, Washington"/>
    <n v="3730.0266468673594"/>
    <n v="3228.8572890586647"/>
    <n v="501.16935780869483"/>
    <n v="3730.0266468673594"/>
    <n v="3228.8572890586647"/>
    <n v="501.16935780869483"/>
    <n v="2802.1263211597907"/>
    <n v="214.47100459166205"/>
    <n v="59.698114680153353"/>
    <n v="35.376660551201986"/>
    <n v="35.376660551201986"/>
    <n v="7.3701376148337472"/>
    <n v="0"/>
    <n v="0"/>
    <n v="67.068252294987104"/>
    <n v="223.31516972946255"/>
    <n v="0"/>
    <n v="0"/>
    <n v="65.594224772020354"/>
    <n v="8.8441651378004966"/>
    <n v="198.99371560051117"/>
    <n v="11.792220183733995"/>
  </r>
  <r>
    <x v="75"/>
    <s v="Census Tract 29, King County, Washington"/>
    <n v="1.9544738092016396"/>
    <n v="1.7731988353296493"/>
    <n v="0.18127497387199018"/>
    <n v="1.9544738092016396"/>
    <n v="1.7731988353296493"/>
    <n v="0.18127497387199018"/>
    <n v="1.5783282384172599"/>
    <n v="0.10382112139941256"/>
    <n v="4.1198857698179582E-2"/>
    <n v="9.0637486935995094E-3"/>
    <n v="0"/>
    <n v="0"/>
    <n v="4.1198857698179585E-4"/>
    <n v="0"/>
    <n v="4.7790674929888317E-2"/>
    <n v="6.5094195163123744E-2"/>
    <n v="4.9438629237815498E-3"/>
    <n v="0"/>
    <n v="3.3783063312507258E-2"/>
    <n v="0"/>
    <n v="6.6742149471050921E-2"/>
    <n v="3.2959086158543668E-3"/>
  </r>
  <r>
    <x v="68"/>
    <s v="Census Tract 29, King County, Washington"/>
    <n v="1588.0674440305481"/>
    <n v="1440.7761971137181"/>
    <n v="147.29124691682992"/>
    <n v="1588.0674440305481"/>
    <n v="1440.7761971137181"/>
    <n v="147.29124691682992"/>
    <n v="1282.4381066781261"/>
    <n v="84.357714143275317"/>
    <n v="33.475283390188622"/>
    <n v="7.3645623458414962"/>
    <n v="0"/>
    <n v="0"/>
    <n v="0.3347528339018862"/>
    <n v="0"/>
    <n v="38.8313287326188"/>
    <n v="52.890947756498022"/>
    <n v="4.0170340068226347"/>
    <n v="0"/>
    <n v="27.449732379954668"/>
    <n v="0"/>
    <n v="54.229959092105567"/>
    <n v="2.6780226712150896"/>
  </r>
  <r>
    <x v="65"/>
    <s v="Census Tract 29, King County, Washington"/>
    <n v="3153.9780917809489"/>
    <n v="2861.4506127793429"/>
    <n v="292.52747900160568"/>
    <n v="3153.9780917809489"/>
    <n v="2861.4506127793429"/>
    <n v="292.52747900160568"/>
    <n v="2546.9835728526168"/>
    <n v="167.53846524637419"/>
    <n v="66.483517954910383"/>
    <n v="14.626373950080286"/>
    <n v="0"/>
    <n v="0"/>
    <n v="0.66483517954910387"/>
    <n v="0"/>
    <n v="77.120880827696055"/>
    <n v="105.04395836875841"/>
    <n v="7.9780221545892465"/>
    <n v="0"/>
    <n v="54.516484723026515"/>
    <n v="0"/>
    <n v="107.70329908695483"/>
    <n v="5.318681436392831"/>
  </r>
  <r>
    <x v="16"/>
    <s v="Census Tract 94, King County, Washington"/>
    <n v="1381.4353348954912"/>
    <n v="809.55301384606958"/>
    <n v="571.88232104942153"/>
    <n v="1381.4353348954912"/>
    <n v="809.55301384606958"/>
    <n v="571.88232104942153"/>
    <n v="371.43715844983893"/>
    <n v="28.839559108715466"/>
    <n v="41.725319561545781"/>
    <n v="23.112554463013105"/>
    <n v="97.768150737347469"/>
    <n v="33.748420233603206"/>
    <n v="26.180592666067941"/>
    <n v="0"/>
    <n v="98.381758377958434"/>
    <n v="328.68915948727488"/>
    <n v="3.068038203054837"/>
    <n v="0"/>
    <n v="47.656860087451797"/>
    <n v="155.03819719437109"/>
    <n v="123.33513576280444"/>
    <n v="2.4544305624438696"/>
  </r>
  <r>
    <x v="79"/>
    <s v="Census Tract 94, King County, Washingt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"/>
    <s v="Census Tract 94, King County, Washington"/>
    <n v="5372.5646651045081"/>
    <n v="3148.4469861539301"/>
    <n v="2224.117678950578"/>
    <n v="5372.5646651045081"/>
    <n v="3148.4469861539301"/>
    <n v="2224.117678950578"/>
    <n v="1444.562841550161"/>
    <n v="112.16044089128452"/>
    <n v="162.2746804384542"/>
    <n v="89.887445536986888"/>
    <n v="380.23184926265247"/>
    <n v="131.25157976639679"/>
    <n v="101.81940733393205"/>
    <n v="0"/>
    <n v="382.61824162204152"/>
    <n v="1278.310840512725"/>
    <n v="11.931961796945162"/>
    <n v="0"/>
    <n v="185.34313991254817"/>
    <n v="602.96180280562885"/>
    <n v="479.6648642371955"/>
    <n v="9.5455694375561286"/>
  </r>
  <r>
    <x v="82"/>
    <s v="Census Tract 95, King County, Washington"/>
    <n v="138.83677401663027"/>
    <n v="118.64309748140221"/>
    <n v="20.193676535228047"/>
    <n v="138.83677401663027"/>
    <n v="118.64309748140221"/>
    <n v="20.193676535228047"/>
    <n v="83.545564043874876"/>
    <n v="4.6600792004372416"/>
    <n v="1.5113770379796461"/>
    <n v="0.96560199648699607"/>
    <n v="21.411174704711652"/>
    <n v="3.4845637264530729"/>
    <n v="0.25189617299660766"/>
    <n v="0"/>
    <n v="5.0379234599321538"/>
    <n v="7.6408505808970997"/>
    <n v="0"/>
    <n v="0"/>
    <n v="1.2174981694836038"/>
    <n v="0.46180965049378075"/>
    <n v="5.6676638924236729"/>
    <n v="2.9807713804598577"/>
  </r>
  <r>
    <x v="16"/>
    <s v="Census Tract 95, King County, Washington"/>
    <n v="1277.6548507965056"/>
    <n v="1091.821169746273"/>
    <n v="185.83368105023257"/>
    <n v="1277.6548507965056"/>
    <n v="1091.821169746273"/>
    <n v="185.83368105023257"/>
    <n v="768.83373241156517"/>
    <n v="42.88469562697675"/>
    <n v="13.908549933073541"/>
    <n v="8.8860180127969848"/>
    <n v="197.03779071854183"/>
    <n v="32.066934567919553"/>
    <n v="2.3180916555122568"/>
    <n v="0"/>
    <n v="46.361833110245136"/>
    <n v="70.315446883871786"/>
    <n v="0"/>
    <n v="0"/>
    <n v="11.204109668309242"/>
    <n v="4.2498347017724702"/>
    <n v="52.157062249025778"/>
    <n v="27.430751256895039"/>
  </r>
  <r>
    <x v="83"/>
    <s v="Census Tract 95, King County, Washington"/>
    <n v="1.1956447737487734"/>
    <n v="1.0217393802884891"/>
    <n v="0.17390539346028425"/>
    <n v="1.1956447737487734"/>
    <n v="1.0217393802884891"/>
    <n v="0.17390539346028425"/>
    <n v="0.71948385236167489"/>
    <n v="4.0132013875450206E-2"/>
    <n v="1.3015788283929797E-2"/>
    <n v="8.3156425147329262E-3"/>
    <n v="0.18439033402233879"/>
    <n v="3.0008622987949256E-2"/>
    <n v="2.1692980473216328E-3"/>
    <n v="0"/>
    <n v="4.3385960946432656E-2"/>
    <n v="6.5802040768756204E-2"/>
    <n v="0"/>
    <n v="0"/>
    <n v="1.0484940562054559E-2"/>
    <n v="3.9770464200896607E-3"/>
    <n v="4.8809206064736738E-2"/>
    <n v="2.567002689330599E-2"/>
  </r>
  <r>
    <x v="30"/>
    <s v="Census Tract 95, King County, Washington"/>
    <n v="5003.589512415514"/>
    <n v="4275.822183878513"/>
    <n v="727.76732853700094"/>
    <n v="5003.589512415514"/>
    <n v="4275.822183878513"/>
    <n v="727.76732853700094"/>
    <n v="3010.929280225846"/>
    <n v="167.94630658546177"/>
    <n v="54.469072406095705"/>
    <n v="34.799685148338924"/>
    <n v="771.64519241968912"/>
    <n v="125.58147249183176"/>
    <n v="9.0781787343492848"/>
    <n v="0"/>
    <n v="181.56357468698567"/>
    <n v="275.37142160859497"/>
    <n v="0"/>
    <n v="0"/>
    <n v="43.87786388268821"/>
    <n v="16.643327679640354"/>
    <n v="204.25902152285889"/>
    <n v="107.4251150231332"/>
  </r>
  <r>
    <x v="31"/>
    <s v="Census Tract 95, King County, Washington"/>
    <n v="138.11441425296169"/>
    <n v="118.02580425729354"/>
    <n v="20.088609995668151"/>
    <n v="138.11441425296169"/>
    <n v="118.02580425729354"/>
    <n v="20.088609995668151"/>
    <n v="83.110881271059498"/>
    <n v="4.6358330759234194"/>
    <n v="1.503513430029217"/>
    <n v="0.96057802474088871"/>
    <n v="21.299773592080577"/>
    <n v="3.4664337414562505"/>
    <n v="0.25058557167153617"/>
    <n v="0"/>
    <n v="5.0117114334307233"/>
    <n v="7.6010956740365971"/>
    <n v="0"/>
    <n v="0"/>
    <n v="1.2111635964124248"/>
    <n v="0.45940688139781632"/>
    <n v="5.6381753626095641"/>
    <n v="2.9652625981131782"/>
  </r>
  <r>
    <x v="32"/>
    <s v="Census Tract 95, King County, Washington"/>
    <n v="53.818323435278607"/>
    <n v="45.990499554913015"/>
    <n v="7.8278238803655906"/>
    <n v="53.818323435278607"/>
    <n v="45.990499554913015"/>
    <n v="7.8278238803655906"/>
    <n v="32.38538362147095"/>
    <n v="1.8064208954689827"/>
    <n v="0.58586623636831869"/>
    <n v="0.37430342879087025"/>
    <n v="8.2997716818845149"/>
    <n v="1.3507471560714013"/>
    <n v="9.7644372728053111E-2"/>
    <n v="0"/>
    <n v="1.9528874545610622"/>
    <n v="2.9618793060842776"/>
    <n v="0"/>
    <n v="0"/>
    <n v="0.47194780151892335"/>
    <n v="0.17901468333476403"/>
    <n v="2.1969983863811948"/>
    <n v="1.155458410615295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x v="0"/>
    <s v="Census Tract 28, King County, Washington"/>
    <n v="1398.7924050289255"/>
    <n v="1261.2929625686152"/>
    <n v="137.49944246031023"/>
    <n v="1398.7924050289255"/>
    <n v="1261.2929625686152"/>
    <n v="137.49944246031023"/>
    <n v="1148.2525555459563"/>
    <n v="60.486533582299941"/>
    <n v="28.755893014536039"/>
    <n v="12.890572730654085"/>
    <n v="22.806397908080307"/>
    <n v="2.6442200473136586"/>
    <n v="3.3052750591420734"/>
    <n v="0"/>
    <n v="23.136925413994511"/>
    <n v="57.511786029072077"/>
    <n v="0"/>
    <n v="0"/>
    <n v="2.3136925413994511"/>
    <n v="0"/>
    <n v="32.722223085506528"/>
    <n v="3.9663300709704878"/>
  </r>
  <r>
    <x v="1"/>
    <s v="Census Tract 28, King County, Washington"/>
    <n v="10.173970734026266"/>
    <n v="9.1738828735926816"/>
    <n v="1.0000878604335837"/>
    <n v="10.173970734026266"/>
    <n v="9.1738828735926816"/>
    <n v="1.0000878604335837"/>
    <n v="8.3516952575631489"/>
    <n v="0.43994249629650439"/>
    <n v="0.20915299004260046"/>
    <n v="9.3758236915648482E-2"/>
    <n v="0.16587995761999347"/>
    <n v="1.9232458854491995E-2"/>
    <n v="2.4040573568114995E-2"/>
    <n v="0"/>
    <n v="0.16828401497680495"/>
    <n v="0.41830598008520092"/>
    <n v="0"/>
    <n v="0"/>
    <n v="1.6828401497680497E-2"/>
    <n v="0"/>
    <n v="0.23800167832433844"/>
    <n v="2.8848688281737991E-2"/>
  </r>
  <r>
    <x v="2"/>
    <s v="Census Tract 28, King County, Washington"/>
    <n v="2823.0336199335638"/>
    <n v="2545.5331506773346"/>
    <n v="277.50046925622934"/>
    <n v="2823.0336199335638"/>
    <n v="2545.5331506773346"/>
    <n v="277.50046925622934"/>
    <n v="2317.3957456637995"/>
    <n v="122.07352373531242"/>
    <n v="58.034953906951806"/>
    <n v="26.015668992771499"/>
    <n v="46.027722064134188"/>
    <n v="5.3365474856967179"/>
    <n v="6.6706843571208978"/>
    <n v="0"/>
    <n v="46.694790499846285"/>
    <n v="116.06990781390361"/>
    <n v="0"/>
    <n v="0"/>
    <n v="4.6694790499846279"/>
    <n v="0"/>
    <n v="66.039775135496882"/>
    <n v="8.0048212285450759"/>
  </r>
  <r>
    <x v="0"/>
    <s v="Census Tract 27, King County, Washington"/>
    <n v="1.7408407541608037E-2"/>
    <n v="1.5858802176787576E-2"/>
    <n v="1.5496053648204604E-3"/>
    <n v="1.7408407541608037E-2"/>
    <n v="1.5858802176787576E-2"/>
    <n v="1.5496053648204604E-3"/>
    <n v="1.410140881986619E-2"/>
    <n v="8.3467379877829348E-4"/>
    <n v="6.6914777117247157E-5"/>
    <n v="0"/>
    <n v="2.5004995659602886E-4"/>
    <n v="0"/>
    <n v="3.2753022483705184E-4"/>
    <n v="0"/>
    <n v="4.3670696644940247E-4"/>
    <n v="5.2827455618879328E-4"/>
    <n v="0"/>
    <n v="0"/>
    <n v="7.395843786643106E-5"/>
    <n v="1.2326406311071844E-4"/>
    <n v="6.0223299405522438E-4"/>
    <n v="6.3392946742655198E-5"/>
  </r>
  <r>
    <x v="1"/>
    <s v="Census Tract 27, King County, Washington"/>
    <n v="3366.8992088626255"/>
    <n v="3067.195455696622"/>
    <n v="299.70375316600348"/>
    <n v="3366.8992088626255"/>
    <n v="3067.195455696622"/>
    <n v="299.70375316600348"/>
    <n v="2727.3041538106318"/>
    <n v="161.43133977350641"/>
    <n v="12.941752977622878"/>
    <n v="0"/>
    <n v="48.361287442696018"/>
    <n v="0"/>
    <n v="63.346475100996187"/>
    <n v="0"/>
    <n v="84.461966801328245"/>
    <n v="102.17173403386482"/>
    <n v="0"/>
    <n v="0"/>
    <n v="14.304042764741075"/>
    <n v="23.840071274568459"/>
    <n v="116.47577679860589"/>
    <n v="12.260608084063778"/>
  </r>
  <r>
    <x v="3"/>
    <s v="Census Tract 27, King County, Washington"/>
    <n v="1548.9170401677684"/>
    <n v="1411.040548629468"/>
    <n v="137.87649153830023"/>
    <n v="1548.9170401677684"/>
    <n v="1411.040548629468"/>
    <n v="137.87649153830023"/>
    <n v="1254.6760729985322"/>
    <n v="74.265292033129896"/>
    <n v="5.9537575891538737"/>
    <n v="0"/>
    <n v="22.248252043680267"/>
    <n v="0"/>
    <n v="29.142076620595279"/>
    <n v="0"/>
    <n v="38.856102160793704"/>
    <n v="47.003349388056897"/>
    <n v="0"/>
    <n v="0"/>
    <n v="6.580468914327966"/>
    <n v="10.967448190546611"/>
    <n v="53.583818302384863"/>
    <n v="5.6404019265668284"/>
  </r>
  <r>
    <x v="4"/>
    <s v="Census Tract 27, King County, Washington"/>
    <n v="12.726628317018807"/>
    <n v="11.593770445384521"/>
    <n v="1.1328578716342859"/>
    <n v="12.726628317018807"/>
    <n v="11.593770445384521"/>
    <n v="1.1328578716342859"/>
    <n v="10.309006631872002"/>
    <n v="0.61019844449392224"/>
    <n v="4.8918862638753259E-2"/>
    <n v="0"/>
    <n v="0.18280206565007795"/>
    <n v="0"/>
    <n v="0.23944495923179226"/>
    <n v="0"/>
    <n v="0.31925994564238969"/>
    <n v="0.38620154714805205"/>
    <n v="0"/>
    <n v="0"/>
    <n v="5.4068216600727283E-2"/>
    <n v="9.0113694334545469E-2"/>
    <n v="0.4402697637487793"/>
    <n v="4.634418565776624E-2"/>
  </r>
  <r>
    <x v="5"/>
    <s v="Census Tract 27, King County, Washington"/>
    <n v="14.076271480434345"/>
    <n v="12.823275435240916"/>
    <n v="1.2529960451934274"/>
    <n v="14.076271480434345"/>
    <n v="12.823275435240916"/>
    <n v="1.2529960451934274"/>
    <n v="11.402264011260188"/>
    <n v="0.67490923343373244"/>
    <n v="5.4106647406079816E-2"/>
    <n v="0"/>
    <n v="0.20218799820166669"/>
    <n v="0"/>
    <n v="0.26483780046133804"/>
    <n v="0"/>
    <n v="0.35311706728178405"/>
    <n v="0.42715774267957751"/>
    <n v="0"/>
    <n v="0"/>
    <n v="5.9802083975140849E-2"/>
    <n v="9.9670139958568091E-2"/>
    <n v="0.48695982665471838"/>
    <n v="5.12589291215493E-2"/>
  </r>
  <r>
    <x v="2"/>
    <s v="Census Tract 27, King County, Washington"/>
    <n v="0.36344276461131975"/>
    <n v="0.33109099110758095"/>
    <n v="3.2351773503738759E-2"/>
    <n v="0.36344276461131975"/>
    <n v="0.33109099110758095"/>
    <n v="3.2351773503738759E-2"/>
    <n v="0.2944011388840227"/>
    <n v="1.7425841637241105E-2"/>
    <n v="1.39700840129781E-3"/>
    <n v="0"/>
    <n v="5.2203998153760268E-3"/>
    <n v="0"/>
    <n v="6.837988490562965E-3"/>
    <n v="0"/>
    <n v="9.1173179874172866E-3"/>
    <n v="1.1029013694456394E-2"/>
    <n v="0"/>
    <n v="0"/>
    <n v="1.5440619172238954E-3"/>
    <n v="2.5734365287064919E-3"/>
    <n v="1.2573075611680289E-2"/>
    <n v="1.3234816433347675E-3"/>
  </r>
  <r>
    <x v="6"/>
    <s v="Census Tract 26, King County, Washington"/>
    <n v="1189.1930214444444"/>
    <n v="1077.4267600304927"/>
    <n v="111.76626141395154"/>
    <n v="1189.1930214444444"/>
    <n v="1077.4267600304927"/>
    <n v="111.76626141395154"/>
    <n v="960.9268687213621"/>
    <n v="57.855476496633734"/>
    <n v="17.619622387611184"/>
    <n v="3.6817121406948741"/>
    <n v="9.2042803517371858"/>
    <n v="1.5778766317263746"/>
    <n v="11.045136422084623"/>
    <n v="0"/>
    <n v="28.401779371074742"/>
    <n v="37.869039161432994"/>
    <n v="9.7302392289793094"/>
    <n v="1.840856070347437"/>
    <n v="3.6817121406948741"/>
    <n v="2.3668149475895621"/>
    <n v="36.817121406948743"/>
    <n v="6.5744859655265611"/>
  </r>
  <r>
    <x v="3"/>
    <s v="Census Tract 26, King County, Washington"/>
    <n v="3332.8021939734931"/>
    <n v="3019.5689050662099"/>
    <n v="313.23328890728317"/>
    <n v="3332.8021939734931"/>
    <n v="3019.5689050662099"/>
    <n v="313.23328890728317"/>
    <n v="2693.0692650993242"/>
    <n v="162.14429072847599"/>
    <n v="49.380306721854055"/>
    <n v="10.318273046357564"/>
    <n v="25.795682615893909"/>
    <n v="4.4221170198675273"/>
    <n v="30.95481913907269"/>
    <n v="0"/>
    <n v="79.598106357615492"/>
    <n v="106.13080847682065"/>
    <n v="27.269721622516418"/>
    <n v="5.1591365231787822"/>
    <n v="10.318273046357564"/>
    <n v="6.6331755298012904"/>
    <n v="103.18273046357564"/>
    <n v="18.425487582781365"/>
  </r>
  <r>
    <x v="5"/>
    <s v="Census Tract 26, King County, Washington"/>
    <n v="4.7845820622129508E-3"/>
    <n v="4.3349032969673728E-3"/>
    <n v="4.4967876524557813E-4"/>
    <n v="4.7845820622129508E-3"/>
    <n v="4.3349032969673728E-3"/>
    <n v="4.4967876524557813E-4"/>
    <n v="3.8661793134290409E-3"/>
    <n v="2.3277489024476985E-4"/>
    <n v="7.0890534756361731E-5"/>
    <n v="1.4812947561030809E-5"/>
    <n v="3.7032368902577025E-5"/>
    <n v="6.3484060975846328E-6"/>
    <n v="4.4438842683092424E-5"/>
    <n v="0"/>
    <n v="1.1427130975652339E-4"/>
    <n v="1.5236174634203117E-4"/>
    <n v="3.9148504268438569E-5"/>
    <n v="7.4064737805154046E-6"/>
    <n v="1.4812947561030809E-5"/>
    <n v="9.5226091463769483E-6"/>
    <n v="1.481294756103081E-4"/>
    <n v="2.6451692073269303E-5"/>
  </r>
  <r>
    <x v="6"/>
    <s v="Census Tract 25, King County, Washington"/>
    <n v="1813.5388925816735"/>
    <n v="1560.1715935393697"/>
    <n v="253.36729904230387"/>
    <n v="1813.5388925816735"/>
    <n v="1560.1715935393697"/>
    <n v="253.36729904230387"/>
    <n v="1369.610836231496"/>
    <n v="133.4639011856643"/>
    <n v="18.556478239718029"/>
    <n v="0"/>
    <n v="22.125031747356111"/>
    <n v="3.5685535076380823"/>
    <n v="14.274214030552329"/>
    <n v="0"/>
    <n v="41.395220688601761"/>
    <n v="71.371070152761646"/>
    <n v="10.705660522914247"/>
    <n v="5.7096856122209321"/>
    <n v="33.544402971797979"/>
    <n v="24.979874553466576"/>
    <n v="49.959749106933153"/>
    <n v="14.274214030552329"/>
  </r>
  <r>
    <x v="3"/>
    <s v="Census Tract 25, King County, Washington"/>
    <n v="0.13552823500336983"/>
    <n v="0.11659375116779475"/>
    <n v="1.8934483835575083E-2"/>
    <n v="0.13552823500336983"/>
    <n v="0.11659375116779475"/>
    <n v="1.8934483835575083E-2"/>
    <n v="0.10235288586047489"/>
    <n v="9.9739393725423679E-3"/>
    <n v="1.3867509288026823E-3"/>
    <n v="0"/>
    <n v="1.6534337997262749E-3"/>
    <n v="2.6668287092359276E-4"/>
    <n v="1.066731483694371E-3"/>
    <n v="0"/>
    <n v="3.0935213027136759E-3"/>
    <n v="5.3336574184718547E-3"/>
    <n v="8.0004861277077827E-4"/>
    <n v="4.2669259347774839E-4"/>
    <n v="2.5068189866817719E-3"/>
    <n v="1.8667800964651492E-3"/>
    <n v="3.7335601929302984E-3"/>
    <n v="1.066731483694371E-3"/>
  </r>
  <r>
    <x v="7"/>
    <s v="Census Tract 25, King County, Washington"/>
    <n v="727.32558692764599"/>
    <n v="625.71181937183553"/>
    <n v="101.61376755581044"/>
    <n v="727.32558692764599"/>
    <n v="625.71181937183553"/>
    <n v="101.61376755581044"/>
    <n v="549.28681673126823"/>
    <n v="53.526125444891697"/>
    <n v="7.4421350885945667"/>
    <n v="0"/>
    <n v="8.8733149133242915"/>
    <n v="1.4311798247297245"/>
    <n v="5.724719298918898"/>
    <n v="0"/>
    <n v="16.601685966864803"/>
    <n v="28.623596494594487"/>
    <n v="4.2935394741891733"/>
    <n v="2.2898877195675591"/>
    <n v="13.453090352459411"/>
    <n v="10.018258773108071"/>
    <n v="20.036517546216142"/>
    <n v="5.724719298918898"/>
  </r>
  <r>
    <x v="8"/>
    <s v="Census Tract 24, King County, Washington"/>
    <n v="2.0795408594439322"/>
    <n v="1.7383432078237111"/>
    <n v="0.34119765162022081"/>
    <n v="2.0795408594439322"/>
    <n v="1.7383432078237111"/>
    <n v="0.34119765162022081"/>
    <n v="1.5758331194442525"/>
    <n v="0.1279491193575828"/>
    <n v="1.3236115795612013E-2"/>
    <n v="1.1765436262766235E-2"/>
    <n v="1.9118833926995132E-2"/>
    <n v="2.6472231591224027E-2"/>
    <n v="8.8240771970746756E-3"/>
    <n v="0"/>
    <n v="2.7207571357646919E-2"/>
    <n v="0.14853863281742372"/>
    <n v="0"/>
    <n v="0"/>
    <n v="8.8240771970746756E-3"/>
    <n v="0"/>
    <n v="8.5299412905055202E-2"/>
    <n v="2.6472231591224027E-2"/>
  </r>
  <r>
    <x v="6"/>
    <s v="Census Tract 24, King County, Washington"/>
    <n v="0.11854359293253175"/>
    <n v="9.9093724785185661E-2"/>
    <n v="1.9449868147346085E-2"/>
    <n v="0.11854359293253175"/>
    <n v="9.9093724785185661E-2"/>
    <n v="1.9449868147346085E-2"/>
    <n v="8.9829886723626434E-2"/>
    <n v="7.2937005552547824E-3"/>
    <n v="7.545207470953223E-4"/>
    <n v="6.7068510852917541E-4"/>
    <n v="1.0898633013599101E-3"/>
    <n v="1.5090414941906446E-3"/>
    <n v="5.0301383139688153E-4"/>
    <n v="0"/>
    <n v="1.5509593134737181E-3"/>
    <n v="8.4673994951808395E-3"/>
    <n v="0"/>
    <n v="0"/>
    <n v="5.0301383139688153E-4"/>
    <n v="0"/>
    <n v="4.8624670368365213E-3"/>
    <n v="1.5090414941906446E-3"/>
  </r>
  <r>
    <x v="9"/>
    <s v="Census Tract 24, King County, Washington"/>
    <n v="8.9526434428363735E-2"/>
    <n v="7.4837514493865581E-2"/>
    <n v="1.4688919934498152E-2"/>
    <n v="8.9526434428363735E-2"/>
    <n v="7.4837514493865581E-2"/>
    <n v="1.4688919934498152E-2"/>
    <n v="6.7841283231960217E-2"/>
    <n v="5.5083449754368069E-3"/>
    <n v="5.6982879056242833E-4"/>
    <n v="5.0651448049993629E-4"/>
    <n v="8.2308603081239647E-4"/>
    <n v="1.1396575811248567E-3"/>
    <n v="3.7988586037495222E-4"/>
    <n v="0"/>
    <n v="1.1713147361561028E-3"/>
    <n v="6.3947453163116959E-3"/>
    <n v="0"/>
    <n v="0"/>
    <n v="3.7988586037495222E-4"/>
    <n v="0"/>
    <n v="3.6722299836245381E-3"/>
    <n v="1.1396575811248567E-3"/>
  </r>
  <r>
    <x v="7"/>
    <s v="Census Tract 24, King County, Washington"/>
    <n v="2825.7123862218882"/>
    <n v="2362.0877231359773"/>
    <n v="463.62466308591092"/>
    <n v="2825.7123862218882"/>
    <n v="2362.0877231359773"/>
    <n v="463.62466308591092"/>
    <n v="2141.2664935196271"/>
    <n v="173.8592486572166"/>
    <n v="17.985439516263785"/>
    <n v="15.987057347790032"/>
    <n v="25.978968190158803"/>
    <n v="35.97087903252757"/>
    <n v="11.990293010842525"/>
    <n v="0"/>
    <n v="36.970070116764447"/>
    <n v="201.83659901584915"/>
    <n v="0"/>
    <n v="0"/>
    <n v="11.990293010842525"/>
    <n v="0"/>
    <n v="115.90616577147773"/>
    <n v="35.97087903252757"/>
  </r>
  <r>
    <x v="10"/>
    <s v="Census Tract 22, King County, Washington"/>
    <n v="0.10697530539000281"/>
    <n v="8.9212170914568692E-2"/>
    <n v="1.7763134475434122E-2"/>
    <n v="0.10697530539000281"/>
    <n v="8.9212170914568692E-2"/>
    <n v="1.7763134475434122E-2"/>
    <n v="7.9755680797624406E-2"/>
    <n v="6.8395997701169329E-3"/>
    <n v="1.5859941495923323E-3"/>
    <n v="7.1369736731654947E-4"/>
    <n v="1.1894956121942491E-4"/>
    <n v="1.3877448808932908E-4"/>
    <n v="1.3877448808932908E-4"/>
    <n v="1.9824926869904154E-4"/>
    <n v="3.3305877141438975E-3"/>
    <n v="8.0489203091810863E-3"/>
    <n v="0"/>
    <n v="0"/>
    <n v="8.9212170914568689E-4"/>
    <n v="8.9212170914568689E-4"/>
    <n v="3.3900624947536102E-3"/>
    <n v="9.3177156288549523E-4"/>
  </r>
  <r>
    <x v="8"/>
    <s v="Census Tract 22, King County, Washington"/>
    <n v="2000.9489870421969"/>
    <n v="1668.6935585044266"/>
    <n v="332.25542853777029"/>
    <n v="2000.9489870421969"/>
    <n v="1668.6935585044266"/>
    <n v="332.25542853777029"/>
    <n v="1491.8120413029574"/>
    <n v="127.9331728186727"/>
    <n v="29.665663262300917"/>
    <n v="13.349548468035412"/>
    <n v="2.2249247446725686"/>
    <n v="2.5957455354513304"/>
    <n v="2.5957455354513304"/>
    <n v="3.7082079077876147"/>
    <n v="62.297892850831921"/>
    <n v="150.55324105617714"/>
    <n v="0"/>
    <n v="0"/>
    <n v="16.686935585044264"/>
    <n v="16.686935585044264"/>
    <n v="63.41035522316821"/>
    <n v="17.428577166601787"/>
  </r>
  <r>
    <x v="11"/>
    <s v="Census Tract 22, King County, Washington"/>
    <n v="1.757810237350522"/>
    <n v="1.4659277368564398"/>
    <n v="0.29188250049408226"/>
    <n v="1.757810237350522"/>
    <n v="1.4659277368564398"/>
    <n v="0.29188250049408226"/>
    <n v="1.3105393967496572"/>
    <n v="0.11238779315899372"/>
    <n v="2.6060937544114485E-2"/>
    <n v="1.1727421894851518E-2"/>
    <n v="1.9545703158085864E-3"/>
    <n v="2.2803320351100177E-3"/>
    <n v="2.2803320351100177E-3"/>
    <n v="3.2576171930143107E-3"/>
    <n v="5.4727968842640418E-2"/>
    <n v="0.132259258036381"/>
    <n v="0"/>
    <n v="0"/>
    <n v="1.4659277368564398E-2"/>
    <n v="1.4659277368564398E-2"/>
    <n v="5.5705254000544713E-2"/>
    <n v="1.531080080716726E-2"/>
  </r>
  <r>
    <x v="7"/>
    <s v="Census Tract 22, King County, Washington"/>
    <n v="1221.2544847216877"/>
    <n v="1018.4664902237945"/>
    <n v="202.78799449789329"/>
    <n v="1221.2544847216877"/>
    <n v="1018.4664902237945"/>
    <n v="202.78799449789329"/>
    <n v="910.50904226007231"/>
    <n v="78.082430917157581"/>
    <n v="18.106070937311902"/>
    <n v="8.1477319217903563"/>
    <n v="1.3579553202983927"/>
    <n v="1.5842812070147914"/>
    <n v="1.5842812070147914"/>
    <n v="2.2632588671639877"/>
    <n v="38.022748968354996"/>
    <n v="91.888310006857907"/>
    <n v="0"/>
    <n v="0"/>
    <n v="10.184664902237945"/>
    <n v="10.184664902237945"/>
    <n v="38.70172662850419"/>
    <n v="10.637316675670743"/>
  </r>
  <r>
    <x v="12"/>
    <s v="Census Tract 22, King County, Washington"/>
    <n v="2161.1263113390842"/>
    <n v="1802.2736102716603"/>
    <n v="358.85270106742394"/>
    <n v="2161.1263113390842"/>
    <n v="1802.2736102716603"/>
    <n v="358.85270106742394"/>
    <n v="1611.2326075828644"/>
    <n v="138.1743101208273"/>
    <n v="32.040419738162853"/>
    <n v="14.418188882173283"/>
    <n v="2.4030314803622139"/>
    <n v="2.8035367270892495"/>
    <n v="2.8035367270892495"/>
    <n v="4.0050524672703567"/>
    <n v="67.284881450141981"/>
    <n v="162.60513017117646"/>
    <n v="0"/>
    <n v="0"/>
    <n v="18.022736102716603"/>
    <n v="18.022736102716603"/>
    <n v="68.486397190323089"/>
    <n v="18.823746596170675"/>
  </r>
  <r>
    <x v="13"/>
    <s v="Census Tract 22, King County, Washington"/>
    <n v="0.60004216614584382"/>
    <n v="0.50040580942481416"/>
    <n v="9.9636356721029662E-2"/>
    <n v="0.60004216614584382"/>
    <n v="0.50040580942481416"/>
    <n v="9.9636356721029662E-2"/>
    <n v="0.44736279362578385"/>
    <n v="3.8364445389235752E-2"/>
    <n v="8.8961032786633622E-3"/>
    <n v="4.0032464753985133E-3"/>
    <n v="6.6720774589975218E-4"/>
    <n v="7.7840903688304423E-4"/>
    <n v="7.7840903688304423E-4"/>
    <n v="1.1120129098329203E-3"/>
    <n v="1.8681816885193062E-2"/>
    <n v="4.5147724139216569E-2"/>
    <n v="0"/>
    <n v="0"/>
    <n v="5.0040580942481419E-3"/>
    <n v="5.0040580942481419E-3"/>
    <n v="1.9015420758142939E-2"/>
    <n v="5.2264606762147253E-3"/>
  </r>
  <r>
    <x v="6"/>
    <s v="Census Tract 21, King County, Washington"/>
    <n v="0.52370222955770374"/>
    <n v="0.44911389991489636"/>
    <n v="7.4588329642807413E-2"/>
    <n v="0.52370222955770374"/>
    <n v="0.44911389991489636"/>
    <n v="7.4588329642807413E-2"/>
    <n v="0.39857238697160408"/>
    <n v="2.6494696243777149E-2"/>
    <n v="8.4955819477328907E-3"/>
    <n v="1.871907886788603E-3"/>
    <n v="1.1519433149468326E-2"/>
    <n v="4.1757945166822682E-3"/>
    <n v="1.5839220580518949E-3"/>
    <n v="0"/>
    <n v="1.3247348121888575E-2"/>
    <n v="3.4990278191510044E-2"/>
    <n v="0"/>
    <n v="0"/>
    <n v="7.1996457184177035E-4"/>
    <n v="1.727914972420249E-3"/>
    <n v="1.4975263094308824E-2"/>
    <n v="5.3277378316291006E-3"/>
  </r>
  <r>
    <x v="3"/>
    <s v="Census Tract 21, King County, Washington"/>
    <n v="2.6422568329353115E-2"/>
    <n v="2.2659332037187892E-2"/>
    <n v="3.7632362921652222E-3"/>
    <n v="2.6422568329353115E-2"/>
    <n v="2.2659332037187892E-2"/>
    <n v="3.7632362921652222E-3"/>
    <n v="2.0109339877824973E-2"/>
    <n v="1.3367480265606196E-3"/>
    <n v="4.2863116069063344E-4"/>
    <n v="9.4444154050478556E-5"/>
    <n v="5.8119479415679105E-4"/>
    <n v="2.1068311288183677E-4"/>
    <n v="7.9914284196558777E-5"/>
    <n v="0"/>
    <n v="6.683740132803098E-4"/>
    <n v="1.765379187251253E-3"/>
    <n v="0"/>
    <n v="0"/>
    <n v="3.632467463479944E-5"/>
    <n v="8.717921912351866E-5"/>
    <n v="7.5555323240382845E-4"/>
    <n v="2.6880259229751589E-4"/>
  </r>
  <r>
    <x v="7"/>
    <s v="Census Tract 21, King County, Washington"/>
    <n v="2548.0763875325215"/>
    <n v="2185.1664153736415"/>
    <n v="362.90997215887984"/>
    <n v="2548.0763875325215"/>
    <n v="2185.1664153736415"/>
    <n v="362.90997215887984"/>
    <n v="1939.2563763238986"/>
    <n v="128.91010594060597"/>
    <n v="41.335305709216044"/>
    <n v="9.1077792240645525"/>
    <n v="56.047872148089553"/>
    <n v="20.317353653682463"/>
    <n v="7.7065824203623139"/>
    <n v="0"/>
    <n v="64.455052970302987"/>
    <n v="170.24541164982202"/>
    <n v="0"/>
    <n v="0"/>
    <n v="3.5029920092555971"/>
    <n v="8.4071808222134337"/>
    <n v="72.86223379251642"/>
    <n v="25.922140868491418"/>
  </r>
  <r>
    <x v="13"/>
    <s v="Census Tract 21, King County, Washington"/>
    <n v="1087.9453621556952"/>
    <n v="932.99466168919798"/>
    <n v="154.95070046649712"/>
    <n v="1087.9453621556952"/>
    <n v="932.99466168919798"/>
    <n v="154.95070046649712"/>
    <n v="827.99910982869505"/>
    <n v="55.040403254508632"/>
    <n v="17.648824956608745"/>
    <n v="3.8887241429815882"/>
    <n v="23.930610110655927"/>
    <n v="8.6748461651127737"/>
    <n v="3.2904588902151901"/>
    <n v="0"/>
    <n v="27.520201627254316"/>
    <n v="72.689228211117381"/>
    <n v="0"/>
    <n v="0"/>
    <n v="1.4956631319159954"/>
    <n v="3.5895915165983894"/>
    <n v="31.109793143852706"/>
    <n v="11.067907176178366"/>
  </r>
  <r>
    <x v="5"/>
    <s v="Census Tract 21, King County, Washington"/>
    <n v="0.42812551389619391"/>
    <n v="0.3671497052082015"/>
    <n v="6.0975808687992426E-2"/>
    <n v="0.42812551389619391"/>
    <n v="0.3671497052082015"/>
    <n v="6.0975808687992426E-2"/>
    <n v="0.32583212055668542"/>
    <n v="2.1659360615039782E-2"/>
    <n v="6.94512106677906E-3"/>
    <n v="1.5302809130191149E-3"/>
    <n v="9.4171133108868609E-3"/>
    <n v="3.4137035751964874E-3"/>
    <n v="1.2948530802469433E-3"/>
    <n v="0"/>
    <n v="1.0829680307519891E-2"/>
    <n v="2.8604481681818842E-2"/>
    <n v="0"/>
    <n v="0"/>
    <n v="5.8856958193042881E-4"/>
    <n v="1.4125669966330292E-3"/>
    <n v="1.2242247304152919E-2"/>
    <n v="4.3554149062851729E-3"/>
  </r>
  <r>
    <x v="3"/>
    <s v="Census Tract 20, King County, Washington"/>
    <n v="146.56478927653441"/>
    <n v="130.05508419435739"/>
    <n v="16.509705082177014"/>
    <n v="146.56478927653441"/>
    <n v="130.05508419435739"/>
    <n v="16.509705082177014"/>
    <n v="112.51058278224335"/>
    <n v="7.0554295222978691"/>
    <n v="0.84665154267574427"/>
    <n v="0.51739816496851043"/>
    <n v="3.9040043356714875"/>
    <n v="0.75257914904510603"/>
    <n v="0"/>
    <n v="0.23518098407659563"/>
    <n v="1.4110859044595738"/>
    <n v="6.3498865700680822"/>
    <n v="0.42332577133787214"/>
    <n v="0"/>
    <n v="2.3988460375812757"/>
    <n v="0.89368773949106339"/>
    <n v="8.560587820388081"/>
    <n v="0.70554295222978691"/>
  </r>
  <r>
    <x v="7"/>
    <s v="Census Tract 20, King County, Washington"/>
    <n v="0.94014366104613967"/>
    <n v="0.83424172746873437"/>
    <n v="0.10590193357740534"/>
    <n v="0.94014366104613967"/>
    <n v="0.83424172746873437"/>
    <n v="0.10590193357740534"/>
    <n v="0.72170206586083629"/>
    <n v="4.5257236571540738E-2"/>
    <n v="5.4308683885848892E-3"/>
    <n v="3.3188640152463211E-3"/>
    <n v="2.5042337569585876E-2"/>
    <n v="4.8274385676310124E-3"/>
    <n v="0"/>
    <n v="1.5085745523846913E-3"/>
    <n v="9.0514473143081479E-3"/>
    <n v="4.0731512914386668E-2"/>
    <n v="2.7154341942924446E-3"/>
    <n v="0"/>
    <n v="1.5387460434323852E-2"/>
    <n v="5.7325832990618268E-3"/>
    <n v="5.4912113706802768E-2"/>
    <n v="4.5257236571540739E-3"/>
  </r>
  <r>
    <x v="14"/>
    <s v="Census Tract 20, King County, Washington"/>
    <n v="57.100390610728518"/>
    <n v="50.668350461702289"/>
    <n v="6.4320401490262222"/>
    <n v="57.100390610728518"/>
    <n v="50.668350461702289"/>
    <n v="6.4320401490262222"/>
    <n v="43.83316249706759"/>
    <n v="2.7487351064214627"/>
    <n v="0.32984821277057552"/>
    <n v="0.20157390780424059"/>
    <n v="1.5209667588865425"/>
    <n v="0.29319841135162267"/>
    <n v="0"/>
    <n v="9.162450354738208E-2"/>
    <n v="0.54974702128429254"/>
    <n v="2.4738615957793164"/>
    <n v="0.16492410638528776"/>
    <n v="0"/>
    <n v="0.9345699361832972"/>
    <n v="0.34817311348005192"/>
    <n v="3.3351319291247079"/>
    <n v="0.27487351064214627"/>
  </r>
  <r>
    <x v="13"/>
    <s v="Census Tract 20, King County, Washington"/>
    <n v="0.38809033312484859"/>
    <n v="0.34437412422663877"/>
    <n v="4.3716208898209839E-2"/>
    <n v="0.38809033312484859"/>
    <n v="0.34437412422663877"/>
    <n v="4.3716208898209839E-2"/>
    <n v="0.29791786804705966"/>
    <n v="1.8682140554790529E-2"/>
    <n v="2.2418568665748635E-3"/>
    <n v="1.3700236406846387E-3"/>
    <n v="1.0337451106984093E-2"/>
    <n v="1.9927616591776565E-3"/>
    <n v="0"/>
    <n v="6.2273801849301762E-4"/>
    <n v="3.736428110958106E-3"/>
    <n v="1.6813926499311477E-2"/>
    <n v="1.1209284332874317E-3"/>
    <n v="0"/>
    <n v="6.3519277886287797E-3"/>
    <n v="2.3664044702734672E-3"/>
    <n v="2.2667663873145841E-2"/>
    <n v="1.868214055479053E-3"/>
  </r>
  <r>
    <x v="5"/>
    <s v="Census Tract 20, King County, Washington"/>
    <n v="2911.0065804517726"/>
    <n v="2583.0979444637842"/>
    <n v="327.90863598798853"/>
    <n v="2911.0065804517726"/>
    <n v="2583.0979444637842"/>
    <n v="327.90863598798853"/>
    <n v="2234.6366304366625"/>
    <n v="140.13189572136261"/>
    <n v="16.815827486563514"/>
    <n v="10.276339019566592"/>
    <n v="77.539648965820646"/>
    <n v="14.947402210278678"/>
    <n v="0"/>
    <n v="4.6710631907120872"/>
    <n v="28.026379144272521"/>
    <n v="126.11870614922636"/>
    <n v="8.4079137432817568"/>
    <n v="0"/>
    <n v="47.64484454526329"/>
    <n v="17.750040124705929"/>
    <n v="170.02670014191997"/>
    <n v="14.013189572136261"/>
  </r>
  <r>
    <x v="3"/>
    <s v="Census Tract 19, King County, Washington"/>
    <n v="0.55718499847752012"/>
    <n v="0.47254106064278151"/>
    <n v="8.4643937834738683E-2"/>
    <n v="0.55718499847752012"/>
    <n v="0.47254106064278151"/>
    <n v="8.4643937834738683E-2"/>
    <n v="0.39652429339504502"/>
    <n v="4.0205870471500871E-2"/>
    <n v="7.1621793552471185E-3"/>
    <n v="0"/>
    <n v="8.464393783473868E-3"/>
    <n v="0"/>
    <n v="2.116098445868467E-3"/>
    <n v="0"/>
    <n v="2.79976102068751E-2"/>
    <n v="3.8089772025632407E-2"/>
    <n v="1.3022144282267489E-3"/>
    <n v="0"/>
    <n v="6.3482953376054006E-3"/>
    <n v="2.9299824635101849E-3"/>
    <n v="2.262597569043976E-2"/>
    <n v="3.4183128740952157E-3"/>
  </r>
  <r>
    <x v="4"/>
    <s v="Census Tract 19, King County, Washington"/>
    <n v="1041.3435383520227"/>
    <n v="883.1493695109325"/>
    <n v="158.19416884109023"/>
    <n v="1041.3435383520227"/>
    <n v="883.1493695109325"/>
    <n v="158.19416884109023"/>
    <n v="741.07883710941496"/>
    <n v="75.142230199517854"/>
    <n v="13.385660440399942"/>
    <n v="0"/>
    <n v="15.819416884109023"/>
    <n v="0"/>
    <n v="3.9548542210272557"/>
    <n v="0"/>
    <n v="52.325763539745232"/>
    <n v="71.187375978490607"/>
    <n v="2.4337564437090804"/>
    <n v="0"/>
    <n v="11.864562663081767"/>
    <n v="5.4759519983454306"/>
    <n v="42.286518209445269"/>
    <n v="6.3886106647363361"/>
  </r>
  <r>
    <x v="5"/>
    <s v="Census Tract 19, King County, Washington"/>
    <n v="2381.0992766494996"/>
    <n v="2019.3780894284248"/>
    <n v="361.72118722107507"/>
    <n v="2381.0992766494996"/>
    <n v="2019.3780894284248"/>
    <n v="361.72118722107507"/>
    <n v="1694.52463859719"/>
    <n v="171.81756393001064"/>
    <n v="30.60717738024481"/>
    <n v="0"/>
    <n v="36.172118722107506"/>
    <n v="0"/>
    <n v="9.0430296805268764"/>
    <n v="0"/>
    <n v="119.64623885004789"/>
    <n v="162.77453424948376"/>
    <n v="5.564941341862693"/>
    <n v="0"/>
    <n v="27.129089041580627"/>
    <n v="12.521118019191059"/>
    <n v="96.690855814864292"/>
    <n v="14.607971022389568"/>
  </r>
  <r>
    <x v="1"/>
    <s v="Census Tract 18, King County, Washington"/>
    <n v="0.49691400736767571"/>
    <n v="0.39232674447896421"/>
    <n v="0.10458726288871151"/>
    <n v="0.49691400736767571"/>
    <n v="0.39232674447896421"/>
    <n v="0.10458726288871151"/>
    <n v="0.32459404089389393"/>
    <n v="2.5275255198105282E-2"/>
    <n v="4.108785327770809E-3"/>
    <n v="3.6107507425864687E-3"/>
    <n v="1.4692020262938045E-2"/>
    <n v="1.3820459738865448E-2"/>
    <n v="4.2332939740668939E-3"/>
    <n v="6.2254323148042568E-4"/>
    <n v="1.8053753712932344E-2"/>
    <n v="3.7228085242529456E-2"/>
    <n v="4.980345851843405E-4"/>
    <n v="1.1205778166647662E-3"/>
    <n v="7.8440447166533631E-3"/>
    <n v="1.3322425153681108E-2"/>
    <n v="1.8302771005524514E-2"/>
    <n v="9.5871657647985543E-3"/>
  </r>
  <r>
    <x v="4"/>
    <s v="Census Tract 18, King County, Washington"/>
    <n v="2612.3904785013897"/>
    <n v="2062.551339954367"/>
    <n v="549.83913854702269"/>
    <n v="2612.3904785013897"/>
    <n v="2062.551339954367"/>
    <n v="549.83913854702269"/>
    <n v="1706.4650407048669"/>
    <n v="132.87779181553049"/>
    <n v="21.600823300061606"/>
    <n v="18.982541687932926"/>
    <n v="77.239307557796039"/>
    <n v="72.657314736570854"/>
    <n v="22.255393703093773"/>
    <n v="3.2728520151608493"/>
    <n v="94.912708439664627"/>
    <n v="195.71655050661877"/>
    <n v="2.6182816121286794"/>
    <n v="5.8911336272895287"/>
    <n v="41.237935391026703"/>
    <n v="70.03903312444217"/>
    <n v="96.221849245728961"/>
    <n v="50.40192103347708"/>
  </r>
  <r>
    <x v="2"/>
    <s v="Census Tract 18, King County, Washington"/>
    <n v="1378.1126074912424"/>
    <n v="1088.0563333011539"/>
    <n v="290.05627419008863"/>
    <n v="1378.1126074912424"/>
    <n v="1088.0563333011539"/>
    <n v="290.05627419008863"/>
    <n v="900.21036525423926"/>
    <n v="70.096932929271418"/>
    <n v="11.395067914610625"/>
    <n v="10.013847561324488"/>
    <n v="40.746000421941019"/>
    <n v="38.32886480369028"/>
    <n v="11.740373002932158"/>
    <n v="1.7265254416076703"/>
    <n v="50.069237806622439"/>
    <n v="103.24622140813868"/>
    <n v="1.3812203532861362"/>
    <n v="3.1077457948938063"/>
    <n v="21.754220564256645"/>
    <n v="36.947644450404141"/>
    <n v="50.759847983265509"/>
    <n v="26.588491800758124"/>
  </r>
  <r>
    <x v="15"/>
    <s v="Census Tract 17, King County, Washington"/>
    <n v="0.42455458983629379"/>
    <n v="0.3417299632208084"/>
    <n v="8.2824626615485342E-2"/>
    <n v="0.42455458983629379"/>
    <n v="0.3417299632208084"/>
    <n v="8.2824626615485342E-2"/>
    <n v="0.28278938240841212"/>
    <n v="2.1090923501534464E-2"/>
    <n v="5.24422962740857E-3"/>
    <n v="6.4982845383106192E-3"/>
    <n v="9.7474268074659292E-3"/>
    <n v="3.3631472610554957E-3"/>
    <n v="4.6172021719575454E-3"/>
    <n v="9.1203993520149037E-4"/>
    <n v="1.3851606515872635E-2"/>
    <n v="4.1212804571917346E-2"/>
    <n v="0"/>
    <n v="6.8402995140111778E-4"/>
    <n v="3.3631472610554957E-3"/>
    <n v="3.1921397732052161E-3"/>
    <n v="2.2116968428636141E-2"/>
    <n v="5.8712570828595946E-3"/>
  </r>
  <r>
    <x v="16"/>
    <s v="Census Tract 17, King County, Washington"/>
    <n v="2.0565187694910328E-5"/>
    <n v="1.6553208946158351E-5"/>
    <n v="4.0119787487519741E-6"/>
    <n v="2.0565187694910328E-5"/>
    <n v="1.6553208946158351E-5"/>
    <n v="4.0119787487519741E-6"/>
    <n v="1.3698160063701683E-5"/>
    <n v="1.021632578828789E-6"/>
    <n v="2.540275601412124E-7"/>
    <n v="3.1477328104454583E-7"/>
    <n v="4.7215992156681872E-7"/>
    <n v="1.6290897878621232E-7"/>
    <n v="2.2365469968954572E-7"/>
    <n v="4.4178706111515203E-8"/>
    <n v="6.7096409906863711E-7"/>
    <n v="1.9963252824140931E-6"/>
    <n v="0"/>
    <n v="3.3134029583636402E-8"/>
    <n v="1.6290897878621232E-7"/>
    <n v="1.5462547139030321E-7"/>
    <n v="1.0713336232042437E-6"/>
    <n v="2.8440042059287914E-7"/>
  </r>
  <r>
    <x v="17"/>
    <s v="Census Tract 17, King County, Washington"/>
    <n v="6.7124772636187297E-2"/>
    <n v="5.4029674000260854E-2"/>
    <n v="1.3095098635926443E-2"/>
    <n v="6.7124772636187297E-2"/>
    <n v="5.4029674000260854E-2"/>
    <n v="1.3095098635926443E-2"/>
    <n v="4.4710794447922288E-2"/>
    <n v="3.3346087372971671E-3"/>
    <n v="8.2914595630091724E-4"/>
    <n v="1.0274199893293974E-3"/>
    <n v="1.5411299839940961E-3"/>
    <n v="5.3173490675819692E-4"/>
    <n v="7.3000893978667717E-4"/>
    <n v="1.4419929674798561E-4"/>
    <n v="2.1900268193600315E-3"/>
    <n v="6.5160057217995993E-3"/>
    <n v="0"/>
    <n v="1.0814947256098921E-4"/>
    <n v="5.3173490675819692E-4"/>
    <n v="5.0469753861794964E-4"/>
    <n v="3.496832946138651E-3"/>
    <n v="9.2828297281515731E-4"/>
  </r>
  <r>
    <x v="18"/>
    <s v="Census Tract 17, King County, Washington"/>
    <n v="1624.7370003010235"/>
    <n v="1307.7736730403647"/>
    <n v="316.96332726065884"/>
    <n v="1624.7370003010235"/>
    <n v="1307.7736730403647"/>
    <n v="316.96332726065884"/>
    <n v="1082.2127092499163"/>
    <n v="80.713304257703896"/>
    <n v="20.069254031645293"/>
    <n v="24.868423473995257"/>
    <n v="37.302635210992882"/>
    <n v="12.870499868120351"/>
    <n v="17.669669310470315"/>
    <n v="3.4903050489817904"/>
    <n v="53.009007931410942"/>
    <n v="157.71815940086466"/>
    <n v="0"/>
    <n v="2.6177287867363428"/>
    <n v="12.870499868120351"/>
    <n v="12.216067671436267"/>
    <n v="84.639897437808415"/>
    <n v="22.468838752820275"/>
  </r>
  <r>
    <x v="2"/>
    <s v="Census Tract 17, King County, Washington"/>
    <n v="5822.7712723510667"/>
    <n v="4686.8305286982604"/>
    <n v="1135.9407436528061"/>
    <n v="5822.7712723510667"/>
    <n v="4686.8305286982604"/>
    <n v="1135.9407436528061"/>
    <n v="3878.4597586108539"/>
    <n v="289.26226782624792"/>
    <n v="71.924672000040019"/>
    <n v="89.124050087006125"/>
    <n v="133.68607513050918"/>
    <n v="46.125604869590887"/>
    <n v="63.32498295655698"/>
    <n v="12.508638608702613"/>
    <n v="189.97494886967092"/>
    <n v="565.23410713074929"/>
    <n v="0"/>
    <n v="9.3814789565269603"/>
    <n v="46.125604869590887"/>
    <n v="43.780235130459147"/>
    <n v="303.33448626103836"/>
    <n v="80.524361043523072"/>
  </r>
  <r>
    <x v="19"/>
    <s v="Census Tract 16, King County, Washington"/>
    <n v="0.47708210534355516"/>
    <n v="0.4177925974195893"/>
    <n v="5.9289507923965895E-2"/>
    <n v="0.47708210534355516"/>
    <n v="0.4177925974195893"/>
    <n v="5.9289507923965895E-2"/>
    <n v="0.38171378935226724"/>
    <n v="3.9325900793381031E-2"/>
    <n v="3.126830032501244E-3"/>
    <n v="8.41838854904181E-4"/>
    <n v="6.8549735327911882E-3"/>
    <n v="0"/>
    <n v="9.6210154846192121E-4"/>
    <n v="0"/>
    <n v="1.4311260533371077E-2"/>
    <n v="1.4792311307602038E-2"/>
    <n v="0"/>
    <n v="0"/>
    <n v="9.6210154846192121E-4"/>
    <n v="1.3228896291351416E-3"/>
    <n v="9.8615408717346916E-3"/>
    <n v="3.0065673389435038E-3"/>
  </r>
  <r>
    <x v="15"/>
    <s v="Census Tract 16, King County, Washington"/>
    <n v="6.9536078467170762E-2"/>
    <n v="6.0894463472384988E-2"/>
    <n v="8.6416149947857804E-3"/>
    <n v="6.9536078467170762E-2"/>
    <n v="6.0894463472384988E-2"/>
    <n v="8.6416149947857804E-3"/>
    <n v="5.5635874226065044E-2"/>
    <n v="5.7318622784887424E-3"/>
    <n v="4.5574440134772877E-4"/>
    <n v="1.2270041574746543E-4"/>
    <n v="9.9913195680078996E-4"/>
    <n v="0"/>
    <n v="1.4022904656853192E-4"/>
    <n v="0"/>
    <n v="2.0859070677069123E-3"/>
    <n v="2.1560215909911785E-3"/>
    <n v="0"/>
    <n v="0"/>
    <n v="1.4022904656853192E-4"/>
    <n v="1.9281493903173139E-4"/>
    <n v="1.4373477273274522E-3"/>
    <n v="4.3821577052666227E-4"/>
  </r>
  <r>
    <x v="16"/>
    <s v="Census Tract 16, King County, Washington"/>
    <n v="25.589637636457567"/>
    <n v="22.40947848476269"/>
    <n v="3.1801591516948777"/>
    <n v="25.589637636457567"/>
    <n v="22.40947848476269"/>
    <n v="3.1801591516948777"/>
    <n v="20.47429035999907"/>
    <n v="2.1093550559923431"/>
    <n v="0.16771630414618016"/>
    <n v="4.5154389577817741E-2"/>
    <n v="0.36768574370508728"/>
    <n v="0"/>
    <n v="5.1605016660363129E-2"/>
    <n v="0"/>
    <n v="0.76762462282290156"/>
    <n v="0.79342713115308305"/>
    <n v="0"/>
    <n v="0"/>
    <n v="5.1605016660363129E-2"/>
    <n v="7.0956897907999306E-2"/>
    <n v="0.52895142076872204"/>
    <n v="0.16126567706363479"/>
  </r>
  <r>
    <x v="20"/>
    <s v="Census Tract 16, King County, Washington"/>
    <n v="2917.8664742409874"/>
    <n v="2555.2478274547998"/>
    <n v="362.61864678618775"/>
    <n v="2917.8664742409874"/>
    <n v="2555.2478274547998"/>
    <n v="362.61864678618775"/>
    <n v="2334.5873933049897"/>
    <n v="240.51987322329288"/>
    <n v="19.123904292983532"/>
    <n v="5.148743463495566"/>
    <n v="41.925482488463899"/>
    <n v="0"/>
    <n v="5.8842782439949328"/>
    <n v="0"/>
    <n v="87.528638879424619"/>
    <n v="90.47077800142209"/>
    <n v="0"/>
    <n v="0"/>
    <n v="5.8842782439949328"/>
    <n v="8.0908825854930324"/>
    <n v="60.31385200094806"/>
    <n v="18.388369512484164"/>
  </r>
  <r>
    <x v="18"/>
    <s v="Census Tract 16, King County, Washington"/>
    <n v="1022.9972699387444"/>
    <n v="895.86400699954572"/>
    <n v="127.13326293919863"/>
    <n v="1022.9972699387444"/>
    <n v="895.86400699954572"/>
    <n v="127.13326293919863"/>
    <n v="818.50096667143293"/>
    <n v="84.325713957642904"/>
    <n v="6.7047968284364394"/>
    <n v="1.8051376076559644"/>
    <n v="14.698977662341424"/>
    <n v="0"/>
    <n v="2.0630144087496736"/>
    <n v="0"/>
    <n v="30.687339330151396"/>
    <n v="31.718846534526232"/>
    <n v="0"/>
    <n v="0"/>
    <n v="2.0630144087496736"/>
    <n v="2.836644812030801"/>
    <n v="21.145897689684155"/>
    <n v="6.4469200273427303"/>
  </r>
  <r>
    <x v="19"/>
    <s v="Census Tract 15, King County, Washington"/>
    <n v="0.35664432142013014"/>
    <n v="0.30335440134533181"/>
    <n v="5.3289920074798318E-2"/>
    <n v="0.35664432142013014"/>
    <n v="0.30335440134533181"/>
    <n v="5.3289920074798318E-2"/>
    <n v="0.28375351120287728"/>
    <n v="4.3489475003571046E-2"/>
    <n v="9.0347853000376458E-3"/>
    <n v="2.6032432220447453E-3"/>
    <n v="0"/>
    <n v="0"/>
    <n v="0"/>
    <n v="0"/>
    <n v="1.6844514966171883E-3"/>
    <n v="7.1972018491825319E-3"/>
    <n v="0"/>
    <n v="0"/>
    <n v="0"/>
    <n v="0"/>
    <n v="8.8816533457997202E-3"/>
    <n v="0"/>
  </r>
  <r>
    <x v="20"/>
    <s v="Census Tract 15, King County, Washington"/>
    <n v="2171.3644680949492"/>
    <n v="1846.9184247729045"/>
    <n v="324.44604332204483"/>
    <n v="2171.3644680949492"/>
    <n v="1846.9184247729045"/>
    <n v="324.44604332204483"/>
    <n v="1727.5819490682443"/>
    <n v="264.77780546971474"/>
    <n v="55.006656770116791"/>
    <n v="15.849375679525178"/>
    <n v="0"/>
    <n v="0"/>
    <n v="0"/>
    <n v="0"/>
    <n v="10.255478380869233"/>
    <n v="43.818862172804906"/>
    <n v="0"/>
    <n v="0"/>
    <n v="0"/>
    <n v="0"/>
    <n v="54.074340553674134"/>
    <n v="0"/>
  </r>
  <r>
    <x v="21"/>
    <s v="Census Tract 15, King County, Washington"/>
    <n v="157.23827824654848"/>
    <n v="133.74367935011273"/>
    <n v="23.494598896435754"/>
    <n v="157.23827824654848"/>
    <n v="133.74367935011273"/>
    <n v="23.494598896435754"/>
    <n v="125.10198780199843"/>
    <n v="19.173753122378603"/>
    <n v="3.9832796979589356"/>
    <n v="1.1477246587339305"/>
    <n v="0"/>
    <n v="0"/>
    <n v="0"/>
    <n v="0"/>
    <n v="0.74264536741607268"/>
    <n v="3.1731211153232195"/>
    <n v="0"/>
    <n v="0"/>
    <n v="0"/>
    <n v="0"/>
    <n v="3.9157664827392922"/>
    <n v="0"/>
  </r>
  <r>
    <x v="16"/>
    <s v="Census Tract 14, King County, Washington"/>
    <n v="1459.5330839033081"/>
    <n v="1260.5768300093625"/>
    <n v="198.9562538939455"/>
    <n v="1459.5330839033081"/>
    <n v="1260.5768300093625"/>
    <n v="198.9562538939455"/>
    <n v="1091.2922309347655"/>
    <n v="67.151639854314411"/>
    <n v="24.0496570641033"/>
    <n v="9.6823294673662641"/>
    <n v="39.353984286714493"/>
    <n v="14.679660805361754"/>
    <n v="5.6219977552449274"/>
    <n v="0"/>
    <n v="22.175657812354991"/>
    <n v="89.951964083918838"/>
    <n v="10.3069958846157"/>
    <n v="3.7479985034966186"/>
    <n v="18.115326100233656"/>
    <n v="7.8083302156179553"/>
    <n v="49.660980171330195"/>
    <n v="5.9343309638696455"/>
  </r>
  <r>
    <x v="17"/>
    <s v="Census Tract 14, King County, Washington"/>
    <n v="710.89329753102788"/>
    <n v="613.98787691744678"/>
    <n v="96.905420613581171"/>
    <n v="710.89329753102788"/>
    <n v="613.98787691744678"/>
    <n v="96.905420613581171"/>
    <n v="531.53459909552998"/>
    <n v="32.707481054819389"/>
    <n v="11.713842052191129"/>
    <n v="4.7159623846483774"/>
    <n v="19.168105176312757"/>
    <n v="7.1500074864023784"/>
    <n v="2.7383007394732513"/>
    <n v="0"/>
    <n v="10.801075139033379"/>
    <n v="43.81281183157202"/>
    <n v="5.0202180223676267"/>
    <n v="1.8255338263155008"/>
    <n v="8.8234134938582542"/>
    <n v="3.8031954714906266"/>
    <n v="24.188323198680386"/>
    <n v="2.8904285583328764"/>
  </r>
  <r>
    <x v="20"/>
    <s v="Census Tract 14, King County, Washington"/>
    <n v="861.58585330474898"/>
    <n v="744.13877678963559"/>
    <n v="117.44707651511345"/>
    <n v="861.58585330474898"/>
    <n v="744.13877678963559"/>
    <n v="117.44707651511345"/>
    <n v="644.20735532779656"/>
    <n v="39.640693015305168"/>
    <n v="14.196899358969757"/>
    <n v="5.7156348068579543"/>
    <n v="23.231289860132328"/>
    <n v="8.6656398684620601"/>
    <n v="3.3187556943046186"/>
    <n v="0"/>
    <n v="13.090647460868217"/>
    <n v="53.100091108873897"/>
    <n v="6.0843854395584671"/>
    <n v="2.2125037962030789"/>
    <n v="10.693768348314881"/>
    <n v="4.6093829087564142"/>
    <n v="29.315675299690795"/>
    <n v="3.503131010654875"/>
  </r>
  <r>
    <x v="18"/>
    <s v="Census Tract 14, King County, Washington"/>
    <n v="1107.1620344091557"/>
    <n v="956.23924050403423"/>
    <n v="150.92279390512135"/>
    <n v="1107.1620344091557"/>
    <n v="956.23924050403423"/>
    <n v="150.92279390512135"/>
    <n v="827.82455558005347"/>
    <n v="50.93940453626545"/>
    <n v="18.243414647871813"/>
    <n v="7.3447513517405998"/>
    <n v="29.85286033288115"/>
    <n v="11.135590759090586"/>
    <n v="4.2646943332687357"/>
    <n v="0"/>
    <n v="16.821849870115567"/>
    <n v="68.235109332299771"/>
    <n v="7.8186062776593488"/>
    <n v="2.8431295555124905"/>
    <n v="13.741792851643703"/>
    <n v="5.9231865739843546"/>
    <n v="37.671466610540499"/>
    <n v="4.5016217962281093"/>
  </r>
  <r>
    <x v="2"/>
    <s v="Census Tract 14, King County, Washington"/>
    <n v="532.74652813109424"/>
    <n v="460.12518457887791"/>
    <n v="72.621343552216359"/>
    <n v="532.74652813109424"/>
    <n v="460.12518457887791"/>
    <n v="72.621343552216359"/>
    <n v="398.33433967259651"/>
    <n v="24.51112851448433"/>
    <n v="8.7784041656525265"/>
    <n v="3.5341627160419264"/>
    <n v="14.364661361976863"/>
    <n v="5.3582466985151793"/>
    <n v="2.0520944802824088"/>
    <n v="0"/>
    <n v="8.0943726722250577"/>
    <n v="32.833511684518541"/>
    <n v="3.7621732138510833"/>
    <n v="1.3680629868549392"/>
    <n v="6.6123044364655401"/>
    <n v="2.8501312226144568"/>
    <n v="18.126834575827946"/>
    <n v="2.1660997291869872"/>
  </r>
  <r>
    <x v="17"/>
    <s v="Census Tract 13, King County, Washington"/>
    <n v="232.71399034172896"/>
    <n v="165.34209402238071"/>
    <n v="67.371896319348267"/>
    <n v="232.71399034172896"/>
    <n v="165.34209402238071"/>
    <n v="67.371896319348267"/>
    <n v="126.00936842553577"/>
    <n v="22.086410271495673"/>
    <n v="5.9527604510076504"/>
    <n v="5.0069947718755934"/>
    <n v="5.1738945976047797"/>
    <n v="5.2851611480909044"/>
    <n v="2.1696977344794237"/>
    <n v="0"/>
    <n v="7.232325781598079"/>
    <n v="29.318736053093755"/>
    <n v="1.112665504861243"/>
    <n v="0"/>
    <n v="2.7260304869100453"/>
    <n v="2.280964284965548"/>
    <n v="14.965351040383718"/>
    <n v="3.3936297898267913"/>
  </r>
  <r>
    <x v="22"/>
    <s v="Census Tract 13, King County, Washington"/>
    <n v="403.67997856162759"/>
    <n v="286.81254991277962"/>
    <n v="116.86742864884796"/>
    <n v="403.67997856162759"/>
    <n v="286.81254991277962"/>
    <n v="116.86742864884796"/>
    <n v="218.58358867848111"/>
    <n v="38.312443578524061"/>
    <n v="10.326023836025378"/>
    <n v="8.6854406097409722"/>
    <n v="8.9749552967323378"/>
    <n v="9.1679650880599137"/>
    <n v="3.7636909308877544"/>
    <n v="0"/>
    <n v="12.545636436292515"/>
    <n v="50.858080014816579"/>
    <n v="1.9300979132757714"/>
    <n v="0"/>
    <n v="4.7287398875256397"/>
    <n v="3.9567007222153316"/>
    <n v="25.959816933559125"/>
    <n v="5.886798635491103"/>
  </r>
  <r>
    <x v="4"/>
    <s v="Census Tract 13, King County, Washington"/>
    <n v="2396.2344919382313"/>
    <n v="1702.5122902319922"/>
    <n v="693.72220170623905"/>
    <n v="2396.2344919382313"/>
    <n v="1702.5122902319922"/>
    <n v="693.72220170623905"/>
    <n v="1297.5068429930895"/>
    <n v="227.4217292133583"/>
    <n v="61.295025253978181"/>
    <n v="51.556563297738656"/>
    <n v="53.275115407663279"/>
    <n v="54.420816814279696"/>
    <n v="22.341177429020085"/>
    <n v="0"/>
    <n v="74.470591430066946"/>
    <n v="301.89232064342525"/>
    <n v="11.457014066164145"/>
    <n v="0"/>
    <n v="28.06968446210216"/>
    <n v="23.486878835636499"/>
    <n v="154.09683918990777"/>
    <n v="34.943892901800645"/>
  </r>
  <r>
    <x v="2"/>
    <s v="Census Tract 13, King County, Washington"/>
    <n v="1150.3715391584126"/>
    <n v="817.33306583284764"/>
    <n v="333.03847332556478"/>
    <n v="1150.3715391584126"/>
    <n v="817.33306583284764"/>
    <n v="333.03847332556478"/>
    <n v="622.90019990289363"/>
    <n v="109.17941693662198"/>
    <n v="29.426190458988795"/>
    <n v="24.751001320644782"/>
    <n v="25.576034697999606"/>
    <n v="26.126056949569492"/>
    <n v="10.725433905612739"/>
    <n v="0"/>
    <n v="35.751446352042464"/>
    <n v="144.93086328866445"/>
    <n v="5.5002225156988409"/>
    <n v="0"/>
    <n v="13.47554516346216"/>
    <n v="11.275456157182623"/>
    <n v="73.977992836149397"/>
    <n v="16.775678672881462"/>
  </r>
  <r>
    <x v="14"/>
    <s v="Census Tract 12, King County, Washington"/>
    <n v="0.29318997842701239"/>
    <n v="0.20325793141441018"/>
    <n v="8.993204701260224E-2"/>
    <n v="0.29318997842701239"/>
    <n v="0.20325793141441018"/>
    <n v="8.993204701260224E-2"/>
    <n v="0.16677696778083326"/>
    <n v="1.960672027087117E-2"/>
    <n v="4.5061899889043766E-3"/>
    <n v="3.3556733959926206E-3"/>
    <n v="9.9711438052352153E-3"/>
    <n v="1.0354649336205802E-2"/>
    <n v="2.7804150995367431E-3"/>
    <n v="0"/>
    <n v="7.5262960452977352E-3"/>
    <n v="4.0891277239738649E-2"/>
    <n v="0"/>
    <n v="0"/>
    <n v="3.5953643528492366E-3"/>
    <n v="3.3556733959926206E-3"/>
    <n v="8.1015543417536137E-3"/>
    <n v="1.2368053373801374E-2"/>
  </r>
  <r>
    <x v="22"/>
    <s v="Census Tract 12, King County, Washington"/>
    <n v="464.34782585501546"/>
    <n v="321.91543192041621"/>
    <n v="142.43239393459925"/>
    <n v="464.34782585501546"/>
    <n v="321.91543192041621"/>
    <n v="142.43239393459925"/>
    <n v="264.13768576677546"/>
    <n v="31.052691428172224"/>
    <n v="7.1368043869148874"/>
    <n v="5.3146415647238525"/>
    <n v="15.792077792322305"/>
    <n v="16.399465399719315"/>
    <n v="4.4035601536283346"/>
    <n v="0"/>
    <n v="11.919981795166354"/>
    <n v="64.76270363870637"/>
    <n v="0"/>
    <n v="0"/>
    <n v="5.6942588193469845"/>
    <n v="5.3146415647238525"/>
    <n v="12.831063206261872"/>
    <n v="19.588250338553628"/>
  </r>
  <r>
    <x v="23"/>
    <s v="Census Tract 12, King County, Washington"/>
    <n v="1736.5338497860814"/>
    <n v="1203.8756577980682"/>
    <n v="532.65819198801319"/>
    <n v="1736.5338497860814"/>
    <n v="1203.8756577980682"/>
    <n v="532.65819198801319"/>
    <n v="987.80269185836778"/>
    <n v="116.128571707408"/>
    <n v="26.689696187032645"/>
    <n v="19.875305671194525"/>
    <n v="59.058051137263725"/>
    <n v="61.329514642543103"/>
    <n v="16.468110413275461"/>
    <n v="0"/>
    <n v="44.57747129110772"/>
    <n v="242.19479625041328"/>
    <n v="0"/>
    <n v="0"/>
    <n v="21.294970361994132"/>
    <n v="19.875305671194525"/>
    <n v="47.984666549026777"/>
    <n v="73.254698045259815"/>
  </r>
  <r>
    <x v="4"/>
    <s v="Census Tract 12, King County, Washington"/>
    <n v="646.61441917461173"/>
    <n v="448.27422127213111"/>
    <n v="198.34019790248067"/>
    <n v="646.61441917461173"/>
    <n v="448.27422127213111"/>
    <n v="198.34019790248067"/>
    <n v="367.81745655795851"/>
    <n v="43.241546344410764"/>
    <n v="9.9381549055613974"/>
    <n v="7.4007536530776363"/>
    <n v="21.990810854859262"/>
    <n v="22.836611272353849"/>
    <n v="6.1320530268357558"/>
    <n v="0"/>
    <n v="16.59883319333127"/>
    <n v="90.183469515360343"/>
    <n v="0"/>
    <n v="0"/>
    <n v="7.9293789140117532"/>
    <n v="7.4007536530776363"/>
    <n v="17.867533819573151"/>
    <n v="27.277063464200431"/>
  </r>
  <r>
    <x v="5"/>
    <s v="Census Tract 12, King County, Washington"/>
    <n v="3268.2107152058638"/>
    <n v="2265.7314310779698"/>
    <n v="1002.4792841278942"/>
    <n v="3268.2107152058638"/>
    <n v="2265.7314310779698"/>
    <n v="1002.4792841278942"/>
    <n v="1859.0753888491172"/>
    <n v="218.55758379973813"/>
    <n v="50.230838330502159"/>
    <n v="37.405943437607995"/>
    <n v="111.14908907174946"/>
    <n v="115.42405403604752"/>
    <n v="30.993495991160909"/>
    <n v="0"/>
    <n v="83.89618742434935"/>
    <n v="455.81813931828026"/>
    <n v="0"/>
    <n v="0"/>
    <n v="40.07779654029428"/>
    <n v="37.405943437607995"/>
    <n v="90.308634870796439"/>
    <n v="137.86762009861232"/>
  </r>
  <r>
    <x v="14"/>
    <s v="Census Tract 11, King County, Washington"/>
    <n v="2335.8973497020875"/>
    <n v="2040.0370093033634"/>
    <n v="295.86034039872396"/>
    <n v="2335.8973497020875"/>
    <n v="2040.0370093033634"/>
    <n v="295.86034039872396"/>
    <n v="1687.2035628143447"/>
    <n v="120.94290941974863"/>
    <n v="56.973106090294813"/>
    <n v="5.9971690621362956"/>
    <n v="49.976408851135801"/>
    <n v="26.987260779613333"/>
    <n v="4.9976408851135803"/>
    <n v="0"/>
    <n v="136.9353602521121"/>
    <n v="120.94290941974863"/>
    <n v="9.9952817702271606"/>
    <n v="15.992450832363456"/>
    <n v="0"/>
    <n v="0"/>
    <n v="93.955648640135308"/>
    <n v="4.9976408851135803"/>
  </r>
  <r>
    <x v="13"/>
    <s v="Census Tract 11, King County, Washington"/>
    <n v="0.52465976688010074"/>
    <n v="0.4582073531032459"/>
    <n v="6.645241377685486E-2"/>
    <n v="0.52465976688010074"/>
    <n v="0.4582073531032459"/>
    <n v="6.645241377685486E-2"/>
    <n v="0.37895835964638858"/>
    <n v="2.7164669145268373E-2"/>
    <n v="1.2796579680002458E-2"/>
    <n v="1.3470083873686797E-3"/>
    <n v="1.1225069894738997E-2"/>
    <n v="6.0615377431590583E-3"/>
    <n v="1.1225069894738996E-3"/>
    <n v="0"/>
    <n v="3.0756691511584854E-2"/>
    <n v="2.7164669145268373E-2"/>
    <n v="2.2450139789477993E-3"/>
    <n v="3.5920223663164792E-3"/>
    <n v="0"/>
    <n v="0"/>
    <n v="2.1103131402109315E-2"/>
    <n v="1.1225069894738996E-3"/>
  </r>
  <r>
    <x v="23"/>
    <s v="Census Tract 11, King County, Washington"/>
    <n v="8.8929418367788018E-2"/>
    <n v="7.7665786430746842E-2"/>
    <n v="1.1263631937041187E-2"/>
    <n v="8.8929418367788018E-2"/>
    <n v="7.7665786430746842E-2"/>
    <n v="1.1263631937041187E-2"/>
    <n v="6.4233144289613256E-2"/>
    <n v="4.604390082371566E-3"/>
    <n v="2.1690102040923909E-3"/>
    <n v="2.2831686358867271E-4"/>
    <n v="1.9026405299056059E-3"/>
    <n v="1.0274258861490272E-3"/>
    <n v="1.9026405299056061E-4"/>
    <n v="0"/>
    <n v="5.2132350519413602E-3"/>
    <n v="4.604390082371566E-3"/>
    <n v="3.8052810598112122E-4"/>
    <n v="6.088449695697939E-4"/>
    <n v="0"/>
    <n v="0"/>
    <n v="3.5769641962225393E-3"/>
    <n v="1.9026405299056061E-4"/>
  </r>
  <r>
    <x v="5"/>
    <s v="Census Tract 11, King County, Washington"/>
    <n v="0.48904788961490725"/>
    <n v="0.42710600885923222"/>
    <n v="6.1941880755675034E-2"/>
    <n v="0.48904788961490725"/>
    <n v="0.42710600885923222"/>
    <n v="6.1941880755675034E-2"/>
    <n v="0.35323613079587657"/>
    <n v="2.532083638998878E-2"/>
    <n v="1.1927997307680665E-2"/>
    <n v="1.2555786639663858E-3"/>
    <n v="1.0463155533053214E-2"/>
    <n v="5.650103987848736E-3"/>
    <n v="1.0463155533053216E-3"/>
    <n v="0"/>
    <n v="2.8669046160565811E-2"/>
    <n v="2.532083638998878E-2"/>
    <n v="2.0926311066106432E-3"/>
    <n v="3.3482097705770288E-3"/>
    <n v="0"/>
    <n v="0"/>
    <n v="1.9670732402140043E-2"/>
    <n v="1.0463155533053216E-3"/>
  </r>
  <r>
    <x v="14"/>
    <s v="Census Tract 10, King County, Washington"/>
    <n v="0.77493393498454588"/>
    <n v="0.64733974649543813"/>
    <n v="0.12759418848910772"/>
    <n v="0.77493393498454588"/>
    <n v="0.64733974649543813"/>
    <n v="0.12759418848910772"/>
    <n v="0.51082288748261662"/>
    <n v="3.3013880937741158E-2"/>
    <n v="2.007600867835611E-2"/>
    <n v="0"/>
    <n v="2.6768011571141483E-2"/>
    <n v="0"/>
    <n v="1.0261071102270902E-2"/>
    <n v="0"/>
    <n v="2.4091210414027332E-2"/>
    <n v="7.8073367082495987E-2"/>
    <n v="0"/>
    <n v="0"/>
    <n v="1.2937872259385049E-2"/>
    <n v="8.4765369975281363E-3"/>
    <n v="4.2382684987640681E-2"/>
    <n v="8.0304034713424444E-3"/>
  </r>
  <r>
    <x v="12"/>
    <s v="Census Tract 10, King County, Washington"/>
    <n v="0.31757630382734137"/>
    <n v="0.26528682605266113"/>
    <n v="5.2289477774680272E-2"/>
    <n v="0.31757630382734137"/>
    <n v="0.26528682605266113"/>
    <n v="5.2289477774680272E-2"/>
    <n v="0.20934074144059059"/>
    <n v="1.3529445298343847E-2"/>
    <n v="8.2273653841280145E-3"/>
    <n v="0"/>
    <n v="1.0969820512170686E-2"/>
    <n v="0"/>
    <n v="4.2050978629987633E-3"/>
    <n v="0"/>
    <n v="9.8728384609536174E-3"/>
    <n v="3.1995309827164503E-2"/>
    <n v="0"/>
    <n v="0"/>
    <n v="5.3020799142158319E-3"/>
    <n v="3.4737764955207174E-3"/>
    <n v="1.7368882477603587E-2"/>
    <n v="3.2909461536512058E-3"/>
  </r>
  <r>
    <x v="13"/>
    <s v="Census Tract 10, King County, Washington"/>
    <n v="1735.9075006804669"/>
    <n v="1450.0873825488529"/>
    <n v="285.82011813161404"/>
    <n v="1735.9075006804669"/>
    <n v="1450.0873825488529"/>
    <n v="285.82011813161404"/>
    <n v="1144.2798435688742"/>
    <n v="73.953457138949076"/>
    <n v="44.971696908820384"/>
    <n v="0"/>
    <n v="59.96226254509385"/>
    <n v="0"/>
    <n v="22.985533975619308"/>
    <n v="0"/>
    <n v="53.966036290584462"/>
    <n v="174.8899324231904"/>
    <n v="0"/>
    <n v="0"/>
    <n v="28.981760230128693"/>
    <n v="18.988049805946385"/>
    <n v="94.94024902973193"/>
    <n v="17.988678763528156"/>
  </r>
  <r>
    <x v="10"/>
    <s v="Census Tract 9, King County, Washington"/>
    <n v="0.5886283697091097"/>
    <n v="0.52235703408305945"/>
    <n v="6.6271335626050198E-2"/>
    <n v="0.5886283697091097"/>
    <n v="0.52235703408305945"/>
    <n v="6.6271335626050198E-2"/>
    <n v="0.48473575184993051"/>
    <n v="4.8039483466918491E-2"/>
    <n v="6.0772840530439048E-3"/>
    <n v="0"/>
    <n v="4.3409171807456464E-3"/>
    <n v="0"/>
    <n v="3.4727337445965172E-3"/>
    <n v="0"/>
    <n v="1.2443962584804187E-2"/>
    <n v="1.4469723935818822E-2"/>
    <n v="0"/>
    <n v="0"/>
    <n v="6.6560730104766579E-3"/>
    <n v="2.604550308447388E-3"/>
    <n v="4.630311659462023E-3"/>
    <n v="1.1575779148655057E-3"/>
  </r>
  <r>
    <x v="12"/>
    <s v="Census Tract 9, King County, Washington"/>
    <n v="1780.2025758129712"/>
    <n v="1579.7766220955816"/>
    <n v="200.42595371738958"/>
    <n v="1780.2025758129712"/>
    <n v="1579.7766220955816"/>
    <n v="200.42595371738958"/>
    <n v="1465.997696404487"/>
    <n v="145.28693588247455"/>
    <n v="18.379672611638345"/>
    <n v="0"/>
    <n v="13.128337579741675"/>
    <n v="0"/>
    <n v="10.502670063793341"/>
    <n v="0"/>
    <n v="37.634567728592799"/>
    <n v="43.761125265805582"/>
    <n v="0"/>
    <n v="0"/>
    <n v="20.130117622270568"/>
    <n v="7.877002547845005"/>
    <n v="14.003560085057787"/>
    <n v="3.5008900212644467"/>
  </r>
  <r>
    <x v="24"/>
    <s v="Census Tract 9, King County, Washington"/>
    <n v="223.02065517930291"/>
    <n v="197.91164336216409"/>
    <n v="25.109011817138821"/>
    <n v="223.02065517930291"/>
    <n v="197.91164336216409"/>
    <n v="25.109011817138821"/>
    <n v="183.65761918649574"/>
    <n v="18.201292408930325"/>
    <n v="2.302573136069499"/>
    <n v="0"/>
    <n v="1.6446950971924992"/>
    <n v="0"/>
    <n v="1.3157560777539994"/>
    <n v="0"/>
    <n v="4.7147926119518315"/>
    <n v="5.4823169906416638"/>
    <n v="0"/>
    <n v="0"/>
    <n v="2.5218658156951657"/>
    <n v="0.9868170583154996"/>
    <n v="1.7543414370053325"/>
    <n v="0.43858535925133313"/>
  </r>
  <r>
    <x v="12"/>
    <s v="Census Tract 8, King County, Washington"/>
    <n v="2103.5681364976317"/>
    <n v="1737.0618419463135"/>
    <n v="366.50629455131809"/>
    <n v="2103.5681364976317"/>
    <n v="1737.0618419463135"/>
    <n v="366.50629455131809"/>
    <n v="1466.0251782052724"/>
    <n v="131.06847619716012"/>
    <n v="21.844746032860019"/>
    <n v="4.0453233394185224"/>
    <n v="67.152367434347468"/>
    <n v="10.517840682488158"/>
    <n v="17.7994226934415"/>
    <n v="0"/>
    <n v="102.75121282123047"/>
    <n v="173.13983892711275"/>
    <n v="0"/>
    <n v="0"/>
    <n v="16.18129335767409"/>
    <n v="25.890069372278543"/>
    <n v="45.307621401487452"/>
    <n v="21.844746032860019"/>
  </r>
  <r>
    <x v="13"/>
    <s v="Census Tract 8, King County, Washington"/>
    <n v="0.17747641939259645"/>
    <n v="0.14655456632150177"/>
    <n v="3.0921853071094692E-2"/>
    <n v="0.17747641939259645"/>
    <n v="0.14655456632150177"/>
    <n v="3.0921853071094692E-2"/>
    <n v="0.12368741228437877"/>
    <n v="1.1058146131384856E-2"/>
    <n v="1.8430243552308094E-3"/>
    <n v="3.4130080652422398E-4"/>
    <n v="5.6655933883021179E-3"/>
    <n v="8.8738209696298228E-4"/>
    <n v="1.5017235487065855E-3"/>
    <n v="0"/>
    <n v="8.6690404857152886E-3"/>
    <n v="1.4607674519236787E-2"/>
    <n v="0"/>
    <n v="0"/>
    <n v="1.3652032260968959E-3"/>
    <n v="2.1843251617550334E-3"/>
    <n v="3.8225690330713083E-3"/>
    <n v="1.8430243552308094E-3"/>
  </r>
  <r>
    <x v="24"/>
    <s v="Census Tract 8, King County, Washington"/>
    <n v="496.25437341780417"/>
    <n v="409.79159220308679"/>
    <n v="86.462781214717424"/>
    <n v="496.25437341780417"/>
    <n v="409.79159220308679"/>
    <n v="86.462781214717424"/>
    <n v="345.8511248588697"/>
    <n v="30.920464805263183"/>
    <n v="5.1534108008771975"/>
    <n v="0.95433533349577726"/>
    <n v="15.841966536029902"/>
    <n v="2.481271867089021"/>
    <n v="4.1990754673814203"/>
    <n v="0"/>
    <n v="24.240117470792743"/>
    <n v="40.845552273619269"/>
    <n v="0"/>
    <n v="0"/>
    <n v="3.817341333983109"/>
    <n v="6.1077461343729746"/>
    <n v="10.688555735152706"/>
    <n v="5.1534108008771975"/>
  </r>
  <r>
    <x v="14"/>
    <s v="Census Tract 7, King County, Washington"/>
    <n v="2969.9333302381942"/>
    <n v="2323.3400628289719"/>
    <n v="646.59326740922256"/>
    <n v="2969.9333302381942"/>
    <n v="2323.3400628289719"/>
    <n v="646.59326740922256"/>
    <n v="1808.6177907466301"/>
    <n v="131.16201148103747"/>
    <n v="43.956998442293639"/>
    <n v="7.0898384584344578"/>
    <n v="109.8924961057341"/>
    <n v="54.591756129945324"/>
    <n v="26.941386142050938"/>
    <n v="4.9628869209041202"/>
    <n v="140.37880147700227"/>
    <n v="357.32785830509664"/>
    <n v="4.2539030750606743"/>
    <n v="0"/>
    <n v="92.167899959647954"/>
    <n v="61.681594588379781"/>
    <n v="97.130786880552066"/>
    <n v="29.777321525424721"/>
  </r>
  <r>
    <x v="12"/>
    <s v="Census Tract 7, King County, Washington"/>
    <n v="0.91430460652354495"/>
    <n v="0.71524855468552329"/>
    <n v="0.19905605183802172"/>
    <n v="0.91430460652354495"/>
    <n v="0.71524855468552329"/>
    <n v="0.19905605183802172"/>
    <n v="0.55678946078815073"/>
    <n v="4.0378694725914495E-2"/>
    <n v="1.3532319313549724E-2"/>
    <n v="2.1826321473467293E-3"/>
    <n v="3.3830798283874308E-2"/>
    <n v="1.6806267534569819E-2"/>
    <n v="8.2940021599175722E-3"/>
    <n v="1.5278425031427106E-3"/>
    <n v="4.3216116517465243E-2"/>
    <n v="0.11000466022627517"/>
    <n v="1.3095792884080376E-3"/>
    <n v="0"/>
    <n v="2.8374217915507483E-2"/>
    <n v="1.8988899681916548E-2"/>
    <n v="2.9902060418650196E-2"/>
    <n v="9.1670550188562641E-3"/>
  </r>
  <r>
    <x v="13"/>
    <s v="Census Tract 7, King County, Washington"/>
    <n v="710.60270737976793"/>
    <n v="555.89521892659332"/>
    <n v="154.70748845317459"/>
    <n v="710.60270737976793"/>
    <n v="555.89521892659332"/>
    <n v="154.70748845317459"/>
    <n v="432.73991561847413"/>
    <n v="31.382549741049672"/>
    <n v="10.517395048351782"/>
    <n v="1.696354040056739"/>
    <n v="26.293487620879453"/>
    <n v="13.061926108436889"/>
    <n v="6.4461453522156082"/>
    <n v="1.1874478280397174"/>
    <n v="33.587809993123429"/>
    <n v="85.496243618859637"/>
    <n v="1.0178124240340434"/>
    <n v="0"/>
    <n v="22.052602520737608"/>
    <n v="14.758280148493629"/>
    <n v="23.240050348777324"/>
    <n v="7.1246869682383034"/>
  </r>
  <r>
    <x v="25"/>
    <s v="Census Tract 7, King County, Washington"/>
    <n v="1.4252707473382216"/>
    <n v="1.1149706944443427"/>
    <n v="0.31030005289387874"/>
    <n v="1.4252707473382216"/>
    <n v="1.1149706944443427"/>
    <n v="0.31030005289387874"/>
    <n v="0.86795552075908411"/>
    <n v="6.2944637922552157E-2"/>
    <n v="2.1094959736206668E-2"/>
    <n v="3.4024128606784951E-3"/>
    <n v="5.2737399340516675E-2"/>
    <n v="2.619857902722441E-2"/>
    <n v="1.2929168870578281E-2"/>
    <n v="2.3816890024749467E-3"/>
    <n v="6.7367774641434203E-2"/>
    <n v="0.17148160817819616"/>
    <n v="2.0414477164070969E-3"/>
    <n v="0"/>
    <n v="4.4231367188820432E-2"/>
    <n v="2.9600991887902908E-2"/>
    <n v="4.6613056191295382E-2"/>
    <n v="1.4290134014849678E-2"/>
  </r>
  <r>
    <x v="24"/>
    <s v="Census Tract 7, King County, Washington"/>
    <n v="504.57641089511395"/>
    <n v="394.72353747989695"/>
    <n v="109.85287341521698"/>
    <n v="504.57641089511395"/>
    <n v="394.72353747989695"/>
    <n v="109.85287341521698"/>
    <n v="307.27486851120449"/>
    <n v="22.283751734446426"/>
    <n v="7.468068148841505"/>
    <n v="1.2045271207808879"/>
    <n v="18.670170372103762"/>
    <n v="9.2748588300128372"/>
    <n v="4.577203058967374"/>
    <n v="0.84316898454662148"/>
    <n v="23.84963699146158"/>
    <n v="60.708166887356747"/>
    <n v="0.72271627246853276"/>
    <n v="0"/>
    <n v="15.658852570151543"/>
    <n v="10.479385950793725"/>
    <n v="16.502021554698164"/>
    <n v="5.0590139072797289"/>
  </r>
  <r>
    <x v="23"/>
    <s v="Census Tract 7, King County, Washington"/>
    <n v="1.5479826041823435"/>
    <n v="1.2109665776809595"/>
    <n v="0.3370160265013839"/>
    <n v="1.5479826041823435"/>
    <n v="1.2109665776809595"/>
    <n v="0.3370160265013839"/>
    <n v="0.94268408290025252"/>
    <n v="6.8363996603899149E-2"/>
    <n v="2.291117724022566E-2"/>
    <n v="3.6953511677783324E-3"/>
    <n v="5.7277943100564152E-2"/>
    <n v="2.8454203991893159E-2"/>
    <n v="1.4042334437557662E-2"/>
    <n v="2.5867458174448324E-3"/>
    <n v="7.3167953122010979E-2"/>
    <n v="0.18624569885602793"/>
    <n v="2.2172107006669991E-3"/>
    <n v="0"/>
    <n v="4.8039565181118321E-2"/>
    <n v="3.2149555159671488E-2"/>
    <n v="5.062631099856315E-2"/>
    <n v="1.5520474904668995E-2"/>
  </r>
  <r>
    <x v="14"/>
    <s v="Census Tract 6, King County, Washington"/>
    <n v="0.24082075501394179"/>
    <n v="0.17548736990827113"/>
    <n v="6.533338510567066E-2"/>
    <n v="0.24082075501394179"/>
    <n v="0.17548736990827113"/>
    <n v="6.533338510567066E-2"/>
    <n v="0.14074322620160001"/>
    <n v="1.1385086638344212E-2"/>
    <n v="2.6172612961710834E-3"/>
    <n v="6.3141428770127385E-3"/>
    <n v="7.6227735250982802E-3"/>
    <n v="1.5703567777026499E-3"/>
    <n v="9.8147298606415627E-4"/>
    <n v="9.1604145365987912E-4"/>
    <n v="1.0665339781897164E-2"/>
    <n v="3.5660185160331009E-2"/>
    <n v="2.2901036341496978E-4"/>
    <n v="0"/>
    <n v="1.5049252452983728E-3"/>
    <n v="2.0283775045325894E-3"/>
    <n v="1.1123360508727104E-2"/>
    <n v="7.4591946940875875E-3"/>
  </r>
  <r>
    <x v="17"/>
    <s v="Census Tract 6, King County, Washington"/>
    <n v="0.12798136683305314"/>
    <n v="9.3260705297173882E-2"/>
    <n v="3.4720661535879244E-2"/>
    <n v="0.12798136683305314"/>
    <n v="9.3260705297173882E-2"/>
    <n v="3.4720661535879244E-2"/>
    <n v="7.4796337469881069E-2"/>
    <n v="6.0504708134631827E-3"/>
    <n v="1.3909128306811914E-3"/>
    <n v="3.3555772040183745E-3"/>
    <n v="4.0510336193589703E-3"/>
    <n v="8.3454769840871491E-4"/>
    <n v="5.2159231150544674E-4"/>
    <n v="4.8681949073841701E-4"/>
    <n v="5.6679697850258552E-3"/>
    <n v="1.8951187318031235E-2"/>
    <n v="1.2170487268460425E-4"/>
    <n v="0"/>
    <n v="7.9977487764168508E-4"/>
    <n v="1.0779574437779233E-3"/>
    <n v="5.9113795303950634E-3"/>
    <n v="3.9641015674413953E-3"/>
  </r>
  <r>
    <x v="22"/>
    <s v="Census Tract 6, King County, Washington"/>
    <n v="5716.0370802277348"/>
    <n v="4165.3067379896174"/>
    <n v="1550.7303422381181"/>
    <n v="5716.0370802277348"/>
    <n v="4165.3067379896174"/>
    <n v="1550.7303422381181"/>
    <n v="3340.6319140252299"/>
    <n v="270.23242819172015"/>
    <n v="62.122397285452905"/>
    <n v="149.87028345115513"/>
    <n v="180.93148209388158"/>
    <n v="37.273438371271737"/>
    <n v="23.295898982044839"/>
    <n v="21.742839049908515"/>
    <n v="253.14876893822057"/>
    <n v="846.41766301429584"/>
    <n v="5.4357097624771287"/>
    <n v="0"/>
    <n v="35.720378439135416"/>
    <n v="48.144857896226"/>
    <n v="264.0201884631748"/>
    <n v="177.04883226354076"/>
  </r>
  <r>
    <x v="23"/>
    <s v="Census Tract 6, King County, Washington"/>
    <n v="1603.492298447238"/>
    <n v="1168.4733988413238"/>
    <n v="435.01889960591416"/>
    <n v="1603.492298447238"/>
    <n v="1168.4733988413238"/>
    <n v="435.01889960591416"/>
    <n v="937.13135007743756"/>
    <n v="75.806999029974023"/>
    <n v="17.426896328729661"/>
    <n v="42.042387393060309"/>
    <n v="50.755835557425144"/>
    <n v="10.456137797237798"/>
    <n v="6.535086123273623"/>
    <n v="6.0994137150553813"/>
    <n v="71.014602539573374"/>
    <n v="237.44146247894165"/>
    <n v="1.5248534287638453"/>
    <n v="0"/>
    <n v="10.020465389019556"/>
    <n v="13.505844654765488"/>
    <n v="74.06430939710107"/>
    <n v="49.666654536879534"/>
  </r>
  <r>
    <x v="4"/>
    <s v="Census Tract 6, King County, Washington"/>
    <n v="41.101821150700758"/>
    <n v="29.951116513022534"/>
    <n v="11.150704637678224"/>
    <n v="41.101821150700758"/>
    <n v="29.951116513022534"/>
    <n v="11.150704637678224"/>
    <n v="24.021197471853643"/>
    <n v="1.9431373129253993"/>
    <n v="0.44669823285641364"/>
    <n v="1.0776594867660978"/>
    <n v="1.3010086031943047"/>
    <n v="0.26801893971384816"/>
    <n v="0.1675118373211551"/>
    <n v="0.15634438149974478"/>
    <n v="1.8202952988898855"/>
    <n v="6.0862634226686358"/>
    <n v="3.9086095374936194E-2"/>
    <n v="0"/>
    <n v="0.25685148389243784"/>
    <n v="0.34619113046372058"/>
    <n v="1.898467489639758"/>
    <n v="1.2730899636407789"/>
  </r>
  <r>
    <x v="16"/>
    <s v="Census Tract 5, King County, Washington"/>
    <n v="3295.4128574558868"/>
    <n v="2926.4785903438651"/>
    <n v="368.9342671120213"/>
    <n v="3295.4128574558868"/>
    <n v="2926.4785903438651"/>
    <n v="368.9342671120213"/>
    <n v="2664.525262475709"/>
    <n v="192.96561938379432"/>
    <n v="42.992340069964541"/>
    <n v="34.993765173226947"/>
    <n v="20.996259103936172"/>
    <n v="0"/>
    <n v="17.996793517659576"/>
    <n v="0"/>
    <n v="45.991805656241134"/>
    <n v="129.97684207198583"/>
    <n v="0"/>
    <n v="0"/>
    <n v="43.992161932056739"/>
    <n v="10.998040483014185"/>
    <n v="89.983967588297872"/>
    <n v="0"/>
  </r>
  <r>
    <x v="20"/>
    <s v="Census Tract 5, King County, Washington"/>
    <n v="0.5784866585961338"/>
    <n v="0.51372283061616619"/>
    <n v="6.4763827979967645E-2"/>
    <n v="0.5784866585961338"/>
    <n v="0.51372283061616619"/>
    <n v="6.4763827979967645E-2"/>
    <n v="0.46773875763309969"/>
    <n v="3.3873763685999342E-2"/>
    <n v="7.5470043445490763E-3"/>
    <n v="6.1429105130050617E-3"/>
    <n v="3.6857463078030371E-3"/>
    <n v="0"/>
    <n v="3.1592111209740319E-3"/>
    <n v="0"/>
    <n v="8.0735395313780815E-3"/>
    <n v="2.2816524762590228E-2"/>
    <n v="0"/>
    <n v="0"/>
    <n v="7.7225160734920775E-3"/>
    <n v="1.9306290183730194E-3"/>
    <n v="1.5796055604870157E-2"/>
    <n v="0"/>
  </r>
  <r>
    <x v="16"/>
    <s v="Census Tract 4.02, King County, Washington"/>
    <n v="1457.1852832131633"/>
    <n v="1194.8156065106623"/>
    <n v="262.36967670250101"/>
    <n v="1457.1852832131633"/>
    <n v="1194.8156065106623"/>
    <n v="262.36967670250101"/>
    <n v="1025.6269180188676"/>
    <n v="112.58044309416408"/>
    <n v="20.989574136200083"/>
    <n v="6.3604770109697215"/>
    <n v="21.307597986748569"/>
    <n v="39.434957468012271"/>
    <n v="21.307597986748569"/>
    <n v="0"/>
    <n v="51.519863788854749"/>
    <n v="73.145485626151796"/>
    <n v="0"/>
    <n v="0"/>
    <n v="7.6325724131636665"/>
    <n v="27.986098848266774"/>
    <n v="46.431482180078966"/>
    <n v="2.8622146549363747"/>
  </r>
  <r>
    <x v="17"/>
    <s v="Census Tract 4.02, King County, Washington"/>
    <n v="3123.7640137426797"/>
    <n v="2561.3228720277712"/>
    <n v="562.44114171490844"/>
    <n v="3123.7640137426797"/>
    <n v="2561.3228720277712"/>
    <n v="562.44114171490844"/>
    <n v="2198.6335539764605"/>
    <n v="241.3383808085789"/>
    <n v="44.995291337192683"/>
    <n v="13.634936768846266"/>
    <n v="45.677038175634991"/>
    <n v="84.536607966846844"/>
    <n v="45.677038175634991"/>
    <n v="0"/>
    <n v="110.44298782765476"/>
    <n v="156.80177284173206"/>
    <n v="0"/>
    <n v="0"/>
    <n v="16.36192412261552"/>
    <n v="59.993721782923572"/>
    <n v="99.535038412577748"/>
    <n v="6.1357215459808199"/>
  </r>
  <r>
    <x v="22"/>
    <s v="Census Tract 4.02, King County, Washington"/>
    <n v="1.0507055912232726"/>
    <n v="0.86152355002746295"/>
    <n v="0.18918204119580967"/>
    <n v="1.0507055912232726"/>
    <n v="0.86152355002746295"/>
    <n v="0.18918204119580967"/>
    <n v="0.73952979740180147"/>
    <n v="8.117629404038379E-2"/>
    <n v="1.5134563295664774E-2"/>
    <n v="4.5862313017165984E-3"/>
    <n v="1.5363874860750604E-2"/>
    <n v="2.8434634070642908E-2"/>
    <n v="1.5363874860750604E-2"/>
    <n v="0"/>
    <n v="3.7148473543904444E-2"/>
    <n v="5.2741659969740881E-2"/>
    <n v="0"/>
    <n v="0"/>
    <n v="5.5034775620599174E-3"/>
    <n v="2.0179417727553033E-2"/>
    <n v="3.3479488502531164E-2"/>
    <n v="2.0638040857724692E-3"/>
  </r>
  <r>
    <x v="16"/>
    <s v="Census Tract 4.01, King County, Washington"/>
    <n v="1497.3567615649174"/>
    <n v="1133.6135685358395"/>
    <n v="363.74319302907793"/>
    <n v="1497.3567615649174"/>
    <n v="1133.6135685358395"/>
    <n v="363.74319302907793"/>
    <n v="961.23092488292855"/>
    <n v="78.442010322792456"/>
    <n v="9.805251290349057"/>
    <n v="31.94614130081467"/>
    <n v="13.917130863721242"/>
    <n v="30.68094758593092"/>
    <n v="1.5814921436046867"/>
    <n v="0"/>
    <n v="37.323214589070602"/>
    <n v="174.28043422523646"/>
    <n v="3.4792827159303106"/>
    <n v="0"/>
    <n v="45.230675307094039"/>
    <n v="12.968235577558431"/>
    <n v="61.045596743140905"/>
    <n v="35.425424016744984"/>
  </r>
  <r>
    <x v="17"/>
    <s v="Census Tract 4.01, King County, Washington"/>
    <n v="3236.0668822976827"/>
    <n v="2449.950085795288"/>
    <n v="786.11679650239432"/>
    <n v="3236.0668822976827"/>
    <n v="2449.950085795288"/>
    <n v="786.11679650239432"/>
    <n v="2077.3990822354576"/>
    <n v="169.52779611529897"/>
    <n v="21.190974514412371"/>
    <n v="69.041562127601594"/>
    <n v="30.077512214004653"/>
    <n v="66.307242835419345"/>
    <n v="3.4178991152278018"/>
    <n v="0"/>
    <n v="80.662419119376111"/>
    <n v="376.65248249810372"/>
    <n v="7.5193780535011632"/>
    <n v="0"/>
    <n v="97.751914695515126"/>
    <n v="28.026772744867973"/>
    <n v="131.93090584779313"/>
    <n v="76.560940181102751"/>
  </r>
  <r>
    <x v="22"/>
    <s v="Census Tract 4.01, King County, Washington"/>
    <n v="0.57635981673155179"/>
    <n v="0.43634845440766407"/>
    <n v="0.14001136232388775"/>
    <n v="0.57635981673155179"/>
    <n v="0.43634845440766407"/>
    <n v="0.14001136232388775"/>
    <n v="0.36999524356721292"/>
    <n v="3.0193754657673183E-2"/>
    <n v="3.7742193322091479E-3"/>
    <n v="1.2296650082358838E-2"/>
    <n v="5.3569564715226616E-3"/>
    <n v="1.1809654039493141E-2"/>
    <n v="6.0874505358212067E-4"/>
    <n v="0"/>
    <n v="1.4366383264538048E-2"/>
    <n v="6.70837049047497E-2"/>
    <n v="1.3392391178806654E-3"/>
    <n v="0"/>
    <n v="1.7410108532448652E-2"/>
    <n v="4.9917094393733897E-3"/>
    <n v="2.3497559068269856E-2"/>
    <n v="1.3635889200239502E-2"/>
  </r>
  <r>
    <x v="17"/>
    <s v="Census Tract 3, King County, Washington"/>
    <n v="0.23802786384831051"/>
    <n v="0.19502001239241859"/>
    <n v="4.3007851455891921E-2"/>
    <n v="0.23802786384831051"/>
    <n v="0.19502001239241859"/>
    <n v="4.3007851455891921E-2"/>
    <n v="0.15641831052888977"/>
    <n v="1.2452161891460914E-2"/>
    <n v="6.8007961099517296E-3"/>
    <n v="1.0536444677390004E-3"/>
    <n v="1.2643733612868004E-2"/>
    <n v="7.6628688562836386E-4"/>
    <n v="1.3410020498496368E-3"/>
    <n v="0"/>
    <n v="4.7892930351772743E-3"/>
    <n v="2.413803689729346E-2"/>
    <n v="0"/>
    <n v="0"/>
    <n v="2.0115030747744553E-3"/>
    <n v="5.7471516422127292E-4"/>
    <n v="1.101537398090773E-2"/>
    <n v="4.0230061495489106E-3"/>
  </r>
  <r>
    <x v="22"/>
    <s v="Census Tract 3, King County, Washington"/>
    <n v="2336.0275403589303"/>
    <n v="1913.944495843373"/>
    <n v="422.08304451555722"/>
    <n v="2336.0275403589303"/>
    <n v="1913.944495843373"/>
    <n v="422.08304451555722"/>
    <n v="1535.1038122358684"/>
    <n v="122.20667213145309"/>
    <n v="66.743644010255153"/>
    <n v="10.340564564969107"/>
    <n v="124.08677477962928"/>
    <n v="7.5204105927048053"/>
    <n v="13.160718537233409"/>
    <n v="0"/>
    <n v="47.002566204405035"/>
    <n v="236.89293367020136"/>
    <n v="0"/>
    <n v="0"/>
    <n v="19.741077805850114"/>
    <n v="5.6403079445286037"/>
    <n v="108.10590227013158"/>
    <n v="39.482155611700229"/>
  </r>
  <r>
    <x v="23"/>
    <s v="Census Tract 3, King County, Washington"/>
    <n v="148.73442972437203"/>
    <n v="121.8604824623024"/>
    <n v="26.873947262069635"/>
    <n v="148.73442972437203"/>
    <n v="121.8604824623024"/>
    <n v="26.873947262069635"/>
    <n v="97.739768104587341"/>
    <n v="7.7808755992629237"/>
    <n v="4.2495551349820584"/>
    <n v="0.6583817814760935"/>
    <n v="7.900581377713122"/>
    <n v="0.47882311380079529"/>
    <n v="0.83794044915139176"/>
    <n v="0"/>
    <n v="2.9926444612549705"/>
    <n v="15.082928084725051"/>
    <n v="0"/>
    <n v="0"/>
    <n v="1.2569106737270876"/>
    <n v="0.35911733535059648"/>
    <n v="6.8830822608864324"/>
    <n v="2.5138213474541753"/>
  </r>
  <r>
    <x v="14"/>
    <s v="Census Tract 2, King County, Washington"/>
    <n v="0.27179886575640888"/>
    <n v="0.21103729495014295"/>
    <n v="6.0761570806265951E-2"/>
    <n v="0.27179886575640888"/>
    <n v="0.21103729495014295"/>
    <n v="6.0761570806265951E-2"/>
    <n v="0.17014720010183365"/>
    <n v="1.7207143985940115E-2"/>
    <n v="2.7383411934614374E-3"/>
    <n v="1.4431798181756225E-3"/>
    <n v="9.6211987878374837E-3"/>
    <n v="3.3304149650206674E-3"/>
    <n v="1.59119826106543E-3"/>
    <n v="0"/>
    <n v="1.3691705967307188E-2"/>
    <n v="3.0639817678190139E-2"/>
    <n v="0"/>
    <n v="2.59032275057163E-4"/>
    <n v="2.5533181398491784E-3"/>
    <n v="2.1462674219022079E-3"/>
    <n v="1.0694332498788588E-2"/>
    <n v="5.7357146619800379E-3"/>
  </r>
  <r>
    <x v="25"/>
    <s v="Census Tract 2, King County, Washington"/>
    <n v="4400.0456174327273"/>
    <n v="3416.4002935628105"/>
    <n v="983.64532386991675"/>
    <n v="4400.0456174327273"/>
    <n v="3416.4002935628105"/>
    <n v="983.64532386991675"/>
    <n v="2754.4465281083294"/>
    <n v="278.55972935414815"/>
    <n v="44.329935424100995"/>
    <n v="23.363074074864038"/>
    <n v="155.75382716576027"/>
    <n v="53.914786326609317"/>
    <n v="25.759286800491118"/>
    <n v="0"/>
    <n v="221.64967712050498"/>
    <n v="496.01603420480575"/>
    <n v="0"/>
    <n v="4.1933722698473916"/>
    <n v="41.334669517067148"/>
    <n v="34.745084521592673"/>
    <n v="173.12636942655661"/>
    <n v="92.853243118049377"/>
  </r>
  <r>
    <x v="23"/>
    <s v="Census Tract 2, King County, Washington"/>
    <n v="2944.6825814660529"/>
    <n v="2286.3886674065216"/>
    <n v="658.29391405953152"/>
    <n v="2944.6825814660529"/>
    <n v="2286.3886674065216"/>
    <n v="658.29391405953152"/>
    <n v="1843.3833232921595"/>
    <n v="186.42306336034235"/>
    <n v="29.667326212183514"/>
    <n v="15.635482733448068"/>
    <n v="104.23655155632045"/>
    <n v="36.081883231034006"/>
    <n v="17.23912198816069"/>
    <n v="0"/>
    <n v="148.33663106091757"/>
    <n v="331.95332572551285"/>
    <n v="0"/>
    <n v="2.8063686957470892"/>
    <n v="27.662777143792734"/>
    <n v="23.252769193333023"/>
    <n v="115.86293615298696"/>
    <n v="62.141021120114118"/>
  </r>
  <r>
    <x v="25"/>
    <s v="Census Tract 1, King County, Washington"/>
    <n v="1288.660055192742"/>
    <n v="958.92154197434593"/>
    <n v="329.73851321839601"/>
    <n v="1288.660055192742"/>
    <n v="958.92154197434593"/>
    <n v="329.73851321839601"/>
    <n v="693.96557764267368"/>
    <n v="75.968024953496183"/>
    <n v="38.217043228139183"/>
    <n v="10.719414563990259"/>
    <n v="85.056224257748795"/>
    <n v="52.431919062995831"/>
    <n v="19.108521614069591"/>
    <n v="0"/>
    <n v="27.497628664148923"/>
    <n v="118.61265245806612"/>
    <n v="14.913968089029925"/>
    <n v="8.3891070500793337"/>
    <n v="19.108521614069591"/>
    <n v="50.567673051867089"/>
    <n v="61.054056864466254"/>
    <n v="13.049722077901185"/>
  </r>
  <r>
    <x v="24"/>
    <s v="Census Tract 1, King County, Washington"/>
    <n v="4222.204211022603"/>
    <n v="3141.839119052082"/>
    <n v="1080.3650919705215"/>
    <n v="4222.204211022603"/>
    <n v="3141.839119052082"/>
    <n v="1080.3650919705215"/>
    <n v="2273.7295009810691"/>
    <n v="248.90390104762545"/>
    <n v="125.21545942273183"/>
    <n v="35.121409350278434"/>
    <n v="278.68074810547023"/>
    <n v="171.78950225679671"/>
    <n v="62.607729711365913"/>
    <n v="0"/>
    <n v="90.094050072453385"/>
    <n v="388.62602954982009"/>
    <n v="48.864569530822173"/>
    <n v="27.486320361087472"/>
    <n v="62.607729711365913"/>
    <n v="165.68143106544395"/>
    <n v="200.03933151680326"/>
    <n v="42.756498339469402"/>
  </r>
  <r>
    <x v="26"/>
    <s v="Census Tract 121, King County, Washington"/>
    <n v="1601.1157438007058"/>
    <n v="1486.7919967023677"/>
    <n v="114.3237470983382"/>
    <n v="1601.1157438007058"/>
    <n v="1486.7919967023677"/>
    <n v="114.3237470983382"/>
    <n v="1359.0527078526939"/>
    <n v="82.243103779926969"/>
    <n v="5.2495598157400192"/>
    <n v="0"/>
    <n v="0"/>
    <n v="0"/>
    <n v="24.497945806786756"/>
    <n v="9.3325507835378119"/>
    <n v="39.080056406064585"/>
    <n v="18.665101567075624"/>
    <n v="0"/>
    <n v="0"/>
    <n v="9.9158352075089251"/>
    <n v="4.0829909677977927"/>
    <n v="48.995891613573512"/>
    <n v="0"/>
  </r>
  <r>
    <x v="27"/>
    <s v="Census Tract 121, King County, Washington"/>
    <n v="1135.3180179228934"/>
    <n v="1054.2534162788545"/>
    <n v="81.064601644039016"/>
    <n v="1135.3180179228934"/>
    <n v="1054.2534162788545"/>
    <n v="81.064601644039016"/>
    <n v="963.67613178883119"/>
    <n v="58.31688179494644"/>
    <n v="3.7223541571242409"/>
    <n v="0"/>
    <n v="0"/>
    <n v="0"/>
    <n v="17.370986066579789"/>
    <n v="6.6175185015542057"/>
    <n v="27.710858725258237"/>
    <n v="13.235037003108411"/>
    <n v="0"/>
    <n v="0"/>
    <n v="7.0311134079013433"/>
    <n v="2.8951643444299648"/>
    <n v="34.741972133159578"/>
    <n v="0"/>
  </r>
  <r>
    <x v="26"/>
    <s v="Census Tract 120, King County, Washington"/>
    <n v="3366.4006829038854"/>
    <n v="2985.3173947774535"/>
    <n v="381.08328812643219"/>
    <n v="3366.4006829038854"/>
    <n v="2985.3173947774535"/>
    <n v="381.08328812643219"/>
    <n v="2551.7732903634865"/>
    <n v="191.03655742441927"/>
    <n v="69.287870568442216"/>
    <n v="3.9593068896252697"/>
    <n v="62.359083511597994"/>
    <n v="4.949133612031587"/>
    <n v="20.786361170532665"/>
    <n v="0"/>
    <n v="111.85041963191387"/>
    <n v="130.6571273576339"/>
    <n v="15.837227558501079"/>
    <n v="9.8982672240631739"/>
    <n v="37.613415451440062"/>
    <n v="34.643935284221108"/>
    <n v="115.80972652153913"/>
    <n v="5.9389603344379047"/>
  </r>
  <r>
    <x v="27"/>
    <s v="Census Tract 120, King County, Washington"/>
    <n v="27.770395453193885"/>
    <n v="24.626731163432154"/>
    <n v="3.1436642897617304"/>
    <n v="27.770395453193885"/>
    <n v="24.626731163432154"/>
    <n v="3.1436642897617304"/>
    <n v="21.050302698716209"/>
    <n v="1.5759148257766598"/>
    <n v="0.57157532541122369"/>
    <n v="3.2661447166355641E-2"/>
    <n v="0.51441779287010136"/>
    <n v="4.0826808957944549E-2"/>
    <n v="0.17147259762336711"/>
    <n v="0"/>
    <n v="0.92268588244954686"/>
    <n v="1.0778277564897361"/>
    <n v="0.13064578866542256"/>
    <n v="8.1653617915889098E-2"/>
    <n v="0.31028374808037856"/>
    <n v="0.28578766270561184"/>
    <n v="0.95534732961590252"/>
    <n v="4.8992170749533465E-2"/>
  </r>
  <r>
    <x v="28"/>
    <s v="Census Tract 120, King County, Washington"/>
    <n v="3.5746011709587945E-2"/>
    <n v="3.1699491713060052E-2"/>
    <n v="4.0465199965278907E-3"/>
    <n v="3.5746011709587945E-2"/>
    <n v="3.1699491713060052E-2"/>
    <n v="4.0465199965278907E-3"/>
    <n v="2.7095918314412736E-2"/>
    <n v="2.0285152190386573E-3"/>
    <n v="7.3573090845961654E-4"/>
    <n v="4.2041766197692375E-5"/>
    <n v="6.6215781761365486E-4"/>
    <n v="5.2552207747115471E-5"/>
    <n v="2.2071927253788497E-4"/>
    <n v="0"/>
    <n v="1.1876798950848095E-3"/>
    <n v="1.3873782845238484E-3"/>
    <n v="1.681670647907695E-4"/>
    <n v="1.0510441549423094E-4"/>
    <n v="3.9939677887807759E-4"/>
    <n v="3.6786545422980827E-4"/>
    <n v="1.2297216612825019E-3"/>
    <n v="6.306264929653856E-5"/>
  </r>
  <r>
    <x v="29"/>
    <s v="Census Tract 119, King County, Washington"/>
    <n v="3352.5619425573318"/>
    <n v="2594.5954874532513"/>
    <n v="757.96645510408041"/>
    <n v="3352.5619425573318"/>
    <n v="2594.5954874532513"/>
    <n v="757.96645510408041"/>
    <n v="897.48097247345413"/>
    <n v="65.075563470949461"/>
    <n v="6.0862037778585822"/>
    <n v="8.8952209061010059"/>
    <n v="952.72497599555504"/>
    <n v="66.011902513696938"/>
    <n v="12.172407555717164"/>
    <n v="0"/>
    <n v="426.03426445010081"/>
    <n v="590.82993597365623"/>
    <n v="10.299729470222218"/>
    <n v="10.299729470222218"/>
    <n v="22.472137025939382"/>
    <n v="0"/>
    <n v="267.32479670440392"/>
    <n v="16.854102769454535"/>
  </r>
  <r>
    <x v="30"/>
    <s v="Census Tract 119, King County, Washington"/>
    <n v="3674.8476798153997"/>
    <n v="2844.0170145980933"/>
    <n v="830.83066521730655"/>
    <n v="3674.8476798153997"/>
    <n v="2844.0170145980933"/>
    <n v="830.83066521730655"/>
    <n v="983.75687783914555"/>
    <n v="71.33135420951551"/>
    <n v="6.6712777318251915"/>
    <n v="9.7503289926675869"/>
    <n v="1044.3115526357126"/>
    <n v="72.357704629796302"/>
    <n v="13.342555463650383"/>
    <n v="0"/>
    <n v="466.98944122776339"/>
    <n v="647.62711519718403"/>
    <n v="11.289854623088786"/>
    <n v="11.289854623088786"/>
    <n v="24.632410086739171"/>
    <n v="0"/>
    <n v="293.02304499016805"/>
    <n v="18.474307565054378"/>
  </r>
  <r>
    <x v="31"/>
    <s v="Census Tract 109, King County, Washington"/>
    <n v="34.563927791173491"/>
    <n v="26.612006731975924"/>
    <n v="7.9519210591975682"/>
    <n v="34.563927791173491"/>
    <n v="26.612006731975924"/>
    <n v="7.9519210591975682"/>
    <n v="18.628404712383148"/>
    <n v="0.95042881185628303"/>
    <n v="0.88706689106586423"/>
    <n v="0.95042881185628303"/>
    <n v="2.2176672276646605"/>
    <n v="0.53857632671856037"/>
    <n v="1.6474099405508906"/>
    <n v="0.88706689106586423"/>
    <n v="1.0454716930419115"/>
    <n v="2.8512864355688494"/>
    <n v="0"/>
    <n v="0"/>
    <n v="0.85538593067065471"/>
    <n v="0.95042881185628303"/>
    <n v="1.3306003365987964"/>
    <n v="0.82370497027544531"/>
  </r>
  <r>
    <x v="32"/>
    <s v="Census Tract 109, King County, Washington"/>
    <n v="1048.4453248162986"/>
    <n v="807.23563047267726"/>
    <n v="241.20969434362141"/>
    <n v="1048.4453248162986"/>
    <n v="807.23563047267726"/>
    <n v="241.20969434362141"/>
    <n v="565.06494133087403"/>
    <n v="28.829843945452758"/>
    <n v="26.907854349089241"/>
    <n v="28.829843945452758"/>
    <n v="67.2696358727231"/>
    <n v="16.336911569089896"/>
    <n v="49.971729505451449"/>
    <n v="26.907854349089241"/>
    <n v="31.712828339998033"/>
    <n v="86.489531836358267"/>
    <n v="0"/>
    <n v="0"/>
    <n v="25.946859550907483"/>
    <n v="28.829843945452758"/>
    <n v="40.361781523633859"/>
    <n v="24.985864752725725"/>
  </r>
  <r>
    <x v="33"/>
    <s v="Census Tract 109, King County, Washington"/>
    <n v="0.72882895688451133"/>
    <n v="0.56115153417322594"/>
    <n v="0.16767742271128538"/>
    <n v="0.72882895688451133"/>
    <n v="0.56115153417322594"/>
    <n v="0.16767742271128538"/>
    <n v="0.39280607392125816"/>
    <n v="2.0041126220472355E-2"/>
    <n v="1.8705051139107531E-2"/>
    <n v="2.0041126220472355E-2"/>
    <n v="4.6762627847768828E-2"/>
    <n v="1.1356638191601001E-2"/>
    <n v="3.4737952115485415E-2"/>
    <n v="1.8705051139107531E-2"/>
    <n v="2.2045238842519591E-2"/>
    <n v="6.0123378661417065E-2"/>
    <n v="0"/>
    <n v="0"/>
    <n v="1.803701359842512E-2"/>
    <n v="2.0041126220472355E-2"/>
    <n v="2.8057576708661297E-2"/>
    <n v="1.7368976057742708E-2"/>
  </r>
  <r>
    <x v="34"/>
    <s v="Census Tract 109, King County, Washington"/>
    <n v="0.43889248298136385"/>
    <n v="0.33791905197465227"/>
    <n v="0.10097343100671158"/>
    <n v="0.43889248298136385"/>
    <n v="0.33791905197465227"/>
    <n v="0.10097343100671158"/>
    <n v="0.23654333638225661"/>
    <n v="1.2068537570523296E-2"/>
    <n v="1.1263968399155076E-2"/>
    <n v="1.2068537570523296E-2"/>
    <n v="2.8159920997887691E-2"/>
    <n v="6.8388379566298677E-3"/>
    <n v="2.0918798455573713E-2"/>
    <n v="1.1263968399155076E-2"/>
    <n v="1.3275391327575626E-2"/>
    <n v="3.6205612711569884E-2"/>
    <n v="0"/>
    <n v="0"/>
    <n v="1.0861683813470966E-2"/>
    <n v="1.2068537570523296E-2"/>
    <n v="1.6895952598732614E-2"/>
    <n v="1.0459399227786857E-2"/>
  </r>
  <r>
    <x v="10"/>
    <s v="Census Tract 108, King County, Washington"/>
    <n v="4.900983121917641E-2"/>
    <n v="3.3566397561409618E-2"/>
    <n v="1.5443433657766795E-2"/>
    <n v="4.900983121917641E-2"/>
    <n v="3.3566397561409618E-2"/>
    <n v="1.5443433657766795E-2"/>
    <n v="2.0858086063333701E-2"/>
    <n v="1.0228912141933371E-3"/>
    <n v="6.115110519634081E-4"/>
    <n v="3.1131471736318956E-4"/>
    <n v="3.5245273358618244E-3"/>
    <n v="5.0032722433369752E-4"/>
    <n v="8.1164194169688702E-4"/>
    <n v="0"/>
    <n v="3.4133435082321141E-3"/>
    <n v="1.1207329825074825E-2"/>
    <n v="5.5591913814855281E-4"/>
    <n v="0"/>
    <n v="1.6121655006308031E-3"/>
    <n v="1.3453243143194977E-3"/>
    <n v="2.1792030215423267E-3"/>
    <n v="1.0562463624822502E-3"/>
  </r>
  <r>
    <x v="35"/>
    <s v="Census Tract 108, King County, Washington"/>
    <n v="3.9660385426121074"/>
    <n v="2.7163045281637825"/>
    <n v="1.2497340144483251"/>
    <n v="3.9660385426121074"/>
    <n v="2.7163045281637825"/>
    <n v="1.2497340144483251"/>
    <n v="1.6879056955399985"/>
    <n v="8.2775759056332554E-2"/>
    <n v="4.9485508131503153E-2"/>
    <n v="2.5192622321492514E-2"/>
    <n v="0.28521647413975454"/>
    <n v="4.0488143016684401E-2"/>
    <n v="6.5680765338176919E-2"/>
    <n v="0"/>
    <n v="0.27621910902493579"/>
    <n v="0.90693440357373056"/>
    <n v="4.4986825574093781E-2"/>
    <n v="0"/>
    <n v="0.13046179416487197"/>
    <n v="0.10886811788930695"/>
    <n v="0.17634835625044762"/>
    <n v="8.5474968590778175E-2"/>
  </r>
  <r>
    <x v="36"/>
    <s v="Census Tract 108, King County, Washington"/>
    <n v="4.2328576543261285"/>
    <n v="2.8990465649751771"/>
    <n v="1.3338110893509509"/>
    <n v="4.2328576543261285"/>
    <n v="2.8990465649751771"/>
    <n v="1.3338110893509509"/>
    <n v="1.8014611977122996"/>
    <n v="8.8344578992287606E-2"/>
    <n v="5.2814693962780636E-2"/>
    <n v="2.6887480562870141E-2"/>
    <n v="0.30440469065820841"/>
    <n v="4.3212022333184157E-2"/>
    <n v="7.0099502896054294E-2"/>
    <n v="0"/>
    <n v="0.29480201902861192"/>
    <n v="0.96794930026332515"/>
    <n v="4.8013358147982396E-2"/>
    <n v="0"/>
    <n v="0.13923873862914896"/>
    <n v="0.1161923267181174"/>
    <n v="0.188212363940091"/>
    <n v="9.122538048116656E-2"/>
  </r>
  <r>
    <x v="37"/>
    <s v="Census Tract 108, King County, Washington"/>
    <n v="308.80066827708362"/>
    <n v="211.49483156273035"/>
    <n v="97.305836714353248"/>
    <n v="308.80066827708362"/>
    <n v="211.49483156273035"/>
    <n v="97.305836714353248"/>
    <n v="131.42242597273341"/>
    <n v="6.44502302211699"/>
    <n v="3.8530028936568961"/>
    <n v="1.9615287458616926"/>
    <n v="22.207307587077018"/>
    <n v="3.1524569129920059"/>
    <n v="5.1139856588536983"/>
    <n v="0"/>
    <n v="21.50676160641213"/>
    <n v="70.615034851020937"/>
    <n v="3.5027299033244508"/>
    <n v="0"/>
    <n v="10.157916719640907"/>
    <n v="8.4766063660451714"/>
    <n v="13.730701221031847"/>
    <n v="6.6551868163164567"/>
  </r>
  <r>
    <x v="38"/>
    <s v="Census Tract 108, King County, Washington"/>
    <n v="3267.5108708318344"/>
    <n v="2237.8891377135451"/>
    <n v="1029.6217331182891"/>
    <n v="3267.5108708318344"/>
    <n v="2237.8891377135451"/>
    <n v="1029.6217331182891"/>
    <n v="1390.619417804111"/>
    <n v="68.196687866726123"/>
    <n v="40.769759050760186"/>
    <n v="20.755513698568819"/>
    <n v="234.98206580165413"/>
    <n v="33.357075586985601"/>
    <n v="54.112589285554421"/>
    <n v="0"/>
    <n v="227.56938233787957"/>
    <n v="747.1984931484775"/>
    <n v="37.063417318872894"/>
    <n v="0"/>
    <n v="107.48391022473139"/>
    <n v="89.693469911672395"/>
    <n v="145.28859588998174"/>
    <n v="70.420492905858495"/>
  </r>
  <r>
    <x v="39"/>
    <s v="Census Tract 108, King County, Washington"/>
    <n v="0.7066593428235789"/>
    <n v="0.48398469963348112"/>
    <n v="0.2226746431900978"/>
    <n v="0.7066593428235789"/>
    <n v="0.48398469963348112"/>
    <n v="0.2226746431900978"/>
    <n v="0.30074703428698596"/>
    <n v="1.4748788461835131E-2"/>
    <n v="8.8172104934883949E-3"/>
    <n v="4.4887617057759099E-3"/>
    <n v="5.0819195026105837E-2"/>
    <n v="7.2140813128541408E-3"/>
    <n v="1.170284301863005E-2"/>
    <n v="0"/>
    <n v="4.9216065845471585E-2"/>
    <n v="0.16159542140793276"/>
    <n v="8.015645903171267E-3"/>
    <n v="0"/>
    <n v="2.3245373119196677E-2"/>
    <n v="1.9397863085674469E-2"/>
    <n v="3.1421331940431368E-2"/>
    <n v="1.5229727216025408E-2"/>
  </r>
  <r>
    <x v="40"/>
    <s v="Census Tract 108, King County, Washington"/>
    <n v="0.32111309204875277"/>
    <n v="0.21992750111052284"/>
    <n v="0.10118559093822994"/>
    <n v="0.32111309204875277"/>
    <n v="0.21992750111052284"/>
    <n v="0.10118559093822994"/>
    <n v="0.13666246839461438"/>
    <n v="6.7019973839576351E-3"/>
    <n v="4.0066288708442387E-3"/>
    <n v="2.0397383342479758E-3"/>
    <n v="2.3092751855593157E-2"/>
    <n v="3.2781508943271042E-3"/>
    <n v="5.31788922857508E-3"/>
    <n v="0"/>
    <n v="2.2364273879076021E-2"/>
    <n v="7.3430580032927129E-2"/>
    <n v="3.6423898825856714E-3"/>
    <n v="0"/>
    <n v="1.0562930659498447E-2"/>
    <n v="8.8145835158573247E-3"/>
    <n v="1.4278168339735832E-2"/>
    <n v="6.9205407769127756E-3"/>
  </r>
  <r>
    <x v="31"/>
    <s v="Census Tract 108, King County, Washington"/>
    <n v="745.31800610505013"/>
    <n v="510.46167432648514"/>
    <n v="234.85633177856505"/>
    <n v="745.31800610505013"/>
    <n v="510.46167432648514"/>
    <n v="234.85633177856505"/>
    <n v="317.1997684784651"/>
    <n v="15.555638965894877"/>
    <n v="9.2995667730893281"/>
    <n v="4.7343249026636585"/>
    <n v="53.599321219442132"/>
    <n v="7.6087364507094506"/>
    <n v="12.343061353373109"/>
    <n v="0"/>
    <n v="51.908490897062251"/>
    <n v="170.4356964958917"/>
    <n v="8.4541516118993894"/>
    <n v="0"/>
    <n v="24.517039674508229"/>
    <n v="20.459046900796523"/>
    <n v="33.140274318645609"/>
    <n v="16.062888062608842"/>
  </r>
  <r>
    <x v="41"/>
    <s v="Census Tract 108, King County, Washington"/>
    <n v="56.363814351951689"/>
    <n v="38.603075210649308"/>
    <n v="17.760739141302381"/>
    <n v="56.363814351951689"/>
    <n v="38.603075210649308"/>
    <n v="17.760739141302381"/>
    <n v="23.987866543616462"/>
    <n v="1.1763772505398264"/>
    <n v="0.70326900847489626"/>
    <n v="0.3580278588599472"/>
    <n v="4.0533868306644019"/>
    <n v="0.57540191602491508"/>
    <n v="0.93342977488486234"/>
    <n v="0"/>
    <n v="3.9255197382144211"/>
    <n v="12.889002918958099"/>
    <n v="0.63933546224990567"/>
    <n v="0"/>
    <n v="1.8540728405247267"/>
    <n v="1.5471918186447717"/>
    <n v="2.5061950120196306"/>
    <n v="1.2147373782748208"/>
  </r>
  <r>
    <x v="37"/>
    <s v="Census Tract 107, King County, Washington"/>
    <n v="6.048035328690915"/>
    <n v="4.2789357439467972"/>
    <n v="1.7690995847441178"/>
    <n v="6.048035328690915"/>
    <n v="4.2789357439467972"/>
    <n v="1.7690995847441178"/>
    <n v="1.6046009039800488"/>
    <n v="0.12805286526544282"/>
    <n v="6.0086344470707785E-2"/>
    <n v="1.083524244553747E-2"/>
    <n v="1.1357304127004275"/>
    <n v="0.16252863668306203"/>
    <n v="0.26398590685491291"/>
    <n v="4.6296035903660097E-2"/>
    <n v="0.44325991822653282"/>
    <n v="1.1317903245384138"/>
    <n v="0.11623260077940194"/>
    <n v="6.6981498754231622E-2"/>
    <n v="0.25709075257138903"/>
    <n v="8.8651983645306562E-2"/>
    <n v="0.39794890436337615"/>
    <n v="0.13396299750846324"/>
  </r>
  <r>
    <x v="38"/>
    <s v="Census Tract 107, King County, Washington"/>
    <n v="106.38787301198454"/>
    <n v="75.268553805221643"/>
    <n v="31.119319206762906"/>
    <n v="106.38787301198454"/>
    <n v="75.268553805221643"/>
    <n v="31.119319206762906"/>
    <n v="28.225707676958113"/>
    <n v="2.2525119693091189"/>
    <n v="1.0569479240604327"/>
    <n v="0.19059716663384854"/>
    <n v="19.978048466257032"/>
    <n v="2.8589574995077278"/>
    <n v="4.6436400598064917"/>
    <n v="0.81436971198098917"/>
    <n v="7.7971568168392578"/>
    <n v="19.908740405662904"/>
    <n v="2.0445877875267389"/>
    <n v="1.1782370301001546"/>
    <n v="4.5223509537667699"/>
    <n v="1.5594313633678516"/>
    <n v="7.0001141200068009"/>
    <n v="2.3564740602003091"/>
  </r>
  <r>
    <x v="39"/>
    <s v="Census Tract 107, King County, Washington"/>
    <n v="5702.0401801266207"/>
    <n v="4034.1469938876289"/>
    <n v="1667.893186238992"/>
    <n v="5702.0401801266207"/>
    <n v="4034.1469938876289"/>
    <n v="1667.893186238992"/>
    <n v="1512.8051227078608"/>
    <n v="120.72723508411413"/>
    <n v="56.648933385622783"/>
    <n v="10.215381430194272"/>
    <n v="1070.7577080921815"/>
    <n v="153.23072145291408"/>
    <n v="248.8838384810968"/>
    <n v="43.647538838102797"/>
    <n v="417.90196759885657"/>
    <n v="1067.0430239357472"/>
    <n v="109.58318261481128"/>
    <n v="63.149630659382773"/>
    <n v="242.38314120733682"/>
    <n v="83.58039351977132"/>
    <n v="375.18309979986236"/>
    <n v="126.29926131876555"/>
  </r>
  <r>
    <x v="40"/>
    <s v="Census Tract 107, King County, Washington"/>
    <n v="4.7929531081721546"/>
    <n v="3.3909752934690296"/>
    <n v="1.4019778147031254"/>
    <n v="4.7929531081721546"/>
    <n v="3.3909752934690296"/>
    <n v="1.4019778147031254"/>
    <n v="1.2716157350508861"/>
    <n v="0.10147946320234204"/>
    <n v="4.7617286579560499E-2"/>
    <n v="8.5867238094289415E-3"/>
    <n v="0.90004477747923362"/>
    <n v="0.12880085714143413"/>
    <n v="0.20920381644790512"/>
    <n v="3.6688729003923663E-2"/>
    <n v="0.35127506493118399"/>
    <n v="0.89692233245762309"/>
    <n v="9.2112128137510463E-2"/>
    <n v="5.3081565367378916E-2"/>
    <n v="0.20373953766008671"/>
    <n v="7.0255012986236792E-2"/>
    <n v="0.31536694718266295"/>
    <n v="0.10616313073475783"/>
  </r>
  <r>
    <x v="28"/>
    <s v="Census Tract 107, King County, Washington"/>
    <n v="320.73109288684577"/>
    <n v="226.91463640072607"/>
    <n v="93.816456486119705"/>
    <n v="320.73109288684577"/>
    <n v="226.91463640072607"/>
    <n v="93.816456486119705"/>
    <n v="85.092988650272275"/>
    <n v="6.7907234650309363"/>
    <n v="3.1864163951299012"/>
    <n v="0.57459967781031007"/>
    <n v="60.228493501389771"/>
    <n v="8.618995167154651"/>
    <n v="13.999337604833007"/>
    <n v="2.4551077142804156"/>
    <n v="23.506350455876319"/>
    <n v="60.019548164004199"/>
    <n v="6.1638874528742349"/>
    <n v="3.5520707355546439"/>
    <n v="13.633683264408266"/>
    <n v="4.7012700911752638"/>
    <n v="21.103479075942296"/>
    <n v="7.1041414711092878"/>
  </r>
  <r>
    <x v="42"/>
    <s v="Census Tract 106, King County, Washington"/>
    <n v="3201.3877487683799"/>
    <n v="2886.9051359918394"/>
    <n v="314.48261277654052"/>
    <n v="3201.3877487683799"/>
    <n v="2886.9051359918394"/>
    <n v="314.48261277654052"/>
    <n v="2542.1054943577046"/>
    <n v="176.47225752928173"/>
    <n v="52.941677258784516"/>
    <n v="23.077141369213763"/>
    <n v="82.806213148355269"/>
    <n v="9.5023523284997857"/>
    <n v="42.534338994237132"/>
    <n v="9.5023523284997857"/>
    <n v="42.534338994237132"/>
    <n v="57.014113970998707"/>
    <n v="0"/>
    <n v="0"/>
    <n v="23.529634337237564"/>
    <n v="14.932267944785377"/>
    <n v="100.45343890128345"/>
    <n v="23.982127305261361"/>
  </r>
  <r>
    <x v="43"/>
    <s v="Census Tract 106, King County, Washington"/>
    <n v="2362.0502757248751"/>
    <n v="2130.0184818550815"/>
    <n v="232.03179386979338"/>
    <n v="2362.0502757248751"/>
    <n v="2130.0184818550815"/>
    <n v="232.03179386979338"/>
    <n v="1875.6181553388478"/>
    <n v="130.20489152405671"/>
    <n v="39.061467457217013"/>
    <n v="17.026793506992032"/>
    <n v="61.096141407441998"/>
    <n v="7.0110326205261311"/>
    <n v="31.382717444259825"/>
    <n v="7.0110326205261311"/>
    <n v="31.382717444259825"/>
    <n v="42.066195723156788"/>
    <n v="0"/>
    <n v="0"/>
    <n v="17.360652203207561"/>
    <n v="11.017336975112492"/>
    <n v="74.116630559847664"/>
    <n v="17.694510899423094"/>
  </r>
  <r>
    <x v="44"/>
    <s v="Census Tract 106, King County, Washington"/>
    <n v="0.19046768387954141"/>
    <n v="0.17175743083413064"/>
    <n v="1.8710253045410782E-2"/>
    <n v="0.19046768387954141"/>
    <n v="0.17175743083413064"/>
    <n v="1.8710253045410782E-2"/>
    <n v="0.15124345555268745"/>
    <n v="1.0499278687352813E-2"/>
    <n v="3.149783606205844E-3"/>
    <n v="1.3729825975769064E-3"/>
    <n v="4.9265846148347815E-3"/>
    <n v="5.6534577547284379E-4"/>
    <n v="2.5305953759260625E-3"/>
    <n v="5.6534577547284379E-4"/>
    <n v="2.5305953759260625E-3"/>
    <n v="3.3920746528370628E-3"/>
    <n v="0"/>
    <n v="0"/>
    <n v="1.3999038249803751E-3"/>
    <n v="8.8840050431446878E-4"/>
    <n v="5.9765124835700631E-3"/>
    <n v="1.4268250523838438E-3"/>
  </r>
  <r>
    <x v="45"/>
    <s v="Census Tract 106, King County, Washington"/>
    <n v="1500.5021131871667"/>
    <n v="1353.1029656726678"/>
    <n v="147.39914751449908"/>
    <n v="1500.5021131871667"/>
    <n v="1353.1029656726678"/>
    <n v="147.39914751449908"/>
    <n v="1191.4941161675622"/>
    <n v="82.713190691589404"/>
    <n v="24.813957207476822"/>
    <n v="10.816340321207846"/>
    <n v="38.811574093745797"/>
    <n v="4.4537871910855831"/>
    <n v="19.935999807716421"/>
    <n v="4.4537871910855831"/>
    <n v="19.935999807716421"/>
    <n v="26.722723146513502"/>
    <n v="0"/>
    <n v="0"/>
    <n v="11.028425425545255"/>
    <n v="6.9988084431344886"/>
    <n v="47.082893162904739"/>
    <n v="11.240510529882663"/>
  </r>
  <r>
    <x v="39"/>
    <s v="Census Tract 106, King County, Washington"/>
    <n v="5.7885662400683735"/>
    <n v="5.2199367648955795"/>
    <n v="0.56862947517279427"/>
    <n v="5.7885662400683735"/>
    <n v="5.2199367648955795"/>
    <n v="0.56862947517279427"/>
    <n v="4.5964897719723146"/>
    <n v="0.31908704362214357"/>
    <n v="9.5726113086643069E-2"/>
    <n v="4.1726767242895695E-2"/>
    <n v="0.14972545893039044"/>
    <n v="1.7181610041192345E-2"/>
    <n v="7.6908159232003837E-2"/>
    <n v="1.7181610041192345E-2"/>
    <n v="7.6908159232003837E-2"/>
    <n v="0.10308966024715407"/>
    <n v="0"/>
    <n v="0"/>
    <n v="4.254493914961914E-2"/>
    <n v="2.6999672921873687E-2"/>
    <n v="0.18163416329260479"/>
    <n v="4.3363111056342586E-2"/>
  </r>
  <r>
    <x v="42"/>
    <s v="Census Tract 105, King County, Washington"/>
    <n v="1680.1255735639122"/>
    <n v="1508.1586976709448"/>
    <n v="171.96687589296749"/>
    <n v="1680.1255735639122"/>
    <n v="1508.1586976709448"/>
    <n v="171.96687589296749"/>
    <n v="1330.0610953646808"/>
    <n v="69.890281111580364"/>
    <n v="19.005251881219223"/>
    <n v="3.3718995273130878"/>
    <n v="34.638604235125356"/>
    <n v="10.422234902604089"/>
    <n v="11.648380185263395"/>
    <n v="0"/>
    <n v="22.070615087867484"/>
    <n v="56.096146681663186"/>
    <n v="4.598044809972393"/>
    <n v="0"/>
    <n v="30.040559425152964"/>
    <n v="24.216369332521268"/>
    <n v="56.096146681663186"/>
    <n v="7.9699443372854804"/>
  </r>
  <r>
    <x v="44"/>
    <s v="Census Tract 105, King County, Washington"/>
    <n v="1.0668971304817889E-2"/>
    <n v="9.5769638423105295E-3"/>
    <n v="1.0920074625073591E-3"/>
    <n v="1.0668971304817889E-2"/>
    <n v="9.5769638423105295E-3"/>
    <n v="1.0920074625073591E-3"/>
    <n v="8.4460256324767041E-3"/>
    <n v="4.4381051952170744E-4"/>
    <n v="1.2068531671204326E-4"/>
    <n v="2.141191102955606E-5"/>
    <n v="2.1995872239453045E-4"/>
    <n v="6.6182270454991462E-5"/>
    <n v="7.3968419920284573E-5"/>
    <n v="0"/>
    <n v="1.4015069037527604E-4"/>
    <n v="3.5621633803715992E-4"/>
    <n v="2.9198060494849175E-5"/>
    <n v="0"/>
    <n v="1.9076066189968127E-4"/>
    <n v="1.5377645193953899E-4"/>
    <n v="3.5621633803715992E-4"/>
    <n v="5.0609971524405239E-5"/>
  </r>
  <r>
    <x v="45"/>
    <s v="Census Tract 105, King County, Washington"/>
    <n v="2593.0667968267617"/>
    <n v="2327.6571137361188"/>
    <n v="265.40968309064283"/>
    <n v="2593.0667968267617"/>
    <n v="2327.6571137361188"/>
    <n v="265.40968309064283"/>
    <n v="2052.785409857931"/>
    <n v="107.86703697801526"/>
    <n v="29.332264441390116"/>
    <n v="5.2041114331498592"/>
    <n v="53.460417449630377"/>
    <n v="16.085435338826837"/>
    <n v="17.977839496335879"/>
    <n v="0"/>
    <n v="34.063274835162716"/>
    <n v="86.577490206038576"/>
    <n v="7.0965155906588988"/>
    <n v="0"/>
    <n v="46.363901858971474"/>
    <n v="37.374982110803536"/>
    <n v="86.577490206038576"/>
    <n v="12.300627023808758"/>
  </r>
  <r>
    <x v="46"/>
    <s v="Census Tract 105, King County, Washington"/>
    <n v="1201.2776672174175"/>
    <n v="1078.3225912624875"/>
    <n v="122.95507595492998"/>
    <n v="1201.2776672174175"/>
    <n v="1078.3225912624875"/>
    <n v="122.95507595492998"/>
    <n v="950.98409013982393"/>
    <n v="49.971046912164056"/>
    <n v="13.588618019974437"/>
    <n v="2.4108838422535293"/>
    <n v="24.766352197695344"/>
    <n v="7.4518227851472716"/>
    <n v="8.3285078186940105"/>
    <n v="0"/>
    <n v="15.780330603841282"/>
    <n v="40.108340284763258"/>
    <n v="3.2875688758002672"/>
    <n v="0"/>
    <n v="21.478783321895079"/>
    <n v="17.314529412548072"/>
    <n v="40.108340284763258"/>
    <n v="5.6984527180537965"/>
  </r>
  <r>
    <x v="37"/>
    <s v="Census Tract 105, King County, Washington"/>
    <n v="5.7341222183988316"/>
    <n v="5.147214251874157"/>
    <n v="0.58690796652467514"/>
    <n v="5.7341222183988316"/>
    <n v="5.147214251874157"/>
    <n v="0.58690796652467514"/>
    <n v="4.5393826501792613"/>
    <n v="0.23852944094050971"/>
    <n v="6.4863269027682469E-2"/>
    <n v="1.1507999343621083E-2"/>
    <n v="0.11821853871174384"/>
    <n v="3.5570179789374254E-2"/>
    <n v="3.9754906823418285E-2"/>
    <n v="0"/>
    <n v="7.5325086612792538E-2"/>
    <n v="0.19145126180751437"/>
    <n v="1.5692726377665112E-2"/>
    <n v="0"/>
    <n v="0.10252581233407873"/>
    <n v="8.2648358922369589E-2"/>
    <n v="0.19145126180751437"/>
    <n v="2.7200725721286192E-2"/>
  </r>
  <r>
    <x v="39"/>
    <s v="Census Tract 105, King County, Washington"/>
    <n v="0.78516801172301665"/>
    <n v="0.70480325080774342"/>
    <n v="8.0364760915273184E-2"/>
    <n v="0.78516801172301665"/>
    <n v="0.70480325080774342"/>
    <n v="8.0364760915273184E-2"/>
    <n v="0.62157343602739812"/>
    <n v="3.2661614061822261E-2"/>
    <n v="8.8816669817235964E-3"/>
    <n v="1.5757796257896703E-3"/>
    <n v="1.6187554337657523E-2"/>
    <n v="4.8705915706226174E-3"/>
    <n v="5.4436023436370429E-3"/>
    <n v="0"/>
    <n v="1.031419391425966E-2"/>
    <n v="2.6215242865409969E-2"/>
    <n v="2.1487903988040959E-3"/>
    <n v="0"/>
    <n v="1.4038763938853427E-2"/>
    <n v="1.1316962767034904E-2"/>
    <n v="2.6215242865409969E-2"/>
    <n v="3.7245700245937662E-3"/>
  </r>
  <r>
    <x v="31"/>
    <s v="Census Tract 104, King County, Washington"/>
    <n v="10.158017151103389"/>
    <n v="5.5721271597587787"/>
    <n v="4.585889991344609"/>
    <n v="10.158017151103389"/>
    <n v="5.5721271597587787"/>
    <n v="4.585889991344609"/>
    <n v="1.7806433086470945"/>
    <n v="6.9961904395513225E-2"/>
    <n v="6.7705068769851502E-3"/>
    <n v="4.5136712513234339E-2"/>
    <n v="1.3574866288355227"/>
    <n v="8.1246082523821803E-2"/>
    <n v="1.8054685005293735E-2"/>
    <n v="0"/>
    <n v="1.7230940001927209"/>
    <n v="4.102927167453001"/>
    <n v="0.10945652784459327"/>
    <n v="2.4825191882278885E-2"/>
    <n v="0.15459324035782759"/>
    <n v="0.10381443878043897"/>
    <n v="0.42202826199874105"/>
    <n v="0.15797849379632017"/>
  </r>
  <r>
    <x v="32"/>
    <s v="Census Tract 104, King County, Washington"/>
    <n v="2.8055446323898776"/>
    <n v="1.5389668290092442"/>
    <n v="1.2665778033806334"/>
    <n v="2.8055446323898776"/>
    <n v="1.5389668290092442"/>
    <n v="1.2665778033806334"/>
    <n v="0.4917962041669881"/>
    <n v="1.9322791291732106E-2"/>
    <n v="1.8699475443611714E-3"/>
    <n v="1.246631696240781E-2"/>
    <n v="0.37492448264441486"/>
    <n v="2.2439370532334059E-2"/>
    <n v="4.9865267849631238E-3"/>
    <n v="0"/>
    <n v="0.47590165003991813"/>
    <n v="1.1331882118828698"/>
    <n v="3.0230818633838939E-2"/>
    <n v="6.8564743293242948E-3"/>
    <n v="4.2697135596246751E-2"/>
    <n v="2.8672529013537961E-2"/>
    <n v="0.11656006359851302"/>
    <n v="4.3632109368427333E-2"/>
  </r>
  <r>
    <x v="47"/>
    <s v="Census Tract 104, King County, Washington"/>
    <n v="0.22836024528399179"/>
    <n v="0.12526581773076556"/>
    <n v="0.10309442755322624"/>
    <n v="0.22836024528399179"/>
    <n v="0.12526581773076556"/>
    <n v="0.10309442755322624"/>
    <n v="4.0030267391484013E-2"/>
    <n v="1.5727988455462665E-3"/>
    <n v="1.522063398915742E-4"/>
    <n v="1.0147089326104945E-3"/>
    <n v="3.0517371148260624E-2"/>
    <n v="1.8264760786988901E-3"/>
    <n v="4.0588357304419782E-4"/>
    <n v="0"/>
    <n v="3.8736513502405631E-2"/>
    <n v="9.2237041974293957E-2"/>
    <n v="2.4606691615804491E-3"/>
    <n v="5.5808991293577201E-4"/>
    <n v="3.475378094190944E-3"/>
    <n v="2.3338305450041376E-3"/>
    <n v="9.4875285199081238E-3"/>
    <n v="3.5514812641367307E-3"/>
  </r>
  <r>
    <x v="33"/>
    <s v="Census Tract 104, King County, Washington"/>
    <n v="8871.8046004425069"/>
    <n v="4866.5819947772825"/>
    <n v="4005.2226056652239"/>
    <n v="8871.8046004425069"/>
    <n v="4866.5819947772825"/>
    <n v="4005.2226056652239"/>
    <n v="1555.1774782824123"/>
    <n v="61.103297625798199"/>
    <n v="5.9132223508836965"/>
    <n v="39.421482339224646"/>
    <n v="1185.6010813521812"/>
    <n v="70.958668210604358"/>
    <n v="15.768592935689858"/>
    <n v="0"/>
    <n v="1504.9150882999008"/>
    <n v="3583.4127446355201"/>
    <n v="95.597094672619761"/>
    <n v="21.681815286573556"/>
    <n v="135.0185770118444"/>
    <n v="90.669409380216678"/>
    <n v="368.59085987175041"/>
    <n v="137.97518818728625"/>
  </r>
  <r>
    <x v="34"/>
    <s v="Census Tract 104, King County, Washington"/>
    <n v="115.67634476704859"/>
    <n v="63.453653683590971"/>
    <n v="52.222691083457619"/>
    <n v="115.67634476704859"/>
    <n v="63.453653683590971"/>
    <n v="52.222691083457619"/>
    <n v="20.277413024039401"/>
    <n v="0.79670444074172542"/>
    <n v="7.7100429749199242E-2"/>
    <n v="0.51400286499466163"/>
    <n v="15.458636164714447"/>
    <n v="0.92520515699039085"/>
    <n v="0.20560114599786464"/>
    <n v="0"/>
    <n v="19.622059371171208"/>
    <n v="46.722860428014741"/>
    <n v="1.2464569476120544"/>
    <n v="0.28270157574706389"/>
    <n v="1.7604598126067159"/>
    <n v="1.1822065894877216"/>
    <n v="4.805926787700086"/>
    <n v="1.7990100274813157"/>
  </r>
  <r>
    <x v="48"/>
    <s v="Census Tract 104, King County, Washington"/>
    <n v="1.3272750750333635"/>
    <n v="0.72806979787988768"/>
    <n v="0.59920527715347582"/>
    <n v="1.3272750750333635"/>
    <n v="0.72806979787988768"/>
    <n v="0.59920527715347582"/>
    <n v="0.23266386007583287"/>
    <n v="9.1414190904319636E-3"/>
    <n v="8.8465346036438355E-4"/>
    <n v="5.897689735762557E-3"/>
    <n v="0.17737301880305889"/>
    <n v="1.0615841524372602E-2"/>
    <n v="2.3590758943050228E-3"/>
    <n v="0"/>
    <n v="0.22514430566273561"/>
    <n v="0.53609999698081645"/>
    <n v="1.4301897609224202E-2"/>
    <n v="3.2437293546694066E-3"/>
    <n v="2.0199587344986759E-2"/>
    <n v="1.3564686392253882E-2"/>
    <n v="5.5143399029379911E-2"/>
    <n v="2.0641914075168948E-2"/>
  </r>
  <r>
    <x v="33"/>
    <s v="Census Tract 103, King County, Washington"/>
    <n v="4.810327662512174"/>
    <n v="3.1752211407777025"/>
    <n v="1.6351065217344716"/>
    <n v="4.810327662512174"/>
    <n v="3.1752211407777025"/>
    <n v="1.6351065217344716"/>
    <n v="0.9724990693554072"/>
    <n v="4.5160084885999693E-2"/>
    <n v="3.7373863353930781E-2"/>
    <n v="8.9541547618792489E-2"/>
    <n v="1.3999626314659905"/>
    <n v="0.1339230103515853"/>
    <n v="2.6473153209034303E-2"/>
    <n v="0"/>
    <n v="0.44692911594075557"/>
    <n v="0.8471409026890977"/>
    <n v="2.7251775362241194E-2"/>
    <n v="9.1877414078413169E-2"/>
    <n v="5.0610439958447932E-2"/>
    <n v="0.20088451552737796"/>
    <n v="0.21412109213189509"/>
    <n v="0.22657904658320535"/>
  </r>
  <r>
    <x v="49"/>
    <s v="Census Tract 103, King County, Washington"/>
    <n v="0.29542168925903323"/>
    <n v="0.19500318044647741"/>
    <n v="0.1004185088125558"/>
    <n v="0.29542168925903323"/>
    <n v="0.19500318044647741"/>
    <n v="0.1004185088125558"/>
    <n v="5.9725103574705805E-2"/>
    <n v="2.7734635767277319E-3"/>
    <n v="2.295280201429847E-3"/>
    <n v="5.4991088159256751E-3"/>
    <n v="8.5977370878559681E-2"/>
    <n v="8.2247540551236183E-3"/>
    <n v="1.6258234760128081E-3"/>
    <n v="0"/>
    <n v="2.7447725742098587E-2"/>
    <n v="5.2026351232409861E-2"/>
    <n v="1.6736418135425966E-3"/>
    <n v="5.6425638285150402E-3"/>
    <n v="3.1081919394362512E-3"/>
    <n v="1.2337131082685427E-2"/>
    <n v="1.3150042820691831E-2"/>
    <n v="1.3915136221168446E-2"/>
  </r>
  <r>
    <x v="48"/>
    <s v="Census Tract 103, King County, Washington"/>
    <n v="6172.7577590553065"/>
    <n v="4074.5396797389999"/>
    <n v="2098.218079316307"/>
    <n v="6172.7577590553065"/>
    <n v="4074.5396797389999"/>
    <n v="2098.218079316307"/>
    <n v="1247.9401814600321"/>
    <n v="57.950785047783711"/>
    <n v="47.959270384372729"/>
    <n v="114.90241862922633"/>
    <n v="1796.474336481295"/>
    <n v="171.85405221066895"/>
    <n v="33.971149855597346"/>
    <n v="0"/>
    <n v="573.51294167979052"/>
    <n v="1087.0767953791151"/>
    <n v="34.97030132193845"/>
    <n v="117.89987302824963"/>
    <n v="64.94484531217141"/>
    <n v="257.7810783160034"/>
    <n v="274.76665324380207"/>
    <n v="290.75307670525967"/>
  </r>
  <r>
    <x v="50"/>
    <s v="Census Tract 103, King County, Washington"/>
    <n v="0.13649159292129159"/>
    <n v="9.0095939775498068E-2"/>
    <n v="4.6395653145793511E-2"/>
    <n v="0.13649159292129159"/>
    <n v="9.0095939775498068E-2"/>
    <n v="4.6395653145793511E-2"/>
    <n v="2.7594367037664807E-2"/>
    <n v="1.2814037535504874E-3"/>
    <n v="1.0604720719038516E-3"/>
    <n v="2.5407143389363112E-3"/>
    <n v="3.972351636006511E-2"/>
    <n v="3.8000249243221353E-3"/>
    <n v="7.5116771759856159E-4"/>
    <n v="0"/>
    <n v="1.2681478526516894E-2"/>
    <n v="2.4037366963153971E-2"/>
    <n v="7.7326088576322525E-4"/>
    <n v="2.6069938434303023E-3"/>
    <n v="1.4360559307031325E-3"/>
    <n v="5.7000373864832029E-3"/>
    <n v="6.0756212452824834E-3"/>
    <n v="6.4291119359171011E-3"/>
  </r>
  <r>
    <x v="49"/>
    <s v="Census Tract 102, King County, Washington"/>
    <n v="7.7094870304364347E-3"/>
    <n v="6.2087491033617449E-3"/>
    <n v="1.5007379270746901E-3"/>
    <n v="7.7094870304364347E-3"/>
    <n v="6.2087491033617449E-3"/>
    <n v="1.5007379270746901E-3"/>
    <n v="3.6014544136022358E-3"/>
    <n v="2.7545189800737979E-4"/>
    <n v="8.2318958025193959E-5"/>
    <n v="0"/>
    <n v="1.2996897026670048E-3"/>
    <n v="1.8521765555668641E-4"/>
    <n v="1.1081398195699188E-5"/>
    <n v="0"/>
    <n v="7.0762642763964813E-4"/>
    <n v="9.8307832564702787E-4"/>
    <n v="0"/>
    <n v="0"/>
    <n v="3.3244194587097563E-5"/>
    <n v="0"/>
    <n v="4.7333400864486532E-4"/>
    <n v="5.6990047863595819E-5"/>
  </r>
  <r>
    <x v="48"/>
    <s v="Census Tract 102, King County, Washington"/>
    <n v="501.59029364436009"/>
    <n v="403.95012970701856"/>
    <n v="97.640163937341555"/>
    <n v="501.59029364436009"/>
    <n v="403.95012970701856"/>
    <n v="97.640163937341555"/>
    <n v="234.31579425891564"/>
    <n v="17.921295912550033"/>
    <n v="5.355789583060929"/>
    <n v="0"/>
    <n v="84.559677840250444"/>
    <n v="12.050526561887091"/>
    <n v="0.72097167464281742"/>
    <n v="0"/>
    <n v="46.039191223619909"/>
    <n v="63.960487136169945"/>
    <n v="0"/>
    <n v="0"/>
    <n v="2.162915023928452"/>
    <n v="0"/>
    <n v="30.795790102600343"/>
    <n v="3.7078543267344894"/>
  </r>
  <r>
    <x v="50"/>
    <s v="Census Tract 102, King County, Washington"/>
    <n v="4349.1477947617559"/>
    <n v="3502.5375053502271"/>
    <n v="846.6102894115287"/>
    <n v="4349.1477947617559"/>
    <n v="3502.5375053502271"/>
    <n v="846.6102894115287"/>
    <n v="2031.6860848219701"/>
    <n v="155.39049615781221"/>
    <n v="46.438539081645033"/>
    <n v="0"/>
    <n v="733.19308819289563"/>
    <n v="104.48671293370133"/>
    <n v="6.2513417994522156"/>
    <n v="0"/>
    <n v="399.19282633644866"/>
    <n v="554.58332249426087"/>
    <n v="0"/>
    <n v="0"/>
    <n v="18.754025398356646"/>
    <n v="0"/>
    <n v="267.02159971945895"/>
    <n v="32.14975782575425"/>
  </r>
  <r>
    <x v="10"/>
    <s v="Census Tract 101, King County, Washington"/>
    <n v="7.9103653273193242"/>
    <n v="5.739440567289404"/>
    <n v="2.1709247600299206"/>
    <n v="7.9103653273193242"/>
    <n v="5.739440567289404"/>
    <n v="2.1709247600299206"/>
    <n v="2.6274711687915775"/>
    <n v="0.14774533927855377"/>
    <n v="0.10914520559316584"/>
    <n v="3.0613899129790418E-2"/>
    <n v="1.8155373223058318"/>
    <n v="0.35405639863148919"/>
    <n v="0"/>
    <n v="0"/>
    <n v="0.52842251976203458"/>
    <n v="1.3257149362291851"/>
    <n v="1.9965586388993751E-2"/>
    <n v="7.9862345555975003E-3"/>
    <n v="0.16371780838974875"/>
    <n v="0.14641430018595417"/>
    <n v="0.47518095605805127"/>
    <n v="0.15839365201935043"/>
  </r>
  <r>
    <x v="33"/>
    <s v="Census Tract 101, King County, Washington"/>
    <n v="3.7801136085471605E-3"/>
    <n v="2.7426972707479983E-3"/>
    <n v="1.0374163377991617E-3"/>
    <n v="3.7801136085471605E-3"/>
    <n v="2.7426972707479983E-3"/>
    <n v="1.0374163377991617E-3"/>
    <n v="1.2555854388813889E-3"/>
    <n v="7.0602828630108498E-5"/>
    <n v="5.2157044573593665E-5"/>
    <n v="1.4629414941373833E-5"/>
    <n v="8.6758791217538727E-4"/>
    <n v="1.6919236410458432E-4"/>
    <n v="0"/>
    <n v="0"/>
    <n v="2.5251642311849612E-4"/>
    <n v="6.3351727311340591E-4"/>
    <n v="9.540922787852499E-6"/>
    <n v="3.8163691151409999E-6"/>
    <n v="7.8235566860390495E-5"/>
    <n v="6.9966767110918326E-5"/>
    <n v="2.2707396235088949E-4"/>
    <n v="7.5691320783629834E-5"/>
  </r>
  <r>
    <x v="51"/>
    <s v="Census Tract 101, King County, Washington"/>
    <n v="1826.16629602273"/>
    <n v="1324.9922713192011"/>
    <n v="501.17402470352897"/>
    <n v="1826.16629602273"/>
    <n v="1324.9922713192011"/>
    <n v="501.17402470352897"/>
    <n v="606.57113719482902"/>
    <n v="34.108103459283697"/>
    <n v="25.196977330281651"/>
    <n v="7.0674448609326586"/>
    <n v="419.13020827444115"/>
    <n v="81.736536217742923"/>
    <n v="0"/>
    <n v="0"/>
    <n v="121.99024390392458"/>
    <n v="306.05109049951858"/>
    <n v="4.6092031701734726"/>
    <n v="1.843681268069389"/>
    <n v="37.795465995422475"/>
    <n v="33.800823247938801"/>
    <n v="109.69903545012865"/>
    <n v="36.566345150042885"/>
  </r>
  <r>
    <x v="48"/>
    <s v="Census Tract 101, King County, Washington"/>
    <n v="2346.8596250668788"/>
    <n v="1702.7862532876295"/>
    <n v="644.07337177924944"/>
    <n v="2346.8596250668788"/>
    <n v="1702.7862532876295"/>
    <n v="644.07337177924944"/>
    <n v="779.52227829076537"/>
    <n v="43.833319599936658"/>
    <n v="32.381371235989242"/>
    <n v="9.0825797369238117"/>
    <n v="538.63646787669904"/>
    <n v="105.04200913137974"/>
    <n v="0"/>
    <n v="0"/>
    <n v="156.77322415472841"/>
    <n v="393.31519208591811"/>
    <n v="5.9234215675590081"/>
    <n v="2.369368627023603"/>
    <n v="48.57205685398386"/>
    <n v="43.43842482876606"/>
    <n v="140.97743330790439"/>
    <n v="46.992477769301459"/>
  </r>
  <r>
    <x v="50"/>
    <s v="Census Tract 101, King County, Washington"/>
    <n v="1755.2185167600626"/>
    <n v="1273.5154373665473"/>
    <n v="481.70307939351545"/>
    <n v="1755.2185167600626"/>
    <n v="1273.5154373665473"/>
    <n v="481.70307939351545"/>
    <n v="583.00544372949082"/>
    <n v="32.782980878406015"/>
    <n v="24.21805794620985"/>
    <n v="6.7928699117417874"/>
    <n v="402.84671998329554"/>
    <n v="78.561017240144153"/>
    <n v="0"/>
    <n v="0"/>
    <n v="117.25084152006477"/>
    <n v="294.16080139542697"/>
    <n v="4.4301325511359479"/>
    <n v="1.7720530204543792"/>
    <n v="36.327086919314773"/>
    <n v="32.487638708330287"/>
    <n v="105.43715471703557"/>
    <n v="35.145718239011856"/>
  </r>
  <r>
    <x v="52"/>
    <s v="Census Tract 100, King County, Washington"/>
    <n v="1.340402614456409E-3"/>
    <n v="7.7156729926628278E-4"/>
    <n v="5.6883531519012613E-4"/>
    <n v="1.340402614456409E-3"/>
    <n v="7.7156729926628278E-4"/>
    <n v="5.6883531519012613E-4"/>
    <n v="2.8672330160567735E-4"/>
    <n v="1.8280463227013318E-5"/>
    <n v="2.6514906122064362E-5"/>
    <n v="1.8445152084914338E-5"/>
    <n v="1.4970217183202797E-4"/>
    <n v="2.6679594979965381E-5"/>
    <n v="8.3991317529520648E-6"/>
    <n v="2.2232995816637819E-5"/>
    <n v="1.7555832252248826E-4"/>
    <n v="4.1056932274724506E-4"/>
    <n v="1.4492619495289837E-5"/>
    <n v="6.916932031842877E-6"/>
    <n v="2.4538639827252111E-5"/>
    <n v="2.5362084116757215E-5"/>
    <n v="8.5638206108530859E-5"/>
    <n v="4.0348770185750118E-5"/>
  </r>
  <r>
    <x v="47"/>
    <s v="Census Tract 100, King County, Washington"/>
    <n v="6157.5891426138987"/>
    <n v="3544.4532661440121"/>
    <n v="2613.1358764698862"/>
    <n v="6157.5891426138987"/>
    <n v="3544.4532661440121"/>
    <n v="2613.1358764698862"/>
    <n v="1317.1596875894825"/>
    <n v="83.977441310989406"/>
    <n v="121.80511757720083"/>
    <n v="84.733994836313627"/>
    <n v="687.70715451972399"/>
    <n v="122.56167110252507"/>
    <n v="38.58422979153567"/>
    <n v="102.1347259187709"/>
    <n v="806.4860579956279"/>
    <n v="1886.0879386333024"/>
    <n v="66.576710228532136"/>
    <n v="31.77524806361761"/>
    <n v="112.72647527331009"/>
    <n v="116.50924289993124"/>
    <n v="393.40783316859898"/>
    <n v="185.35561370443605"/>
  </r>
  <r>
    <x v="33"/>
    <s v="Census Tract 100, King County, Washington"/>
    <n v="708.39572041769372"/>
    <n v="407.76925299875847"/>
    <n v="300.62646741893525"/>
    <n v="708.39572041769372"/>
    <n v="407.76925299875847"/>
    <n v="300.62646741893525"/>
    <n v="151.53175442280437"/>
    <n v="9.6611285128841384"/>
    <n v="14.01298820337249"/>
    <n v="9.7481657066939054"/>
    <n v="79.116809173078224"/>
    <n v="14.100025397182257"/>
    <n v="4.438896884298118"/>
    <n v="11.750021164318547"/>
    <n v="92.781648601211643"/>
    <n v="216.98372416774916"/>
    <n v="7.6592730552594972"/>
    <n v="3.6555621400102147"/>
    <n v="12.968541877655285"/>
    <n v="13.40372784670412"/>
    <n v="45.259340781078848"/>
    <n v="21.32411248339292"/>
  </r>
  <r>
    <x v="48"/>
    <s v="Census Tract 100, King County, Washington"/>
    <n v="1273.0136818925673"/>
    <n v="732.77664328132175"/>
    <n v="540.23703861124557"/>
    <n v="1273.0136818925673"/>
    <n v="732.77664328132175"/>
    <n v="540.23703861124557"/>
    <n v="272.30824673485188"/>
    <n v="17.361410331745297"/>
    <n v="25.18186543613507"/>
    <n v="17.51781943383309"/>
    <n v="142.17587379780608"/>
    <n v="25.338274538222866"/>
    <n v="7.9768642064775683"/>
    <n v="21.115228781852387"/>
    <n v="166.73210282558995"/>
    <n v="389.92789150487408"/>
    <n v="13.764000983726"/>
    <n v="6.5691822876874095"/>
    <n v="23.304956211081524"/>
    <n v="24.087001721520501"/>
    <n v="81.332733085653643"/>
    <n v="38.320230011509885"/>
  </r>
  <r>
    <x v="53"/>
    <s v="Census Tract 99, King County, Washington"/>
    <n v="1085.9423559054278"/>
    <n v="927.48188765090129"/>
    <n v="158.46046825452646"/>
    <n v="1085.9423559054278"/>
    <n v="927.48188765090129"/>
    <n v="158.46046825452646"/>
    <n v="707.18929355298144"/>
    <n v="43.057188846411613"/>
    <n v="16.772277050637083"/>
    <n v="16.021279570757809"/>
    <n v="79.105067880616687"/>
    <n v="5.5073148524479967"/>
    <n v="14.268952117706174"/>
    <n v="0"/>
    <n v="64.085118283031235"/>
    <n v="58.828135923876332"/>
    <n v="0"/>
    <n v="0"/>
    <n v="13.768287131119992"/>
    <n v="35.046549061032707"/>
    <n v="32.292891634808711"/>
    <n v="0"/>
  </r>
  <r>
    <x v="54"/>
    <s v="Census Tract 99, King County, Washington"/>
    <n v="408.09788334604218"/>
    <n v="348.54833052030574"/>
    <n v="59.549552825736441"/>
    <n v="408.09788334604218"/>
    <n v="348.54833052030574"/>
    <n v="59.549552825736441"/>
    <n v="265.76222232654891"/>
    <n v="16.180921146961559"/>
    <n v="6.3030332374792124"/>
    <n v="6.0208078686368598"/>
    <n v="29.727738851394495"/>
    <n v="2.0696527048439206"/>
    <n v="5.3622820080047031"/>
    <n v="0"/>
    <n v="24.083231474547439"/>
    <n v="22.107653892650969"/>
    <n v="0"/>
    <n v="0"/>
    <n v="5.1741317621098011"/>
    <n v="13.17051721264313"/>
    <n v="12.135690860221171"/>
    <n v="0"/>
  </r>
  <r>
    <x v="45"/>
    <s v="Census Tract 99, King County, Washington"/>
    <n v="98.193699537720178"/>
    <n v="83.865296631455337"/>
    <n v="14.32840290626484"/>
    <n v="98.193699537720178"/>
    <n v="83.865296631455337"/>
    <n v="14.32840290626484"/>
    <n v="63.945873949760141"/>
    <n v="3.8933417059676971"/>
    <n v="1.5165924087199751"/>
    <n v="1.4486852859414687"/>
    <n v="7.1528835993360023"/>
    <n v="0.4979855670423799"/>
    <n v="1.2902353327916205"/>
    <n v="0"/>
    <n v="5.7947411437658749"/>
    <n v="5.3193912843163309"/>
    <n v="0"/>
    <n v="0"/>
    <n v="1.2449639176059497"/>
    <n v="3.1689990629969627"/>
    <n v="2.9200062794757731"/>
    <n v="0"/>
  </r>
  <r>
    <x v="46"/>
    <s v="Census Tract 99, King County, Washington"/>
    <n v="69.122244454569369"/>
    <n v="59.035941840520863"/>
    <n v="10.086302614048504"/>
    <n v="69.122244454569369"/>
    <n v="59.035941840520863"/>
    <n v="10.086302614048504"/>
    <n v="45.013909770437635"/>
    <n v="2.7406699046071763"/>
    <n v="1.0675865326086094"/>
    <n v="1.0197841505515075"/>
    <n v="5.035184243348068"/>
    <n v="0.3505508017520807"/>
    <n v="0.90824525908493636"/>
    <n v="0"/>
    <n v="4.07913660220603"/>
    <n v="3.7445199278063166"/>
    <n v="0"/>
    <n v="0"/>
    <n v="0.87637700438020172"/>
    <n v="2.2307778293314229"/>
    <n v="2.0555024284553824"/>
    <n v="0"/>
  </r>
  <r>
    <x v="37"/>
    <s v="Census Tract 99, King County, Washington"/>
    <n v="1630.5209804758349"/>
    <n v="1392.5957198393196"/>
    <n v="237.92526063651533"/>
    <n v="1630.5209804758349"/>
    <n v="1392.5957198393196"/>
    <n v="237.92526063651533"/>
    <n v="1061.8307445468497"/>
    <n v="64.649517898073682"/>
    <n v="25.183242437040327"/>
    <n v="24.055634566725089"/>
    <n v="118.77469567320513"/>
    <n v="8.26912438231175"/>
    <n v="21.424549535989534"/>
    <n v="0"/>
    <n v="96.222538266900358"/>
    <n v="88.329283174693686"/>
    <n v="0"/>
    <n v="0"/>
    <n v="20.672810955779372"/>
    <n v="52.621700614711131"/>
    <n v="48.487138423555258"/>
    <n v="0"/>
  </r>
  <r>
    <x v="38"/>
    <s v="Census Tract 99, King County, Washington"/>
    <n v="13.841770285906735"/>
    <n v="11.821982228972903"/>
    <n v="2.019788056933832"/>
    <n v="13.841770285906735"/>
    <n v="11.821982228972903"/>
    <n v="2.019788056933832"/>
    <n v="9.0140620234408768"/>
    <n v="0.54882076744489594"/>
    <n v="0.21378483383027921"/>
    <n v="0.20421237858414731"/>
    <n v="1.0082986192592274"/>
    <n v="7.0198005138300643E-2"/>
    <n v="0.18187664967650621"/>
    <n v="0"/>
    <n v="0.81684951433658926"/>
    <n v="0.74984232761366587"/>
    <n v="0"/>
    <n v="0"/>
    <n v="0.17549501284575159"/>
    <n v="0.44671457815282223"/>
    <n v="0.41161557558367196"/>
    <n v="0"/>
  </r>
  <r>
    <x v="39"/>
    <s v="Census Tract 99, King County, Washington"/>
    <n v="0.39524733474247536"/>
    <n v="0.33757293112514319"/>
    <n v="5.7674403617332157E-2"/>
    <n v="0.39524733474247536"/>
    <n v="0.33757293112514319"/>
    <n v="5.7674403617332157E-2"/>
    <n v="0.25739366543280151"/>
    <n v="1.5671401930775878E-2"/>
    <n v="6.1045577288487436E-3"/>
    <n v="5.8312193230793969E-3"/>
    <n v="2.8791645407704521E-2"/>
    <n v="2.0044816423085425E-3"/>
    <n v="5.1934297096175881E-3"/>
    <n v="0"/>
    <n v="2.3324877292317588E-2"/>
    <n v="2.1411508451932161E-2"/>
    <n v="0"/>
    <n v="0"/>
    <n v="5.011204105771357E-3"/>
    <n v="1.275579226923618E-2"/>
    <n v="1.1753551448081909E-2"/>
    <n v="0"/>
  </r>
  <r>
    <x v="31"/>
    <s v="Census Tract 99, King County, Washington"/>
    <n v="1010.4392430926229"/>
    <n v="862.99617235089158"/>
    <n v="147.44307074173128"/>
    <n v="1010.4392430926229"/>
    <n v="862.99617235089158"/>
    <n v="147.44307074173128"/>
    <n v="658.0200234524342"/>
    <n v="40.063520011971214"/>
    <n v="15.606138609314369"/>
    <n v="14.907356283524173"/>
    <n v="73.605071649900609"/>
    <n v="5.1244037224614347"/>
    <n v="13.276864190013717"/>
    <n v="0"/>
    <n v="59.629425134096692"/>
    <n v="54.737948853565321"/>
    <n v="0"/>
    <n v="0"/>
    <n v="12.811009306153586"/>
    <n v="32.609841870209131"/>
    <n v="30.047640008978412"/>
    <n v="0"/>
  </r>
  <r>
    <x v="54"/>
    <s v="Census Tract 98, King County, Washington"/>
    <n v="3472.7912732787181"/>
    <n v="3146.3966295530381"/>
    <n v="326.39464372568023"/>
    <n v="3472.7912732787181"/>
    <n v="3146.3966295530381"/>
    <n v="326.39464372568023"/>
    <n v="2790.7637087842895"/>
    <n v="183.78345569928612"/>
    <n v="57.879854554645306"/>
    <n v="14.320788755788529"/>
    <n v="91.295028318151878"/>
    <n v="25.061380322629926"/>
    <n v="39.382169078418457"/>
    <n v="0"/>
    <n v="68.023746589995511"/>
    <n v="81.151136282801659"/>
    <n v="0"/>
    <n v="5.9669953149118875"/>
    <n v="38.785469546927267"/>
    <n v="11.337291098332585"/>
    <n v="60.266652680610058"/>
    <n v="4.7735962519295096"/>
  </r>
  <r>
    <x v="45"/>
    <s v="Census Tract 98, King County, Washington"/>
    <n v="21.691744333838731"/>
    <n v="19.653018534764882"/>
    <n v="2.0387257990738461"/>
    <n v="21.691744333838731"/>
    <n v="19.653018534764882"/>
    <n v="2.0387257990738461"/>
    <n v="17.431664647656998"/>
    <n v="1.1479479819282352"/>
    <n v="0.36152907223064551"/>
    <n v="8.9450492098304038E-2"/>
    <n v="0.57024688712668825"/>
    <n v="0.15653836117203207"/>
    <n v="0.24598885327033609"/>
    <n v="0"/>
    <n v="0.4248898374669442"/>
    <n v="0.50688612189038951"/>
    <n v="0"/>
    <n v="3.7271038374293353E-2"/>
    <n v="0.24226174943290676"/>
    <n v="7.0814972911157362E-2"/>
    <n v="0.37643748758036283"/>
    <n v="2.9816830699434679E-2"/>
  </r>
  <r>
    <x v="46"/>
    <s v="Census Tract 98, King County, Washington"/>
    <n v="2325.5169854019923"/>
    <n v="2106.9503546434203"/>
    <n v="218.56663075857213"/>
    <n v="2325.5169854019923"/>
    <n v="2106.9503546434203"/>
    <n v="218.56663075857213"/>
    <n v="1868.8046289905701"/>
    <n v="123.0685964783185"/>
    <n v="38.75861642336654"/>
    <n v="9.5897607645442982"/>
    <n v="61.134724873969901"/>
    <n v="16.782081337952523"/>
    <n v="26.371842102496821"/>
    <n v="0"/>
    <n v="45.551363631585417"/>
    <n v="54.341977665751024"/>
    <n v="0"/>
    <n v="3.9957336518934579"/>
    <n v="25.972268737307477"/>
    <n v="7.5918939385975701"/>
    <n v="40.356909884123922"/>
    <n v="3.1965869215147662"/>
  </r>
  <r>
    <x v="42"/>
    <s v="Census Tract 97.02, King County, Washington"/>
    <n v="95.901189381358947"/>
    <n v="85.566597031342226"/>
    <n v="10.334592350016731"/>
    <n v="95.901189381358947"/>
    <n v="85.566597031342226"/>
    <n v="10.334592350016731"/>
    <n v="75.002347073547341"/>
    <n v="5.9710978022318884"/>
    <n v="1.32053124472436"/>
    <n v="1.3779456466688973"/>
    <n v="0.61242028740839882"/>
    <n v="0"/>
    <n v="1.4162219146319224"/>
    <n v="0.17224320583361216"/>
    <n v="1.6076032544470469"/>
    <n v="1.7798464602806592"/>
    <n v="0"/>
    <n v="0.15310507185209971"/>
    <n v="0.19138133981512462"/>
    <n v="0"/>
    <n v="5.4160919167680275"/>
    <n v="0.88035416314957327"/>
  </r>
  <r>
    <x v="44"/>
    <s v="Census Tract 97.02, King County, Washington"/>
    <n v="318.10637800179995"/>
    <n v="283.82630533746709"/>
    <n v="34.280072664332863"/>
    <n v="318.10637800179995"/>
    <n v="283.82630533746709"/>
    <n v="34.280072664332863"/>
    <n v="248.78445328059351"/>
    <n v="19.806264206058991"/>
    <n v="4.3802315071091993"/>
    <n v="4.5706763552443821"/>
    <n v="2.0314117134419476"/>
    <n v="0"/>
    <n v="4.6976395873345034"/>
    <n v="0.57133454440554776"/>
    <n v="5.3324557477851124"/>
    <n v="5.90379029219066"/>
    <n v="0"/>
    <n v="0.5078529283604869"/>
    <n v="0.63481616045060862"/>
    <n v="0"/>
    <n v="17.965297340752223"/>
    <n v="2.9201543380727997"/>
  </r>
  <r>
    <x v="54"/>
    <s v="Census Tract 97.02, King County, Washington"/>
    <n v="2983.2265267477037"/>
    <n v="2661.7453205126685"/>
    <n v="321.4812062350349"/>
    <n v="2983.2265267477037"/>
    <n v="2661.7453205126685"/>
    <n v="321.4812062350349"/>
    <n v="2333.1200874724109"/>
    <n v="185.74469693579795"/>
    <n v="41.078154130032239"/>
    <n v="42.864160831337983"/>
    <n v="19.050738147261328"/>
    <n v="0"/>
    <n v="44.054831965541823"/>
    <n v="5.3580201039172479"/>
    <n v="50.008187636560983"/>
    <n v="55.366207740478231"/>
    <n v="0"/>
    <n v="4.7626845368153319"/>
    <n v="5.9533556710191649"/>
    <n v="0"/>
    <n v="168.47996548984236"/>
    <n v="27.385436086688159"/>
  </r>
  <r>
    <x v="46"/>
    <s v="Census Tract 97.02, King County, Washington"/>
    <n v="1613.7658945783578"/>
    <n v="1439.8617670444696"/>
    <n v="173.90412753388807"/>
    <n v="1613.7658945783578"/>
    <n v="1439.8617670444696"/>
    <n v="173.90412753388807"/>
    <n v="1262.0931033431618"/>
    <n v="100.47794035291311"/>
    <n v="22.221082962663477"/>
    <n v="23.187217004518409"/>
    <n v="10.30542977978596"/>
    <n v="0"/>
    <n v="23.831306365755033"/>
    <n v="2.8984021255648011"/>
    <n v="27.051753171938145"/>
    <n v="29.950155297502949"/>
    <n v="0"/>
    <n v="2.5763574449464901"/>
    <n v="3.2204468061831126"/>
    <n v="0"/>
    <n v="91.138644614982084"/>
    <n v="14.814055308442319"/>
  </r>
  <r>
    <x v="42"/>
    <s v="Census Tract 97.01, King County, Washington"/>
    <n v="1.0107074348805118"/>
    <n v="0.92013680808396769"/>
    <n v="9.0570626796544068E-2"/>
    <n v="1.0107074348805118"/>
    <n v="0.92013680808396769"/>
    <n v="9.0570626796544068E-2"/>
    <n v="0.83905995768119135"/>
    <n v="5.0127139359093575E-2"/>
    <n v="1.5190042230028357E-2"/>
    <n v="7.5950211150141781E-4"/>
    <n v="7.9747721707648864E-3"/>
    <n v="9.4937763937677228E-4"/>
    <n v="1.1202656144645913E-2"/>
    <n v="0"/>
    <n v="1.7088797508781901E-2"/>
    <n v="2.3734440984419305E-2"/>
    <n v="0"/>
    <n v="0"/>
    <n v="7.4051455871388238E-3"/>
    <n v="7.0253945313881148E-3"/>
    <n v="2.221543676141647E-2"/>
    <n v="7.9747721707648864E-3"/>
  </r>
  <r>
    <x v="44"/>
    <s v="Census Tract 97.01, King County, Washington"/>
    <n v="5314.0432040704245"/>
    <n v="4837.8458325991505"/>
    <n v="476.19737147127421"/>
    <n v="5314.0432040704245"/>
    <n v="4837.8458325991505"/>
    <n v="476.19737147127421"/>
    <n v="4411.564328158408"/>
    <n v="263.55577792120835"/>
    <n v="79.865387248851022"/>
    <n v="3.9932693624425508"/>
    <n v="41.929328305646784"/>
    <n v="4.9915867030531889"/>
    <n v="58.900723096027626"/>
    <n v="0"/>
    <n v="89.848560654957396"/>
    <n v="124.78966757632972"/>
    <n v="0"/>
    <n v="0"/>
    <n v="38.934376283814871"/>
    <n v="36.937741602593597"/>
    <n v="116.80312885144461"/>
    <n v="41.929328305646784"/>
  </r>
  <r>
    <x v="54"/>
    <s v="Census Tract 97.01, King County, Washington"/>
    <n v="5.6781122552129242"/>
    <n v="5.1692902477478553"/>
    <n v="0.50882200746506945"/>
    <n v="5.6781122552129242"/>
    <n v="5.1692902477478553"/>
    <n v="0.50882200746506945"/>
    <n v="4.7138038804782854"/>
    <n v="0.28161218023223972"/>
    <n v="8.5337024312799908E-2"/>
    <n v="4.2668512156399958E-3"/>
    <n v="4.4801937764219958E-2"/>
    <n v="5.3335640195499943E-3"/>
    <n v="6.2936055430689933E-2"/>
    <n v="0"/>
    <n v="9.6004152351899907E-2"/>
    <n v="0.13333910048874986"/>
    <n v="0"/>
    <n v="0"/>
    <n v="4.1601799352489956E-2"/>
    <n v="3.9468373744669959E-2"/>
    <n v="0.12480539805746987"/>
    <n v="4.4801937764219958E-2"/>
  </r>
  <r>
    <x v="46"/>
    <s v="Census Tract 97.01, King County, Washington"/>
    <n v="0.25470424745703751"/>
    <n v="0.23187991417937326"/>
    <n v="2.2824333277664269E-2"/>
    <n v="0.25470424745703751"/>
    <n v="0.23187991417937326"/>
    <n v="2.2824333277664269E-2"/>
    <n v="0.2114480686666633"/>
    <n v="1.263233539895884E-2"/>
    <n v="3.8279804239269213E-3"/>
    <n v="1.9139902119634606E-4"/>
    <n v="2.0096897225616336E-3"/>
    <n v="2.3924877649543258E-4"/>
    <n v="2.8231355626461042E-3"/>
    <n v="0"/>
    <n v="4.3064779769177866E-3"/>
    <n v="5.9812194123858142E-3"/>
    <n v="0"/>
    <n v="0"/>
    <n v="1.8661404566643741E-3"/>
    <n v="1.7704409460662009E-3"/>
    <n v="5.5984213699931222E-3"/>
    <n v="2.0096897225616336E-3"/>
  </r>
  <r>
    <x v="44"/>
    <s v="Census Tract 96, King County, Washington"/>
    <n v="848.17064157450591"/>
    <n v="768.50915826338132"/>
    <n v="79.66148331112457"/>
    <n v="848.17064157450591"/>
    <n v="768.50915826338132"/>
    <n v="79.66148331112457"/>
    <n v="701.60730647828109"/>
    <n v="58.452906585435557"/>
    <n v="13.44934133824181"/>
    <n v="3.4485490610876433"/>
    <n v="9.4835099179910198"/>
    <n v="0"/>
    <n v="5.0003961385770834"/>
    <n v="0"/>
    <n v="17.242745305438216"/>
    <n v="12.759631526024281"/>
    <n v="2.4139843427613505"/>
    <n v="0"/>
    <n v="3.6209765141420256"/>
    <n v="1.5518470774894395"/>
    <n v="15.690898227948777"/>
    <n v="3.4485490610876433"/>
  </r>
  <r>
    <x v="54"/>
    <s v="Census Tract 96, King County, Washington"/>
    <n v="3947.977650313112"/>
    <n v="3577.1775538616671"/>
    <n v="370.80009645144497"/>
    <n v="3947.977650313112"/>
    <n v="3577.1775538616671"/>
    <n v="370.80009645144497"/>
    <n v="3265.7696806513627"/>
    <n v="272.08059025333301"/>
    <n v="62.60261368660759"/>
    <n v="16.051952227335281"/>
    <n v="44.142868625172021"/>
    <n v="0"/>
    <n v="23.275330729636156"/>
    <n v="0"/>
    <n v="80.259761136676403"/>
    <n v="59.392223241140535"/>
    <n v="11.236366559134696"/>
    <n v="0"/>
    <n v="16.854549838702045"/>
    <n v="7.2233785023008759"/>
    <n v="73.036382634375528"/>
    <n v="16.051952227335281"/>
  </r>
  <r>
    <x v="31"/>
    <s v="Census Tract 96, King County, Washington"/>
    <n v="121.29194124316506"/>
    <n v="109.90001669461"/>
    <n v="11.391924548555043"/>
    <n v="121.29194124316506"/>
    <n v="109.90001669461"/>
    <n v="11.391924548555043"/>
    <n v="100.33277270145123"/>
    <n v="8.3590095713423356"/>
    <n v="1.9233119367690332"/>
    <n v="0.49315690686385466"/>
    <n v="1.3561814938756003"/>
    <n v="0"/>
    <n v="0.7150775149525892"/>
    <n v="0"/>
    <n v="2.465784534319273"/>
    <n v="1.8246805553962622"/>
    <n v="0.34520983480469825"/>
    <n v="0"/>
    <n v="0.51781475220704742"/>
    <n v="0.22192060808873459"/>
    <n v="2.2438639262305387"/>
    <n v="0.49315690686385466"/>
  </r>
  <r>
    <x v="55"/>
    <s v="Census Tract 95, King County, Washington"/>
    <n v="120.00797168046945"/>
    <n v="99.730255982842465"/>
    <n v="20.277715697626988"/>
    <n v="120.00797168046945"/>
    <n v="99.730255982842465"/>
    <n v="20.277715697626988"/>
    <n v="58.817970377588843"/>
    <n v="2.9597908005853055"/>
    <n v="0.77668269235217247"/>
    <n v="0.98659693352843525"/>
    <n v="27.456782745855175"/>
    <n v="0.8816398129403038"/>
    <n v="1.5323739605867186"/>
    <n v="0"/>
    <n v="6.2554443870526324"/>
    <n v="14.840936851161782"/>
    <n v="0"/>
    <n v="0"/>
    <n v="0.52478560294065701"/>
    <n v="0"/>
    <n v="4.3662162164662668"/>
    <n v="0.60875129941116213"/>
  </r>
  <r>
    <x v="52"/>
    <s v="Census Tract 95, King County, Washington"/>
    <n v="1104.3606637475143"/>
    <n v="917.75713021942283"/>
    <n v="186.60353352809145"/>
    <n v="1104.3606637475143"/>
    <n v="917.75713021942283"/>
    <n v="186.60353352809145"/>
    <n v="541.26615004732116"/>
    <n v="27.237161726149992"/>
    <n v="7.1473403111173734"/>
    <n v="9.0790539087166646"/>
    <n v="252.66813856598716"/>
    <n v="8.113197109917019"/>
    <n v="14.101509262474819"/>
    <n v="0"/>
    <n v="57.565065208458847"/>
    <n v="136.57215135026982"/>
    <n v="0"/>
    <n v="0"/>
    <n v="4.8292839939982253"/>
    <n v="0"/>
    <n v="40.179642830065234"/>
    <n v="5.6019694330379419"/>
  </r>
  <r>
    <x v="47"/>
    <s v="Census Tract 95, King County, Washington"/>
    <n v="1.0334936021544017"/>
    <n v="0.85886445755388519"/>
    <n v="0.17462914460051635"/>
    <n v="1.0334936021544017"/>
    <n v="0.85886445755388519"/>
    <n v="0.17462914460051635"/>
    <n v="0.50653298464870267"/>
    <n v="2.5489347193243066E-2"/>
    <n v="6.6886939443261953E-3"/>
    <n v="8.4964490644143555E-3"/>
    <n v="0.23645436970753145"/>
    <n v="7.5925715043702758E-3"/>
    <n v="1.3196612376643574E-2"/>
    <n v="0"/>
    <n v="5.3871102578627192E-2"/>
    <n v="0.12780828699023297"/>
    <n v="0"/>
    <n v="0"/>
    <n v="4.5193878002204018E-3"/>
    <n v="0"/>
    <n v="3.7601306497833747E-2"/>
    <n v="5.2424898482556666E-3"/>
  </r>
  <r>
    <x v="51"/>
    <s v="Census Tract 95, King County, Washington"/>
    <n v="4325.0114255972676"/>
    <n v="3594.2153722254011"/>
    <n v="730.79605337186649"/>
    <n v="4325.0114255972676"/>
    <n v="3594.2153722254011"/>
    <n v="730.79605337186649"/>
    <n v="2119.7624653705693"/>
    <n v="106.66898915676312"/>
    <n v="27.991153182980391"/>
    <n v="35.556329718921042"/>
    <n v="989.52509090103661"/>
    <n v="31.773741450950716"/>
    <n v="55.225788712366722"/>
    <n v="0"/>
    <n v="225.44226077103127"/>
    <n v="534.85798109100369"/>
    <n v="0"/>
    <n v="0"/>
    <n v="18.912941339851617"/>
    <n v="0"/>
    <n v="157.35567194756544"/>
    <n v="21.939011954227876"/>
  </r>
  <r>
    <x v="48"/>
    <s v="Census Tract 95, King County, Washington"/>
    <n v="119.38358836144667"/>
    <n v="99.211374550504317"/>
    <n v="20.172213810942363"/>
    <n v="119.38358836144667"/>
    <n v="99.211374550504317"/>
    <n v="20.172213810942363"/>
    <n v="58.511949377081265"/>
    <n v="2.9443914568766805"/>
    <n v="0.77264172981870338"/>
    <n v="0.98146381895889345"/>
    <n v="27.313929259536863"/>
    <n v="0.87705277438879836"/>
    <n v="1.5244012507233877"/>
    <n v="0"/>
    <n v="6.2228982563776647"/>
    <n v="14.76372170221144"/>
    <n v="0"/>
    <n v="0"/>
    <n v="0.52205522285047523"/>
    <n v="0"/>
    <n v="4.3434994541159542"/>
    <n v="0.60558405850655128"/>
  </r>
  <r>
    <x v="50"/>
    <s v="Census Tract 95, King County, Washington"/>
    <n v="46.519580204951154"/>
    <n v="38.659178861942095"/>
    <n v="7.8604013430090633"/>
    <n v="46.519580204951154"/>
    <n v="38.659178861942095"/>
    <n v="7.8604013430090633"/>
    <n v="22.800046131585297"/>
    <n v="1.1473256618677825"/>
    <n v="0.30107127297239683"/>
    <n v="0.38244188728926087"/>
    <n v="10.643276352645813"/>
    <n v="0.34175658013082882"/>
    <n v="0.59400548451310731"/>
    <n v="0"/>
    <n v="2.4248443066425476"/>
    <n v="5.7529024322022853"/>
    <n v="0"/>
    <n v="0"/>
    <n v="0.20342653579216002"/>
    <n v="0"/>
    <n v="1.6925087777907715"/>
    <n v="0.23597478151890564"/>
  </r>
  <r>
    <x v="52"/>
    <s v="Census Tract 94, King County, Washington"/>
    <n v="1072.6002471736699"/>
    <n v="577.22344473043165"/>
    <n v="495.3768024432382"/>
    <n v="1072.6002471736699"/>
    <n v="577.22344473043165"/>
    <n v="495.3768024432382"/>
    <n v="185.99649459764706"/>
    <n v="12.686229554514981"/>
    <n v="17.801644697464571"/>
    <n v="13.504695977386916"/>
    <n v="121.13303058504627"/>
    <n v="35.603289394929142"/>
    <n v="18.006261303182555"/>
    <n v="1.2276996343079014"/>
    <n v="150.8024384141539"/>
    <n v="367.49142386949848"/>
    <n v="2.6600158743337863"/>
    <n v="0"/>
    <n v="44.197186835084452"/>
    <n v="33.352506732031323"/>
    <n v="36.626372423519058"/>
    <n v="31.510957280569471"/>
  </r>
  <r>
    <x v="56"/>
    <s v="Census Tract 94, King County, Washingto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s v="Census Tract 94, King County, Washington"/>
    <n v="4169.3997558697665"/>
    <n v="2243.7765569074036"/>
    <n v="1925.6231989623625"/>
    <n v="4169.3997558697665"/>
    <n v="2243.7765569074036"/>
    <n v="1925.6231989623625"/>
    <n v="723.00350593010637"/>
    <n v="49.313770481481399"/>
    <n v="69.19835535304648"/>
    <n v="52.495304060931815"/>
    <n v="470.86696975866113"/>
    <n v="138.39671070609296"/>
    <n v="69.993738747909077"/>
    <n v="4.7723003691756194"/>
    <n v="586.19756201373855"/>
    <n v="1428.5085771732354"/>
    <n v="10.339984133213843"/>
    <n v="0"/>
    <n v="171.80281329032229"/>
    <n v="129.64749336260434"/>
    <n v="142.37362768040597"/>
    <n v="122.48904280884089"/>
  </r>
  <r>
    <x v="56"/>
    <s v="Census Tract 93, King County, Washington"/>
    <n v="9.0715620408009023"/>
    <n v="7.0816253245908687"/>
    <n v="1.9899367162100341"/>
    <n v="9.0715620408009023"/>
    <n v="7.0816253245908687"/>
    <n v="1.9899367162100341"/>
    <n v="3.8382409259282508"/>
    <n v="0.25493851168527126"/>
    <n v="0.19474469642624889"/>
    <n v="0.33637720291806622"/>
    <n v="1.0020499834296079"/>
    <n v="0.17704063311477169"/>
    <n v="0.22661201038690779"/>
    <n v="0"/>
    <n v="1.10119273797388"/>
    <n v="0.94893779349517637"/>
    <n v="0"/>
    <n v="0"/>
    <n v="0.40719345616397495"/>
    <n v="9.5601941881976724E-2"/>
    <n v="0.31159151428199822"/>
    <n v="0.17704063311477169"/>
  </r>
  <r>
    <x v="57"/>
    <s v="Census Tract 93, King County, Washington"/>
    <n v="186.21211287366563"/>
    <n v="145.36464705204185"/>
    <n v="40.847465821623764"/>
    <n v="186.21211287366563"/>
    <n v="145.36464705204185"/>
    <n v="40.847465821623764"/>
    <n v="78.787638702206692"/>
    <n v="5.2331272938735065"/>
    <n v="3.9975277939311509"/>
    <n v="6.9048207349719881"/>
    <n v="20.569097557863923"/>
    <n v="3.6341161763010463"/>
    <n v="4.6516687056653394"/>
    <n v="0"/>
    <n v="22.604202616592509"/>
    <n v="19.478862704973608"/>
    <n v="0"/>
    <n v="0"/>
    <n v="8.3584672054924063"/>
    <n v="1.9624227352025652"/>
    <n v="6.3960444702898416"/>
    <n v="3.6341161763010463"/>
  </r>
  <r>
    <x v="31"/>
    <s v="Census Tract 93, King County, Washington"/>
    <n v="2035.5858343129312"/>
    <n v="1589.0599799476436"/>
    <n v="446.52585436528784"/>
    <n v="2035.5858343129312"/>
    <n v="1589.0599799476436"/>
    <n v="446.52585436528784"/>
    <n v="861.27050913162282"/>
    <n v="57.206159278115166"/>
    <n v="43.699149448560199"/>
    <n v="75.480349047513059"/>
    <n v="224.85198716259154"/>
    <n v="39.726499498691084"/>
    <n v="50.849919358324591"/>
    <n v="0"/>
    <n v="247.09882688185857"/>
    <n v="212.93403731298423"/>
    <n v="0"/>
    <n v="0"/>
    <n v="91.370948846989506"/>
    <n v="21.452309729293187"/>
    <n v="69.918639117696316"/>
    <n v="39.726499498691084"/>
  </r>
  <r>
    <x v="32"/>
    <s v="Census Tract 93, King County, Washington"/>
    <n v="0.52504394314719882"/>
    <n v="0.40987036935768845"/>
    <n v="0.11517357378951044"/>
    <n v="0.52504394314719882"/>
    <n v="0.40987036935768845"/>
    <n v="0.11517357378951044"/>
    <n v="0.22214974019186712"/>
    <n v="1.4755333296876783E-2"/>
    <n v="1.1271435157336432E-2"/>
    <n v="1.94688425444902E-2"/>
    <n v="5.7996657264112912E-2"/>
    <n v="1.024675923394221E-2"/>
    <n v="1.311585181944603E-2"/>
    <n v="0"/>
    <n v="6.3734842435120551E-2"/>
    <n v="5.4922629493930251E-2"/>
    <n v="0"/>
    <n v="0"/>
    <n v="2.3567546238067085E-2"/>
    <n v="5.5332499863287934E-3"/>
    <n v="1.8034296251738292E-2"/>
    <n v="1.024675923394221E-2"/>
  </r>
  <r>
    <x v="47"/>
    <s v="Census Tract 93, King County, Washington"/>
    <n v="175.71749688649462"/>
    <n v="137.17212871701375"/>
    <n v="38.545368169480867"/>
    <n v="175.71749688649462"/>
    <n v="137.17212871701375"/>
    <n v="38.545368169480867"/>
    <n v="74.347293764621455"/>
    <n v="4.9381966338124954"/>
    <n v="3.7722335397178783"/>
    <n v="6.5156761140581532"/>
    <n v="19.409856213457445"/>
    <n v="3.429303217925344"/>
    <n v="4.3895081189444403"/>
    <n v="0"/>
    <n v="21.330266015495638"/>
    <n v="18.381065248079842"/>
    <n v="0"/>
    <n v="0"/>
    <n v="7.8873974012282915"/>
    <n v="1.8518237376796858"/>
    <n v="6.0355736635486057"/>
    <n v="3.429303217925344"/>
  </r>
  <r>
    <x v="33"/>
    <s v="Census Tract 93, King County, Washington"/>
    <n v="152.24851803525655"/>
    <n v="118.851302135251"/>
    <n v="33.397215900005534"/>
    <n v="152.24851803525655"/>
    <n v="118.851302135251"/>
    <n v="33.397215900005534"/>
    <n v="64.417405757306042"/>
    <n v="4.2786468768690362"/>
    <n v="3.2684108087194028"/>
    <n v="5.6454368514244226"/>
    <n v="16.817459252138018"/>
    <n v="2.9712825533812754"/>
    <n v="3.8032416683280323"/>
    <n v="0"/>
    <n v="18.481377482031533"/>
    <n v="15.926074486123635"/>
    <n v="0"/>
    <n v="0"/>
    <n v="6.833949872776933"/>
    <n v="1.6044925788258886"/>
    <n v="5.2294572939510449"/>
    <n v="2.9712825533812754"/>
  </r>
  <r>
    <x v="56"/>
    <s v="Census Tract 92, King County, Washington"/>
    <n v="776.63449982898226"/>
    <n v="442.60664682678657"/>
    <n v="334.02785300219574"/>
    <n v="776.63449982898226"/>
    <n v="442.60664682678657"/>
    <n v="334.02785300219574"/>
    <n v="304.41545468639822"/>
    <n v="28.822734360709561"/>
    <n v="10.265631416143131"/>
    <n v="32.771054136149225"/>
    <n v="60.409292564226888"/>
    <n v="11.055295371231065"/>
    <n v="25.664078540357828"/>
    <n v="3.9483197754396659"/>
    <n v="3.9483197754396659"/>
    <n v="216.36792369409369"/>
    <n v="0"/>
    <n v="0"/>
    <n v="4.3431517529836325"/>
    <n v="9.870799438599164"/>
    <n v="33.560718091237163"/>
    <n v="31.191726225973362"/>
  </r>
  <r>
    <x v="58"/>
    <s v="Census Tract 92, King County, Washington"/>
    <n v="27.359382086568218"/>
    <n v="15.592205042726471"/>
    <n v="11.767177043841745"/>
    <n v="27.359382086568218"/>
    <n v="15.592205042726471"/>
    <n v="11.767177043841745"/>
    <n v="10.723987589600455"/>
    <n v="1.0153710687948549"/>
    <n v="0.36163901080364697"/>
    <n v="1.154462996027027"/>
    <n v="2.1281064866522303"/>
    <n v="0.38945739625008136"/>
    <n v="0.9040975270091175"/>
    <n v="0.13909192723217192"/>
    <n v="0.13909192723217192"/>
    <n v="7.6222376123230209"/>
    <n v="0"/>
    <n v="0"/>
    <n v="0.15300111995538912"/>
    <n v="0.3477298180804298"/>
    <n v="1.1822813814734614"/>
    <n v="1.0988262251341581"/>
  </r>
  <r>
    <x v="57"/>
    <s v="Census Tract 92, King County, Washington"/>
    <n v="1161.6113131147861"/>
    <n v="662.00624402728783"/>
    <n v="499.60506908749824"/>
    <n v="1161.6113131147861"/>
    <n v="662.00624402728783"/>
    <n v="499.60506908749824"/>
    <n v="455.31383955846468"/>
    <n v="43.110130074925969"/>
    <n v="15.35429290339829"/>
    <n v="49.01562734546377"/>
    <n v="90.354108239228395"/>
    <n v="16.535392357505852"/>
    <n v="38.385732258495729"/>
    <n v="5.9054972705378042"/>
    <n v="5.9054972705378042"/>
    <n v="323.62125042547166"/>
    <n v="0"/>
    <n v="0"/>
    <n v="6.4960469975915842"/>
    <n v="14.76374317634451"/>
    <n v="50.19672679957133"/>
    <n v="46.65342843724865"/>
  </r>
  <r>
    <x v="52"/>
    <s v="Census Tract 91, King County, Washington"/>
    <n v="0.14759114520115033"/>
    <n v="5.3758864876033749E-2"/>
    <n v="9.3832280325116577E-2"/>
    <n v="0.14759114520115033"/>
    <n v="5.3758864876033749E-2"/>
    <n v="9.3832280325116577E-2"/>
    <n v="1.9583046417570662E-2"/>
    <n v="7.5610217828458158E-4"/>
    <n v="0"/>
    <n v="0"/>
    <n v="1.7163519447060002E-2"/>
    <n v="1.4139110733921675E-2"/>
    <n v="9.8293283176995603E-4"/>
    <n v="0"/>
    <n v="1.3685449426950927E-2"/>
    <n v="7.2434588679662917E-2"/>
    <n v="0"/>
    <n v="0"/>
    <n v="4.536613069707489E-4"/>
    <n v="1.3609839209122467E-3"/>
    <n v="1.8902554457114538E-3"/>
    <n v="5.1414948123351548E-3"/>
  </r>
  <r>
    <x v="56"/>
    <s v="Census Tract 91, King County, Washington"/>
    <n v="1366.4387214699912"/>
    <n v="497.71410397805516"/>
    <n v="868.72461749193599"/>
    <n v="1366.4387214699912"/>
    <n v="497.71410397805516"/>
    <n v="868.72461749193599"/>
    <n v="181.30513773602854"/>
    <n v="7.0001983681864299"/>
    <n v="0"/>
    <n v="0"/>
    <n v="158.90450295783197"/>
    <n v="130.90370948508624"/>
    <n v="9.1002578786423598"/>
    <n v="0"/>
    <n v="126.70359046417438"/>
    <n v="670.61900367225996"/>
    <n v="0"/>
    <n v="0"/>
    <n v="4.200119020911858"/>
    <n v="12.600357062735574"/>
    <n v="17.500495920466076"/>
    <n v="47.601348903667727"/>
  </r>
  <r>
    <x v="58"/>
    <s v="Census Tract 91, King County, Washington"/>
    <n v="584.7134264037303"/>
    <n v="212.97707283455546"/>
    <n v="371.73635356917487"/>
    <n v="584.7134264037303"/>
    <n v="212.97707283455546"/>
    <n v="371.73635356917487"/>
    <n v="77.582365491068728"/>
    <n v="2.9954581270682907"/>
    <n v="0"/>
    <n v="0"/>
    <n v="67.996899484450196"/>
    <n v="56.015066976177032"/>
    <n v="3.8940955651887776"/>
    <n v="0"/>
    <n v="54.217792099936062"/>
    <n v="286.96488857314222"/>
    <n v="0"/>
    <n v="0"/>
    <n v="1.7972748762409743"/>
    <n v="5.3918246287229232"/>
    <n v="7.4886453176707262"/>
    <n v="20.369115264064376"/>
  </r>
  <r>
    <x v="31"/>
    <s v="Census Tract 91, King County, Washington"/>
    <n v="0.59136660481048264"/>
    <n v="0.21540043853496574"/>
    <n v="0.37596616627551688"/>
    <n v="0.59136660481048264"/>
    <n v="0.21540043853496574"/>
    <n v="0.37596616627551688"/>
    <n v="7.8465138650571212E-2"/>
    <n v="3.0295420328405871E-3"/>
    <n v="0"/>
    <n v="0"/>
    <n v="6.8770604145481334E-2"/>
    <n v="5.6652436014118984E-2"/>
    <n v="3.9384046426927631E-3"/>
    <n v="0"/>
    <n v="5.4834710794414626E-2"/>
    <n v="0.29023012674612825"/>
    <n v="0"/>
    <n v="0"/>
    <n v="1.8177252197043524E-3"/>
    <n v="5.4531756591130569E-3"/>
    <n v="7.573855082101468E-3"/>
    <n v="2.0600885823315995E-2"/>
  </r>
  <r>
    <x v="47"/>
    <s v="Census Tract 91, King County, Washington"/>
    <n v="0.10891301857413421"/>
    <n v="3.967067428596794E-2"/>
    <n v="6.9242344288166266E-2"/>
    <n v="0.10891301857413421"/>
    <n v="3.967067428596794E-2"/>
    <n v="6.9242344288166266E-2"/>
    <n v="1.4451061378432767E-2"/>
    <n v="5.5795603777732692E-4"/>
    <n v="0"/>
    <n v="0"/>
    <n v="1.2665602057545321E-2"/>
    <n v="1.0433777906436013E-2"/>
    <n v="7.2534284911052497E-4"/>
    <n v="0"/>
    <n v="1.0099004283769617E-2"/>
    <n v="5.3452188419067917E-2"/>
    <n v="0"/>
    <n v="0"/>
    <n v="3.3477362266639611E-4"/>
    <n v="1.0043208679991883E-3"/>
    <n v="1.3948900944433173E-3"/>
    <n v="3.7941010568858227E-3"/>
  </r>
  <r>
    <x v="59"/>
    <s v="Census Tract 90, King County, Washington"/>
    <n v="0.65962813239533691"/>
    <n v="0.36256905583835225"/>
    <n v="0.29705907655698466"/>
    <n v="0.65962813239533691"/>
    <n v="0.36256905583835225"/>
    <n v="0.29705907655698466"/>
    <n v="6.550997928136755E-2"/>
    <n v="4.528339581661352E-3"/>
    <n v="2.0226583464754037E-2"/>
    <n v="2.8981373322632651E-2"/>
    <n v="0.1554729923037064"/>
    <n v="3.8038052485955355E-2"/>
    <n v="9.0566791633227034E-4"/>
    <n v="2.1132251381086307E-3"/>
    <n v="8.2415780386236606E-2"/>
    <n v="0.19260537687332949"/>
    <n v="0"/>
    <n v="2.1132251381086307E-3"/>
    <n v="9.6604577742108837E-3"/>
    <n v="1.8717136937533588E-2"/>
    <n v="2.8377594711744471E-2"/>
    <n v="9.9623470796549735E-3"/>
  </r>
  <r>
    <x v="52"/>
    <s v="Census Tract 90, King County, Washington"/>
    <n v="1848.156441562659"/>
    <n v="1015.8516642181938"/>
    <n v="832.30477734446526"/>
    <n v="1848.156441562659"/>
    <n v="1015.8516642181938"/>
    <n v="832.30477734446526"/>
    <n v="183.5468868737286"/>
    <n v="12.687572825372945"/>
    <n v="56.671158619999154"/>
    <n v="81.200466082386853"/>
    <n v="435.60666700447115"/>
    <n v="106.57561173313275"/>
    <n v="2.5375145650745892"/>
    <n v="5.9208673185073746"/>
    <n v="230.91382542178761"/>
    <n v="539.64476417252922"/>
    <n v="0"/>
    <n v="5.9208673185073746"/>
    <n v="27.066822027462283"/>
    <n v="52.441967678208172"/>
    <n v="79.508789705670452"/>
    <n v="27.91266021582048"/>
  </r>
  <r>
    <x v="56"/>
    <s v="Census Tract 90, King County, Washington"/>
    <n v="335.46384225049889"/>
    <n v="184.38996546583488"/>
    <n v="151.07387678466404"/>
    <n v="335.46384225049889"/>
    <n v="184.38996546583488"/>
    <n v="151.07387678466404"/>
    <n v="33.316088681170832"/>
    <n v="2.3029554387906104"/>
    <n v="10.286534293264726"/>
    <n v="14.738914808259906"/>
    <n v="79.068136731810952"/>
    <n v="19.344825685841126"/>
    <n v="0.46059108775812208"/>
    <n v="1.0747125381022848"/>
    <n v="41.913788985989108"/>
    <n v="97.952371329893964"/>
    <n v="0"/>
    <n v="1.0747125381022848"/>
    <n v="4.9129716027533021"/>
    <n v="9.518882480334522"/>
    <n v="14.431854083087824"/>
    <n v="5.0665019653393433"/>
  </r>
  <r>
    <x v="58"/>
    <s v="Census Tract 90, King County, Washington"/>
    <n v="0.24314153329109139"/>
    <n v="0.13364438511789509"/>
    <n v="0.10949714817319631"/>
    <n v="0.24314153329109139"/>
    <n v="0.13364438511789509"/>
    <n v="0.10949714817319631"/>
    <n v="2.414723694469878E-2"/>
    <n v="1.6691638441036023E-3"/>
    <n v="7.4555985036627572E-3"/>
    <n v="1.0682648602263055E-2"/>
    <n v="5.7307958647557014E-2"/>
    <n v="1.402097629047026E-2"/>
    <n v="3.3383276882072046E-4"/>
    <n v="7.7894312724834775E-4"/>
    <n v="3.0378781962685564E-2"/>
    <n v="7.0995102169206556E-2"/>
    <n v="0"/>
    <n v="7.7894312724834775E-4"/>
    <n v="3.5608828674210183E-3"/>
    <n v="6.8992105556282234E-3"/>
    <n v="1.0460093423049242E-2"/>
    <n v="3.6721604570279249E-3"/>
  </r>
  <r>
    <x v="47"/>
    <s v="Census Tract 90, King County, Washington"/>
    <n v="0.47694652115573716"/>
    <n v="0.26215687501512147"/>
    <n v="0.21478964614061574"/>
    <n v="0.47694652115573716"/>
    <n v="0.26215687501512147"/>
    <n v="0.21478964614061574"/>
    <n v="4.7367228874505708E-2"/>
    <n v="3.2742324106801181E-3"/>
    <n v="1.4624904767704528E-2"/>
    <n v="2.0955087428352753E-2"/>
    <n v="0.11241531276668405"/>
    <n v="2.750355224971299E-2"/>
    <n v="6.5484648213602354E-4"/>
    <n v="1.527975124984055E-3"/>
    <n v="5.959102987437815E-2"/>
    <n v="0.13926401853426101"/>
    <n v="0"/>
    <n v="1.527975124984055E-3"/>
    <n v="6.9850291427842517E-3"/>
    <n v="1.3533493964144487E-2"/>
    <n v="2.051852310692874E-2"/>
    <n v="7.2033113034962598E-3"/>
  </r>
  <r>
    <x v="55"/>
    <s v="Census Tract 89, King County, Washington"/>
    <n v="3161.2734109027338"/>
    <n v="2744.6391373866195"/>
    <n v="416.63427351611386"/>
    <n v="3161.2734109027338"/>
    <n v="2744.6391373866195"/>
    <n v="416.63427351611386"/>
    <n v="1231.8185282087438"/>
    <n v="96.681409046310222"/>
    <n v="15.302093518121042"/>
    <n v="25.039789393288977"/>
    <n v="1202.6054405832401"/>
    <n v="61.903923777853308"/>
    <n v="36.864134384564331"/>
    <n v="0"/>
    <n v="52.86177760805451"/>
    <n v="128.67669549329059"/>
    <n v="15.997643223490181"/>
    <n v="0"/>
    <n v="47.992929670470545"/>
    <n v="61.208374072484169"/>
    <n v="141.19659018993508"/>
    <n v="43.124081732886573"/>
  </r>
  <r>
    <x v="52"/>
    <s v="Census Tract 89, King County, Washington"/>
    <n v="1378.0639949578713"/>
    <n v="1196.4445597588031"/>
    <n v="181.61943519906816"/>
    <n v="1378.0639949578713"/>
    <n v="1196.4445597588031"/>
    <n v="181.61943519906816"/>
    <n v="536.97499121460726"/>
    <n v="42.145411506962397"/>
    <n v="6.670496785274624"/>
    <n v="10.91535837590393"/>
    <n v="524.24040644271929"/>
    <n v="26.98519154042916"/>
    <n v="16.069833164525232"/>
    <n v="0"/>
    <n v="23.043534349130521"/>
    <n v="56.092813876172976"/>
    <n v="6.9737011846052885"/>
    <n v="0"/>
    <n v="20.921103553815865"/>
    <n v="26.681987141098496"/>
    <n v="61.550493064124943"/>
    <n v="18.798672758501212"/>
  </r>
  <r>
    <x v="51"/>
    <s v="Census Tract 89, King County, Washington"/>
    <n v="0.63387571538788356"/>
    <n v="0.55033521956448583"/>
    <n v="8.3540495823397634E-2"/>
    <n v="0.63387571538788356"/>
    <n v="0.55033521956448583"/>
    <n v="8.3540495823397634E-2"/>
    <n v="0.24699535576500367"/>
    <n v="1.9385857962357714E-2"/>
    <n v="3.068265289006257E-3"/>
    <n v="5.0207977456466022E-3"/>
    <n v="0.24113775839508264"/>
    <n v="1.2412527760070766E-2"/>
    <n v="7.3917300144241641E-3"/>
    <n v="0"/>
    <n v="1.0599461907476159E-2"/>
    <n v="2.5801321748461704E-2"/>
    <n v="3.2077318930519958E-3"/>
    <n v="0"/>
    <n v="9.6231956791559877E-3"/>
    <n v="1.2273061156025028E-2"/>
    <n v="2.8311720621285005E-2"/>
    <n v="8.6469294508358142E-3"/>
  </r>
  <r>
    <x v="60"/>
    <s v="Census Tract 88, King County, Washington"/>
    <n v="555.96459004782798"/>
    <n v="487.61868636539384"/>
    <n v="68.34590368243407"/>
    <n v="555.96459004782798"/>
    <n v="487.61868636539384"/>
    <n v="68.34590368243407"/>
    <n v="177.44562928223601"/>
    <n v="12.527439422070282"/>
    <n v="4.4401051116198467"/>
    <n v="13.637465699975243"/>
    <n v="271.16356217392632"/>
    <n v="8.0873343104504354"/>
    <n v="1.2686014604628133"/>
    <n v="0.47572554767355502"/>
    <n v="6.9773080325454728"/>
    <n v="12.844589787185985"/>
    <n v="0"/>
    <n v="0"/>
    <n v="9.3559357709132485"/>
    <n v="12.686014604628133"/>
    <n v="16.967544533690127"/>
    <n v="8.0873343104504354"/>
  </r>
  <r>
    <x v="59"/>
    <s v="Census Tract 88, King County, Washington"/>
    <n v="1.4647693957268895"/>
    <n v="1.2847021939133443"/>
    <n v="0.18006720181354519"/>
    <n v="1.4647693957268895"/>
    <n v="1.2847021939133443"/>
    <n v="0.18006720181354519"/>
    <n v="0.46750626178505117"/>
    <n v="3.3005357176960716E-2"/>
    <n v="1.1698101277910128E-2"/>
    <n v="3.5929882496438248E-2"/>
    <n v="0.71441975661522561"/>
    <n v="2.1307255899050588E-2"/>
    <n v="3.342314650831465E-3"/>
    <n v="1.2533679940617995E-3"/>
    <n v="1.8382730579573056E-2"/>
    <n v="3.384093583966858E-2"/>
    <n v="0"/>
    <n v="0"/>
    <n v="2.4649570549882056E-2"/>
    <n v="3.3423146508314648E-2"/>
    <n v="4.4703458454870844E-2"/>
    <n v="2.1307255899050588E-2"/>
  </r>
  <r>
    <x v="55"/>
    <s v="Census Tract 88, King County, Washington"/>
    <n v="801.33907928751694"/>
    <n v="702.82877033916566"/>
    <n v="98.510308948351351"/>
    <n v="801.33907928751694"/>
    <n v="702.82877033916566"/>
    <n v="98.510308948351351"/>
    <n v="255.7611037429354"/>
    <n v="18.056413937168809"/>
    <n v="6.3997416486167928"/>
    <n v="19.656349349323008"/>
    <n v="390.84136496909701"/>
    <n v="11.656672288552016"/>
    <n v="1.8284976138905122"/>
    <n v="0.68568660520894209"/>
    <n v="10.056736876397817"/>
    <n v="18.513538340641436"/>
    <n v="0"/>
    <n v="0"/>
    <n v="13.485169902442529"/>
    <n v="18.284976138905122"/>
    <n v="24.456155585785602"/>
    <n v="11.656672288552016"/>
  </r>
  <r>
    <x v="61"/>
    <s v="Census Tract 88, King County, Washington"/>
    <n v="2144.9715910043765"/>
    <n v="1881.2856937645345"/>
    <n v="263.68589723984206"/>
    <n v="2144.9715910043765"/>
    <n v="1881.2856937645345"/>
    <n v="263.68589723984206"/>
    <n v="684.60445246260622"/>
    <n v="48.332217823544141"/>
    <n v="17.130406317205519"/>
    <n v="52.614819402845519"/>
    <n v="1046.1783858007655"/>
    <n v="31.201811506338622"/>
    <n v="4.8944018049158622"/>
    <n v="1.8354006768434483"/>
    <n v="26.919209927037244"/>
    <n v="49.555818274773102"/>
    <n v="0"/>
    <n v="0"/>
    <n v="36.096213311254481"/>
    <n v="48.944018049158622"/>
    <n v="65.462624140749654"/>
    <n v="31.201811506338622"/>
  </r>
  <r>
    <x v="52"/>
    <s v="Census Tract 88, King County, Washington"/>
    <n v="2.2599628724569323"/>
    <n v="1.9821408536238068"/>
    <n v="0.27782201883312546"/>
    <n v="2.2599628724569323"/>
    <n v="1.9821408536238068"/>
    <n v="0.27782201883312546"/>
    <n v="0.72130589112359023"/>
    <n v="5.0923293475213252E-2"/>
    <n v="1.8048762244379381E-2"/>
    <n v="5.5435484036308096E-2"/>
    <n v="1.1022636942103121"/>
    <n v="3.2874531230833871E-2"/>
    <n v="5.1567892126798227E-3"/>
    <n v="1.9337959547549334E-3"/>
    <n v="2.8362340669739024E-2"/>
    <n v="5.2212490778383205E-2"/>
    <n v="0"/>
    <n v="0"/>
    <n v="3.8031320443513691E-2"/>
    <n v="5.1567892126798229E-2"/>
    <n v="6.8972055719592626E-2"/>
    <n v="3.2874531230833871E-2"/>
  </r>
  <r>
    <x v="59"/>
    <s v="Census Tract 87, King County, Washington"/>
    <n v="3784.7645238635332"/>
    <n v="3165.620986978206"/>
    <n v="619.14353688532731"/>
    <n v="3784.7645238635332"/>
    <n v="3165.620986978206"/>
    <n v="619.14353688532731"/>
    <n v="1309.1889949301035"/>
    <n v="57.919879257014493"/>
    <n v="59.917116472773614"/>
    <n v="51.92816760973713"/>
    <n v="1284.2235297331144"/>
    <n v="42.94060013882109"/>
    <n v="143.80107953465668"/>
    <n v="0"/>
    <n v="179.75134941832084"/>
    <n v="188.73891688923689"/>
    <n v="6.9903302551569215"/>
    <n v="4.9930930393978015"/>
    <n v="37.947507099423291"/>
    <n v="119.83423294554723"/>
    <n v="143.80107953465668"/>
    <n v="152.78864700557273"/>
  </r>
  <r>
    <x v="61"/>
    <s v="Census Tract 87, King County, Washington"/>
    <n v="4.119634093488183"/>
    <n v="3.4457097826800895"/>
    <n v="0.67392431080809323"/>
    <n v="4.119634093488183"/>
    <n v="3.4457097826800895"/>
    <n v="0.67392431080809323"/>
    <n v="1.4250238249506617"/>
    <n v="6.3044532301402265E-2"/>
    <n v="6.5218481691105792E-2"/>
    <n v="5.6522684132291688E-2"/>
    <n v="1.3978494575793676"/>
    <n v="4.673991187862582E-2"/>
    <n v="0.15652435605865392"/>
    <n v="0"/>
    <n v="0.19565544507331739"/>
    <n v="0.20543821732698325"/>
    <n v="7.608822863962343E-3"/>
    <n v="5.434873474258816E-3"/>
    <n v="4.1305038404367E-2"/>
    <n v="0.13043696338221158"/>
    <n v="0.15652435605865392"/>
    <n v="0.16630712831231978"/>
  </r>
  <r>
    <x v="52"/>
    <s v="Census Tract 87, King County, Washington"/>
    <n v="1.1158472178261241"/>
    <n v="0.93330756741657339"/>
    <n v="0.18253965040955064"/>
    <n v="1.1158472178261241"/>
    <n v="0.93330756741657339"/>
    <n v="0.18253965040955064"/>
    <n v="0.38598303497890463"/>
    <n v="1.7076289877022477E-2"/>
    <n v="1.766512745898877E-2"/>
    <n v="1.5309777131123602E-2"/>
    <n v="0.37862256520432597"/>
    <n v="1.2660008012275285E-2"/>
    <n v="4.2396305901573048E-2"/>
    <n v="0"/>
    <n v="5.2995382376966313E-2"/>
    <n v="5.5645151495814629E-2"/>
    <n v="2.0609315368820234E-3"/>
    <n v="1.472093954915731E-3"/>
    <n v="1.1187914057359555E-2"/>
    <n v="3.533025491797754E-2"/>
    <n v="4.2396305901573048E-2"/>
    <n v="4.5046075020421364E-2"/>
  </r>
  <r>
    <x v="49"/>
    <s v="Census Tract 118, King County, Washington"/>
    <n v="7.7486389820601209"/>
    <n v="5.2877200256395334"/>
    <n v="2.460918956420588"/>
    <n v="7.7486389820601209"/>
    <n v="5.2877200256395334"/>
    <n v="2.460918956420588"/>
    <n v="1.3973802726084146"/>
    <n v="9.5088006715957199E-2"/>
    <n v="4.3409742196415246E-2"/>
    <n v="9.1987310844784689E-2"/>
    <n v="2.4247441712569087"/>
    <n v="0.14883340181628085"/>
    <n v="0.10128939845830223"/>
    <n v="0"/>
    <n v="0.63150839242880275"/>
    <n v="1.5110724545514069"/>
    <n v="7.5450266198531263E-2"/>
    <n v="7.8550962069703772E-2"/>
    <n v="0.1002558331679114"/>
    <n v="0.21498158040129456"/>
    <n v="0.51368194932424704"/>
    <n v="0.32040524002116016"/>
  </r>
  <r>
    <x v="62"/>
    <s v="Census Tract 118, King County, Washington"/>
    <n v="4791.7075742399984"/>
    <n v="3269.8914165415272"/>
    <n v="1521.8161576984708"/>
    <n v="4791.7075742399984"/>
    <n v="3269.8914165415272"/>
    <n v="1521.8161576984708"/>
    <n v="864.13080437141218"/>
    <n v="58.801800297462961"/>
    <n v="26.84430013579831"/>
    <n v="56.884350287763084"/>
    <n v="1499.4459075853056"/>
    <n v="92.03760046559421"/>
    <n v="62.636700316862722"/>
    <n v="0"/>
    <n v="390.52065197554208"/>
    <n v="934.43730472707443"/>
    <n v="46.657950236030395"/>
    <n v="48.575400245730272"/>
    <n v="61.997550313629425"/>
    <n v="132.94320067252497"/>
    <n v="317.65755160694664"/>
    <n v="198.13650100232084"/>
  </r>
  <r>
    <x v="29"/>
    <s v="Census Tract 118, King County, Washington"/>
    <n v="2680.2311880638263"/>
    <n v="1829.0066370727673"/>
    <n v="851.22455099105923"/>
    <n v="2680.2311880638263"/>
    <n v="1829.0066370727673"/>
    <n v="851.22455099105923"/>
    <n v="483.34968204112221"/>
    <n v="32.890658837117783"/>
    <n v="15.015300773466816"/>
    <n v="31.818137353298727"/>
    <n v="838.71180034650354"/>
    <n v="51.481031223314794"/>
    <n v="35.035701804755902"/>
    <n v="0"/>
    <n v="218.43687553781484"/>
    <n v="522.67546978115433"/>
    <n v="26.098022772930417"/>
    <n v="27.170544256749473"/>
    <n v="34.678194643482882"/>
    <n v="74.361489544788043"/>
    <n v="177.68105915269064"/>
    <n v="110.82721999463601"/>
  </r>
  <r>
    <x v="50"/>
    <s v="Census Tract 118, King County, Washington"/>
    <n v="6.4022864980582606"/>
    <n v="4.3689606141211232"/>
    <n v="2.0333258839371373"/>
    <n v="6.4022864980582606"/>
    <n v="4.3689606141211232"/>
    <n v="2.0333258839371373"/>
    <n v="1.1545806783212977"/>
    <n v="7.8566140832514342E-2"/>
    <n v="3.5867151249626111E-2"/>
    <n v="7.600420145754104E-2"/>
    <n v="2.0034365912291157"/>
    <n v="0.1229730899987181"/>
    <n v="8.3690019582460931E-2"/>
    <n v="0"/>
    <n v="0.52178165270289412"/>
    <n v="1.2485184554036517"/>
    <n v="6.2340524791016816E-2"/>
    <n v="6.4902464165990104E-2"/>
    <n v="8.2836039790803159E-2"/>
    <n v="0.17762779666481504"/>
    <n v="0.42442795645390896"/>
    <n v="0.26473373541390699"/>
  </r>
  <r>
    <x v="32"/>
    <s v="Census Tract 117, King County, Washington"/>
    <n v="104.50432614645945"/>
    <n v="59.759889123427982"/>
    <n v="44.744437023031459"/>
    <n v="104.50432614645945"/>
    <n v="59.759889123427982"/>
    <n v="44.744437023031459"/>
    <n v="12.942273057044188"/>
    <n v="0.88562988259711395"/>
    <n v="0.44281494129855697"/>
    <n v="1.5498522945449493"/>
    <n v="24.817764664596396"/>
    <n v="1.8115156689486422"/>
    <n v="8.051180750882854E-2"/>
    <n v="0"/>
    <n v="16.364024876169399"/>
    <n v="35.727114582042667"/>
    <n v="0"/>
    <n v="0.76486217133387113"/>
    <n v="1.4894684389133279"/>
    <n v="2.1939467546155775"/>
    <n v="3.6230313378972845"/>
    <n v="1.8115156689486422"/>
  </r>
  <r>
    <x v="34"/>
    <s v="Census Tract 117, King County, Washington"/>
    <n v="3420.8870793259248"/>
    <n v="1956.2044950921938"/>
    <n v="1464.6825842337309"/>
    <n v="3420.8870793259248"/>
    <n v="1956.2044950921938"/>
    <n v="1464.6825842337309"/>
    <n v="423.65762557907732"/>
    <n v="28.990568468863767"/>
    <n v="14.495284234431884"/>
    <n v="50.733494820511595"/>
    <n v="812.39479368429602"/>
    <n v="59.298890049948618"/>
    <n v="2.6355062244421608"/>
    <n v="0"/>
    <n v="535.66664011786918"/>
    <n v="1169.5058870962089"/>
    <n v="0"/>
    <n v="25.037309132200527"/>
    <n v="48.756865152179977"/>
    <n v="71.817544616048878"/>
    <n v="118.59778009989724"/>
    <n v="59.298890049948618"/>
  </r>
  <r>
    <x v="63"/>
    <s v="Census Tract 117, King County, Washington"/>
    <n v="1.8843926434318824E-2"/>
    <n v="1.0775735281874536E-2"/>
    <n v="8.0681911524442887E-3"/>
    <n v="1.8843926434318824E-2"/>
    <n v="1.0775735281874536E-2"/>
    <n v="8.0681911524442887E-3"/>
    <n v="2.3337143099512723E-3"/>
    <n v="1.5969429181626122E-4"/>
    <n v="7.9847145908130612E-5"/>
    <n v="2.7946501067845715E-4"/>
    <n v="4.4750695865784116E-3"/>
    <n v="3.2664741507871614E-4"/>
    <n v="1.4517662892387385E-5"/>
    <n v="0"/>
    <n v="2.9507149828777359E-3"/>
    <n v="6.442212908496902E-3"/>
    <n v="0"/>
    <n v="1.3791779747768015E-4"/>
    <n v="2.6857676350916661E-4"/>
    <n v="3.9560631381755626E-4"/>
    <n v="6.5329483015743228E-4"/>
    <n v="3.2664741507871614E-4"/>
  </r>
  <r>
    <x v="62"/>
    <s v="Census Tract 117, King County, Washington"/>
    <n v="502.77085540699943"/>
    <n v="287.50513669171443"/>
    <n v="215.265718715285"/>
    <n v="502.77085540699943"/>
    <n v="287.50513669171443"/>
    <n v="215.265718715285"/>
    <n v="62.265342840273618"/>
    <n v="4.2607699610762664"/>
    <n v="2.1303849805381332"/>
    <n v="7.4563474318834659"/>
    <n v="119.39839459106901"/>
    <n v="8.7152112840196363"/>
    <n v="0.38734272373420603"/>
    <n v="0"/>
    <n v="78.727408598977377"/>
    <n v="171.88333365705392"/>
    <n v="0"/>
    <n v="3.6797558754749571"/>
    <n v="7.1658403890828115"/>
    <n v="10.555089221757115"/>
    <n v="17.430422568039273"/>
    <n v="8.7152112840196363"/>
  </r>
  <r>
    <x v="29"/>
    <s v="Census Tract 117, King County, Washington"/>
    <n v="1115.1530468079548"/>
    <n v="637.69056162804657"/>
    <n v="477.46248517990819"/>
    <n v="1115.1530468079548"/>
    <n v="637.69056162804657"/>
    <n v="477.46248517990819"/>
    <n v="138.10543318519163"/>
    <n v="9.4504495492199556"/>
    <n v="4.7252247746099778"/>
    <n v="16.538286711134923"/>
    <n v="264.82737032245922"/>
    <n v="19.330464987040816"/>
    <n v="0.85913177720181411"/>
    <n v="0"/>
    <n v="174.61853371626873"/>
    <n v="381.239726133305"/>
    <n v="0"/>
    <n v="8.1617518834172333"/>
    <n v="15.893937878233562"/>
    <n v="23.411340928749436"/>
    <n v="38.660929974081633"/>
    <n v="19.330464987040816"/>
  </r>
  <r>
    <x v="42"/>
    <s v="Census Tract 116, King County, Washington"/>
    <n v="1.9706816031901622E-6"/>
    <n v="1.7891247806413056E-6"/>
    <n v="1.8155682254885636E-7"/>
    <n v="1.9706816031901622E-6"/>
    <n v="1.7891247806413056E-6"/>
    <n v="1.8155682254885636E-7"/>
    <n v="1.6365912512174885E-6"/>
    <n v="1.0835362766681303E-7"/>
    <n v="3.28930655417111E-8"/>
    <n v="2.2251191395863392E-8"/>
    <n v="9.6744310416797347E-9"/>
    <n v="2.5798482777812627E-9"/>
    <n v="1.2576760354183656E-8"/>
    <n v="0"/>
    <n v="2.6120963812535285E-8"/>
    <n v="3.7730281062550969E-8"/>
    <n v="1.1286836215293024E-8"/>
    <n v="0"/>
    <n v="5.8046586250078413E-9"/>
    <n v="5.4821775902851833E-9"/>
    <n v="5.4176813833406516E-8"/>
    <n v="5.1596965555625253E-9"/>
  </r>
  <r>
    <x v="43"/>
    <s v="Census Tract 116, King County, Washington"/>
    <n v="1768.674676321077"/>
    <n v="1605.7285393927893"/>
    <n v="162.94613692828773"/>
    <n v="1768.674676321077"/>
    <n v="1605.7285393927893"/>
    <n v="162.94613692828773"/>
    <n v="1468.830630392647"/>
    <n v="97.246717598409731"/>
    <n v="29.521324985231526"/>
    <n v="19.970308078244855"/>
    <n v="8.6827426427151551"/>
    <n v="2.3153980380573747"/>
    <n v="11.287565435529702"/>
    <n v="0"/>
    <n v="23.44340513533092"/>
    <n v="33.862696306589108"/>
    <n v="10.129866416501015"/>
    <n v="0"/>
    <n v="5.2096455856290929"/>
    <n v="4.9202208308719211"/>
    <n v="48.623358799204865"/>
    <n v="4.6307960761147493"/>
  </r>
  <r>
    <x v="26"/>
    <s v="Census Tract 116, King County, Washington"/>
    <n v="3.5996233682079115"/>
    <n v="3.2679938548220409"/>
    <n v="0.33162951338587043"/>
    <n v="3.5996233682079115"/>
    <n v="3.2679938548220409"/>
    <n v="0.33162951338587043"/>
    <n v="2.9893779403788496"/>
    <n v="0.19791743605266868"/>
    <n v="6.0082078801702986E-2"/>
    <n v="4.0643759189387313E-2"/>
    <n v="1.7671199647559702E-2"/>
    <n v="4.7123199060159207E-3"/>
    <n v="2.2972559541827614E-2"/>
    <n v="0"/>
    <n v="4.7712239048411195E-2"/>
    <n v="6.8917678625482842E-2"/>
    <n v="2.0616399588819653E-2"/>
    <n v="0"/>
    <n v="1.0602719788535822E-2"/>
    <n v="1.0013679800283832E-2"/>
    <n v="9.8958718026334339E-2"/>
    <n v="9.4246398120318414E-3"/>
  </r>
  <r>
    <x v="27"/>
    <s v="Census Tract 116, King County, Washington"/>
    <n v="4333.603888970616"/>
    <n v="3934.3535225018777"/>
    <n v="399.25036646873781"/>
    <n v="4333.603888970616"/>
    <n v="3934.3535225018777"/>
    <n v="399.25036646873781"/>
    <n v="3598.9264828221035"/>
    <n v="238.2737533454634"/>
    <n v="72.333103694158538"/>
    <n v="48.931217204871949"/>
    <n v="21.274442262987804"/>
    <n v="5.6731846034634144"/>
    <n v="27.656774941884144"/>
    <n v="0"/>
    <n v="57.440994110067074"/>
    <n v="82.97032482565244"/>
    <n v="24.820182640152439"/>
    <n v="0"/>
    <n v="12.764665357792682"/>
    <n v="12.055517282359755"/>
    <n v="119.1368766727317"/>
    <n v="11.346369206926829"/>
  </r>
  <r>
    <x v="28"/>
    <s v="Census Tract 116, King County, Washington"/>
    <n v="2.6379504526671442"/>
    <n v="2.3949188531168901"/>
    <n v="0.243031599550254"/>
    <n v="2.6379504526671442"/>
    <n v="2.3949188531168901"/>
    <n v="0.243031599550254"/>
    <n v="2.1907377756972273"/>
    <n v="0.14504194928754058"/>
    <n v="4.4030591748003389E-2"/>
    <n v="2.9785400300119939E-2"/>
    <n v="1.2950174043530409E-2"/>
    <n v="3.4533797449414422E-3"/>
    <n v="1.6835226256589529E-2"/>
    <n v="0"/>
    <n v="3.4965469917532105E-2"/>
    <n v="5.0505678769768594E-2"/>
    <n v="1.510853638411881E-2"/>
    <n v="0"/>
    <n v="7.7701044261182448E-3"/>
    <n v="7.3384319580005646E-3"/>
    <n v="7.2520974643770289E-2"/>
    <n v="6.9067594898828844E-3"/>
  </r>
  <r>
    <x v="43"/>
    <s v="Census Tract 115, King County, Washington"/>
    <n v="1027.117180930235"/>
    <n v="922.26409703944171"/>
    <n v="104.85308389079322"/>
    <n v="1027.117180930235"/>
    <n v="922.26409703944171"/>
    <n v="104.85308389079322"/>
    <n v="775.07596519274148"/>
    <n v="35.689429962828676"/>
    <n v="18.7061839805171"/>
    <n v="2.7074739971801067"/>
    <n v="37.166233961290551"/>
    <n v="1.4768039984618764"/>
    <n v="4.6765459951292749"/>
    <n v="0"/>
    <n v="30.766749967955757"/>
    <n v="37.658501960777848"/>
    <n v="0"/>
    <n v="0"/>
    <n v="14.768039984618763"/>
    <n v="7.1378859925657352"/>
    <n v="41.104377957188888"/>
    <n v="20.182987978978975"/>
  </r>
  <r>
    <x v="27"/>
    <s v="Census Tract 115, King County, Washington"/>
    <n v="574.81437213225627"/>
    <n v="516.1345440641179"/>
    <n v="58.679828068138306"/>
    <n v="574.81437213225627"/>
    <n v="516.1345440641179"/>
    <n v="58.679828068138306"/>
    <n v="433.76239104828056"/>
    <n v="19.973180915211394"/>
    <n v="10.468701721076318"/>
    <n v="1.5152068280505198"/>
    <n v="20.799657366875316"/>
    <n v="0.82647645166391981"/>
    <n v="2.6171754302690795"/>
    <n v="0"/>
    <n v="17.218259409664995"/>
    <n v="21.075149517429956"/>
    <n v="0"/>
    <n v="0"/>
    <n v="8.2647645166391985"/>
    <n v="3.994636183042279"/>
    <n v="23.003594571312433"/>
    <n v="11.295178172740238"/>
  </r>
  <r>
    <x v="39"/>
    <s v="Census Tract 115, King County, Washington"/>
    <n v="223.56186541469231"/>
    <n v="200.7395901530918"/>
    <n v="22.82227526160051"/>
    <n v="223.56186541469231"/>
    <n v="200.7395901530918"/>
    <n v="22.82227526160051"/>
    <n v="168.70268732107982"/>
    <n v="7.7681453355213002"/>
    <n v="4.0715796241353024"/>
    <n v="0.58930757717747795"/>
    <n v="8.0895858321635608"/>
    <n v="0.32144049664226071"/>
    <n v="1.0178949060338256"/>
    <n v="0"/>
    <n v="6.6966770133804312"/>
    <n v="8.196732664377647"/>
    <n v="0"/>
    <n v="0"/>
    <n v="3.2144049664226069"/>
    <n v="1.5536290671042601"/>
    <n v="8.9467604898762563"/>
    <n v="4.393020120777563"/>
  </r>
  <r>
    <x v="28"/>
    <s v="Census Tract 115, King County, Washington"/>
    <n v="2347.5065788102106"/>
    <n v="2107.8617663076584"/>
    <n v="239.64481250255204"/>
    <n v="2347.5065788102106"/>
    <n v="2107.8617663076584"/>
    <n v="239.64481250255204"/>
    <n v="1771.4589543909306"/>
    <n v="81.569243692183207"/>
    <n v="42.753534624868443"/>
    <n v="6.1880115904414854"/>
    <n v="84.94452274151493"/>
    <n v="3.3752790493317191"/>
    <n v="10.688383656217111"/>
    <n v="0"/>
    <n v="70.318313527744152"/>
    <n v="86.069615757958843"/>
    <n v="0"/>
    <n v="0"/>
    <n v="33.752790493317192"/>
    <n v="16.313848738436644"/>
    <n v="93.945266873066174"/>
    <n v="46.12881367420016"/>
  </r>
  <r>
    <x v="26"/>
    <s v="Census Tract 114, King County, Washington"/>
    <n v="0.47027944476296885"/>
    <n v="0.33956032278115678"/>
    <n v="0.13071912198181207"/>
    <n v="0.47027944476296885"/>
    <n v="0.33956032278115678"/>
    <n v="0.13071912198181207"/>
    <n v="0.20800821595285163"/>
    <n v="1.7968673117208577E-2"/>
    <n v="5.4739004198118843E-3"/>
    <n v="4.1649242324655646E-3"/>
    <n v="4.7539635167714082E-2"/>
    <n v="8.0918527945045247E-3"/>
    <n v="6.1878874310916957E-3"/>
    <n v="0"/>
    <n v="2.2966582196167255E-2"/>
    <n v="7.2469681644900821E-2"/>
    <n v="1.427974022559622E-3"/>
    <n v="0"/>
    <n v="2.7964491275125933E-2"/>
    <n v="2.5763031323679849E-2"/>
    <n v="1.9991636315834709E-2"/>
    <n v="2.2609588690527351E-3"/>
  </r>
  <r>
    <x v="36"/>
    <s v="Census Tract 114, King County, Washington"/>
    <n v="0.42912819649113215"/>
    <n v="0.30984749713751153"/>
    <n v="0.11928069935362061"/>
    <n v="0.42912819649113215"/>
    <n v="0.30984749713751153"/>
    <n v="0.11928069935362061"/>
    <n v="0.18980670229415458"/>
    <n v="1.6396345564311982E-2"/>
    <n v="4.9949132182672265E-3"/>
    <n v="3.800477448681585E-3"/>
    <n v="4.3379735449951239E-2"/>
    <n v="7.3837847574385086E-3"/>
    <n v="5.6464236380412121E-3"/>
    <n v="0"/>
    <n v="2.0956918502729883E-2"/>
    <n v="6.612830760705958E-2"/>
    <n v="1.3030208395479722E-3"/>
    <n v="0"/>
    <n v="2.5517491441147785E-2"/>
    <n v="2.3508667646844662E-2"/>
    <n v="1.8242291753671609E-2"/>
    <n v="2.0631163292842889E-3"/>
  </r>
  <r>
    <x v="38"/>
    <s v="Census Tract 114, King County, Washington"/>
    <n v="5.0655729536514071"/>
    <n v="3.6575436293634338"/>
    <n v="1.4080293242879733"/>
    <n v="5.0655729536514071"/>
    <n v="3.6575436293634338"/>
    <n v="1.4080293242879733"/>
    <n v="2.2405418833458146"/>
    <n v="0.19354795445378603"/>
    <n v="5.8961628509100382E-2"/>
    <n v="4.4862108648228552E-2"/>
    <n v="0.51206892585620878"/>
    <n v="8.7160668230844049E-2"/>
    <n v="6.6652275705939568E-2"/>
    <n v="0"/>
    <n v="0.24738248483166031"/>
    <n v="0.7806006904791768"/>
    <n v="1.5381294393678361E-2"/>
    <n v="0"/>
    <n v="0.30121701520953459"/>
    <n v="0.27750418635261376"/>
    <n v="0.21533812151149706"/>
    <n v="2.4353716123324071E-2"/>
  </r>
  <r>
    <x v="39"/>
    <s v="Census Tract 114, King County, Washington"/>
    <n v="3.7427119109401672"/>
    <n v="2.7023857383268641"/>
    <n v="1.0403261726133031"/>
    <n v="3.7427119109401672"/>
    <n v="2.7023857383268641"/>
    <n v="1.0403261726133031"/>
    <n v="1.6554302683004587"/>
    <n v="0.14300341562549729"/>
    <n v="4.3563954428959439E-2"/>
    <n v="3.3146487065512618E-2"/>
    <n v="0.37834347379063687"/>
    <n v="6.4398889155853081E-2"/>
    <n v="4.9246209354475885E-2"/>
    <n v="0"/>
    <n v="0.18277920010411242"/>
    <n v="0.57674887493991955"/>
    <n v="1.1364509851032897E-2"/>
    <n v="0"/>
    <n v="0.22255498458272757"/>
    <n v="0.20503469856238518"/>
    <n v="0.15910313791446057"/>
    <n v="1.7993807264135419E-2"/>
  </r>
  <r>
    <x v="40"/>
    <s v="Census Tract 114, King County, Washington"/>
    <n v="5406.5852034261052"/>
    <n v="3903.767934710625"/>
    <n v="1502.8172687154799"/>
    <n v="5406.5852034261052"/>
    <n v="3903.767934710625"/>
    <n v="1502.8172687154799"/>
    <n v="2391.3742245923158"/>
    <n v="206.57752168961079"/>
    <n v="62.930900647166204"/>
    <n v="47.8822070141482"/>
    <n v="546.54119149006294"/>
    <n v="93.028287913202206"/>
    <n v="71.139278992448752"/>
    <n v="0"/>
    <n v="264.03617010658866"/>
    <n v="833.15040204617867"/>
    <n v="16.416756690565094"/>
    <n v="0"/>
    <n v="321.49481852356649"/>
    <n v="296.1856519589453"/>
    <n v="229.83459366791135"/>
    <n v="25.993198093394735"/>
  </r>
  <r>
    <x v="28"/>
    <s v="Census Tract 114, King County, Washington"/>
    <n v="2486.8545355381366"/>
    <n v="1795.6071399691477"/>
    <n v="691.24739556898862"/>
    <n v="2486.8545355381366"/>
    <n v="1795.6071399691477"/>
    <n v="691.24739556898862"/>
    <n v="1099.9548907187911"/>
    <n v="95.018986555227372"/>
    <n v="28.946181334705027"/>
    <n v="22.024268406840783"/>
    <n v="251.39129224379693"/>
    <n v="42.790007190433521"/>
    <n v="32.721770204449165"/>
    <n v="0"/>
    <n v="121.44810864343631"/>
    <n v="383.2222702790296"/>
    <n v="7.5511777394882689"/>
    <n v="0"/>
    <n v="147.87723073164526"/>
    <n v="136.23583171660084"/>
    <n v="105.71648835283575"/>
    <n v="11.956031420856425"/>
  </r>
  <r>
    <x v="35"/>
    <s v="Census Tract 113, King County, Washington"/>
    <n v="36.559498472005053"/>
    <n v="26.218820243103202"/>
    <n v="10.340678228901847"/>
    <n v="36.559498472005053"/>
    <n v="26.218820243103202"/>
    <n v="10.340678228901847"/>
    <n v="18.209383674089878"/>
    <n v="0.83826799843760536"/>
    <n v="0.44666834953244661"/>
    <n v="0.51397453918802083"/>
    <n v="3.1939846363827007"/>
    <n v="0.28758099216472593"/>
    <n v="0.12237489028286209"/>
    <n v="0"/>
    <n v="1.817267120700502"/>
    <n v="6.6694315204159844"/>
    <n v="0.45890583856073286"/>
    <n v="0.22639354702329487"/>
    <n v="0.60575570690016733"/>
    <n v="1.3032925815124812"/>
    <n v="1.3644800266539123"/>
    <n v="0.50173705015973458"/>
  </r>
  <r>
    <x v="36"/>
    <s v="Census Tract 113, King County, Washington"/>
    <n v="5922.6186545059845"/>
    <n v="4247.4344660348361"/>
    <n v="1675.1841884711487"/>
    <n v="5922.6186545059845"/>
    <n v="4247.4344660348361"/>
    <n v="1675.1841884711487"/>
    <n v="2949.9101449054074"/>
    <n v="135.79895492340083"/>
    <n v="72.360027075972695"/>
    <n v="83.263592799749404"/>
    <n v="517.42375525558555"/>
    <n v="46.587962637955023"/>
    <n v="19.824664952321285"/>
    <n v="0"/>
    <n v="294.39627454197114"/>
    <n v="1080.4442399015102"/>
    <n v="74.342493571204827"/>
    <n v="36.675630161794381"/>
    <n v="98.132091513990375"/>
    <n v="211.13268174222171"/>
    <n v="221.04501421838236"/>
    <n v="81.281126304517272"/>
  </r>
  <r>
    <x v="38"/>
    <s v="Census Tract 113, King County, Washington"/>
    <n v="1.1954359014709204"/>
    <n v="0.85731260883730442"/>
    <n v="0.33812329263361601"/>
    <n v="1.1954359014709204"/>
    <n v="0.85731260883730442"/>
    <n v="0.33812329263361601"/>
    <n v="0.59541711176191792"/>
    <n v="2.7409994728287215E-2"/>
    <n v="1.4605325658138442E-2"/>
    <n v="1.6806128154570263E-2"/>
    <n v="0.10443808210340091"/>
    <n v="9.4034288483905038E-3"/>
    <n v="4.0014590844214912E-3"/>
    <n v="0"/>
    <n v="5.9421667403659145E-2"/>
    <n v="0.21807952010097126"/>
    <n v="1.5005471566580593E-2"/>
    <n v="7.4026993061797582E-3"/>
    <n v="1.9807222467886382E-2"/>
    <n v="4.2615539249088882E-2"/>
    <n v="4.4616268791299624E-2"/>
    <n v="1.6405982246128114E-2"/>
  </r>
  <r>
    <x v="40"/>
    <s v="Census Tract 113, King County, Washington"/>
    <n v="13.448974633852943"/>
    <n v="9.6449968713070895"/>
    <n v="3.8039777625458533"/>
    <n v="13.448974633852943"/>
    <n v="9.6449968713070895"/>
    <n v="3.8039777625458533"/>
    <n v="6.698602261145834"/>
    <n v="0.30836979495194194"/>
    <n v="0.1643138323466552"/>
    <n v="0.18907345091943886"/>
    <n v="1.1749564449993701"/>
    <n v="0.10579109753825745"/>
    <n v="4.5017488314152108E-2"/>
    <n v="0"/>
    <n v="0.66850970146515876"/>
    <n v="2.4534531131212898"/>
    <n v="0.16881558117807041"/>
    <n v="8.3282353381181395E-2"/>
    <n v="0.22283656715505293"/>
    <n v="0.47943625054571998"/>
    <n v="0.50194499470279597"/>
    <n v="0.18457170208802365"/>
  </r>
  <r>
    <x v="31"/>
    <s v="Census Tract 113, King County, Washington"/>
    <n v="0.27839864395925273"/>
    <n v="0.19965492709044316"/>
    <n v="7.8743716868809557E-2"/>
    <n v="0.27839864395925273"/>
    <n v="0.19965492709044316"/>
    <n v="7.8743716868809557E-2"/>
    <n v="0.13866349195359601"/>
    <n v="6.3833663970573424E-3"/>
    <n v="3.401355817410117E-3"/>
    <n v="3.9138888857869836E-3"/>
    <n v="2.4322023790247685E-2"/>
    <n v="2.1899140194284314E-3"/>
    <n v="9.318783061397581E-4"/>
    <n v="0"/>
    <n v="1.3838392846175407E-2"/>
    <n v="5.0787367684616815E-2"/>
    <n v="3.4945436480240928E-3"/>
    <n v="1.7239748663585525E-3"/>
    <n v="4.6127976153918027E-3"/>
    <n v="9.9245039603884228E-3"/>
    <n v="1.0390443113458303E-2"/>
    <n v="3.8207010551730082E-3"/>
  </r>
  <r>
    <x v="35"/>
    <s v="Census Tract 112, King County, Washington"/>
    <n v="3635.2359793685523"/>
    <n v="2404.9086019013371"/>
    <n v="1230.3273774672152"/>
    <n v="3635.2359793685523"/>
    <n v="2404.9086019013371"/>
    <n v="1230.3273774672152"/>
    <n v="1209.7893210866018"/>
    <n v="16.626045641448854"/>
    <n v="75.306206728915399"/>
    <n v="278.7307651654661"/>
    <n v="272.86274905671945"/>
    <n v="0"/>
    <n v="122.25033559888864"/>
    <n v="0"/>
    <n v="124.20634096847085"/>
    <n v="404.89311150351915"/>
    <n v="47.922131554764341"/>
    <n v="6.8460187935377634"/>
    <n v="379.4650416989503"/>
    <n v="475.309304808479"/>
    <n v="173.1064752080263"/>
    <n v="47.922131554764341"/>
  </r>
  <r>
    <x v="36"/>
    <s v="Census Tract 112, King County, Washington"/>
    <n v="40.890284224773445"/>
    <n v="27.051172695377428"/>
    <n v="13.839111529396016"/>
    <n v="40.890284224773445"/>
    <n v="27.051172695377428"/>
    <n v="13.839111529396016"/>
    <n v="13.608092974453793"/>
    <n v="0.18701502066751374"/>
    <n v="0.8470680347881504"/>
    <n v="3.1352518170730241"/>
    <n v="3.0692465156609607"/>
    <n v="0"/>
    <n v="1.3751104460846597"/>
    <n v="0"/>
    <n v="1.3971122132220144"/>
    <n v="4.5543657974323937"/>
    <n v="0.53904329486518665"/>
    <n v="7.7006184980740952E-2"/>
    <n v="4.2683428246467843"/>
    <n v="5.3464294143771571"/>
    <n v="1.9471563916558783"/>
    <n v="0.53904329486518665"/>
  </r>
  <r>
    <x v="31"/>
    <s v="Census Tract 112, King County, Washington"/>
    <n v="8.5974235083313513"/>
    <n v="5.6876686593991916"/>
    <n v="2.9097548489321605"/>
    <n v="8.5974235083313513"/>
    <n v="5.6876686593991916"/>
    <n v="2.9097548489321605"/>
    <n v="2.8611818347607971"/>
    <n v="3.9321011472056223E-2"/>
    <n v="0.17810105196166642"/>
    <n v="0.65920519232564845"/>
    <n v="0.64532718827668745"/>
    <n v="0"/>
    <n v="0.2891250843533546"/>
    <n v="0"/>
    <n v="0.29375108570300829"/>
    <n v="0.95758227937831042"/>
    <n v="0.11333703306651501"/>
    <n v="1.6191004723787858E-2"/>
    <n v="0.89744426183281267"/>
    <n v="1.1241183279658427"/>
    <n v="0.40940111944435009"/>
    <n v="0.11333703306651501"/>
  </r>
  <r>
    <x v="49"/>
    <s v="Census Tract 111.02, King County, Washington"/>
    <n v="1700.455472407258"/>
    <n v="1081.5052809599372"/>
    <n v="618.95019144732078"/>
    <n v="1700.455472407258"/>
    <n v="1081.5052809599372"/>
    <n v="618.95019144732078"/>
    <n v="561.61832116203016"/>
    <n v="46.021501317444134"/>
    <n v="18.720610705401004"/>
    <n v="40.9513359180647"/>
    <n v="213.72697221999479"/>
    <n v="23.790776104780445"/>
    <n v="0"/>
    <n v="0"/>
    <n v="177.06577625525117"/>
    <n v="355.69160340261908"/>
    <n v="39.001272302918757"/>
    <n v="27.690903335072321"/>
    <n v="33.931106903539323"/>
    <n v="79.562595497954277"/>
    <n v="37.441221410802008"/>
    <n v="45.241475871385759"/>
  </r>
  <r>
    <x v="62"/>
    <s v="Census Tract 111.02, King County, Washington"/>
    <n v="0.30890273958472586"/>
    <n v="0.1964649763459736"/>
    <n v="0.11243776323875228"/>
    <n v="0.30890273958472586"/>
    <n v="0.1964649763459736"/>
    <n v="0.11243776323875228"/>
    <n v="0.10202292316559754"/>
    <n v="8.3602117594031317E-3"/>
    <n v="3.400764105519918E-3"/>
    <n v="7.4391714808248206E-3"/>
    <n v="3.8825390204685728E-2"/>
    <n v="4.3218043840982292E-3"/>
    <n v="0"/>
    <n v="0"/>
    <n v="3.2165560498042554E-2"/>
    <n v="6.4614518004878441E-2"/>
    <n v="7.0849252198331618E-3"/>
    <n v="5.0302969060815449E-3"/>
    <n v="6.1638849412548507E-3"/>
    <n v="1.445324744845965E-2"/>
    <n v="6.801528211039836E-3"/>
    <n v="8.2185132550064675E-3"/>
  </r>
  <r>
    <x v="48"/>
    <s v="Census Tract 111.02, King County, Washington"/>
    <n v="0.30146014945193012"/>
    <n v="0.19173142074087204"/>
    <n v="0.10972872871105804"/>
    <n v="0.30146014945193012"/>
    <n v="0.19173142074087204"/>
    <n v="0.10972872871105804"/>
    <n v="9.9564820002472326E-2"/>
    <n v="8.1587838613137037E-3"/>
    <n v="3.3188273334157441E-3"/>
    <n v="7.2599347918469405E-3"/>
    <n v="3.7889945389829746E-2"/>
    <n v="4.2176764028825078E-3"/>
    <n v="0"/>
    <n v="0"/>
    <n v="3.139057519522391E-2"/>
    <n v="6.3057719334899134E-2"/>
    <n v="6.9142236112828001E-3"/>
    <n v="4.9090987640107884E-3"/>
    <n v="6.015374541816036E-3"/>
    <n v="1.4105016167016912E-2"/>
    <n v="6.6376546668314882E-3"/>
    <n v="8.0204993890880486E-3"/>
  </r>
  <r>
    <x v="50"/>
    <s v="Census Tract 111.02, King County, Washington"/>
    <n v="2642.0188929291085"/>
    <n v="1680.3482546083528"/>
    <n v="961.67063832075576"/>
    <n v="2642.0188929291085"/>
    <n v="1680.3482546083528"/>
    <n v="961.67063832075576"/>
    <n v="872.59339582979737"/>
    <n v="71.504181047163954"/>
    <n v="29.086446527659909"/>
    <n v="63.626601779256056"/>
    <n v="332.07026452411731"/>
    <n v="36.964025795567807"/>
    <n v="0"/>
    <n v="0"/>
    <n v="275.10930674078332"/>
    <n v="552.64248402553835"/>
    <n v="60.596763599291478"/>
    <n v="43.023702155496949"/>
    <n v="52.719184331383588"/>
    <n v="123.61739774255462"/>
    <n v="58.172893055319818"/>
    <n v="70.292245775178117"/>
  </r>
  <r>
    <x v="33"/>
    <s v="Census Tract 111.01, King County, Washington"/>
    <n v="4.1732870730839959"/>
    <n v="2.159859099227682"/>
    <n v="2.0134279738563139"/>
    <n v="4.1732870730839959"/>
    <n v="2.159859099227682"/>
    <n v="2.0134279738563139"/>
    <n v="0.40360078930483384"/>
    <n v="4.3014143077839434E-2"/>
    <n v="4.2098948544268378E-2"/>
    <n v="3.2947003208557861E-2"/>
    <n v="0.96919101105174377"/>
    <n v="0.15649826524064986"/>
    <n v="4.0268559477126278E-2"/>
    <n v="8.2367508021394652E-3"/>
    <n v="0.46491882305409427"/>
    <n v="1.4798695607843906"/>
    <n v="0"/>
    <n v="1.0982334402852621E-2"/>
    <n v="3.3862197742128917E-2"/>
    <n v="8.6943480689249911E-2"/>
    <n v="0.20591877005348663"/>
    <n v="0.19493643565063401"/>
  </r>
  <r>
    <x v="63"/>
    <s v="Census Tract 111.01, King County, Washington"/>
    <n v="3.8338331764974916"/>
    <n v="1.9841768194153684"/>
    <n v="1.8496563570821232"/>
    <n v="3.8338331764974916"/>
    <n v="1.9841768194153684"/>
    <n v="1.8496563570821232"/>
    <n v="0.37077202430600742"/>
    <n v="3.951538581039081E-2"/>
    <n v="3.8674632920808028E-2"/>
    <n v="3.0267104024980198E-2"/>
    <n v="0.89035731006816743"/>
    <n v="0.14376874411865595"/>
    <n v="3.6993127141642462E-2"/>
    <n v="7.5667760062450495E-3"/>
    <n v="0.4271024679080539"/>
    <n v="1.3594974224553604"/>
    <n v="0"/>
    <n v="1.0089034674993398E-2"/>
    <n v="3.1107856914562981E-2"/>
    <n v="7.9871524510364403E-2"/>
    <n v="0.18916940015612624"/>
    <n v="0.17908036548113282"/>
  </r>
  <r>
    <x v="49"/>
    <s v="Census Tract 111.01, King County, Washington"/>
    <n v="4551.3739189564649"/>
    <n v="2355.5356247230825"/>
    <n v="2195.8382942333819"/>
    <n v="4551.3739189564649"/>
    <n v="2355.5356247230825"/>
    <n v="2195.8382942333819"/>
    <n v="440.16576716223705"/>
    <n v="46.911090831349526"/>
    <n v="45.912982515788897"/>
    <n v="35.931899360182612"/>
    <n v="1056.9967061787052"/>
    <n v="170.6765219608674"/>
    <n v="43.91676588466764"/>
    <n v="8.9829748400456531"/>
    <n v="507.03902430479911"/>
    <n v="1613.9411462615358"/>
    <n v="0"/>
    <n v="11.977299786727539"/>
    <n v="36.930007675743241"/>
    <n v="94.82028997825968"/>
    <n v="224.57437100114134"/>
    <n v="212.5970712144138"/>
  </r>
  <r>
    <x v="62"/>
    <s v="Census Tract 111.01, King County, Washington"/>
    <n v="0.36771694653876436"/>
    <n v="0.19030964777006226"/>
    <n v="0.17740729876870212"/>
    <n v="0.36771694653876436"/>
    <n v="0.19030964777006226"/>
    <n v="0.17740729876870212"/>
    <n v="3.5562099434998926E-2"/>
    <n v="3.7900650191495452E-3"/>
    <n v="3.7094253378910443E-3"/>
    <n v="2.9030285253060346E-3"/>
    <n v="8.5397422452752517E-2"/>
    <n v="1.3789385495203664E-2"/>
    <n v="3.5481459753740423E-3"/>
    <n v="7.2575713132650864E-4"/>
    <n v="4.0964958079318485E-2"/>
    <n v="0.13039436459499604"/>
    <n v="0"/>
    <n v="9.6767617510201145E-4"/>
    <n v="2.9836682065645355E-3"/>
    <n v="7.660769719557591E-3"/>
    <n v="1.8143928283162716E-2"/>
    <n v="1.7176252108060706E-2"/>
  </r>
  <r>
    <x v="48"/>
    <s v="Census Tract 111.01, King County, Washington"/>
    <n v="0.25125573930210293"/>
    <n v="0.13003586507740414"/>
    <n v="0.12121987422469878"/>
    <n v="0.25125573930210293"/>
    <n v="0.13003586507740414"/>
    <n v="0.12121987422469878"/>
    <n v="2.4299074787769163E-2"/>
    <n v="2.5896973129822011E-3"/>
    <n v="2.5345973701527925E-3"/>
    <n v="1.9835979418587075E-3"/>
    <n v="5.8350839456343638E-2"/>
    <n v="9.4220902238288592E-3"/>
    <n v="2.4243974844939753E-3"/>
    <n v="4.9589948546467687E-4"/>
    <n v="2.7990770957339536E-2"/>
    <n v="8.9096607555153598E-2"/>
    <n v="0"/>
    <n v="6.6119931395290242E-4"/>
    <n v="2.0386978846881156E-3"/>
    <n v="5.2344945687938108E-3"/>
    <n v="1.239748713661692E-2"/>
    <n v="1.1736287822664018E-2"/>
  </r>
  <r>
    <x v="32"/>
    <s v="Census Tract 110, King County, Washington"/>
    <n v="107.51437592343844"/>
    <n v="47.917749013800837"/>
    <n v="59.5966269096376"/>
    <n v="107.51437592343844"/>
    <n v="47.917749013800837"/>
    <n v="59.5966269096376"/>
    <n v="8.7591584218775722"/>
    <n v="0.99613958523313562"/>
    <n v="0.30914676783097311"/>
    <n v="1.391160455239379"/>
    <n v="16.058457106775549"/>
    <n v="8.123690065780572"/>
    <n v="3.1086424987447852"/>
    <n v="0"/>
    <n v="14.426849165445413"/>
    <n v="40.738674071948239"/>
    <n v="0.4121956904412975"/>
    <n v="1.6316079413301359"/>
    <n v="1.1163633282785141"/>
    <n v="2.3186007587322983"/>
    <n v="3.7269360344067315"/>
    <n v="4.39675403137384"/>
  </r>
  <r>
    <x v="33"/>
    <s v="Census Tract 110, King County, Washington"/>
    <n v="1543.513476663996"/>
    <n v="687.92373800200471"/>
    <n v="855.58973866199142"/>
    <n v="1543.513476663996"/>
    <n v="687.92373800200471"/>
    <n v="855.58973866199142"/>
    <n v="125.7495004949901"/>
    <n v="14.300923585704757"/>
    <n v="4.4382176645290627"/>
    <n v="19.971979490380779"/>
    <n v="230.54075090748185"/>
    <n v="116.62649751790258"/>
    <n v="44.628744293320018"/>
    <n v="0"/>
    <n v="207.11682434468958"/>
    <n v="584.85846112571869"/>
    <n v="5.9176235527054164"/>
    <n v="23.423926562792275"/>
    <n v="16.026897121910501"/>
    <n v="33.286632483967971"/>
    <n v="53.505179622378137"/>
    <n v="63.121317895524442"/>
  </r>
  <r>
    <x v="34"/>
    <s v="Census Tract 110, King County, Washington"/>
    <n v="2711.0526467677923"/>
    <n v="1208.2806524731852"/>
    <n v="1502.7719942946069"/>
    <n v="2711.0526467677923"/>
    <n v="1208.2806524731852"/>
    <n v="1502.7719942946069"/>
    <n v="220.86850636606613"/>
    <n v="25.118379155356539"/>
    <n v="7.7953590482140989"/>
    <n v="35.079115716963443"/>
    <n v="404.92559500445458"/>
    <n v="204.84471276695936"/>
    <n v="78.386665984819544"/>
    <n v="0"/>
    <n v="363.78342224999125"/>
    <n v="1027.2550923535468"/>
    <n v="10.393812064285465"/>
    <n v="41.142172754463296"/>
    <n v="28.149907674106469"/>
    <n v="58.465192861605743"/>
    <n v="93.977384081247749"/>
    <n v="110.86732868571163"/>
  </r>
  <r>
    <x v="63"/>
    <s v="Census Tract 110, King County, Washington"/>
    <n v="1785.6159464548582"/>
    <n v="795.82563747748475"/>
    <n v="989.79030897737346"/>
    <n v="1785.6159464548582"/>
    <n v="795.82563747748475"/>
    <n v="989.79030897737346"/>
    <n v="145.47350362491656"/>
    <n v="16.544045510284629"/>
    <n v="5.1343589514676431"/>
    <n v="23.104615281604396"/>
    <n v="266.701423312347"/>
    <n v="134.91954355801084"/>
    <n v="51.628831678646854"/>
    <n v="0"/>
    <n v="239.60341773515668"/>
    <n v="676.59441293784721"/>
    <n v="6.8458119352901914"/>
    <n v="27.098005577190339"/>
    <n v="18.540740658077599"/>
    <n v="38.507692136007321"/>
    <n v="61.89754958158214"/>
    <n v="73.021993976428703"/>
  </r>
  <r>
    <x v="49"/>
    <s v="Census Tract 110, King County, Washington"/>
    <n v="112.1116378345254"/>
    <n v="49.966688427847586"/>
    <n v="62.144949406677817"/>
    <n v="112.1116378345254"/>
    <n v="49.966688427847586"/>
    <n v="62.144949406677817"/>
    <n v="9.1336957341226768"/>
    <n v="1.0387340246649319"/>
    <n v="0.32236573179256506"/>
    <n v="1.4506457930665426"/>
    <n v="16.745108845891572"/>
    <n v="8.4710550632157364"/>
    <n v="3.2415665252474595"/>
    <n v="0"/>
    <n v="15.043734150319702"/>
    <n v="42.480639767331347"/>
    <n v="0.42982097572342004"/>
    <n v="1.7013746955718712"/>
    <n v="1.1640984759175961"/>
    <n v="2.4177429884442381"/>
    <n v="3.8862979888325899"/>
    <n v="4.5847570743831474"/>
  </r>
  <r>
    <x v="62"/>
    <s v="Census Tract 110, King County, Washington"/>
    <n v="0.19193458690864401"/>
    <n v="8.5542731226056989E-2"/>
    <n v="0.10639185568258701"/>
    <n v="0.19193458690864401"/>
    <n v="8.5542731226056989E-2"/>
    <n v="0.10639185568258701"/>
    <n v="1.5636843342397514E-2"/>
    <n v="1.7783076742334428E-3"/>
    <n v="5.5188858855520636E-4"/>
    <n v="2.4834986484984288E-3"/>
    <n v="2.8667546127728778E-2"/>
    <n v="1.4502405688145146E-2"/>
    <n v="5.5495463626940196E-3"/>
    <n v="0"/>
    <n v="2.5754800799242965E-2"/>
    <n v="7.2726651780719423E-2"/>
    <n v="7.3585145140694181E-4"/>
    <n v="2.9127453284858115E-3"/>
    <n v="1.9929310142271341E-3"/>
    <n v="4.1391644141640484E-3"/>
    <n v="6.653323539804433E-3"/>
    <n v="7.8490821483407133E-3"/>
  </r>
  <r>
    <x v="59"/>
    <s v="Census Tract 86, King County, Washington"/>
    <n v="2123.5098026828732"/>
    <n v="1649.8914621137797"/>
    <n v="473.61834056909379"/>
    <n v="2123.5098026828732"/>
    <n v="1649.8914621137797"/>
    <n v="473.61834056909379"/>
    <n v="1079.8912710568834"/>
    <n v="83.42730069105481"/>
    <n v="27.981827560974907"/>
    <n v="47.672743252031317"/>
    <n v="200.01824886178358"/>
    <n v="49.227289227641037"/>
    <n v="60.627293048778959"/>
    <n v="0"/>
    <n v="118.14549414633849"/>
    <n v="208.82734272357197"/>
    <n v="0"/>
    <n v="7.2545478861786794"/>
    <n v="52.336381178860471"/>
    <n v="50.263653211380849"/>
    <n v="110.89094626015981"/>
    <n v="26.945463577235095"/>
  </r>
  <r>
    <x v="52"/>
    <s v="Census Tract 86, King County, Washington"/>
    <n v="2.7301612390170873"/>
    <n v="2.1212380148927297"/>
    <n v="0.60892322412435773"/>
    <n v="2.7301612390170873"/>
    <n v="2.1212380148927297"/>
    <n v="0.60892322412435773"/>
    <n v="1.3883982484410957"/>
    <n v="0.10726109308973916"/>
    <n v="3.5975770353080215E-2"/>
    <n v="6.1292053194136664E-2"/>
    <n v="0.25716013622757339"/>
    <n v="6.3290707102641119E-2"/>
    <n v="7.7947502431673796E-2"/>
    <n v="0"/>
    <n v="0.15189769704633868"/>
    <n v="0.26848584170909867"/>
    <n v="0"/>
    <n v="9.3270515730207969E-3"/>
    <n v="6.728801491965003E-2"/>
    <n v="6.4623143041644085E-2"/>
    <n v="0.14257064547331788"/>
    <n v="3.4643334414077243E-2"/>
  </r>
  <r>
    <x v="64"/>
    <s v="Census Tract 86, King County, Washington"/>
    <n v="1026.0437390596785"/>
    <n v="797.19943025036991"/>
    <n v="228.84430880930847"/>
    <n v="1026.0437390596785"/>
    <n v="797.19943025036991"/>
    <n v="228.84430880930847"/>
    <n v="521.78505422166177"/>
    <n v="40.310649582383661"/>
    <n v="13.520342095954767"/>
    <n v="23.034656904219233"/>
    <n v="96.645408315528528"/>
    <n v="23.785787020661164"/>
    <n v="29.294074541235329"/>
    <n v="0"/>
    <n v="57.085888849586794"/>
    <n v="100.90181230869946"/>
    <n v="0"/>
    <n v="3.5052738767290137"/>
    <n v="25.288047253545027"/>
    <n v="24.286540431622452"/>
    <n v="53.580614972857781"/>
    <n v="13.019588684993479"/>
  </r>
  <r>
    <x v="58"/>
    <s v="Census Tract 86, King County, Washington"/>
    <n v="945.71630277923737"/>
    <n v="734.78787409689892"/>
    <n v="210.92842868233845"/>
    <n v="945.71630277923737"/>
    <n v="734.78787409689892"/>
    <n v="210.92842868233845"/>
    <n v="480.93527940261851"/>
    <n v="37.154788859799226"/>
    <n v="12.461854648628311"/>
    <n v="21.231307919885271"/>
    <n v="89.079183229083853"/>
    <n v="21.923633178142399"/>
    <n v="27.000685072028006"/>
    <n v="0"/>
    <n v="52.616719627541755"/>
    <n v="93.002359692540907"/>
    <n v="0"/>
    <n v="3.2308512051999325"/>
    <n v="23.308283694656655"/>
    <n v="22.385183350313817"/>
    <n v="49.385868422341822"/>
    <n v="12.000304476456892"/>
  </r>
  <r>
    <x v="56"/>
    <s v="Census Tract 85, King County, Washington"/>
    <n v="0.35788102444596204"/>
    <n v="0.29586811332204765"/>
    <n v="6.2012911123914424E-2"/>
    <n v="0.35788102444596204"/>
    <n v="0.29586811332204765"/>
    <n v="6.2012911123914424E-2"/>
    <n v="0.17297087853720192"/>
    <n v="4.0391551306764185E-3"/>
    <n v="4.0985544708334242E-3"/>
    <n v="6.6527260975846889E-3"/>
    <n v="8.4881657084361795E-2"/>
    <n v="1.9364184891184005E-2"/>
    <n v="9.2662970644929593E-3"/>
    <n v="0"/>
    <n v="1.3364851535326384E-2"/>
    <n v="2.1858957177778263E-2"/>
    <n v="0"/>
    <n v="8.9099010235509221E-4"/>
    <n v="5.2865412739735475E-3"/>
    <n v="7.3655181794687625E-3"/>
    <n v="5.9993333558576211E-3"/>
    <n v="1.8413795448671906E-3"/>
  </r>
  <r>
    <x v="65"/>
    <s v="Census Tract 85, King County, Washington"/>
    <n v="467.33121353168247"/>
    <n v="386.35299163507227"/>
    <n v="80.978221896610208"/>
    <n v="467.33121353168247"/>
    <n v="386.35299163507227"/>
    <n v="80.978221896610208"/>
    <n v="225.87028942809283"/>
    <n v="5.2744435718098606"/>
    <n v="5.3520089184541231"/>
    <n v="8.6873188241574173"/>
    <n v="110.84088035465133"/>
    <n v="25.286303006029623"/>
    <n v="12.100194076504973"/>
    <n v="0"/>
    <n v="17.452202994959098"/>
    <n v="28.544047565088654"/>
    <n v="0"/>
    <n v="1.1634801996639397"/>
    <n v="6.903315851339376"/>
    <n v="9.6181029838885692"/>
    <n v="7.8341000110705279"/>
    <n v="2.4045257459721423"/>
  </r>
  <r>
    <x v="64"/>
    <s v="Census Tract 85, King County, Washington"/>
    <n v="2192.8859294147992"/>
    <n v="1812.907023139438"/>
    <n v="379.97890627536106"/>
    <n v="2192.8859294147992"/>
    <n v="1812.907023139438"/>
    <n v="379.97890627536106"/>
    <n v="1059.864535511352"/>
    <n v="24.749583933644207"/>
    <n v="25.113548403256623"/>
    <n v="40.764020596590456"/>
    <n v="520.10522707614075"/>
    <n v="118.65241709364723"/>
    <n v="56.778457259536708"/>
    <n v="0"/>
    <n v="81.892005662793323"/>
    <n v="133.93892481736864"/>
    <n v="0"/>
    <n v="5.4594670441862219"/>
    <n v="32.392837795504917"/>
    <n v="45.131594231939438"/>
    <n v="36.760411430853893"/>
    <n v="11.28289855798486"/>
  </r>
  <r>
    <x v="58"/>
    <s v="Census Tract 85, King County, Washington"/>
    <n v="2579.0681542731777"/>
    <n v="2132.1723612339747"/>
    <n v="446.89579303920289"/>
    <n v="2579.0681542731777"/>
    <n v="2132.1723612339747"/>
    <n v="446.89579303920289"/>
    <n v="1246.513936139999"/>
    <n v="29.108155102170304"/>
    <n v="29.536216206613986"/>
    <n v="47.942843697692268"/>
    <n v="611.69931825002004"/>
    <n v="139.54792004863998"/>
    <n v="66.777532293214222"/>
    <n v="0"/>
    <n v="96.313748499828208"/>
    <n v="157.52648643527459"/>
    <n v="0"/>
    <n v="6.4209165666552144"/>
    <n v="38.097438295487606"/>
    <n v="53.079576951016435"/>
    <n v="43.234171548811773"/>
    <n v="13.269894237754109"/>
  </r>
  <r>
    <x v="57"/>
    <s v="Census Tract 85, King County, Washington"/>
    <n v="785.35680905066101"/>
    <n v="649.27174537449673"/>
    <n v="136.08506367616434"/>
    <n v="785.35680905066101"/>
    <n v="649.27174537449673"/>
    <n v="136.08506367616434"/>
    <n v="379.57826190133193"/>
    <n v="8.8637780938497848"/>
    <n v="8.9941277717005157"/>
    <n v="14.599163919281997"/>
    <n v="186.26968964869621"/>
    <n v="42.493994979338673"/>
    <n v="20.334549744714209"/>
    <n v="0"/>
    <n v="29.328677516414729"/>
    <n v="47.968681449069422"/>
    <n v="0"/>
    <n v="1.9552451677609819"/>
    <n v="11.601121328715159"/>
    <n v="16.163360053490784"/>
    <n v="13.165317462923944"/>
    <n v="4.040840013372696"/>
  </r>
  <r>
    <x v="64"/>
    <s v="Census Tract 84, King County, Washington"/>
    <n v="2108.1722589062438"/>
    <n v="1692.9095627798447"/>
    <n v="415.26269612639925"/>
    <n v="2108.1722589062438"/>
    <n v="1692.9095627798447"/>
    <n v="415.26269612639925"/>
    <n v="1266.1117917610454"/>
    <n v="132.92800590289499"/>
    <n v="26.915174748933286"/>
    <n v="26.36588546834281"/>
    <n v="225.20860504209483"/>
    <n v="15.929389137123781"/>
    <n v="46.68958885019039"/>
    <n v="0"/>
    <n v="36.802381799561843"/>
    <n v="219.16642295559961"/>
    <n v="0"/>
    <n v="0"/>
    <n v="29.661621151885662"/>
    <n v="6.0421820864952274"/>
    <n v="61.520399426133224"/>
    <n v="14.830810575942831"/>
  </r>
  <r>
    <x v="66"/>
    <s v="Census Tract 84, King County, Washington"/>
    <n v="1729.8277009700114"/>
    <n v="1389.0904049998892"/>
    <n v="340.73729597012209"/>
    <n v="1729.8277009700114"/>
    <n v="1389.0904049998892"/>
    <n v="340.73729597012209"/>
    <n v="1038.8881841417083"/>
    <n v="109.07199156715548"/>
    <n v="22.084824738804208"/>
    <n v="21.634114029849023"/>
    <n v="184.79139067162706"/>
    <n v="13.07061055970045"/>
    <n v="38.310410261190974"/>
    <n v="0"/>
    <n v="30.197617499997591"/>
    <n v="179.83357287311998"/>
    <n v="0"/>
    <n v="0"/>
    <n v="24.338378283580148"/>
    <n v="4.9578177985070671"/>
    <n v="50.479599402981052"/>
    <n v="12.169189141790074"/>
  </r>
  <r>
    <x v="67"/>
    <s v="Census Tract 83, King County, Washington"/>
    <n v="2.5373595527408477"/>
    <n v="1.9429760263886278"/>
    <n v="0.59438352635221992"/>
    <n v="2.5373595527408477"/>
    <n v="1.9429760263886278"/>
    <n v="0.59438352635221992"/>
    <n v="1.6181020778903141"/>
    <n v="0.22668053641200656"/>
    <n v="2.6115269171890158E-2"/>
    <n v="1.4624550736258488E-2"/>
    <n v="0.13684401046070443"/>
    <n v="3.5516766073770613E-2"/>
    <n v="7.3122753681292441E-3"/>
    <n v="0"/>
    <n v="6.8944310613790014E-2"/>
    <n v="0.24339430868201625"/>
    <n v="0"/>
    <n v="0"/>
    <n v="5.6408981411282741E-2"/>
    <n v="2.6115269171890158E-2"/>
    <n v="2.9249101472516977E-2"/>
    <n v="4.8052095276277886E-2"/>
  </r>
  <r>
    <x v="65"/>
    <s v="Census Tract 83, King County, Washington"/>
    <n v="502.46258873114454"/>
    <n v="384.75933101685007"/>
    <n v="117.70325771429447"/>
    <n v="502.46258873114454"/>
    <n v="384.75933101685007"/>
    <n v="117.70325771429447"/>
    <n v="320.42591599198965"/>
    <n v="44.888588618632511"/>
    <n v="5.1714963846350814"/>
    <n v="2.8960379753956458"/>
    <n v="27.098641055487828"/>
    <n v="7.0332350831037109"/>
    <n v="1.4480189876978229"/>
    <n v="0"/>
    <n v="13.652750455436616"/>
    <n v="48.19834630479896"/>
    <n v="0"/>
    <n v="0"/>
    <n v="11.170432190811777"/>
    <n v="5.1714963846350814"/>
    <n v="5.7920759507912916"/>
    <n v="9.5155533477285505"/>
  </r>
  <r>
    <x v="64"/>
    <s v="Census Tract 83, King County, Washington"/>
    <n v="1646.0034721306531"/>
    <n v="1260.4225846698291"/>
    <n v="385.5808874608241"/>
    <n v="1646.0034721306531"/>
    <n v="1260.4225846698291"/>
    <n v="385.5808874608241"/>
    <n v="1049.6745073406266"/>
    <n v="147.0493015448134"/>
    <n v="16.941163772443939"/>
    <n v="9.487051712568606"/>
    <n v="88.771698167606246"/>
    <n v="23.039982730523757"/>
    <n v="4.743525856284303"/>
    <n v="0"/>
    <n v="44.724672359252004"/>
    <n v="157.89164635917751"/>
    <n v="0"/>
    <n v="0"/>
    <n v="36.592913748478914"/>
    <n v="16.941163772443939"/>
    <n v="18.974103425137212"/>
    <n v="31.171741341296851"/>
  </r>
  <r>
    <x v="66"/>
    <s v="Census Tract 83, King County, Washington"/>
    <n v="277.99670233963957"/>
    <n v="212.87520228560294"/>
    <n v="65.121500054036602"/>
    <n v="277.99670233963957"/>
    <n v="212.87520228560294"/>
    <n v="65.121500054036602"/>
    <n v="177.28155287118224"/>
    <n v="24.835440266653677"/>
    <n v="2.8612258371720825"/>
    <n v="1.6022864688163663"/>
    <n v="14.992823386781712"/>
    <n v="3.8912671385540323"/>
    <n v="0.80114323440818314"/>
    <n v="0"/>
    <n v="7.5536362101342984"/>
    <n v="26.66662480244381"/>
    <n v="0"/>
    <n v="0"/>
    <n v="6.1802478082916981"/>
    <n v="2.8612258371720825"/>
    <n v="3.2045729376327325"/>
    <n v="5.2646555403966317"/>
  </r>
  <r>
    <x v="67"/>
    <s v="Census Tract 82, King County, Washington"/>
    <n v="3.6249567349701353E-4"/>
    <n v="3.0162977842100857E-4"/>
    <n v="6.086589507600498E-5"/>
    <n v="3.6249567349701353E-4"/>
    <n v="3.0162977842100857E-4"/>
    <n v="6.086589507600498E-5"/>
    <n v="2.4886297422205262E-4"/>
    <n v="1.9388732705662878E-5"/>
    <n v="6.0129614087182336E-6"/>
    <n v="6.8719558956779815E-6"/>
    <n v="1.7179889739194955E-5"/>
    <n v="3.5586914459760976E-6"/>
    <n v="4.1722589366616318E-6"/>
    <n v="0"/>
    <n v="1.0062506847242759E-5"/>
    <n v="2.0615867687033946E-5"/>
    <n v="1.1044214832339614E-6"/>
    <n v="8.5899448695974769E-7"/>
    <n v="2.5769834608792433E-6"/>
    <n v="6.0129614087182336E-6"/>
    <n v="1.1657782323025148E-5"/>
    <n v="3.5586914459760976E-6"/>
  </r>
  <r>
    <x v="65"/>
    <s v="Census Tract 82, King County, Washington"/>
    <n v="1995.7556805666745"/>
    <n v="1660.6524924958992"/>
    <n v="335.10318807077545"/>
    <n v="1995.7556805666745"/>
    <n v="1660.6524924958992"/>
    <n v="335.10318807077545"/>
    <n v="1370.1396479990576"/>
    <n v="106.7465800709325"/>
    <n v="33.104952047314505"/>
    <n v="37.834230911216579"/>
    <n v="94.585577278041455"/>
    <n v="19.592726721880013"/>
    <n v="22.970783053238637"/>
    <n v="0"/>
    <n v="55.400123834281416"/>
    <n v="113.50269273364974"/>
    <n v="6.0805013964455217"/>
    <n v="4.7292788639020724"/>
    <n v="14.187836591706217"/>
    <n v="33.104952047314505"/>
    <n v="64.183070295813835"/>
    <n v="19.592726721880013"/>
  </r>
  <r>
    <x v="64"/>
    <s v="Census Tract 82, King County, Washington"/>
    <n v="958.06949179772732"/>
    <n v="797.20203481341025"/>
    <n v="160.86745698431713"/>
    <n v="958.06949179772732"/>
    <n v="797.20203481341025"/>
    <n v="160.86745698431713"/>
    <n v="657.7403281536192"/>
    <n v="51.244068958713925"/>
    <n v="15.892147968208748"/>
    <n v="18.162454820809998"/>
    <n v="45.406137052024995"/>
    <n v="9.4055569607766056"/>
    <n v="11.027204712634642"/>
    <n v="0"/>
    <n v="26.595023130471784"/>
    <n v="54.487364462429994"/>
    <n v="2.9189659533444638"/>
    <n v="2.2703068526012498"/>
    <n v="6.8109205578037493"/>
    <n v="15.892147968208748"/>
    <n v="30.811307285302675"/>
    <n v="9.4055569607766056"/>
  </r>
  <r>
    <x v="66"/>
    <s v="Census Tract 82, King County, Washington"/>
    <n v="0.17442486262735188"/>
    <n v="0.14513754649222441"/>
    <n v="2.9287316135127466E-2"/>
    <n v="0.17442486262735188"/>
    <n v="0.14513754649222441"/>
    <n v="2.9287316135127466E-2"/>
    <n v="0.11974733290733568"/>
    <n v="9.3294273172381849E-3"/>
    <n v="2.8933034085105763E-3"/>
    <n v="3.3066324668692298E-3"/>
    <n v="8.2665811671730743E-3"/>
    <n v="1.7123632417715654E-3"/>
    <n v="2.0075982834563181E-3"/>
    <n v="0"/>
    <n v="4.8418546836299439E-3"/>
    <n v="9.9198974006076898E-3"/>
    <n v="5.3142307503255477E-4"/>
    <n v="4.1332905835865372E-4"/>
    <n v="1.2399871750759612E-3"/>
    <n v="2.8933034085105763E-3"/>
    <n v="5.6094657920103003E-3"/>
    <n v="1.7123632417715654E-3"/>
  </r>
  <r>
    <x v="68"/>
    <s v="Census Tract 81, King County, Washington"/>
    <n v="648.37577980066862"/>
    <n v="547.21342178496184"/>
    <n v="101.16235801570674"/>
    <n v="648.37577980066862"/>
    <n v="547.21342178496184"/>
    <n v="101.16235801570674"/>
    <n v="411.95560236396136"/>
    <n v="37.467540005817312"/>
    <n v="18.54643230287957"/>
    <n v="1.6860393002617791"/>
    <n v="70.251637510907457"/>
    <n v="6.9314949010762028"/>
    <n v="9.9288981015415878"/>
    <n v="3.3720786005235581"/>
    <n v="7.4935080011634625"/>
    <n v="37.092864605759139"/>
    <n v="0"/>
    <n v="0"/>
    <n v="5.8074687009016834"/>
    <n v="10.678248901657934"/>
    <n v="23.229874803606734"/>
    <n v="3.9340917006108178"/>
  </r>
  <r>
    <x v="67"/>
    <s v="Census Tract 81, King County, Washington"/>
    <n v="2.5839849598205515"/>
    <n v="2.1808205916312717"/>
    <n v="0.40316436818927992"/>
    <n v="2.5839849598205515"/>
    <n v="2.1808205916312717"/>
    <n v="0.40316436818927992"/>
    <n v="1.6417748993485677"/>
    <n v="0.14932013636639999"/>
    <n v="7.3913467501367985E-2"/>
    <n v="6.7194061364879987E-3"/>
    <n v="0.27997525568699994"/>
    <n v="2.7624225227783995E-2"/>
    <n v="3.9569836137095991E-2"/>
    <n v="1.3438812272975997E-2"/>
    <n v="2.9864027273279994E-2"/>
    <n v="0.14782693500273597"/>
    <n v="0"/>
    <n v="0"/>
    <n v="2.3144621136791995E-2"/>
    <n v="4.2556238864423994E-2"/>
    <n v="9.257848454716798E-2"/>
    <n v="1.5678614318471996E-2"/>
  </r>
  <r>
    <x v="65"/>
    <s v="Census Tract 81, King County, Washington"/>
    <n v="2274.1645171461805"/>
    <n v="1919.3396574932081"/>
    <n v="354.82485965297241"/>
    <n v="2274.1645171461805"/>
    <n v="1919.3396574932081"/>
    <n v="354.82485965297241"/>
    <n v="1444.9256784757154"/>
    <n v="131.41661468628607"/>
    <n v="65.051224269711611"/>
    <n v="5.9137476608828727"/>
    <n v="246.40615253678638"/>
    <n v="24.312073716962924"/>
    <n v="34.825402891865807"/>
    <n v="11.827495321765745"/>
    <n v="26.283322937257214"/>
    <n v="130.10244853942322"/>
    <n v="0"/>
    <n v="0"/>
    <n v="20.369575276374341"/>
    <n v="37.453735185591533"/>
    <n v="81.478301105497366"/>
    <n v="13.798744542060037"/>
  </r>
  <r>
    <x v="57"/>
    <s v="Census Tract 81, King County, Washington"/>
    <n v="532.82302771276022"/>
    <n v="449.68970353914267"/>
    <n v="83.133324173617609"/>
    <n v="532.82302771276022"/>
    <n v="449.68970353914267"/>
    <n v="83.133324173617609"/>
    <n v="338.53737010700945"/>
    <n v="30.790120064302819"/>
    <n v="15.241109431829894"/>
    <n v="1.3855554028936268"/>
    <n v="57.731475120567779"/>
    <n v="5.6961722118960214"/>
    <n v="8.1593818170402468"/>
    <n v="2.7711108057872536"/>
    <n v="6.1580240128605634"/>
    <n v="30.482218863659789"/>
    <n v="0"/>
    <n v="0"/>
    <n v="4.7724686099669364"/>
    <n v="8.7751842183263022"/>
    <n v="19.089874439867746"/>
    <n v="3.232962606751796"/>
  </r>
  <r>
    <x v="68"/>
    <s v="Census Tract 80.02, King County, Washington"/>
    <n v="623.98607528599189"/>
    <n v="534.45063327704645"/>
    <n v="89.535442008945338"/>
    <n v="623.98607528599189"/>
    <n v="534.45063327704645"/>
    <n v="89.535442008945338"/>
    <n v="403.48490961871772"/>
    <n v="33.834730013663147"/>
    <n v="2.3016823138546361"/>
    <n v="0"/>
    <n v="70.661647035337324"/>
    <n v="5.2938693218656629"/>
    <n v="14.040262114513279"/>
    <n v="0"/>
    <n v="17.032449122524305"/>
    <n v="37.287253484445102"/>
    <n v="0"/>
    <n v="0"/>
    <n v="2.7620187766255633"/>
    <n v="8.0558880984912271"/>
    <n v="24.167664295473678"/>
    <n v="5.0637010904801993"/>
  </r>
  <r>
    <x v="67"/>
    <s v="Census Tract 80.02, King County, Washington"/>
    <n v="2085.8626938742559"/>
    <n v="1786.5633254061313"/>
    <n v="299.2993684681245"/>
    <n v="2085.8626938742559"/>
    <n v="1786.5633254061313"/>
    <n v="299.2993684681245"/>
    <n v="1348.7706758987717"/>
    <n v="113.1028461820419"/>
    <n v="7.6940711688463885"/>
    <n v="0"/>
    <n v="236.20798488358412"/>
    <n v="17.696363688346693"/>
    <n v="46.933834129962968"/>
    <n v="0"/>
    <n v="56.936126649463269"/>
    <n v="124.64395293531149"/>
    <n v="0"/>
    <n v="0"/>
    <n v="9.2328854026156648"/>
    <n v="26.929249090962358"/>
    <n v="80.787747272887074"/>
    <n v="16.926956571462053"/>
  </r>
  <r>
    <x v="65"/>
    <s v="Census Tract 80.02, King County, Washington"/>
    <n v="1.151136157403764"/>
    <n v="0.98596022039525633"/>
    <n v="0.16517593700850763"/>
    <n v="1.151136157403764"/>
    <n v="0.98596022039525633"/>
    <n v="0.16517593700850763"/>
    <n v="0.74435325854990708"/>
    <n v="6.2418670283420616E-2"/>
    <n v="4.2461680464911987E-3"/>
    <n v="0"/>
    <n v="0.1303573590272798"/>
    <n v="9.7661865069297565E-3"/>
    <n v="2.5901625083596311E-2"/>
    <n v="0"/>
    <n v="3.1421643544034872E-2"/>
    <n v="6.8787922353157421E-2"/>
    <n v="0"/>
    <n v="0"/>
    <n v="5.0954016557894378E-3"/>
    <n v="1.4861588162719194E-2"/>
    <n v="4.4584764488157583E-2"/>
    <n v="9.3415697022806374E-3"/>
  </r>
  <r>
    <x v="69"/>
    <s v="Census Tract 80.01, King County, Washington"/>
    <n v="7.2507642836607813"/>
    <n v="5.9578468675349017"/>
    <n v="1.2929174161258798"/>
    <n v="7.2507642836607813"/>
    <n v="5.9578468675349017"/>
    <n v="1.2929174161258798"/>
    <n v="4.6273931393279479"/>
    <n v="0.51091091443683967"/>
    <n v="7.5072624162147869E-2"/>
    <n v="0.15431594966663728"/>
    <n v="0.5901542399413291"/>
    <n v="4.5877714765757027E-2"/>
    <n v="0.15223059899546651"/>
    <n v="2.7109558725220063E-2"/>
    <n v="0.1605720016801496"/>
    <n v="0.43583829027469179"/>
    <n v="0"/>
    <n v="0"/>
    <n v="6.8816572148635541E-2"/>
    <n v="5.2133766779269348E-2"/>
    <n v="0.28360769127922525"/>
    <n v="6.6731221477464769E-2"/>
  </r>
  <r>
    <x v="68"/>
    <s v="Census Tract 80.01, King County, Washington"/>
    <n v="15.736027516729061"/>
    <n v="12.930063449897881"/>
    <n v="2.8059640668311818"/>
    <n v="15.736027516729061"/>
    <n v="12.930063449897881"/>
    <n v="2.8059640668311818"/>
    <n v="10.042635910158697"/>
    <n v="1.1088083812478056"/>
    <n v="0.16292694581600409"/>
    <n v="0.3349053886217862"/>
    <n v="1.2807868240535878"/>
    <n v="9.9566466887558061E-2"/>
    <n v="0.33037964012689719"/>
    <n v="5.8834730433557032E-2"/>
    <n v="0.34848263410645319"/>
    <n v="0.94588143543180159"/>
    <n v="0"/>
    <n v="0"/>
    <n v="0.1493497003313371"/>
    <n v="0.11314371237222506"/>
    <n v="0.61550179530490434"/>
    <n v="0.14482395183644808"/>
  </r>
  <r>
    <x v="67"/>
    <s v="Census Tract 80.01, King County, Washington"/>
    <n v="3337.6355871811825"/>
    <n v="2742.4863021503129"/>
    <n v="595.14928503086946"/>
    <n v="3337.6355871811825"/>
    <n v="2742.4863021503129"/>
    <n v="595.14928503086946"/>
    <n v="2130.0584894895151"/>
    <n v="235.17995940735972"/>
    <n v="34.557055259856938"/>
    <n v="71.033946923039267"/>
    <n v="271.65685107054202"/>
    <n v="21.11820043657924"/>
    <n v="70.074028721376564"/>
    <n v="12.478936621615006"/>
    <n v="73.913701528027332"/>
    <n v="200.62290414750277"/>
    <n v="0"/>
    <n v="0"/>
    <n v="31.677300654868858"/>
    <n v="23.997955041567316"/>
    <n v="130.54887542612622"/>
    <n v="30.717382453206167"/>
  </r>
  <r>
    <x v="70"/>
    <s v="Census Tract 80.01, King County, Washington"/>
    <n v="100.09311750027771"/>
    <n v="82.24504938116003"/>
    <n v="17.848068119117681"/>
    <n v="100.09311750027771"/>
    <n v="82.24504938116003"/>
    <n v="17.848068119117681"/>
    <n v="63.878811542455061"/>
    <n v="7.0528656277158586"/>
    <n v="1.0363394391745751"/>
    <n v="2.1302532916366266"/>
    <n v="8.1467794801779103"/>
    <n v="0.63331854616224037"/>
    <n v="2.1014660849928886"/>
    <n v="0.37423368636859655"/>
    <n v="2.2166149115678411"/>
    <n v="6.0165261885412828"/>
    <n v="0"/>
    <n v="0"/>
    <n v="0.94997781924336056"/>
    <n v="0.71968016609345498"/>
    <n v="3.9150601035483947"/>
    <n v="0.92119061259962232"/>
  </r>
  <r>
    <x v="59"/>
    <s v="Census Tract 79, King County, Washington"/>
    <n v="3271.7195727090361"/>
    <n v="2643.1968854187603"/>
    <n v="628.5226872902756"/>
    <n v="3271.7195727090361"/>
    <n v="2643.1968854187603"/>
    <n v="628.5226872902756"/>
    <n v="1713.9419406181316"/>
    <n v="174.71848379778879"/>
    <n v="57.208707084231726"/>
    <n v="174.71848379778879"/>
    <n v="715.88192918916991"/>
    <n v="121.37522989492406"/>
    <n v="23.965809724475452"/>
    <n v="4.6385438176404099"/>
    <n v="51.023981994044512"/>
    <n v="125.24068307629108"/>
    <n v="6.9578157264606153"/>
    <n v="7.7309063627340171"/>
    <n v="10.050178271554222"/>
    <n v="17.007993998014836"/>
    <n v="64.166522810692342"/>
    <n v="3.0923625450936068"/>
  </r>
  <r>
    <x v="66"/>
    <s v="Census Tract 79, King County, Washington"/>
    <n v="0.77573721424666342"/>
    <n v="0.62671208305986348"/>
    <n v="0.14902513118679994"/>
    <n v="0.77573721424666342"/>
    <n v="0.62671208305986348"/>
    <n v="0.14902513118679994"/>
    <n v="0.40638218430643974"/>
    <n v="4.1426420231508963E-2"/>
    <n v="1.3564403084653379E-2"/>
    <n v="4.1426420231508963E-2"/>
    <n v="0.16973834130255444"/>
    <n v="2.8778530868791626E-2"/>
    <n v="5.6823850760034421E-3"/>
    <n v="1.0998164663232469E-3"/>
    <n v="1.2097981129555716E-2"/>
    <n v="2.9695044590727665E-2"/>
    <n v="1.6497246994848704E-3"/>
    <n v="1.8330274438720781E-3"/>
    <n v="2.3829356770337018E-3"/>
    <n v="4.0326603765185719E-3"/>
    <n v="1.5214127784138248E-2"/>
    <n v="7.3321097754883125E-4"/>
  </r>
  <r>
    <x v="71"/>
    <s v="Census Tract 79, King County, Washington"/>
    <n v="959.50468401778494"/>
    <n v="775.17639760321515"/>
    <n v="184.32828641456973"/>
    <n v="959.50468401778494"/>
    <n v="775.17639760321515"/>
    <n v="184.32828641456973"/>
    <n v="502.65167402349459"/>
    <n v="51.240089458416676"/>
    <n v="16.777728406738206"/>
    <n v="51.240089458416676"/>
    <n v="209.94833114377806"/>
    <n v="35.595991349431053"/>
    <n v="7.0285078460660042"/>
    <n v="1.3603563573030977"/>
    <n v="14.963919930334075"/>
    <n v="36.729621647183635"/>
    <n v="2.0405345359546465"/>
    <n v="2.2672605955051628"/>
    <n v="2.9474387741567116"/>
    <n v="4.9879733101113581"/>
    <n v="18.818262942692851"/>
    <n v="0.90690423820206512"/>
  </r>
  <r>
    <x v="60"/>
    <s v="Census Tract 78, King County, Washington"/>
    <n v="2319.9825306490388"/>
    <n v="2133.8195220095536"/>
    <n v="186.16300863948535"/>
    <n v="2319.9825306490388"/>
    <n v="2133.8195220095536"/>
    <n v="186.16300863948535"/>
    <n v="1515.2485470925349"/>
    <n v="132.4533875650128"/>
    <n v="24.578979135775572"/>
    <n v="0"/>
    <n v="441.96645816366816"/>
    <n v="16.841152370809187"/>
    <n v="44.151129188337606"/>
    <n v="3.6413302423371219"/>
    <n v="35.047803582494801"/>
    <n v="22.303147734314873"/>
    <n v="0"/>
    <n v="0"/>
    <n v="5.0068290832135425"/>
    <n v="0"/>
    <n v="67.819775763528895"/>
    <n v="10.923990727011365"/>
  </r>
  <r>
    <x v="72"/>
    <s v="Census Tract 78, King County, Washington"/>
    <n v="1480.9924470844305"/>
    <n v="1362.1527549405159"/>
    <n v="118.83969214391446"/>
    <n v="1480.9924470844305"/>
    <n v="1362.1527549405159"/>
    <n v="118.83969214391446"/>
    <n v="967.27954803689795"/>
    <n v="84.553423994814452"/>
    <n v="15.690326102130516"/>
    <n v="0"/>
    <n v="282.13530824386538"/>
    <n v="10.750778995904243"/>
    <n v="28.184474664938151"/>
    <n v="2.3244927558711876"/>
    <n v="22.373242775260181"/>
    <n v="14.237518129711024"/>
    <n v="0"/>
    <n v="0"/>
    <n v="3.1961775393228828"/>
    <n v="0"/>
    <n v="43.293677578100869"/>
    <n v="6.9734782676135634"/>
  </r>
  <r>
    <x v="55"/>
    <s v="Census Tract 78, King County, Washington"/>
    <n v="1275.952422118241"/>
    <n v="1173.5658141829142"/>
    <n v="102.38660793532678"/>
    <n v="1275.952422118241"/>
    <n v="1173.5658141829142"/>
    <n v="102.38660793532678"/>
    <n v="833.36190175232969"/>
    <n v="72.847195376968443"/>
    <n v="13.518036255519917"/>
    <n v="0"/>
    <n v="243.07431859462665"/>
    <n v="9.2623581750784609"/>
    <n v="24.28239845898948"/>
    <n v="2.0026720378548024"/>
    <n v="19.275718364352475"/>
    <n v="12.266366231860665"/>
    <n v="0"/>
    <n v="0"/>
    <n v="2.7536740520503535"/>
    <n v="0"/>
    <n v="37.299766705045698"/>
    <n v="6.0080161135644072"/>
  </r>
  <r>
    <x v="60"/>
    <s v="Census Tract 77, King County, Washington"/>
    <n v="702.68306208028241"/>
    <n v="643.15752950305546"/>
    <n v="59.525532577226933"/>
    <n v="702.68306208028241"/>
    <n v="643.15752950305546"/>
    <n v="59.525532577226933"/>
    <n v="315.23876719892371"/>
    <n v="32.932765064915493"/>
    <n v="3.1699987763020259"/>
    <n v="11.975550932696542"/>
    <n v="270.68267328756747"/>
    <n v="5.2833312938367101"/>
    <n v="5.4594423369646004"/>
    <n v="0"/>
    <n v="14.793327622742789"/>
    <n v="6.516108595731942"/>
    <n v="1.0566662587673421"/>
    <n v="0"/>
    <n v="7.0444417251156128"/>
    <n v="2.8177766900462453"/>
    <n v="25.712212296671989"/>
    <n v="0"/>
  </r>
  <r>
    <x v="72"/>
    <s v="Census Tract 77, King County, Washington"/>
    <n v="787.96494962084284"/>
    <n v="721.21503659531777"/>
    <n v="66.749913025525032"/>
    <n v="787.96494962084284"/>
    <n v="721.21503659531777"/>
    <n v="66.749913025525032"/>
    <n v="353.49806010559115"/>
    <n v="36.92968560879639"/>
    <n v="3.5547290960338773"/>
    <n v="13.428976585016871"/>
    <n v="303.53436781133718"/>
    <n v="5.9245484933897954"/>
    <n v="6.1220334431694559"/>
    <n v="0"/>
    <n v="16.58873578149143"/>
    <n v="7.3069431418474151"/>
    <n v="1.1849096986779593"/>
    <n v="0"/>
    <n v="7.8993979911863939"/>
    <n v="3.1597591964745577"/>
    <n v="28.83280266783034"/>
    <n v="0"/>
  </r>
  <r>
    <x v="59"/>
    <s v="Census Tract 77, King County, Washington"/>
    <n v="1.2909719949310348"/>
    <n v="1.1816114600220899"/>
    <n v="0.10936053490894479"/>
    <n v="1.2909719949310348"/>
    <n v="1.1816114600220899"/>
    <n v="0.10936053490894479"/>
    <n v="0.57915786238760703"/>
    <n v="6.0504201266191354E-2"/>
    <n v="5.8239338117189532E-3"/>
    <n v="2.2001527733160491E-2"/>
    <n v="0.49729923714511287"/>
    <n v="9.7065563528649229E-3"/>
    <n v="1.0030108231293753E-2"/>
    <n v="0"/>
    <n v="2.7178357788021783E-2"/>
    <n v="1.1971419501866738E-2"/>
    <n v="1.9413112705729844E-3"/>
    <n v="0"/>
    <n v="1.2942075137153231E-2"/>
    <n v="5.176830054861292E-3"/>
    <n v="4.7238574250609289E-2"/>
    <n v="0"/>
  </r>
  <r>
    <x v="61"/>
    <s v="Census Tract 77, King County, Washington"/>
    <n v="1708.8845949742401"/>
    <n v="1564.1219400616353"/>
    <n v="144.7626549126048"/>
    <n v="1708.8845949742401"/>
    <n v="1564.1219400616353"/>
    <n v="144.7626549126048"/>
    <n v="766.64246240698992"/>
    <n v="80.090581268216269"/>
    <n v="7.7092538119138645"/>
    <n v="29.123847733896824"/>
    <n v="658.28461716175616"/>
    <n v="12.848756353189774"/>
    <n v="13.277048231629434"/>
    <n v="0"/>
    <n v="35.976517788931368"/>
    <n v="15.846799502267389"/>
    <n v="2.5697512706379548"/>
    <n v="0"/>
    <n v="17.131675137586367"/>
    <n v="6.8526700550345465"/>
    <n v="62.53061425219024"/>
    <n v="0"/>
  </r>
  <r>
    <x v="71"/>
    <s v="Census Tract 77, King County, Washington"/>
    <n v="789.17642132970343"/>
    <n v="722.32388237996918"/>
    <n v="66.852538949734281"/>
    <n v="789.17642132970343"/>
    <n v="722.32388237996918"/>
    <n v="66.852538949734281"/>
    <n v="354.04155242610756"/>
    <n v="36.986463856805649"/>
    <n v="3.5601943819385116"/>
    <n v="13.4496232206566"/>
    <n v="304.00104250219403"/>
    <n v="5.9336573032308531"/>
    <n v="6.1314458800052147"/>
    <n v="0"/>
    <n v="16.614240449046388"/>
    <n v="7.3181773406513848"/>
    <n v="1.1867314606461705"/>
    <n v="0"/>
    <n v="7.9115430709744707"/>
    <n v="3.1646172283897882"/>
    <n v="28.877132209056818"/>
    <n v="0"/>
  </r>
  <r>
    <x v="66"/>
    <s v="Census Tract 76, King County, Washington"/>
    <n v="1.8625621641009775"/>
    <n v="1.7283388864058749"/>
    <n v="0.13422327769510264"/>
    <n v="1.8625621641009775"/>
    <n v="1.7283388864058749"/>
    <n v="0.13422327769510264"/>
    <n v="1.2508467155415948"/>
    <n v="8.0533966617061581E-2"/>
    <n v="3.8839076099008427E-2"/>
    <n v="4.5693030704715793E-3"/>
    <n v="0.27130236980925004"/>
    <n v="8.5674432571342107E-3"/>
    <n v="1.4279072095223685E-2"/>
    <n v="0"/>
    <n v="5.1404659542805264E-2"/>
    <n v="2.2275352468548948E-2"/>
    <n v="4.5693030704715793E-3"/>
    <n v="2.8558144190447372E-3"/>
    <n v="1.0852094792370001E-2"/>
    <n v="3.4269773028536843E-3"/>
    <n v="8.6245595455151064E-2"/>
    <n v="1.1994420559987895E-2"/>
  </r>
  <r>
    <x v="71"/>
    <s v="Census Tract 76, King County, Washington"/>
    <n v="3259.1374378358992"/>
    <n v="3024.2716611135943"/>
    <n v="234.8657767223049"/>
    <n v="3259.1374378358992"/>
    <n v="3024.2716611135943"/>
    <n v="234.8657767223049"/>
    <n v="2188.7491532844588"/>
    <n v="140.91946603338295"/>
    <n v="67.961160923900991"/>
    <n v="7.995430696929529"/>
    <n v="474.72869763019077"/>
    <n v="14.991432556742867"/>
    <n v="24.985720927904779"/>
    <n v="0"/>
    <n v="89.948595340457203"/>
    <n v="38.977724647531453"/>
    <n v="7.995430696929529"/>
    <n v="4.9971441855809555"/>
    <n v="18.989147905207631"/>
    <n v="5.996573022697147"/>
    <n v="150.91375440454485"/>
    <n v="20.988005579440014"/>
  </r>
  <r>
    <x v="59"/>
    <s v="Census Tract 75, King County, Washington"/>
    <n v="177.3445561419245"/>
    <n v="149.18144873875968"/>
    <n v="28.163107403164823"/>
    <n v="177.3445561419245"/>
    <n v="149.18144873875968"/>
    <n v="28.163107403164823"/>
    <n v="124.53074702079682"/>
    <n v="12.868177192149005"/>
    <n v="2.7141316658378796"/>
    <n v="0.9259978624623354"/>
    <n v="10.154045526311126"/>
    <n v="3.5762676067510886"/>
    <n v="1.7242718818264176"/>
    <n v="0.22351672542194304"/>
    <n v="2.1074434111211771"/>
    <n v="6.8332256057565441"/>
    <n v="0.25544768619650632"/>
    <n v="0"/>
    <n v="1.117583627109715"/>
    <n v="2.1713053326703036"/>
    <n v="6.5777779195600381"/>
    <n v="1.5646170779536013"/>
  </r>
  <r>
    <x v="64"/>
    <s v="Census Tract 75, King County, Washington"/>
    <n v="306.93759199261285"/>
    <n v="258.19453183102036"/>
    <n v="48.74306016159246"/>
    <n v="306.93759199261285"/>
    <n v="258.19453183102036"/>
    <n v="48.74306016159246"/>
    <n v="215.53053812949048"/>
    <n v="22.271488940047348"/>
    <n v="4.6974604464119718"/>
    <n v="1.6026629758346727"/>
    <n v="17.574028493635378"/>
    <n v="6.1895949411545983"/>
    <n v="2.9842689894852525"/>
    <n v="0.38684968382216239"/>
    <n v="3.6474398760375313"/>
    <n v="11.826547476848964"/>
    <n v="0.44211392436818558"/>
    <n v="0"/>
    <n v="1.934248419110812"/>
    <n v="3.7579683571295774"/>
    <n v="11.384433552480779"/>
    <n v="2.7079477867551369"/>
  </r>
  <r>
    <x v="66"/>
    <s v="Census Tract 75, King County, Washington"/>
    <n v="5069.4424183765223"/>
    <n v="4264.3923260092033"/>
    <n v="805.05009236731962"/>
    <n v="5069.4424183765223"/>
    <n v="4264.3923260092033"/>
    <n v="805.05009236731962"/>
    <n v="3559.7453063861071"/>
    <n v="367.84034832656437"/>
    <n v="77.584192575081815"/>
    <n v="26.469900996204384"/>
    <n v="290.25615575148259"/>
    <n v="102.22858315775487"/>
    <n v="49.288781165346094"/>
    <n v="6.3892864473596793"/>
    <n v="60.241843646534122"/>
    <n v="195.32961424785304"/>
    <n v="7.3020416541253477"/>
    <n v="0"/>
    <n v="31.946432236798397"/>
    <n v="62.067354060065455"/>
    <n v="188.02757259372771"/>
    <n v="44.725005131517754"/>
  </r>
  <r>
    <x v="71"/>
    <s v="Census Tract 75, King County, Washington"/>
    <n v="0.2754334889402657"/>
    <n v="0.23169342101709062"/>
    <n v="4.3740067923175072E-2"/>
    <n v="0.2754334889402657"/>
    <n v="0.23169342101709062"/>
    <n v="4.3740067923175072E-2"/>
    <n v="0.19340846360587616"/>
    <n v="1.9985541239273871E-2"/>
    <n v="4.2153126683331984E-3"/>
    <n v="1.4381654986077971E-3"/>
    <n v="1.577022857094067E-2"/>
    <n v="5.554294339450803E-3"/>
    <n v="2.6779633422352083E-3"/>
    <n v="3.4714339621567518E-4"/>
    <n v="3.2730663071763658E-3"/>
    <n v="1.0612669541450641E-2"/>
    <n v="3.9673530996077162E-4"/>
    <n v="0"/>
    <n v="1.7357169810783759E-3"/>
    <n v="3.372250134666559E-3"/>
    <n v="1.021593423148987E-2"/>
    <n v="2.4300037735097263E-3"/>
  </r>
  <r>
    <x v="66"/>
    <s v="Census Tract 74, King County, Washington"/>
    <n v="9047"/>
    <n v="7755"/>
    <n v="1292"/>
    <n v="9047"/>
    <n v="7755"/>
    <n v="1292"/>
    <n v="6337"/>
    <n v="505"/>
    <n v="175"/>
    <n v="47"/>
    <n v="458"/>
    <n v="115"/>
    <n v="60"/>
    <n v="14"/>
    <n v="210"/>
    <n v="355"/>
    <n v="21"/>
    <n v="7"/>
    <n v="117"/>
    <n v="113"/>
    <n v="377"/>
    <n v="136"/>
  </r>
  <r>
    <x v="73"/>
    <s v="Census Tract 73, King County, Washington"/>
    <n v="1359.1472906065278"/>
    <n v="1163.5909121732266"/>
    <n v="195.5563784333014"/>
    <n v="1359.1472906065278"/>
    <n v="1163.5909121732266"/>
    <n v="195.5563784333014"/>
    <n v="737.75319091192523"/>
    <n v="37.161804001343882"/>
    <n v="7.9197287215978767"/>
    <n v="8.5289386232592523"/>
    <n v="211.39583587649716"/>
    <n v="45.690742624603132"/>
    <n v="43.863112919619006"/>
    <n v="6.7013089182751262"/>
    <n v="32.288124788052883"/>
    <n v="62.74861987112164"/>
    <n v="3.0460495083068757"/>
    <n v="0"/>
    <n v="51.782841641216883"/>
    <n v="16.448667344857128"/>
    <n v="75.542027806010509"/>
    <n v="18.276297049841254"/>
  </r>
  <r>
    <x v="67"/>
    <s v="Census Tract 73, King County, Washington"/>
    <n v="754.93263056241574"/>
    <n v="646.31166489207271"/>
    <n v="108.6209656703431"/>
    <n v="754.93263056241574"/>
    <n v="646.31166489207271"/>
    <n v="108.6209656703431"/>
    <n v="409.78189852581153"/>
    <n v="20.64136730807143"/>
    <n v="4.398979918113584"/>
    <n v="4.7373629887377051"/>
    <n v="117.41892550657028"/>
    <n v="25.378730296809135"/>
    <n v="24.363581084936772"/>
    <n v="3.7222137768653401"/>
    <n v="17.934302743078458"/>
    <n v="34.853456274284547"/>
    <n v="1.691915353120609"/>
    <n v="0"/>
    <n v="28.762561003050354"/>
    <n v="9.1363429068512882"/>
    <n v="41.959500757391105"/>
    <n v="10.151492118723654"/>
  </r>
  <r>
    <x v="65"/>
    <s v="Census Tract 73, King County, Washington"/>
    <n v="0.66338210555189248"/>
    <n v="0.56793358207266464"/>
    <n v="9.5448523479227929E-2"/>
    <n v="0.66338210555189248"/>
    <n v="0.56793358207266464"/>
    <n v="9.5448523479227929E-2"/>
    <n v="0.36008773187957949"/>
    <n v="1.8138192935304994E-2"/>
    <n v="3.8655165271961464E-3"/>
    <n v="4.162863952365081E-3"/>
    <n v="0.10317955653362022"/>
    <n v="2.2301056887670076E-2"/>
    <n v="2.1409014612163272E-2"/>
    <n v="3.2708216768582779E-3"/>
    <n v="1.575941353395352E-2"/>
    <n v="3.0626784792400236E-2"/>
    <n v="1.4867371258446716E-3"/>
    <n v="0"/>
    <n v="2.5274531139359419E-2"/>
    <n v="8.0283804795612274E-3"/>
    <n v="3.6871080720947857E-2"/>
    <n v="8.9204227550680297E-3"/>
  </r>
  <r>
    <x v="66"/>
    <s v="Census Tract 73, King County, Washington"/>
    <n v="116.25667986130726"/>
    <n v="99.529474914879813"/>
    <n v="16.727204946427445"/>
    <n v="116.25667986130726"/>
    <n v="99.529474914879813"/>
    <n v="16.727204946427445"/>
    <n v="63.104813676397626"/>
    <n v="3.178690036548518"/>
    <n v="0.67742574549394641"/>
    <n v="0.72953541822424994"/>
    <n v="18.082056437415339"/>
    <n v="3.9082254547727677"/>
    <n v="3.7518964365818572"/>
    <n v="0.57320640003333923"/>
    <n v="2.7618126547060893"/>
    <n v="5.3672962912212681"/>
    <n v="0.26054836365151784"/>
    <n v="0"/>
    <n v="4.4293221820758033"/>
    <n v="1.4069611637181965"/>
    <n v="6.4615994185576424"/>
    <n v="1.5632901819091072"/>
  </r>
  <r>
    <x v="69"/>
    <s v="Census Tract 72, King County, Washington"/>
    <n v="392.63972035185316"/>
    <n v="333.26106274391037"/>
    <n v="59.378657607942763"/>
    <n v="392.63972035185316"/>
    <n v="333.26106274391037"/>
    <n v="59.378657607942763"/>
    <n v="282.08168525109556"/>
    <n v="22.614143543336777"/>
    <n v="1.7192038951074742"/>
    <n v="3.0416684298055312"/>
    <n v="10.844209184524068"/>
    <n v="0"/>
    <n v="6.4800762200204796"/>
    <n v="2.2481897089866969"/>
    <n v="12.034427265752319"/>
    <n v="26.846030054370559"/>
    <n v="0.7934787208188343"/>
    <n v="0"/>
    <n v="6.0833368596110624"/>
    <n v="1.7192038951074742"/>
    <n v="13.224645346980571"/>
    <n v="2.9094219763357256"/>
  </r>
  <r>
    <x v="73"/>
    <s v="Census Tract 72, King County, Washington"/>
    <n v="1311.0428705712902"/>
    <n v="1112.7746830042613"/>
    <n v="198.26818756702909"/>
    <n v="1311.0428705712902"/>
    <n v="1112.7746830042613"/>
    <n v="198.26818756702909"/>
    <n v="941.88428525717825"/>
    <n v="75.509710632432018"/>
    <n v="5.7405043170854748"/>
    <n v="10.156276868689686"/>
    <n v="36.209334923154529"/>
    <n v="0"/>
    <n v="21.637285502860635"/>
    <n v="7.5068133377271593"/>
    <n v="40.183530219598325"/>
    <n v="89.640182797565487"/>
    <n v="2.6494635309625267"/>
    <n v="0"/>
    <n v="20.312553737379371"/>
    <n v="5.7405043170854748"/>
    <n v="44.157725516042113"/>
    <n v="9.7146996135292643"/>
  </r>
  <r>
    <x v="67"/>
    <s v="Census Tract 72, King County, Washington"/>
    <n v="1265.2142744003606"/>
    <n v="1073.8767165675004"/>
    <n v="191.3375578328602"/>
    <n v="1265.2142744003606"/>
    <n v="1073.8767165675004"/>
    <n v="191.3375578328602"/>
    <n v="908.95993509463437"/>
    <n v="72.870205767080392"/>
    <n v="5.5398402045148831"/>
    <n v="9.8012557464494083"/>
    <n v="34.943607443863108"/>
    <n v="0"/>
    <n v="20.880936155479176"/>
    <n v="7.2444064212886934"/>
    <n v="38.778881431604184"/>
    <n v="86.506735501270867"/>
    <n v="2.5568493251607154"/>
    <n v="0"/>
    <n v="19.602511492898817"/>
    <n v="5.5398402045148831"/>
    <n v="42.614155419345259"/>
    <n v="9.3751141922559569"/>
  </r>
  <r>
    <x v="65"/>
    <s v="Census Tract 72, King County, Washington"/>
    <n v="0.10316406461816388"/>
    <n v="8.7562628102988552E-2"/>
    <n v="1.560143651517534E-2"/>
    <n v="0.10316406461816388"/>
    <n v="8.7562628102988552E-2"/>
    <n v="1.560143651517534E-2"/>
    <n v="7.4115510215743877E-2"/>
    <n v="5.9417497641313655E-3"/>
    <n v="4.5171197037255996E-4"/>
    <n v="7.9918271681299075E-4"/>
    <n v="2.8492601208115319E-3"/>
    <n v="0"/>
    <n v="1.7026066575581106E-3"/>
    <n v="5.907002689487322E-4"/>
    <n v="3.1619837926079196E-3"/>
    <n v="7.0536561527407438E-3"/>
    <n v="2.0848244786425844E-4"/>
    <n v="0"/>
    <n v="1.5983654336259815E-3"/>
    <n v="4.5171197037255996E-4"/>
    <n v="3.4747074644043072E-3"/>
    <n v="7.6443564216894762E-4"/>
  </r>
  <r>
    <x v="74"/>
    <s v="Census Tract 71, King County, Washington"/>
    <n v="0.13503541027815455"/>
    <n v="0.11841913763256871"/>
    <n v="1.6616272645585833E-2"/>
    <n v="0.13503541027815455"/>
    <n v="0.11841913763256871"/>
    <n v="1.6616272645585833E-2"/>
    <n v="0.10097581069240621"/>
    <n v="1.067651907544429E-2"/>
    <n v="1.0526145567339442E-3"/>
    <n v="0"/>
    <n v="5.4134462917745695E-3"/>
    <n v="9.7742780268151946E-4"/>
    <n v="2.1052291134678884E-3"/>
    <n v="0"/>
    <n v="1.2781748188912178E-3"/>
    <n v="3.6089641945163797E-3"/>
    <n v="0"/>
    <n v="0"/>
    <n v="3.1578436702018324E-3"/>
    <n v="1.3533615729436424E-3"/>
    <n v="4.4360184890930507E-3"/>
    <n v="0"/>
  </r>
  <r>
    <x v="69"/>
    <s v="Census Tract 71, King County, Washington"/>
    <n v="1501.2814650426583"/>
    <n v="1316.5469417829547"/>
    <n v="184.73452325970348"/>
    <n v="1501.2814650426583"/>
    <n v="1316.5469417829547"/>
    <n v="184.73452325970348"/>
    <n v="1122.617487501275"/>
    <n v="118.69820046551084"/>
    <n v="11.702639482515153"/>
    <n v="0"/>
    <n v="60.185003052935073"/>
    <n v="10.8667366623355"/>
    <n v="23.405278965030305"/>
    <n v="0"/>
    <n v="14.210347943054114"/>
    <n v="40.12333536862338"/>
    <n v="0"/>
    <n v="0"/>
    <n v="35.107918447545458"/>
    <n v="15.046250763233768"/>
    <n v="49.318266390599575"/>
    <n v="0"/>
  </r>
  <r>
    <x v="73"/>
    <s v="Census Tract 71, King County, Washington"/>
    <n v="8.8409048504644455E-2"/>
    <n v="7.7530206789986095E-2"/>
    <n v="1.0878841714658366E-2"/>
    <n v="8.8409048504644455E-2"/>
    <n v="7.7530206789986095E-2"/>
    <n v="1.0878841714658366E-2"/>
    <n v="6.610988426600084E-2"/>
    <n v="6.9900249931289047E-3"/>
    <n v="6.8915739368876532E-4"/>
    <n v="0"/>
    <n v="3.5442380246850785E-3"/>
    <n v="6.3993186556813924E-4"/>
    <n v="1.3783147873775306E-3"/>
    <n v="0"/>
    <n v="8.3683397805064356E-4"/>
    <n v="2.3628253497900526E-3"/>
    <n v="0"/>
    <n v="0"/>
    <n v="2.067472181066296E-3"/>
    <n v="8.8605950617126963E-4"/>
    <n v="2.9043061591169394E-3"/>
    <n v="0"/>
  </r>
  <r>
    <x v="67"/>
    <s v="Census Tract 71, King County, Washington"/>
    <n v="1.0799832868677733E-2"/>
    <n v="9.4709002049930009E-3"/>
    <n v="1.3289326636847321E-3"/>
    <n v="1.0799832868677733E-2"/>
    <n v="9.4709002049930009E-3"/>
    <n v="1.3289326636847321E-3"/>
    <n v="8.0758215716226038E-3"/>
    <n v="8.5388433594222604E-4"/>
    <n v="8.4185779599937782E-5"/>
    <n v="0"/>
    <n v="4.3295543794253717E-4"/>
    <n v="7.8172509628513648E-5"/>
    <n v="1.6837155919987556E-4"/>
    <n v="0"/>
    <n v="1.0222558951421016E-4"/>
    <n v="2.8863695862835811E-4"/>
    <n v="0"/>
    <n v="0"/>
    <n v="2.5255733879981333E-4"/>
    <n v="1.0823885948563429E-4"/>
    <n v="3.5478292831402352E-4"/>
    <n v="0"/>
  </r>
  <r>
    <x v="70"/>
    <s v="Census Tract 71, King County, Washington"/>
    <n v="294.484286499088"/>
    <n v="258.24763431852097"/>
    <n v="36.236652180567063"/>
    <n v="294.484286499088"/>
    <n v="258.24763431852097"/>
    <n v="36.236652180567063"/>
    <n v="220.20734786652292"/>
    <n v="23.283278776653951"/>
    <n v="2.2955345272757417"/>
    <n v="0"/>
    <n v="11.805606140275243"/>
    <n v="2.1315677753274747"/>
    <n v="4.5910690545514834"/>
    <n v="0"/>
    <n v="2.7874347831205437"/>
    <n v="7.8704040935168287"/>
    <n v="0"/>
    <n v="0"/>
    <n v="6.8866035818272255"/>
    <n v="2.9514015350688108"/>
    <n v="9.6740383649477693"/>
    <n v="0"/>
  </r>
  <r>
    <x v="75"/>
    <s v="Census Tract 70, King County, Washington"/>
    <n v="1713.6876256022395"/>
    <n v="1447.1973252532989"/>
    <n v="266.49030034894054"/>
    <n v="1713.6876256022395"/>
    <n v="1447.1973252532989"/>
    <n v="266.49030034894054"/>
    <n v="1305.9524662503427"/>
    <n v="163.7440400830732"/>
    <n v="26.999017296140316"/>
    <n v="12.499545044509405"/>
    <n v="35.748698827296899"/>
    <n v="0"/>
    <n v="2.4999090089018812"/>
    <n v="0"/>
    <n v="25.499071890799186"/>
    <n v="67.747534141240976"/>
    <n v="2.249918108011693"/>
    <n v="0"/>
    <n v="6.2497725222547027"/>
    <n v="9.2496633329369597"/>
    <n v="41.9984713495516"/>
    <n v="13.24951774717997"/>
  </r>
  <r>
    <x v="74"/>
    <s v="Census Tract 70, King County, Washington"/>
    <n v="7.5577255045468474"/>
    <n v="6.3824468192300072"/>
    <n v="1.1752786853168402"/>
    <n v="7.5577255045468474"/>
    <n v="6.3824468192300072"/>
    <n v="1.1752786853168402"/>
    <n v="5.7595270657553224"/>
    <n v="0.72214590889543184"/>
    <n v="0.11907138650489563"/>
    <n v="5.5125641900414649E-2"/>
    <n v="0.15765933583518588"/>
    <n v="0"/>
    <n v="1.1025128380082929E-2"/>
    <n v="0"/>
    <n v="0.11245630947684587"/>
    <n v="0.29878097910024737"/>
    <n v="9.9226155420746361E-3"/>
    <n v="0"/>
    <n v="2.7562820950207324E-2"/>
    <n v="4.0792975006306839E-2"/>
    <n v="0.18522215678539322"/>
    <n v="5.8433180414439526E-2"/>
  </r>
  <r>
    <x v="69"/>
    <s v="Census Tract 70, King County, Washington"/>
    <n v="5133.7545128067113"/>
    <n v="4335.4201130033625"/>
    <n v="798.33439980334845"/>
    <n v="5133.7545128067113"/>
    <n v="4335.4201130033625"/>
    <n v="798.33439980334845"/>
    <n v="3912.2879029762594"/>
    <n v="490.53380100487169"/>
    <n v="80.881909173322356"/>
    <n v="37.445328320982576"/>
    <n v="107.09363899801016"/>
    <n v="0"/>
    <n v="7.4890656641965148"/>
    <n v="0"/>
    <n v="76.388469774804449"/>
    <n v="202.95367949972555"/>
    <n v="6.7401590977768633"/>
    <n v="0"/>
    <n v="18.722664160491288"/>
    <n v="27.709542957527106"/>
    <n v="125.81630315850146"/>
    <n v="39.692048020241529"/>
  </r>
  <r>
    <x v="74"/>
    <s v="Census Tract 69, King County, Washington"/>
    <n v="3717.4441006928841"/>
    <n v="3460.2685140129602"/>
    <n v="257.17558667992387"/>
    <n v="3717.4441006928841"/>
    <n v="3460.2685140129602"/>
    <n v="257.17558667992387"/>
    <n v="3124.7800607124582"/>
    <n v="136.32239745063632"/>
    <n v="46.407624664046409"/>
    <n v="0"/>
    <n v="36.739369525703403"/>
    <n v="6.7677785968401007"/>
    <n v="22.236986818188903"/>
    <n v="0"/>
    <n v="61.87683288539521"/>
    <n v="83.146994189749819"/>
    <n v="0"/>
    <n v="0"/>
    <n v="21.270161304354602"/>
    <n v="13.535557193680201"/>
    <n v="146.95747810281361"/>
    <n v="17.402859249017403"/>
  </r>
  <r>
    <x v="69"/>
    <s v="Census Tract 69, King County, Washington"/>
    <n v="127.20078282505722"/>
    <n v="118.40093673104806"/>
    <n v="8.7998460940091601"/>
    <n v="127.20078282505722"/>
    <n v="118.40093673104806"/>
    <n v="8.7998460940091601"/>
    <n v="106.92143825502859"/>
    <n v="4.664580072388314"/>
    <n v="1.5879421523024049"/>
    <n v="0"/>
    <n v="1.2571208705727372"/>
    <n v="0.23157489721076738"/>
    <n v="0.7608889479782357"/>
    <n v="0"/>
    <n v="2.1172562030698732"/>
    <n v="2.8450630228751419"/>
    <n v="0"/>
    <n v="0"/>
    <n v="0.72780681980526896"/>
    <n v="0.46314979442153476"/>
    <n v="5.028483482290949"/>
    <n v="0.59547830711340177"/>
  </r>
  <r>
    <x v="76"/>
    <s v="Census Tract 69, King County, Washington"/>
    <n v="0.35518461890817726"/>
    <n v="0.33061267908254005"/>
    <n v="2.457193982563723E-2"/>
    <n v="0.35518461890817726"/>
    <n v="0.33061267908254005"/>
    <n v="2.457193982563723E-2"/>
    <n v="0.29855830645285536"/>
    <n v="1.3024975621860337E-2"/>
    <n v="4.4340342542503273E-3"/>
    <n v="0"/>
    <n v="3.5102771179481755E-3"/>
    <n v="6.4662999541150606E-4"/>
    <n v="2.1246414134949484E-3"/>
    <n v="0"/>
    <n v="5.9120456723337697E-3"/>
    <n v="7.9443113721985037E-3"/>
    <n v="0"/>
    <n v="0"/>
    <n v="2.0322656998647331E-3"/>
    <n v="1.2932599908230121E-3"/>
    <n v="1.4041108471792702E-2"/>
    <n v="1.6627628453438727E-3"/>
  </r>
  <r>
    <x v="75"/>
    <s v="Census Tract 68, King County, Washington"/>
    <n v="1501.1984534951707"/>
    <n v="1367.5039347360589"/>
    <n v="133.6945187591119"/>
    <n v="1501.1984534951707"/>
    <n v="1367.5039347360589"/>
    <n v="133.6945187591119"/>
    <n v="1249.088789549417"/>
    <n v="92.221933348122093"/>
    <n v="19.644908878889911"/>
    <n v="6.5483029596299707"/>
    <n v="38.198433931174826"/>
    <n v="15.279373572469932"/>
    <n v="6.0026110463274733"/>
    <n v="0"/>
    <n v="8.7310706128399609"/>
    <n v="19.644908878889911"/>
    <n v="0"/>
    <n v="0"/>
    <n v="0"/>
    <n v="0"/>
    <n v="45.838120717409794"/>
    <n v="0"/>
  </r>
  <r>
    <x v="74"/>
    <s v="Census Tract 68, King County, Washington"/>
    <n v="1249.2036936046936"/>
    <n v="1137.9514562607642"/>
    <n v="111.25223734392945"/>
    <n v="1249.2036936046936"/>
    <n v="1137.9514562607642"/>
    <n v="111.25223734392945"/>
    <n v="1039.4137603275694"/>
    <n v="76.741339229077866"/>
    <n v="16.347267528087592"/>
    <n v="5.4490891760291973"/>
    <n v="31.786353526836987"/>
    <n v="12.714541410734794"/>
    <n v="4.9949984113600978"/>
    <n v="0"/>
    <n v="7.265452234705597"/>
    <n v="16.347267528087592"/>
    <n v="0"/>
    <n v="0"/>
    <n v="0"/>
    <n v="0"/>
    <n v="38.143624232204381"/>
    <n v="0"/>
  </r>
  <r>
    <x v="69"/>
    <s v="Census Tract 68, King County, Washington"/>
    <n v="0.47944691886339857"/>
    <n v="0.43674808385011882"/>
    <n v="4.2698835013279771E-2"/>
    <n v="0.47944691886339857"/>
    <n v="0.43674808385011882"/>
    <n v="4.2698835013279771E-2"/>
    <n v="0.3989291156954996"/>
    <n v="2.9453482111201149E-2"/>
    <n v="6.2741145325635583E-3"/>
    <n v="2.0913715108545196E-3"/>
    <n v="1.2199667146651364E-2"/>
    <n v="4.8798668586605455E-3"/>
    <n v="1.9170905516166428E-3"/>
    <n v="0"/>
    <n v="2.7884953478060259E-3"/>
    <n v="6.2741145325635583E-3"/>
    <n v="0"/>
    <n v="0"/>
    <n v="0"/>
    <n v="0"/>
    <n v="1.4639600575981637E-2"/>
    <n v="0"/>
  </r>
  <r>
    <x v="76"/>
    <s v="Census Tract 68, King County, Washington"/>
    <n v="0.11840215035565602"/>
    <n v="0.10785742958606834"/>
    <n v="1.0544720769587686E-2"/>
    <n v="0.11840215035565602"/>
    <n v="0.10785742958606834"/>
    <n v="1.0544720769587686E-2"/>
    <n v="9.8517819761576378E-2"/>
    <n v="7.2737053471849753E-3"/>
    <n v="1.5494283579802314E-3"/>
    <n v="5.1647611932674378E-4"/>
    <n v="3.0127773627393389E-3"/>
    <n v="1.2051109450957355E-3"/>
    <n v="4.7343644271618184E-4"/>
    <n v="0"/>
    <n v="6.8863482576899174E-4"/>
    <n v="1.5494283579802314E-3"/>
    <n v="0"/>
    <n v="0"/>
    <n v="0"/>
    <n v="0"/>
    <n v="3.6153328352872068E-3"/>
    <n v="0"/>
  </r>
  <r>
    <x v="75"/>
    <s v="Census Tract 67, King County, Washington"/>
    <n v="3039.0164554699832"/>
    <n v="2620.1540645130476"/>
    <n v="418.86239095693566"/>
    <n v="3039.0164554699832"/>
    <n v="2620.1540645130476"/>
    <n v="418.86239095693566"/>
    <n v="2306.5733015533956"/>
    <n v="260.37391870296"/>
    <n v="44.150360127893215"/>
    <n v="19.245028773697044"/>
    <n v="27.735482644445739"/>
    <n v="6.7923630965989563"/>
    <n v="20.377089289796871"/>
    <n v="0"/>
    <n v="83.206447933337216"/>
    <n v="114.33811212608244"/>
    <n v="4.5282420643993042"/>
    <n v="6.7923630965989563"/>
    <n v="16.414877483447476"/>
    <n v="5.6603025804991303"/>
    <n v="117.168263416332"/>
    <n v="5.6603025804991303"/>
  </r>
  <r>
    <x v="69"/>
    <s v="Census Tract 67, King County, Washington"/>
    <n v="601.84180630220601"/>
    <n v="518.89098926669988"/>
    <n v="82.950817035506134"/>
    <n v="601.84180630220601"/>
    <n v="518.89098926669988"/>
    <n v="82.950817035506134"/>
    <n v="456.78997218876691"/>
    <n v="51.564021400449761"/>
    <n v="8.7434644983371328"/>
    <n v="3.8112537556854171"/>
    <n v="5.4926892361348658"/>
    <n v="1.3451483843595589"/>
    <n v="4.035445153078677"/>
    <n v="0"/>
    <n v="16.478067708404598"/>
    <n v="22.643331136719244"/>
    <n v="0.89676558957303931"/>
    <n v="1.3451483843595589"/>
    <n v="3.2507752622022674"/>
    <n v="1.1209569869662992"/>
    <n v="23.203809630202393"/>
    <n v="1.1209569869662992"/>
  </r>
  <r>
    <x v="77"/>
    <s v="Census Tract 67, King County, Washington"/>
    <n v="1411.4250344558166"/>
    <n v="1216.8907588928989"/>
    <n v="194.53427556291754"/>
    <n v="1411.4250344558166"/>
    <n v="1216.8907588928989"/>
    <n v="194.53427556291754"/>
    <n v="1071.252936376877"/>
    <n v="120.9267118364082"/>
    <n v="20.504964180956172"/>
    <n v="8.9380613096475621"/>
    <n v="12.881323652139134"/>
    <n v="3.1546098739932571"/>
    <n v="9.4638296219797713"/>
    <n v="0"/>
    <n v="38.643970956417405"/>
    <n v="53.102599545553161"/>
    <n v="2.1030732493288382"/>
    <n v="3.1546098739932571"/>
    <n v="7.6236405288170381"/>
    <n v="2.6288415616610479"/>
    <n v="54.417020326383685"/>
    <n v="2.6288415616610479"/>
  </r>
  <r>
    <x v="73"/>
    <s v="Census Tract 67, King County, Washington"/>
    <n v="314.56379775552438"/>
    <n v="271.20801262997247"/>
    <n v="43.355785125551876"/>
    <n v="314.56379775552438"/>
    <n v="271.20801262997247"/>
    <n v="43.355785125551876"/>
    <n v="238.74976268462689"/>
    <n v="26.95089345642414"/>
    <n v="4.5699341078284412"/>
    <n v="1.9920225598226537"/>
    <n v="2.8708560420973539"/>
    <n v="0.70306678581976012"/>
    <n v="2.1092003574592804"/>
    <n v="0"/>
    <n v="8.6125681262920626"/>
    <n v="11.834957561299296"/>
    <n v="0.46871119054650678"/>
    <n v="0.70306678581976012"/>
    <n v="1.6990780657310871"/>
    <n v="0.58588898818313351"/>
    <n v="12.127902055390862"/>
    <n v="0.58588898818313351"/>
  </r>
  <r>
    <x v="78"/>
    <s v="Census Tract 66, King County, Washington"/>
    <n v="641.78531235584205"/>
    <n v="551.45329752443013"/>
    <n v="90.332014831411954"/>
    <n v="641.78531235584205"/>
    <n v="551.45329752443013"/>
    <n v="90.332014831411954"/>
    <n v="492.20811073973846"/>
    <n v="31.762628656431634"/>
    <n v="5.631671747594261"/>
    <n v="7.884340446631966"/>
    <n v="12.840211584514917"/>
    <n v="3.1537361786527862"/>
    <n v="2.7032024388452456"/>
    <n v="0"/>
    <n v="18.697150202012949"/>
    <n v="31.987895526335404"/>
    <n v="1.3516012194226228"/>
    <n v="3.8295367883640976"/>
    <n v="5.631671747594261"/>
    <n v="7.2085398369206546"/>
    <n v="12.389677844707375"/>
    <n v="4.505337398075409"/>
  </r>
  <r>
    <x v="73"/>
    <s v="Census Tract 66, King County, Washington"/>
    <n v="1131.8565323120379"/>
    <n v="972.54643422248807"/>
    <n v="159.31009808954971"/>
    <n v="1131.8565323120379"/>
    <n v="972.54643422248807"/>
    <n v="159.31009808954971"/>
    <n v="868.06125766999037"/>
    <n v="56.016767657422719"/>
    <n v="9.9320510030891338"/>
    <n v="13.904871404324789"/>
    <n v="22.645076287043228"/>
    <n v="5.5619485617299151"/>
    <n v="4.7673844814827842"/>
    <n v="0"/>
    <n v="32.974409330255924"/>
    <n v="56.414049697546282"/>
    <n v="2.3836922407413921"/>
    <n v="6.7537946821006116"/>
    <n v="9.9320510030891338"/>
    <n v="12.713025283954092"/>
    <n v="21.850512206796097"/>
    <n v="7.9456408024713081"/>
  </r>
  <r>
    <x v="79"/>
    <s v="Census Tract 66, King County, Washington"/>
    <n v="0.38405423624179763"/>
    <n v="0.32999816438045648"/>
    <n v="5.4056071861341121E-2"/>
    <n v="0.38405423624179763"/>
    <n v="0.32999816438045648"/>
    <n v="5.4056071861341121E-2"/>
    <n v="0.29454493021703326"/>
    <n v="1.9007247213090019E-2"/>
    <n v="3.3700792931010671E-3"/>
    <n v="4.7181110103414938E-3"/>
    <n v="7.6837807882704336E-3"/>
    <n v="1.8872444041365976E-3"/>
    <n v="1.6176380606885122E-3"/>
    <n v="0"/>
    <n v="1.1188663253095543E-2"/>
    <n v="1.9142050384814063E-2"/>
    <n v="8.0881903034425609E-4"/>
    <n v="2.2916539193087258E-3"/>
    <n v="3.3700792931010671E-3"/>
    <n v="4.3137014951693661E-3"/>
    <n v="7.4141744448223482E-3"/>
    <n v="2.6960634344808539E-3"/>
  </r>
  <r>
    <x v="66"/>
    <s v="Census Tract 66, King County, Washington"/>
    <n v="1062.3130757879912"/>
    <n v="912.79129853597829"/>
    <n v="149.52177725201278"/>
    <n v="1062.3130757879912"/>
    <n v="912.79129853597829"/>
    <n v="149.52177725201278"/>
    <n v="814.72589350535645"/>
    <n v="52.57498900881248"/>
    <n v="9.3218065618461843"/>
    <n v="13.050529186584658"/>
    <n v="21.253718961009298"/>
    <n v="5.2202116746338634"/>
    <n v="4.4744671496861681"/>
    <n v="0"/>
    <n v="30.94839778532933"/>
    <n v="52.947861271286328"/>
    <n v="2.237233574843084"/>
    <n v="6.338828462055405"/>
    <n v="9.3218065618461843"/>
    <n v="11.931912399163116"/>
    <n v="20.507974436061605"/>
    <n v="7.4574452494769474"/>
  </r>
  <r>
    <x v="79"/>
    <s v="Census Tract 65, King County, Washington"/>
    <n v="759.00697852984342"/>
    <n v="648.48655569818015"/>
    <n v="110.52042283166324"/>
    <n v="759.00697852984342"/>
    <n v="648.48655569818015"/>
    <n v="110.52042283166324"/>
    <n v="592.56960153207558"/>
    <n v="63.985507955173453"/>
    <n v="7.3179906458996031"/>
    <n v="6.9427090743150082"/>
    <n v="7.8809130032764951"/>
    <n v="2.6269710010921652"/>
    <n v="3.9404565016382476"/>
    <n v="0"/>
    <n v="15.76182600655299"/>
    <n v="27.770836297260033"/>
    <n v="0.93820392896148752"/>
    <n v="0"/>
    <n v="7.5056314316919002"/>
    <n v="3.7528157158459501"/>
    <n v="12.571932648083934"/>
    <n v="5.4415827879766274"/>
  </r>
  <r>
    <x v="66"/>
    <s v="Census Tract 65, King County, Washington"/>
    <n v="3285.7064057490338"/>
    <n v="2807.2685632308185"/>
    <n v="478.43784251821529"/>
    <n v="3285.7064057490338"/>
    <n v="2807.2685632308185"/>
    <n v="478.43784251821529"/>
    <n v="2565.2066327207535"/>
    <n v="276.99032987896675"/>
    <n v="31.679245939236665"/>
    <n v="30.054669224404016"/>
    <n v="34.116111011485643"/>
    <n v="11.372037003828547"/>
    <n v="17.058055505742821"/>
    <n v="0"/>
    <n v="68.232222022971285"/>
    <n v="120.21867689761606"/>
    <n v="4.0614417870816242"/>
    <n v="0"/>
    <n v="32.491534296652993"/>
    <n v="16.245767148326497"/>
    <n v="54.423319946893763"/>
    <n v="23.556362365073419"/>
  </r>
  <r>
    <x v="71"/>
    <s v="Census Tract 65, King County, Washington"/>
    <n v="0.28662642652444725"/>
    <n v="0.24489021756946594"/>
    <n v="4.173620895498132E-2"/>
    <n v="0.28662642652444725"/>
    <n v="0.24489021756946594"/>
    <n v="4.173620895498132E-2"/>
    <n v="0.22377410505913581"/>
    <n v="2.4163068342357603E-2"/>
    <n v="2.7635180802109871E-3"/>
    <n v="2.6217992043027312E-3"/>
    <n v="2.9760963940733704E-3"/>
    <n v="9.9203213135779021E-4"/>
    <n v="1.4880481970366852E-3"/>
    <n v="0"/>
    <n v="5.9521927881467408E-3"/>
    <n v="1.0487196817210925E-2"/>
    <n v="3.5429718977063936E-4"/>
    <n v="0"/>
    <n v="2.8343775181651149E-3"/>
    <n v="1.4171887590825574E-3"/>
    <n v="4.7475823429265675E-3"/>
    <n v="2.0549237006697082E-3"/>
  </r>
  <r>
    <x v="66"/>
    <s v="Census Tract 64, King County, Washington"/>
    <n v="2.0326634794316254"/>
    <n v="1.8288256234811251"/>
    <n v="0.20383785595050041"/>
    <n v="2.0326634794316254"/>
    <n v="1.8288256234811251"/>
    <n v="0.20383785595050041"/>
    <n v="1.5494217087826199"/>
    <n v="0.11176156587940209"/>
    <n v="3.175044485210287E-2"/>
    <n v="4.4450622792944015E-3"/>
    <n v="0.12573176161432736"/>
    <n v="1.5240213529009377E-2"/>
    <n v="1.1430160146757032E-2"/>
    <n v="0"/>
    <n v="4.1910587204775786E-2"/>
    <n v="6.350088970420574E-2"/>
    <n v="0"/>
    <n v="0"/>
    <n v="5.7150800733785159E-3"/>
    <n v="4.4450622792944015E-3"/>
    <n v="6.2865880807163682E-2"/>
    <n v="4.4450622792944015E-3"/>
  </r>
  <r>
    <x v="71"/>
    <s v="Census Tract 64, King County, Washington"/>
    <n v="3198.9673365205686"/>
    <n v="2878.171174376519"/>
    <n v="320.7961621440495"/>
    <n v="3198.9673365205686"/>
    <n v="2878.171174376519"/>
    <n v="320.7961621440495"/>
    <n v="2438.4505782912174"/>
    <n v="175.88823843412061"/>
    <n v="49.968249555147899"/>
    <n v="6.9955549377207058"/>
    <n v="197.87426823838567"/>
    <n v="23.984759786470992"/>
    <n v="17.988569839853245"/>
    <n v="0"/>
    <n v="65.958089412795232"/>
    <n v="99.936499110295799"/>
    <n v="0"/>
    <n v="0"/>
    <n v="8.9942849199266224"/>
    <n v="6.9955549377207058"/>
    <n v="98.937134119192834"/>
    <n v="6.9955549377207058"/>
  </r>
  <r>
    <x v="72"/>
    <s v="Census Tract 63, King County, Washington"/>
    <n v="963.70161977934924"/>
    <n v="885.15782016489175"/>
    <n v="78.543799614457555"/>
    <n v="963.70161977934924"/>
    <n v="885.15782016489175"/>
    <n v="78.543799614457555"/>
    <n v="837.6080199081"/>
    <n v="66.608222222064484"/>
    <n v="12.513105330734659"/>
    <n v="2.6951303789274648"/>
    <n v="12.898123956295725"/>
    <n v="0"/>
    <n v="2.6951303789274648"/>
    <n v="0"/>
    <n v="4.2352048811717307"/>
    <n v="4.2352048811717307"/>
    <n v="0.96254656390266602"/>
    <n v="0"/>
    <n v="1.732583815024799"/>
    <n v="3.6576769428301308"/>
    <n v="12.513105330734659"/>
    <n v="1.3475651894637324"/>
  </r>
  <r>
    <x v="79"/>
    <s v="Census Tract 63, King County, Washington"/>
    <n v="11.863344984407457"/>
    <n v="10.896456300100976"/>
    <n v="0.96688868430648056"/>
    <n v="11.863344984407457"/>
    <n v="10.896456300100976"/>
    <n v="0.96688868430648056"/>
    <n v="10.311109474062492"/>
    <n v="0.81995952149520168"/>
    <n v="0.15403863843117951"/>
    <n v="3.317755289286943E-2"/>
    <n v="0.15877828884444656"/>
    <n v="0"/>
    <n v="3.317755289286943E-2"/>
    <n v="0"/>
    <n v="5.2136154545937681E-2"/>
    <n v="5.2136154545937681E-2"/>
    <n v="1.1849126033167654E-2"/>
    <n v="0"/>
    <n v="2.132842685970178E-2"/>
    <n v="4.5026678926037088E-2"/>
    <n v="0.15403863843117951"/>
    <n v="1.6588776446434715E-2"/>
  </r>
  <r>
    <x v="80"/>
    <s v="Census Tract 63, King County, Washington"/>
    <n v="3974.5268602313663"/>
    <n v="3650.5941876435922"/>
    <n v="323.93267258777416"/>
    <n v="3974.5268602313663"/>
    <n v="3650.5941876435922"/>
    <n v="323.93267258777416"/>
    <n v="3454.4878883073661"/>
    <n v="274.70760959649476"/>
    <n v="51.606920877954217"/>
    <n v="11.115336804482446"/>
    <n v="53.194826135737422"/>
    <n v="0"/>
    <n v="11.115336804482446"/>
    <n v="0"/>
    <n v="17.466957835615272"/>
    <n v="17.466957835615272"/>
    <n v="3.9697631444580166"/>
    <n v="0"/>
    <n v="7.1455736600244304"/>
    <n v="15.085099948940464"/>
    <n v="51.606920877954217"/>
    <n v="5.557668402241223"/>
  </r>
  <r>
    <x v="71"/>
    <s v="Census Tract 63, King County, Washington"/>
    <n v="1.2464293846867307E-2"/>
    <n v="1.1448426509767455E-2"/>
    <n v="1.0158673370998525E-3"/>
    <n v="1.2464293846867307E-2"/>
    <n v="1.1448426509767455E-2"/>
    <n v="1.0158673370998525E-3"/>
    <n v="1.0833428391474161E-2"/>
    <n v="8.6149533979546313E-4"/>
    <n v="1.6184161007718237E-4"/>
    <n v="3.4858192939700821E-5"/>
    <n v="1.6682135192571106E-4"/>
    <n v="0"/>
    <n v="3.4858192939700821E-5"/>
    <n v="0"/>
    <n v="5.4777160333815575E-5"/>
    <n v="5.4777160333815575E-5"/>
    <n v="1.244935462132172E-5"/>
    <n v="0"/>
    <n v="2.2408838318379097E-5"/>
    <n v="4.7307547561022538E-5"/>
    <n v="1.6184161007718237E-4"/>
    <n v="1.742909646985041E-5"/>
  </r>
  <r>
    <x v="10"/>
    <s v="Census Tract 62, King County, Washington"/>
    <n v="154.55403266508716"/>
    <n v="137.06502370561677"/>
    <n v="17.489008959470389"/>
    <n v="154.55403266508716"/>
    <n v="137.06502370561677"/>
    <n v="17.489008959470389"/>
    <n v="125.10742223100213"/>
    <n v="10.2087005786676"/>
    <n v="1.7895730098062725"/>
    <n v="0.65075382174773544"/>
    <n v="1.5862124405101052"/>
    <n v="0.32537691087386772"/>
    <n v="0.40672113859233466"/>
    <n v="0"/>
    <n v="3.9045229304864124"/>
    <n v="5.1246863462634167"/>
    <n v="0"/>
    <n v="0"/>
    <n v="0"/>
    <n v="0.44739325245156814"/>
    <n v="4.2705719552195136"/>
    <n v="0.73209804946620238"/>
  </r>
  <r>
    <x v="10"/>
    <s v="Census Tract 62, King County, Washington"/>
    <n v="0.71030847238619821"/>
    <n v="0.62993146103723374"/>
    <n v="8.0377011348964536E-2"/>
    <n v="0.71030847238619821"/>
    <n v="0.62993146103723374"/>
    <n v="8.0377011348964536E-2"/>
    <n v="0.57497601606840676"/>
    <n v="4.6917743833930464E-2"/>
    <n v="8.2246244171033482E-3"/>
    <n v="2.9907725153103084E-3"/>
    <n v="7.2900080060688769E-3"/>
    <n v="1.4953862576551542E-3"/>
    <n v="1.8692328220689426E-3"/>
    <n v="0"/>
    <n v="1.7944635091861852E-2"/>
    <n v="2.355233355806868E-2"/>
    <n v="0"/>
    <n v="0"/>
    <n v="0"/>
    <n v="2.0561561042758371E-3"/>
    <n v="1.9626944631723899E-2"/>
    <n v="3.3646190797240968E-3"/>
  </r>
  <r>
    <x v="10"/>
    <s v="Census Tract 62, King County, Washington"/>
    <n v="1.9423928084744027"/>
    <n v="1.7225957275154571"/>
    <n v="0.21979708095894557"/>
    <n v="1.9423928084744027"/>
    <n v="1.7225957275154571"/>
    <n v="0.21979708095894557"/>
    <n v="1.572315862859806"/>
    <n v="0.1283001565597566"/>
    <n v="2.2490864098124664E-2"/>
    <n v="8.1784960356816958E-3"/>
    <n v="1.9935084086974135E-2"/>
    <n v="4.0892480178408479E-3"/>
    <n v="5.1115600223010597E-3"/>
    <n v="0"/>
    <n v="4.9070976214090178E-2"/>
    <n v="6.4405656280993359E-2"/>
    <n v="0"/>
    <n v="0"/>
    <n v="0"/>
    <n v="5.622716024531166E-3"/>
    <n v="5.3671380234161126E-2"/>
    <n v="9.2008080401419085E-3"/>
  </r>
  <r>
    <x v="10"/>
    <s v="Census Tract 62, King County, Washington"/>
    <n v="0.56445225209425354"/>
    <n v="0.50058002356779863"/>
    <n v="6.3872228526455008E-2"/>
    <n v="0.56445225209425354"/>
    <n v="0.50058002356779863"/>
    <n v="6.3872228526455008E-2"/>
    <n v="0.45690924406366423"/>
    <n v="3.7283556651488858E-2"/>
    <n v="6.5357629189860943E-3"/>
    <n v="2.3766410614494888E-3"/>
    <n v="5.7930625872831291E-3"/>
    <n v="1.1883205307247444E-3"/>
    <n v="1.4854006634059305E-3"/>
    <n v="0"/>
    <n v="1.4259846368696934E-2"/>
    <n v="1.8716048358914723E-2"/>
    <n v="0"/>
    <n v="0"/>
    <n v="0"/>
    <n v="1.6339407297465236E-3"/>
    <n v="1.5596706965762271E-2"/>
    <n v="2.6737211941306751E-3"/>
  </r>
  <r>
    <x v="10"/>
    <s v="Census Tract 62, King County, Washington"/>
    <n v="1.3868360434029741"/>
    <n v="1.2299045963863218"/>
    <n v="0.15693144701665232"/>
    <n v="1.3868360434029741"/>
    <n v="1.2299045963863218"/>
    <n v="0.15693144701665232"/>
    <n v="1.1226072814493548"/>
    <n v="9.1604170235301707E-2"/>
    <n v="1.6058101555192331E-2"/>
    <n v="5.839309656433575E-3"/>
    <n v="1.4233317287556838E-2"/>
    <n v="2.9196548282167875E-3"/>
    <n v="3.6495685352709844E-3"/>
    <n v="0"/>
    <n v="3.503585793860145E-2"/>
    <n v="4.5984563544414402E-2"/>
    <n v="0"/>
    <n v="0"/>
    <n v="0"/>
    <n v="4.0145253887980828E-3"/>
    <n v="3.8320469620345333E-2"/>
    <n v="6.5692233634877719E-3"/>
  </r>
  <r>
    <x v="72"/>
    <s v="Census Tract 62, King County, Washington"/>
    <n v="0.18934593612704273"/>
    <n v="0.16791994861793"/>
    <n v="2.1425987509112728E-2"/>
    <n v="0.18934593612704273"/>
    <n v="0.16791994861793"/>
    <n v="2.1425987509112728E-2"/>
    <n v="0.15327055250704827"/>
    <n v="1.2506797359970453E-2"/>
    <n v="2.1924266288394422E-3"/>
    <n v="7.9724604685070619E-4"/>
    <n v="1.9432872391985964E-3"/>
    <n v="3.986230234253531E-4"/>
    <n v="4.9827877928169137E-4"/>
    <n v="0"/>
    <n v="4.7834762811042372E-3"/>
    <n v="6.2783126189493114E-3"/>
    <n v="0"/>
    <n v="0"/>
    <n v="0"/>
    <n v="5.4810665720986056E-4"/>
    <n v="5.2319271824577598E-3"/>
    <n v="8.9690180270704447E-4"/>
  </r>
  <r>
    <x v="79"/>
    <s v="Census Tract 62, King County, Washington"/>
    <n v="2058.616405547933"/>
    <n v="1825.6677070254038"/>
    <n v="232.94869852252927"/>
    <n v="2058.616405547933"/>
    <n v="1825.6677070254038"/>
    <n v="232.94869852252927"/>
    <n v="1666.3958061751164"/>
    <n v="135.97703099803454"/>
    <n v="23.836611011607644"/>
    <n v="8.6678585496755076"/>
    <n v="21.127905214834051"/>
    <n v="4.3339292748377538"/>
    <n v="5.4174115935471923"/>
    <n v="0"/>
    <n v="52.007151298053046"/>
    <n v="68.259386078694618"/>
    <n v="0"/>
    <n v="0"/>
    <n v="0"/>
    <n v="5.959152752901911"/>
    <n v="56.882821732245517"/>
    <n v="9.751340868384947"/>
  </r>
  <r>
    <x v="80"/>
    <s v="Census Tract 62, King County, Washington"/>
    <n v="603.36673797218361"/>
    <n v="535.09102814901553"/>
    <n v="68.275709823168143"/>
    <n v="603.36673797218361"/>
    <n v="535.09102814901553"/>
    <n v="68.275709823168143"/>
    <n v="488.40949631643076"/>
    <n v="39.853960850267917"/>
    <n v="6.9863517028358109"/>
    <n v="2.5404915283039311"/>
    <n v="6.1924481002408323"/>
    <n v="1.2702457641519656"/>
    <n v="1.587807205189957"/>
    <n v="0"/>
    <n v="15.242949169823586"/>
    <n v="20.006370785393457"/>
    <n v="0"/>
    <n v="0"/>
    <n v="0"/>
    <n v="1.7465879257089527"/>
    <n v="16.671975654494549"/>
    <n v="2.8580529693419225"/>
  </r>
  <r>
    <x v="66"/>
    <s v="Census Tract 62, King County, Washington"/>
    <n v="0.21998026755582428"/>
    <n v="0.19508776359555996"/>
    <n v="2.4892503960264326E-2"/>
    <n v="0.21998026755582428"/>
    <n v="0.19508776359555996"/>
    <n v="2.4892503960264326E-2"/>
    <n v="0.17806823763203039"/>
    <n v="1.453027556750313E-2"/>
    <n v="2.5471399401200707E-3"/>
    <n v="9.2623270549820752E-4"/>
    <n v="2.2576922196518808E-3"/>
    <n v="4.6311635274910376E-4"/>
    <n v="5.788954409363797E-4"/>
    <n v="0"/>
    <n v="5.5573962329892451E-3"/>
    <n v="7.2940825557983842E-3"/>
    <n v="0"/>
    <n v="0"/>
    <n v="0"/>
    <n v="6.3678498503001767E-4"/>
    <n v="6.0784021298319873E-3"/>
    <n v="1.0420117936854835E-3"/>
  </r>
  <r>
    <x v="71"/>
    <s v="Census Tract 62, King County, Washington"/>
    <n v="867.19284753311013"/>
    <n v="769.06313057541604"/>
    <n v="98.129716957694043"/>
    <n v="867.19284753311013"/>
    <n v="769.06313057541604"/>
    <n v="98.129716957694043"/>
    <n v="701.96978921364393"/>
    <n v="57.280369666002798"/>
    <n v="10.041180339857064"/>
    <n v="3.651338305402569"/>
    <n v="8.900137119418762"/>
    <n v="1.8256691527012845"/>
    <n v="2.2820864408766055"/>
    <n v="0"/>
    <n v="21.908029832415416"/>
    <n v="28.754289155045232"/>
    <n v="0"/>
    <n v="0"/>
    <n v="0"/>
    <n v="2.510295084964266"/>
    <n v="23.961907629204358"/>
    <n v="4.10775559357789"/>
  </r>
  <r>
    <x v="78"/>
    <s v="Census Tract 61, King County, Washington"/>
    <n v="1765.4721230175353"/>
    <n v="1582.0567596637909"/>
    <n v="183.4153633537444"/>
    <n v="1765.4721230175353"/>
    <n v="1582.0567596637909"/>
    <n v="183.4153633537444"/>
    <n v="1418.094540908171"/>
    <n v="91.310678725890071"/>
    <n v="36.127268539373894"/>
    <n v="6.7490501666962226"/>
    <n v="23.423174107945712"/>
    <n v="0"/>
    <n v="0"/>
    <n v="0"/>
    <n v="40.494301000177337"/>
    <n v="69.078513470890741"/>
    <n v="0"/>
    <n v="0"/>
    <n v="8.3370619706247453"/>
    <n v="7.1460531176783535"/>
    <n v="55.580413137498304"/>
    <n v="9.1310678725890071"/>
  </r>
  <r>
    <x v="81"/>
    <s v="Census Tract 61, King County, Washington"/>
    <n v="1637.2314262971634"/>
    <n v="1467.1390226656613"/>
    <n v="170.09240363150201"/>
    <n v="1637.2314262971634"/>
    <n v="1467.1390226656613"/>
    <n v="170.09240363150201"/>
    <n v="1315.0867224496217"/>
    <n v="84.678036439925236"/>
    <n v="33.503049200144332"/>
    <n v="6.2588113890379526"/>
    <n v="21.721757173719954"/>
    <n v="0"/>
    <n v="0"/>
    <n v="0"/>
    <n v="37.552868334227718"/>
    <n v="64.060775393682576"/>
    <n v="0"/>
    <n v="0"/>
    <n v="7.7314728923410003"/>
    <n v="6.6269767648637146"/>
    <n v="51.543152615606672"/>
    <n v="8.4678036439925251"/>
  </r>
  <r>
    <x v="79"/>
    <s v="Census Tract 61, King County, Washington"/>
    <n v="969.56930072638693"/>
    <n v="868.84049098148228"/>
    <n v="100.72880974490459"/>
    <n v="969.56930072638693"/>
    <n v="868.84049098148228"/>
    <n v="100.72880974490459"/>
    <n v="778.79503984588575"/>
    <n v="50.146377145731726"/>
    <n v="19.840523131572116"/>
    <n v="3.7064713542497363"/>
    <n v="12.86363587651379"/>
    <n v="0"/>
    <n v="0"/>
    <n v="0"/>
    <n v="22.238828125498419"/>
    <n v="37.93682444937965"/>
    <n v="0"/>
    <n v="0"/>
    <n v="4.578582261132027"/>
    <n v="3.9244990809703091"/>
    <n v="30.523881740880181"/>
    <n v="5.0146377145731726"/>
  </r>
  <r>
    <x v="66"/>
    <s v="Census Tract 61, King County, Washington"/>
    <n v="21.122588126729454"/>
    <n v="18.92815688891767"/>
    <n v="2.1944312378117852"/>
    <n v="21.122588126729454"/>
    <n v="18.92815688891767"/>
    <n v="2.1944312378117852"/>
    <n v="16.966468358146528"/>
    <n v="1.0924657677417977"/>
    <n v="0.43223645593262433"/>
    <n v="8.0747469789611143E-2"/>
    <n v="0.28024121868159158"/>
    <n v="0"/>
    <n v="0"/>
    <n v="0"/>
    <n v="0.4844848187376668"/>
    <n v="0.82647410255249043"/>
    <n v="0"/>
    <n v="0"/>
    <n v="9.974687444599023E-2"/>
    <n v="8.5497320953705908E-2"/>
    <n v="0.6649791629732682"/>
    <n v="0.10924657677417977"/>
  </r>
  <r>
    <x v="75"/>
    <s v="Census Tract 60, King County, Washington"/>
    <n v="1833.0297151474911"/>
    <n v="1626.6441472197737"/>
    <n v="206.38556792771752"/>
    <n v="1833.0297151474911"/>
    <n v="1626.6441472197737"/>
    <n v="206.38556792771752"/>
    <n v="1470.6911428834155"/>
    <n v="109.39986871356454"/>
    <n v="20.94891103025704"/>
    <n v="2.3276567811396713"/>
    <n v="21.724796623970263"/>
    <n v="0"/>
    <n v="30.259538154815726"/>
    <n v="2.7155995779962829"/>
    <n v="41.121936466800861"/>
    <n v="58.967305122205005"/>
    <n v="0"/>
    <n v="5.4311991559925659"/>
    <n v="13.965940686838028"/>
    <n v="12.026226702554968"/>
    <n v="27.931881373676056"/>
    <n v="15.517711874264474"/>
  </r>
  <r>
    <x v="74"/>
    <s v="Census Tract 60, King County, Washington"/>
    <n v="5.0260892053322626E-2"/>
    <n v="4.4601887911022597E-2"/>
    <n v="5.659004142300029E-3"/>
    <n v="5.0260892053322626E-2"/>
    <n v="4.4601887911022597E-2"/>
    <n v="5.659004142300029E-3"/>
    <n v="4.0325723126803402E-2"/>
    <n v="2.9996976844522713E-3"/>
    <n v="5.744101948951158E-4"/>
    <n v="6.3823354988346188E-5"/>
    <n v="5.9568464655789779E-4"/>
    <n v="0"/>
    <n v="8.2970361484850056E-4"/>
    <n v="7.4460580819737224E-5"/>
    <n v="1.1275459381274494E-3"/>
    <n v="1.6168583263714369E-3"/>
    <n v="0"/>
    <n v="1.4892116163947445E-4"/>
    <n v="3.8294012993007718E-4"/>
    <n v="3.2975400077312199E-4"/>
    <n v="7.6588025986015437E-4"/>
    <n v="4.2548903325564133E-4"/>
  </r>
  <r>
    <x v="76"/>
    <s v="Census Tract 60, King County, Washington"/>
    <n v="2888.3687953618755"/>
    <n v="2563.1598643285383"/>
    <n v="325.20893103333708"/>
    <n v="2888.3687953618755"/>
    <n v="2563.1598643285383"/>
    <n v="325.20893103333708"/>
    <n v="2317.4192811040994"/>
    <n v="172.38518524699447"/>
    <n v="33.009929089850004"/>
    <n v="3.6677698988722227"/>
    <n v="34.232519056140745"/>
    <n v="0"/>
    <n v="47.681008685338895"/>
    <n v="4.2790648820175932"/>
    <n v="64.797268213409268"/>
    <n v="92.916837438096309"/>
    <n v="0"/>
    <n v="8.5581297640351863"/>
    <n v="22.006619393233336"/>
    <n v="18.950144477506484"/>
    <n v="44.013238786466673"/>
    <n v="24.451799325814818"/>
  </r>
  <r>
    <x v="77"/>
    <s v="Census Tract 60, King County, Washington"/>
    <n v="0.33365600897497133"/>
    <n v="0.29608881389038194"/>
    <n v="3.7567195084589361E-2"/>
    <n v="0.33365600897497133"/>
    <n v="0.29608881389038194"/>
    <n v="3.7567195084589361E-2"/>
    <n v="0.26770157249187643"/>
    <n v="1.9913437995966541E-2"/>
    <n v="3.8132115311425292E-3"/>
    <n v="4.2369017012694769E-4"/>
    <n v="3.9544415878515118E-3"/>
    <n v="0"/>
    <n v="5.5079722116503204E-3"/>
    <n v="4.9430519848143897E-4"/>
    <n v="7.4851930055760754E-3"/>
    <n v="1.0733484309882675E-2"/>
    <n v="0"/>
    <n v="9.8861039696287794E-4"/>
    <n v="2.5421410207616861E-3"/>
    <n v="2.1890658789892299E-3"/>
    <n v="5.0842820415233723E-3"/>
    <n v="2.8246011341796513E-3"/>
  </r>
  <r>
    <x v="76"/>
    <s v="Census Tract 58.01, King County, Washington"/>
    <n v="168.09392872152671"/>
    <n v="136.97638655670085"/>
    <n v="31.117542164825878"/>
    <n v="168.09392872152671"/>
    <n v="136.97638655670085"/>
    <n v="31.117542164825878"/>
    <n v="120.54810032461678"/>
    <n v="17.575306216756591"/>
    <n v="2.4420425480124948"/>
    <n v="1.665029010008519"/>
    <n v="3.3670586646838943"/>
    <n v="0.37000644666855981"/>
    <n v="0.25900451266799185"/>
    <n v="0"/>
    <n v="5.2910921873604053"/>
    <n v="9.1021585880465707"/>
    <n v="0"/>
    <n v="0.5180090253359837"/>
    <n v="1.5540270760079511"/>
    <n v="1.1470199846725353"/>
    <n v="3.515061243351318"/>
    <n v="0.74001289333711961"/>
  </r>
  <r>
    <x v="82"/>
    <s v="Census Tract 58.01, King County, Washington"/>
    <n v="2289.9895579237918"/>
    <n v="1866.0667716121236"/>
    <n v="423.92278631166823"/>
    <n v="2289.9895579237918"/>
    <n v="1866.0667716121236"/>
    <n v="423.92278631166823"/>
    <n v="1642.2597357947861"/>
    <n v="239.4332027325118"/>
    <n v="33.2686134323069"/>
    <n v="22.683145522027434"/>
    <n v="45.870360944544366"/>
    <n v="5.0406990048949849"/>
    <n v="3.5284893034264897"/>
    <n v="0"/>
    <n v="72.081995769998287"/>
    <n v="124.00119552041663"/>
    <n v="0"/>
    <n v="7.0569786068529794"/>
    <n v="21.170935820558938"/>
    <n v="15.626166915174453"/>
    <n v="47.886640546502356"/>
    <n v="10.08139800978997"/>
  </r>
  <r>
    <x v="83"/>
    <s v="Census Tract 58.01, King County, Washington"/>
    <n v="0.69589013002388034"/>
    <n v="0.56706697366242687"/>
    <n v="0.12882315636145353"/>
    <n v="0.69589013002388034"/>
    <n v="0.56706697366242687"/>
    <n v="0.12882315636145353"/>
    <n v="0.49905569967374031"/>
    <n v="7.2759808884293023E-2"/>
    <n v="1.0109783971291241E-2"/>
    <n v="6.8930345258803915E-3"/>
    <n v="1.3939247596780346E-2"/>
    <n v="1.5317854501956424E-3"/>
    <n v="1.0722498151369496E-3"/>
    <n v="0"/>
    <n v="2.1904531937797688E-2"/>
    <n v="3.7681922074812801E-2"/>
    <n v="0"/>
    <n v="2.1444996302738993E-3"/>
    <n v="6.4334988908216987E-3"/>
    <n v="4.7485348956064913E-3"/>
    <n v="1.4551961776858604E-2"/>
    <n v="3.0635709003912848E-3"/>
  </r>
  <r>
    <x v="70"/>
    <s v="Census Tract 58.01, King County, Washington"/>
    <n v="2073.9614366511846"/>
    <n v="1690.0297685412031"/>
    <n v="383.93166810998156"/>
    <n v="2073.9614366511846"/>
    <n v="1690.0297685412031"/>
    <n v="383.93166810998156"/>
    <n v="1487.3357606448515"/>
    <n v="216.84606700623218"/>
    <n v="30.130190362971206"/>
    <n v="20.543311611116732"/>
    <n v="41.543141258036059"/>
    <n v="4.5651803580259402"/>
    <n v="3.1956262506181581"/>
    <n v="0"/>
    <n v="65.282079119770941"/>
    <n v="112.30343680743813"/>
    <n v="0"/>
    <n v="6.3912525012363162"/>
    <n v="19.173757503708948"/>
    <n v="14.152059109880415"/>
    <n v="43.369213401246434"/>
    <n v="9.1303607160518805"/>
  </r>
  <r>
    <x v="82"/>
    <s v="Census Tract 57, King County, Washington"/>
    <n v="5034.6959992826733"/>
    <n v="4448.8557469454408"/>
    <n v="585.84025233723253"/>
    <n v="5034.6959992826733"/>
    <n v="4448.8557469454408"/>
    <n v="585.84025233723253"/>
    <n v="3951.2697650463851"/>
    <n v="273.16797992769096"/>
    <n v="59.67669715343402"/>
    <n v="24.374988978163191"/>
    <n v="88.254270438177073"/>
    <n v="24.374988978163191"/>
    <n v="42.86635992711458"/>
    <n v="9.2456854744756942"/>
    <n v="100.86202335791666"/>
    <n v="216.85335021952082"/>
    <n v="5.8836180292118048"/>
    <n v="32.780157591322912"/>
    <n v="70.603416350541664"/>
    <n v="0"/>
    <n v="129.43959664265972"/>
    <n v="5.0431011678958324"/>
  </r>
  <r>
    <x v="84"/>
    <s v="Census Tract 57, King County, Washington"/>
    <n v="0.48664808383694214"/>
    <n v="0.43002142032536472"/>
    <n v="5.6626663511577406E-2"/>
    <n v="0.48664808383694214"/>
    <n v="0.43002142032536472"/>
    <n v="5.6626663511577406E-2"/>
    <n v="0.38192531587937645"/>
    <n v="2.6404111393490182E-2"/>
    <n v="5.7682827967317019E-3"/>
    <n v="2.3560591704960472E-3"/>
    <n v="8.5305590655891366E-3"/>
    <n v="2.3560591704960472E-3"/>
    <n v="4.1434144032861516E-3"/>
    <n v="8.9367761639505235E-4"/>
    <n v="9.749210360673298E-3"/>
    <n v="2.0960802275447592E-2"/>
    <n v="5.6870393770594246E-4"/>
    <n v="3.1684933672188218E-3"/>
    <n v="6.8244472524713086E-3"/>
    <n v="0"/>
    <n v="1.2511486629530734E-2"/>
    <n v="4.874605180336649E-4"/>
  </r>
  <r>
    <x v="83"/>
    <s v="Census Tract 57, King County, Washington"/>
    <n v="768.5714716790493"/>
    <n v="679.14003332173752"/>
    <n v="89.431438357311748"/>
    <n v="768.5714716790493"/>
    <n v="679.14003332173752"/>
    <n v="89.431438357311748"/>
    <n v="603.18104981021884"/>
    <n v="41.700455475073625"/>
    <n v="9.109945657631469"/>
    <n v="3.7209637193142622"/>
    <n v="13.472454845793019"/>
    <n v="3.7209637193142622"/>
    <n v="6.5437637822423227"/>
    <n v="1.4114000314640305"/>
    <n v="15.397091252334878"/>
    <n v="33.103746192519985"/>
    <n v="0.89816365638620121"/>
    <n v="5.0040546570088349"/>
    <n v="10.777963876634415"/>
    <n v="0"/>
    <n v="19.759600440496428"/>
    <n v="0.7698545626167439"/>
  </r>
  <r>
    <x v="70"/>
    <s v="Census Tract 57, King County, Washington"/>
    <n v="164.36021979445516"/>
    <n v="145.23516583840589"/>
    <n v="19.125053956049292"/>
    <n v="164.36021979445516"/>
    <n v="145.23516583840589"/>
    <n v="19.125053956049292"/>
    <n v="128.99121757157491"/>
    <n v="8.9177080856757804"/>
    <n v="1.9481762279476322"/>
    <n v="0.79573395226030053"/>
    <n v="2.8811056892183293"/>
    <n v="0.79573395226030053"/>
    <n v="1.3993941919060457"/>
    <n v="0.30183011982287261"/>
    <n v="3.2926922162495194"/>
    <n v="7.0792882649364666"/>
    <n v="0.1920737126145553"/>
    <n v="1.0701249702810938"/>
    <n v="2.3048845513746636"/>
    <n v="0"/>
    <n v="4.2256216775202162"/>
    <n v="0.16463461081247596"/>
  </r>
  <r>
    <x v="82"/>
    <s v="Census Tract 56, King County, Washington"/>
    <n v="4.6336902287198143"/>
    <n v="4.2037218626578383"/>
    <n v="0.42996836606197669"/>
    <n v="4.6336902287198143"/>
    <n v="4.2037218626578383"/>
    <n v="0.42996836606197669"/>
    <n v="3.8518619367974316"/>
    <n v="0.30797042136619091"/>
    <n v="4.3889504494215616E-2"/>
    <n v="5.2072293467713441E-3"/>
    <n v="4.1657834774170753E-2"/>
    <n v="4.4633394400897235E-3"/>
    <n v="1.6365577946995655E-2"/>
    <n v="0"/>
    <n v="7.8852330108251781E-2"/>
    <n v="8.7035119081749615E-2"/>
    <n v="5.2072293467713441E-3"/>
    <n v="0"/>
    <n v="7.4388990668162059E-3"/>
    <n v="2.3804477013811859E-2"/>
    <n v="0.15844855012318518"/>
    <n v="1.4877798133632412E-3"/>
  </r>
  <r>
    <x v="84"/>
    <s v="Census Tract 56, King County, Washington"/>
    <n v="5138.5480126799785"/>
    <n v="4661.7329940045847"/>
    <n v="476.81501867539373"/>
    <n v="5138.5480126799785"/>
    <n v="4661.7329940045847"/>
    <n v="476.81501867539373"/>
    <n v="4271.5366205902919"/>
    <n v="341.52494417234084"/>
    <n v="48.671429241951955"/>
    <n v="5.7745763507400625"/>
    <n v="46.1966108059205"/>
    <n v="4.9496368720629107"/>
    <n v="18.148668530897339"/>
    <n v="0"/>
    <n v="87.443584739778089"/>
    <n v="96.517919005226759"/>
    <n v="5.7745763507400625"/>
    <n v="0"/>
    <n v="8.2493947867715178"/>
    <n v="26.398063317668857"/>
    <n v="175.71210895823333"/>
    <n v="1.6498789573543036"/>
  </r>
  <r>
    <x v="83"/>
    <s v="Census Tract 56, King County, Washington"/>
    <n v="935.77778091880953"/>
    <n v="848.9452945853576"/>
    <n v="86.832486333451897"/>
    <n v="935.77778091880953"/>
    <n v="848.9452945853576"/>
    <n v="86.832486333451897"/>
    <n v="777.8868758384325"/>
    <n v="62.194895055448249"/>
    <n v="8.8635236914769244"/>
    <n v="1.0516045057684487"/>
    <n v="8.4128360461475893"/>
    <n v="0.90137529065867028"/>
    <n v="3.3050427324151244"/>
    <n v="0"/>
    <n v="15.924296801636508"/>
    <n v="17.57681816784407"/>
    <n v="1.0516045057684487"/>
    <n v="0"/>
    <n v="1.5022921510977838"/>
    <n v="4.8073348835129082"/>
    <n v="31.998822818382795"/>
    <n v="0.30045843021955676"/>
  </r>
  <r>
    <x v="70"/>
    <s v="Census Tract 56, King County, Washington"/>
    <n v="139.86539254343671"/>
    <n v="126.8870337554922"/>
    <n v="12.97835878794452"/>
    <n v="139.86539254343671"/>
    <n v="126.8870337554922"/>
    <n v="12.97835878794452"/>
    <n v="116.26633530099781"/>
    <n v="9.2959178861747951"/>
    <n v="1.3247805683195963"/>
    <n v="0.15717735556334195"/>
    <n v="1.2574188445067356"/>
    <n v="0.13472344762572167"/>
    <n v="0.49398597462764615"/>
    <n v="0"/>
    <n v="2.3801142413877496"/>
    <n v="2.6271072287015724"/>
    <n v="0.15717735556334195"/>
    <n v="0"/>
    <n v="0.22453907937620279"/>
    <n v="0.71852505400384892"/>
    <n v="4.7826823907131191"/>
    <n v="4.4907815875240557E-2"/>
  </r>
  <r>
    <x v="85"/>
    <s v="Census Tract 54, King County, Washington"/>
    <n v="3054.5378236862603"/>
    <n v="2745.5548653364831"/>
    <n v="308.98295834977733"/>
    <n v="3054.5378236862603"/>
    <n v="2745.5548653364831"/>
    <n v="308.98295834977733"/>
    <n v="2450.976706909772"/>
    <n v="198.78623893831829"/>
    <n v="66.982319642259426"/>
    <n v="8.642879953839925"/>
    <n v="28.809599846133086"/>
    <n v="0"/>
    <n v="8.642879953839925"/>
    <n v="0"/>
    <n v="97.952639476852482"/>
    <n v="88.589519526859235"/>
    <n v="10.803599942299908"/>
    <n v="0"/>
    <n v="8.642879953839925"/>
    <n v="0"/>
    <n v="72.744239611486037"/>
    <n v="12.964319930759888"/>
  </r>
  <r>
    <x v="86"/>
    <s v="Census Tract 54, King County, Washington"/>
    <n v="1175.7308342495965"/>
    <n v="1056.7993256683476"/>
    <n v="118.93150858124898"/>
    <n v="1175.7308342495965"/>
    <n v="1056.7993256683476"/>
    <n v="118.93150858124898"/>
    <n v="943.41240956174886"/>
    <n v="76.515376150174163"/>
    <n v="25.782355007123904"/>
    <n v="3.3267554847901808"/>
    <n v="11.089184949300604"/>
    <n v="0"/>
    <n v="3.3267554847901808"/>
    <n v="0"/>
    <n v="37.703228827622048"/>
    <n v="34.099243719099356"/>
    <n v="4.1584443559877267"/>
    <n v="0"/>
    <n v="3.3267554847901808"/>
    <n v="0"/>
    <n v="28.000191996984025"/>
    <n v="4.9901332271852716"/>
  </r>
  <r>
    <x v="10"/>
    <s v="Census Tract 53.02, King County, Washington"/>
    <n v="0.53546123446887461"/>
    <n v="0.37551283760488041"/>
    <n v="0.15994839686399417"/>
    <n v="0.53546123446887461"/>
    <n v="0.37551283760488041"/>
    <n v="0.15994839686399417"/>
    <n v="0.27034415313090776"/>
    <n v="2.8644353425316602E-2"/>
    <n v="7.1088176383997401E-3"/>
    <n v="1.045414358588197E-3"/>
    <n v="9.6178120990114135E-3"/>
    <n v="3.3453259474822308E-3"/>
    <n v="9.6178120990114135E-3"/>
    <n v="3.3453259474822308E-3"/>
    <n v="4.8089060495057068E-2"/>
    <n v="0.1097685076517607"/>
    <n v="0"/>
    <n v="2.2999115888940338E-3"/>
    <n v="1.1917723687905448E-2"/>
    <n v="0"/>
    <n v="1.8817458454587547E-2"/>
    <n v="1.1499557944470169E-2"/>
  </r>
  <r>
    <x v="10"/>
    <s v="Census Tract 53.02, King County, Washington"/>
    <n v="1.0851349088756495"/>
    <n v="0.76099269673591041"/>
    <n v="0.32414221213973915"/>
    <n v="1.0851349088756495"/>
    <n v="0.76099269673591041"/>
    <n v="0.32414221213973915"/>
    <n v="0.54786389581265715"/>
    <n v="5.804899746816243E-2"/>
    <n v="1.4406320539543962E-2"/>
    <n v="2.1185765499329356E-3"/>
    <n v="1.9490904259383005E-2"/>
    <n v="6.7794449597853934E-3"/>
    <n v="1.9490904259383005E-2"/>
    <n v="6.7794449597853934E-3"/>
    <n v="9.7454521296915037E-2"/>
    <n v="0.22245053774295823"/>
    <n v="0"/>
    <n v="4.6608684098524578E-3"/>
    <n v="2.4151772669235464E-2"/>
    <n v="0"/>
    <n v="3.8134377898792836E-2"/>
    <n v="2.3304342049262291E-2"/>
  </r>
  <r>
    <x v="10"/>
    <s v="Census Tract 53.02, King County, Washington"/>
    <n v="0.16910333278824269"/>
    <n v="0.11859023259964227"/>
    <n v="5.0513100188600411E-2"/>
    <n v="0.16910333278824269"/>
    <n v="0.11859023259964227"/>
    <n v="5.0513100188600411E-2"/>
    <n v="8.537704384818344E-2"/>
    <n v="9.0461368965205954E-3"/>
    <n v="2.2450266750489072E-3"/>
    <n v="3.3015098162483928E-4"/>
    <n v="3.0373890309485212E-3"/>
    <n v="1.0564831411994857E-3"/>
    <n v="3.0373890309485212E-3"/>
    <n v="1.0564831411994857E-3"/>
    <n v="1.5186945154742606E-2"/>
    <n v="3.4665853070608127E-2"/>
    <n v="0"/>
    <n v="7.2633215957464635E-4"/>
    <n v="3.7637211905231678E-3"/>
    <n v="0"/>
    <n v="5.9427176692471067E-3"/>
    <n v="3.631660797873232E-3"/>
  </r>
  <r>
    <x v="10"/>
    <s v="Census Tract 53.02, King County, Washington"/>
    <n v="11.584537646338047"/>
    <n v="8.1241037144955612"/>
    <n v="3.4604339318424859"/>
    <n v="11.584537646338047"/>
    <n v="8.1241037144955612"/>
    <n v="3.4604339318424859"/>
    <n v="5.8488118612710256"/>
    <n v="0.61971169759793543"/>
    <n v="0.15379706363744383"/>
    <n v="2.2617215240800563E-2"/>
    <n v="0.20807838021536518"/>
    <n v="7.2375088770561799E-2"/>
    <n v="0.20807838021536518"/>
    <n v="7.2375088770561799E-2"/>
    <n v="1.0403919010768259"/>
    <n v="2.374807600284059"/>
    <n v="0"/>
    <n v="4.9757873529761236E-2"/>
    <n v="0.25783625374512642"/>
    <n v="0"/>
    <n v="0.40710987433441009"/>
    <n v="0.24878936764880619"/>
  </r>
  <r>
    <x v="10"/>
    <s v="Census Tract 53.02, King County, Washington"/>
    <n v="0.61911956574852944"/>
    <n v="0.43418146820943337"/>
    <n v="0.18493809753909607"/>
    <n v="0.61911956574852944"/>
    <n v="0.43418146820943337"/>
    <n v="0.18493809753909607"/>
    <n v="0.31258164721313886"/>
    <n v="3.3119633154060343E-2"/>
    <n v="8.2194710017376021E-3"/>
    <n v="1.2087457355496475E-3"/>
    <n v="1.1120460767056757E-2"/>
    <n v="3.8679863537588719E-3"/>
    <n v="1.1120460767056757E-2"/>
    <n v="3.8679863537588719E-3"/>
    <n v="5.5602303835283785E-2"/>
    <n v="0.126918302232713"/>
    <n v="0"/>
    <n v="2.6592406182092245E-3"/>
    <n v="1.3779701385265981E-2"/>
    <n v="0"/>
    <n v="2.1757423239893655E-2"/>
    <n v="1.3296203091046122E-2"/>
  </r>
  <r>
    <x v="10"/>
    <s v="Census Tract 53.02, King County, Washington"/>
    <n v="1.1263795203106592"/>
    <n v="0.78991707086214136"/>
    <n v="0.33646244944851789"/>
    <n v="1.1263795203106592"/>
    <n v="0.78991707086214136"/>
    <n v="0.33646244944851789"/>
    <n v="0.56868751259729888"/>
    <n v="6.0255366763982944E-2"/>
    <n v="1.495388664215635E-2"/>
    <n v="2.1991009767876987E-3"/>
    <n v="2.0231728986446828E-2"/>
    <n v="7.0371231257206355E-3"/>
    <n v="2.0231728986446828E-2"/>
    <n v="7.0371231257206355E-3"/>
    <n v="0.10115864493223413"/>
    <n v="0.23090560256270834"/>
    <n v="0"/>
    <n v="4.8380221489329371E-3"/>
    <n v="2.5069751135379764E-2"/>
    <n v="0"/>
    <n v="3.9583817582178576E-2"/>
    <n v="2.4190110744664685E-2"/>
  </r>
  <r>
    <x v="10"/>
    <s v="Census Tract 53.02, King County, Washington"/>
    <n v="1.6805699140923649"/>
    <n v="1.1785644536157311"/>
    <n v="0.50200546047663375"/>
    <n v="1.6805699140923649"/>
    <n v="1.1785644536157311"/>
    <n v="0.50200546047663375"/>
    <n v="0.84848766064874181"/>
    <n v="8.9901631484050754E-2"/>
    <n v="2.23113537989615E-2"/>
    <n v="3.2810814410237504E-3"/>
    <n v="3.0185949257418503E-2"/>
    <n v="1.0499460611276001E-2"/>
    <n v="3.0185949257418503E-2"/>
    <n v="1.0499460611276001E-2"/>
    <n v="0.15092974628709252"/>
    <n v="0.34451355130749378"/>
    <n v="0"/>
    <n v="7.2183791702522503E-3"/>
    <n v="3.7404328427670754E-2"/>
    <n v="0"/>
    <n v="5.9059465938427501E-2"/>
    <n v="3.6091895851261255E-2"/>
  </r>
  <r>
    <x v="10"/>
    <s v="Census Tract 53.02, King County, Washington"/>
    <n v="0.26479560145013836"/>
    <n v="0.18569812581196737"/>
    <n v="7.9097475638170961E-2"/>
    <n v="0.26479560145013836"/>
    <n v="0.18569812581196737"/>
    <n v="7.9097475638170961E-2"/>
    <n v="0.13369024313745759"/>
    <n v="1.4165168839777021E-2"/>
    <n v="3.515443361696487E-3"/>
    <n v="5.1697696495536577E-4"/>
    <n v="4.7561880775893652E-3"/>
    <n v="1.6543262878571704E-3"/>
    <n v="4.7561880775893652E-3"/>
    <n v="1.6543262878571704E-3"/>
    <n v="2.3780940387946824E-2"/>
    <n v="5.4282581320313404E-2"/>
    <n v="0"/>
    <n v="1.1373493229018046E-3"/>
    <n v="5.8935374004911696E-3"/>
    <n v="0"/>
    <n v="9.3055853691965829E-3"/>
    <n v="5.686746614509023E-3"/>
  </r>
  <r>
    <x v="10"/>
    <s v="Census Tract 53.02, King County, Washington"/>
    <n v="6.1800901923555147E-2"/>
    <n v="4.334026546454707E-2"/>
    <n v="1.8460636459008077E-2"/>
    <n v="6.1800901923555147E-2"/>
    <n v="4.334026546454707E-2"/>
    <n v="1.8460636459008077E-2"/>
    <n v="3.1202095348362671E-2"/>
    <n v="3.3060224769726884E-3"/>
    <n v="8.2047273151147015E-4"/>
    <n v="1.2065775463403973E-4"/>
    <n v="1.1100513426331655E-3"/>
    <n v="3.8610481482892711E-4"/>
    <n v="1.1100513426331655E-3"/>
    <n v="3.8610481482892711E-4"/>
    <n v="5.5502567131658275E-3"/>
    <n v="1.2669064236574171E-2"/>
    <n v="0"/>
    <n v="2.6544706019488741E-4"/>
    <n v="1.3754984028280528E-3"/>
    <n v="0"/>
    <n v="2.1718395834127149E-3"/>
    <n v="1.327235300974437E-3"/>
  </r>
  <r>
    <x v="10"/>
    <s v="Census Tract 53.02, King County, Washington"/>
    <n v="7.6328511341648725E-2"/>
    <n v="5.3528311741351461E-2"/>
    <n v="2.2800199600297257E-2"/>
    <n v="7.6328511341648725E-2"/>
    <n v="5.3528311741351461E-2"/>
    <n v="2.2800199600297257E-2"/>
    <n v="3.8536807951874967E-2"/>
    <n v="4.0831730003146717E-3"/>
    <n v="1.0133422044576559E-3"/>
    <n v="1.4902091242024351E-4"/>
    <n v="1.3709923942662402E-3"/>
    <n v="4.768669197447792E-4"/>
    <n v="1.3709923942662402E-3"/>
    <n v="4.768669197447792E-4"/>
    <n v="6.8549619713312009E-3"/>
    <n v="1.5647195804125567E-2"/>
    <n v="0"/>
    <n v="3.2784600732453569E-4"/>
    <n v="1.6988384015907759E-3"/>
    <n v="0"/>
    <n v="2.682376423564383E-3"/>
    <n v="1.6392300366226784E-3"/>
  </r>
  <r>
    <x v="6"/>
    <s v="Census Tract 53.02, King County, Washington"/>
    <n v="0.22565176496249736"/>
    <n v="0.15824700112168891"/>
    <n v="6.7404763840808471E-2"/>
    <n v="0.22565176496249736"/>
    <n v="0.15824700112168891"/>
    <n v="6.7404763840808471E-2"/>
    <n v="0.11392726751132724"/>
    <n v="1.2071179929661124E-2"/>
    <n v="2.9957672818137094E-3"/>
    <n v="4.4055401203142789E-4"/>
    <n v="4.0530969106891369E-3"/>
    <n v="1.4097728385005692E-3"/>
    <n v="4.0530969106891369E-3"/>
    <n v="1.4097728385005692E-3"/>
    <n v="2.0265484553445682E-2"/>
    <n v="4.6258171263299924E-2"/>
    <n v="0"/>
    <n v="9.6921882646914138E-4"/>
    <n v="5.0223157371582774E-3"/>
    <n v="0"/>
    <n v="7.9299722165657015E-3"/>
    <n v="4.8460941323457069E-3"/>
  </r>
  <r>
    <x v="87"/>
    <s v="Census Tract 53.02, King County, Washington"/>
    <n v="5.3795022155299472"/>
    <n v="3.7725833577086236"/>
    <n v="1.6069188578213234"/>
    <n v="5.3795022155299472"/>
    <n v="3.7725833577086236"/>
    <n v="1.6069188578213234"/>
    <n v="2.716007951847021"/>
    <n v="0.28777501113924353"/>
    <n v="7.1418615903169932E-2"/>
    <n v="1.0502737632819108E-2"/>
    <n v="9.6625186221935791E-2"/>
    <n v="3.3608760425021145E-2"/>
    <n v="9.6625186221935791E-2"/>
    <n v="3.3608760425021145E-2"/>
    <n v="0.48312593110967894"/>
    <n v="1.1027874514460063"/>
    <n v="0"/>
    <n v="2.3106022792202037E-2"/>
    <n v="0.11973120901413783"/>
    <n v="0"/>
    <n v="0.18904927739074395"/>
    <n v="0.11553011396101018"/>
  </r>
  <r>
    <x v="88"/>
    <s v="Census Tract 53.02, King County, Washington"/>
    <n v="2467.5942710102413"/>
    <n v="1730.4956308998021"/>
    <n v="737.09864011043908"/>
    <n v="2467.5942710102413"/>
    <n v="1730.4956308998021"/>
    <n v="737.09864011043908"/>
    <n v="1245.8412309317619"/>
    <n v="132.00328587598713"/>
    <n v="32.759939560463962"/>
    <n v="4.8176381706564646"/>
    <n v="44.322271170039478"/>
    <n v="15.416442146100687"/>
    <n v="44.322271170039478"/>
    <n v="15.416442146100687"/>
    <n v="221.61135585019738"/>
    <n v="505.85200791892879"/>
    <n v="0"/>
    <n v="10.598803975444222"/>
    <n v="54.921075145483698"/>
    <n v="0"/>
    <n v="86.717487071816365"/>
    <n v="52.994019877221113"/>
  </r>
  <r>
    <x v="88"/>
    <s v="Census Tract 53.01, King County, Washington"/>
    <n v="8509"/>
    <n v="6920"/>
    <n v="1589"/>
    <n v="8509"/>
    <n v="6920"/>
    <n v="1589"/>
    <n v="5573"/>
    <n v="357"/>
    <n v="89"/>
    <n v="75"/>
    <n v="140"/>
    <n v="0"/>
    <n v="35"/>
    <n v="0"/>
    <n v="664"/>
    <n v="1008"/>
    <n v="11"/>
    <n v="11"/>
    <n v="83"/>
    <n v="55"/>
    <n v="325"/>
    <n v="83"/>
  </r>
  <r>
    <x v="85"/>
    <s v="Census Tract 52, King County, Washington"/>
    <n v="3066.1521367399841"/>
    <n v="2539.5473293127611"/>
    <n v="526.60480742722314"/>
    <n v="3066.1521367399841"/>
    <n v="2539.5473293127611"/>
    <n v="526.60480742722314"/>
    <n v="2025.1351359494536"/>
    <n v="227.59546252642943"/>
    <n v="31.933036834065351"/>
    <n v="15.676218082177536"/>
    <n v="55.737664292186793"/>
    <n v="8.1284093759439084"/>
    <n v="51.092858934504562"/>
    <n v="0"/>
    <n v="177.08320426163513"/>
    <n v="207.27443908656966"/>
    <n v="26.707630806672839"/>
    <n v="16.837419421598096"/>
    <n v="44.125650897981217"/>
    <n v="13.934416073046698"/>
    <n v="127.73214733626141"/>
    <n v="37.158442861457864"/>
  </r>
  <r>
    <x v="88"/>
    <s v="Census Tract 52, King County, Washington"/>
    <n v="2209.8245352839845"/>
    <n v="1830.2920881144005"/>
    <n v="379.5324471695842"/>
    <n v="2209.8245352839845"/>
    <n v="1830.2920881144005"/>
    <n v="379.5324471695842"/>
    <n v="1459.5470515187537"/>
    <n v="164.03166404683242"/>
    <n v="23.014646741264752"/>
    <n v="11.298099309348151"/>
    <n v="40.171019766571206"/>
    <n v="5.8582737159583003"/>
    <n v="36.823434786023604"/>
    <n v="0"/>
    <n v="127.62667738337726"/>
    <n v="149.38597975693668"/>
    <n v="19.248613638148701"/>
    <n v="12.134995554485052"/>
    <n v="31.802057315202202"/>
    <n v="10.042754941642801"/>
    <n v="92.058586965059007"/>
    <n v="26.780679844380803"/>
  </r>
  <r>
    <x v="85"/>
    <s v="Census Tract 51, King County, Washington"/>
    <n v="3420"/>
    <n v="2952"/>
    <n v="468"/>
    <n v="3420"/>
    <n v="2952"/>
    <n v="468"/>
    <n v="2639"/>
    <n v="296"/>
    <n v="39"/>
    <n v="37"/>
    <n v="44"/>
    <n v="0"/>
    <n v="9"/>
    <n v="0"/>
    <n v="61"/>
    <n v="116"/>
    <n v="0"/>
    <n v="0"/>
    <n v="12"/>
    <n v="6"/>
    <n v="148"/>
    <n v="13"/>
  </r>
  <r>
    <x v="0"/>
    <s v="Census Tract 50, King County, Washington"/>
    <n v="2.2772427447808878"/>
    <n v="2.0321520434668319"/>
    <n v="0.24509070131405619"/>
    <n v="2.2772427447808878"/>
    <n v="2.0321520434668319"/>
    <n v="0.24509070131405619"/>
    <n v="1.7821595281264944"/>
    <n v="0.14915519822826848"/>
    <n v="2.7310106717851976E-2"/>
    <n v="1.7506478665289728E-2"/>
    <n v="6.5824359781489372E-2"/>
    <n v="5.6020731728927131E-3"/>
    <n v="0"/>
    <n v="0"/>
    <n v="3.8514253063637399E-2"/>
    <n v="5.6020731728927131E-2"/>
    <n v="1.3304923785620194E-2"/>
    <n v="4.901814026281124E-3"/>
    <n v="4.2015548796695348E-2"/>
    <n v="7.0025914661158914E-3"/>
    <n v="6.3023323195043029E-2"/>
    <n v="4.901814026281124E-3"/>
  </r>
  <r>
    <x v="85"/>
    <s v="Census Tract 50, King County, Washington"/>
    <n v="2401.0339736581204"/>
    <n v="2142.6201081045097"/>
    <n v="258.41386555361078"/>
    <n v="2401.0339736581204"/>
    <n v="2142.6201081045097"/>
    <n v="258.41386555361078"/>
    <n v="1879.0379652398267"/>
    <n v="157.26329532262596"/>
    <n v="28.794687875973771"/>
    <n v="18.458133253829338"/>
    <n v="69.402581034398324"/>
    <n v="5.9066026412253887"/>
    <n v="0"/>
    <n v="0"/>
    <n v="40.607893158424545"/>
    <n v="59.06602641225389"/>
    <n v="14.028181272910299"/>
    <n v="5.1682773110722149"/>
    <n v="44.299519809190414"/>
    <n v="7.3832533015317363"/>
    <n v="66.449279713785629"/>
    <n v="5.1682773110722149"/>
  </r>
  <r>
    <x v="86"/>
    <s v="Census Tract 50, King County, Washington"/>
    <n v="848.68878359709913"/>
    <n v="757.34773985202389"/>
    <n v="91.34104374507524"/>
    <n v="848.68878359709913"/>
    <n v="757.34773985202389"/>
    <n v="91.34104374507524"/>
    <n v="664.17987523204715"/>
    <n v="55.587549479145792"/>
    <n v="10.178002017308385"/>
    <n v="6.5243602675053749"/>
    <n v="24.53159460582021"/>
    <n v="2.0877952856017199"/>
    <n v="0"/>
    <n v="0"/>
    <n v="14.353592588511825"/>
    <n v="20.877952856017199"/>
    <n v="4.9585138033040845"/>
    <n v="1.8268208749015049"/>
    <n v="15.658464642012898"/>
    <n v="2.6097441070021499"/>
    <n v="23.487696963019349"/>
    <n v="1.8268208749015049"/>
  </r>
  <r>
    <x v="0"/>
    <s v="Census Tract 49, King County, Washington"/>
    <n v="4.4793611316679138"/>
    <n v="4.0991221505362843"/>
    <n v="0.38023898113162924"/>
    <n v="4.4793611316679138"/>
    <n v="4.0991221505362843"/>
    <n v="0.38023898113162924"/>
    <n v="3.6070004841249861"/>
    <n v="0.23430504381032166"/>
    <n v="5.8373574928523041E-2"/>
    <n v="2.1079346501966655E-2"/>
    <n v="0.10458598841360378"/>
    <n v="0"/>
    <n v="3.6483484330326901E-2"/>
    <n v="4.8644645773769203E-3"/>
    <n v="4.1347948907703824E-2"/>
    <n v="7.2966968660653803E-2"/>
    <n v="6.4859527698358935E-3"/>
    <n v="0"/>
    <n v="6.5670271794588425E-2"/>
    <n v="5.6752086736064069E-3"/>
    <n v="0.17917444526671655"/>
    <n v="4.1347948907703824E-2"/>
  </r>
  <r>
    <x v="85"/>
    <s v="Census Tract 49, King County, Washington"/>
    <n v="9.8203672953038375"/>
    <n v="8.9867469764807613"/>
    <n v="0.83362031882307697"/>
    <n v="9.8203672953038375"/>
    <n v="8.9867469764807613"/>
    <n v="0.83362031882307697"/>
    <n v="7.9078396555306378"/>
    <n v="0.51368075083127773"/>
    <n v="0.12797582719671971"/>
    <n v="4.6213493154371003E-2"/>
    <n v="0.22929002372745613"/>
    <n v="0"/>
    <n v="7.9984891997949809E-2"/>
    <n v="1.0664652266393309E-2"/>
    <n v="9.0649544264343115E-2"/>
    <n v="0.15996978399589962"/>
    <n v="1.4219536355191078E-2"/>
    <n v="0"/>
    <n v="0.14397280559630965"/>
    <n v="1.2442094310792193E-2"/>
    <n v="0.3928146918121535"/>
    <n v="9.0649544264343115E-2"/>
  </r>
  <r>
    <x v="86"/>
    <s v="Census Tract 49, King County, Washington"/>
    <n v="5501.279278644387"/>
    <n v="5034.2928566200944"/>
    <n v="466.98642202429278"/>
    <n v="5501.279278644387"/>
    <n v="5034.2928566200944"/>
    <n v="466.98642202429278"/>
    <n v="4429.8989159617877"/>
    <n v="287.75922380601412"/>
    <n v="71.690879287311475"/>
    <n v="25.888373075973586"/>
    <n v="128.44615872309973"/>
    <n v="0"/>
    <n v="44.806799554569672"/>
    <n v="5.974239940609289"/>
    <n v="50.781039495178959"/>
    <n v="89.613599109139344"/>
    <n v="7.9656532541457192"/>
    <n v="0"/>
    <n v="80.652239198225402"/>
    <n v="6.9699465973775041"/>
    <n v="220.0511711457755"/>
    <n v="50.781039495178959"/>
  </r>
  <r>
    <x v="89"/>
    <s v="Census Tract 48, King County, Washington"/>
    <n v="1093.3714740425135"/>
    <n v="993.26162347122204"/>
    <n v="100.1098505712914"/>
    <n v="1093.3714740425135"/>
    <n v="993.26162347122204"/>
    <n v="100.1098505712914"/>
    <n v="895.67979942950865"/>
    <n v="43.734858961700539"/>
    <n v="24.521857336907239"/>
    <n v="14.156948565637169"/>
    <n v="15.168159177468395"/>
    <n v="3.5392371414092922"/>
    <n v="12.387329994932522"/>
    <n v="0"/>
    <n v="6.0672636709873577"/>
    <n v="28.313897131274338"/>
    <n v="0"/>
    <n v="0"/>
    <n v="0"/>
    <n v="5.5616583650717448"/>
    <n v="39.437213861417824"/>
    <n v="4.803250406198325"/>
  </r>
  <r>
    <x v="0"/>
    <s v="Census Tract 48, King County, Washington"/>
    <n v="512.89557579364384"/>
    <n v="465.93450110826052"/>
    <n v="46.961074685383345"/>
    <n v="512.89557579364384"/>
    <n v="465.93450110826052"/>
    <n v="46.961074685383345"/>
    <n v="420.15931214725555"/>
    <n v="20.515823031745754"/>
    <n v="11.503091526470163"/>
    <n v="6.6409600565188569"/>
    <n v="7.1153143462702033"/>
    <n v="1.6602400141297142"/>
    <n v="5.8108400494539998"/>
    <n v="0"/>
    <n v="2.8461257385080816"/>
    <n v="13.281920113037714"/>
    <n v="0"/>
    <n v="0"/>
    <n v="0"/>
    <n v="2.6089485936324079"/>
    <n v="18.499817300302528"/>
    <n v="2.2531828763188977"/>
  </r>
  <r>
    <x v="86"/>
    <s v="Census Tract 48, King County, Washington"/>
    <n v="2715.3355757418562"/>
    <n v="2466.7175669571684"/>
    <n v="248.61800878468787"/>
    <n v="2715.3355757418562"/>
    <n v="2466.7175669571684"/>
    <n v="248.61800878468787"/>
    <n v="2224.3777907175481"/>
    <n v="108.61342302967425"/>
    <n v="60.898855687158395"/>
    <n v="35.158102252380104"/>
    <n v="37.66939527040725"/>
    <n v="8.789525563095026"/>
    <n v="30.763339470832591"/>
    <n v="0"/>
    <n v="15.067758108162902"/>
    <n v="70.316204504760208"/>
    <n v="0"/>
    <n v="0"/>
    <n v="0"/>
    <n v="13.812111599149326"/>
    <n v="97.940427703058859"/>
    <n v="11.928641835628964"/>
  </r>
  <r>
    <x v="90"/>
    <s v="Census Tract 47, King County, Washington"/>
    <n v="2201.8191364289673"/>
    <n v="1913.8269263549589"/>
    <n v="287.99221007400854"/>
    <n v="2201.8191364289673"/>
    <n v="1913.8269263549589"/>
    <n v="287.99221007400854"/>
    <n v="1683.612313636389"/>
    <n v="112.41997624972963"/>
    <n v="29.112742853515641"/>
    <n v="10.30143208662861"/>
    <n v="34.487403072626222"/>
    <n v="24.633859337590156"/>
    <n v="14.780315602554094"/>
    <n v="0"/>
    <n v="23.73808263440506"/>
    <n v="59.121262410216374"/>
    <n v="0"/>
    <n v="0"/>
    <n v="43.445170104477185"/>
    <n v="57.777597355438729"/>
    <n v="84.650898450991633"/>
    <n v="23.73808263440506"/>
  </r>
  <r>
    <x v="89"/>
    <s v="Census Tract 47, King County, Washington"/>
    <n v="2704.4791055551523"/>
    <n v="2350.7402803167547"/>
    <n v="353.73882523839768"/>
    <n v="2704.4791055551523"/>
    <n v="2350.7402803167547"/>
    <n v="353.73882523839768"/>
    <n v="2067.9692753827944"/>
    <n v="138.08467361561091"/>
    <n v="35.758979223166172"/>
    <n v="12.653177263581878"/>
    <n v="42.360636925904544"/>
    <n v="30.257597804217532"/>
    <n v="18.154558682530517"/>
    <n v="0"/>
    <n v="29.157321520427804"/>
    <n v="72.618234730122069"/>
    <n v="0"/>
    <n v="0"/>
    <n v="53.36339976380183"/>
    <n v="70.967820304437481"/>
    <n v="103.97610881812933"/>
    <n v="29.157321520427804"/>
  </r>
  <r>
    <x v="86"/>
    <s v="Census Tract 47, King County, Washington"/>
    <n v="1.1246402639423728E-2"/>
    <n v="9.7754024569279077E-3"/>
    <n v="1.4710001824958213E-3"/>
    <n v="1.1246402639423728E-2"/>
    <n v="9.7754024569279077E-3"/>
    <n v="1.4710001824958213E-3"/>
    <n v="8.599517396581326E-3"/>
    <n v="5.742162454221635E-4"/>
    <n v="1.4870141813721365E-4"/>
    <n v="5.2617424879321756E-5"/>
    <n v="1.7615398763946849E-4"/>
    <n v="1.2582427688533464E-4"/>
    <n v="7.5494566131200776E-5"/>
    <n v="0"/>
    <n v="1.2124884863495883E-4"/>
    <n v="3.019782645248031E-4"/>
    <n v="0"/>
    <n v="0"/>
    <n v="2.2190827014322654E-4"/>
    <n v="2.9511512214923944E-4"/>
    <n v="4.3237796966051357E-4"/>
    <n v="1.2124884863495883E-4"/>
  </r>
  <r>
    <x v="0"/>
    <s v="Census Tract 46, King County, Washington"/>
    <n v="828.00862348118835"/>
    <n v="740.29584557004557"/>
    <n v="87.712777911142837"/>
    <n v="828.00862348118835"/>
    <n v="740.29584557004557"/>
    <n v="87.712777911142837"/>
    <n v="683.88978223641834"/>
    <n v="60.724230861560429"/>
    <n v="12.684617113303734"/>
    <n v="6.7471367623956029"/>
    <n v="5.397709409916482"/>
    <n v="0"/>
    <n v="0"/>
    <n v="1.6193128229749447"/>
    <n v="11.605075231320438"/>
    <n v="11.06530429032879"/>
    <n v="3.5085111164457135"/>
    <n v="1.6193128229749447"/>
    <n v="1.3494273524791205"/>
    <n v="2.159083763966593"/>
    <n v="21.860723110161754"/>
    <n v="3.7783965869415379"/>
  </r>
  <r>
    <x v="85"/>
    <s v="Census Tract 46, King County, Washington"/>
    <n v="1255.5366016948174"/>
    <n v="1122.5348430407055"/>
    <n v="133.00175865411202"/>
    <n v="1255.5366016948174"/>
    <n v="1122.5348430407055"/>
    <n v="133.00175865411202"/>
    <n v="1037.0044813215995"/>
    <n v="92.078140606692926"/>
    <n v="19.234100482286969"/>
    <n v="10.230904511854771"/>
    <n v="8.1847236094838163"/>
    <n v="0"/>
    <n v="0"/>
    <n v="2.4554170828451447"/>
    <n v="17.597155760390205"/>
    <n v="16.778683399441825"/>
    <n v="5.3200703461644805"/>
    <n v="2.4554170828451447"/>
    <n v="2.0461809023709541"/>
    <n v="3.2738894437935264"/>
    <n v="33.148130618409454"/>
    <n v="5.7293065266386716"/>
  </r>
  <r>
    <x v="1"/>
    <s v="Census Tract 46, King County, Washington"/>
    <n v="984.45478067095803"/>
    <n v="880.16931661683111"/>
    <n v="104.2854640541269"/>
    <n v="984.45478067095803"/>
    <n v="880.16931661683111"/>
    <n v="104.2854640541269"/>
    <n v="813.10574127125415"/>
    <n v="72.197628960549395"/>
    <n v="15.08128249398143"/>
    <n v="8.0219587733943776"/>
    <n v="6.4175670187155021"/>
    <n v="0"/>
    <n v="0"/>
    <n v="1.9252701056146506"/>
    <n v="13.797769090238329"/>
    <n v="13.156012388366779"/>
    <n v="4.1714185621650763"/>
    <n v="1.9252701056146506"/>
    <n v="1.6043917546788755"/>
    <n v="2.5670268074862008"/>
    <n v="25.991146425797783"/>
    <n v="4.4922969131008514"/>
  </r>
  <r>
    <x v="85"/>
    <s v="Census Tract 45, King County, Washington"/>
    <n v="1393.9147370468593"/>
    <n v="1196.8014247164676"/>
    <n v="197.11331233039166"/>
    <n v="1393.9147370468593"/>
    <n v="1196.8014247164676"/>
    <n v="197.11331233039166"/>
    <n v="1018.5168466982327"/>
    <n v="103.55803871686248"/>
    <n v="33.538682993529328"/>
    <n v="6.4723774198039052"/>
    <n v="10.591163050588209"/>
    <n v="14.121550734117612"/>
    <n v="0"/>
    <n v="0"/>
    <n v="40.59945836058813"/>
    <n v="66.488968039803751"/>
    <n v="12.35635689235291"/>
    <n v="0"/>
    <n v="0"/>
    <n v="0"/>
    <n v="81.198916721176261"/>
    <n v="6.4723774198039052"/>
  </r>
  <r>
    <x v="1"/>
    <s v="Census Tract 45, King County, Washington"/>
    <n v="1.3776568999669405"/>
    <n v="1.1828426063878248"/>
    <n v="0.19481429357911567"/>
    <n v="1.3776568999669405"/>
    <n v="1.1828426063878248"/>
    <n v="0.19481429357911567"/>
    <n v="1.0066374393595501"/>
    <n v="0.10235019602962496"/>
    <n v="3.3147506668685357E-2"/>
    <n v="6.39688725185156E-3"/>
    <n v="1.0467633684848007E-2"/>
    <n v="1.3956844913130675E-2"/>
    <n v="0"/>
    <n v="0"/>
    <n v="4.0125929125250689E-2"/>
    <n v="6.5713478132656933E-2"/>
    <n v="1.2212239298989342E-2"/>
    <n v="0"/>
    <n v="0"/>
    <n v="0"/>
    <n v="8.0251858250501379E-2"/>
    <n v="6.39688725185156E-3"/>
  </r>
  <r>
    <x v="3"/>
    <s v="Census Tract 45, King County, Washington"/>
    <n v="2.7255935326311745E-3"/>
    <n v="2.3401676848340265E-3"/>
    <n v="3.8542584779714792E-4"/>
    <n v="2.7255935326311745E-3"/>
    <n v="2.3401676848340265E-3"/>
    <n v="3.8542584779714792E-4"/>
    <n v="1.9915586344383973E-3"/>
    <n v="2.0249238570835235E-4"/>
    <n v="6.5579920371455023E-5"/>
    <n v="1.2655774106772022E-5"/>
    <n v="2.0709448538354219E-5"/>
    <n v="2.7612598051138959E-5"/>
    <n v="0"/>
    <n v="0"/>
    <n v="7.9386219397024503E-5"/>
    <n v="1.300093158241126E-4"/>
    <n v="2.4161023294746589E-5"/>
    <n v="0"/>
    <n v="0"/>
    <n v="0"/>
    <n v="1.5877243879404901E-4"/>
    <n v="1.2655774106772022E-5"/>
  </r>
  <r>
    <x v="88"/>
    <s v="Census Tract 45, King County, Washington"/>
    <n v="973.70484515402552"/>
    <n v="836.01336219640689"/>
    <n v="137.69148295761863"/>
    <n v="973.70484515402552"/>
    <n v="836.01336219640689"/>
    <n v="137.69148295761863"/>
    <n v="711.47449850638168"/>
    <n v="72.339405971763824"/>
    <n v="23.428103070400784"/>
    <n v="4.521212873235239"/>
    <n v="7.3983483380213002"/>
    <n v="9.8644644506950669"/>
    <n v="0"/>
    <n v="0"/>
    <n v="28.360335295748317"/>
    <n v="46.44518678868927"/>
    <n v="8.6314063943581836"/>
    <n v="0"/>
    <n v="0"/>
    <n v="0"/>
    <n v="56.720670591496635"/>
    <n v="4.521212873235239"/>
  </r>
  <r>
    <x v="6"/>
    <s v="Census Tract 44, King County, Washington"/>
    <n v="1196.3227665085492"/>
    <n v="978.52532905185342"/>
    <n v="217.7974374566958"/>
    <n v="1196.3227665085492"/>
    <n v="978.52532905185342"/>
    <n v="217.7974374566958"/>
    <n v="843.26165736822122"/>
    <n v="80.657998369130411"/>
    <n v="13.755627628843946"/>
    <n v="10.629348622288504"/>
    <n v="10.629348622288504"/>
    <n v="0"/>
    <n v="3.1262790065554422"/>
    <n v="0"/>
    <n v="44.393161893087282"/>
    <n v="105.66823042157395"/>
    <n v="0"/>
    <n v="0"/>
    <n v="12.505116026221769"/>
    <n v="6.4609766135479134"/>
    <n v="50.854138506635195"/>
    <n v="14.380883430155034"/>
  </r>
  <r>
    <x v="3"/>
    <s v="Census Tract 44, King County, Washington"/>
    <n v="1125.9675041009011"/>
    <n v="920.97864664699136"/>
    <n v="204.98885745390967"/>
    <n v="1125.9675041009011"/>
    <n v="920.97864664699136"/>
    <n v="204.98885745390967"/>
    <n v="793.66977728087909"/>
    <n v="75.914533813074684"/>
    <n v="12.946664681299559"/>
    <n v="10.004240890095113"/>
    <n v="10.004240890095113"/>
    <n v="0"/>
    <n v="2.9424237912044453"/>
    <n v="0"/>
    <n v="41.782417835103125"/>
    <n v="99.45392414271025"/>
    <n v="0"/>
    <n v="0"/>
    <n v="11.769695164817781"/>
    <n v="6.0810091684891869"/>
    <n v="47.863427003592307"/>
    <n v="13.535149439540449"/>
  </r>
  <r>
    <x v="88"/>
    <s v="Census Tract 44, King County, Washington"/>
    <n v="3417.7097293905495"/>
    <n v="2795.4960243011551"/>
    <n v="622.21370508939447"/>
    <n v="3417.7097293905495"/>
    <n v="2795.4960243011551"/>
    <n v="622.21370508939447"/>
    <n v="2409.0685653508995"/>
    <n v="230.42746781779491"/>
    <n v="39.297707689856495"/>
    <n v="30.366410487616381"/>
    <n v="30.366410487616381"/>
    <n v="0"/>
    <n v="8.9312972022401116"/>
    <n v="0"/>
    <n v="126.82442027180959"/>
    <n v="301.87784543571581"/>
    <n v="0"/>
    <n v="0"/>
    <n v="35.725188808960446"/>
    <n v="18.458014217962898"/>
    <n v="145.2824344897725"/>
    <n v="41.083967130304515"/>
  </r>
  <r>
    <x v="6"/>
    <s v="Census Tract 43, King County, Washington"/>
    <n v="4369.781816829307"/>
    <n v="3643.6227053894722"/>
    <n v="726.15911143983419"/>
    <n v="4369.781816829307"/>
    <n v="3643.6227053894722"/>
    <n v="726.15911143983419"/>
    <n v="3023.6438761915765"/>
    <n v="357.02229129671929"/>
    <n v="67.698837671034596"/>
    <n v="19.953341629357563"/>
    <n v="116.15695305661725"/>
    <n v="10.689290158584409"/>
    <n v="5.7009547512450185"/>
    <n v="0"/>
    <n v="220.19937726683884"/>
    <n v="287.89821493787343"/>
    <n v="0"/>
    <n v="0"/>
    <n v="69.124076358845855"/>
    <n v="14.965006222018173"/>
    <n v="141.0986300933142"/>
    <n v="35.630967195281364"/>
  </r>
  <r>
    <x v="9"/>
    <s v="Census Tract 43, King County, Washington"/>
    <n v="3.7913274621637576E-4"/>
    <n v="3.1612944086828595E-4"/>
    <n v="6.3003305348089837E-5"/>
    <n v="3.7913274621637576E-4"/>
    <n v="3.1612944086828595E-4"/>
    <n v="6.3003305348089837E-5"/>
    <n v="2.6233859135617782E-4"/>
    <n v="3.0976109891455361E-5"/>
    <n v="5.8737134524715749E-6"/>
    <n v="1.7311997544126747E-6"/>
    <n v="1.0078055713188072E-5"/>
    <n v="9.2742843986393288E-7"/>
    <n v="4.9462850126076422E-7"/>
    <n v="0"/>
    <n v="1.9105025861197018E-5"/>
    <n v="2.4978739313668594E-5"/>
    <n v="0"/>
    <n v="0"/>
    <n v="5.9973705777867664E-6"/>
    <n v="1.298399815809506E-6"/>
    <n v="1.2242055406203914E-5"/>
    <n v="3.0914281328797764E-6"/>
  </r>
  <r>
    <x v="88"/>
    <s v="Census Tract 43, King County, Washington"/>
    <n v="1762.2177946766456"/>
    <n v="1469.3769706754222"/>
    <n v="292.84082400122338"/>
    <n v="1762.2177946766456"/>
    <n v="1469.3769706754222"/>
    <n v="292.84082400122338"/>
    <n v="1219.3558549923364"/>
    <n v="143.97767696232867"/>
    <n v="27.301156310222005"/>
    <n v="8.0466565966970123"/>
    <n v="46.843036616486174"/>
    <n v="4.3107088910876845"/>
    <n v="2.2990447419134319"/>
    <n v="0"/>
    <n v="88.800603156406311"/>
    <n v="116.10175946662831"/>
    <n v="0"/>
    <n v="0"/>
    <n v="27.87591749570036"/>
    <n v="6.0349924475227583"/>
    <n v="56.901357362357437"/>
    <n v="14.369029636958949"/>
  </r>
  <r>
    <x v="8"/>
    <s v="Census Tract 42, King County, Washington"/>
    <n v="0.48916818873745588"/>
    <n v="0.42321674313011487"/>
    <n v="6.5951445607340967E-2"/>
    <n v="0.48916818873745588"/>
    <n v="0.42321674313011487"/>
    <n v="6.5951445607340967E-2"/>
    <n v="0.37472103544356344"/>
    <n v="3.3892658453206118E-2"/>
    <n v="6.3845889671370242E-3"/>
    <n v="4.4148753496160275E-3"/>
    <n v="1.1206991272102224E-2"/>
    <n v="1.8338712990712729E-3"/>
    <n v="2.7168463689944785E-4"/>
    <n v="0"/>
    <n v="1.3584231844972393E-2"/>
    <n v="1.6504841691641455E-2"/>
    <n v="3.6677425981425458E-3"/>
    <n v="1.2905020252723773E-3"/>
    <n v="1.1546597068226533E-3"/>
    <n v="4.7544811457403375E-4"/>
    <n v="1.2225808660475153E-2"/>
    <n v="7.5392486739596781E-3"/>
  </r>
  <r>
    <x v="6"/>
    <s v="Census Tract 42, King County, Washington"/>
    <n v="1910.9901083345774"/>
    <n v="1653.3434275246807"/>
    <n v="257.64668080989651"/>
    <n v="1910.9901083345774"/>
    <n v="1653.3434275246807"/>
    <n v="257.64668080989651"/>
    <n v="1463.8895345295562"/>
    <n v="132.40545182712498"/>
    <n v="24.94210916182314"/>
    <n v="17.247203143813874"/>
    <n v="43.781361826604453"/>
    <n v="7.1642228443534552"/>
    <n v="1.061366347311623"/>
    <n v="0"/>
    <n v="53.068317365581152"/>
    <n v="64.478005599181103"/>
    <n v="14.32844568870691"/>
    <n v="5.0414901497302091"/>
    <n v="4.5108069760743978"/>
    <n v="1.8573911077953404"/>
    <n v="47.761485629023035"/>
    <n v="29.452916137897539"/>
  </r>
  <r>
    <x v="11"/>
    <s v="Census Tract 42, King County, Washington"/>
    <n v="5.8633073208770202E-3"/>
    <n v="5.0727947676179833E-3"/>
    <n v="7.9051255325903727E-4"/>
    <n v="5.8633073208770202E-3"/>
    <n v="5.0727947676179833E-3"/>
    <n v="7.9051255325903727E-4"/>
    <n v="4.491511592512985E-3"/>
    <n v="4.0624692489831064E-4"/>
    <n v="7.6527476834551493E-5"/>
    <n v="5.2917936108998377E-5"/>
    <n v="1.3433014550745742E-4"/>
    <n v="2.1981296537583942E-5"/>
    <n v="3.2564883759383617E-6"/>
    <n v="0"/>
    <n v="1.628244187969181E-4"/>
    <n v="1.9783166883825546E-4"/>
    <n v="4.3962593075167885E-5"/>
    <n v="1.5468319785707217E-5"/>
    <n v="1.3840075597738037E-5"/>
    <n v="5.6988546578921331E-6"/>
    <n v="1.4654197691722626E-4"/>
    <n v="9.036755243228954E-5"/>
  </r>
  <r>
    <x v="9"/>
    <s v="Census Tract 42, King County, Washington"/>
    <n v="3249.0071392054733"/>
    <n v="2810.9641050248965"/>
    <n v="438.04303418057685"/>
    <n v="3249.0071392054733"/>
    <n v="2810.9641050248965"/>
    <n v="438.04303418057685"/>
    <n v="2488.860370313329"/>
    <n v="225.11171375500294"/>
    <n v="42.40581381356769"/>
    <n v="29.323169126403187"/>
    <n v="74.435737013177317"/>
    <n v="12.180393329429016"/>
    <n v="1.8045027154709654"/>
    <n v="0"/>
    <n v="90.225135773548274"/>
    <n v="109.62353996486115"/>
    <n v="24.360786658858032"/>
    <n v="8.5713878984870853"/>
    <n v="7.6691365407516034"/>
    <n v="3.1578797520741895"/>
    <n v="81.202622196193445"/>
    <n v="50.074950354319292"/>
  </r>
  <r>
    <x v="91"/>
    <s v="Census Tract 42, King County, Washington"/>
    <n v="2024.3553168890664"/>
    <n v="1751.4243237344867"/>
    <n v="272.93099315457977"/>
    <n v="2024.3553168890664"/>
    <n v="1751.4243237344867"/>
    <n v="272.93099315457977"/>
    <n v="1550.7315028154651"/>
    <n v="140.2601087375235"/>
    <n v="26.421743930515447"/>
    <n v="18.270354845569191"/>
    <n v="46.378593069521791"/>
    <n v="7.5892243204672027"/>
    <n v="1.1243295289581041"/>
    <n v="0"/>
    <n v="56.216476447905208"/>
    <n v="68.303018884204832"/>
    <n v="15.178448640934405"/>
    <n v="5.340565262550995"/>
    <n v="4.7784004980719423"/>
    <n v="1.9675766756766822"/>
    <n v="50.594828803114687"/>
    <n v="31.200144428587389"/>
  </r>
  <r>
    <x v="87"/>
    <s v="Census Tract 42, King County, Washington"/>
    <n v="15.613931860680403"/>
    <n v="13.508804418758622"/>
    <n v="2.1051274419217818"/>
    <n v="15.613931860680403"/>
    <n v="13.508804418758622"/>
    <n v="2.1051274419217818"/>
    <n v="11.960852829127157"/>
    <n v="1.0818317132018218"/>
    <n v="0.2037919459738903"/>
    <n v="0.14091996264151987"/>
    <n v="0.35771990516693508"/>
    <n v="5.8535984481862105E-2"/>
    <n v="8.6719977010166083E-3"/>
    <n v="0"/>
    <n v="0.43359988505083041"/>
    <n v="0.52682386033675899"/>
    <n v="0.11707196896372421"/>
    <n v="4.1191989079828892E-2"/>
    <n v="3.6855990229320588E-2"/>
    <n v="1.5175995976779065E-2"/>
    <n v="0.39023989654574737"/>
    <n v="0.24064793620321087"/>
  </r>
  <r>
    <x v="88"/>
    <s v="Census Tract 42, King County, Washington"/>
    <n v="1.5386914305194264"/>
    <n v="1.331239420100881"/>
    <n v="0.20745201041854525"/>
    <n v="1.5386914305194264"/>
    <n v="1.331239420100881"/>
    <n v="0.20745201041854525"/>
    <n v="1.1786948933873473"/>
    <n v="0.10661025046225961"/>
    <n v="2.0082892872650106E-2"/>
    <n v="1.3887106773641031E-2"/>
    <n v="3.5251886425396464E-2"/>
    <n v="5.768490505973967E-3"/>
    <n v="8.5459118607021732E-4"/>
    <n v="0"/>
    <n v="4.2729559303510863E-2"/>
    <n v="5.1916414553765701E-2"/>
    <n v="1.1536981011947934E-2"/>
    <n v="4.0593081338335321E-3"/>
    <n v="3.6320125407984234E-3"/>
    <n v="1.4955345756228803E-3"/>
    <n v="3.845660337315978E-2"/>
    <n v="2.371490541344853E-2"/>
  </r>
  <r>
    <x v="11"/>
    <s v="Census Tract 41, King County, Washington"/>
    <n v="31.389307244116871"/>
    <n v="27.169212506033737"/>
    <n v="4.2200947380831346"/>
    <n v="31.389307244116871"/>
    <n v="27.169212506033737"/>
    <n v="4.2200947380831346"/>
    <n v="25.006884478690843"/>
    <n v="1.8319142668785062"/>
    <n v="0.14638584324371626"/>
    <n v="0.26767697050279543"/>
    <n v="0.30950149714385722"/>
    <n v="0.1589332012360348"/>
    <n v="0.16729810656424715"/>
    <n v="0"/>
    <n v="0.72356431089036888"/>
    <n v="1.7440827609322764"/>
    <n v="0"/>
    <n v="0"/>
    <n v="4.6006979305167964E-2"/>
    <n v="0.117108674594973"/>
    <n v="0.76957129019553683"/>
    <n v="0.10037886393854828"/>
  </r>
  <r>
    <x v="9"/>
    <s v="Census Tract 41, King County, Washington"/>
    <n v="1.4891882200971587"/>
    <n v="1.2889762395404587"/>
    <n v="0.20021198055669995"/>
    <n v="1.4891882200971587"/>
    <n v="1.2889762395404587"/>
    <n v="0.20021198055669995"/>
    <n v="1.1863899224464907"/>
    <n v="8.6910651619261231E-2"/>
    <n v="6.9449150837309201E-3"/>
    <n v="1.2699273295965111E-2"/>
    <n v="1.4683534748459659E-2"/>
    <n v="7.5401935194792848E-3"/>
    <n v="7.9370458099781941E-3"/>
    <n v="0"/>
    <n v="3.4327723128155692E-2"/>
    <n v="8.2743702569022679E-2"/>
    <n v="0"/>
    <n v="0"/>
    <n v="2.1826875977440036E-3"/>
    <n v="5.5559320669847359E-3"/>
    <n v="3.6510410725899695E-2"/>
    <n v="4.7622274859869165E-3"/>
  </r>
  <r>
    <x v="91"/>
    <s v="Census Tract 41, King County, Washington"/>
    <n v="3230.3642105687486"/>
    <n v="2796.0620801938162"/>
    <n v="434.30213037493235"/>
    <n v="3230.3642105687486"/>
    <n v="2796.0620801938162"/>
    <n v="434.30213037493235"/>
    <n v="2573.530661557701"/>
    <n v="188.52758484065447"/>
    <n v="15.064989656216682"/>
    <n v="27.547409657081932"/>
    <n v="31.851692416000983"/>
    <n v="16.356274483892395"/>
    <n v="17.217131035676207"/>
    <n v="0"/>
    <n v="74.464091729299597"/>
    <n v="179.48859104692445"/>
    <n v="0"/>
    <n v="0"/>
    <n v="4.7347110348109567"/>
    <n v="12.051991724973345"/>
    <n v="79.198802764110553"/>
    <n v="10.330278621405725"/>
  </r>
  <r>
    <x v="87"/>
    <s v="Census Tract 41, King County, Washington"/>
    <n v="4114.2066913774843"/>
    <n v="3561.0775039557807"/>
    <n v="553.12918742170302"/>
    <n v="4114.2066913774843"/>
    <n v="3561.0775039557807"/>
    <n v="553.12918742170302"/>
    <n v="3277.6604673878714"/>
    <n v="240.10959771130419"/>
    <n v="19.186839999761752"/>
    <n v="35.084507428135772"/>
    <n v="40.56646171378199"/>
    <n v="20.831426285455613"/>
    <n v="21.927817142584857"/>
    <n v="0"/>
    <n v="94.837809141679514"/>
    <n v="228.59749371144713"/>
    <n v="0"/>
    <n v="0"/>
    <n v="6.030149714210836"/>
    <n v="15.349471999809401"/>
    <n v="100.86795885589035"/>
    <n v="13.156690285550916"/>
  </r>
  <r>
    <x v="88"/>
    <s v="Census Tract 41, King County, Washington"/>
    <n v="80.231835925643253"/>
    <n v="69.445170709257638"/>
    <n v="10.786665216385616"/>
    <n v="80.231835925643253"/>
    <n v="69.445170709257638"/>
    <n v="10.786665216385616"/>
    <n v="63.918207461615062"/>
    <n v="4.6824176063200191"/>
    <n v="0.37416579045936227"/>
    <n v="0.6841888739828339"/>
    <n v="0.79109338554265174"/>
    <n v="0.40623714392730764"/>
    <n v="0.42761804623927119"/>
    <n v="0"/>
    <n v="1.8494480499848478"/>
    <n v="4.4579181320444023"/>
    <n v="0"/>
    <n v="0"/>
    <n v="0.11759496271579958"/>
    <n v="0.29933263236748986"/>
    <n v="1.9670430127006475"/>
    <n v="0.25657082774356271"/>
  </r>
  <r>
    <x v="8"/>
    <s v="Census Tract 40, King County, Washington"/>
    <n v="670.19078592204016"/>
    <n v="564.4761679045755"/>
    <n v="105.71461801746467"/>
    <n v="670.19078592204016"/>
    <n v="564.4761679045755"/>
    <n v="105.71461801746467"/>
    <n v="523.15913390853132"/>
    <n v="64.397584021420528"/>
    <n v="0"/>
    <n v="0"/>
    <n v="10.258022233500615"/>
    <n v="3.9892308685835722"/>
    <n v="0"/>
    <n v="0"/>
    <n v="17.381648784542708"/>
    <n v="31.343956824585213"/>
    <n v="0"/>
    <n v="0"/>
    <n v="1.7096703722501023"/>
    <n v="0"/>
    <n v="11.967692605750717"/>
    <n v="5.9838463028753583"/>
  </r>
  <r>
    <x v="11"/>
    <s v="Census Tract 40, King County, Washington"/>
    <n v="1675.7684633634449"/>
    <n v="1411.4359378924253"/>
    <n v="264.33252547101961"/>
    <n v="1675.7684633634449"/>
    <n v="1411.4359378924253"/>
    <n v="264.33252547101961"/>
    <n v="1308.1253821153423"/>
    <n v="161.02196969393646"/>
    <n v="0"/>
    <n v="0"/>
    <n v="25.649517296379258"/>
    <n v="9.9748122819252671"/>
    <n v="0"/>
    <n v="0"/>
    <n v="43.461682085531521"/>
    <n v="78.373525072269956"/>
    <n v="0"/>
    <n v="0"/>
    <n v="4.2749195493965431"/>
    <n v="0"/>
    <n v="29.924436845775801"/>
    <n v="14.962218422887901"/>
  </r>
  <r>
    <x v="91"/>
    <s v="Census Tract 40, King County, Washington"/>
    <n v="4.5994264642081069"/>
    <n v="3.8739216945562327"/>
    <n v="0.72550476965187394"/>
    <n v="4.5994264642081069"/>
    <n v="3.8739216945562327"/>
    <n v="0.72550476965187394"/>
    <n v="3.5903686174685729"/>
    <n v="0.44195169256421429"/>
    <n v="0"/>
    <n v="0"/>
    <n v="7.0399384656246525E-2"/>
    <n v="2.7377538477429207E-2"/>
    <n v="0"/>
    <n v="0"/>
    <n v="0.1192878462230844"/>
    <n v="0.21510923089408662"/>
    <n v="0"/>
    <n v="0"/>
    <n v="1.1733230776041088E-2"/>
    <n v="0"/>
    <n v="8.2132615432287615E-2"/>
    <n v="4.1066307716143807E-2"/>
  </r>
  <r>
    <x v="8"/>
    <s v="Census Tract 39, King County, Washington"/>
    <n v="1787.2742509426441"/>
    <n v="1504.0231977798589"/>
    <n v="283.25105316278513"/>
    <n v="1787.2742509426441"/>
    <n v="1504.0231977798589"/>
    <n v="283.25105316278513"/>
    <n v="1274.629739232533"/>
    <n v="123.67299504290618"/>
    <n v="34.575245925973768"/>
    <n v="6.6490857549949558"/>
    <n v="12.633262934490416"/>
    <n v="4.6543600284964688"/>
    <n v="13.298171509989912"/>
    <n v="0"/>
    <n v="44.548874558466203"/>
    <n v="131.65189794890011"/>
    <n v="0"/>
    <n v="0"/>
    <n v="23.271800142482345"/>
    <n v="5.9841771794954601"/>
    <n v="101.06610347592333"/>
    <n v="10.638537207991929"/>
  </r>
  <r>
    <x v="6"/>
    <s v="Census Tract 39, King County, Washington"/>
    <n v="5.1200779613492307E-2"/>
    <n v="4.3086370344389731E-2"/>
    <n v="8.1144092691025748E-3"/>
    <n v="5.1200779613492307E-2"/>
    <n v="4.3086370344389731E-2"/>
    <n v="8.1144092691025748E-3"/>
    <n v="3.6514841710961587E-2"/>
    <n v="3.5429110893264765E-3"/>
    <n v="9.9049127228482145E-4"/>
    <n v="1.904790908240041E-4"/>
    <n v="3.6191027256560779E-4"/>
    <n v="1.3333536357680288E-4"/>
    <n v="3.8095818164800819E-4"/>
    <n v="0"/>
    <n v="1.2762099085208275E-3"/>
    <n v="3.7714859983152813E-3"/>
    <n v="0"/>
    <n v="0"/>
    <n v="6.6667681788401436E-4"/>
    <n v="1.7143118174160369E-4"/>
    <n v="2.8952821805248623E-3"/>
    <n v="3.0476654531840658E-4"/>
  </r>
  <r>
    <x v="9"/>
    <s v="Census Tract 39, King County, Washington"/>
    <n v="900.45673587176259"/>
    <n v="757.75042282065738"/>
    <n v="142.70631305110524"/>
    <n v="900.45673587176259"/>
    <n v="757.75042282065738"/>
    <n v="142.70631305110524"/>
    <n v="642.17840872997351"/>
    <n v="62.308390205412145"/>
    <n v="17.419549949900169"/>
    <n v="3.3499134519038787"/>
    <n v="6.3648355586173695"/>
    <n v="2.3449394163327151"/>
    <n v="6.6998269038077574"/>
    <n v="0"/>
    <n v="22.444420127755986"/>
    <n v="66.328286347696803"/>
    <n v="0"/>
    <n v="0"/>
    <n v="11.724697081663574"/>
    <n v="3.0149221067134908"/>
    <n v="50.918684468938956"/>
    <n v="5.3598615230462059"/>
  </r>
  <r>
    <x v="91"/>
    <s v="Census Tract 39, King County, Washington"/>
    <n v="0.14236792334492923"/>
    <n v="0.11980514977910341"/>
    <n v="2.2562773565825839E-2"/>
    <n v="0.14236792334492923"/>
    <n v="0.11980514977910341"/>
    <n v="2.2562773565825839E-2"/>
    <n v="0.10153248104621627"/>
    <n v="9.8513518386000136E-3"/>
    <n v="2.7541413742322622E-3"/>
    <n v="5.2964257196774268E-4"/>
    <n v="1.0063208867387111E-3"/>
    <n v="3.7074980037741991E-4"/>
    <n v="1.0592851439354854E-3"/>
    <n v="0"/>
    <n v="3.5486052321838761E-3"/>
    <n v="1.0486922924961306E-2"/>
    <n v="0"/>
    <n v="0"/>
    <n v="1.8537490018870994E-3"/>
    <n v="4.7667831477096842E-4"/>
    <n v="8.0505670939096888E-3"/>
    <n v="8.4742811514838833E-4"/>
  </r>
  <r>
    <x v="7"/>
    <s v="Census Tract 39, King County, Washington"/>
    <n v="7.544448263496531E-2"/>
    <n v="6.3487879360227512E-2"/>
    <n v="1.1956603274737807E-2"/>
    <n v="7.544448263496531E-2"/>
    <n v="6.3487879360227512E-2"/>
    <n v="1.1956603274737807E-2"/>
    <n v="5.3804714736320126E-2"/>
    <n v="5.2204887537587608E-3"/>
    <n v="1.45949147954546E-3"/>
    <n v="2.806714383741269E-4"/>
    <n v="5.3327573291084111E-4"/>
    <n v="1.9647000686188885E-4"/>
    <n v="5.613428767482538E-4"/>
    <n v="0"/>
    <n v="1.8804986371066504E-3"/>
    <n v="5.5572944798077126E-3"/>
    <n v="0"/>
    <n v="0"/>
    <n v="9.8235003430944428E-4"/>
    <n v="2.5260429453671421E-4"/>
    <n v="4.2662058632867289E-3"/>
    <n v="4.4907430139860306E-4"/>
  </r>
  <r>
    <x v="6"/>
    <s v="Census Tract 38, King County, Washington"/>
    <n v="1993.8025071165569"/>
    <n v="1674.9939859284959"/>
    <n v="318.80852118806098"/>
    <n v="1993.8025071165569"/>
    <n v="1674.9939859284959"/>
    <n v="318.80852118806098"/>
    <n v="1572.055811375611"/>
    <n v="153.90756195285701"/>
    <n v="0"/>
    <n v="18.988595305871971"/>
    <n v="6.9957982705844097"/>
    <n v="0"/>
    <n v="0"/>
    <n v="0"/>
    <n v="33.979591599981418"/>
    <n v="126.92376862346001"/>
    <n v="0"/>
    <n v="0"/>
    <n v="15.99039604705008"/>
    <n v="13.991596541168819"/>
    <n v="45.972388635268977"/>
    <n v="4.9969987647031502"/>
  </r>
  <r>
    <x v="9"/>
    <s v="Census Tract 38, King County, Washington"/>
    <n v="0.75564912552524977"/>
    <n v="0.63482101973950811"/>
    <n v="0.1208281057857417"/>
    <n v="0.75564912552524977"/>
    <n v="0.63482101973950811"/>
    <n v="0.1208281057857417"/>
    <n v="0.59580755611589875"/>
    <n v="5.8330809689668403E-2"/>
    <n v="0"/>
    <n v="7.1966583383357126E-3"/>
    <n v="2.651400440439473E-3"/>
    <n v="0"/>
    <n v="0"/>
    <n v="0"/>
    <n v="1.2878230710706012E-2"/>
    <n v="4.8103979419401866E-2"/>
    <n v="0"/>
    <n v="0"/>
    <n v="6.0603438638616525E-3"/>
    <n v="5.302800880878946E-3"/>
    <n v="1.7423488608602249E-2"/>
    <n v="1.8938574574567664E-3"/>
  </r>
  <r>
    <x v="7"/>
    <s v="Census Tract 38, King County, Washington"/>
    <n v="0.44184375791808977"/>
    <n v="0.37119305176477119"/>
    <n v="7.0650706153318615E-2"/>
    <n v="0.44184375791808977"/>
    <n v="0.37119305176477119"/>
    <n v="7.0650706153318615E-2"/>
    <n v="0.34838106827326076"/>
    <n v="3.4107237453326229E-2"/>
    <n v="0"/>
    <n v="4.208035789696093E-3"/>
    <n v="1.5503289751511923E-3"/>
    <n v="0"/>
    <n v="0"/>
    <n v="0"/>
    <n v="7.53016930787722E-3"/>
    <n v="2.8127397120600202E-2"/>
    <n v="0"/>
    <n v="0"/>
    <n v="3.5436090860598681E-3"/>
    <n v="3.1006579503023847E-3"/>
    <n v="1.0187876122422121E-2"/>
    <n v="1.1073778393937087E-3"/>
  </r>
  <r>
    <x v="74"/>
    <s v="Census Tract 59, King County, Washington"/>
    <n v="9.051536046068799"/>
    <n v="8.2211940945604773"/>
    <n v="0.83034195150832169"/>
    <n v="9.051536046068799"/>
    <n v="8.2211940945604773"/>
    <n v="0.83034195150832169"/>
    <n v="7.5350836183953218"/>
    <n v="0.4556097071587869"/>
    <n v="0.11727232107341556"/>
    <n v="4.178668911811359E-2"/>
    <n v="7.413767424181443E-2"/>
    <n v="0"/>
    <n v="4.9874435399038804E-2"/>
    <n v="0"/>
    <n v="0.15636309476455409"/>
    <n v="0.3019425278212079"/>
    <n v="0"/>
    <n v="2.561119655626317E-2"/>
    <n v="0"/>
    <n v="0"/>
    <n v="0.28846295068633254"/>
    <n v="5.3918308539501409E-3"/>
  </r>
  <r>
    <x v="76"/>
    <s v="Census Tract 59, King County, Washington"/>
    <n v="6695.0780476314294"/>
    <n v="6080.9055863743988"/>
    <n v="614.17246125703059"/>
    <n v="6695.0780476314294"/>
    <n v="6080.9055863743988"/>
    <n v="614.17246125703059"/>
    <n v="5573.4156792642871"/>
    <n v="336.99722711830572"/>
    <n v="86.741889820392302"/>
    <n v="30.9080297061168"/>
    <n v="54.836826897949159"/>
    <n v="0"/>
    <n v="36.890229004074889"/>
    <n v="0"/>
    <n v="115.65585309385641"/>
    <n v="223.33544045710204"/>
    <n v="0"/>
    <n v="18.94363111020062"/>
    <n v="0"/>
    <n v="0"/>
    <n v="213.36510829383855"/>
    <n v="3.9881328653053933"/>
  </r>
  <r>
    <x v="70"/>
    <s v="Census Tract 59, King County, Washington"/>
    <n v="1.1878174011825706"/>
    <n v="1.0788530647524197"/>
    <n v="0.10896433643015092"/>
    <n v="1.1878174011825706"/>
    <n v="1.0788530647524197"/>
    <n v="0.10896433643015092"/>
    <n v="0.98881597507231112"/>
    <n v="5.9788872911349045E-2"/>
    <n v="1.5389443619193394E-2"/>
    <n v="5.483594852816037E-3"/>
    <n v="9.7289586098349042E-3"/>
    <n v="0"/>
    <n v="6.5449357920707536E-3"/>
    <n v="0"/>
    <n v="2.0519258158924525E-2"/>
    <n v="3.9623395065509423E-2"/>
    <n v="0"/>
    <n v="3.360912974306603E-3"/>
    <n v="0"/>
    <n v="0"/>
    <n v="3.78544935000849E-2"/>
    <n v="7.0756062616981119E-4"/>
  </r>
  <r>
    <x v="74"/>
    <s v="Census Tract 58.02, King County, Washington"/>
    <n v="791.72702594369878"/>
    <n v="698.86305051123247"/>
    <n v="92.863975432466219"/>
    <n v="791.72702594369878"/>
    <n v="698.86305051123247"/>
    <n v="92.863975432466219"/>
    <n v="604.68418693105002"/>
    <n v="44.048752948497253"/>
    <n v="17.093545920312366"/>
    <n v="14.628130643344237"/>
    <n v="16.764823883383283"/>
    <n v="2.301054258503588"/>
    <n v="5.4239136093298859"/>
    <n v="0"/>
    <n v="18.572795086493244"/>
    <n v="27.119568046649427"/>
    <n v="1.3148881477163359"/>
    <n v="1.6436101846454199"/>
    <n v="4.4377474985426337"/>
    <n v="3.1228593508262978"/>
    <n v="30.571149434404809"/>
    <n v="0"/>
  </r>
  <r>
    <x v="69"/>
    <s v="Census Tract 58.02, King County, Washington"/>
    <n v="4.1953491702389059"/>
    <n v="3.7032644118446805"/>
    <n v="0.49208475839422494"/>
    <n v="4.1953491702389059"/>
    <n v="3.7032644118446805"/>
    <n v="0.49208475839422494"/>
    <n v="3.2042120816501836"/>
    <n v="0.23341365530911909"/>
    <n v="9.0578433403538758E-2"/>
    <n v="7.7514236278028351E-2"/>
    <n v="8.8836540453470697E-2"/>
    <n v="1.219325065047637E-2"/>
    <n v="2.8741233676122874E-2"/>
    <n v="0"/>
    <n v="9.8416951678844997E-2"/>
    <n v="0.14370616838061437"/>
    <n v="6.9675718002722119E-3"/>
    <n v="8.7094647503402657E-3"/>
    <n v="2.3515554825918716E-2"/>
    <n v="1.6547983025646505E-2"/>
    <n v="0.16199604435632892"/>
    <n v="0"/>
  </r>
  <r>
    <x v="76"/>
    <s v="Census Tract 58.02, King County, Washington"/>
    <n v="129.14362805009966"/>
    <n v="113.99599469981811"/>
    <n v="15.147633350281568"/>
    <n v="129.14362805009966"/>
    <n v="113.99599469981811"/>
    <n v="15.147633350281568"/>
    <n v="98.633881585284769"/>
    <n v="7.1850721024344431"/>
    <n v="2.7882369352730674"/>
    <n v="2.3860873773009903"/>
    <n v="2.7346169942101239"/>
    <n v="0.37533958744060525"/>
    <n v="0.88472902753856952"/>
    <n v="0"/>
    <n v="3.0295266700563137"/>
    <n v="4.4236451376928478"/>
    <n v="0.21447976425177442"/>
    <n v="0.26809970531471805"/>
    <n v="0.72386920434973867"/>
    <n v="0.50938944009796427"/>
    <n v="4.9866545188537552"/>
    <n v="0"/>
  </r>
  <r>
    <x v="82"/>
    <s v="Census Tract 58.02, King County, Washington"/>
    <n v="6.5335627247044073E-2"/>
    <n v="5.7672220688069625E-2"/>
    <n v="7.6634065589744442E-3"/>
    <n v="6.5335627247044073E-2"/>
    <n v="5.7672220688069625E-2"/>
    <n v="7.6634065589744442E-3"/>
    <n v="4.9900305717640675E-2"/>
    <n v="3.6350317837259313E-3"/>
    <n v="1.4106093489085704E-3"/>
    <n v="1.2071560774313728E-3"/>
    <n v="1.3834822460449439E-3"/>
    <n v="1.8988972004538445E-4"/>
    <n v="4.4759719724983478E-4"/>
    <n v="0"/>
    <n v="1.5326813117948889E-3"/>
    <n v="2.237985986249174E-3"/>
    <n v="1.0850841145450541E-4"/>
    <n v="1.3563551431813176E-4"/>
    <n v="3.6621588865895575E-4"/>
    <n v="2.5770747720445036E-4"/>
    <n v="2.5228205663172507E-3"/>
    <n v="0"/>
  </r>
  <r>
    <x v="83"/>
    <s v="Census Tract 58.02, King County, Washington"/>
    <n v="1066.0171608807113"/>
    <n v="940.98089434602127"/>
    <n v="125.03626653469003"/>
    <n v="1066.0171608807113"/>
    <n v="940.98089434602127"/>
    <n v="125.03626653469003"/>
    <n v="814.17420279845066"/>
    <n v="59.309237931498984"/>
    <n v="23.015525167447368"/>
    <n v="19.695978268296304"/>
    <n v="22.572918914227227"/>
    <n v="3.0982437725409917"/>
    <n v="7.3030031781323377"/>
    <n v="0"/>
    <n v="25.007253306938004"/>
    <n v="36.515015890661687"/>
    <n v="1.7704250128805668"/>
    <n v="2.2130312661007085"/>
    <n v="5.9751844184719127"/>
    <n v="4.2047594055913464"/>
    <n v="41.162381549473174"/>
    <n v="0"/>
  </r>
  <r>
    <x v="70"/>
    <s v="Census Tract 58.02, King County, Washington"/>
    <n v="2822.6417578978071"/>
    <n v="2491.5658614451891"/>
    <n v="331.07589645261805"/>
    <n v="2822.6417578978071"/>
    <n v="2491.5658614451891"/>
    <n v="331.07589645261805"/>
    <n v="2155.8021646888174"/>
    <n v="157.04131017575509"/>
    <n v="60.941403948800485"/>
    <n v="52.151778379261955"/>
    <n v="59.769453872862016"/>
    <n v="8.2036505315692967"/>
    <n v="19.337176252984769"/>
    <n v="0"/>
    <n v="66.215179290523608"/>
    <n v="96.68588126492385"/>
    <n v="4.6878003037538836"/>
    <n v="5.859750379692354"/>
    <n v="15.821326025169357"/>
    <n v="11.133525721415474"/>
    <n v="108.9913570622778"/>
    <n v="0"/>
  </r>
  <r>
    <x v="85"/>
    <s v="Census Tract 36, King County, Washington"/>
    <n v="0.22114610916038815"/>
    <n v="0.19163582197811779"/>
    <n v="2.9510287182270382E-2"/>
    <n v="0.22114610916038815"/>
    <n v="0.19163582197811779"/>
    <n v="2.9510287182270382E-2"/>
    <n v="0.17018202424131385"/>
    <n v="1.4302531824535952E-2"/>
    <n v="2.2630588329961951E-3"/>
    <n v="7.2417882655878237E-4"/>
    <n v="2.5798870696156621E-3"/>
    <n v="0"/>
    <n v="0"/>
    <n v="0"/>
    <n v="7.9659670921466055E-3"/>
    <n v="1.1451077694960746E-2"/>
    <n v="0"/>
    <n v="0"/>
    <n v="4.0735058993931507E-4"/>
    <n v="0"/>
    <n v="8.2375341521061501E-3"/>
    <n v="3.0324988362149014E-3"/>
  </r>
  <r>
    <x v="1"/>
    <s v="Census Tract 36, King County, Washington"/>
    <n v="3509.2202694524985"/>
    <n v="3040.9411831481539"/>
    <n v="468.27908630434484"/>
    <n v="3509.2202694524985"/>
    <n v="3040.9411831481539"/>
    <n v="468.27908630434484"/>
    <n v="2700.5051602827252"/>
    <n v="226.95734857695243"/>
    <n v="35.910972876100068"/>
    <n v="11.491511320352021"/>
    <n v="40.938509078754073"/>
    <n v="0"/>
    <n v="0"/>
    <n v="0"/>
    <n v="126.40662452387224"/>
    <n v="181.70952275306635"/>
    <n v="0"/>
    <n v="0"/>
    <n v="6.4639751176980118"/>
    <n v="0"/>
    <n v="130.71594126900425"/>
    <n v="48.12070365397409"/>
  </r>
  <r>
    <x v="3"/>
    <s v="Census Tract 36, King County, Washington"/>
    <n v="1280.319487788141"/>
    <n v="1109.4704689510825"/>
    <n v="170.84901883705851"/>
    <n v="1280.319487788141"/>
    <n v="1109.4704689510825"/>
    <n v="170.84901883705851"/>
    <n v="985.26428041003066"/>
    <n v="82.804125694034497"/>
    <n v="13.101918622473812"/>
    <n v="4.1926139591916201"/>
    <n v="14.936187229620147"/>
    <n v="0"/>
    <n v="0"/>
    <n v="0"/>
    <n v="46.118753551107822"/>
    <n v="66.295708229717491"/>
    <n v="0"/>
    <n v="0"/>
    <n v="2.3583453520452862"/>
    <n v="0"/>
    <n v="47.690983785804676"/>
    <n v="17.55657095411491"/>
  </r>
  <r>
    <x v="88"/>
    <s v="Census Tract 36, King County, Washington"/>
    <n v="96.239137487478345"/>
    <n v="83.396747466635958"/>
    <n v="12.842390020842382"/>
    <n v="96.239137487478345"/>
    <n v="83.396747466635958"/>
    <n v="12.842390020842382"/>
    <n v="74.060408709152384"/>
    <n v="6.2242258383223819"/>
    <n v="0.98484586049404776"/>
    <n v="0.31515067535809527"/>
    <n v="1.1227242809632143"/>
    <n v="0"/>
    <n v="0"/>
    <n v="0"/>
    <n v="3.4666574289390479"/>
    <n v="4.983320054099881"/>
    <n v="0"/>
    <n v="0"/>
    <n v="0.17727225488892859"/>
    <n v="0"/>
    <n v="3.5848389321983336"/>
    <n v="1.3196934530620239"/>
  </r>
  <r>
    <x v="0"/>
    <s v="Census Tract 35, King County, Washington"/>
    <n v="3630.4962524241614"/>
    <n v="3338.1809454826171"/>
    <n v="292.31530694154418"/>
    <n v="3630.4962524241614"/>
    <n v="3338.1809454826171"/>
    <n v="292.31530694154418"/>
    <n v="3028.9053647594815"/>
    <n v="222.47888548793293"/>
    <n v="26.936905417821478"/>
    <n v="4.9883158181150886"/>
    <n v="4.9883158181150886"/>
    <n v="11.971957963476212"/>
    <n v="16.960273781591301"/>
    <n v="0"/>
    <n v="86.796695235202534"/>
    <n v="30.927558072313548"/>
    <n v="0"/>
    <n v="0"/>
    <n v="44.894842363035792"/>
    <n v="0"/>
    <n v="128.69854810736928"/>
    <n v="21.948589599706388"/>
  </r>
  <r>
    <x v="85"/>
    <s v="Census Tract 35, King County, Washington"/>
    <n v="2.4282445613001309E-2"/>
    <n v="2.2327305034653033E-2"/>
    <n v="1.9551405783482783E-3"/>
    <n v="2.4282445613001309E-2"/>
    <n v="2.2327305034653033E-2"/>
    <n v="1.9551405783482783E-3"/>
    <n v="2.0258726265752123E-2"/>
    <n v="1.4880421466609761E-3"/>
    <n v="1.8016653793653074E-4"/>
    <n v="3.336417369195014E-5"/>
    <n v="3.336417369195014E-5"/>
    <n v="8.0074016860680325E-5"/>
    <n v="1.1343819055263047E-4"/>
    <n v="0"/>
    <n v="5.8053662223993242E-4"/>
    <n v="2.0685787689009086E-4"/>
    <n v="0"/>
    <n v="0"/>
    <n v="3.0027756322755124E-4"/>
    <n v="0"/>
    <n v="8.607956812523136E-4"/>
    <n v="1.4680236424458062E-4"/>
  </r>
  <r>
    <x v="86"/>
    <s v="Census Tract 35, King County, Washington"/>
    <n v="1.3202507018180984"/>
    <n v="1.2139485705642643"/>
    <n v="0.10630213125383425"/>
    <n v="1.3202507018180984"/>
    <n v="1.2139485705642643"/>
    <n v="0.10630213125383425"/>
    <n v="1.1014787388622553"/>
    <n v="8.0905717643703204E-2"/>
    <n v="9.7957595353362625E-3"/>
    <n v="1.8140295435807893E-3"/>
    <n v="1.8140295435807893E-3"/>
    <n v="4.353670904593895E-3"/>
    <n v="6.1677004481746839E-3"/>
    <n v="0"/>
    <n v="3.1564114058305733E-2"/>
    <n v="1.1246983170200894E-2"/>
    <n v="0"/>
    <n v="0"/>
    <n v="1.6326265892227104E-2"/>
    <n v="0"/>
    <n v="4.6801962224384368E-2"/>
    <n v="7.9817299917554728E-3"/>
  </r>
  <r>
    <x v="1"/>
    <s v="Census Tract 35, King County, Washington"/>
    <n v="7.1592059311094216"/>
    <n v="6.5827708286595561"/>
    <n v="0.57643510244986551"/>
    <n v="7.1592059311094216"/>
    <n v="6.5827708286595561"/>
    <n v="0.57643510244986551"/>
    <n v="5.9728906861358073"/>
    <n v="0.43872023155740614"/>
    <n v="5.3118593058520028E-2"/>
    <n v="9.8367764923185247E-3"/>
    <n v="9.8367764923185247E-3"/>
    <n v="2.3608263581564457E-2"/>
    <n v="3.3445040073882978E-2"/>
    <n v="0"/>
    <n v="0.17115991096634231"/>
    <n v="6.098801425237485E-2"/>
    <n v="0"/>
    <n v="0"/>
    <n v="8.8530988430866708E-2"/>
    <n v="0"/>
    <n v="0.25378883350181791"/>
    <n v="4.3281816566201503E-2"/>
  </r>
  <r>
    <x v="15"/>
    <s v="Census Tract 34, King County, Washington"/>
    <n v="1.8306741287968199E-2"/>
    <n v="1.6812663903302875E-2"/>
    <n v="1.4940773846653221E-3"/>
    <n v="1.8306741287968199E-2"/>
    <n v="1.6812663903302875E-2"/>
    <n v="1.4940773846653221E-3"/>
    <n v="1.5015191494165286E-2"/>
    <n v="9.5598054880884596E-4"/>
    <n v="2.0035520484017728E-4"/>
    <n v="7.4417647512065846E-5"/>
    <n v="4.0643484410435966E-4"/>
    <n v="1.0303981963209118E-4"/>
    <n v="1.2021312290410638E-4"/>
    <n v="4.0071040968035459E-5"/>
    <n v="2.0035520484017728E-4"/>
    <n v="3.2056832774428367E-4"/>
    <n v="0"/>
    <n v="0"/>
    <n v="3.4346606544030394E-5"/>
    <n v="0"/>
    <n v="8.357674259047396E-4"/>
    <n v="0"/>
  </r>
  <r>
    <x v="89"/>
    <s v="Census Tract 34, King County, Washington"/>
    <n v="1327.8627448648583"/>
    <n v="1219.4912075259815"/>
    <n v="108.37153733887681"/>
    <n v="1327.8627448648583"/>
    <n v="1219.4912075259815"/>
    <n v="108.37153733887681"/>
    <n v="1089.113189424804"/>
    <n v="69.341175232154882"/>
    <n v="14.532581635481563"/>
    <n v="5.3978160360360095"/>
    <n v="29.480379889119742"/>
    <n v="7.4738991268190897"/>
    <n v="8.7195489812889377"/>
    <n v="2.9065163270963126"/>
    <n v="14.532581635481563"/>
    <n v="23.252130616770501"/>
    <n v="0"/>
    <n v="0"/>
    <n v="2.4912997089396964"/>
    <n v="0"/>
    <n v="60.621626250865951"/>
    <n v="0"/>
  </r>
  <r>
    <x v="0"/>
    <s v="Census Tract 34, King County, Washington"/>
    <n v="1870.1189443311064"/>
    <n v="1717.491976078943"/>
    <n v="152.62696825216346"/>
    <n v="1870.1189443311064"/>
    <n v="1717.491976078943"/>
    <n v="152.62696825216346"/>
    <n v="1533.8717920514359"/>
    <n v="97.657868575139076"/>
    <n v="20.467217964849507"/>
    <n v="7.602109529801246"/>
    <n v="41.519213585837576"/>
    <n v="10.525997810494033"/>
    <n v="12.280330778909704"/>
    <n v="4.0934435929699013"/>
    <n v="20.467217964849507"/>
    <n v="32.747548743759211"/>
    <n v="0"/>
    <n v="0"/>
    <n v="3.5086659368313442"/>
    <n v="0"/>
    <n v="85.377537796229376"/>
    <n v="0"/>
  </r>
  <r>
    <x v="19"/>
    <s v="Census Tract 33, King County, Washington"/>
    <n v="1467.6999186684102"/>
    <n v="1304.6221499274759"/>
    <n v="163.07776874093449"/>
    <n v="1467.6999186684102"/>
    <n v="1304.6221499274759"/>
    <n v="163.07776874093449"/>
    <n v="1126.6962510079686"/>
    <n v="99.658636452793289"/>
    <n v="19.378068199154249"/>
    <n v="7.2982334776035493"/>
    <n v="14.344803731841459"/>
    <n v="5.5365909140440719"/>
    <n v="26.927964900123438"/>
    <n v="1.7616425635594775"/>
    <n v="25.417985559929601"/>
    <n v="34.981188047823906"/>
    <n v="0"/>
    <n v="0"/>
    <n v="26.17297523002652"/>
    <n v="0"/>
    <n v="65.684101298431941"/>
    <n v="13.841477285110178"/>
  </r>
  <r>
    <x v="90"/>
    <s v="Census Tract 33, King County, Washington"/>
    <n v="1543.9732814228162"/>
    <n v="1372.4206945980588"/>
    <n v="171.55258682475736"/>
    <n v="1543.9732814228162"/>
    <n v="1372.4206945980588"/>
    <n v="171.55258682475736"/>
    <n v="1185.2483506395658"/>
    <n v="104.83769194846283"/>
    <n v="20.38510676775666"/>
    <n v="7.677507743700561"/>
    <n v="15.090273841066619"/>
    <n v="5.8243162193590461"/>
    <n v="28.327356157791723"/>
    <n v="1.8531915243415147"/>
    <n v="26.738906279784711"/>
    <n v="36.799088840495791"/>
    <n v="0"/>
    <n v="0"/>
    <n v="27.533131218788217"/>
    <n v="0"/>
    <n v="69.097569693305047"/>
    <n v="14.560790548397614"/>
  </r>
  <r>
    <x v="15"/>
    <s v="Census Tract 33, King County, Washington"/>
    <n v="1444.0819645195547"/>
    <n v="1283.628412906271"/>
    <n v="160.45355161328388"/>
    <n v="1444.0819645195547"/>
    <n v="1283.628412906271"/>
    <n v="160.45355161328388"/>
    <n v="1108.5656644639998"/>
    <n v="98.054948208117921"/>
    <n v="19.066239929356261"/>
    <n v="7.1807916617056051"/>
    <n v="14.113969817835155"/>
    <n v="5.4474971226732176"/>
    <n v="26.494645096637925"/>
    <n v="1.7332945390323875"/>
    <n v="25.00896406318159"/>
    <n v="34.418277275071695"/>
    <n v="0"/>
    <n v="0"/>
    <n v="25.751804579909756"/>
    <n v="0"/>
    <n v="64.627124955350453"/>
    <n v="13.618742806683045"/>
  </r>
  <r>
    <x v="89"/>
    <s v="Census Tract 33, King County, Washington"/>
    <n v="1367.3938969254511"/>
    <n v="1215.4612417115122"/>
    <n v="151.93265521393903"/>
    <n v="1367.3938969254511"/>
    <n v="1215.4612417115122"/>
    <n v="151.93265521393903"/>
    <n v="1049.6952120259336"/>
    <n v="92.847733741851627"/>
    <n v="18.053726005360041"/>
    <n v="6.7994552487719631"/>
    <n v="13.36444652344834"/>
    <n v="5.158207430102868"/>
    <n v="25.087645228227586"/>
    <n v="1.6412478186690944"/>
    <n v="23.680861383654076"/>
    <n v="32.590492399286305"/>
    <n v="0"/>
    <n v="0"/>
    <n v="24.384253305940831"/>
    <n v="0"/>
    <n v="61.195097238947668"/>
    <n v="12.895518575257171"/>
  </r>
  <r>
    <x v="0"/>
    <s v="Census Tract 33, King County, Washington"/>
    <n v="8.8509384637672053"/>
    <n v="7.8675008566819598"/>
    <n v="0.98343760708524497"/>
    <n v="8.8509384637672053"/>
    <n v="7.8675008566819598"/>
    <n v="0.98343760708524497"/>
    <n v="6.7945218625318544"/>
    <n v="0.60098964877431638"/>
    <n v="0.11685909837278374"/>
    <n v="4.4011868218321148E-2"/>
    <n v="8.6506085808424324E-2"/>
    <n v="3.3388313820795351E-2"/>
    <n v="0.16238861721932285"/>
    <n v="1.0623554397525794E-2"/>
    <n v="0.15328271345001504"/>
    <n v="0.21095343732229793"/>
    <n v="0"/>
    <n v="0"/>
    <n v="0.15783566533466895"/>
    <n v="0"/>
    <n v="0.39610681396489034"/>
    <n v="8.3470784551988392E-2"/>
  </r>
  <r>
    <x v="10"/>
    <s v="Census Tract 32, King County, Washington"/>
    <n v="1.296750939575908"/>
    <n v="1.1516687257622717"/>
    <n v="0.14508221381363617"/>
    <n v="1.296750939575908"/>
    <n v="1.1516687257622717"/>
    <n v="0.14508221381363617"/>
    <n v="1.0639362346333321"/>
    <n v="8.1619981501103875E-2"/>
    <n v="9.3485441366903121E-3"/>
    <n v="9.3485441366903121E-3"/>
    <n v="7.7305268822631425E-3"/>
    <n v="6.8316284075813812E-3"/>
    <n v="8.0900862721358466E-3"/>
    <n v="0"/>
    <n v="2.337136034172578E-2"/>
    <n v="3.0023209054370809E-2"/>
    <n v="0"/>
    <n v="0"/>
    <n v="4.8540517632815082E-3"/>
    <n v="3.9551532885997468E-3"/>
    <n v="3.4337921732843259E-2"/>
    <n v="1.3303697425290058E-2"/>
  </r>
  <r>
    <x v="19"/>
    <s v="Census Tract 32, King County, Washington"/>
    <n v="559.05815319512783"/>
    <n v="496.50998604852197"/>
    <n v="62.54816714660587"/>
    <n v="559.05815319512783"/>
    <n v="496.50998604852197"/>
    <n v="62.54816714660587"/>
    <n v="458.6865590751097"/>
    <n v="35.18818820887121"/>
    <n v="4.0303651692980242"/>
    <n v="4.0303651692980242"/>
    <n v="3.3328019669195199"/>
    <n v="2.9452668544870173"/>
    <n v="3.4878160118925208"/>
    <n v="0"/>
    <n v="10.07591292324506"/>
    <n v="12.943672755245577"/>
    <n v="0"/>
    <n v="0"/>
    <n v="2.0926896071355126"/>
    <n v="1.7051544947030102"/>
    <n v="14.803841294921588"/>
    <n v="5.7355196640010337"/>
  </r>
  <r>
    <x v="90"/>
    <s v="Census Tract 32, King County, Washington"/>
    <n v="2942.2355916083438"/>
    <n v="2613.0543740251005"/>
    <n v="329.18121758324321"/>
    <n v="2942.2355916083438"/>
    <n v="2613.0543740251005"/>
    <n v="329.18121758324321"/>
    <n v="2413.9955956104504"/>
    <n v="185.18992909887538"/>
    <n v="21.211181306479119"/>
    <n v="21.211181306479119"/>
    <n v="17.540015311126961"/>
    <n v="15.500478647042431"/>
    <n v="18.355829976760774"/>
    <n v="0"/>
    <n v="53.027953266197791"/>
    <n v="68.120524580423321"/>
    <n v="0"/>
    <n v="0"/>
    <n v="11.013497986056464"/>
    <n v="8.9739613219719345"/>
    <n v="77.910300568029072"/>
    <n v="30.185142628451054"/>
  </r>
  <r>
    <x v="82"/>
    <s v="Census Tract 32, King County, Washington"/>
    <n v="6.1478923666395744"/>
    <n v="5.460058020337323"/>
    <n v="0.68783434630225104"/>
    <n v="6.1478923666395744"/>
    <n v="5.460058020337323"/>
    <n v="0.68783434630225104"/>
    <n v="5.0441185395498405"/>
    <n v="0.38696009073261706"/>
    <n v="4.4321420083912086E-2"/>
    <n v="4.4321420083912086E-2"/>
    <n v="3.6650405069388839E-2"/>
    <n v="3.238873006132037E-2"/>
    <n v="3.8355075072616228E-2"/>
    <n v="0"/>
    <n v="0.11080355020978021"/>
    <n v="0.1423399452694869"/>
    <n v="0"/>
    <n v="0"/>
    <n v="2.3013045043569737E-2"/>
    <n v="1.8751370035501268E-2"/>
    <n v="0.16279598530821554"/>
    <n v="6.3072790119413358E-2"/>
  </r>
  <r>
    <x v="21"/>
    <s v="Census Tract 32, King County, Washington"/>
    <n v="3589.6153151451053"/>
    <n v="3188.0043960653743"/>
    <n v="401.61091907973105"/>
    <n v="3589.6153151451053"/>
    <n v="3188.0043960653743"/>
    <n v="401.61091907973105"/>
    <n v="2945.1467399180278"/>
    <n v="225.93724567806433"/>
    <n v="25.878274835373006"/>
    <n v="25.878274835373006"/>
    <n v="21.399342652327679"/>
    <n v="18.911046995080273"/>
    <n v="22.394660915226638"/>
    <n v="0"/>
    <n v="64.695687088432507"/>
    <n v="83.10907495206331"/>
    <n v="0"/>
    <n v="0"/>
    <n v="13.436796549135984"/>
    <n v="10.94850089188858"/>
    <n v="95.052894106850843"/>
    <n v="36.826775727261584"/>
  </r>
  <r>
    <x v="19"/>
    <s v="Census Tract 31, King County, Washington"/>
    <n v="2842.408299059744"/>
    <n v="2619.2712447778099"/>
    <n v="223.13705428193421"/>
    <n v="2842.408299059744"/>
    <n v="2619.2712447778099"/>
    <n v="223.13705428193421"/>
    <n v="2415.4350749379837"/>
    <n v="143.1089968390464"/>
    <n v="67.317718907840913"/>
    <n v="13.651845093198506"/>
    <n v="17.8886246048808"/>
    <n v="2.3537663953790529"/>
    <n v="36.248002488837415"/>
    <n v="0"/>
    <n v="30.128209860851875"/>
    <n v="45.663068070353624"/>
    <n v="2.8245196744548631"/>
    <n v="6.1197926279855368"/>
    <n v="13.181091814122695"/>
    <n v="1.8830131163032422"/>
    <n v="36.248002488837415"/>
    <n v="10.356572139667833"/>
  </r>
  <r>
    <x v="20"/>
    <s v="Census Tract 31, King County, Washington"/>
    <n v="10.957381938805293"/>
    <n v="10.097196606080267"/>
    <n v="0.8601853327250264"/>
    <n v="10.957381938805293"/>
    <n v="10.097196606080267"/>
    <n v="0.8601853327250264"/>
    <n v="9.3114154898989661"/>
    <n v="0.55168004461689457"/>
    <n v="0.25950738940860502"/>
    <n v="5.2627372677269545E-2"/>
    <n v="6.8960005577111821E-2"/>
    <n v="9.0736849443568187E-3"/>
    <n v="0.139734748143095"/>
    <n v="0"/>
    <n v="0.11614316728776727"/>
    <n v="0.17602948792052228"/>
    <n v="1.0888421933228181E-2"/>
    <n v="2.3591580855327726E-2"/>
    <n v="5.0812635688398181E-2"/>
    <n v="7.2589479554854546E-3"/>
    <n v="0.139734748143095"/>
    <n v="3.9924213755170003E-2"/>
  </r>
  <r>
    <x v="21"/>
    <s v="Census Tract 31, King County, Washington"/>
    <n v="3180.008389087227"/>
    <n v="2930.3687772244671"/>
    <n v="249.63961186276012"/>
    <n v="3180.008389087227"/>
    <n v="2930.3687772244671"/>
    <n v="249.63961186276012"/>
    <n v="2702.3224651219875"/>
    <n v="160.10641773476598"/>
    <n v="75.313216237077413"/>
    <n v="15.273309586540176"/>
    <n v="20.013302216845748"/>
    <n v="2.6333292390586509"/>
    <n v="40.553270281503224"/>
    <n v="0"/>
    <n v="33.706614259950733"/>
    <n v="51.086587237737831"/>
    <n v="3.1599950868703814"/>
    <n v="6.8466560215524925"/>
    <n v="14.746643738728446"/>
    <n v="2.1066633912469208"/>
    <n v="40.553270281503224"/>
    <n v="11.586648651858065"/>
  </r>
  <r>
    <x v="19"/>
    <s v="Census Tract 30, King County, Washington"/>
    <n v="1731.907231083871"/>
    <n v="1554.0980886925936"/>
    <n v="177.80914239127742"/>
    <n v="1731.907231083871"/>
    <n v="1554.0980886925936"/>
    <n v="177.80914239127742"/>
    <n v="1373.649849568236"/>
    <n v="120.07890135514839"/>
    <n v="26.390967330801843"/>
    <n v="22.432322231181569"/>
    <n v="8.5770643825105992"/>
    <n v="0"/>
    <n v="23.751870597721659"/>
    <n v="0"/>
    <n v="28.700176972247007"/>
    <n v="26.390967330801843"/>
    <n v="6.2678547410654382"/>
    <n v="5.9379676494304148"/>
    <n v="27.710515697341936"/>
    <n v="0"/>
    <n v="59.049789402669127"/>
    <n v="2.9689838247152074"/>
  </r>
  <r>
    <x v="15"/>
    <s v="Census Tract 30, King County, Washington"/>
    <n v="3506.4532391116973"/>
    <n v="3146.457373229563"/>
    <n v="359.99586588213424"/>
    <n v="3506.4532391116973"/>
    <n v="3146.457373229563"/>
    <n v="359.99586588213424"/>
    <n v="2781.1183405068778"/>
    <n v="243.11409124507767"/>
    <n v="53.431668405511573"/>
    <n v="45.416918144684843"/>
    <n v="17.365292231791262"/>
    <n v="0"/>
    <n v="48.088501564960417"/>
    <n v="0"/>
    <n v="58.106939390993837"/>
    <n v="53.431668405511573"/>
    <n v="12.690021246309"/>
    <n v="12.022125391240104"/>
    <n v="56.103251825787154"/>
    <n v="0"/>
    <n v="119.55335805733215"/>
    <n v="6.0110626956200521"/>
  </r>
  <r>
    <x v="0"/>
    <s v="Census Tract 30, King County, Washington"/>
    <n v="3.6385658001999062"/>
    <n v="3.2650063780460492"/>
    <n v="0.37355942215385707"/>
    <n v="3.6385658001999062"/>
    <n v="3.2650063780460492"/>
    <n v="0.37355942215385707"/>
    <n v="2.8859024746728399"/>
    <n v="0.25227389548052681"/>
    <n v="5.5444812193522382E-2"/>
    <n v="4.7128090364494023E-2"/>
    <n v="1.8019563962894773E-2"/>
    <n v="0"/>
    <n v="4.990033097417014E-2"/>
    <n v="0"/>
    <n v="6.0296233260455592E-2"/>
    <n v="5.5444812193522382E-2"/>
    <n v="1.3168142895961566E-2"/>
    <n v="1.2475082743542535E-2"/>
    <n v="5.8217052803198499E-2"/>
    <n v="0"/>
    <n v="0.12405776728300633"/>
    <n v="6.2375413717712675E-3"/>
  </r>
  <r>
    <x v="18"/>
    <s v="Census Tract 30, King County, Washington"/>
    <n v="0.45642657336527676"/>
    <n v="0.40956677849977502"/>
    <n v="4.6859794865501743E-2"/>
    <n v="0.45642657336527676"/>
    <n v="0.40956677849977502"/>
    <n v="4.6859794865501743E-2"/>
    <n v="0.36201147647485948"/>
    <n v="3.1645575753325855E-2"/>
    <n v="6.9550715941375501E-3"/>
    <n v="5.9118108550169175E-3"/>
    <n v="2.2603982680947038E-3"/>
    <n v="0"/>
    <n v="6.2595644347237956E-3"/>
    <n v="0"/>
    <n v="7.5636403586245857E-3"/>
    <n v="6.9550715941375501E-3"/>
    <n v="1.6518295036076682E-3"/>
    <n v="1.5648911086809489E-3"/>
    <n v="7.3028251738444282E-3"/>
    <n v="0"/>
    <n v="1.5561972691882768E-2"/>
    <n v="7.8244555434047445E-4"/>
  </r>
  <r>
    <x v="2"/>
    <s v="Census Tract 30, King County, Washington"/>
    <n v="7.544533915051856"/>
    <n v="6.7699617664398648"/>
    <n v="0.77457214861199053"/>
    <n v="7.544533915051856"/>
    <n v="6.7699617664398648"/>
    <n v="0.77457214861199053"/>
    <n v="5.9838931851954147"/>
    <n v="0.52308768477692869"/>
    <n v="0.11496432632459971"/>
    <n v="9.7719677375909753E-2"/>
    <n v="3.7363406055494902E-2"/>
    <n v="0"/>
    <n v="0.10346789369213974"/>
    <n v="0"/>
    <n v="0.12502370487800218"/>
    <n v="0.11496432632459971"/>
    <n v="2.7304027502092432E-2"/>
    <n v="2.5866973423034935E-2"/>
    <n v="0.12071254264082969"/>
    <n v="0"/>
    <n v="0.25723268015129186"/>
    <n v="1.2933486711517467E-2"/>
  </r>
  <r>
    <x v="15"/>
    <s v="Census Tract 29, King County, Washington"/>
    <n v="1.6413624906954747"/>
    <n v="1.4942825687129735"/>
    <n v="0.14707992198250111"/>
    <n v="1.6413624906954747"/>
    <n v="1.4942825687129735"/>
    <n v="0.14707992198250111"/>
    <n v="1.3719219613493803"/>
    <n v="6.7978115201996314E-2"/>
    <n v="2.4307326041925956E-2"/>
    <n v="7.0038058086905296E-3"/>
    <n v="7.8277829626541215E-3"/>
    <n v="2.4719314618907749E-3"/>
    <n v="5.3558515007633457E-3"/>
    <n v="0"/>
    <n v="1.6067554502290037E-2"/>
    <n v="4.9438629237815501E-2"/>
    <n v="0"/>
    <n v="0"/>
    <n v="7.0038058086905296E-3"/>
    <n v="1.0299714424544896E-2"/>
    <n v="6.1798286547269377E-2"/>
    <n v="9.8877258475630996E-3"/>
  </r>
  <r>
    <x v="0"/>
    <s v="Census Tract 29, King County, Washington"/>
    <n v="1333.6552902651147"/>
    <n v="1214.1485285621413"/>
    <n v="119.50676170297338"/>
    <n v="1333.6552902651147"/>
    <n v="1214.1485285621413"/>
    <n v="119.50676170297338"/>
    <n v="1114.7269368932812"/>
    <n v="55.234217593811223"/>
    <n v="19.750417200211285"/>
    <n v="5.6907981763320654"/>
    <n v="6.3603038441358377"/>
    <n v="2.0085170034113173"/>
    <n v="4.3517868407245208"/>
    <n v="0"/>
    <n v="13.055360522173562"/>
    <n v="40.170340068226345"/>
    <n v="0"/>
    <n v="0"/>
    <n v="5.6907981763320654"/>
    <n v="8.3688208475471555"/>
    <n v="50.212925085282933"/>
    <n v="8.0340680136452693"/>
  </r>
  <r>
    <x v="2"/>
    <s v="Census Tract 29, King County, Washington"/>
    <n v="2648.7033553236297"/>
    <n v="2411.3571962245996"/>
    <n v="237.34615909903007"/>
    <n v="2648.7033553236297"/>
    <n v="2411.3571962245996"/>
    <n v="237.34615909903007"/>
    <n v="2213.9011478985158"/>
    <n v="109.69780462560215"/>
    <n v="39.225275593397129"/>
    <n v="11.302198052334766"/>
    <n v="12.631868411432974"/>
    <n v="3.9890110772946232"/>
    <n v="8.6428573341383501"/>
    <n v="0"/>
    <n v="25.928572002415052"/>
    <n v="79.780221545892459"/>
    <n v="0"/>
    <n v="0"/>
    <n v="11.302198052334766"/>
    <n v="16.620879488727596"/>
    <n v="99.725276932365574"/>
    <n v="15.956044309178493"/>
  </r>
  <r>
    <x v="41"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9C5DC3-5759-4BB7-A929-5F531074C18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2:BS95" firstHeaderRow="0" firstDataRow="1" firstDataCol="1"/>
  <pivotFields count="24">
    <pivotField axis="axisRow" showAll="0">
      <items count="93">
        <item x="26"/>
        <item x="17"/>
        <item x="16"/>
        <item x="9"/>
        <item x="24"/>
        <item x="18"/>
        <item x="27"/>
        <item x="32"/>
        <item x="1"/>
        <item x="2"/>
        <item x="22"/>
        <item x="39"/>
        <item x="36"/>
        <item x="31"/>
        <item x="19"/>
        <item x="5"/>
        <item x="12"/>
        <item x="13"/>
        <item x="33"/>
        <item x="20"/>
        <item x="4"/>
        <item x="37"/>
        <item x="25"/>
        <item x="10"/>
        <item x="0"/>
        <item x="23"/>
        <item x="29"/>
        <item x="30"/>
        <item x="6"/>
        <item x="38"/>
        <item x="3"/>
        <item x="28"/>
        <item x="11"/>
        <item x="34"/>
        <item x="40"/>
        <item x="35"/>
        <item x="21"/>
        <item x="14"/>
        <item x="8"/>
        <item x="7"/>
        <item x="15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showAll="0"/>
    <pivotField numFmtId="164" showAll="0"/>
    <pivotField numFmtId="164" showAll="0"/>
    <pivotField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Sum of AllTotalCalc" fld="5" baseField="0" baseItem="0"/>
    <dataField name="Sum of N-T Calc" fld="6" baseField="0" baseItem="0"/>
    <dataField name="Sum of F-T Calc" fld="7" baseField="0" baseItem="0"/>
    <dataField name="Sum of N-WN" fld="8" baseField="0" baseItem="0"/>
    <dataField name="Sum of F-WN" fld="9" baseField="0" baseItem="0"/>
    <dataField name="Sum of N-WH" fld="10" baseField="0" baseItem="0"/>
    <dataField name="Sum of F-WH" fld="11" baseField="0" baseItem="0"/>
    <dataField name="Sum of N-AA" fld="12" baseField="0" baseItem="0"/>
    <dataField name="Sum of F-AA" fld="13" baseField="0" baseItem="0"/>
    <dataField name="Sum of N-AI" fld="14" baseField="0" baseItem="0"/>
    <dataField name="Sum of F-AI" fld="15" baseField="0" baseItem="0"/>
    <dataField name="Sum of N-AS" fld="16" baseField="0" baseItem="0"/>
    <dataField name="Sum of F-AS" fld="17" baseField="0" baseItem="0"/>
    <dataField name="Sum of N-PI" fld="18" baseField="0" baseItem="0"/>
    <dataField name="Sum of F-PI" fld="19" baseField="0" baseItem="0"/>
    <dataField name="Sum of N-OT" fld="20" baseField="0" baseItem="0"/>
    <dataField name="Sum of F-OT" fld="21" baseField="0" baseItem="0"/>
    <dataField name="Sum of N-2R" fld="22" baseField="0" baseItem="0"/>
    <dataField name="Sum of F-2R" fld="2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76FC7-8C66-485F-A98F-286346554BC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A2:BT95" firstHeaderRow="0" firstDataRow="1" firstDataCol="1"/>
  <pivotFields count="24">
    <pivotField axis="axisRow" showAll="0">
      <items count="93">
        <item x="77"/>
        <item x="19"/>
        <item x="45"/>
        <item x="16"/>
        <item x="8"/>
        <item x="57"/>
        <item x="89"/>
        <item x="33"/>
        <item x="56"/>
        <item x="4"/>
        <item x="1"/>
        <item x="13"/>
        <item x="9"/>
        <item x="31"/>
        <item x="85"/>
        <item x="41"/>
        <item x="48"/>
        <item x="52"/>
        <item x="24"/>
        <item x="46"/>
        <item x="17"/>
        <item x="15"/>
        <item x="34"/>
        <item x="23"/>
        <item x="39"/>
        <item x="69"/>
        <item x="65"/>
        <item x="58"/>
        <item x="25"/>
        <item x="88"/>
        <item x="28"/>
        <item x="36"/>
        <item x="43"/>
        <item x="21"/>
        <item x="78"/>
        <item x="79"/>
        <item x="73"/>
        <item x="86"/>
        <item x="82"/>
        <item x="55"/>
        <item x="66"/>
        <item x="91"/>
        <item x="81"/>
        <item x="80"/>
        <item x="63"/>
        <item x="12"/>
        <item x="61"/>
        <item x="29"/>
        <item x="3"/>
        <item x="54"/>
        <item x="30"/>
        <item x="20"/>
        <item x="59"/>
        <item x="83"/>
        <item x="64"/>
        <item x="26"/>
        <item x="50"/>
        <item x="84"/>
        <item x="11"/>
        <item x="68"/>
        <item x="7"/>
        <item x="62"/>
        <item x="10"/>
        <item x="90"/>
        <item x="42"/>
        <item x="44"/>
        <item x="0"/>
        <item x="27"/>
        <item x="6"/>
        <item x="47"/>
        <item x="71"/>
        <item x="22"/>
        <item x="32"/>
        <item x="40"/>
        <item x="37"/>
        <item x="53"/>
        <item x="35"/>
        <item x="87"/>
        <item x="5"/>
        <item x="67"/>
        <item x="74"/>
        <item x="60"/>
        <item x="70"/>
        <item x="14"/>
        <item x="2"/>
        <item x="49"/>
        <item x="76"/>
        <item x="51"/>
        <item x="75"/>
        <item x="72"/>
        <item x="18"/>
        <item x="38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Sum of AllTotalCalc" fld="5" baseField="0" baseItem="0"/>
    <dataField name="Sum of N-T Calc" fld="6" baseField="0" baseItem="0"/>
    <dataField name="Sum of F-T Calc" fld="7" baseField="0" baseItem="0"/>
    <dataField name="Sum of N-WN" fld="8" baseField="0" baseItem="0"/>
    <dataField name="Sum of F-WN" fld="9" baseField="0" baseItem="0"/>
    <dataField name="Sum of N-WH" fld="10" baseField="0" baseItem="0"/>
    <dataField name="Sum of F-WH" fld="11" baseField="0" baseItem="0"/>
    <dataField name="Sum of N-AA" fld="12" baseField="0" baseItem="0"/>
    <dataField name="Sum of F-AA" fld="13" baseField="0" baseItem="0"/>
    <dataField name="Sum of N-AI" fld="14" baseField="0" baseItem="0"/>
    <dataField name="Sum of F-AI" fld="15" baseField="0" baseItem="0"/>
    <dataField name="Sum of N-AS" fld="16" baseField="0" baseItem="0"/>
    <dataField name="Sum of F-AS" fld="17" baseField="0" baseItem="0"/>
    <dataField name="Sum of N-PI" fld="18" baseField="0" baseItem="0"/>
    <dataField name="Sum of F-PI" fld="19" baseField="0" baseItem="0"/>
    <dataField name="Sum of N-OT" fld="20" baseField="0" baseItem="0"/>
    <dataField name="Sum of F-OT" fld="21" baseField="0" baseItem="0"/>
    <dataField name="Sum of N-2R" fld="22" baseField="0" baseItem="0"/>
    <dataField name="Sum of F-2R" fld="23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F9846-7BE3-4E63-B877-10B16CDA74A0}">
  <dimension ref="A1:Y523"/>
  <sheetViews>
    <sheetView topLeftCell="C487" workbookViewId="0">
      <selection activeCell="D405" sqref="D405:Y405"/>
    </sheetView>
  </sheetViews>
  <sheetFormatPr defaultRowHeight="15" x14ac:dyDescent="0.25"/>
  <cols>
    <col min="3" max="3" width="38" customWidth="1"/>
  </cols>
  <sheetData>
    <row r="1" spans="1:25" x14ac:dyDescent="0.25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  <c r="O1" t="s">
        <v>237</v>
      </c>
      <c r="P1" t="s">
        <v>238</v>
      </c>
      <c r="Q1" t="s">
        <v>239</v>
      </c>
      <c r="R1" t="s">
        <v>240</v>
      </c>
      <c r="S1" t="s">
        <v>241</v>
      </c>
      <c r="T1" t="s">
        <v>242</v>
      </c>
      <c r="U1" t="s">
        <v>243</v>
      </c>
      <c r="V1" t="s">
        <v>244</v>
      </c>
      <c r="W1" t="s">
        <v>245</v>
      </c>
      <c r="X1" t="s">
        <v>246</v>
      </c>
      <c r="Y1" t="s">
        <v>247</v>
      </c>
    </row>
    <row r="2" spans="1:25" x14ac:dyDescent="0.25">
      <c r="A2" t="s">
        <v>248</v>
      </c>
      <c r="B2">
        <v>5300100</v>
      </c>
      <c r="C2" t="s">
        <v>249</v>
      </c>
      <c r="D2">
        <f>SUM(E2,F2)</f>
        <v>16494</v>
      </c>
      <c r="E2">
        <f>VLOOKUP($C2,'[1]PoB Totals'!$C$3:$T$898,17,FALSE)</f>
        <v>15205</v>
      </c>
      <c r="F2">
        <f>VLOOKUP($C2,'[1]PoB Totals'!$C$3:$T$898,18,FALSE)</f>
        <v>1289</v>
      </c>
      <c r="G2">
        <f>H2+I2</f>
        <v>16494</v>
      </c>
      <c r="H2">
        <f>SUM(J2,L2,N2,P2,R2,T2,V2,X2)</f>
        <v>15205</v>
      </c>
      <c r="I2">
        <f>SUM(K2,M2,O2,Q2,S2,U2,W2,Y2)</f>
        <v>1289</v>
      </c>
      <c r="J2">
        <f>VLOOKUP($C2,'[1]PoB WN'!$C$1:$T$898,17,FALSE)</f>
        <v>13347</v>
      </c>
      <c r="K2">
        <f>VLOOKUP($C2,'[1]PoB WN'!$C$1:$T$898,18,FALSE)</f>
        <v>296</v>
      </c>
      <c r="L2">
        <f>VLOOKUP($C2,'[1]PoB WH'!$C$1:$T$898,17,FALSE)</f>
        <v>270</v>
      </c>
      <c r="M2">
        <f>VLOOKUP($C2,'[1]PoB WH'!$C$1:$T$898,18,FALSE)</f>
        <v>270</v>
      </c>
      <c r="N2">
        <f>VLOOKUP($C2,'[1]PoB AA'!$C$1:$T$898,17,FALSE)</f>
        <v>50</v>
      </c>
      <c r="O2">
        <f>VLOOKUP($C2,'[1]PoB AA'!$C$1:$T$898,18,FALSE)</f>
        <v>16</v>
      </c>
      <c r="P2">
        <f>VLOOKUP($C2,'[1]PoB AI'!$C$1:$T$898,17,FALSE)</f>
        <v>658</v>
      </c>
      <c r="Q2">
        <f>VLOOKUP($C2,'[1]PoB AI'!$C$1:$T$898,18,FALSE)</f>
        <v>25</v>
      </c>
      <c r="R2">
        <f>VLOOKUP($C2,'[1]PoB AS'!$C$1:$T$898,17,FALSE)</f>
        <v>69</v>
      </c>
      <c r="S2">
        <f>VLOOKUP($C2,'[1]PoB AS'!$C$1:$T$898,18,FALSE)</f>
        <v>229</v>
      </c>
      <c r="T2">
        <f>VLOOKUP($C2,'[1]PoB PI'!$C$1:$T$898,17,FALSE)</f>
        <v>27</v>
      </c>
      <c r="U2">
        <f>VLOOKUP($C2,'[1]PoB PI'!$C$1:$T$898,18,FALSE)</f>
        <v>23</v>
      </c>
      <c r="V2">
        <f>VLOOKUP($C2,'[1]PoB OT'!$C$1:$T$898,17,FALSE)</f>
        <v>230</v>
      </c>
      <c r="W2">
        <f>VLOOKUP($C2,'[1]PoB OT'!$C$1:$T$898,18,FALSE)</f>
        <v>392</v>
      </c>
      <c r="X2">
        <f>VLOOKUP($C2,'[1]PoB 2R'!$C$1:$T$898,17,FALSE)</f>
        <v>554</v>
      </c>
      <c r="Y2">
        <f>VLOOKUP($C2,'[1]PoB 2R'!$C$1:$T$898,18,FALSE)</f>
        <v>38</v>
      </c>
    </row>
    <row r="3" spans="1:25" x14ac:dyDescent="0.25">
      <c r="A3" t="s">
        <v>250</v>
      </c>
      <c r="B3">
        <v>5300135</v>
      </c>
      <c r="C3" t="s">
        <v>251</v>
      </c>
      <c r="D3">
        <f t="shared" ref="D3:D66" si="0">SUM(E3,F3)</f>
        <v>226</v>
      </c>
      <c r="E3">
        <f>VLOOKUP($C3,'[1]PoB Totals'!$C$3:$T$898,17,FALSE)</f>
        <v>220</v>
      </c>
      <c r="F3">
        <f>VLOOKUP($C3,'[1]PoB Totals'!$C$3:$T$898,18,FALSE)</f>
        <v>6</v>
      </c>
      <c r="G3">
        <f t="shared" ref="G3:G66" si="1">H3+I3</f>
        <v>226</v>
      </c>
      <c r="H3">
        <f t="shared" ref="H3:I66" si="2">SUM(J3,L3,N3,P3,R3,T3,V3,X3)</f>
        <v>220</v>
      </c>
      <c r="I3">
        <f t="shared" si="2"/>
        <v>6</v>
      </c>
      <c r="J3">
        <f>VLOOKUP($C3,'[1]PoB WN'!$C$1:$T$898,17,FALSE)</f>
        <v>199</v>
      </c>
      <c r="K3">
        <f>VLOOKUP($C3,'[1]PoB WN'!$C$1:$T$898,18,FALSE)</f>
        <v>0</v>
      </c>
      <c r="L3">
        <f>VLOOKUP($C3,'[1]PoB WH'!$C$1:$T$898,17,FALSE)</f>
        <v>0</v>
      </c>
      <c r="M3">
        <f>VLOOKUP($C3,'[1]PoB WH'!$C$1:$T$898,18,FALSE)</f>
        <v>0</v>
      </c>
      <c r="N3">
        <f>VLOOKUP($C3,'[1]PoB AA'!$C$1:$T$898,17,FALSE)</f>
        <v>0</v>
      </c>
      <c r="O3">
        <f>VLOOKUP($C3,'[1]PoB AA'!$C$1:$T$898,18,FALSE)</f>
        <v>0</v>
      </c>
      <c r="P3">
        <f>VLOOKUP($C3,'[1]PoB AI'!$C$1:$T$898,17,FALSE)</f>
        <v>0</v>
      </c>
      <c r="Q3">
        <f>VLOOKUP($C3,'[1]PoB AI'!$C$1:$T$898,18,FALSE)</f>
        <v>0</v>
      </c>
      <c r="R3">
        <f>VLOOKUP($C3,'[1]PoB AS'!$C$1:$T$898,17,FALSE)</f>
        <v>0</v>
      </c>
      <c r="S3">
        <f>VLOOKUP($C3,'[1]PoB AS'!$C$1:$T$898,18,FALSE)</f>
        <v>0</v>
      </c>
      <c r="T3">
        <f>VLOOKUP($C3,'[1]PoB PI'!$C$1:$T$898,17,FALSE)</f>
        <v>0</v>
      </c>
      <c r="U3">
        <f>VLOOKUP($C3,'[1]PoB PI'!$C$1:$T$898,18,FALSE)</f>
        <v>0</v>
      </c>
      <c r="V3">
        <f>VLOOKUP($C3,'[1]PoB OT'!$C$1:$T$898,17,FALSE)</f>
        <v>17</v>
      </c>
      <c r="W3">
        <f>VLOOKUP($C3,'[1]PoB OT'!$C$1:$T$898,18,FALSE)</f>
        <v>6</v>
      </c>
      <c r="X3">
        <f>VLOOKUP($C3,'[1]PoB 2R'!$C$1:$T$898,17,FALSE)</f>
        <v>4</v>
      </c>
      <c r="Y3">
        <f>VLOOKUP($C3,'[1]PoB 2R'!$C$1:$T$898,18,FALSE)</f>
        <v>0</v>
      </c>
    </row>
    <row r="4" spans="1:25" x14ac:dyDescent="0.25">
      <c r="A4" t="s">
        <v>252</v>
      </c>
      <c r="B4">
        <v>5300275</v>
      </c>
      <c r="C4" t="s">
        <v>253</v>
      </c>
      <c r="D4">
        <f t="shared" si="0"/>
        <v>167</v>
      </c>
      <c r="E4">
        <f>VLOOKUP($C4,'[1]PoB Totals'!$C$3:$T$898,17,FALSE)</f>
        <v>164</v>
      </c>
      <c r="F4">
        <f>VLOOKUP($C4,'[1]PoB Totals'!$C$3:$T$898,18,FALSE)</f>
        <v>3</v>
      </c>
      <c r="G4">
        <f t="shared" si="1"/>
        <v>167</v>
      </c>
      <c r="H4">
        <f t="shared" si="2"/>
        <v>164</v>
      </c>
      <c r="I4">
        <f t="shared" si="2"/>
        <v>3</v>
      </c>
      <c r="J4">
        <f>VLOOKUP($C4,'[1]PoB WN'!$C$1:$T$898,17,FALSE)</f>
        <v>155</v>
      </c>
      <c r="K4">
        <f>VLOOKUP($C4,'[1]PoB WN'!$C$1:$T$898,18,FALSE)</f>
        <v>0</v>
      </c>
      <c r="L4">
        <f>VLOOKUP($C4,'[1]PoB WH'!$C$1:$T$898,17,FALSE)</f>
        <v>0</v>
      </c>
      <c r="M4">
        <f>VLOOKUP($C4,'[1]PoB WH'!$C$1:$T$898,18,FALSE)</f>
        <v>0</v>
      </c>
      <c r="N4">
        <f>VLOOKUP($C4,'[1]PoB AA'!$C$1:$T$898,17,FALSE)</f>
        <v>0</v>
      </c>
      <c r="O4">
        <f>VLOOKUP($C4,'[1]PoB AA'!$C$1:$T$898,18,FALSE)</f>
        <v>0</v>
      </c>
      <c r="P4">
        <f>VLOOKUP($C4,'[1]PoB AI'!$C$1:$T$898,17,FALSE)</f>
        <v>9</v>
      </c>
      <c r="Q4">
        <f>VLOOKUP($C4,'[1]PoB AI'!$C$1:$T$898,18,FALSE)</f>
        <v>0</v>
      </c>
      <c r="R4">
        <f>VLOOKUP($C4,'[1]PoB AS'!$C$1:$T$898,17,FALSE)</f>
        <v>0</v>
      </c>
      <c r="S4">
        <f>VLOOKUP($C4,'[1]PoB AS'!$C$1:$T$898,18,FALSE)</f>
        <v>0</v>
      </c>
      <c r="T4">
        <f>VLOOKUP($C4,'[1]PoB PI'!$C$1:$T$898,17,FALSE)</f>
        <v>0</v>
      </c>
      <c r="U4">
        <f>VLOOKUP($C4,'[1]PoB PI'!$C$1:$T$898,18,FALSE)</f>
        <v>0</v>
      </c>
      <c r="V4">
        <f>VLOOKUP($C4,'[1]PoB OT'!$C$1:$T$898,17,FALSE)</f>
        <v>0</v>
      </c>
      <c r="W4">
        <f>VLOOKUP($C4,'[1]PoB OT'!$C$1:$T$898,18,FALSE)</f>
        <v>0</v>
      </c>
      <c r="X4">
        <f>VLOOKUP($C4,'[1]PoB 2R'!$C$1:$T$898,17,FALSE)</f>
        <v>0</v>
      </c>
      <c r="Y4">
        <f>VLOOKUP($C4,'[1]PoB 2R'!$C$1:$T$898,18,FALSE)</f>
        <v>3</v>
      </c>
    </row>
    <row r="5" spans="1:25" x14ac:dyDescent="0.25">
      <c r="A5" t="s">
        <v>256</v>
      </c>
      <c r="B5">
        <v>5300800</v>
      </c>
      <c r="C5" t="s">
        <v>257</v>
      </c>
      <c r="D5">
        <f t="shared" si="0"/>
        <v>4318</v>
      </c>
      <c r="E5">
        <f>VLOOKUP($C5,'[1]PoB Totals'!$C$3:$T$898,17,FALSE)</f>
        <v>4019</v>
      </c>
      <c r="F5">
        <f>VLOOKUP($C5,'[1]PoB Totals'!$C$3:$T$898,18,FALSE)</f>
        <v>299</v>
      </c>
      <c r="G5">
        <f t="shared" si="1"/>
        <v>4318</v>
      </c>
      <c r="H5">
        <f t="shared" si="2"/>
        <v>4019</v>
      </c>
      <c r="I5">
        <f t="shared" si="2"/>
        <v>299</v>
      </c>
      <c r="J5">
        <f>VLOOKUP($C5,'[1]PoB WN'!$C$1:$T$898,17,FALSE)</f>
        <v>3637</v>
      </c>
      <c r="K5">
        <f>VLOOKUP($C5,'[1]PoB WN'!$C$1:$T$898,18,FALSE)</f>
        <v>97</v>
      </c>
      <c r="L5">
        <f>VLOOKUP($C5,'[1]PoB WH'!$C$1:$T$898,17,FALSE)</f>
        <v>120</v>
      </c>
      <c r="M5">
        <f>VLOOKUP($C5,'[1]PoB WH'!$C$1:$T$898,18,FALSE)</f>
        <v>98</v>
      </c>
      <c r="N5">
        <f>VLOOKUP($C5,'[1]PoB AA'!$C$1:$T$898,17,FALSE)</f>
        <v>26</v>
      </c>
      <c r="O5">
        <f>VLOOKUP($C5,'[1]PoB AA'!$C$1:$T$898,18,FALSE)</f>
        <v>0</v>
      </c>
      <c r="P5">
        <f>VLOOKUP($C5,'[1]PoB AI'!$C$1:$T$898,17,FALSE)</f>
        <v>9</v>
      </c>
      <c r="Q5">
        <f>VLOOKUP($C5,'[1]PoB AI'!$C$1:$T$898,18,FALSE)</f>
        <v>0</v>
      </c>
      <c r="R5">
        <f>VLOOKUP($C5,'[1]PoB AS'!$C$1:$T$898,17,FALSE)</f>
        <v>27</v>
      </c>
      <c r="S5">
        <f>VLOOKUP($C5,'[1]PoB AS'!$C$1:$T$898,18,FALSE)</f>
        <v>8</v>
      </c>
      <c r="T5">
        <f>VLOOKUP($C5,'[1]PoB PI'!$C$1:$T$898,17,FALSE)</f>
        <v>0</v>
      </c>
      <c r="U5">
        <f>VLOOKUP($C5,'[1]PoB PI'!$C$1:$T$898,18,FALSE)</f>
        <v>0</v>
      </c>
      <c r="V5">
        <f>VLOOKUP($C5,'[1]PoB OT'!$C$1:$T$898,17,FALSE)</f>
        <v>142</v>
      </c>
      <c r="W5">
        <f>VLOOKUP($C5,'[1]PoB OT'!$C$1:$T$898,18,FALSE)</f>
        <v>96</v>
      </c>
      <c r="X5">
        <f>VLOOKUP($C5,'[1]PoB 2R'!$C$1:$T$898,17,FALSE)</f>
        <v>58</v>
      </c>
      <c r="Y5">
        <f>VLOOKUP($C5,'[1]PoB 2R'!$C$1:$T$898,18,FALSE)</f>
        <v>0</v>
      </c>
    </row>
    <row r="6" spans="1:25" x14ac:dyDescent="0.25">
      <c r="A6" t="s">
        <v>258</v>
      </c>
      <c r="B6">
        <v>5300905</v>
      </c>
      <c r="C6" t="s">
        <v>259</v>
      </c>
      <c r="D6">
        <f t="shared" si="0"/>
        <v>4526</v>
      </c>
      <c r="E6">
        <f>VLOOKUP($C6,'[1]PoB Totals'!$C$3:$T$898,17,FALSE)</f>
        <v>4157</v>
      </c>
      <c r="F6">
        <f>VLOOKUP($C6,'[1]PoB Totals'!$C$3:$T$898,18,FALSE)</f>
        <v>369</v>
      </c>
      <c r="G6">
        <f t="shared" si="1"/>
        <v>4526</v>
      </c>
      <c r="H6">
        <f t="shared" si="2"/>
        <v>4157</v>
      </c>
      <c r="I6">
        <f t="shared" si="2"/>
        <v>369</v>
      </c>
      <c r="J6">
        <f>VLOOKUP($C6,'[1]PoB WN'!$C$1:$T$898,17,FALSE)</f>
        <v>3191</v>
      </c>
      <c r="K6">
        <f>VLOOKUP($C6,'[1]PoB WN'!$C$1:$T$898,18,FALSE)</f>
        <v>43</v>
      </c>
      <c r="L6">
        <f>VLOOKUP($C6,'[1]PoB WH'!$C$1:$T$898,17,FALSE)</f>
        <v>193</v>
      </c>
      <c r="M6">
        <f>VLOOKUP($C6,'[1]PoB WH'!$C$1:$T$898,18,FALSE)</f>
        <v>249</v>
      </c>
      <c r="N6">
        <f>VLOOKUP($C6,'[1]PoB AA'!$C$1:$T$898,17,FALSE)</f>
        <v>455</v>
      </c>
      <c r="O6">
        <f>VLOOKUP($C6,'[1]PoB AA'!$C$1:$T$898,18,FALSE)</f>
        <v>15</v>
      </c>
      <c r="P6">
        <f>VLOOKUP($C6,'[1]PoB AI'!$C$1:$T$898,17,FALSE)</f>
        <v>123</v>
      </c>
      <c r="Q6">
        <f>VLOOKUP($C6,'[1]PoB AI'!$C$1:$T$898,18,FALSE)</f>
        <v>0</v>
      </c>
      <c r="R6">
        <f>VLOOKUP($C6,'[1]PoB AS'!$C$1:$T$898,17,FALSE)</f>
        <v>30</v>
      </c>
      <c r="S6">
        <f>VLOOKUP($C6,'[1]PoB AS'!$C$1:$T$898,18,FALSE)</f>
        <v>52</v>
      </c>
      <c r="T6">
        <f>VLOOKUP($C6,'[1]PoB PI'!$C$1:$T$898,17,FALSE)</f>
        <v>0</v>
      </c>
      <c r="U6">
        <f>VLOOKUP($C6,'[1]PoB PI'!$C$1:$T$898,18,FALSE)</f>
        <v>0</v>
      </c>
      <c r="V6">
        <f>VLOOKUP($C6,'[1]PoB OT'!$C$1:$T$898,17,FALSE)</f>
        <v>15</v>
      </c>
      <c r="W6">
        <f>VLOOKUP($C6,'[1]PoB OT'!$C$1:$T$898,18,FALSE)</f>
        <v>0</v>
      </c>
      <c r="X6">
        <f>VLOOKUP($C6,'[1]PoB 2R'!$C$1:$T$898,17,FALSE)</f>
        <v>150</v>
      </c>
      <c r="Y6">
        <f>VLOOKUP($C6,'[1]PoB 2R'!$C$1:$T$898,18,FALSE)</f>
        <v>10</v>
      </c>
    </row>
    <row r="7" spans="1:25" x14ac:dyDescent="0.25">
      <c r="A7" t="s">
        <v>260</v>
      </c>
      <c r="B7">
        <v>5301010</v>
      </c>
      <c r="C7" t="s">
        <v>261</v>
      </c>
      <c r="D7">
        <f t="shared" si="0"/>
        <v>581</v>
      </c>
      <c r="E7">
        <f>VLOOKUP($C7,'[1]PoB Totals'!$C$3:$T$898,17,FALSE)</f>
        <v>553</v>
      </c>
      <c r="F7">
        <f>VLOOKUP($C7,'[1]PoB Totals'!$C$3:$T$898,18,FALSE)</f>
        <v>28</v>
      </c>
      <c r="G7">
        <f t="shared" si="1"/>
        <v>581</v>
      </c>
      <c r="H7">
        <f t="shared" si="2"/>
        <v>553</v>
      </c>
      <c r="I7">
        <f t="shared" si="2"/>
        <v>28</v>
      </c>
      <c r="J7">
        <f>VLOOKUP($C7,'[1]PoB WN'!$C$1:$T$898,17,FALSE)</f>
        <v>518</v>
      </c>
      <c r="K7">
        <f>VLOOKUP($C7,'[1]PoB WN'!$C$1:$T$898,18,FALSE)</f>
        <v>11</v>
      </c>
      <c r="L7">
        <f>VLOOKUP($C7,'[1]PoB WH'!$C$1:$T$898,17,FALSE)</f>
        <v>0</v>
      </c>
      <c r="M7">
        <f>VLOOKUP($C7,'[1]PoB WH'!$C$1:$T$898,18,FALSE)</f>
        <v>0</v>
      </c>
      <c r="N7">
        <f>VLOOKUP($C7,'[1]PoB AA'!$C$1:$T$898,17,FALSE)</f>
        <v>2</v>
      </c>
      <c r="O7">
        <f>VLOOKUP($C7,'[1]PoB AA'!$C$1:$T$898,18,FALSE)</f>
        <v>0</v>
      </c>
      <c r="P7">
        <f>VLOOKUP($C7,'[1]PoB AI'!$C$1:$T$898,17,FALSE)</f>
        <v>3</v>
      </c>
      <c r="Q7">
        <f>VLOOKUP($C7,'[1]PoB AI'!$C$1:$T$898,18,FALSE)</f>
        <v>0</v>
      </c>
      <c r="R7">
        <f>VLOOKUP($C7,'[1]PoB AS'!$C$1:$T$898,17,FALSE)</f>
        <v>3</v>
      </c>
      <c r="S7">
        <f>VLOOKUP($C7,'[1]PoB AS'!$C$1:$T$898,18,FALSE)</f>
        <v>3</v>
      </c>
      <c r="T7">
        <f>VLOOKUP($C7,'[1]PoB PI'!$C$1:$T$898,17,FALSE)</f>
        <v>0</v>
      </c>
      <c r="U7">
        <f>VLOOKUP($C7,'[1]PoB PI'!$C$1:$T$898,18,FALSE)</f>
        <v>10</v>
      </c>
      <c r="V7">
        <f>VLOOKUP($C7,'[1]PoB OT'!$C$1:$T$898,17,FALSE)</f>
        <v>10</v>
      </c>
      <c r="W7">
        <f>VLOOKUP($C7,'[1]PoB OT'!$C$1:$T$898,18,FALSE)</f>
        <v>4</v>
      </c>
      <c r="X7">
        <f>VLOOKUP($C7,'[1]PoB 2R'!$C$1:$T$898,17,FALSE)</f>
        <v>17</v>
      </c>
      <c r="Y7">
        <f>VLOOKUP($C7,'[1]PoB 2R'!$C$1:$T$898,18,FALSE)</f>
        <v>0</v>
      </c>
    </row>
    <row r="8" spans="1:25" x14ac:dyDescent="0.25">
      <c r="A8" t="s">
        <v>266</v>
      </c>
      <c r="B8">
        <v>5301185</v>
      </c>
      <c r="C8" t="s">
        <v>267</v>
      </c>
      <c r="D8">
        <f t="shared" si="0"/>
        <v>15254</v>
      </c>
      <c r="E8">
        <f>VLOOKUP($C8,'[1]PoB Totals'!$C$3:$T$898,17,FALSE)</f>
        <v>13423</v>
      </c>
      <c r="F8">
        <f>VLOOKUP($C8,'[1]PoB Totals'!$C$3:$T$898,18,FALSE)</f>
        <v>1831</v>
      </c>
      <c r="G8">
        <f t="shared" si="1"/>
        <v>15254</v>
      </c>
      <c r="H8">
        <f t="shared" si="2"/>
        <v>13423</v>
      </c>
      <c r="I8">
        <f t="shared" si="2"/>
        <v>1831</v>
      </c>
      <c r="J8">
        <f>VLOOKUP($C8,'[1]PoB WN'!$C$1:$T$898,17,FALSE)</f>
        <v>11872</v>
      </c>
      <c r="K8">
        <f>VLOOKUP($C8,'[1]PoB WN'!$C$1:$T$898,18,FALSE)</f>
        <v>648</v>
      </c>
      <c r="L8">
        <f>VLOOKUP($C8,'[1]PoB WH'!$C$1:$T$898,17,FALSE)</f>
        <v>154</v>
      </c>
      <c r="M8">
        <f>VLOOKUP($C8,'[1]PoB WH'!$C$1:$T$898,18,FALSE)</f>
        <v>87</v>
      </c>
      <c r="N8">
        <f>VLOOKUP($C8,'[1]PoB AA'!$C$1:$T$898,17,FALSE)</f>
        <v>163</v>
      </c>
      <c r="O8">
        <f>VLOOKUP($C8,'[1]PoB AA'!$C$1:$T$898,18,FALSE)</f>
        <v>9</v>
      </c>
      <c r="P8">
        <f>VLOOKUP($C8,'[1]PoB AI'!$C$1:$T$898,17,FALSE)</f>
        <v>140</v>
      </c>
      <c r="Q8">
        <f>VLOOKUP($C8,'[1]PoB AI'!$C$1:$T$898,18,FALSE)</f>
        <v>23</v>
      </c>
      <c r="R8">
        <f>VLOOKUP($C8,'[1]PoB AS'!$C$1:$T$898,17,FALSE)</f>
        <v>307</v>
      </c>
      <c r="S8">
        <f>VLOOKUP($C8,'[1]PoB AS'!$C$1:$T$898,18,FALSE)</f>
        <v>938</v>
      </c>
      <c r="T8">
        <f>VLOOKUP($C8,'[1]PoB PI'!$C$1:$T$898,17,FALSE)</f>
        <v>0</v>
      </c>
      <c r="U8">
        <f>VLOOKUP($C8,'[1]PoB PI'!$C$1:$T$898,18,FALSE)</f>
        <v>0</v>
      </c>
      <c r="V8">
        <f>VLOOKUP($C8,'[1]PoB OT'!$C$1:$T$898,17,FALSE)</f>
        <v>128</v>
      </c>
      <c r="W8">
        <f>VLOOKUP($C8,'[1]PoB OT'!$C$1:$T$898,18,FALSE)</f>
        <v>46</v>
      </c>
      <c r="X8">
        <f>VLOOKUP($C8,'[1]PoB 2R'!$C$1:$T$898,17,FALSE)</f>
        <v>659</v>
      </c>
      <c r="Y8">
        <f>VLOOKUP($C8,'[1]PoB 2R'!$C$1:$T$898,18,FALSE)</f>
        <v>80</v>
      </c>
    </row>
    <row r="9" spans="1:25" x14ac:dyDescent="0.25">
      <c r="A9" t="s">
        <v>268</v>
      </c>
      <c r="B9">
        <v>5301255</v>
      </c>
      <c r="C9" t="s">
        <v>269</v>
      </c>
      <c r="D9">
        <f t="shared" si="0"/>
        <v>81</v>
      </c>
      <c r="E9">
        <f>VLOOKUP($C9,'[1]PoB Totals'!$C$3:$T$898,17,FALSE)</f>
        <v>81</v>
      </c>
      <c r="F9">
        <f>VLOOKUP($C9,'[1]PoB Totals'!$C$3:$T$898,18,FALSE)</f>
        <v>0</v>
      </c>
      <c r="G9">
        <f t="shared" si="1"/>
        <v>81</v>
      </c>
      <c r="H9">
        <f t="shared" si="2"/>
        <v>81</v>
      </c>
      <c r="I9">
        <f t="shared" si="2"/>
        <v>0</v>
      </c>
      <c r="J9">
        <f>VLOOKUP($C9,'[1]PoB WN'!$C$1:$T$898,17,FALSE)</f>
        <v>81</v>
      </c>
      <c r="K9">
        <f>VLOOKUP($C9,'[1]PoB WN'!$C$1:$T$898,18,FALSE)</f>
        <v>0</v>
      </c>
      <c r="L9">
        <f>VLOOKUP($C9,'[1]PoB WH'!$C$1:$T$898,17,FALSE)</f>
        <v>0</v>
      </c>
      <c r="M9">
        <f>VLOOKUP($C9,'[1]PoB WH'!$C$1:$T$898,18,FALSE)</f>
        <v>0</v>
      </c>
      <c r="N9">
        <f>VLOOKUP($C9,'[1]PoB AA'!$C$1:$T$898,17,FALSE)</f>
        <v>0</v>
      </c>
      <c r="O9">
        <f>VLOOKUP($C9,'[1]PoB AA'!$C$1:$T$898,18,FALSE)</f>
        <v>0</v>
      </c>
      <c r="P9">
        <f>VLOOKUP($C9,'[1]PoB AI'!$C$1:$T$898,17,FALSE)</f>
        <v>0</v>
      </c>
      <c r="Q9">
        <f>VLOOKUP($C9,'[1]PoB AI'!$C$1:$T$898,18,FALSE)</f>
        <v>0</v>
      </c>
      <c r="R9">
        <f>VLOOKUP($C9,'[1]PoB AS'!$C$1:$T$898,17,FALSE)</f>
        <v>0</v>
      </c>
      <c r="S9">
        <f>VLOOKUP($C9,'[1]PoB AS'!$C$1:$T$898,18,FALSE)</f>
        <v>0</v>
      </c>
      <c r="T9">
        <f>VLOOKUP($C9,'[1]PoB PI'!$C$1:$T$898,17,FALSE)</f>
        <v>0</v>
      </c>
      <c r="U9">
        <f>VLOOKUP($C9,'[1]PoB PI'!$C$1:$T$898,18,FALSE)</f>
        <v>0</v>
      </c>
      <c r="V9">
        <f>VLOOKUP($C9,'[1]PoB OT'!$C$1:$T$898,17,FALSE)</f>
        <v>0</v>
      </c>
      <c r="W9">
        <f>VLOOKUP($C9,'[1]PoB OT'!$C$1:$T$898,18,FALSE)</f>
        <v>0</v>
      </c>
      <c r="X9">
        <f>VLOOKUP($C9,'[1]PoB 2R'!$C$1:$T$898,17,FALSE)</f>
        <v>0</v>
      </c>
      <c r="Y9">
        <f>VLOOKUP($C9,'[1]PoB 2R'!$C$1:$T$898,18,FALSE)</f>
        <v>0</v>
      </c>
    </row>
    <row r="10" spans="1:25" x14ac:dyDescent="0.25">
      <c r="A10" t="s">
        <v>270</v>
      </c>
      <c r="B10">
        <v>5301290</v>
      </c>
      <c r="C10" t="s">
        <v>271</v>
      </c>
      <c r="D10">
        <f t="shared" si="0"/>
        <v>2451</v>
      </c>
      <c r="E10">
        <f>VLOOKUP($C10,'[1]PoB Totals'!$C$3:$T$898,17,FALSE)</f>
        <v>2129</v>
      </c>
      <c r="F10">
        <f>VLOOKUP($C10,'[1]PoB Totals'!$C$3:$T$898,18,FALSE)</f>
        <v>322</v>
      </c>
      <c r="G10">
        <f t="shared" si="1"/>
        <v>2451</v>
      </c>
      <c r="H10">
        <f t="shared" si="2"/>
        <v>2129</v>
      </c>
      <c r="I10">
        <f t="shared" si="2"/>
        <v>322</v>
      </c>
      <c r="J10">
        <f>VLOOKUP($C10,'[1]PoB WN'!$C$1:$T$898,17,FALSE)</f>
        <v>1837</v>
      </c>
      <c r="K10">
        <f>VLOOKUP($C10,'[1]PoB WN'!$C$1:$T$898,18,FALSE)</f>
        <v>94</v>
      </c>
      <c r="L10">
        <f>VLOOKUP($C10,'[1]PoB WH'!$C$1:$T$898,17,FALSE)</f>
        <v>53</v>
      </c>
      <c r="M10">
        <f>VLOOKUP($C10,'[1]PoB WH'!$C$1:$T$898,18,FALSE)</f>
        <v>32</v>
      </c>
      <c r="N10">
        <f>VLOOKUP($C10,'[1]PoB AA'!$C$1:$T$898,17,FALSE)</f>
        <v>61</v>
      </c>
      <c r="O10">
        <f>VLOOKUP($C10,'[1]PoB AA'!$C$1:$T$898,18,FALSE)</f>
        <v>0</v>
      </c>
      <c r="P10">
        <f>VLOOKUP($C10,'[1]PoB AI'!$C$1:$T$898,17,FALSE)</f>
        <v>39</v>
      </c>
      <c r="Q10">
        <f>VLOOKUP($C10,'[1]PoB AI'!$C$1:$T$898,18,FALSE)</f>
        <v>0</v>
      </c>
      <c r="R10">
        <f>VLOOKUP($C10,'[1]PoB AS'!$C$1:$T$898,17,FALSE)</f>
        <v>53</v>
      </c>
      <c r="S10">
        <f>VLOOKUP($C10,'[1]PoB AS'!$C$1:$T$898,18,FALSE)</f>
        <v>135</v>
      </c>
      <c r="T10">
        <f>VLOOKUP($C10,'[1]PoB PI'!$C$1:$T$898,17,FALSE)</f>
        <v>7</v>
      </c>
      <c r="U10">
        <f>VLOOKUP($C10,'[1]PoB PI'!$C$1:$T$898,18,FALSE)</f>
        <v>0</v>
      </c>
      <c r="V10">
        <f>VLOOKUP($C10,'[1]PoB OT'!$C$1:$T$898,17,FALSE)</f>
        <v>6</v>
      </c>
      <c r="W10">
        <f>VLOOKUP($C10,'[1]PoB OT'!$C$1:$T$898,18,FALSE)</f>
        <v>38</v>
      </c>
      <c r="X10">
        <f>VLOOKUP($C10,'[1]PoB 2R'!$C$1:$T$898,17,FALSE)</f>
        <v>73</v>
      </c>
      <c r="Y10">
        <f>VLOOKUP($C10,'[1]PoB 2R'!$C$1:$T$898,18,FALSE)</f>
        <v>23</v>
      </c>
    </row>
    <row r="11" spans="1:25" x14ac:dyDescent="0.25">
      <c r="A11" t="s">
        <v>1500</v>
      </c>
      <c r="B11">
        <v>5301447</v>
      </c>
      <c r="C11" t="s">
        <v>1501</v>
      </c>
      <c r="D11">
        <f t="shared" si="0"/>
        <v>2147</v>
      </c>
      <c r="E11">
        <f>VLOOKUP($C11,'[1]PoB Totals'!$C$3:$T$898,17,FALSE)</f>
        <v>2059</v>
      </c>
      <c r="F11">
        <f>VLOOKUP($C11,'[1]PoB Totals'!$C$3:$T$898,18,FALSE)</f>
        <v>88</v>
      </c>
      <c r="G11">
        <f t="shared" si="1"/>
        <v>2147</v>
      </c>
      <c r="H11">
        <f t="shared" si="2"/>
        <v>2059</v>
      </c>
      <c r="I11">
        <f t="shared" si="2"/>
        <v>88</v>
      </c>
      <c r="J11">
        <f>VLOOKUP($C11,'[1]PoB WN'!$C$1:$T$898,17,FALSE)</f>
        <v>1933</v>
      </c>
      <c r="K11">
        <f>VLOOKUP($C11,'[1]PoB WN'!$C$1:$T$898,18,FALSE)</f>
        <v>72</v>
      </c>
      <c r="L11">
        <f>VLOOKUP($C11,'[1]PoB WH'!$C$1:$T$898,17,FALSE)</f>
        <v>30</v>
      </c>
      <c r="M11">
        <f>VLOOKUP($C11,'[1]PoB WH'!$C$1:$T$898,18,FALSE)</f>
        <v>10</v>
      </c>
      <c r="N11">
        <f>VLOOKUP($C11,'[1]PoB AA'!$C$1:$T$898,17,FALSE)</f>
        <v>12</v>
      </c>
      <c r="O11">
        <f>VLOOKUP($C11,'[1]PoB AA'!$C$1:$T$898,18,FALSE)</f>
        <v>0</v>
      </c>
      <c r="P11">
        <f>VLOOKUP($C11,'[1]PoB AI'!$C$1:$T$898,17,FALSE)</f>
        <v>24</v>
      </c>
      <c r="Q11">
        <f>VLOOKUP($C11,'[1]PoB AI'!$C$1:$T$898,18,FALSE)</f>
        <v>0</v>
      </c>
      <c r="R11">
        <f>VLOOKUP($C11,'[1]PoB AS'!$C$1:$T$898,17,FALSE)</f>
        <v>1</v>
      </c>
      <c r="S11">
        <f>VLOOKUP($C11,'[1]PoB AS'!$C$1:$T$898,18,FALSE)</f>
        <v>6</v>
      </c>
      <c r="T11">
        <f>VLOOKUP($C11,'[1]PoB PI'!$C$1:$T$898,17,FALSE)</f>
        <v>11</v>
      </c>
      <c r="U11">
        <f>VLOOKUP($C11,'[1]PoB PI'!$C$1:$T$898,18,FALSE)</f>
        <v>0</v>
      </c>
      <c r="V11">
        <f>VLOOKUP($C11,'[1]PoB OT'!$C$1:$T$898,17,FALSE)</f>
        <v>8</v>
      </c>
      <c r="W11">
        <f>VLOOKUP($C11,'[1]PoB OT'!$C$1:$T$898,18,FALSE)</f>
        <v>0</v>
      </c>
      <c r="X11">
        <f>VLOOKUP($C11,'[1]PoB 2R'!$C$1:$T$898,17,FALSE)</f>
        <v>40</v>
      </c>
      <c r="Y11">
        <f>VLOOKUP($C11,'[1]PoB 2R'!$C$1:$T$898,18,FALSE)</f>
        <v>0</v>
      </c>
    </row>
    <row r="12" spans="1:25" x14ac:dyDescent="0.25">
      <c r="A12" t="s">
        <v>274</v>
      </c>
      <c r="B12">
        <v>5301500</v>
      </c>
      <c r="C12" t="s">
        <v>275</v>
      </c>
      <c r="D12">
        <f t="shared" si="0"/>
        <v>321</v>
      </c>
      <c r="E12">
        <f>VLOOKUP($C12,'[1]PoB Totals'!$C$3:$T$898,17,FALSE)</f>
        <v>319</v>
      </c>
      <c r="F12">
        <f>VLOOKUP($C12,'[1]PoB Totals'!$C$3:$T$898,18,FALSE)</f>
        <v>2</v>
      </c>
      <c r="G12">
        <f t="shared" si="1"/>
        <v>321</v>
      </c>
      <c r="H12">
        <f t="shared" si="2"/>
        <v>319</v>
      </c>
      <c r="I12">
        <f t="shared" si="2"/>
        <v>2</v>
      </c>
      <c r="J12">
        <f>VLOOKUP($C12,'[1]PoB WN'!$C$1:$T$898,17,FALSE)</f>
        <v>295</v>
      </c>
      <c r="K12">
        <f>VLOOKUP($C12,'[1]PoB WN'!$C$1:$T$898,18,FALSE)</f>
        <v>2</v>
      </c>
      <c r="L12">
        <f>VLOOKUP($C12,'[1]PoB WH'!$C$1:$T$898,17,FALSE)</f>
        <v>0</v>
      </c>
      <c r="M12">
        <f>VLOOKUP($C12,'[1]PoB WH'!$C$1:$T$898,18,FALSE)</f>
        <v>0</v>
      </c>
      <c r="N12">
        <f>VLOOKUP($C12,'[1]PoB AA'!$C$1:$T$898,17,FALSE)</f>
        <v>0</v>
      </c>
      <c r="O12">
        <f>VLOOKUP($C12,'[1]PoB AA'!$C$1:$T$898,18,FALSE)</f>
        <v>0</v>
      </c>
      <c r="P12">
        <f>VLOOKUP($C12,'[1]PoB AI'!$C$1:$T$898,17,FALSE)</f>
        <v>20</v>
      </c>
      <c r="Q12">
        <f>VLOOKUP($C12,'[1]PoB AI'!$C$1:$T$898,18,FALSE)</f>
        <v>0</v>
      </c>
      <c r="R12">
        <f>VLOOKUP($C12,'[1]PoB AS'!$C$1:$T$898,17,FALSE)</f>
        <v>0</v>
      </c>
      <c r="S12">
        <f>VLOOKUP($C12,'[1]PoB AS'!$C$1:$T$898,18,FALSE)</f>
        <v>0</v>
      </c>
      <c r="T12">
        <f>VLOOKUP($C12,'[1]PoB PI'!$C$1:$T$898,17,FALSE)</f>
        <v>0</v>
      </c>
      <c r="U12">
        <f>VLOOKUP($C12,'[1]PoB PI'!$C$1:$T$898,18,FALSE)</f>
        <v>0</v>
      </c>
      <c r="V12">
        <f>VLOOKUP($C12,'[1]PoB OT'!$C$1:$T$898,17,FALSE)</f>
        <v>0</v>
      </c>
      <c r="W12">
        <f>VLOOKUP($C12,'[1]PoB OT'!$C$1:$T$898,18,FALSE)</f>
        <v>0</v>
      </c>
      <c r="X12">
        <f>VLOOKUP($C12,'[1]PoB 2R'!$C$1:$T$898,17,FALSE)</f>
        <v>4</v>
      </c>
      <c r="Y12">
        <f>VLOOKUP($C12,'[1]PoB 2R'!$C$1:$T$898,18,FALSE)</f>
        <v>0</v>
      </c>
    </row>
    <row r="13" spans="1:25" x14ac:dyDescent="0.25">
      <c r="A13" t="s">
        <v>280</v>
      </c>
      <c r="B13">
        <v>5301850</v>
      </c>
      <c r="C13" t="s">
        <v>281</v>
      </c>
      <c r="D13">
        <f t="shared" si="0"/>
        <v>2225</v>
      </c>
      <c r="E13">
        <f>VLOOKUP($C13,'[1]PoB Totals'!$C$3:$T$898,17,FALSE)</f>
        <v>2190</v>
      </c>
      <c r="F13">
        <f>VLOOKUP($C13,'[1]PoB Totals'!$C$3:$T$898,18,FALSE)</f>
        <v>35</v>
      </c>
      <c r="G13">
        <f t="shared" si="1"/>
        <v>2225</v>
      </c>
      <c r="H13">
        <f t="shared" si="2"/>
        <v>2190</v>
      </c>
      <c r="I13">
        <f t="shared" si="2"/>
        <v>35</v>
      </c>
      <c r="J13">
        <f>VLOOKUP($C13,'[1]PoB WN'!$C$1:$T$898,17,FALSE)</f>
        <v>2147</v>
      </c>
      <c r="K13">
        <f>VLOOKUP($C13,'[1]PoB WN'!$C$1:$T$898,18,FALSE)</f>
        <v>14</v>
      </c>
      <c r="L13">
        <f>VLOOKUP($C13,'[1]PoB WH'!$C$1:$T$898,17,FALSE)</f>
        <v>0</v>
      </c>
      <c r="M13">
        <f>VLOOKUP($C13,'[1]PoB WH'!$C$1:$T$898,18,FALSE)</f>
        <v>0</v>
      </c>
      <c r="N13">
        <f>VLOOKUP($C13,'[1]PoB AA'!$C$1:$T$898,17,FALSE)</f>
        <v>3</v>
      </c>
      <c r="O13">
        <f>VLOOKUP($C13,'[1]PoB AA'!$C$1:$T$898,18,FALSE)</f>
        <v>2</v>
      </c>
      <c r="P13">
        <f>VLOOKUP($C13,'[1]PoB AI'!$C$1:$T$898,17,FALSE)</f>
        <v>2</v>
      </c>
      <c r="Q13">
        <f>VLOOKUP($C13,'[1]PoB AI'!$C$1:$T$898,18,FALSE)</f>
        <v>0</v>
      </c>
      <c r="R13">
        <f>VLOOKUP($C13,'[1]PoB AS'!$C$1:$T$898,17,FALSE)</f>
        <v>0</v>
      </c>
      <c r="S13">
        <f>VLOOKUP($C13,'[1]PoB AS'!$C$1:$T$898,18,FALSE)</f>
        <v>19</v>
      </c>
      <c r="T13">
        <f>VLOOKUP($C13,'[1]PoB PI'!$C$1:$T$898,17,FALSE)</f>
        <v>0</v>
      </c>
      <c r="U13">
        <f>VLOOKUP($C13,'[1]PoB PI'!$C$1:$T$898,18,FALSE)</f>
        <v>0</v>
      </c>
      <c r="V13">
        <f>VLOOKUP($C13,'[1]PoB OT'!$C$1:$T$898,17,FALSE)</f>
        <v>0</v>
      </c>
      <c r="W13">
        <f>VLOOKUP($C13,'[1]PoB OT'!$C$1:$T$898,18,FALSE)</f>
        <v>0</v>
      </c>
      <c r="X13">
        <f>VLOOKUP($C13,'[1]PoB 2R'!$C$1:$T$898,17,FALSE)</f>
        <v>38</v>
      </c>
      <c r="Y13">
        <f>VLOOKUP($C13,'[1]PoB 2R'!$C$1:$T$898,18,FALSE)</f>
        <v>0</v>
      </c>
    </row>
    <row r="14" spans="1:25" x14ac:dyDescent="0.25">
      <c r="A14" t="s">
        <v>282</v>
      </c>
      <c r="B14">
        <v>5301920</v>
      </c>
      <c r="C14" t="s">
        <v>283</v>
      </c>
      <c r="D14">
        <f t="shared" si="0"/>
        <v>1430</v>
      </c>
      <c r="E14">
        <f>VLOOKUP($C14,'[1]PoB Totals'!$C$3:$T$898,17,FALSE)</f>
        <v>1292</v>
      </c>
      <c r="F14">
        <f>VLOOKUP($C14,'[1]PoB Totals'!$C$3:$T$898,18,FALSE)</f>
        <v>138</v>
      </c>
      <c r="G14">
        <f t="shared" si="1"/>
        <v>1430</v>
      </c>
      <c r="H14">
        <f t="shared" si="2"/>
        <v>1292</v>
      </c>
      <c r="I14">
        <f t="shared" si="2"/>
        <v>138</v>
      </c>
      <c r="J14">
        <f>VLOOKUP($C14,'[1]PoB WN'!$C$1:$T$898,17,FALSE)</f>
        <v>1231</v>
      </c>
      <c r="K14">
        <f>VLOOKUP($C14,'[1]PoB WN'!$C$1:$T$898,18,FALSE)</f>
        <v>97</v>
      </c>
      <c r="L14">
        <f>VLOOKUP($C14,'[1]PoB WH'!$C$1:$T$898,17,FALSE)</f>
        <v>0</v>
      </c>
      <c r="M14">
        <f>VLOOKUP($C14,'[1]PoB WH'!$C$1:$T$898,18,FALSE)</f>
        <v>0</v>
      </c>
      <c r="N14">
        <f>VLOOKUP($C14,'[1]PoB AA'!$C$1:$T$898,17,FALSE)</f>
        <v>0</v>
      </c>
      <c r="O14">
        <f>VLOOKUP($C14,'[1]PoB AA'!$C$1:$T$898,18,FALSE)</f>
        <v>0</v>
      </c>
      <c r="P14">
        <f>VLOOKUP($C14,'[1]PoB AI'!$C$1:$T$898,17,FALSE)</f>
        <v>8</v>
      </c>
      <c r="Q14">
        <f>VLOOKUP($C14,'[1]PoB AI'!$C$1:$T$898,18,FALSE)</f>
        <v>0</v>
      </c>
      <c r="R14">
        <f>VLOOKUP($C14,'[1]PoB AS'!$C$1:$T$898,17,FALSE)</f>
        <v>24</v>
      </c>
      <c r="S14">
        <f>VLOOKUP($C14,'[1]PoB AS'!$C$1:$T$898,18,FALSE)</f>
        <v>41</v>
      </c>
      <c r="T14">
        <f>VLOOKUP($C14,'[1]PoB PI'!$C$1:$T$898,17,FALSE)</f>
        <v>0</v>
      </c>
      <c r="U14">
        <f>VLOOKUP($C14,'[1]PoB PI'!$C$1:$T$898,18,FALSE)</f>
        <v>0</v>
      </c>
      <c r="V14">
        <f>VLOOKUP($C14,'[1]PoB OT'!$C$1:$T$898,17,FALSE)</f>
        <v>0</v>
      </c>
      <c r="W14">
        <f>VLOOKUP($C14,'[1]PoB OT'!$C$1:$T$898,18,FALSE)</f>
        <v>0</v>
      </c>
      <c r="X14">
        <f>VLOOKUP($C14,'[1]PoB 2R'!$C$1:$T$898,17,FALSE)</f>
        <v>29</v>
      </c>
      <c r="Y14">
        <f>VLOOKUP($C14,'[1]PoB 2R'!$C$1:$T$898,18,FALSE)</f>
        <v>0</v>
      </c>
    </row>
    <row r="15" spans="1:25" x14ac:dyDescent="0.25">
      <c r="A15" t="s">
        <v>284</v>
      </c>
      <c r="B15">
        <v>5301990</v>
      </c>
      <c r="C15" t="s">
        <v>285</v>
      </c>
      <c r="D15">
        <f t="shared" si="0"/>
        <v>14707</v>
      </c>
      <c r="E15">
        <f>VLOOKUP($C15,'[1]PoB Totals'!$C$3:$T$898,17,FALSE)</f>
        <v>13787</v>
      </c>
      <c r="F15">
        <f>VLOOKUP($C15,'[1]PoB Totals'!$C$3:$T$898,18,FALSE)</f>
        <v>920</v>
      </c>
      <c r="G15">
        <f t="shared" si="1"/>
        <v>14707</v>
      </c>
      <c r="H15">
        <f t="shared" si="2"/>
        <v>13787</v>
      </c>
      <c r="I15">
        <f t="shared" si="2"/>
        <v>920</v>
      </c>
      <c r="J15">
        <f>VLOOKUP($C15,'[1]PoB WN'!$C$1:$T$898,17,FALSE)</f>
        <v>12897</v>
      </c>
      <c r="K15">
        <f>VLOOKUP($C15,'[1]PoB WN'!$C$1:$T$898,18,FALSE)</f>
        <v>546</v>
      </c>
      <c r="L15">
        <f>VLOOKUP($C15,'[1]PoB WH'!$C$1:$T$898,17,FALSE)</f>
        <v>72</v>
      </c>
      <c r="M15">
        <f>VLOOKUP($C15,'[1]PoB WH'!$C$1:$T$898,18,FALSE)</f>
        <v>45</v>
      </c>
      <c r="N15">
        <f>VLOOKUP($C15,'[1]PoB AA'!$C$1:$T$898,17,FALSE)</f>
        <v>26</v>
      </c>
      <c r="O15">
        <f>VLOOKUP($C15,'[1]PoB AA'!$C$1:$T$898,18,FALSE)</f>
        <v>0</v>
      </c>
      <c r="P15">
        <f>VLOOKUP($C15,'[1]PoB AI'!$C$1:$T$898,17,FALSE)</f>
        <v>205</v>
      </c>
      <c r="Q15">
        <f>VLOOKUP($C15,'[1]PoB AI'!$C$1:$T$898,18,FALSE)</f>
        <v>18</v>
      </c>
      <c r="R15">
        <f>VLOOKUP($C15,'[1]PoB AS'!$C$1:$T$898,17,FALSE)</f>
        <v>45</v>
      </c>
      <c r="S15">
        <f>VLOOKUP($C15,'[1]PoB AS'!$C$1:$T$898,18,FALSE)</f>
        <v>204</v>
      </c>
      <c r="T15">
        <f>VLOOKUP($C15,'[1]PoB PI'!$C$1:$T$898,17,FALSE)</f>
        <v>3</v>
      </c>
      <c r="U15">
        <f>VLOOKUP($C15,'[1]PoB PI'!$C$1:$T$898,18,FALSE)</f>
        <v>0</v>
      </c>
      <c r="V15">
        <f>VLOOKUP($C15,'[1]PoB OT'!$C$1:$T$898,17,FALSE)</f>
        <v>187</v>
      </c>
      <c r="W15">
        <f>VLOOKUP($C15,'[1]PoB OT'!$C$1:$T$898,18,FALSE)</f>
        <v>79</v>
      </c>
      <c r="X15">
        <f>VLOOKUP($C15,'[1]PoB 2R'!$C$1:$T$898,17,FALSE)</f>
        <v>352</v>
      </c>
      <c r="Y15">
        <f>VLOOKUP($C15,'[1]PoB 2R'!$C$1:$T$898,18,FALSE)</f>
        <v>28</v>
      </c>
    </row>
    <row r="16" spans="1:25" x14ac:dyDescent="0.25">
      <c r="A16" t="s">
        <v>288</v>
      </c>
      <c r="B16">
        <v>5302585</v>
      </c>
      <c r="C16" t="s">
        <v>289</v>
      </c>
      <c r="D16">
        <f t="shared" si="0"/>
        <v>11885</v>
      </c>
      <c r="E16">
        <f>VLOOKUP($C16,'[1]PoB Totals'!$C$3:$T$898,17,FALSE)</f>
        <v>11044</v>
      </c>
      <c r="F16">
        <f>VLOOKUP($C16,'[1]PoB Totals'!$C$3:$T$898,18,FALSE)</f>
        <v>841</v>
      </c>
      <c r="G16">
        <f t="shared" si="1"/>
        <v>11885</v>
      </c>
      <c r="H16">
        <f t="shared" si="2"/>
        <v>11044</v>
      </c>
      <c r="I16">
        <f t="shared" si="2"/>
        <v>841</v>
      </c>
      <c r="J16">
        <f>VLOOKUP($C16,'[1]PoB WN'!$C$1:$T$898,17,FALSE)</f>
        <v>9921</v>
      </c>
      <c r="K16">
        <f>VLOOKUP($C16,'[1]PoB WN'!$C$1:$T$898,18,FALSE)</f>
        <v>406</v>
      </c>
      <c r="L16">
        <f>VLOOKUP($C16,'[1]PoB WH'!$C$1:$T$898,17,FALSE)</f>
        <v>271</v>
      </c>
      <c r="M16">
        <f>VLOOKUP($C16,'[1]PoB WH'!$C$1:$T$898,18,FALSE)</f>
        <v>54</v>
      </c>
      <c r="N16">
        <f>VLOOKUP($C16,'[1]PoB AA'!$C$1:$T$898,17,FALSE)</f>
        <v>122</v>
      </c>
      <c r="O16">
        <f>VLOOKUP($C16,'[1]PoB AA'!$C$1:$T$898,18,FALSE)</f>
        <v>0</v>
      </c>
      <c r="P16">
        <f>VLOOKUP($C16,'[1]PoB AI'!$C$1:$T$898,17,FALSE)</f>
        <v>101</v>
      </c>
      <c r="Q16">
        <f>VLOOKUP($C16,'[1]PoB AI'!$C$1:$T$898,18,FALSE)</f>
        <v>25</v>
      </c>
      <c r="R16">
        <f>VLOOKUP($C16,'[1]PoB AS'!$C$1:$T$898,17,FALSE)</f>
        <v>88</v>
      </c>
      <c r="S16">
        <f>VLOOKUP($C16,'[1]PoB AS'!$C$1:$T$898,18,FALSE)</f>
        <v>128</v>
      </c>
      <c r="T16">
        <f>VLOOKUP($C16,'[1]PoB PI'!$C$1:$T$898,17,FALSE)</f>
        <v>23</v>
      </c>
      <c r="U16">
        <f>VLOOKUP($C16,'[1]PoB PI'!$C$1:$T$898,18,FALSE)</f>
        <v>11</v>
      </c>
      <c r="V16">
        <f>VLOOKUP($C16,'[1]PoB OT'!$C$1:$T$898,17,FALSE)</f>
        <v>191</v>
      </c>
      <c r="W16">
        <f>VLOOKUP($C16,'[1]PoB OT'!$C$1:$T$898,18,FALSE)</f>
        <v>167</v>
      </c>
      <c r="X16">
        <f>VLOOKUP($C16,'[1]PoB 2R'!$C$1:$T$898,17,FALSE)</f>
        <v>327</v>
      </c>
      <c r="Y16">
        <f>VLOOKUP($C16,'[1]PoB 2R'!$C$1:$T$898,18,FALSE)</f>
        <v>50</v>
      </c>
    </row>
    <row r="17" spans="1:25" x14ac:dyDescent="0.25">
      <c r="A17" t="s">
        <v>290</v>
      </c>
      <c r="B17">
        <v>5302620</v>
      </c>
      <c r="C17" t="s">
        <v>291</v>
      </c>
      <c r="D17">
        <f t="shared" si="0"/>
        <v>2524</v>
      </c>
      <c r="E17">
        <f>VLOOKUP($C17,'[1]PoB Totals'!$C$3:$T$898,17,FALSE)</f>
        <v>2515</v>
      </c>
      <c r="F17">
        <f>VLOOKUP($C17,'[1]PoB Totals'!$C$3:$T$898,18,FALSE)</f>
        <v>9</v>
      </c>
      <c r="G17">
        <f t="shared" si="1"/>
        <v>2524</v>
      </c>
      <c r="H17">
        <f t="shared" si="2"/>
        <v>2515</v>
      </c>
      <c r="I17">
        <f t="shared" si="2"/>
        <v>9</v>
      </c>
      <c r="J17">
        <f>VLOOKUP($C17,'[1]PoB WN'!$C$1:$T$898,17,FALSE)</f>
        <v>2457</v>
      </c>
      <c r="K17">
        <f>VLOOKUP($C17,'[1]PoB WN'!$C$1:$T$898,18,FALSE)</f>
        <v>9</v>
      </c>
      <c r="L17">
        <f>VLOOKUP($C17,'[1]PoB WH'!$C$1:$T$898,17,FALSE)</f>
        <v>16</v>
      </c>
      <c r="M17">
        <f>VLOOKUP($C17,'[1]PoB WH'!$C$1:$T$898,18,FALSE)</f>
        <v>0</v>
      </c>
      <c r="N17">
        <f>VLOOKUP($C17,'[1]PoB AA'!$C$1:$T$898,17,FALSE)</f>
        <v>0</v>
      </c>
      <c r="O17">
        <f>VLOOKUP($C17,'[1]PoB AA'!$C$1:$T$898,18,FALSE)</f>
        <v>0</v>
      </c>
      <c r="P17">
        <f>VLOOKUP($C17,'[1]PoB AI'!$C$1:$T$898,17,FALSE)</f>
        <v>14</v>
      </c>
      <c r="Q17">
        <f>VLOOKUP($C17,'[1]PoB AI'!$C$1:$T$898,18,FALSE)</f>
        <v>0</v>
      </c>
      <c r="R17">
        <f>VLOOKUP($C17,'[1]PoB AS'!$C$1:$T$898,17,FALSE)</f>
        <v>0</v>
      </c>
      <c r="S17">
        <f>VLOOKUP($C17,'[1]PoB AS'!$C$1:$T$898,18,FALSE)</f>
        <v>0</v>
      </c>
      <c r="T17">
        <f>VLOOKUP($C17,'[1]PoB PI'!$C$1:$T$898,17,FALSE)</f>
        <v>0</v>
      </c>
      <c r="U17">
        <f>VLOOKUP($C17,'[1]PoB PI'!$C$1:$T$898,18,FALSE)</f>
        <v>0</v>
      </c>
      <c r="V17">
        <f>VLOOKUP($C17,'[1]PoB OT'!$C$1:$T$898,17,FALSE)</f>
        <v>16</v>
      </c>
      <c r="W17">
        <f>VLOOKUP($C17,'[1]PoB OT'!$C$1:$T$898,18,FALSE)</f>
        <v>0</v>
      </c>
      <c r="X17">
        <f>VLOOKUP($C17,'[1]PoB 2R'!$C$1:$T$898,17,FALSE)</f>
        <v>12</v>
      </c>
      <c r="Y17">
        <f>VLOOKUP($C17,'[1]PoB 2R'!$C$1:$T$898,18,FALSE)</f>
        <v>0</v>
      </c>
    </row>
    <row r="18" spans="1:25" x14ac:dyDescent="0.25">
      <c r="A18" t="s">
        <v>292</v>
      </c>
      <c r="B18">
        <v>5302910</v>
      </c>
      <c r="C18" t="s">
        <v>293</v>
      </c>
      <c r="D18">
        <f t="shared" si="0"/>
        <v>8588</v>
      </c>
      <c r="E18">
        <f>VLOOKUP($C18,'[1]PoB Totals'!$C$3:$T$898,17,FALSE)</f>
        <v>8161</v>
      </c>
      <c r="F18">
        <f>VLOOKUP($C18,'[1]PoB Totals'!$C$3:$T$898,18,FALSE)</f>
        <v>427</v>
      </c>
      <c r="G18">
        <f t="shared" si="1"/>
        <v>8588</v>
      </c>
      <c r="H18">
        <f t="shared" si="2"/>
        <v>8161</v>
      </c>
      <c r="I18">
        <f t="shared" si="2"/>
        <v>427</v>
      </c>
      <c r="J18">
        <f>VLOOKUP($C18,'[1]PoB WN'!$C$1:$T$898,17,FALSE)</f>
        <v>7459</v>
      </c>
      <c r="K18">
        <f>VLOOKUP($C18,'[1]PoB WN'!$C$1:$T$898,18,FALSE)</f>
        <v>302</v>
      </c>
      <c r="L18">
        <f>VLOOKUP($C18,'[1]PoB WH'!$C$1:$T$898,17,FALSE)</f>
        <v>111</v>
      </c>
      <c r="M18">
        <f>VLOOKUP($C18,'[1]PoB WH'!$C$1:$T$898,18,FALSE)</f>
        <v>5</v>
      </c>
      <c r="N18">
        <f>VLOOKUP($C18,'[1]PoB AA'!$C$1:$T$898,17,FALSE)</f>
        <v>69</v>
      </c>
      <c r="O18">
        <f>VLOOKUP($C18,'[1]PoB AA'!$C$1:$T$898,18,FALSE)</f>
        <v>0</v>
      </c>
      <c r="P18">
        <f>VLOOKUP($C18,'[1]PoB AI'!$C$1:$T$898,17,FALSE)</f>
        <v>92</v>
      </c>
      <c r="Q18">
        <f>VLOOKUP($C18,'[1]PoB AI'!$C$1:$T$898,18,FALSE)</f>
        <v>3</v>
      </c>
      <c r="R18">
        <f>VLOOKUP($C18,'[1]PoB AS'!$C$1:$T$898,17,FALSE)</f>
        <v>43</v>
      </c>
      <c r="S18">
        <f>VLOOKUP($C18,'[1]PoB AS'!$C$1:$T$898,18,FALSE)</f>
        <v>74</v>
      </c>
      <c r="T18">
        <f>VLOOKUP($C18,'[1]PoB PI'!$C$1:$T$898,17,FALSE)</f>
        <v>56</v>
      </c>
      <c r="U18">
        <f>VLOOKUP($C18,'[1]PoB PI'!$C$1:$T$898,18,FALSE)</f>
        <v>0</v>
      </c>
      <c r="V18">
        <f>VLOOKUP($C18,'[1]PoB OT'!$C$1:$T$898,17,FALSE)</f>
        <v>109</v>
      </c>
      <c r="W18">
        <f>VLOOKUP($C18,'[1]PoB OT'!$C$1:$T$898,18,FALSE)</f>
        <v>16</v>
      </c>
      <c r="X18">
        <f>VLOOKUP($C18,'[1]PoB 2R'!$C$1:$T$898,17,FALSE)</f>
        <v>222</v>
      </c>
      <c r="Y18">
        <f>VLOOKUP($C18,'[1]PoB 2R'!$C$1:$T$898,18,FALSE)</f>
        <v>27</v>
      </c>
    </row>
    <row r="19" spans="1:25" x14ac:dyDescent="0.25">
      <c r="A19" t="s">
        <v>294</v>
      </c>
      <c r="B19">
        <v>5303005</v>
      </c>
      <c r="C19" t="s">
        <v>295</v>
      </c>
      <c r="D19">
        <f t="shared" si="0"/>
        <v>259</v>
      </c>
      <c r="E19">
        <f>VLOOKUP($C19,'[1]PoB Totals'!$C$3:$T$898,17,FALSE)</f>
        <v>249</v>
      </c>
      <c r="F19">
        <f>VLOOKUP($C19,'[1]PoB Totals'!$C$3:$T$898,18,FALSE)</f>
        <v>10</v>
      </c>
      <c r="G19">
        <f t="shared" si="1"/>
        <v>259</v>
      </c>
      <c r="H19">
        <f t="shared" si="2"/>
        <v>249</v>
      </c>
      <c r="I19">
        <f t="shared" si="2"/>
        <v>10</v>
      </c>
      <c r="J19">
        <f>VLOOKUP($C19,'[1]PoB WN'!$C$1:$T$898,17,FALSE)</f>
        <v>239</v>
      </c>
      <c r="K19">
        <f>VLOOKUP($C19,'[1]PoB WN'!$C$1:$T$898,18,FALSE)</f>
        <v>10</v>
      </c>
      <c r="L19">
        <f>VLOOKUP($C19,'[1]PoB WH'!$C$1:$T$898,17,FALSE)</f>
        <v>0</v>
      </c>
      <c r="M19">
        <f>VLOOKUP($C19,'[1]PoB WH'!$C$1:$T$898,18,FALSE)</f>
        <v>0</v>
      </c>
      <c r="N19">
        <f>VLOOKUP($C19,'[1]PoB AA'!$C$1:$T$898,17,FALSE)</f>
        <v>10</v>
      </c>
      <c r="O19">
        <f>VLOOKUP($C19,'[1]PoB AA'!$C$1:$T$898,18,FALSE)</f>
        <v>0</v>
      </c>
      <c r="P19">
        <f>VLOOKUP($C19,'[1]PoB AI'!$C$1:$T$898,17,FALSE)</f>
        <v>0</v>
      </c>
      <c r="Q19">
        <f>VLOOKUP($C19,'[1]PoB AI'!$C$1:$T$898,18,FALSE)</f>
        <v>0</v>
      </c>
      <c r="R19">
        <f>VLOOKUP($C19,'[1]PoB AS'!$C$1:$T$898,17,FALSE)</f>
        <v>0</v>
      </c>
      <c r="S19">
        <f>VLOOKUP($C19,'[1]PoB AS'!$C$1:$T$898,18,FALSE)</f>
        <v>0</v>
      </c>
      <c r="T19">
        <f>VLOOKUP($C19,'[1]PoB PI'!$C$1:$T$898,17,FALSE)</f>
        <v>0</v>
      </c>
      <c r="U19">
        <f>VLOOKUP($C19,'[1]PoB PI'!$C$1:$T$898,18,FALSE)</f>
        <v>0</v>
      </c>
      <c r="V19">
        <f>VLOOKUP($C19,'[1]PoB OT'!$C$1:$T$898,17,FALSE)</f>
        <v>0</v>
      </c>
      <c r="W19">
        <f>VLOOKUP($C19,'[1]PoB OT'!$C$1:$T$898,18,FALSE)</f>
        <v>0</v>
      </c>
      <c r="X19">
        <f>VLOOKUP($C19,'[1]PoB 2R'!$C$1:$T$898,17,FALSE)</f>
        <v>0</v>
      </c>
      <c r="Y19">
        <f>VLOOKUP($C19,'[1]PoB 2R'!$C$1:$T$898,18,FALSE)</f>
        <v>0</v>
      </c>
    </row>
    <row r="20" spans="1:25" x14ac:dyDescent="0.25">
      <c r="A20" t="s">
        <v>296</v>
      </c>
      <c r="B20">
        <v>5303075</v>
      </c>
      <c r="C20" t="s">
        <v>297</v>
      </c>
      <c r="D20">
        <f t="shared" si="0"/>
        <v>1095</v>
      </c>
      <c r="E20">
        <f>VLOOKUP($C20,'[1]PoB Totals'!$C$3:$T$898,17,FALSE)</f>
        <v>1072</v>
      </c>
      <c r="F20">
        <f>VLOOKUP($C20,'[1]PoB Totals'!$C$3:$T$898,18,FALSE)</f>
        <v>23</v>
      </c>
      <c r="G20">
        <f t="shared" si="1"/>
        <v>1095</v>
      </c>
      <c r="H20">
        <f t="shared" si="2"/>
        <v>1072</v>
      </c>
      <c r="I20">
        <f t="shared" si="2"/>
        <v>23</v>
      </c>
      <c r="J20">
        <f>VLOOKUP($C20,'[1]PoB WN'!$C$1:$T$898,17,FALSE)</f>
        <v>1020</v>
      </c>
      <c r="K20">
        <f>VLOOKUP($C20,'[1]PoB WN'!$C$1:$T$898,18,FALSE)</f>
        <v>19</v>
      </c>
      <c r="L20">
        <f>VLOOKUP($C20,'[1]PoB WH'!$C$1:$T$898,17,FALSE)</f>
        <v>20</v>
      </c>
      <c r="M20">
        <f>VLOOKUP($C20,'[1]PoB WH'!$C$1:$T$898,18,FALSE)</f>
        <v>0</v>
      </c>
      <c r="N20">
        <f>VLOOKUP($C20,'[1]PoB AA'!$C$1:$T$898,17,FALSE)</f>
        <v>2</v>
      </c>
      <c r="O20">
        <f>VLOOKUP($C20,'[1]PoB AA'!$C$1:$T$898,18,FALSE)</f>
        <v>0</v>
      </c>
      <c r="P20">
        <f>VLOOKUP($C20,'[1]PoB AI'!$C$1:$T$898,17,FALSE)</f>
        <v>17</v>
      </c>
      <c r="Q20">
        <f>VLOOKUP($C20,'[1]PoB AI'!$C$1:$T$898,18,FALSE)</f>
        <v>0</v>
      </c>
      <c r="R20">
        <f>VLOOKUP($C20,'[1]PoB AS'!$C$1:$T$898,17,FALSE)</f>
        <v>0</v>
      </c>
      <c r="S20">
        <f>VLOOKUP($C20,'[1]PoB AS'!$C$1:$T$898,18,FALSE)</f>
        <v>4</v>
      </c>
      <c r="T20">
        <f>VLOOKUP($C20,'[1]PoB PI'!$C$1:$T$898,17,FALSE)</f>
        <v>0</v>
      </c>
      <c r="U20">
        <f>VLOOKUP($C20,'[1]PoB PI'!$C$1:$T$898,18,FALSE)</f>
        <v>0</v>
      </c>
      <c r="V20">
        <f>VLOOKUP($C20,'[1]PoB OT'!$C$1:$T$898,17,FALSE)</f>
        <v>0</v>
      </c>
      <c r="W20">
        <f>VLOOKUP($C20,'[1]PoB OT'!$C$1:$T$898,18,FALSE)</f>
        <v>0</v>
      </c>
      <c r="X20">
        <f>VLOOKUP($C20,'[1]PoB 2R'!$C$1:$T$898,17,FALSE)</f>
        <v>13</v>
      </c>
      <c r="Y20">
        <f>VLOOKUP($C20,'[1]PoB 2R'!$C$1:$T$898,18,FALSE)</f>
        <v>0</v>
      </c>
    </row>
    <row r="21" spans="1:25" x14ac:dyDescent="0.25">
      <c r="A21" t="s">
        <v>298</v>
      </c>
      <c r="B21">
        <v>5303180</v>
      </c>
      <c r="C21" t="s">
        <v>299</v>
      </c>
      <c r="D21">
        <f t="shared" si="0"/>
        <v>40279</v>
      </c>
      <c r="E21">
        <f>VLOOKUP($C21,'[1]PoB Totals'!$C$3:$T$898,17,FALSE)</f>
        <v>35225</v>
      </c>
      <c r="F21">
        <f>VLOOKUP($C21,'[1]PoB Totals'!$C$3:$T$898,18,FALSE)</f>
        <v>5054</v>
      </c>
      <c r="G21">
        <f t="shared" si="1"/>
        <v>40279</v>
      </c>
      <c r="H21">
        <f t="shared" si="2"/>
        <v>35225</v>
      </c>
      <c r="I21">
        <f t="shared" si="2"/>
        <v>5054</v>
      </c>
      <c r="J21">
        <f>VLOOKUP($C21,'[1]PoB WN'!$C$1:$T$898,17,FALSE)</f>
        <v>29849</v>
      </c>
      <c r="K21">
        <f>VLOOKUP($C21,'[1]PoB WN'!$C$1:$T$898,18,FALSE)</f>
        <v>2181</v>
      </c>
      <c r="L21">
        <f>VLOOKUP($C21,'[1]PoB WH'!$C$1:$T$898,17,FALSE)</f>
        <v>768</v>
      </c>
      <c r="M21">
        <f>VLOOKUP($C21,'[1]PoB WH'!$C$1:$T$898,18,FALSE)</f>
        <v>295</v>
      </c>
      <c r="N21">
        <f>VLOOKUP($C21,'[1]PoB AA'!$C$1:$T$898,17,FALSE)</f>
        <v>878</v>
      </c>
      <c r="O21">
        <f>VLOOKUP($C21,'[1]PoB AA'!$C$1:$T$898,18,FALSE)</f>
        <v>186</v>
      </c>
      <c r="P21">
        <f>VLOOKUP($C21,'[1]PoB AI'!$C$1:$T$898,17,FALSE)</f>
        <v>855</v>
      </c>
      <c r="Q21">
        <f>VLOOKUP($C21,'[1]PoB AI'!$C$1:$T$898,18,FALSE)</f>
        <v>32</v>
      </c>
      <c r="R21">
        <f>VLOOKUP($C21,'[1]PoB AS'!$C$1:$T$898,17,FALSE)</f>
        <v>562</v>
      </c>
      <c r="S21">
        <f>VLOOKUP($C21,'[1]PoB AS'!$C$1:$T$898,18,FALSE)</f>
        <v>1003</v>
      </c>
      <c r="T21">
        <f>VLOOKUP($C21,'[1]PoB PI'!$C$1:$T$898,17,FALSE)</f>
        <v>41</v>
      </c>
      <c r="U21">
        <f>VLOOKUP($C21,'[1]PoB PI'!$C$1:$T$898,18,FALSE)</f>
        <v>0</v>
      </c>
      <c r="V21">
        <f>VLOOKUP($C21,'[1]PoB OT'!$C$1:$T$898,17,FALSE)</f>
        <v>721</v>
      </c>
      <c r="W21">
        <f>VLOOKUP($C21,'[1]PoB OT'!$C$1:$T$898,18,FALSE)</f>
        <v>900</v>
      </c>
      <c r="X21">
        <f>VLOOKUP($C21,'[1]PoB 2R'!$C$1:$T$898,17,FALSE)</f>
        <v>1551</v>
      </c>
      <c r="Y21">
        <f>VLOOKUP($C21,'[1]PoB 2R'!$C$1:$T$898,18,FALSE)</f>
        <v>457</v>
      </c>
    </row>
    <row r="22" spans="1:25" x14ac:dyDescent="0.25">
      <c r="A22" t="s">
        <v>1502</v>
      </c>
      <c r="B22">
        <v>5303215</v>
      </c>
      <c r="C22" t="s">
        <v>1503</v>
      </c>
      <c r="D22">
        <f t="shared" si="0"/>
        <v>2061</v>
      </c>
      <c r="E22">
        <f>VLOOKUP($C22,'[1]PoB Totals'!$C$3:$T$898,17,FALSE)</f>
        <v>1655</v>
      </c>
      <c r="F22">
        <f>VLOOKUP($C22,'[1]PoB Totals'!$C$3:$T$898,18,FALSE)</f>
        <v>406</v>
      </c>
      <c r="G22">
        <f t="shared" si="1"/>
        <v>2061</v>
      </c>
      <c r="H22">
        <f t="shared" si="2"/>
        <v>1655</v>
      </c>
      <c r="I22">
        <f t="shared" si="2"/>
        <v>406</v>
      </c>
      <c r="J22">
        <f>VLOOKUP($C22,'[1]PoB WN'!$C$1:$T$898,17,FALSE)</f>
        <v>1246</v>
      </c>
      <c r="K22">
        <f>VLOOKUP($C22,'[1]PoB WN'!$C$1:$T$898,18,FALSE)</f>
        <v>37</v>
      </c>
      <c r="L22">
        <f>VLOOKUP($C22,'[1]PoB WH'!$C$1:$T$898,17,FALSE)</f>
        <v>122</v>
      </c>
      <c r="M22">
        <f>VLOOKUP($C22,'[1]PoB WH'!$C$1:$T$898,18,FALSE)</f>
        <v>19</v>
      </c>
      <c r="N22">
        <f>VLOOKUP($C22,'[1]PoB AA'!$C$1:$T$898,17,FALSE)</f>
        <v>138</v>
      </c>
      <c r="O22">
        <f>VLOOKUP($C22,'[1]PoB AA'!$C$1:$T$898,18,FALSE)</f>
        <v>44</v>
      </c>
      <c r="P22">
        <f>VLOOKUP($C22,'[1]PoB AI'!$C$1:$T$898,17,FALSE)</f>
        <v>19</v>
      </c>
      <c r="Q22">
        <f>VLOOKUP($C22,'[1]PoB AI'!$C$1:$T$898,18,FALSE)</f>
        <v>0</v>
      </c>
      <c r="R22">
        <f>VLOOKUP($C22,'[1]PoB AS'!$C$1:$T$898,17,FALSE)</f>
        <v>45</v>
      </c>
      <c r="S22">
        <f>VLOOKUP($C22,'[1]PoB AS'!$C$1:$T$898,18,FALSE)</f>
        <v>212</v>
      </c>
      <c r="T22">
        <f>VLOOKUP($C22,'[1]PoB PI'!$C$1:$T$898,17,FALSE)</f>
        <v>12</v>
      </c>
      <c r="U22">
        <f>VLOOKUP($C22,'[1]PoB PI'!$C$1:$T$898,18,FALSE)</f>
        <v>30</v>
      </c>
      <c r="V22">
        <f>VLOOKUP($C22,'[1]PoB OT'!$C$1:$T$898,17,FALSE)</f>
        <v>50</v>
      </c>
      <c r="W22">
        <f>VLOOKUP($C22,'[1]PoB OT'!$C$1:$T$898,18,FALSE)</f>
        <v>39</v>
      </c>
      <c r="X22">
        <f>VLOOKUP($C22,'[1]PoB 2R'!$C$1:$T$898,17,FALSE)</f>
        <v>23</v>
      </c>
      <c r="Y22">
        <f>VLOOKUP($C22,'[1]PoB 2R'!$C$1:$T$898,18,FALSE)</f>
        <v>25</v>
      </c>
    </row>
    <row r="23" spans="1:25" x14ac:dyDescent="0.25">
      <c r="A23" t="s">
        <v>300</v>
      </c>
      <c r="B23">
        <v>5303736</v>
      </c>
      <c r="C23" t="s">
        <v>301</v>
      </c>
      <c r="D23">
        <f t="shared" si="0"/>
        <v>20308</v>
      </c>
      <c r="E23">
        <f>VLOOKUP($C23,'[1]PoB Totals'!$C$3:$T$898,17,FALSE)</f>
        <v>18744</v>
      </c>
      <c r="F23">
        <f>VLOOKUP($C23,'[1]PoB Totals'!$C$3:$T$898,18,FALSE)</f>
        <v>1564</v>
      </c>
      <c r="G23">
        <f t="shared" si="1"/>
        <v>20308</v>
      </c>
      <c r="H23">
        <f t="shared" si="2"/>
        <v>18744</v>
      </c>
      <c r="I23">
        <f t="shared" si="2"/>
        <v>1564</v>
      </c>
      <c r="J23">
        <f>VLOOKUP($C23,'[1]PoB WN'!$C$1:$T$898,17,FALSE)</f>
        <v>17552</v>
      </c>
      <c r="K23">
        <f>VLOOKUP($C23,'[1]PoB WN'!$C$1:$T$898,18,FALSE)</f>
        <v>1060</v>
      </c>
      <c r="L23">
        <f>VLOOKUP($C23,'[1]PoB WH'!$C$1:$T$898,17,FALSE)</f>
        <v>153</v>
      </c>
      <c r="M23">
        <f>VLOOKUP($C23,'[1]PoB WH'!$C$1:$T$898,18,FALSE)</f>
        <v>91</v>
      </c>
      <c r="N23">
        <f>VLOOKUP($C23,'[1]PoB AA'!$C$1:$T$898,17,FALSE)</f>
        <v>77</v>
      </c>
      <c r="O23">
        <f>VLOOKUP($C23,'[1]PoB AA'!$C$1:$T$898,18,FALSE)</f>
        <v>0</v>
      </c>
      <c r="P23">
        <f>VLOOKUP($C23,'[1]PoB AI'!$C$1:$T$898,17,FALSE)</f>
        <v>91</v>
      </c>
      <c r="Q23">
        <f>VLOOKUP($C23,'[1]PoB AI'!$C$1:$T$898,18,FALSE)</f>
        <v>6</v>
      </c>
      <c r="R23">
        <f>VLOOKUP($C23,'[1]PoB AS'!$C$1:$T$898,17,FALSE)</f>
        <v>221</v>
      </c>
      <c r="S23">
        <f>VLOOKUP($C23,'[1]PoB AS'!$C$1:$T$898,18,FALSE)</f>
        <v>259</v>
      </c>
      <c r="T23">
        <f>VLOOKUP($C23,'[1]PoB PI'!$C$1:$T$898,17,FALSE)</f>
        <v>16</v>
      </c>
      <c r="U23">
        <f>VLOOKUP($C23,'[1]PoB PI'!$C$1:$T$898,18,FALSE)</f>
        <v>11</v>
      </c>
      <c r="V23">
        <f>VLOOKUP($C23,'[1]PoB OT'!$C$1:$T$898,17,FALSE)</f>
        <v>59</v>
      </c>
      <c r="W23">
        <f>VLOOKUP($C23,'[1]PoB OT'!$C$1:$T$898,18,FALSE)</f>
        <v>81</v>
      </c>
      <c r="X23">
        <f>VLOOKUP($C23,'[1]PoB 2R'!$C$1:$T$898,17,FALSE)</f>
        <v>575</v>
      </c>
      <c r="Y23">
        <f>VLOOKUP($C23,'[1]PoB 2R'!$C$1:$T$898,18,FALSE)</f>
        <v>56</v>
      </c>
    </row>
    <row r="24" spans="1:25" x14ac:dyDescent="0.25">
      <c r="A24" t="s">
        <v>1504</v>
      </c>
      <c r="B24">
        <v>5304113</v>
      </c>
      <c r="C24" t="s">
        <v>1505</v>
      </c>
      <c r="D24">
        <f t="shared" si="0"/>
        <v>7253</v>
      </c>
      <c r="E24">
        <f>VLOOKUP($C24,'[1]PoB Totals'!$C$3:$T$898,17,FALSE)</f>
        <v>6660</v>
      </c>
      <c r="F24">
        <f>VLOOKUP($C24,'[1]PoB Totals'!$C$3:$T$898,18,FALSE)</f>
        <v>593</v>
      </c>
      <c r="G24">
        <f t="shared" si="1"/>
        <v>7253</v>
      </c>
      <c r="H24">
        <f t="shared" si="2"/>
        <v>6660</v>
      </c>
      <c r="I24">
        <f t="shared" si="2"/>
        <v>593</v>
      </c>
      <c r="J24">
        <f>VLOOKUP($C24,'[1]PoB WN'!$C$1:$T$898,17,FALSE)</f>
        <v>5060</v>
      </c>
      <c r="K24">
        <f>VLOOKUP($C24,'[1]PoB WN'!$C$1:$T$898,18,FALSE)</f>
        <v>127</v>
      </c>
      <c r="L24">
        <f>VLOOKUP($C24,'[1]PoB WH'!$C$1:$T$898,17,FALSE)</f>
        <v>256</v>
      </c>
      <c r="M24">
        <f>VLOOKUP($C24,'[1]PoB WH'!$C$1:$T$898,18,FALSE)</f>
        <v>45</v>
      </c>
      <c r="N24">
        <f>VLOOKUP($C24,'[1]PoB AA'!$C$1:$T$898,17,FALSE)</f>
        <v>518</v>
      </c>
      <c r="O24">
        <f>VLOOKUP($C24,'[1]PoB AA'!$C$1:$T$898,18,FALSE)</f>
        <v>22</v>
      </c>
      <c r="P24">
        <f>VLOOKUP($C24,'[1]PoB AI'!$C$1:$T$898,17,FALSE)</f>
        <v>82</v>
      </c>
      <c r="Q24">
        <f>VLOOKUP($C24,'[1]PoB AI'!$C$1:$T$898,18,FALSE)</f>
        <v>0</v>
      </c>
      <c r="R24">
        <f>VLOOKUP($C24,'[1]PoB AS'!$C$1:$T$898,17,FALSE)</f>
        <v>89</v>
      </c>
      <c r="S24">
        <f>VLOOKUP($C24,'[1]PoB AS'!$C$1:$T$898,18,FALSE)</f>
        <v>217</v>
      </c>
      <c r="T24">
        <f>VLOOKUP($C24,'[1]PoB PI'!$C$1:$T$898,17,FALSE)</f>
        <v>26</v>
      </c>
      <c r="U24">
        <f>VLOOKUP($C24,'[1]PoB PI'!$C$1:$T$898,18,FALSE)</f>
        <v>119</v>
      </c>
      <c r="V24">
        <f>VLOOKUP($C24,'[1]PoB OT'!$C$1:$T$898,17,FALSE)</f>
        <v>286</v>
      </c>
      <c r="W24">
        <f>VLOOKUP($C24,'[1]PoB OT'!$C$1:$T$898,18,FALSE)</f>
        <v>19</v>
      </c>
      <c r="X24">
        <f>VLOOKUP($C24,'[1]PoB 2R'!$C$1:$T$898,17,FALSE)</f>
        <v>343</v>
      </c>
      <c r="Y24">
        <f>VLOOKUP($C24,'[1]PoB 2R'!$C$1:$T$898,18,FALSE)</f>
        <v>44</v>
      </c>
    </row>
    <row r="25" spans="1:25" x14ac:dyDescent="0.25">
      <c r="A25" t="s">
        <v>304</v>
      </c>
      <c r="B25">
        <v>5304125</v>
      </c>
      <c r="C25" t="s">
        <v>305</v>
      </c>
      <c r="D25">
        <f t="shared" si="0"/>
        <v>138</v>
      </c>
      <c r="E25">
        <f>VLOOKUP($C25,'[1]PoB Totals'!$C$3:$T$898,17,FALSE)</f>
        <v>138</v>
      </c>
      <c r="F25">
        <f>VLOOKUP($C25,'[1]PoB Totals'!$C$3:$T$898,18,FALSE)</f>
        <v>0</v>
      </c>
      <c r="G25">
        <f t="shared" si="1"/>
        <v>138</v>
      </c>
      <c r="H25">
        <f t="shared" si="2"/>
        <v>138</v>
      </c>
      <c r="I25">
        <f t="shared" si="2"/>
        <v>0</v>
      </c>
      <c r="J25">
        <f>VLOOKUP($C25,'[1]PoB WN'!$C$1:$T$898,17,FALSE)</f>
        <v>138</v>
      </c>
      <c r="K25">
        <f>VLOOKUP($C25,'[1]PoB WN'!$C$1:$T$898,18,FALSE)</f>
        <v>0</v>
      </c>
      <c r="L25">
        <f>VLOOKUP($C25,'[1]PoB WH'!$C$1:$T$898,17,FALSE)</f>
        <v>0</v>
      </c>
      <c r="M25">
        <f>VLOOKUP($C25,'[1]PoB WH'!$C$1:$T$898,18,FALSE)</f>
        <v>0</v>
      </c>
      <c r="N25">
        <f>VLOOKUP($C25,'[1]PoB AA'!$C$1:$T$898,17,FALSE)</f>
        <v>0</v>
      </c>
      <c r="O25">
        <f>VLOOKUP($C25,'[1]PoB AA'!$C$1:$T$898,18,FALSE)</f>
        <v>0</v>
      </c>
      <c r="P25">
        <f>VLOOKUP($C25,'[1]PoB AI'!$C$1:$T$898,17,FALSE)</f>
        <v>0</v>
      </c>
      <c r="Q25">
        <f>VLOOKUP($C25,'[1]PoB AI'!$C$1:$T$898,18,FALSE)</f>
        <v>0</v>
      </c>
      <c r="R25">
        <f>VLOOKUP($C25,'[1]PoB AS'!$C$1:$T$898,17,FALSE)</f>
        <v>0</v>
      </c>
      <c r="S25">
        <f>VLOOKUP($C25,'[1]PoB AS'!$C$1:$T$898,18,FALSE)</f>
        <v>0</v>
      </c>
      <c r="T25">
        <f>VLOOKUP($C25,'[1]PoB PI'!$C$1:$T$898,17,FALSE)</f>
        <v>0</v>
      </c>
      <c r="U25">
        <f>VLOOKUP($C25,'[1]PoB PI'!$C$1:$T$898,18,FALSE)</f>
        <v>0</v>
      </c>
      <c r="V25">
        <f>VLOOKUP($C25,'[1]PoB OT'!$C$1:$T$898,17,FALSE)</f>
        <v>0</v>
      </c>
      <c r="W25">
        <f>VLOOKUP($C25,'[1]PoB OT'!$C$1:$T$898,18,FALSE)</f>
        <v>0</v>
      </c>
      <c r="X25">
        <f>VLOOKUP($C25,'[1]PoB 2R'!$C$1:$T$898,17,FALSE)</f>
        <v>0</v>
      </c>
      <c r="Y25">
        <f>VLOOKUP($C25,'[1]PoB 2R'!$C$1:$T$898,18,FALSE)</f>
        <v>0</v>
      </c>
    </row>
    <row r="26" spans="1:25" x14ac:dyDescent="0.25">
      <c r="A26" t="s">
        <v>306</v>
      </c>
      <c r="B26">
        <v>5304195</v>
      </c>
      <c r="C26" t="s">
        <v>307</v>
      </c>
      <c r="D26">
        <f t="shared" si="0"/>
        <v>4602</v>
      </c>
      <c r="E26">
        <f>VLOOKUP($C26,'[1]PoB Totals'!$C$3:$T$898,17,FALSE)</f>
        <v>4431</v>
      </c>
      <c r="F26">
        <f>VLOOKUP($C26,'[1]PoB Totals'!$C$3:$T$898,18,FALSE)</f>
        <v>171</v>
      </c>
      <c r="G26">
        <f t="shared" si="1"/>
        <v>4602</v>
      </c>
      <c r="H26">
        <f t="shared" si="2"/>
        <v>4431</v>
      </c>
      <c r="I26">
        <f t="shared" si="2"/>
        <v>171</v>
      </c>
      <c r="J26">
        <f>VLOOKUP($C26,'[1]PoB WN'!$C$1:$T$898,17,FALSE)</f>
        <v>4206</v>
      </c>
      <c r="K26">
        <f>VLOOKUP($C26,'[1]PoB WN'!$C$1:$T$898,18,FALSE)</f>
        <v>116</v>
      </c>
      <c r="L26">
        <f>VLOOKUP($C26,'[1]PoB WH'!$C$1:$T$898,17,FALSE)</f>
        <v>39</v>
      </c>
      <c r="M26">
        <f>VLOOKUP($C26,'[1]PoB WH'!$C$1:$T$898,18,FALSE)</f>
        <v>0</v>
      </c>
      <c r="N26">
        <f>VLOOKUP($C26,'[1]PoB AA'!$C$1:$T$898,17,FALSE)</f>
        <v>21</v>
      </c>
      <c r="O26">
        <f>VLOOKUP($C26,'[1]PoB AA'!$C$1:$T$898,18,FALSE)</f>
        <v>0</v>
      </c>
      <c r="P26">
        <f>VLOOKUP($C26,'[1]PoB AI'!$C$1:$T$898,17,FALSE)</f>
        <v>38</v>
      </c>
      <c r="Q26">
        <f>VLOOKUP($C26,'[1]PoB AI'!$C$1:$T$898,18,FALSE)</f>
        <v>0</v>
      </c>
      <c r="R26">
        <f>VLOOKUP($C26,'[1]PoB AS'!$C$1:$T$898,17,FALSE)</f>
        <v>24</v>
      </c>
      <c r="S26">
        <f>VLOOKUP($C26,'[1]PoB AS'!$C$1:$T$898,18,FALSE)</f>
        <v>41</v>
      </c>
      <c r="T26">
        <f>VLOOKUP($C26,'[1]PoB PI'!$C$1:$T$898,17,FALSE)</f>
        <v>30</v>
      </c>
      <c r="U26">
        <f>VLOOKUP($C26,'[1]PoB PI'!$C$1:$T$898,18,FALSE)</f>
        <v>0</v>
      </c>
      <c r="V26">
        <f>VLOOKUP($C26,'[1]PoB OT'!$C$1:$T$898,17,FALSE)</f>
        <v>48</v>
      </c>
      <c r="W26">
        <f>VLOOKUP($C26,'[1]PoB OT'!$C$1:$T$898,18,FALSE)</f>
        <v>14</v>
      </c>
      <c r="X26">
        <f>VLOOKUP($C26,'[1]PoB 2R'!$C$1:$T$898,17,FALSE)</f>
        <v>25</v>
      </c>
      <c r="Y26">
        <f>VLOOKUP($C26,'[1]PoB 2R'!$C$1:$T$898,18,FALSE)</f>
        <v>0</v>
      </c>
    </row>
    <row r="27" spans="1:25" x14ac:dyDescent="0.25">
      <c r="A27" t="s">
        <v>308</v>
      </c>
      <c r="B27">
        <v>5304300</v>
      </c>
      <c r="C27" t="s">
        <v>309</v>
      </c>
      <c r="D27">
        <f t="shared" si="0"/>
        <v>225</v>
      </c>
      <c r="E27">
        <f>VLOOKUP($C27,'[1]PoB Totals'!$C$3:$T$898,17,FALSE)</f>
        <v>211</v>
      </c>
      <c r="F27">
        <f>VLOOKUP($C27,'[1]PoB Totals'!$C$3:$T$898,18,FALSE)</f>
        <v>14</v>
      </c>
      <c r="G27">
        <f t="shared" si="1"/>
        <v>225</v>
      </c>
      <c r="H27">
        <f t="shared" si="2"/>
        <v>211</v>
      </c>
      <c r="I27">
        <f t="shared" si="2"/>
        <v>14</v>
      </c>
      <c r="J27">
        <f>VLOOKUP($C27,'[1]PoB WN'!$C$1:$T$898,17,FALSE)</f>
        <v>186</v>
      </c>
      <c r="K27">
        <f>VLOOKUP($C27,'[1]PoB WN'!$C$1:$T$898,18,FALSE)</f>
        <v>8</v>
      </c>
      <c r="L27">
        <f>VLOOKUP($C27,'[1]PoB WH'!$C$1:$T$898,17,FALSE)</f>
        <v>3</v>
      </c>
      <c r="M27">
        <f>VLOOKUP($C27,'[1]PoB WH'!$C$1:$T$898,18,FALSE)</f>
        <v>0</v>
      </c>
      <c r="N27">
        <f>VLOOKUP($C27,'[1]PoB AA'!$C$1:$T$898,17,FALSE)</f>
        <v>0</v>
      </c>
      <c r="O27">
        <f>VLOOKUP($C27,'[1]PoB AA'!$C$1:$T$898,18,FALSE)</f>
        <v>0</v>
      </c>
      <c r="P27">
        <f>VLOOKUP($C27,'[1]PoB AI'!$C$1:$T$898,17,FALSE)</f>
        <v>13</v>
      </c>
      <c r="Q27">
        <f>VLOOKUP($C27,'[1]PoB AI'!$C$1:$T$898,18,FALSE)</f>
        <v>0</v>
      </c>
      <c r="R27">
        <f>VLOOKUP($C27,'[1]PoB AS'!$C$1:$T$898,17,FALSE)</f>
        <v>0</v>
      </c>
      <c r="S27">
        <f>VLOOKUP($C27,'[1]PoB AS'!$C$1:$T$898,18,FALSE)</f>
        <v>4</v>
      </c>
      <c r="T27">
        <f>VLOOKUP($C27,'[1]PoB PI'!$C$1:$T$898,17,FALSE)</f>
        <v>0</v>
      </c>
      <c r="U27">
        <f>VLOOKUP($C27,'[1]PoB PI'!$C$1:$T$898,18,FALSE)</f>
        <v>0</v>
      </c>
      <c r="V27">
        <f>VLOOKUP($C27,'[1]PoB OT'!$C$1:$T$898,17,FALSE)</f>
        <v>0</v>
      </c>
      <c r="W27">
        <f>VLOOKUP($C27,'[1]PoB OT'!$C$1:$T$898,18,FALSE)</f>
        <v>0</v>
      </c>
      <c r="X27">
        <f>VLOOKUP($C27,'[1]PoB 2R'!$C$1:$T$898,17,FALSE)</f>
        <v>9</v>
      </c>
      <c r="Y27">
        <f>VLOOKUP($C27,'[1]PoB 2R'!$C$1:$T$898,18,FALSE)</f>
        <v>2</v>
      </c>
    </row>
    <row r="28" spans="1:25" x14ac:dyDescent="0.25">
      <c r="A28" t="s">
        <v>314</v>
      </c>
      <c r="B28">
        <v>5304405</v>
      </c>
      <c r="C28" t="s">
        <v>315</v>
      </c>
      <c r="D28">
        <f t="shared" si="0"/>
        <v>850</v>
      </c>
      <c r="E28">
        <f>VLOOKUP($C28,'[1]PoB Totals'!$C$3:$T$898,17,FALSE)</f>
        <v>470</v>
      </c>
      <c r="F28">
        <f>VLOOKUP($C28,'[1]PoB Totals'!$C$3:$T$898,18,FALSE)</f>
        <v>380</v>
      </c>
      <c r="G28">
        <f t="shared" si="1"/>
        <v>850</v>
      </c>
      <c r="H28">
        <f t="shared" si="2"/>
        <v>470</v>
      </c>
      <c r="I28">
        <f t="shared" si="2"/>
        <v>380</v>
      </c>
      <c r="J28">
        <f>VLOOKUP($C28,'[1]PoB WN'!$C$1:$T$898,17,FALSE)</f>
        <v>200</v>
      </c>
      <c r="K28">
        <f>VLOOKUP($C28,'[1]PoB WN'!$C$1:$T$898,18,FALSE)</f>
        <v>9</v>
      </c>
      <c r="L28">
        <f>VLOOKUP($C28,'[1]PoB WH'!$C$1:$T$898,17,FALSE)</f>
        <v>99</v>
      </c>
      <c r="M28">
        <f>VLOOKUP($C28,'[1]PoB WH'!$C$1:$T$898,18,FALSE)</f>
        <v>164</v>
      </c>
      <c r="N28">
        <f>VLOOKUP($C28,'[1]PoB AA'!$C$1:$T$898,17,FALSE)</f>
        <v>0</v>
      </c>
      <c r="O28">
        <f>VLOOKUP($C28,'[1]PoB AA'!$C$1:$T$898,18,FALSE)</f>
        <v>0</v>
      </c>
      <c r="P28">
        <f>VLOOKUP($C28,'[1]PoB AI'!$C$1:$T$898,17,FALSE)</f>
        <v>0</v>
      </c>
      <c r="Q28">
        <f>VLOOKUP($C28,'[1]PoB AI'!$C$1:$T$898,18,FALSE)</f>
        <v>0</v>
      </c>
      <c r="R28">
        <f>VLOOKUP($C28,'[1]PoB AS'!$C$1:$T$898,17,FALSE)</f>
        <v>0</v>
      </c>
      <c r="S28">
        <f>VLOOKUP($C28,'[1]PoB AS'!$C$1:$T$898,18,FALSE)</f>
        <v>0</v>
      </c>
      <c r="T28">
        <f>VLOOKUP($C28,'[1]PoB PI'!$C$1:$T$898,17,FALSE)</f>
        <v>0</v>
      </c>
      <c r="U28">
        <f>VLOOKUP($C28,'[1]PoB PI'!$C$1:$T$898,18,FALSE)</f>
        <v>0</v>
      </c>
      <c r="V28">
        <f>VLOOKUP($C28,'[1]PoB OT'!$C$1:$T$898,17,FALSE)</f>
        <v>134</v>
      </c>
      <c r="W28">
        <f>VLOOKUP($C28,'[1]PoB OT'!$C$1:$T$898,18,FALSE)</f>
        <v>96</v>
      </c>
      <c r="X28">
        <f>VLOOKUP($C28,'[1]PoB 2R'!$C$1:$T$898,17,FALSE)</f>
        <v>37</v>
      </c>
      <c r="Y28">
        <f>VLOOKUP($C28,'[1]PoB 2R'!$C$1:$T$898,18,FALSE)</f>
        <v>111</v>
      </c>
    </row>
    <row r="29" spans="1:25" x14ac:dyDescent="0.25">
      <c r="A29" t="s">
        <v>316</v>
      </c>
      <c r="B29">
        <v>5304475</v>
      </c>
      <c r="C29" t="s">
        <v>317</v>
      </c>
      <c r="D29">
        <f t="shared" si="0"/>
        <v>9344</v>
      </c>
      <c r="E29">
        <f>VLOOKUP($C29,'[1]PoB Totals'!$C$3:$T$898,17,FALSE)</f>
        <v>8731</v>
      </c>
      <c r="F29">
        <f>VLOOKUP($C29,'[1]PoB Totals'!$C$3:$T$898,18,FALSE)</f>
        <v>613</v>
      </c>
      <c r="G29">
        <f t="shared" si="1"/>
        <v>9344</v>
      </c>
      <c r="H29">
        <f t="shared" si="2"/>
        <v>8731</v>
      </c>
      <c r="I29">
        <f t="shared" si="2"/>
        <v>613</v>
      </c>
      <c r="J29">
        <f>VLOOKUP($C29,'[1]PoB WN'!$C$1:$T$898,17,FALSE)</f>
        <v>8120</v>
      </c>
      <c r="K29">
        <f>VLOOKUP($C29,'[1]PoB WN'!$C$1:$T$898,18,FALSE)</f>
        <v>424</v>
      </c>
      <c r="L29">
        <f>VLOOKUP($C29,'[1]PoB WH'!$C$1:$T$898,17,FALSE)</f>
        <v>155</v>
      </c>
      <c r="M29">
        <f>VLOOKUP($C29,'[1]PoB WH'!$C$1:$T$898,18,FALSE)</f>
        <v>61</v>
      </c>
      <c r="N29">
        <f>VLOOKUP($C29,'[1]PoB AA'!$C$1:$T$898,17,FALSE)</f>
        <v>15</v>
      </c>
      <c r="O29">
        <f>VLOOKUP($C29,'[1]PoB AA'!$C$1:$T$898,18,FALSE)</f>
        <v>0</v>
      </c>
      <c r="P29">
        <f>VLOOKUP($C29,'[1]PoB AI'!$C$1:$T$898,17,FALSE)</f>
        <v>64</v>
      </c>
      <c r="Q29">
        <f>VLOOKUP($C29,'[1]PoB AI'!$C$1:$T$898,18,FALSE)</f>
        <v>0</v>
      </c>
      <c r="R29">
        <f>VLOOKUP($C29,'[1]PoB AS'!$C$1:$T$898,17,FALSE)</f>
        <v>33</v>
      </c>
      <c r="S29">
        <f>VLOOKUP($C29,'[1]PoB AS'!$C$1:$T$898,18,FALSE)</f>
        <v>33</v>
      </c>
      <c r="T29">
        <f>VLOOKUP($C29,'[1]PoB PI'!$C$1:$T$898,17,FALSE)</f>
        <v>0</v>
      </c>
      <c r="U29">
        <f>VLOOKUP($C29,'[1]PoB PI'!$C$1:$T$898,18,FALSE)</f>
        <v>0</v>
      </c>
      <c r="V29">
        <f>VLOOKUP($C29,'[1]PoB OT'!$C$1:$T$898,17,FALSE)</f>
        <v>142</v>
      </c>
      <c r="W29">
        <f>VLOOKUP($C29,'[1]PoB OT'!$C$1:$T$898,18,FALSE)</f>
        <v>42</v>
      </c>
      <c r="X29">
        <f>VLOOKUP($C29,'[1]PoB 2R'!$C$1:$T$898,17,FALSE)</f>
        <v>202</v>
      </c>
      <c r="Y29">
        <f>VLOOKUP($C29,'[1]PoB 2R'!$C$1:$T$898,18,FALSE)</f>
        <v>53</v>
      </c>
    </row>
    <row r="30" spans="1:25" x14ac:dyDescent="0.25">
      <c r="A30" t="s">
        <v>318</v>
      </c>
      <c r="B30">
        <v>5304615</v>
      </c>
      <c r="C30" t="s">
        <v>319</v>
      </c>
      <c r="D30">
        <f t="shared" si="0"/>
        <v>164</v>
      </c>
      <c r="E30">
        <f>VLOOKUP($C30,'[1]PoB Totals'!$C$3:$T$898,17,FALSE)</f>
        <v>145</v>
      </c>
      <c r="F30">
        <f>VLOOKUP($C30,'[1]PoB Totals'!$C$3:$T$898,18,FALSE)</f>
        <v>19</v>
      </c>
      <c r="G30">
        <f t="shared" si="1"/>
        <v>164</v>
      </c>
      <c r="H30">
        <f t="shared" si="2"/>
        <v>145</v>
      </c>
      <c r="I30">
        <f t="shared" si="2"/>
        <v>19</v>
      </c>
      <c r="J30">
        <f>VLOOKUP($C30,'[1]PoB WN'!$C$1:$T$898,17,FALSE)</f>
        <v>97</v>
      </c>
      <c r="K30">
        <f>VLOOKUP($C30,'[1]PoB WN'!$C$1:$T$898,18,FALSE)</f>
        <v>16</v>
      </c>
      <c r="L30">
        <f>VLOOKUP($C30,'[1]PoB WH'!$C$1:$T$898,17,FALSE)</f>
        <v>0</v>
      </c>
      <c r="M30">
        <f>VLOOKUP($C30,'[1]PoB WH'!$C$1:$T$898,18,FALSE)</f>
        <v>3</v>
      </c>
      <c r="N30">
        <f>VLOOKUP($C30,'[1]PoB AA'!$C$1:$T$898,17,FALSE)</f>
        <v>0</v>
      </c>
      <c r="O30">
        <f>VLOOKUP($C30,'[1]PoB AA'!$C$1:$T$898,18,FALSE)</f>
        <v>0</v>
      </c>
      <c r="P30">
        <f>VLOOKUP($C30,'[1]PoB AI'!$C$1:$T$898,17,FALSE)</f>
        <v>12</v>
      </c>
      <c r="Q30">
        <f>VLOOKUP($C30,'[1]PoB AI'!$C$1:$T$898,18,FALSE)</f>
        <v>0</v>
      </c>
      <c r="R30">
        <f>VLOOKUP($C30,'[1]PoB AS'!$C$1:$T$898,17,FALSE)</f>
        <v>3</v>
      </c>
      <c r="S30">
        <f>VLOOKUP($C30,'[1]PoB AS'!$C$1:$T$898,18,FALSE)</f>
        <v>0</v>
      </c>
      <c r="T30">
        <f>VLOOKUP($C30,'[1]PoB PI'!$C$1:$T$898,17,FALSE)</f>
        <v>0</v>
      </c>
      <c r="U30">
        <f>VLOOKUP($C30,'[1]PoB PI'!$C$1:$T$898,18,FALSE)</f>
        <v>0</v>
      </c>
      <c r="V30">
        <f>VLOOKUP($C30,'[1]PoB OT'!$C$1:$T$898,17,FALSE)</f>
        <v>5</v>
      </c>
      <c r="W30">
        <f>VLOOKUP($C30,'[1]PoB OT'!$C$1:$T$898,18,FALSE)</f>
        <v>0</v>
      </c>
      <c r="X30">
        <f>VLOOKUP($C30,'[1]PoB 2R'!$C$1:$T$898,17,FALSE)</f>
        <v>28</v>
      </c>
      <c r="Y30">
        <f>VLOOKUP($C30,'[1]PoB 2R'!$C$1:$T$898,18,FALSE)</f>
        <v>0</v>
      </c>
    </row>
    <row r="31" spans="1:25" x14ac:dyDescent="0.25">
      <c r="A31" t="s">
        <v>320</v>
      </c>
      <c r="B31">
        <v>5304790</v>
      </c>
      <c r="C31" t="s">
        <v>321</v>
      </c>
      <c r="D31">
        <f t="shared" si="0"/>
        <v>442</v>
      </c>
      <c r="E31">
        <f>VLOOKUP($C31,'[1]PoB Totals'!$C$3:$T$898,17,FALSE)</f>
        <v>427</v>
      </c>
      <c r="F31">
        <f>VLOOKUP($C31,'[1]PoB Totals'!$C$3:$T$898,18,FALSE)</f>
        <v>15</v>
      </c>
      <c r="G31">
        <f t="shared" si="1"/>
        <v>442</v>
      </c>
      <c r="H31">
        <f t="shared" si="2"/>
        <v>427</v>
      </c>
      <c r="I31">
        <f t="shared" si="2"/>
        <v>15</v>
      </c>
      <c r="J31">
        <f>VLOOKUP($C31,'[1]PoB WN'!$C$1:$T$898,17,FALSE)</f>
        <v>399</v>
      </c>
      <c r="K31">
        <f>VLOOKUP($C31,'[1]PoB WN'!$C$1:$T$898,18,FALSE)</f>
        <v>15</v>
      </c>
      <c r="L31">
        <f>VLOOKUP($C31,'[1]PoB WH'!$C$1:$T$898,17,FALSE)</f>
        <v>0</v>
      </c>
      <c r="M31">
        <f>VLOOKUP($C31,'[1]PoB WH'!$C$1:$T$898,18,FALSE)</f>
        <v>0</v>
      </c>
      <c r="N31">
        <f>VLOOKUP($C31,'[1]PoB AA'!$C$1:$T$898,17,FALSE)</f>
        <v>0</v>
      </c>
      <c r="O31">
        <f>VLOOKUP($C31,'[1]PoB AA'!$C$1:$T$898,18,FALSE)</f>
        <v>0</v>
      </c>
      <c r="P31">
        <f>VLOOKUP($C31,'[1]PoB AI'!$C$1:$T$898,17,FALSE)</f>
        <v>0</v>
      </c>
      <c r="Q31">
        <f>VLOOKUP($C31,'[1]PoB AI'!$C$1:$T$898,18,FALSE)</f>
        <v>0</v>
      </c>
      <c r="R31">
        <f>VLOOKUP($C31,'[1]PoB AS'!$C$1:$T$898,17,FALSE)</f>
        <v>0</v>
      </c>
      <c r="S31">
        <f>VLOOKUP($C31,'[1]PoB AS'!$C$1:$T$898,18,FALSE)</f>
        <v>0</v>
      </c>
      <c r="T31">
        <f>VLOOKUP($C31,'[1]PoB PI'!$C$1:$T$898,17,FALSE)</f>
        <v>0</v>
      </c>
      <c r="U31">
        <f>VLOOKUP($C31,'[1]PoB PI'!$C$1:$T$898,18,FALSE)</f>
        <v>0</v>
      </c>
      <c r="V31">
        <f>VLOOKUP($C31,'[1]PoB OT'!$C$1:$T$898,17,FALSE)</f>
        <v>0</v>
      </c>
      <c r="W31">
        <f>VLOOKUP($C31,'[1]PoB OT'!$C$1:$T$898,18,FALSE)</f>
        <v>0</v>
      </c>
      <c r="X31">
        <f>VLOOKUP($C31,'[1]PoB 2R'!$C$1:$T$898,17,FALSE)</f>
        <v>28</v>
      </c>
      <c r="Y31">
        <f>VLOOKUP($C31,'[1]PoB 2R'!$C$1:$T$898,18,FALSE)</f>
        <v>0</v>
      </c>
    </row>
    <row r="32" spans="1:25" x14ac:dyDescent="0.25">
      <c r="A32" t="s">
        <v>322</v>
      </c>
      <c r="B32">
        <v>5304895</v>
      </c>
      <c r="C32" t="s">
        <v>323</v>
      </c>
      <c r="D32">
        <f t="shared" si="0"/>
        <v>312</v>
      </c>
      <c r="E32">
        <f>VLOOKUP($C32,'[1]PoB Totals'!$C$3:$T$898,17,FALSE)</f>
        <v>274</v>
      </c>
      <c r="F32">
        <f>VLOOKUP($C32,'[1]PoB Totals'!$C$3:$T$898,18,FALSE)</f>
        <v>38</v>
      </c>
      <c r="G32">
        <f t="shared" si="1"/>
        <v>312</v>
      </c>
      <c r="H32">
        <f>SUM(J32,L32,N32,P32,R32,T32,V32,X32)</f>
        <v>274</v>
      </c>
      <c r="I32">
        <f t="shared" si="2"/>
        <v>38</v>
      </c>
      <c r="J32">
        <f>VLOOKUP($C32,'[1]PoB WN'!$C$1:$T$898,17,FALSE)</f>
        <v>268</v>
      </c>
      <c r="K32">
        <f>VLOOKUP($C32,'[1]PoB WN'!$C$1:$T$898,18,FALSE)</f>
        <v>32</v>
      </c>
      <c r="L32">
        <f>VLOOKUP($C32,'[1]PoB WH'!$C$1:$T$898,17,FALSE)</f>
        <v>0</v>
      </c>
      <c r="M32">
        <f>VLOOKUP($C32,'[1]PoB WH'!$C$1:$T$898,18,FALSE)</f>
        <v>0</v>
      </c>
      <c r="N32">
        <f>VLOOKUP($C32,'[1]PoB AA'!$C$1:$T$898,17,FALSE)</f>
        <v>0</v>
      </c>
      <c r="O32">
        <f>VLOOKUP($C32,'[1]PoB AA'!$C$1:$T$898,18,FALSE)</f>
        <v>0</v>
      </c>
      <c r="P32">
        <f>VLOOKUP($C32,'[1]PoB AI'!$C$1:$T$898,17,FALSE)</f>
        <v>0</v>
      </c>
      <c r="Q32">
        <f>VLOOKUP($C32,'[1]PoB AI'!$C$1:$T$898,18,FALSE)</f>
        <v>0</v>
      </c>
      <c r="R32">
        <f>VLOOKUP($C32,'[1]PoB AS'!$C$1:$T$898,17,FALSE)</f>
        <v>6</v>
      </c>
      <c r="S32">
        <f>VLOOKUP($C32,'[1]PoB AS'!$C$1:$T$898,18,FALSE)</f>
        <v>6</v>
      </c>
      <c r="T32">
        <f>VLOOKUP($C32,'[1]PoB PI'!$C$1:$T$898,17,FALSE)</f>
        <v>0</v>
      </c>
      <c r="U32">
        <f>VLOOKUP($C32,'[1]PoB PI'!$C$1:$T$898,18,FALSE)</f>
        <v>0</v>
      </c>
      <c r="V32">
        <f>VLOOKUP($C32,'[1]PoB OT'!$C$1:$T$898,17,FALSE)</f>
        <v>0</v>
      </c>
      <c r="W32">
        <f>VLOOKUP($C32,'[1]PoB OT'!$C$1:$T$898,18,FALSE)</f>
        <v>0</v>
      </c>
      <c r="X32">
        <f>VLOOKUP($C32,'[1]PoB 2R'!$C$1:$T$898,17,FALSE)</f>
        <v>0</v>
      </c>
      <c r="Y32">
        <f>VLOOKUP($C32,'[1]PoB 2R'!$C$1:$T$898,18,FALSE)</f>
        <v>0</v>
      </c>
    </row>
    <row r="33" spans="1:25" x14ac:dyDescent="0.25">
      <c r="A33" t="s">
        <v>326</v>
      </c>
      <c r="B33">
        <v>5305210</v>
      </c>
      <c r="C33" t="s">
        <v>327</v>
      </c>
      <c r="D33">
        <f t="shared" si="0"/>
        <v>109189</v>
      </c>
      <c r="E33">
        <f>VLOOKUP($C33,'[1]PoB Totals'!$C$3:$T$898,17,FALSE)</f>
        <v>80951</v>
      </c>
      <c r="F33">
        <f>VLOOKUP($C33,'[1]PoB Totals'!$C$3:$T$898,18,FALSE)</f>
        <v>28238</v>
      </c>
      <c r="G33">
        <f t="shared" si="1"/>
        <v>109189</v>
      </c>
      <c r="H33">
        <f t="shared" si="2"/>
        <v>80951</v>
      </c>
      <c r="I33">
        <f t="shared" si="2"/>
        <v>28238</v>
      </c>
      <c r="J33">
        <f>VLOOKUP($C33,'[1]PoB WN'!$C$1:$T$898,17,FALSE)</f>
        <v>68750</v>
      </c>
      <c r="K33">
        <f>VLOOKUP($C33,'[1]PoB WN'!$C$1:$T$898,18,FALSE)</f>
        <v>9669</v>
      </c>
      <c r="L33">
        <f>VLOOKUP($C33,'[1]PoB WH'!$C$1:$T$898,17,FALSE)</f>
        <v>1203</v>
      </c>
      <c r="M33">
        <f>VLOOKUP($C33,'[1]PoB WH'!$C$1:$T$898,18,FALSE)</f>
        <v>1283</v>
      </c>
      <c r="N33">
        <f>VLOOKUP($C33,'[1]PoB AA'!$C$1:$T$898,17,FALSE)</f>
        <v>1582</v>
      </c>
      <c r="O33">
        <f>VLOOKUP($C33,'[1]PoB AA'!$C$1:$T$898,18,FALSE)</f>
        <v>354</v>
      </c>
      <c r="P33">
        <f>VLOOKUP($C33,'[1]PoB AI'!$C$1:$T$898,17,FALSE)</f>
        <v>596</v>
      </c>
      <c r="Q33">
        <f>VLOOKUP($C33,'[1]PoB AI'!$C$1:$T$898,18,FALSE)</f>
        <v>43</v>
      </c>
      <c r="R33">
        <f>VLOOKUP($C33,'[1]PoB AS'!$C$1:$T$898,17,FALSE)</f>
        <v>5289</v>
      </c>
      <c r="S33">
        <f>VLOOKUP($C33,'[1]PoB AS'!$C$1:$T$898,18,FALSE)</f>
        <v>13539</v>
      </c>
      <c r="T33">
        <f>VLOOKUP($C33,'[1]PoB PI'!$C$1:$T$898,17,FALSE)</f>
        <v>98</v>
      </c>
      <c r="U33">
        <f>VLOOKUP($C33,'[1]PoB PI'!$C$1:$T$898,18,FALSE)</f>
        <v>160</v>
      </c>
      <c r="V33">
        <f>VLOOKUP($C33,'[1]PoB OT'!$C$1:$T$898,17,FALSE)</f>
        <v>895</v>
      </c>
      <c r="W33">
        <f>VLOOKUP($C33,'[1]PoB OT'!$C$1:$T$898,18,FALSE)</f>
        <v>2058</v>
      </c>
      <c r="X33">
        <f>VLOOKUP($C33,'[1]PoB 2R'!$C$1:$T$898,17,FALSE)</f>
        <v>2538</v>
      </c>
      <c r="Y33">
        <f>VLOOKUP($C33,'[1]PoB 2R'!$C$1:$T$898,18,FALSE)</f>
        <v>1132</v>
      </c>
    </row>
    <row r="34" spans="1:25" x14ac:dyDescent="0.25">
      <c r="A34" t="s">
        <v>328</v>
      </c>
      <c r="B34">
        <v>5305245</v>
      </c>
      <c r="C34" t="s">
        <v>329</v>
      </c>
      <c r="D34">
        <f t="shared" si="0"/>
        <v>831</v>
      </c>
      <c r="E34">
        <f>VLOOKUP($C34,'[1]PoB Totals'!$C$3:$T$898,17,FALSE)</f>
        <v>741</v>
      </c>
      <c r="F34">
        <f>VLOOKUP($C34,'[1]PoB Totals'!$C$3:$T$898,18,FALSE)</f>
        <v>90</v>
      </c>
      <c r="G34">
        <f t="shared" si="1"/>
        <v>831</v>
      </c>
      <c r="H34">
        <f t="shared" si="2"/>
        <v>741</v>
      </c>
      <c r="I34">
        <f t="shared" si="2"/>
        <v>90</v>
      </c>
      <c r="J34">
        <f>VLOOKUP($C34,'[1]PoB WN'!$C$1:$T$898,17,FALSE)</f>
        <v>689</v>
      </c>
      <c r="K34">
        <f>VLOOKUP($C34,'[1]PoB WN'!$C$1:$T$898,18,FALSE)</f>
        <v>77</v>
      </c>
      <c r="L34">
        <f>VLOOKUP($C34,'[1]PoB WH'!$C$1:$T$898,17,FALSE)</f>
        <v>0</v>
      </c>
      <c r="M34">
        <f>VLOOKUP($C34,'[1]PoB WH'!$C$1:$T$898,18,FALSE)</f>
        <v>0</v>
      </c>
      <c r="N34">
        <f>VLOOKUP($C34,'[1]PoB AA'!$C$1:$T$898,17,FALSE)</f>
        <v>0</v>
      </c>
      <c r="O34">
        <f>VLOOKUP($C34,'[1]PoB AA'!$C$1:$T$898,18,FALSE)</f>
        <v>0</v>
      </c>
      <c r="P34">
        <f>VLOOKUP($C34,'[1]PoB AI'!$C$1:$T$898,17,FALSE)</f>
        <v>6</v>
      </c>
      <c r="Q34">
        <f>VLOOKUP($C34,'[1]PoB AI'!$C$1:$T$898,18,FALSE)</f>
        <v>0</v>
      </c>
      <c r="R34">
        <f>VLOOKUP($C34,'[1]PoB AS'!$C$1:$T$898,17,FALSE)</f>
        <v>14</v>
      </c>
      <c r="S34">
        <f>VLOOKUP($C34,'[1]PoB AS'!$C$1:$T$898,18,FALSE)</f>
        <v>13</v>
      </c>
      <c r="T34">
        <f>VLOOKUP($C34,'[1]PoB PI'!$C$1:$T$898,17,FALSE)</f>
        <v>0</v>
      </c>
      <c r="U34">
        <f>VLOOKUP($C34,'[1]PoB PI'!$C$1:$T$898,18,FALSE)</f>
        <v>0</v>
      </c>
      <c r="V34">
        <f>VLOOKUP($C34,'[1]PoB OT'!$C$1:$T$898,17,FALSE)</f>
        <v>0</v>
      </c>
      <c r="W34">
        <f>VLOOKUP($C34,'[1]PoB OT'!$C$1:$T$898,18,FALSE)</f>
        <v>0</v>
      </c>
      <c r="X34">
        <f>VLOOKUP($C34,'[1]PoB 2R'!$C$1:$T$898,17,FALSE)</f>
        <v>32</v>
      </c>
      <c r="Y34">
        <f>VLOOKUP($C34,'[1]PoB 2R'!$C$1:$T$898,18,FALSE)</f>
        <v>0</v>
      </c>
    </row>
    <row r="35" spans="1:25" x14ac:dyDescent="0.25">
      <c r="A35" t="s">
        <v>330</v>
      </c>
      <c r="B35">
        <v>5305280</v>
      </c>
      <c r="C35" t="s">
        <v>331</v>
      </c>
      <c r="D35">
        <f t="shared" si="0"/>
        <v>66815</v>
      </c>
      <c r="E35">
        <f>VLOOKUP($C35,'[1]PoB Totals'!$C$3:$T$898,17,FALSE)</f>
        <v>59575</v>
      </c>
      <c r="F35">
        <f>VLOOKUP($C35,'[1]PoB Totals'!$C$3:$T$898,18,FALSE)</f>
        <v>7240</v>
      </c>
      <c r="G35">
        <f t="shared" si="1"/>
        <v>66815</v>
      </c>
      <c r="H35">
        <f t="shared" si="2"/>
        <v>59575</v>
      </c>
      <c r="I35">
        <f t="shared" si="2"/>
        <v>7240</v>
      </c>
      <c r="J35">
        <f>VLOOKUP($C35,'[1]PoB WN'!$C$1:$T$898,17,FALSE)</f>
        <v>53261</v>
      </c>
      <c r="K35">
        <f>VLOOKUP($C35,'[1]PoB WN'!$C$1:$T$898,18,FALSE)</f>
        <v>4085</v>
      </c>
      <c r="L35">
        <f>VLOOKUP($C35,'[1]PoB WH'!$C$1:$T$898,17,FALSE)</f>
        <v>1154</v>
      </c>
      <c r="M35">
        <f>VLOOKUP($C35,'[1]PoB WH'!$C$1:$T$898,18,FALSE)</f>
        <v>309</v>
      </c>
      <c r="N35">
        <f>VLOOKUP($C35,'[1]PoB AA'!$C$1:$T$898,17,FALSE)</f>
        <v>525</v>
      </c>
      <c r="O35">
        <f>VLOOKUP($C35,'[1]PoB AA'!$C$1:$T$898,18,FALSE)</f>
        <v>7</v>
      </c>
      <c r="P35">
        <f>VLOOKUP($C35,'[1]PoB AI'!$C$1:$T$898,17,FALSE)</f>
        <v>975</v>
      </c>
      <c r="Q35">
        <f>VLOOKUP($C35,'[1]PoB AI'!$C$1:$T$898,18,FALSE)</f>
        <v>31</v>
      </c>
      <c r="R35">
        <f>VLOOKUP($C35,'[1]PoB AS'!$C$1:$T$898,17,FALSE)</f>
        <v>832</v>
      </c>
      <c r="S35">
        <f>VLOOKUP($C35,'[1]PoB AS'!$C$1:$T$898,18,FALSE)</f>
        <v>1848</v>
      </c>
      <c r="T35">
        <f>VLOOKUP($C35,'[1]PoB PI'!$C$1:$T$898,17,FALSE)</f>
        <v>65</v>
      </c>
      <c r="U35">
        <f>VLOOKUP($C35,'[1]PoB PI'!$C$1:$T$898,18,FALSE)</f>
        <v>15</v>
      </c>
      <c r="V35">
        <f>VLOOKUP($C35,'[1]PoB OT'!$C$1:$T$898,17,FALSE)</f>
        <v>753</v>
      </c>
      <c r="W35">
        <f>VLOOKUP($C35,'[1]PoB OT'!$C$1:$T$898,18,FALSE)</f>
        <v>656</v>
      </c>
      <c r="X35">
        <f>VLOOKUP($C35,'[1]PoB 2R'!$C$1:$T$898,17,FALSE)</f>
        <v>2010</v>
      </c>
      <c r="Y35">
        <f>VLOOKUP($C35,'[1]PoB 2R'!$C$1:$T$898,18,FALSE)</f>
        <v>289</v>
      </c>
    </row>
    <row r="36" spans="1:25" x14ac:dyDescent="0.25">
      <c r="A36" t="s">
        <v>332</v>
      </c>
      <c r="B36">
        <v>5305560</v>
      </c>
      <c r="C36" t="s">
        <v>333</v>
      </c>
      <c r="D36">
        <f t="shared" si="0"/>
        <v>2533</v>
      </c>
      <c r="E36">
        <f>VLOOKUP($C36,'[1]PoB Totals'!$C$3:$T$898,17,FALSE)</f>
        <v>2317</v>
      </c>
      <c r="F36">
        <f>VLOOKUP($C36,'[1]PoB Totals'!$C$3:$T$898,18,FALSE)</f>
        <v>216</v>
      </c>
      <c r="G36">
        <f t="shared" si="1"/>
        <v>2533</v>
      </c>
      <c r="H36">
        <f t="shared" si="2"/>
        <v>2317</v>
      </c>
      <c r="I36">
        <f t="shared" si="2"/>
        <v>216</v>
      </c>
      <c r="J36">
        <f>VLOOKUP($C36,'[1]PoB WN'!$C$1:$T$898,17,FALSE)</f>
        <v>2037</v>
      </c>
      <c r="K36">
        <f>VLOOKUP($C36,'[1]PoB WN'!$C$1:$T$898,18,FALSE)</f>
        <v>17</v>
      </c>
      <c r="L36">
        <f>VLOOKUP($C36,'[1]PoB WH'!$C$1:$T$898,17,FALSE)</f>
        <v>68</v>
      </c>
      <c r="M36">
        <f>VLOOKUP($C36,'[1]PoB WH'!$C$1:$T$898,18,FALSE)</f>
        <v>103</v>
      </c>
      <c r="N36">
        <f>VLOOKUP($C36,'[1]PoB AA'!$C$1:$T$898,17,FALSE)</f>
        <v>0</v>
      </c>
      <c r="O36">
        <f>VLOOKUP($C36,'[1]PoB AA'!$C$1:$T$898,18,FALSE)</f>
        <v>0</v>
      </c>
      <c r="P36">
        <f>VLOOKUP($C36,'[1]PoB AI'!$C$1:$T$898,17,FALSE)</f>
        <v>36</v>
      </c>
      <c r="Q36">
        <f>VLOOKUP($C36,'[1]PoB AI'!$C$1:$T$898,18,FALSE)</f>
        <v>6</v>
      </c>
      <c r="R36">
        <f>VLOOKUP($C36,'[1]PoB AS'!$C$1:$T$898,17,FALSE)</f>
        <v>0</v>
      </c>
      <c r="S36">
        <f>VLOOKUP($C36,'[1]PoB AS'!$C$1:$T$898,18,FALSE)</f>
        <v>6</v>
      </c>
      <c r="T36">
        <f>VLOOKUP($C36,'[1]PoB PI'!$C$1:$T$898,17,FALSE)</f>
        <v>0</v>
      </c>
      <c r="U36">
        <f>VLOOKUP($C36,'[1]PoB PI'!$C$1:$T$898,18,FALSE)</f>
        <v>0</v>
      </c>
      <c r="V36">
        <f>VLOOKUP($C36,'[1]PoB OT'!$C$1:$T$898,17,FALSE)</f>
        <v>98</v>
      </c>
      <c r="W36">
        <f>VLOOKUP($C36,'[1]PoB OT'!$C$1:$T$898,18,FALSE)</f>
        <v>77</v>
      </c>
      <c r="X36">
        <f>VLOOKUP($C36,'[1]PoB 2R'!$C$1:$T$898,17,FALSE)</f>
        <v>78</v>
      </c>
      <c r="Y36">
        <f>VLOOKUP($C36,'[1]PoB 2R'!$C$1:$T$898,18,FALSE)</f>
        <v>7</v>
      </c>
    </row>
    <row r="37" spans="1:25" x14ac:dyDescent="0.25">
      <c r="A37" t="s">
        <v>336</v>
      </c>
      <c r="B37">
        <v>5305980</v>
      </c>
      <c r="C37" t="s">
        <v>337</v>
      </c>
      <c r="D37">
        <f t="shared" si="0"/>
        <v>99</v>
      </c>
      <c r="E37">
        <f>VLOOKUP($C37,'[1]PoB Totals'!$C$3:$T$898,17,FALSE)</f>
        <v>96</v>
      </c>
      <c r="F37">
        <f>VLOOKUP($C37,'[1]PoB Totals'!$C$3:$T$898,18,FALSE)</f>
        <v>3</v>
      </c>
      <c r="G37">
        <f t="shared" si="1"/>
        <v>99</v>
      </c>
      <c r="H37">
        <f t="shared" si="2"/>
        <v>96</v>
      </c>
      <c r="I37">
        <f t="shared" si="2"/>
        <v>3</v>
      </c>
      <c r="J37">
        <f>VLOOKUP($C37,'[1]PoB WN'!$C$1:$T$898,17,FALSE)</f>
        <v>88</v>
      </c>
      <c r="K37">
        <f>VLOOKUP($C37,'[1]PoB WN'!$C$1:$T$898,18,FALSE)</f>
        <v>3</v>
      </c>
      <c r="L37">
        <f>VLOOKUP($C37,'[1]PoB WH'!$C$1:$T$898,17,FALSE)</f>
        <v>0</v>
      </c>
      <c r="M37">
        <f>VLOOKUP($C37,'[1]PoB WH'!$C$1:$T$898,18,FALSE)</f>
        <v>0</v>
      </c>
      <c r="N37">
        <f>VLOOKUP($C37,'[1]PoB AA'!$C$1:$T$898,17,FALSE)</f>
        <v>0</v>
      </c>
      <c r="O37">
        <f>VLOOKUP($C37,'[1]PoB AA'!$C$1:$T$898,18,FALSE)</f>
        <v>0</v>
      </c>
      <c r="P37">
        <f>VLOOKUP($C37,'[1]PoB AI'!$C$1:$T$898,17,FALSE)</f>
        <v>8</v>
      </c>
      <c r="Q37">
        <f>VLOOKUP($C37,'[1]PoB AI'!$C$1:$T$898,18,FALSE)</f>
        <v>0</v>
      </c>
      <c r="R37">
        <f>VLOOKUP($C37,'[1]PoB AS'!$C$1:$T$898,17,FALSE)</f>
        <v>0</v>
      </c>
      <c r="S37">
        <f>VLOOKUP($C37,'[1]PoB AS'!$C$1:$T$898,18,FALSE)</f>
        <v>0</v>
      </c>
      <c r="T37">
        <f>VLOOKUP($C37,'[1]PoB PI'!$C$1:$T$898,17,FALSE)</f>
        <v>0</v>
      </c>
      <c r="U37">
        <f>VLOOKUP($C37,'[1]PoB PI'!$C$1:$T$898,18,FALSE)</f>
        <v>0</v>
      </c>
      <c r="V37">
        <f>VLOOKUP($C37,'[1]PoB OT'!$C$1:$T$898,17,FALSE)</f>
        <v>0</v>
      </c>
      <c r="W37">
        <f>VLOOKUP($C37,'[1]PoB OT'!$C$1:$T$898,18,FALSE)</f>
        <v>0</v>
      </c>
      <c r="X37">
        <f>VLOOKUP($C37,'[1]PoB 2R'!$C$1:$T$898,17,FALSE)</f>
        <v>0</v>
      </c>
      <c r="Y37">
        <f>VLOOKUP($C37,'[1]PoB 2R'!$C$1:$T$898,18,FALSE)</f>
        <v>0</v>
      </c>
    </row>
    <row r="38" spans="1:25" x14ac:dyDescent="0.25">
      <c r="A38" t="s">
        <v>338</v>
      </c>
      <c r="B38">
        <v>5306050</v>
      </c>
      <c r="C38" t="s">
        <v>339</v>
      </c>
      <c r="D38">
        <f t="shared" si="0"/>
        <v>1366</v>
      </c>
      <c r="E38">
        <f>VLOOKUP($C38,'[1]PoB Totals'!$C$3:$T$898,17,FALSE)</f>
        <v>1339</v>
      </c>
      <c r="F38">
        <f>VLOOKUP($C38,'[1]PoB Totals'!$C$3:$T$898,18,FALSE)</f>
        <v>27</v>
      </c>
      <c r="G38">
        <f t="shared" si="1"/>
        <v>1366</v>
      </c>
      <c r="H38">
        <f t="shared" si="2"/>
        <v>1339</v>
      </c>
      <c r="I38">
        <f t="shared" si="2"/>
        <v>27</v>
      </c>
      <c r="J38">
        <f>VLOOKUP($C38,'[1]PoB WN'!$C$1:$T$898,17,FALSE)</f>
        <v>1229</v>
      </c>
      <c r="K38">
        <f>VLOOKUP($C38,'[1]PoB WN'!$C$1:$T$898,18,FALSE)</f>
        <v>20</v>
      </c>
      <c r="L38">
        <f>VLOOKUP($C38,'[1]PoB WH'!$C$1:$T$898,17,FALSE)</f>
        <v>33</v>
      </c>
      <c r="M38">
        <f>VLOOKUP($C38,'[1]PoB WH'!$C$1:$T$898,18,FALSE)</f>
        <v>0</v>
      </c>
      <c r="N38">
        <f>VLOOKUP($C38,'[1]PoB AA'!$C$1:$T$898,17,FALSE)</f>
        <v>0</v>
      </c>
      <c r="O38">
        <f>VLOOKUP($C38,'[1]PoB AA'!$C$1:$T$898,18,FALSE)</f>
        <v>0</v>
      </c>
      <c r="P38">
        <f>VLOOKUP($C38,'[1]PoB AI'!$C$1:$T$898,17,FALSE)</f>
        <v>0</v>
      </c>
      <c r="Q38">
        <f>VLOOKUP($C38,'[1]PoB AI'!$C$1:$T$898,18,FALSE)</f>
        <v>0</v>
      </c>
      <c r="R38">
        <f>VLOOKUP($C38,'[1]PoB AS'!$C$1:$T$898,17,FALSE)</f>
        <v>0</v>
      </c>
      <c r="S38">
        <f>VLOOKUP($C38,'[1]PoB AS'!$C$1:$T$898,18,FALSE)</f>
        <v>0</v>
      </c>
      <c r="T38">
        <f>VLOOKUP($C38,'[1]PoB PI'!$C$1:$T$898,17,FALSE)</f>
        <v>0</v>
      </c>
      <c r="U38">
        <f>VLOOKUP($C38,'[1]PoB PI'!$C$1:$T$898,18,FALSE)</f>
        <v>0</v>
      </c>
      <c r="V38">
        <f>VLOOKUP($C38,'[1]PoB OT'!$C$1:$T$898,17,FALSE)</f>
        <v>43</v>
      </c>
      <c r="W38">
        <f>VLOOKUP($C38,'[1]PoB OT'!$C$1:$T$898,18,FALSE)</f>
        <v>0</v>
      </c>
      <c r="X38">
        <f>VLOOKUP($C38,'[1]PoB 2R'!$C$1:$T$898,17,FALSE)</f>
        <v>34</v>
      </c>
      <c r="Y38">
        <f>VLOOKUP($C38,'[1]PoB 2R'!$C$1:$T$898,18,FALSE)</f>
        <v>7</v>
      </c>
    </row>
    <row r="39" spans="1:25" x14ac:dyDescent="0.25">
      <c r="A39" t="s">
        <v>340</v>
      </c>
      <c r="B39">
        <v>5306085</v>
      </c>
      <c r="C39" t="s">
        <v>341</v>
      </c>
      <c r="D39">
        <f t="shared" si="0"/>
        <v>657</v>
      </c>
      <c r="E39">
        <f>VLOOKUP($C39,'[1]PoB Totals'!$C$3:$T$898,17,FALSE)</f>
        <v>553</v>
      </c>
      <c r="F39">
        <f>VLOOKUP($C39,'[1]PoB Totals'!$C$3:$T$898,18,FALSE)</f>
        <v>104</v>
      </c>
      <c r="G39">
        <f t="shared" si="1"/>
        <v>657</v>
      </c>
      <c r="H39">
        <f t="shared" si="2"/>
        <v>553</v>
      </c>
      <c r="I39">
        <f t="shared" si="2"/>
        <v>104</v>
      </c>
      <c r="J39">
        <f>VLOOKUP($C39,'[1]PoB WN'!$C$1:$T$898,17,FALSE)</f>
        <v>460</v>
      </c>
      <c r="K39">
        <f>VLOOKUP($C39,'[1]PoB WN'!$C$1:$T$898,18,FALSE)</f>
        <v>6</v>
      </c>
      <c r="L39">
        <f>VLOOKUP($C39,'[1]PoB WH'!$C$1:$T$898,17,FALSE)</f>
        <v>18</v>
      </c>
      <c r="M39">
        <f>VLOOKUP($C39,'[1]PoB WH'!$C$1:$T$898,18,FALSE)</f>
        <v>7</v>
      </c>
      <c r="N39">
        <f>VLOOKUP($C39,'[1]PoB AA'!$C$1:$T$898,17,FALSE)</f>
        <v>2</v>
      </c>
      <c r="O39">
        <f>VLOOKUP($C39,'[1]PoB AA'!$C$1:$T$898,18,FALSE)</f>
        <v>0</v>
      </c>
      <c r="P39">
        <f>VLOOKUP($C39,'[1]PoB AI'!$C$1:$T$898,17,FALSE)</f>
        <v>8</v>
      </c>
      <c r="Q39">
        <f>VLOOKUP($C39,'[1]PoB AI'!$C$1:$T$898,18,FALSE)</f>
        <v>0</v>
      </c>
      <c r="R39">
        <f>VLOOKUP($C39,'[1]PoB AS'!$C$1:$T$898,17,FALSE)</f>
        <v>7</v>
      </c>
      <c r="S39">
        <f>VLOOKUP($C39,'[1]PoB AS'!$C$1:$T$898,18,FALSE)</f>
        <v>4</v>
      </c>
      <c r="T39">
        <f>VLOOKUP($C39,'[1]PoB PI'!$C$1:$T$898,17,FALSE)</f>
        <v>0</v>
      </c>
      <c r="U39">
        <f>VLOOKUP($C39,'[1]PoB PI'!$C$1:$T$898,18,FALSE)</f>
        <v>0</v>
      </c>
      <c r="V39">
        <f>VLOOKUP($C39,'[1]PoB OT'!$C$1:$T$898,17,FALSE)</f>
        <v>38</v>
      </c>
      <c r="W39">
        <f>VLOOKUP($C39,'[1]PoB OT'!$C$1:$T$898,18,FALSE)</f>
        <v>82</v>
      </c>
      <c r="X39">
        <f>VLOOKUP($C39,'[1]PoB 2R'!$C$1:$T$898,17,FALSE)</f>
        <v>20</v>
      </c>
      <c r="Y39">
        <f>VLOOKUP($C39,'[1]PoB 2R'!$C$1:$T$898,18,FALSE)</f>
        <v>5</v>
      </c>
    </row>
    <row r="40" spans="1:25" x14ac:dyDescent="0.25">
      <c r="A40" t="s">
        <v>342</v>
      </c>
      <c r="B40">
        <v>5306190</v>
      </c>
      <c r="C40" t="s">
        <v>343</v>
      </c>
      <c r="D40">
        <f t="shared" si="0"/>
        <v>4970</v>
      </c>
      <c r="E40">
        <f>VLOOKUP($C40,'[1]PoB Totals'!$C$3:$T$898,17,FALSE)</f>
        <v>4115</v>
      </c>
      <c r="F40">
        <f>VLOOKUP($C40,'[1]PoB Totals'!$C$3:$T$898,18,FALSE)</f>
        <v>855</v>
      </c>
      <c r="G40">
        <f t="shared" si="1"/>
        <v>4970</v>
      </c>
      <c r="H40">
        <f t="shared" si="2"/>
        <v>4115</v>
      </c>
      <c r="I40">
        <f t="shared" si="2"/>
        <v>855</v>
      </c>
      <c r="J40">
        <f>VLOOKUP($C40,'[1]PoB WN'!$C$1:$T$898,17,FALSE)</f>
        <v>3672</v>
      </c>
      <c r="K40">
        <f>VLOOKUP($C40,'[1]PoB WN'!$C$1:$T$898,18,FALSE)</f>
        <v>735</v>
      </c>
      <c r="L40">
        <f>VLOOKUP($C40,'[1]PoB WH'!$C$1:$T$898,17,FALSE)</f>
        <v>62</v>
      </c>
      <c r="M40">
        <f>VLOOKUP($C40,'[1]PoB WH'!$C$1:$T$898,18,FALSE)</f>
        <v>0</v>
      </c>
      <c r="N40">
        <f>VLOOKUP($C40,'[1]PoB AA'!$C$1:$T$898,17,FALSE)</f>
        <v>119</v>
      </c>
      <c r="O40">
        <f>VLOOKUP($C40,'[1]PoB AA'!$C$1:$T$898,18,FALSE)</f>
        <v>0</v>
      </c>
      <c r="P40">
        <f>VLOOKUP($C40,'[1]PoB AI'!$C$1:$T$898,17,FALSE)</f>
        <v>69</v>
      </c>
      <c r="Q40">
        <f>VLOOKUP($C40,'[1]PoB AI'!$C$1:$T$898,18,FALSE)</f>
        <v>0</v>
      </c>
      <c r="R40">
        <f>VLOOKUP($C40,'[1]PoB AS'!$C$1:$T$898,17,FALSE)</f>
        <v>0</v>
      </c>
      <c r="S40">
        <f>VLOOKUP($C40,'[1]PoB AS'!$C$1:$T$898,18,FALSE)</f>
        <v>30</v>
      </c>
      <c r="T40">
        <f>VLOOKUP($C40,'[1]PoB PI'!$C$1:$T$898,17,FALSE)</f>
        <v>0</v>
      </c>
      <c r="U40">
        <f>VLOOKUP($C40,'[1]PoB PI'!$C$1:$T$898,18,FALSE)</f>
        <v>0</v>
      </c>
      <c r="V40">
        <f>VLOOKUP($C40,'[1]PoB OT'!$C$1:$T$898,17,FALSE)</f>
        <v>106</v>
      </c>
      <c r="W40">
        <f>VLOOKUP($C40,'[1]PoB OT'!$C$1:$T$898,18,FALSE)</f>
        <v>83</v>
      </c>
      <c r="X40">
        <f>VLOOKUP($C40,'[1]PoB 2R'!$C$1:$T$898,17,FALSE)</f>
        <v>87</v>
      </c>
      <c r="Y40">
        <f>VLOOKUP($C40,'[1]PoB 2R'!$C$1:$T$898,18,FALSE)</f>
        <v>7</v>
      </c>
    </row>
    <row r="41" spans="1:25" x14ac:dyDescent="0.25">
      <c r="A41" t="s">
        <v>344</v>
      </c>
      <c r="B41">
        <v>5306330</v>
      </c>
      <c r="C41" t="s">
        <v>345</v>
      </c>
      <c r="D41">
        <f t="shared" si="0"/>
        <v>3919</v>
      </c>
      <c r="E41">
        <f>VLOOKUP($C41,'[1]PoB Totals'!$C$3:$T$898,17,FALSE)</f>
        <v>3696</v>
      </c>
      <c r="F41">
        <f>VLOOKUP($C41,'[1]PoB Totals'!$C$3:$T$898,18,FALSE)</f>
        <v>223</v>
      </c>
      <c r="G41">
        <f t="shared" si="1"/>
        <v>3919</v>
      </c>
      <c r="H41">
        <f t="shared" si="2"/>
        <v>3696</v>
      </c>
      <c r="I41">
        <f t="shared" si="2"/>
        <v>223</v>
      </c>
      <c r="J41">
        <f>VLOOKUP($C41,'[1]PoB WN'!$C$1:$T$898,17,FALSE)</f>
        <v>3274</v>
      </c>
      <c r="K41">
        <f>VLOOKUP($C41,'[1]PoB WN'!$C$1:$T$898,18,FALSE)</f>
        <v>106</v>
      </c>
      <c r="L41">
        <f>VLOOKUP($C41,'[1]PoB WH'!$C$1:$T$898,17,FALSE)</f>
        <v>125</v>
      </c>
      <c r="M41">
        <f>VLOOKUP($C41,'[1]PoB WH'!$C$1:$T$898,18,FALSE)</f>
        <v>67</v>
      </c>
      <c r="N41">
        <f>VLOOKUP($C41,'[1]PoB AA'!$C$1:$T$898,17,FALSE)</f>
        <v>0</v>
      </c>
      <c r="O41">
        <f>VLOOKUP($C41,'[1]PoB AA'!$C$1:$T$898,18,FALSE)</f>
        <v>0</v>
      </c>
      <c r="P41">
        <f>VLOOKUP($C41,'[1]PoB AI'!$C$1:$T$898,17,FALSE)</f>
        <v>129</v>
      </c>
      <c r="Q41">
        <f>VLOOKUP($C41,'[1]PoB AI'!$C$1:$T$898,18,FALSE)</f>
        <v>0</v>
      </c>
      <c r="R41">
        <f>VLOOKUP($C41,'[1]PoB AS'!$C$1:$T$898,17,FALSE)</f>
        <v>37</v>
      </c>
      <c r="S41">
        <f>VLOOKUP($C41,'[1]PoB AS'!$C$1:$T$898,18,FALSE)</f>
        <v>41</v>
      </c>
      <c r="T41">
        <f>VLOOKUP($C41,'[1]PoB PI'!$C$1:$T$898,17,FALSE)</f>
        <v>0</v>
      </c>
      <c r="U41">
        <f>VLOOKUP($C41,'[1]PoB PI'!$C$1:$T$898,18,FALSE)</f>
        <v>6</v>
      </c>
      <c r="V41">
        <f>VLOOKUP($C41,'[1]PoB OT'!$C$1:$T$898,17,FALSE)</f>
        <v>65</v>
      </c>
      <c r="W41">
        <f>VLOOKUP($C41,'[1]PoB OT'!$C$1:$T$898,18,FALSE)</f>
        <v>0</v>
      </c>
      <c r="X41">
        <f>VLOOKUP($C41,'[1]PoB 2R'!$C$1:$T$898,17,FALSE)</f>
        <v>66</v>
      </c>
      <c r="Y41">
        <f>VLOOKUP($C41,'[1]PoB 2R'!$C$1:$T$898,18,FALSE)</f>
        <v>3</v>
      </c>
    </row>
    <row r="42" spans="1:25" x14ac:dyDescent="0.25">
      <c r="A42" t="s">
        <v>346</v>
      </c>
      <c r="B42">
        <v>5306505</v>
      </c>
      <c r="C42" t="s">
        <v>347</v>
      </c>
      <c r="D42">
        <f t="shared" si="0"/>
        <v>3713</v>
      </c>
      <c r="E42">
        <f>VLOOKUP($C42,'[1]PoB Totals'!$C$3:$T$898,17,FALSE)</f>
        <v>2883</v>
      </c>
      <c r="F42">
        <f>VLOOKUP($C42,'[1]PoB Totals'!$C$3:$T$898,18,FALSE)</f>
        <v>830</v>
      </c>
      <c r="G42">
        <f t="shared" si="1"/>
        <v>3713</v>
      </c>
      <c r="H42">
        <f t="shared" si="2"/>
        <v>2883</v>
      </c>
      <c r="I42">
        <f t="shared" si="2"/>
        <v>830</v>
      </c>
      <c r="J42">
        <f>VLOOKUP($C42,'[1]PoB WN'!$C$1:$T$898,17,FALSE)</f>
        <v>2603</v>
      </c>
      <c r="K42">
        <f>VLOOKUP($C42,'[1]PoB WN'!$C$1:$T$898,18,FALSE)</f>
        <v>580</v>
      </c>
      <c r="L42">
        <f>VLOOKUP($C42,'[1]PoB WH'!$C$1:$T$898,17,FALSE)</f>
        <v>36</v>
      </c>
      <c r="M42">
        <f>VLOOKUP($C42,'[1]PoB WH'!$C$1:$T$898,18,FALSE)</f>
        <v>0</v>
      </c>
      <c r="N42">
        <f>VLOOKUP($C42,'[1]PoB AA'!$C$1:$T$898,17,FALSE)</f>
        <v>106</v>
      </c>
      <c r="O42">
        <f>VLOOKUP($C42,'[1]PoB AA'!$C$1:$T$898,18,FALSE)</f>
        <v>23</v>
      </c>
      <c r="P42">
        <f>VLOOKUP($C42,'[1]PoB AI'!$C$1:$T$898,17,FALSE)</f>
        <v>22</v>
      </c>
      <c r="Q42">
        <f>VLOOKUP($C42,'[1]PoB AI'!$C$1:$T$898,18,FALSE)</f>
        <v>0</v>
      </c>
      <c r="R42">
        <f>VLOOKUP($C42,'[1]PoB AS'!$C$1:$T$898,17,FALSE)</f>
        <v>0</v>
      </c>
      <c r="S42">
        <f>VLOOKUP($C42,'[1]PoB AS'!$C$1:$T$898,18,FALSE)</f>
        <v>70</v>
      </c>
      <c r="T42">
        <f>VLOOKUP($C42,'[1]PoB PI'!$C$1:$T$898,17,FALSE)</f>
        <v>0</v>
      </c>
      <c r="U42">
        <f>VLOOKUP($C42,'[1]PoB PI'!$C$1:$T$898,18,FALSE)</f>
        <v>0</v>
      </c>
      <c r="V42">
        <f>VLOOKUP($C42,'[1]PoB OT'!$C$1:$T$898,17,FALSE)</f>
        <v>44</v>
      </c>
      <c r="W42">
        <f>VLOOKUP($C42,'[1]PoB OT'!$C$1:$T$898,18,FALSE)</f>
        <v>44</v>
      </c>
      <c r="X42">
        <f>VLOOKUP($C42,'[1]PoB 2R'!$C$1:$T$898,17,FALSE)</f>
        <v>72</v>
      </c>
      <c r="Y42">
        <f>VLOOKUP($C42,'[1]PoB 2R'!$C$1:$T$898,18,FALSE)</f>
        <v>113</v>
      </c>
    </row>
    <row r="43" spans="1:25" x14ac:dyDescent="0.25">
      <c r="A43" t="s">
        <v>348</v>
      </c>
      <c r="B43">
        <v>5306855</v>
      </c>
      <c r="C43" t="s">
        <v>349</v>
      </c>
      <c r="D43">
        <f t="shared" si="0"/>
        <v>133</v>
      </c>
      <c r="E43">
        <f>VLOOKUP($C43,'[1]PoB Totals'!$C$3:$T$898,17,FALSE)</f>
        <v>133</v>
      </c>
      <c r="F43">
        <f>VLOOKUP($C43,'[1]PoB Totals'!$C$3:$T$898,18,FALSE)</f>
        <v>0</v>
      </c>
      <c r="G43">
        <f t="shared" si="1"/>
        <v>133</v>
      </c>
      <c r="H43">
        <f t="shared" si="2"/>
        <v>133</v>
      </c>
      <c r="I43">
        <f t="shared" si="2"/>
        <v>0</v>
      </c>
      <c r="J43">
        <f>VLOOKUP($C43,'[1]PoB WN'!$C$1:$T$898,17,FALSE)</f>
        <v>119</v>
      </c>
      <c r="K43">
        <f>VLOOKUP($C43,'[1]PoB WN'!$C$1:$T$898,18,FALSE)</f>
        <v>0</v>
      </c>
      <c r="L43">
        <f>VLOOKUP($C43,'[1]PoB WH'!$C$1:$T$898,17,FALSE)</f>
        <v>2</v>
      </c>
      <c r="M43">
        <f>VLOOKUP($C43,'[1]PoB WH'!$C$1:$T$898,18,FALSE)</f>
        <v>0</v>
      </c>
      <c r="N43">
        <f>VLOOKUP($C43,'[1]PoB AA'!$C$1:$T$898,17,FALSE)</f>
        <v>0</v>
      </c>
      <c r="O43">
        <f>VLOOKUP($C43,'[1]PoB AA'!$C$1:$T$898,18,FALSE)</f>
        <v>0</v>
      </c>
      <c r="P43">
        <f>VLOOKUP($C43,'[1]PoB AI'!$C$1:$T$898,17,FALSE)</f>
        <v>11</v>
      </c>
      <c r="Q43">
        <f>VLOOKUP($C43,'[1]PoB AI'!$C$1:$T$898,18,FALSE)</f>
        <v>0</v>
      </c>
      <c r="R43">
        <f>VLOOKUP($C43,'[1]PoB AS'!$C$1:$T$898,17,FALSE)</f>
        <v>0</v>
      </c>
      <c r="S43">
        <f>VLOOKUP($C43,'[1]PoB AS'!$C$1:$T$898,18,FALSE)</f>
        <v>0</v>
      </c>
      <c r="T43">
        <f>VLOOKUP($C43,'[1]PoB PI'!$C$1:$T$898,17,FALSE)</f>
        <v>0</v>
      </c>
      <c r="U43">
        <f>VLOOKUP($C43,'[1]PoB PI'!$C$1:$T$898,18,FALSE)</f>
        <v>0</v>
      </c>
      <c r="V43">
        <f>VLOOKUP($C43,'[1]PoB OT'!$C$1:$T$898,17,FALSE)</f>
        <v>0</v>
      </c>
      <c r="W43">
        <f>VLOOKUP($C43,'[1]PoB OT'!$C$1:$T$898,18,FALSE)</f>
        <v>0</v>
      </c>
      <c r="X43">
        <f>VLOOKUP($C43,'[1]PoB 2R'!$C$1:$T$898,17,FALSE)</f>
        <v>1</v>
      </c>
      <c r="Y43">
        <f>VLOOKUP($C43,'[1]PoB 2R'!$C$1:$T$898,18,FALSE)</f>
        <v>0</v>
      </c>
    </row>
    <row r="44" spans="1:25" x14ac:dyDescent="0.25">
      <c r="A44" t="s">
        <v>350</v>
      </c>
      <c r="B44">
        <v>5307170</v>
      </c>
      <c r="C44" t="s">
        <v>351</v>
      </c>
      <c r="D44">
        <f t="shared" si="0"/>
        <v>9358</v>
      </c>
      <c r="E44">
        <f>VLOOKUP($C44,'[1]PoB Totals'!$C$3:$T$898,17,FALSE)</f>
        <v>9054</v>
      </c>
      <c r="F44">
        <f>VLOOKUP($C44,'[1]PoB Totals'!$C$3:$T$898,18,FALSE)</f>
        <v>304</v>
      </c>
      <c r="G44">
        <f t="shared" si="1"/>
        <v>9358</v>
      </c>
      <c r="H44">
        <f t="shared" si="2"/>
        <v>9054</v>
      </c>
      <c r="I44">
        <f t="shared" si="2"/>
        <v>304</v>
      </c>
      <c r="J44">
        <f>VLOOKUP($C44,'[1]PoB WN'!$C$1:$T$898,17,FALSE)</f>
        <v>8417</v>
      </c>
      <c r="K44">
        <f>VLOOKUP($C44,'[1]PoB WN'!$C$1:$T$898,18,FALSE)</f>
        <v>271</v>
      </c>
      <c r="L44">
        <f>VLOOKUP($C44,'[1]PoB WH'!$C$1:$T$898,17,FALSE)</f>
        <v>310</v>
      </c>
      <c r="M44">
        <f>VLOOKUP($C44,'[1]PoB WH'!$C$1:$T$898,18,FALSE)</f>
        <v>14</v>
      </c>
      <c r="N44">
        <f>VLOOKUP($C44,'[1]PoB AA'!$C$1:$T$898,17,FALSE)</f>
        <v>18</v>
      </c>
      <c r="O44">
        <f>VLOOKUP($C44,'[1]PoB AA'!$C$1:$T$898,18,FALSE)</f>
        <v>0</v>
      </c>
      <c r="P44">
        <f>VLOOKUP($C44,'[1]PoB AI'!$C$1:$T$898,17,FALSE)</f>
        <v>80</v>
      </c>
      <c r="Q44">
        <f>VLOOKUP($C44,'[1]PoB AI'!$C$1:$T$898,18,FALSE)</f>
        <v>0</v>
      </c>
      <c r="R44">
        <f>VLOOKUP($C44,'[1]PoB AS'!$C$1:$T$898,17,FALSE)</f>
        <v>9</v>
      </c>
      <c r="S44">
        <f>VLOOKUP($C44,'[1]PoB AS'!$C$1:$T$898,18,FALSE)</f>
        <v>8</v>
      </c>
      <c r="T44">
        <f>VLOOKUP($C44,'[1]PoB PI'!$C$1:$T$898,17,FALSE)</f>
        <v>0</v>
      </c>
      <c r="U44">
        <f>VLOOKUP($C44,'[1]PoB PI'!$C$1:$T$898,18,FALSE)</f>
        <v>5</v>
      </c>
      <c r="V44">
        <f>VLOOKUP($C44,'[1]PoB OT'!$C$1:$T$898,17,FALSE)</f>
        <v>28</v>
      </c>
      <c r="W44">
        <f>VLOOKUP($C44,'[1]PoB OT'!$C$1:$T$898,18,FALSE)</f>
        <v>0</v>
      </c>
      <c r="X44">
        <f>VLOOKUP($C44,'[1]PoB 2R'!$C$1:$T$898,17,FALSE)</f>
        <v>192</v>
      </c>
      <c r="Y44">
        <f>VLOOKUP($C44,'[1]PoB 2R'!$C$1:$T$898,18,FALSE)</f>
        <v>6</v>
      </c>
    </row>
    <row r="45" spans="1:25" x14ac:dyDescent="0.25">
      <c r="A45" t="s">
        <v>352</v>
      </c>
      <c r="B45">
        <v>5307380</v>
      </c>
      <c r="C45" t="s">
        <v>353</v>
      </c>
      <c r="D45">
        <f t="shared" si="0"/>
        <v>29869</v>
      </c>
      <c r="E45">
        <f>VLOOKUP($C45,'[1]PoB Totals'!$C$3:$T$898,17,FALSE)</f>
        <v>26277</v>
      </c>
      <c r="F45">
        <f>VLOOKUP($C45,'[1]PoB Totals'!$C$3:$T$898,18,FALSE)</f>
        <v>3592</v>
      </c>
      <c r="G45">
        <f t="shared" si="1"/>
        <v>29869</v>
      </c>
      <c r="H45">
        <f t="shared" si="2"/>
        <v>26277</v>
      </c>
      <c r="I45">
        <f t="shared" si="2"/>
        <v>3592</v>
      </c>
      <c r="J45">
        <f>VLOOKUP($C45,'[1]PoB WN'!$C$1:$T$898,17,FALSE)</f>
        <v>23450</v>
      </c>
      <c r="K45">
        <f>VLOOKUP($C45,'[1]PoB WN'!$C$1:$T$898,18,FALSE)</f>
        <v>1489</v>
      </c>
      <c r="L45">
        <f>VLOOKUP($C45,'[1]PoB WH'!$C$1:$T$898,17,FALSE)</f>
        <v>389</v>
      </c>
      <c r="M45">
        <f>VLOOKUP($C45,'[1]PoB WH'!$C$1:$T$898,18,FALSE)</f>
        <v>323</v>
      </c>
      <c r="N45">
        <f>VLOOKUP($C45,'[1]PoB AA'!$C$1:$T$898,17,FALSE)</f>
        <v>219</v>
      </c>
      <c r="O45">
        <f>VLOOKUP($C45,'[1]PoB AA'!$C$1:$T$898,18,FALSE)</f>
        <v>30</v>
      </c>
      <c r="P45">
        <f>VLOOKUP($C45,'[1]PoB AI'!$C$1:$T$898,17,FALSE)</f>
        <v>213</v>
      </c>
      <c r="Q45">
        <f>VLOOKUP($C45,'[1]PoB AI'!$C$1:$T$898,18,FALSE)</f>
        <v>10</v>
      </c>
      <c r="R45">
        <f>VLOOKUP($C45,'[1]PoB AS'!$C$1:$T$898,17,FALSE)</f>
        <v>866</v>
      </c>
      <c r="S45">
        <f>VLOOKUP($C45,'[1]PoB AS'!$C$1:$T$898,18,FALSE)</f>
        <v>1451</v>
      </c>
      <c r="T45">
        <f>VLOOKUP($C45,'[1]PoB PI'!$C$1:$T$898,17,FALSE)</f>
        <v>20</v>
      </c>
      <c r="U45">
        <f>VLOOKUP($C45,'[1]PoB PI'!$C$1:$T$898,18,FALSE)</f>
        <v>24</v>
      </c>
      <c r="V45">
        <f>VLOOKUP($C45,'[1]PoB OT'!$C$1:$T$898,17,FALSE)</f>
        <v>293</v>
      </c>
      <c r="W45">
        <f>VLOOKUP($C45,'[1]PoB OT'!$C$1:$T$898,18,FALSE)</f>
        <v>225</v>
      </c>
      <c r="X45">
        <f>VLOOKUP($C45,'[1]PoB 2R'!$C$1:$T$898,17,FALSE)</f>
        <v>827</v>
      </c>
      <c r="Y45">
        <f>VLOOKUP($C45,'[1]PoB 2R'!$C$1:$T$898,18,FALSE)</f>
        <v>40</v>
      </c>
    </row>
    <row r="46" spans="1:25" x14ac:dyDescent="0.25">
      <c r="A46" t="s">
        <v>362</v>
      </c>
      <c r="B46">
        <v>5307590</v>
      </c>
      <c r="C46" t="s">
        <v>363</v>
      </c>
      <c r="D46">
        <f t="shared" si="0"/>
        <v>834</v>
      </c>
      <c r="E46">
        <f>VLOOKUP($C46,'[1]PoB Totals'!$C$3:$T$898,17,FALSE)</f>
        <v>812</v>
      </c>
      <c r="F46">
        <f>VLOOKUP($C46,'[1]PoB Totals'!$C$3:$T$898,18,FALSE)</f>
        <v>22</v>
      </c>
      <c r="G46">
        <f t="shared" si="1"/>
        <v>834</v>
      </c>
      <c r="H46">
        <f t="shared" si="2"/>
        <v>812</v>
      </c>
      <c r="I46">
        <f t="shared" si="2"/>
        <v>22</v>
      </c>
      <c r="J46">
        <f>VLOOKUP($C46,'[1]PoB WN'!$C$1:$T$898,17,FALSE)</f>
        <v>785</v>
      </c>
      <c r="K46">
        <f>VLOOKUP($C46,'[1]PoB WN'!$C$1:$T$898,18,FALSE)</f>
        <v>22</v>
      </c>
      <c r="L46">
        <f>VLOOKUP($C46,'[1]PoB WH'!$C$1:$T$898,17,FALSE)</f>
        <v>0</v>
      </c>
      <c r="M46">
        <f>VLOOKUP($C46,'[1]PoB WH'!$C$1:$T$898,18,FALSE)</f>
        <v>0</v>
      </c>
      <c r="N46">
        <f>VLOOKUP($C46,'[1]PoB AA'!$C$1:$T$898,17,FALSE)</f>
        <v>0</v>
      </c>
      <c r="O46">
        <f>VLOOKUP($C46,'[1]PoB AA'!$C$1:$T$898,18,FALSE)</f>
        <v>0</v>
      </c>
      <c r="P46">
        <f>VLOOKUP($C46,'[1]PoB AI'!$C$1:$T$898,17,FALSE)</f>
        <v>16</v>
      </c>
      <c r="Q46">
        <f>VLOOKUP($C46,'[1]PoB AI'!$C$1:$T$898,18,FALSE)</f>
        <v>0</v>
      </c>
      <c r="R46">
        <f>VLOOKUP($C46,'[1]PoB AS'!$C$1:$T$898,17,FALSE)</f>
        <v>0</v>
      </c>
      <c r="S46">
        <f>VLOOKUP($C46,'[1]PoB AS'!$C$1:$T$898,18,FALSE)</f>
        <v>0</v>
      </c>
      <c r="T46">
        <f>VLOOKUP($C46,'[1]PoB PI'!$C$1:$T$898,17,FALSE)</f>
        <v>11</v>
      </c>
      <c r="U46">
        <f>VLOOKUP($C46,'[1]PoB PI'!$C$1:$T$898,18,FALSE)</f>
        <v>0</v>
      </c>
      <c r="V46">
        <f>VLOOKUP($C46,'[1]PoB OT'!$C$1:$T$898,17,FALSE)</f>
        <v>0</v>
      </c>
      <c r="W46">
        <f>VLOOKUP($C46,'[1]PoB OT'!$C$1:$T$898,18,FALSE)</f>
        <v>0</v>
      </c>
      <c r="X46">
        <f>VLOOKUP($C46,'[1]PoB 2R'!$C$1:$T$898,17,FALSE)</f>
        <v>0</v>
      </c>
      <c r="Y46">
        <f>VLOOKUP($C46,'[1]PoB 2R'!$C$1:$T$898,18,FALSE)</f>
        <v>0</v>
      </c>
    </row>
    <row r="47" spans="1:25" x14ac:dyDescent="0.25">
      <c r="A47" t="s">
        <v>364</v>
      </c>
      <c r="B47">
        <v>5307695</v>
      </c>
      <c r="C47" t="s">
        <v>365</v>
      </c>
      <c r="D47">
        <f t="shared" si="0"/>
        <v>37054</v>
      </c>
      <c r="E47">
        <f>VLOOKUP($C47,'[1]PoB Totals'!$C$3:$T$898,17,FALSE)</f>
        <v>33590</v>
      </c>
      <c r="F47">
        <f>VLOOKUP($C47,'[1]PoB Totals'!$C$3:$T$898,18,FALSE)</f>
        <v>3464</v>
      </c>
      <c r="G47">
        <f t="shared" si="1"/>
        <v>37054</v>
      </c>
      <c r="H47">
        <f t="shared" si="2"/>
        <v>33590</v>
      </c>
      <c r="I47">
        <f t="shared" si="2"/>
        <v>3464</v>
      </c>
      <c r="J47">
        <f>VLOOKUP($C47,'[1]PoB WN'!$C$1:$T$898,17,FALSE)</f>
        <v>25614</v>
      </c>
      <c r="K47">
        <f>VLOOKUP($C47,'[1]PoB WN'!$C$1:$T$898,18,FALSE)</f>
        <v>903</v>
      </c>
      <c r="L47">
        <f>VLOOKUP($C47,'[1]PoB WH'!$C$1:$T$898,17,FALSE)</f>
        <v>673</v>
      </c>
      <c r="M47">
        <f>VLOOKUP($C47,'[1]PoB WH'!$C$1:$T$898,18,FALSE)</f>
        <v>164</v>
      </c>
      <c r="N47">
        <f>VLOOKUP($C47,'[1]PoB AA'!$C$1:$T$898,17,FALSE)</f>
        <v>2442</v>
      </c>
      <c r="O47">
        <f>VLOOKUP($C47,'[1]PoB AA'!$C$1:$T$898,18,FALSE)</f>
        <v>172</v>
      </c>
      <c r="P47">
        <f>VLOOKUP($C47,'[1]PoB AI'!$C$1:$T$898,17,FALSE)</f>
        <v>737</v>
      </c>
      <c r="Q47">
        <f>VLOOKUP($C47,'[1]PoB AI'!$C$1:$T$898,18,FALSE)</f>
        <v>22</v>
      </c>
      <c r="R47">
        <f>VLOOKUP($C47,'[1]PoB AS'!$C$1:$T$898,17,FALSE)</f>
        <v>511</v>
      </c>
      <c r="S47">
        <f>VLOOKUP($C47,'[1]PoB AS'!$C$1:$T$898,18,FALSE)</f>
        <v>1563</v>
      </c>
      <c r="T47">
        <f>VLOOKUP($C47,'[1]PoB PI'!$C$1:$T$898,17,FALSE)</f>
        <v>126</v>
      </c>
      <c r="U47">
        <f>VLOOKUP($C47,'[1]PoB PI'!$C$1:$T$898,18,FALSE)</f>
        <v>120</v>
      </c>
      <c r="V47">
        <f>VLOOKUP($C47,'[1]PoB OT'!$C$1:$T$898,17,FALSE)</f>
        <v>805</v>
      </c>
      <c r="W47">
        <f>VLOOKUP($C47,'[1]PoB OT'!$C$1:$T$898,18,FALSE)</f>
        <v>194</v>
      </c>
      <c r="X47">
        <f>VLOOKUP($C47,'[1]PoB 2R'!$C$1:$T$898,17,FALSE)</f>
        <v>2682</v>
      </c>
      <c r="Y47">
        <f>VLOOKUP($C47,'[1]PoB 2R'!$C$1:$T$898,18,FALSE)</f>
        <v>326</v>
      </c>
    </row>
    <row r="48" spans="1:25" x14ac:dyDescent="0.25">
      <c r="A48" t="s">
        <v>366</v>
      </c>
      <c r="B48">
        <v>5307835</v>
      </c>
      <c r="C48" t="s">
        <v>367</v>
      </c>
      <c r="D48">
        <f t="shared" si="0"/>
        <v>2179</v>
      </c>
      <c r="E48">
        <f>VLOOKUP($C48,'[1]PoB Totals'!$C$3:$T$898,17,FALSE)</f>
        <v>1318</v>
      </c>
      <c r="F48">
        <f>VLOOKUP($C48,'[1]PoB Totals'!$C$3:$T$898,18,FALSE)</f>
        <v>861</v>
      </c>
      <c r="G48">
        <f t="shared" si="1"/>
        <v>2179</v>
      </c>
      <c r="H48">
        <f t="shared" si="2"/>
        <v>1318</v>
      </c>
      <c r="I48">
        <f t="shared" si="2"/>
        <v>861</v>
      </c>
      <c r="J48">
        <f>VLOOKUP($C48,'[1]PoB WN'!$C$1:$T$898,17,FALSE)</f>
        <v>787</v>
      </c>
      <c r="K48">
        <f>VLOOKUP($C48,'[1]PoB WN'!$C$1:$T$898,18,FALSE)</f>
        <v>24</v>
      </c>
      <c r="L48">
        <f>VLOOKUP($C48,'[1]PoB WH'!$C$1:$T$898,17,FALSE)</f>
        <v>157</v>
      </c>
      <c r="M48">
        <f>VLOOKUP($C48,'[1]PoB WH'!$C$1:$T$898,18,FALSE)</f>
        <v>242</v>
      </c>
      <c r="N48">
        <f>VLOOKUP($C48,'[1]PoB AA'!$C$1:$T$898,17,FALSE)</f>
        <v>2</v>
      </c>
      <c r="O48">
        <f>VLOOKUP($C48,'[1]PoB AA'!$C$1:$T$898,18,FALSE)</f>
        <v>18</v>
      </c>
      <c r="P48">
        <f>VLOOKUP($C48,'[1]PoB AI'!$C$1:$T$898,17,FALSE)</f>
        <v>40</v>
      </c>
      <c r="Q48">
        <f>VLOOKUP($C48,'[1]PoB AI'!$C$1:$T$898,18,FALSE)</f>
        <v>1</v>
      </c>
      <c r="R48">
        <f>VLOOKUP($C48,'[1]PoB AS'!$C$1:$T$898,17,FALSE)</f>
        <v>0</v>
      </c>
      <c r="S48">
        <f>VLOOKUP($C48,'[1]PoB AS'!$C$1:$T$898,18,FALSE)</f>
        <v>4</v>
      </c>
      <c r="T48">
        <f>VLOOKUP($C48,'[1]PoB PI'!$C$1:$T$898,17,FALSE)</f>
        <v>0</v>
      </c>
      <c r="U48">
        <f>VLOOKUP($C48,'[1]PoB PI'!$C$1:$T$898,18,FALSE)</f>
        <v>0</v>
      </c>
      <c r="V48">
        <f>VLOOKUP($C48,'[1]PoB OT'!$C$1:$T$898,17,FALSE)</f>
        <v>312</v>
      </c>
      <c r="W48">
        <f>VLOOKUP($C48,'[1]PoB OT'!$C$1:$T$898,18,FALSE)</f>
        <v>562</v>
      </c>
      <c r="X48">
        <f>VLOOKUP($C48,'[1]PoB 2R'!$C$1:$T$898,17,FALSE)</f>
        <v>20</v>
      </c>
      <c r="Y48">
        <f>VLOOKUP($C48,'[1]PoB 2R'!$C$1:$T$898,18,FALSE)</f>
        <v>10</v>
      </c>
    </row>
    <row r="49" spans="1:25" x14ac:dyDescent="0.25">
      <c r="A49" t="s">
        <v>368</v>
      </c>
      <c r="B49">
        <v>5307870</v>
      </c>
      <c r="C49" t="s">
        <v>369</v>
      </c>
      <c r="D49">
        <f t="shared" si="0"/>
        <v>2099</v>
      </c>
      <c r="E49">
        <f>VLOOKUP($C49,'[1]PoB Totals'!$C$3:$T$898,17,FALSE)</f>
        <v>1203</v>
      </c>
      <c r="F49">
        <f>VLOOKUP($C49,'[1]PoB Totals'!$C$3:$T$898,18,FALSE)</f>
        <v>896</v>
      </c>
      <c r="G49">
        <f t="shared" si="1"/>
        <v>2099</v>
      </c>
      <c r="H49">
        <f t="shared" si="2"/>
        <v>1203</v>
      </c>
      <c r="I49">
        <f t="shared" si="2"/>
        <v>896</v>
      </c>
      <c r="J49">
        <f>VLOOKUP($C49,'[1]PoB WN'!$C$1:$T$898,17,FALSE)</f>
        <v>658</v>
      </c>
      <c r="K49">
        <f>VLOOKUP($C49,'[1]PoB WN'!$C$1:$T$898,18,FALSE)</f>
        <v>19</v>
      </c>
      <c r="L49">
        <f>VLOOKUP($C49,'[1]PoB WH'!$C$1:$T$898,17,FALSE)</f>
        <v>244</v>
      </c>
      <c r="M49">
        <f>VLOOKUP($C49,'[1]PoB WH'!$C$1:$T$898,18,FALSE)</f>
        <v>373</v>
      </c>
      <c r="N49">
        <f>VLOOKUP($C49,'[1]PoB AA'!$C$1:$T$898,17,FALSE)</f>
        <v>1</v>
      </c>
      <c r="O49">
        <f>VLOOKUP($C49,'[1]PoB AA'!$C$1:$T$898,18,FALSE)</f>
        <v>6</v>
      </c>
      <c r="P49">
        <f>VLOOKUP($C49,'[1]PoB AI'!$C$1:$T$898,17,FALSE)</f>
        <v>18</v>
      </c>
      <c r="Q49">
        <f>VLOOKUP($C49,'[1]PoB AI'!$C$1:$T$898,18,FALSE)</f>
        <v>2</v>
      </c>
      <c r="R49">
        <f>VLOOKUP($C49,'[1]PoB AS'!$C$1:$T$898,17,FALSE)</f>
        <v>0</v>
      </c>
      <c r="S49">
        <f>VLOOKUP($C49,'[1]PoB AS'!$C$1:$T$898,18,FALSE)</f>
        <v>0</v>
      </c>
      <c r="T49">
        <f>VLOOKUP($C49,'[1]PoB PI'!$C$1:$T$898,17,FALSE)</f>
        <v>0</v>
      </c>
      <c r="U49">
        <f>VLOOKUP($C49,'[1]PoB PI'!$C$1:$T$898,18,FALSE)</f>
        <v>0</v>
      </c>
      <c r="V49">
        <f>VLOOKUP($C49,'[1]PoB OT'!$C$1:$T$898,17,FALSE)</f>
        <v>220</v>
      </c>
      <c r="W49">
        <f>VLOOKUP($C49,'[1]PoB OT'!$C$1:$T$898,18,FALSE)</f>
        <v>466</v>
      </c>
      <c r="X49">
        <f>VLOOKUP($C49,'[1]PoB 2R'!$C$1:$T$898,17,FALSE)</f>
        <v>62</v>
      </c>
      <c r="Y49">
        <f>VLOOKUP($C49,'[1]PoB 2R'!$C$1:$T$898,18,FALSE)</f>
        <v>30</v>
      </c>
    </row>
    <row r="50" spans="1:25" x14ac:dyDescent="0.25">
      <c r="A50" t="s">
        <v>370</v>
      </c>
      <c r="B50">
        <v>5307940</v>
      </c>
      <c r="C50" t="s">
        <v>371</v>
      </c>
      <c r="D50">
        <f t="shared" si="0"/>
        <v>6548</v>
      </c>
      <c r="E50">
        <f>VLOOKUP($C50,'[1]PoB Totals'!$C$3:$T$898,17,FALSE)</f>
        <v>5857</v>
      </c>
      <c r="F50">
        <f>VLOOKUP($C50,'[1]PoB Totals'!$C$3:$T$898,18,FALSE)</f>
        <v>691</v>
      </c>
      <c r="G50">
        <f t="shared" si="1"/>
        <v>6548</v>
      </c>
      <c r="H50">
        <f t="shared" si="2"/>
        <v>5857</v>
      </c>
      <c r="I50">
        <f t="shared" si="2"/>
        <v>691</v>
      </c>
      <c r="J50">
        <f>VLOOKUP($C50,'[1]PoB WN'!$C$1:$T$898,17,FALSE)</f>
        <v>5263</v>
      </c>
      <c r="K50">
        <f>VLOOKUP($C50,'[1]PoB WN'!$C$1:$T$898,18,FALSE)</f>
        <v>266</v>
      </c>
      <c r="L50">
        <f>VLOOKUP($C50,'[1]PoB WH'!$C$1:$T$898,17,FALSE)</f>
        <v>66</v>
      </c>
      <c r="M50">
        <f>VLOOKUP($C50,'[1]PoB WH'!$C$1:$T$898,18,FALSE)</f>
        <v>8</v>
      </c>
      <c r="N50">
        <f>VLOOKUP($C50,'[1]PoB AA'!$C$1:$T$898,17,FALSE)</f>
        <v>82</v>
      </c>
      <c r="O50">
        <f>VLOOKUP($C50,'[1]PoB AA'!$C$1:$T$898,18,FALSE)</f>
        <v>0</v>
      </c>
      <c r="P50">
        <f>VLOOKUP($C50,'[1]PoB AI'!$C$1:$T$898,17,FALSE)</f>
        <v>0</v>
      </c>
      <c r="Q50">
        <f>VLOOKUP($C50,'[1]PoB AI'!$C$1:$T$898,18,FALSE)</f>
        <v>0</v>
      </c>
      <c r="R50">
        <f>VLOOKUP($C50,'[1]PoB AS'!$C$1:$T$898,17,FALSE)</f>
        <v>126</v>
      </c>
      <c r="S50">
        <f>VLOOKUP($C50,'[1]PoB AS'!$C$1:$T$898,18,FALSE)</f>
        <v>357</v>
      </c>
      <c r="T50">
        <f>VLOOKUP($C50,'[1]PoB PI'!$C$1:$T$898,17,FALSE)</f>
        <v>13</v>
      </c>
      <c r="U50">
        <f>VLOOKUP($C50,'[1]PoB PI'!$C$1:$T$898,18,FALSE)</f>
        <v>0</v>
      </c>
      <c r="V50">
        <f>VLOOKUP($C50,'[1]PoB OT'!$C$1:$T$898,17,FALSE)</f>
        <v>0</v>
      </c>
      <c r="W50">
        <f>VLOOKUP($C50,'[1]PoB OT'!$C$1:$T$898,18,FALSE)</f>
        <v>9</v>
      </c>
      <c r="X50">
        <f>VLOOKUP($C50,'[1]PoB 2R'!$C$1:$T$898,17,FALSE)</f>
        <v>307</v>
      </c>
      <c r="Y50">
        <f>VLOOKUP($C50,'[1]PoB 2R'!$C$1:$T$898,18,FALSE)</f>
        <v>51</v>
      </c>
    </row>
    <row r="51" spans="1:25" x14ac:dyDescent="0.25">
      <c r="A51" t="s">
        <v>372</v>
      </c>
      <c r="B51">
        <v>5308080</v>
      </c>
      <c r="C51" t="s">
        <v>373</v>
      </c>
      <c r="D51">
        <f t="shared" si="0"/>
        <v>831</v>
      </c>
      <c r="E51">
        <f>VLOOKUP($C51,'[1]PoB Totals'!$C$3:$T$898,17,FALSE)</f>
        <v>796</v>
      </c>
      <c r="F51">
        <f>VLOOKUP($C51,'[1]PoB Totals'!$C$3:$T$898,18,FALSE)</f>
        <v>35</v>
      </c>
      <c r="G51">
        <f t="shared" si="1"/>
        <v>831</v>
      </c>
      <c r="H51">
        <f t="shared" si="2"/>
        <v>796</v>
      </c>
      <c r="I51">
        <f t="shared" si="2"/>
        <v>35</v>
      </c>
      <c r="J51">
        <f>VLOOKUP($C51,'[1]PoB WN'!$C$1:$T$898,17,FALSE)</f>
        <v>731</v>
      </c>
      <c r="K51">
        <f>VLOOKUP($C51,'[1]PoB WN'!$C$1:$T$898,18,FALSE)</f>
        <v>33</v>
      </c>
      <c r="L51">
        <f>VLOOKUP($C51,'[1]PoB WH'!$C$1:$T$898,17,FALSE)</f>
        <v>5</v>
      </c>
      <c r="M51">
        <f>VLOOKUP($C51,'[1]PoB WH'!$C$1:$T$898,18,FALSE)</f>
        <v>0</v>
      </c>
      <c r="N51">
        <f>VLOOKUP($C51,'[1]PoB AA'!$C$1:$T$898,17,FALSE)</f>
        <v>2</v>
      </c>
      <c r="O51">
        <f>VLOOKUP($C51,'[1]PoB AA'!$C$1:$T$898,18,FALSE)</f>
        <v>0</v>
      </c>
      <c r="P51">
        <f>VLOOKUP($C51,'[1]PoB AI'!$C$1:$T$898,17,FALSE)</f>
        <v>13</v>
      </c>
      <c r="Q51">
        <f>VLOOKUP($C51,'[1]PoB AI'!$C$1:$T$898,18,FALSE)</f>
        <v>0</v>
      </c>
      <c r="R51">
        <f>VLOOKUP($C51,'[1]PoB AS'!$C$1:$T$898,17,FALSE)</f>
        <v>6</v>
      </c>
      <c r="S51">
        <f>VLOOKUP($C51,'[1]PoB AS'!$C$1:$T$898,18,FALSE)</f>
        <v>0</v>
      </c>
      <c r="T51">
        <f>VLOOKUP($C51,'[1]PoB PI'!$C$1:$T$898,17,FALSE)</f>
        <v>3</v>
      </c>
      <c r="U51">
        <f>VLOOKUP($C51,'[1]PoB PI'!$C$1:$T$898,18,FALSE)</f>
        <v>0</v>
      </c>
      <c r="V51">
        <f>VLOOKUP($C51,'[1]PoB OT'!$C$1:$T$898,17,FALSE)</f>
        <v>7</v>
      </c>
      <c r="W51">
        <f>VLOOKUP($C51,'[1]PoB OT'!$C$1:$T$898,18,FALSE)</f>
        <v>2</v>
      </c>
      <c r="X51">
        <f>VLOOKUP($C51,'[1]PoB 2R'!$C$1:$T$898,17,FALSE)</f>
        <v>29</v>
      </c>
      <c r="Y51">
        <f>VLOOKUP($C51,'[1]PoB 2R'!$C$1:$T$898,18,FALSE)</f>
        <v>0</v>
      </c>
    </row>
    <row r="52" spans="1:25" x14ac:dyDescent="0.25">
      <c r="A52" t="s">
        <v>376</v>
      </c>
      <c r="B52">
        <v>5308465</v>
      </c>
      <c r="C52" t="s">
        <v>377</v>
      </c>
      <c r="D52">
        <f t="shared" si="0"/>
        <v>2415</v>
      </c>
      <c r="E52">
        <f>VLOOKUP($C52,'[1]PoB Totals'!$C$3:$T$898,17,FALSE)</f>
        <v>2267</v>
      </c>
      <c r="F52">
        <f>VLOOKUP($C52,'[1]PoB Totals'!$C$3:$T$898,18,FALSE)</f>
        <v>148</v>
      </c>
      <c r="G52">
        <f t="shared" si="1"/>
        <v>2415</v>
      </c>
      <c r="H52">
        <f t="shared" si="2"/>
        <v>2267</v>
      </c>
      <c r="I52">
        <f t="shared" si="2"/>
        <v>148</v>
      </c>
      <c r="J52">
        <f>VLOOKUP($C52,'[1]PoB WN'!$C$1:$T$898,17,FALSE)</f>
        <v>2180</v>
      </c>
      <c r="K52">
        <f>VLOOKUP($C52,'[1]PoB WN'!$C$1:$T$898,18,FALSE)</f>
        <v>112</v>
      </c>
      <c r="L52">
        <f>VLOOKUP($C52,'[1]PoB WH'!$C$1:$T$898,17,FALSE)</f>
        <v>23</v>
      </c>
      <c r="M52">
        <f>VLOOKUP($C52,'[1]PoB WH'!$C$1:$T$898,18,FALSE)</f>
        <v>18</v>
      </c>
      <c r="N52">
        <f>VLOOKUP($C52,'[1]PoB AA'!$C$1:$T$898,17,FALSE)</f>
        <v>9</v>
      </c>
      <c r="O52">
        <f>VLOOKUP($C52,'[1]PoB AA'!$C$1:$T$898,18,FALSE)</f>
        <v>0</v>
      </c>
      <c r="P52">
        <f>VLOOKUP($C52,'[1]PoB AI'!$C$1:$T$898,17,FALSE)</f>
        <v>5</v>
      </c>
      <c r="Q52">
        <f>VLOOKUP($C52,'[1]PoB AI'!$C$1:$T$898,18,FALSE)</f>
        <v>0</v>
      </c>
      <c r="R52">
        <f>VLOOKUP($C52,'[1]PoB AS'!$C$1:$T$898,17,FALSE)</f>
        <v>7</v>
      </c>
      <c r="S52">
        <f>VLOOKUP($C52,'[1]PoB AS'!$C$1:$T$898,18,FALSE)</f>
        <v>18</v>
      </c>
      <c r="T52">
        <f>VLOOKUP($C52,'[1]PoB PI'!$C$1:$T$898,17,FALSE)</f>
        <v>0</v>
      </c>
      <c r="U52">
        <f>VLOOKUP($C52,'[1]PoB PI'!$C$1:$T$898,18,FALSE)</f>
        <v>0</v>
      </c>
      <c r="V52">
        <f>VLOOKUP($C52,'[1]PoB OT'!$C$1:$T$898,17,FALSE)</f>
        <v>0</v>
      </c>
      <c r="W52">
        <f>VLOOKUP($C52,'[1]PoB OT'!$C$1:$T$898,18,FALSE)</f>
        <v>0</v>
      </c>
      <c r="X52">
        <f>VLOOKUP($C52,'[1]PoB 2R'!$C$1:$T$898,17,FALSE)</f>
        <v>43</v>
      </c>
      <c r="Y52">
        <f>VLOOKUP($C52,'[1]PoB 2R'!$C$1:$T$898,18,FALSE)</f>
        <v>0</v>
      </c>
    </row>
    <row r="53" spans="1:25" x14ac:dyDescent="0.25">
      <c r="A53" t="s">
        <v>380</v>
      </c>
      <c r="B53">
        <v>5308552</v>
      </c>
      <c r="C53" t="s">
        <v>381</v>
      </c>
      <c r="D53">
        <f t="shared" si="0"/>
        <v>14050</v>
      </c>
      <c r="E53">
        <f>VLOOKUP($C53,'[1]PoB Totals'!$C$3:$T$898,17,FALSE)</f>
        <v>11249</v>
      </c>
      <c r="F53">
        <f>VLOOKUP($C53,'[1]PoB Totals'!$C$3:$T$898,18,FALSE)</f>
        <v>2801</v>
      </c>
      <c r="G53">
        <f t="shared" si="1"/>
        <v>14050</v>
      </c>
      <c r="H53">
        <f t="shared" si="2"/>
        <v>11249</v>
      </c>
      <c r="I53">
        <f t="shared" si="2"/>
        <v>2801</v>
      </c>
      <c r="J53">
        <f>VLOOKUP($C53,'[1]PoB WN'!$C$1:$T$898,17,FALSE)</f>
        <v>5654</v>
      </c>
      <c r="K53">
        <f>VLOOKUP($C53,'[1]PoB WN'!$C$1:$T$898,18,FALSE)</f>
        <v>326</v>
      </c>
      <c r="L53">
        <f>VLOOKUP($C53,'[1]PoB WH'!$C$1:$T$898,17,FALSE)</f>
        <v>121</v>
      </c>
      <c r="M53">
        <f>VLOOKUP($C53,'[1]PoB WH'!$C$1:$T$898,18,FALSE)</f>
        <v>62</v>
      </c>
      <c r="N53">
        <f>VLOOKUP($C53,'[1]PoB AA'!$C$1:$T$898,17,FALSE)</f>
        <v>3428</v>
      </c>
      <c r="O53">
        <f>VLOOKUP($C53,'[1]PoB AA'!$C$1:$T$898,18,FALSE)</f>
        <v>133</v>
      </c>
      <c r="P53">
        <f>VLOOKUP($C53,'[1]PoB AI'!$C$1:$T$898,17,FALSE)</f>
        <v>110</v>
      </c>
      <c r="Q53">
        <f>VLOOKUP($C53,'[1]PoB AI'!$C$1:$T$898,18,FALSE)</f>
        <v>19</v>
      </c>
      <c r="R53">
        <f>VLOOKUP($C53,'[1]PoB AS'!$C$1:$T$898,17,FALSE)</f>
        <v>1181</v>
      </c>
      <c r="S53">
        <f>VLOOKUP($C53,'[1]PoB AS'!$C$1:$T$898,18,FALSE)</f>
        <v>1874</v>
      </c>
      <c r="T53">
        <f>VLOOKUP($C53,'[1]PoB PI'!$C$1:$T$898,17,FALSE)</f>
        <v>36</v>
      </c>
      <c r="U53">
        <f>VLOOKUP($C53,'[1]PoB PI'!$C$1:$T$898,18,FALSE)</f>
        <v>108</v>
      </c>
      <c r="V53">
        <f>VLOOKUP($C53,'[1]PoB OT'!$C$1:$T$898,17,FALSE)</f>
        <v>154</v>
      </c>
      <c r="W53">
        <f>VLOOKUP($C53,'[1]PoB OT'!$C$1:$T$898,18,FALSE)</f>
        <v>209</v>
      </c>
      <c r="X53">
        <f>VLOOKUP($C53,'[1]PoB 2R'!$C$1:$T$898,17,FALSE)</f>
        <v>565</v>
      </c>
      <c r="Y53">
        <f>VLOOKUP($C53,'[1]PoB 2R'!$C$1:$T$898,18,FALSE)</f>
        <v>70</v>
      </c>
    </row>
    <row r="54" spans="1:25" x14ac:dyDescent="0.25">
      <c r="A54" t="s">
        <v>382</v>
      </c>
      <c r="B54">
        <v>5308570</v>
      </c>
      <c r="C54" t="s">
        <v>383</v>
      </c>
      <c r="D54">
        <f t="shared" si="0"/>
        <v>4064</v>
      </c>
      <c r="E54">
        <f>VLOOKUP($C54,'[1]PoB Totals'!$C$3:$T$898,17,FALSE)</f>
        <v>3902</v>
      </c>
      <c r="F54">
        <f>VLOOKUP($C54,'[1]PoB Totals'!$C$3:$T$898,18,FALSE)</f>
        <v>162</v>
      </c>
      <c r="G54">
        <f t="shared" si="1"/>
        <v>4064</v>
      </c>
      <c r="H54">
        <f t="shared" si="2"/>
        <v>3902</v>
      </c>
      <c r="I54">
        <f t="shared" si="2"/>
        <v>162</v>
      </c>
      <c r="J54">
        <f>VLOOKUP($C54,'[1]PoB WN'!$C$1:$T$898,17,FALSE)</f>
        <v>3716</v>
      </c>
      <c r="K54">
        <f>VLOOKUP($C54,'[1]PoB WN'!$C$1:$T$898,18,FALSE)</f>
        <v>109</v>
      </c>
      <c r="L54">
        <f>VLOOKUP($C54,'[1]PoB WH'!$C$1:$T$898,17,FALSE)</f>
        <v>0</v>
      </c>
      <c r="M54">
        <f>VLOOKUP($C54,'[1]PoB WH'!$C$1:$T$898,18,FALSE)</f>
        <v>0</v>
      </c>
      <c r="N54">
        <f>VLOOKUP($C54,'[1]PoB AA'!$C$1:$T$898,17,FALSE)</f>
        <v>44</v>
      </c>
      <c r="O54">
        <f>VLOOKUP($C54,'[1]PoB AA'!$C$1:$T$898,18,FALSE)</f>
        <v>0</v>
      </c>
      <c r="P54">
        <f>VLOOKUP($C54,'[1]PoB AI'!$C$1:$T$898,17,FALSE)</f>
        <v>15</v>
      </c>
      <c r="Q54">
        <f>VLOOKUP($C54,'[1]PoB AI'!$C$1:$T$898,18,FALSE)</f>
        <v>0</v>
      </c>
      <c r="R54">
        <f>VLOOKUP($C54,'[1]PoB AS'!$C$1:$T$898,17,FALSE)</f>
        <v>15</v>
      </c>
      <c r="S54">
        <f>VLOOKUP($C54,'[1]PoB AS'!$C$1:$T$898,18,FALSE)</f>
        <v>14</v>
      </c>
      <c r="T54">
        <f>VLOOKUP($C54,'[1]PoB PI'!$C$1:$T$898,17,FALSE)</f>
        <v>0</v>
      </c>
      <c r="U54">
        <f>VLOOKUP($C54,'[1]PoB PI'!$C$1:$T$898,18,FALSE)</f>
        <v>24</v>
      </c>
      <c r="V54">
        <f>VLOOKUP($C54,'[1]PoB OT'!$C$1:$T$898,17,FALSE)</f>
        <v>9</v>
      </c>
      <c r="W54">
        <f>VLOOKUP($C54,'[1]PoB OT'!$C$1:$T$898,18,FALSE)</f>
        <v>0</v>
      </c>
      <c r="X54">
        <f>VLOOKUP($C54,'[1]PoB 2R'!$C$1:$T$898,17,FALSE)</f>
        <v>103</v>
      </c>
      <c r="Y54">
        <f>VLOOKUP($C54,'[1]PoB 2R'!$C$1:$T$898,18,FALSE)</f>
        <v>15</v>
      </c>
    </row>
    <row r="55" spans="1:25" x14ac:dyDescent="0.25">
      <c r="A55" t="s">
        <v>384</v>
      </c>
      <c r="B55">
        <v>5308605</v>
      </c>
      <c r="C55" t="s">
        <v>385</v>
      </c>
      <c r="D55">
        <f t="shared" si="0"/>
        <v>648</v>
      </c>
      <c r="E55">
        <f>VLOOKUP($C55,'[1]PoB Totals'!$C$3:$T$898,17,FALSE)</f>
        <v>627</v>
      </c>
      <c r="F55">
        <f>VLOOKUP($C55,'[1]PoB Totals'!$C$3:$T$898,18,FALSE)</f>
        <v>21</v>
      </c>
      <c r="G55">
        <f t="shared" si="1"/>
        <v>648</v>
      </c>
      <c r="H55">
        <f t="shared" si="2"/>
        <v>627</v>
      </c>
      <c r="I55">
        <f t="shared" si="2"/>
        <v>21</v>
      </c>
      <c r="J55">
        <f>VLOOKUP($C55,'[1]PoB WN'!$C$1:$T$898,17,FALSE)</f>
        <v>581</v>
      </c>
      <c r="K55">
        <f>VLOOKUP($C55,'[1]PoB WN'!$C$1:$T$898,18,FALSE)</f>
        <v>5</v>
      </c>
      <c r="L55">
        <f>VLOOKUP($C55,'[1]PoB WH'!$C$1:$T$898,17,FALSE)</f>
        <v>0</v>
      </c>
      <c r="M55">
        <f>VLOOKUP($C55,'[1]PoB WH'!$C$1:$T$898,18,FALSE)</f>
        <v>0</v>
      </c>
      <c r="N55">
        <f>VLOOKUP($C55,'[1]PoB AA'!$C$1:$T$898,17,FALSE)</f>
        <v>0</v>
      </c>
      <c r="O55">
        <f>VLOOKUP($C55,'[1]PoB AA'!$C$1:$T$898,18,FALSE)</f>
        <v>0</v>
      </c>
      <c r="P55">
        <f>VLOOKUP($C55,'[1]PoB AI'!$C$1:$T$898,17,FALSE)</f>
        <v>10</v>
      </c>
      <c r="Q55">
        <f>VLOOKUP($C55,'[1]PoB AI'!$C$1:$T$898,18,FALSE)</f>
        <v>0</v>
      </c>
      <c r="R55">
        <f>VLOOKUP($C55,'[1]PoB AS'!$C$1:$T$898,17,FALSE)</f>
        <v>7</v>
      </c>
      <c r="S55">
        <f>VLOOKUP($C55,'[1]PoB AS'!$C$1:$T$898,18,FALSE)</f>
        <v>7</v>
      </c>
      <c r="T55">
        <f>VLOOKUP($C55,'[1]PoB PI'!$C$1:$T$898,17,FALSE)</f>
        <v>0</v>
      </c>
      <c r="U55">
        <f>VLOOKUP($C55,'[1]PoB PI'!$C$1:$T$898,18,FALSE)</f>
        <v>0</v>
      </c>
      <c r="V55">
        <f>VLOOKUP($C55,'[1]PoB OT'!$C$1:$T$898,17,FALSE)</f>
        <v>5</v>
      </c>
      <c r="W55">
        <f>VLOOKUP($C55,'[1]PoB OT'!$C$1:$T$898,18,FALSE)</f>
        <v>9</v>
      </c>
      <c r="X55">
        <f>VLOOKUP($C55,'[1]PoB 2R'!$C$1:$T$898,17,FALSE)</f>
        <v>24</v>
      </c>
      <c r="Y55">
        <f>VLOOKUP($C55,'[1]PoB 2R'!$C$1:$T$898,18,FALSE)</f>
        <v>0</v>
      </c>
    </row>
    <row r="56" spans="1:25" x14ac:dyDescent="0.25">
      <c r="A56" t="s">
        <v>390</v>
      </c>
      <c r="B56">
        <v>5308780</v>
      </c>
      <c r="C56" t="s">
        <v>391</v>
      </c>
      <c r="D56">
        <f t="shared" si="0"/>
        <v>3394</v>
      </c>
      <c r="E56">
        <f>VLOOKUP($C56,'[1]PoB Totals'!$C$3:$T$898,17,FALSE)</f>
        <v>3136</v>
      </c>
      <c r="F56">
        <f>VLOOKUP($C56,'[1]PoB Totals'!$C$3:$T$898,18,FALSE)</f>
        <v>258</v>
      </c>
      <c r="G56">
        <f t="shared" si="1"/>
        <v>3394</v>
      </c>
      <c r="H56">
        <f t="shared" si="2"/>
        <v>3136</v>
      </c>
      <c r="I56">
        <f t="shared" si="2"/>
        <v>258</v>
      </c>
      <c r="J56">
        <f>VLOOKUP($C56,'[1]PoB WN'!$C$1:$T$898,17,FALSE)</f>
        <v>2790</v>
      </c>
      <c r="K56">
        <f>VLOOKUP($C56,'[1]PoB WN'!$C$1:$T$898,18,FALSE)</f>
        <v>105</v>
      </c>
      <c r="L56">
        <f>VLOOKUP($C56,'[1]PoB WH'!$C$1:$T$898,17,FALSE)</f>
        <v>82</v>
      </c>
      <c r="M56">
        <f>VLOOKUP($C56,'[1]PoB WH'!$C$1:$T$898,18,FALSE)</f>
        <v>18</v>
      </c>
      <c r="N56">
        <f>VLOOKUP($C56,'[1]PoB AA'!$C$1:$T$898,17,FALSE)</f>
        <v>16</v>
      </c>
      <c r="O56">
        <f>VLOOKUP($C56,'[1]PoB AA'!$C$1:$T$898,18,FALSE)</f>
        <v>0</v>
      </c>
      <c r="P56">
        <f>VLOOKUP($C56,'[1]PoB AI'!$C$1:$T$898,17,FALSE)</f>
        <v>46</v>
      </c>
      <c r="Q56">
        <f>VLOOKUP($C56,'[1]PoB AI'!$C$1:$T$898,18,FALSE)</f>
        <v>0</v>
      </c>
      <c r="R56">
        <f>VLOOKUP($C56,'[1]PoB AS'!$C$1:$T$898,17,FALSE)</f>
        <v>0</v>
      </c>
      <c r="S56">
        <f>VLOOKUP($C56,'[1]PoB AS'!$C$1:$T$898,18,FALSE)</f>
        <v>45</v>
      </c>
      <c r="T56">
        <f>VLOOKUP($C56,'[1]PoB PI'!$C$1:$T$898,17,FALSE)</f>
        <v>0</v>
      </c>
      <c r="U56">
        <f>VLOOKUP($C56,'[1]PoB PI'!$C$1:$T$898,18,FALSE)</f>
        <v>0</v>
      </c>
      <c r="V56">
        <f>VLOOKUP($C56,'[1]PoB OT'!$C$1:$T$898,17,FALSE)</f>
        <v>112</v>
      </c>
      <c r="W56">
        <f>VLOOKUP($C56,'[1]PoB OT'!$C$1:$T$898,18,FALSE)</f>
        <v>76</v>
      </c>
      <c r="X56">
        <f>VLOOKUP($C56,'[1]PoB 2R'!$C$1:$T$898,17,FALSE)</f>
        <v>90</v>
      </c>
      <c r="Y56">
        <f>VLOOKUP($C56,'[1]PoB 2R'!$C$1:$T$898,18,FALSE)</f>
        <v>14</v>
      </c>
    </row>
    <row r="57" spans="1:25" x14ac:dyDescent="0.25">
      <c r="A57" t="s">
        <v>392</v>
      </c>
      <c r="B57">
        <v>5308850</v>
      </c>
      <c r="C57" t="s">
        <v>393</v>
      </c>
      <c r="D57">
        <f t="shared" si="0"/>
        <v>31744</v>
      </c>
      <c r="E57">
        <f>VLOOKUP($C57,'[1]PoB Totals'!$C$3:$T$898,17,FALSE)</f>
        <v>26530</v>
      </c>
      <c r="F57">
        <f>VLOOKUP($C57,'[1]PoB Totals'!$C$3:$T$898,18,FALSE)</f>
        <v>5214</v>
      </c>
      <c r="G57">
        <f t="shared" si="1"/>
        <v>31744</v>
      </c>
      <c r="H57">
        <f t="shared" si="2"/>
        <v>26530</v>
      </c>
      <c r="I57">
        <f t="shared" si="2"/>
        <v>5214</v>
      </c>
      <c r="J57">
        <f>VLOOKUP($C57,'[1]PoB WN'!$C$1:$T$898,17,FALSE)</f>
        <v>21312</v>
      </c>
      <c r="K57">
        <f>VLOOKUP($C57,'[1]PoB WN'!$C$1:$T$898,18,FALSE)</f>
        <v>1379</v>
      </c>
      <c r="L57">
        <f>VLOOKUP($C57,'[1]PoB WH'!$C$1:$T$898,17,FALSE)</f>
        <v>743</v>
      </c>
      <c r="M57">
        <f>VLOOKUP($C57,'[1]PoB WH'!$C$1:$T$898,18,FALSE)</f>
        <v>476</v>
      </c>
      <c r="N57">
        <f>VLOOKUP($C57,'[1]PoB AA'!$C$1:$T$898,17,FALSE)</f>
        <v>1417</v>
      </c>
      <c r="O57">
        <f>VLOOKUP($C57,'[1]PoB AA'!$C$1:$T$898,18,FALSE)</f>
        <v>193</v>
      </c>
      <c r="P57">
        <f>VLOOKUP($C57,'[1]PoB AI'!$C$1:$T$898,17,FALSE)</f>
        <v>395</v>
      </c>
      <c r="Q57">
        <f>VLOOKUP($C57,'[1]PoB AI'!$C$1:$T$898,18,FALSE)</f>
        <v>0</v>
      </c>
      <c r="R57">
        <f>VLOOKUP($C57,'[1]PoB AS'!$C$1:$T$898,17,FALSE)</f>
        <v>666</v>
      </c>
      <c r="S57">
        <f>VLOOKUP($C57,'[1]PoB AS'!$C$1:$T$898,18,FALSE)</f>
        <v>1472</v>
      </c>
      <c r="T57">
        <f>VLOOKUP($C57,'[1]PoB PI'!$C$1:$T$898,17,FALSE)</f>
        <v>171</v>
      </c>
      <c r="U57">
        <f>VLOOKUP($C57,'[1]PoB PI'!$C$1:$T$898,18,FALSE)</f>
        <v>184</v>
      </c>
      <c r="V57">
        <f>VLOOKUP($C57,'[1]PoB OT'!$C$1:$T$898,17,FALSE)</f>
        <v>759</v>
      </c>
      <c r="W57">
        <f>VLOOKUP($C57,'[1]PoB OT'!$C$1:$T$898,18,FALSE)</f>
        <v>1040</v>
      </c>
      <c r="X57">
        <f>VLOOKUP($C57,'[1]PoB 2R'!$C$1:$T$898,17,FALSE)</f>
        <v>1067</v>
      </c>
      <c r="Y57">
        <f>VLOOKUP($C57,'[1]PoB 2R'!$C$1:$T$898,18,FALSE)</f>
        <v>470</v>
      </c>
    </row>
    <row r="58" spans="1:25" x14ac:dyDescent="0.25">
      <c r="A58" t="s">
        <v>396</v>
      </c>
      <c r="B58">
        <v>5308920</v>
      </c>
      <c r="C58" t="s">
        <v>397</v>
      </c>
      <c r="D58">
        <f t="shared" si="0"/>
        <v>6623</v>
      </c>
      <c r="E58">
        <f>VLOOKUP($C58,'[1]PoB Totals'!$C$3:$T$898,17,FALSE)</f>
        <v>5763</v>
      </c>
      <c r="F58">
        <f>VLOOKUP($C58,'[1]PoB Totals'!$C$3:$T$898,18,FALSE)</f>
        <v>860</v>
      </c>
      <c r="G58">
        <f t="shared" si="1"/>
        <v>6623</v>
      </c>
      <c r="H58">
        <f t="shared" si="2"/>
        <v>5763</v>
      </c>
      <c r="I58">
        <f t="shared" si="2"/>
        <v>860</v>
      </c>
      <c r="J58">
        <f>VLOOKUP($C58,'[1]PoB WN'!$C$1:$T$898,17,FALSE)</f>
        <v>4396</v>
      </c>
      <c r="K58">
        <f>VLOOKUP($C58,'[1]PoB WN'!$C$1:$T$898,18,FALSE)</f>
        <v>93</v>
      </c>
      <c r="L58">
        <f>VLOOKUP($C58,'[1]PoB WH'!$C$1:$T$898,17,FALSE)</f>
        <v>416</v>
      </c>
      <c r="M58">
        <f>VLOOKUP($C58,'[1]PoB WH'!$C$1:$T$898,18,FALSE)</f>
        <v>125</v>
      </c>
      <c r="N58">
        <f>VLOOKUP($C58,'[1]PoB AA'!$C$1:$T$898,17,FALSE)</f>
        <v>60</v>
      </c>
      <c r="O58">
        <f>VLOOKUP($C58,'[1]PoB AA'!$C$1:$T$898,18,FALSE)</f>
        <v>8</v>
      </c>
      <c r="P58">
        <f>VLOOKUP($C58,'[1]PoB AI'!$C$1:$T$898,17,FALSE)</f>
        <v>30</v>
      </c>
      <c r="Q58">
        <f>VLOOKUP($C58,'[1]PoB AI'!$C$1:$T$898,18,FALSE)</f>
        <v>14</v>
      </c>
      <c r="R58">
        <f>VLOOKUP($C58,'[1]PoB AS'!$C$1:$T$898,17,FALSE)</f>
        <v>30</v>
      </c>
      <c r="S58">
        <f>VLOOKUP($C58,'[1]PoB AS'!$C$1:$T$898,18,FALSE)</f>
        <v>78</v>
      </c>
      <c r="T58">
        <f>VLOOKUP($C58,'[1]PoB PI'!$C$1:$T$898,17,FALSE)</f>
        <v>4</v>
      </c>
      <c r="U58">
        <f>VLOOKUP($C58,'[1]PoB PI'!$C$1:$T$898,18,FALSE)</f>
        <v>0</v>
      </c>
      <c r="V58">
        <f>VLOOKUP($C58,'[1]PoB OT'!$C$1:$T$898,17,FALSE)</f>
        <v>655</v>
      </c>
      <c r="W58">
        <f>VLOOKUP($C58,'[1]PoB OT'!$C$1:$T$898,18,FALSE)</f>
        <v>469</v>
      </c>
      <c r="X58">
        <f>VLOOKUP($C58,'[1]PoB 2R'!$C$1:$T$898,17,FALSE)</f>
        <v>172</v>
      </c>
      <c r="Y58">
        <f>VLOOKUP($C58,'[1]PoB 2R'!$C$1:$T$898,18,FALSE)</f>
        <v>73</v>
      </c>
    </row>
    <row r="59" spans="1:25" x14ac:dyDescent="0.25">
      <c r="A59" t="s">
        <v>398</v>
      </c>
      <c r="B59">
        <v>5309365</v>
      </c>
      <c r="C59" t="s">
        <v>399</v>
      </c>
      <c r="D59">
        <f t="shared" si="0"/>
        <v>13529</v>
      </c>
      <c r="E59">
        <f>VLOOKUP($C59,'[1]PoB Totals'!$C$3:$T$898,17,FALSE)</f>
        <v>12814</v>
      </c>
      <c r="F59">
        <f>VLOOKUP($C59,'[1]PoB Totals'!$C$3:$T$898,18,FALSE)</f>
        <v>715</v>
      </c>
      <c r="G59">
        <f t="shared" si="1"/>
        <v>13529</v>
      </c>
      <c r="H59">
        <f t="shared" si="2"/>
        <v>12814</v>
      </c>
      <c r="I59">
        <f t="shared" si="2"/>
        <v>715</v>
      </c>
      <c r="J59">
        <f>VLOOKUP($C59,'[1]PoB WN'!$C$1:$T$898,17,FALSE)</f>
        <v>12174</v>
      </c>
      <c r="K59">
        <f>VLOOKUP($C59,'[1]PoB WN'!$C$1:$T$898,18,FALSE)</f>
        <v>567</v>
      </c>
      <c r="L59">
        <f>VLOOKUP($C59,'[1]PoB WH'!$C$1:$T$898,17,FALSE)</f>
        <v>188</v>
      </c>
      <c r="M59">
        <f>VLOOKUP($C59,'[1]PoB WH'!$C$1:$T$898,18,FALSE)</f>
        <v>40</v>
      </c>
      <c r="N59">
        <f>VLOOKUP($C59,'[1]PoB AA'!$C$1:$T$898,17,FALSE)</f>
        <v>61</v>
      </c>
      <c r="O59">
        <f>VLOOKUP($C59,'[1]PoB AA'!$C$1:$T$898,18,FALSE)</f>
        <v>0</v>
      </c>
      <c r="P59">
        <f>VLOOKUP($C59,'[1]PoB AI'!$C$1:$T$898,17,FALSE)</f>
        <v>100</v>
      </c>
      <c r="Q59">
        <f>VLOOKUP($C59,'[1]PoB AI'!$C$1:$T$898,18,FALSE)</f>
        <v>0</v>
      </c>
      <c r="R59">
        <f>VLOOKUP($C59,'[1]PoB AS'!$C$1:$T$898,17,FALSE)</f>
        <v>47</v>
      </c>
      <c r="S59">
        <f>VLOOKUP($C59,'[1]PoB AS'!$C$1:$T$898,18,FALSE)</f>
        <v>74</v>
      </c>
      <c r="T59">
        <f>VLOOKUP($C59,'[1]PoB PI'!$C$1:$T$898,17,FALSE)</f>
        <v>26</v>
      </c>
      <c r="U59">
        <f>VLOOKUP($C59,'[1]PoB PI'!$C$1:$T$898,18,FALSE)</f>
        <v>5</v>
      </c>
      <c r="V59">
        <f>VLOOKUP($C59,'[1]PoB OT'!$C$1:$T$898,17,FALSE)</f>
        <v>49</v>
      </c>
      <c r="W59">
        <f>VLOOKUP($C59,'[1]PoB OT'!$C$1:$T$898,18,FALSE)</f>
        <v>11</v>
      </c>
      <c r="X59">
        <f>VLOOKUP($C59,'[1]PoB 2R'!$C$1:$T$898,17,FALSE)</f>
        <v>169</v>
      </c>
      <c r="Y59">
        <f>VLOOKUP($C59,'[1]PoB 2R'!$C$1:$T$898,18,FALSE)</f>
        <v>18</v>
      </c>
    </row>
    <row r="60" spans="1:25" x14ac:dyDescent="0.25">
      <c r="A60" t="s">
        <v>400</v>
      </c>
      <c r="B60">
        <v>5309480</v>
      </c>
      <c r="C60" t="s">
        <v>401</v>
      </c>
      <c r="D60">
        <f t="shared" si="0"/>
        <v>12682</v>
      </c>
      <c r="E60">
        <f>VLOOKUP($C60,'[1]PoB Totals'!$C$3:$T$898,17,FALSE)</f>
        <v>11979</v>
      </c>
      <c r="F60">
        <f>VLOOKUP($C60,'[1]PoB Totals'!$C$3:$T$898,18,FALSE)</f>
        <v>703</v>
      </c>
      <c r="G60">
        <f t="shared" si="1"/>
        <v>12682</v>
      </c>
      <c r="H60">
        <f t="shared" si="2"/>
        <v>11979</v>
      </c>
      <c r="I60">
        <f t="shared" si="2"/>
        <v>703</v>
      </c>
      <c r="J60">
        <f>VLOOKUP($C60,'[1]PoB WN'!$C$1:$T$898,17,FALSE)</f>
        <v>11070</v>
      </c>
      <c r="K60">
        <f>VLOOKUP($C60,'[1]PoB WN'!$C$1:$T$898,18,FALSE)</f>
        <v>359</v>
      </c>
      <c r="L60">
        <f>VLOOKUP($C60,'[1]PoB WH'!$C$1:$T$898,17,FALSE)</f>
        <v>220</v>
      </c>
      <c r="M60">
        <f>VLOOKUP($C60,'[1]PoB WH'!$C$1:$T$898,18,FALSE)</f>
        <v>0</v>
      </c>
      <c r="N60">
        <f>VLOOKUP($C60,'[1]PoB AA'!$C$1:$T$898,17,FALSE)</f>
        <v>51</v>
      </c>
      <c r="O60">
        <f>VLOOKUP($C60,'[1]PoB AA'!$C$1:$T$898,18,FALSE)</f>
        <v>5</v>
      </c>
      <c r="P60">
        <f>VLOOKUP($C60,'[1]PoB AI'!$C$1:$T$898,17,FALSE)</f>
        <v>109</v>
      </c>
      <c r="Q60">
        <f>VLOOKUP($C60,'[1]PoB AI'!$C$1:$T$898,18,FALSE)</f>
        <v>0</v>
      </c>
      <c r="R60">
        <f>VLOOKUP($C60,'[1]PoB AS'!$C$1:$T$898,17,FALSE)</f>
        <v>137</v>
      </c>
      <c r="S60">
        <f>VLOOKUP($C60,'[1]PoB AS'!$C$1:$T$898,18,FALSE)</f>
        <v>290</v>
      </c>
      <c r="T60">
        <f>VLOOKUP($C60,'[1]PoB PI'!$C$1:$T$898,17,FALSE)</f>
        <v>35</v>
      </c>
      <c r="U60">
        <f>VLOOKUP($C60,'[1]PoB PI'!$C$1:$T$898,18,FALSE)</f>
        <v>20</v>
      </c>
      <c r="V60">
        <f>VLOOKUP($C60,'[1]PoB OT'!$C$1:$T$898,17,FALSE)</f>
        <v>118</v>
      </c>
      <c r="W60">
        <f>VLOOKUP($C60,'[1]PoB OT'!$C$1:$T$898,18,FALSE)</f>
        <v>29</v>
      </c>
      <c r="X60">
        <f>VLOOKUP($C60,'[1]PoB 2R'!$C$1:$T$898,17,FALSE)</f>
        <v>239</v>
      </c>
      <c r="Y60">
        <f>VLOOKUP($C60,'[1]PoB 2R'!$C$1:$T$898,18,FALSE)</f>
        <v>0</v>
      </c>
    </row>
    <row r="61" spans="1:25" x14ac:dyDescent="0.25">
      <c r="A61" t="s">
        <v>406</v>
      </c>
      <c r="B61">
        <v>5309970</v>
      </c>
      <c r="C61" t="s">
        <v>407</v>
      </c>
      <c r="D61">
        <f t="shared" si="0"/>
        <v>784</v>
      </c>
      <c r="E61">
        <f>VLOOKUP($C61,'[1]PoB Totals'!$C$3:$T$898,17,FALSE)</f>
        <v>780</v>
      </c>
      <c r="F61">
        <f>VLOOKUP($C61,'[1]PoB Totals'!$C$3:$T$898,18,FALSE)</f>
        <v>4</v>
      </c>
      <c r="G61">
        <f t="shared" si="1"/>
        <v>784</v>
      </c>
      <c r="H61">
        <f t="shared" si="2"/>
        <v>780</v>
      </c>
      <c r="I61">
        <f t="shared" si="2"/>
        <v>4</v>
      </c>
      <c r="J61">
        <f>VLOOKUP($C61,'[1]PoB WN'!$C$1:$T$898,17,FALSE)</f>
        <v>751</v>
      </c>
      <c r="K61">
        <f>VLOOKUP($C61,'[1]PoB WN'!$C$1:$T$898,18,FALSE)</f>
        <v>4</v>
      </c>
      <c r="L61">
        <f>VLOOKUP($C61,'[1]PoB WH'!$C$1:$T$898,17,FALSE)</f>
        <v>6</v>
      </c>
      <c r="M61">
        <f>VLOOKUP($C61,'[1]PoB WH'!$C$1:$T$898,18,FALSE)</f>
        <v>0</v>
      </c>
      <c r="N61">
        <f>VLOOKUP($C61,'[1]PoB AA'!$C$1:$T$898,17,FALSE)</f>
        <v>0</v>
      </c>
      <c r="O61">
        <f>VLOOKUP($C61,'[1]PoB AA'!$C$1:$T$898,18,FALSE)</f>
        <v>0</v>
      </c>
      <c r="P61">
        <f>VLOOKUP($C61,'[1]PoB AI'!$C$1:$T$898,17,FALSE)</f>
        <v>3</v>
      </c>
      <c r="Q61">
        <f>VLOOKUP($C61,'[1]PoB AI'!$C$1:$T$898,18,FALSE)</f>
        <v>0</v>
      </c>
      <c r="R61">
        <f>VLOOKUP($C61,'[1]PoB AS'!$C$1:$T$898,17,FALSE)</f>
        <v>0</v>
      </c>
      <c r="S61">
        <f>VLOOKUP($C61,'[1]PoB AS'!$C$1:$T$898,18,FALSE)</f>
        <v>0</v>
      </c>
      <c r="T61">
        <f>VLOOKUP($C61,'[1]PoB PI'!$C$1:$T$898,17,FALSE)</f>
        <v>0</v>
      </c>
      <c r="U61">
        <f>VLOOKUP($C61,'[1]PoB PI'!$C$1:$T$898,18,FALSE)</f>
        <v>0</v>
      </c>
      <c r="V61">
        <f>VLOOKUP($C61,'[1]PoB OT'!$C$1:$T$898,17,FALSE)</f>
        <v>2</v>
      </c>
      <c r="W61">
        <f>VLOOKUP($C61,'[1]PoB OT'!$C$1:$T$898,18,FALSE)</f>
        <v>0</v>
      </c>
      <c r="X61">
        <f>VLOOKUP($C61,'[1]PoB 2R'!$C$1:$T$898,17,FALSE)</f>
        <v>18</v>
      </c>
      <c r="Y61">
        <f>VLOOKUP($C61,'[1]PoB 2R'!$C$1:$T$898,18,FALSE)</f>
        <v>0</v>
      </c>
    </row>
    <row r="62" spans="1:25" x14ac:dyDescent="0.25">
      <c r="A62" t="s">
        <v>408</v>
      </c>
      <c r="B62">
        <v>5310075</v>
      </c>
      <c r="C62" t="s">
        <v>409</v>
      </c>
      <c r="D62">
        <f t="shared" si="0"/>
        <v>762</v>
      </c>
      <c r="E62">
        <f>VLOOKUP($C62,'[1]PoB Totals'!$C$3:$T$898,17,FALSE)</f>
        <v>701</v>
      </c>
      <c r="F62">
        <f>VLOOKUP($C62,'[1]PoB Totals'!$C$3:$T$898,18,FALSE)</f>
        <v>61</v>
      </c>
      <c r="G62">
        <f t="shared" si="1"/>
        <v>762</v>
      </c>
      <c r="H62">
        <f t="shared" si="2"/>
        <v>701</v>
      </c>
      <c r="I62">
        <f t="shared" si="2"/>
        <v>61</v>
      </c>
      <c r="J62">
        <f>VLOOKUP($C62,'[1]PoB WN'!$C$1:$T$898,17,FALSE)</f>
        <v>669</v>
      </c>
      <c r="K62">
        <f>VLOOKUP($C62,'[1]PoB WN'!$C$1:$T$898,18,FALSE)</f>
        <v>61</v>
      </c>
      <c r="L62">
        <f>VLOOKUP($C62,'[1]PoB WH'!$C$1:$T$898,17,FALSE)</f>
        <v>12</v>
      </c>
      <c r="M62">
        <f>VLOOKUP($C62,'[1]PoB WH'!$C$1:$T$898,18,FALSE)</f>
        <v>0</v>
      </c>
      <c r="N62">
        <f>VLOOKUP($C62,'[1]PoB AA'!$C$1:$T$898,17,FALSE)</f>
        <v>0</v>
      </c>
      <c r="O62">
        <f>VLOOKUP($C62,'[1]PoB AA'!$C$1:$T$898,18,FALSE)</f>
        <v>0</v>
      </c>
      <c r="P62">
        <f>VLOOKUP($C62,'[1]PoB AI'!$C$1:$T$898,17,FALSE)</f>
        <v>8</v>
      </c>
      <c r="Q62">
        <f>VLOOKUP($C62,'[1]PoB AI'!$C$1:$T$898,18,FALSE)</f>
        <v>0</v>
      </c>
      <c r="R62">
        <f>VLOOKUP($C62,'[1]PoB AS'!$C$1:$T$898,17,FALSE)</f>
        <v>0</v>
      </c>
      <c r="S62">
        <f>VLOOKUP($C62,'[1]PoB AS'!$C$1:$T$898,18,FALSE)</f>
        <v>0</v>
      </c>
      <c r="T62">
        <f>VLOOKUP($C62,'[1]PoB PI'!$C$1:$T$898,17,FALSE)</f>
        <v>0</v>
      </c>
      <c r="U62">
        <f>VLOOKUP($C62,'[1]PoB PI'!$C$1:$T$898,18,FALSE)</f>
        <v>0</v>
      </c>
      <c r="V62">
        <f>VLOOKUP($C62,'[1]PoB OT'!$C$1:$T$898,17,FALSE)</f>
        <v>0</v>
      </c>
      <c r="W62">
        <f>VLOOKUP($C62,'[1]PoB OT'!$C$1:$T$898,18,FALSE)</f>
        <v>0</v>
      </c>
      <c r="X62">
        <f>VLOOKUP($C62,'[1]PoB 2R'!$C$1:$T$898,17,FALSE)</f>
        <v>12</v>
      </c>
      <c r="Y62">
        <f>VLOOKUP($C62,'[1]PoB 2R'!$C$1:$T$898,18,FALSE)</f>
        <v>0</v>
      </c>
    </row>
    <row r="63" spans="1:25" x14ac:dyDescent="0.25">
      <c r="A63" t="s">
        <v>410</v>
      </c>
      <c r="B63">
        <v>5310215</v>
      </c>
      <c r="C63" t="s">
        <v>411</v>
      </c>
      <c r="D63">
        <f t="shared" si="0"/>
        <v>1905</v>
      </c>
      <c r="E63">
        <f>VLOOKUP($C63,'[1]PoB Totals'!$C$3:$T$898,17,FALSE)</f>
        <v>1785</v>
      </c>
      <c r="F63">
        <f>VLOOKUP($C63,'[1]PoB Totals'!$C$3:$T$898,18,FALSE)</f>
        <v>120</v>
      </c>
      <c r="G63">
        <f t="shared" si="1"/>
        <v>1905</v>
      </c>
      <c r="H63">
        <f t="shared" si="2"/>
        <v>1785</v>
      </c>
      <c r="I63">
        <f t="shared" si="2"/>
        <v>120</v>
      </c>
      <c r="J63">
        <f>VLOOKUP($C63,'[1]PoB WN'!$C$1:$T$898,17,FALSE)</f>
        <v>1673</v>
      </c>
      <c r="K63">
        <f>VLOOKUP($C63,'[1]PoB WN'!$C$1:$T$898,18,FALSE)</f>
        <v>48</v>
      </c>
      <c r="L63">
        <f>VLOOKUP($C63,'[1]PoB WH'!$C$1:$T$898,17,FALSE)</f>
        <v>26</v>
      </c>
      <c r="M63">
        <f>VLOOKUP($C63,'[1]PoB WH'!$C$1:$T$898,18,FALSE)</f>
        <v>16</v>
      </c>
      <c r="N63">
        <f>VLOOKUP($C63,'[1]PoB AA'!$C$1:$T$898,17,FALSE)</f>
        <v>8</v>
      </c>
      <c r="O63">
        <f>VLOOKUP($C63,'[1]PoB AA'!$C$1:$T$898,18,FALSE)</f>
        <v>3</v>
      </c>
      <c r="P63">
        <f>VLOOKUP($C63,'[1]PoB AI'!$C$1:$T$898,17,FALSE)</f>
        <v>10</v>
      </c>
      <c r="Q63">
        <f>VLOOKUP($C63,'[1]PoB AI'!$C$1:$T$898,18,FALSE)</f>
        <v>0</v>
      </c>
      <c r="R63">
        <f>VLOOKUP($C63,'[1]PoB AS'!$C$1:$T$898,17,FALSE)</f>
        <v>12</v>
      </c>
      <c r="S63">
        <f>VLOOKUP($C63,'[1]PoB AS'!$C$1:$T$898,18,FALSE)</f>
        <v>35</v>
      </c>
      <c r="T63">
        <f>VLOOKUP($C63,'[1]PoB PI'!$C$1:$T$898,17,FALSE)</f>
        <v>0</v>
      </c>
      <c r="U63">
        <f>VLOOKUP($C63,'[1]PoB PI'!$C$1:$T$898,18,FALSE)</f>
        <v>0</v>
      </c>
      <c r="V63">
        <f>VLOOKUP($C63,'[1]PoB OT'!$C$1:$T$898,17,FALSE)</f>
        <v>25</v>
      </c>
      <c r="W63">
        <f>VLOOKUP($C63,'[1]PoB OT'!$C$1:$T$898,18,FALSE)</f>
        <v>14</v>
      </c>
      <c r="X63">
        <f>VLOOKUP($C63,'[1]PoB 2R'!$C$1:$T$898,17,FALSE)</f>
        <v>31</v>
      </c>
      <c r="Y63">
        <f>VLOOKUP($C63,'[1]PoB 2R'!$C$1:$T$898,18,FALSE)</f>
        <v>4</v>
      </c>
    </row>
    <row r="64" spans="1:25" x14ac:dyDescent="0.25">
      <c r="A64" t="s">
        <v>1506</v>
      </c>
      <c r="B64">
        <v>5310325</v>
      </c>
      <c r="C64" t="s">
        <v>1507</v>
      </c>
      <c r="D64">
        <f t="shared" si="0"/>
        <v>2095</v>
      </c>
      <c r="E64">
        <f>VLOOKUP($C64,'[1]PoB Totals'!$C$3:$T$898,17,FALSE)</f>
        <v>1948</v>
      </c>
      <c r="F64">
        <f>VLOOKUP($C64,'[1]PoB Totals'!$C$3:$T$898,18,FALSE)</f>
        <v>147</v>
      </c>
      <c r="G64">
        <f t="shared" si="1"/>
        <v>2095</v>
      </c>
      <c r="H64">
        <f t="shared" si="2"/>
        <v>1948</v>
      </c>
      <c r="I64">
        <f t="shared" si="2"/>
        <v>147</v>
      </c>
      <c r="J64">
        <f>VLOOKUP($C64,'[1]PoB WN'!$C$1:$T$898,17,FALSE)</f>
        <v>1754</v>
      </c>
      <c r="K64">
        <f>VLOOKUP($C64,'[1]PoB WN'!$C$1:$T$898,18,FALSE)</f>
        <v>58</v>
      </c>
      <c r="L64">
        <f>VLOOKUP($C64,'[1]PoB WH'!$C$1:$T$898,17,FALSE)</f>
        <v>19</v>
      </c>
      <c r="M64">
        <f>VLOOKUP($C64,'[1]PoB WH'!$C$1:$T$898,18,FALSE)</f>
        <v>49</v>
      </c>
      <c r="N64">
        <f>VLOOKUP($C64,'[1]PoB AA'!$C$1:$T$898,17,FALSE)</f>
        <v>0</v>
      </c>
      <c r="O64">
        <f>VLOOKUP($C64,'[1]PoB AA'!$C$1:$T$898,18,FALSE)</f>
        <v>0</v>
      </c>
      <c r="P64">
        <f>VLOOKUP($C64,'[1]PoB AI'!$C$1:$T$898,17,FALSE)</f>
        <v>94</v>
      </c>
      <c r="Q64">
        <f>VLOOKUP($C64,'[1]PoB AI'!$C$1:$T$898,18,FALSE)</f>
        <v>0</v>
      </c>
      <c r="R64">
        <f>VLOOKUP($C64,'[1]PoB AS'!$C$1:$T$898,17,FALSE)</f>
        <v>8</v>
      </c>
      <c r="S64">
        <f>VLOOKUP($C64,'[1]PoB AS'!$C$1:$T$898,18,FALSE)</f>
        <v>9</v>
      </c>
      <c r="T64">
        <f>VLOOKUP($C64,'[1]PoB PI'!$C$1:$T$898,17,FALSE)</f>
        <v>0</v>
      </c>
      <c r="U64">
        <f>VLOOKUP($C64,'[1]PoB PI'!$C$1:$T$898,18,FALSE)</f>
        <v>0</v>
      </c>
      <c r="V64">
        <f>VLOOKUP($C64,'[1]PoB OT'!$C$1:$T$898,17,FALSE)</f>
        <v>17</v>
      </c>
      <c r="W64">
        <f>VLOOKUP($C64,'[1]PoB OT'!$C$1:$T$898,18,FALSE)</f>
        <v>15</v>
      </c>
      <c r="X64">
        <f>VLOOKUP($C64,'[1]PoB 2R'!$C$1:$T$898,17,FALSE)</f>
        <v>56</v>
      </c>
      <c r="Y64">
        <f>VLOOKUP($C64,'[1]PoB 2R'!$C$1:$T$898,18,FALSE)</f>
        <v>16</v>
      </c>
    </row>
    <row r="65" spans="1:25" x14ac:dyDescent="0.25">
      <c r="A65" t="s">
        <v>1508</v>
      </c>
      <c r="B65">
        <v>5310372</v>
      </c>
      <c r="C65" t="s">
        <v>1509</v>
      </c>
      <c r="D65">
        <f t="shared" si="0"/>
        <v>34433</v>
      </c>
      <c r="E65">
        <f>VLOOKUP($C65,'[1]PoB Totals'!$C$3:$T$898,17,FALSE)</f>
        <v>29206</v>
      </c>
      <c r="F65">
        <f>VLOOKUP($C65,'[1]PoB Totals'!$C$3:$T$898,18,FALSE)</f>
        <v>5227</v>
      </c>
      <c r="G65">
        <f t="shared" si="1"/>
        <v>34433</v>
      </c>
      <c r="H65">
        <f t="shared" si="2"/>
        <v>29206</v>
      </c>
      <c r="I65">
        <f t="shared" si="2"/>
        <v>5227</v>
      </c>
      <c r="J65">
        <f>VLOOKUP($C65,'[1]PoB WN'!$C$1:$T$898,17,FALSE)</f>
        <v>23028</v>
      </c>
      <c r="K65">
        <f>VLOOKUP($C65,'[1]PoB WN'!$C$1:$T$898,18,FALSE)</f>
        <v>1462</v>
      </c>
      <c r="L65">
        <f>VLOOKUP($C65,'[1]PoB WH'!$C$1:$T$898,17,FALSE)</f>
        <v>355</v>
      </c>
      <c r="M65">
        <f>VLOOKUP($C65,'[1]PoB WH'!$C$1:$T$898,18,FALSE)</f>
        <v>100</v>
      </c>
      <c r="N65">
        <f>VLOOKUP($C65,'[1]PoB AA'!$C$1:$T$898,17,FALSE)</f>
        <v>1773</v>
      </c>
      <c r="O65">
        <f>VLOOKUP($C65,'[1]PoB AA'!$C$1:$T$898,18,FALSE)</f>
        <v>256</v>
      </c>
      <c r="P65">
        <f>VLOOKUP($C65,'[1]PoB AI'!$C$1:$T$898,17,FALSE)</f>
        <v>162</v>
      </c>
      <c r="Q65">
        <f>VLOOKUP($C65,'[1]PoB AI'!$C$1:$T$898,18,FALSE)</f>
        <v>11</v>
      </c>
      <c r="R65">
        <f>VLOOKUP($C65,'[1]PoB AS'!$C$1:$T$898,17,FALSE)</f>
        <v>1751</v>
      </c>
      <c r="S65">
        <f>VLOOKUP($C65,'[1]PoB AS'!$C$1:$T$898,18,FALSE)</f>
        <v>2896</v>
      </c>
      <c r="T65">
        <f>VLOOKUP($C65,'[1]PoB PI'!$C$1:$T$898,17,FALSE)</f>
        <v>112</v>
      </c>
      <c r="U65">
        <f>VLOOKUP($C65,'[1]PoB PI'!$C$1:$T$898,18,FALSE)</f>
        <v>32</v>
      </c>
      <c r="V65">
        <f>VLOOKUP($C65,'[1]PoB OT'!$C$1:$T$898,17,FALSE)</f>
        <v>533</v>
      </c>
      <c r="W65">
        <f>VLOOKUP($C65,'[1]PoB OT'!$C$1:$T$898,18,FALSE)</f>
        <v>257</v>
      </c>
      <c r="X65">
        <f>VLOOKUP($C65,'[1]PoB 2R'!$C$1:$T$898,17,FALSE)</f>
        <v>1492</v>
      </c>
      <c r="Y65">
        <f>VLOOKUP($C65,'[1]PoB 2R'!$C$1:$T$898,18,FALSE)</f>
        <v>213</v>
      </c>
    </row>
    <row r="66" spans="1:25" x14ac:dyDescent="0.25">
      <c r="A66" t="s">
        <v>414</v>
      </c>
      <c r="B66">
        <v>5310455</v>
      </c>
      <c r="C66" t="s">
        <v>415</v>
      </c>
      <c r="D66">
        <f t="shared" si="0"/>
        <v>1785</v>
      </c>
      <c r="E66">
        <f>VLOOKUP($C66,'[1]PoB Totals'!$C$3:$T$898,17,FALSE)</f>
        <v>1627</v>
      </c>
      <c r="F66">
        <f>VLOOKUP($C66,'[1]PoB Totals'!$C$3:$T$898,18,FALSE)</f>
        <v>158</v>
      </c>
      <c r="G66">
        <f t="shared" si="1"/>
        <v>1785</v>
      </c>
      <c r="H66">
        <f t="shared" si="2"/>
        <v>1627</v>
      </c>
      <c r="I66">
        <f t="shared" si="2"/>
        <v>158</v>
      </c>
      <c r="J66">
        <f>VLOOKUP($C66,'[1]PoB WN'!$C$1:$T$898,17,FALSE)</f>
        <v>1264</v>
      </c>
      <c r="K66">
        <f>VLOOKUP($C66,'[1]PoB WN'!$C$1:$T$898,18,FALSE)</f>
        <v>0</v>
      </c>
      <c r="L66">
        <f>VLOOKUP($C66,'[1]PoB WH'!$C$1:$T$898,17,FALSE)</f>
        <v>36</v>
      </c>
      <c r="M66">
        <f>VLOOKUP($C66,'[1]PoB WH'!$C$1:$T$898,18,FALSE)</f>
        <v>9</v>
      </c>
      <c r="N66">
        <f>VLOOKUP($C66,'[1]PoB AA'!$C$1:$T$898,17,FALSE)</f>
        <v>78</v>
      </c>
      <c r="O66">
        <f>VLOOKUP($C66,'[1]PoB AA'!$C$1:$T$898,18,FALSE)</f>
        <v>32</v>
      </c>
      <c r="P66">
        <f>VLOOKUP($C66,'[1]PoB AI'!$C$1:$T$898,17,FALSE)</f>
        <v>9</v>
      </c>
      <c r="Q66">
        <f>VLOOKUP($C66,'[1]PoB AI'!$C$1:$T$898,18,FALSE)</f>
        <v>0</v>
      </c>
      <c r="R66">
        <f>VLOOKUP($C66,'[1]PoB AS'!$C$1:$T$898,17,FALSE)</f>
        <v>0</v>
      </c>
      <c r="S66">
        <f>VLOOKUP($C66,'[1]PoB AS'!$C$1:$T$898,18,FALSE)</f>
        <v>0</v>
      </c>
      <c r="T66">
        <f>VLOOKUP($C66,'[1]PoB PI'!$C$1:$T$898,17,FALSE)</f>
        <v>0</v>
      </c>
      <c r="U66">
        <f>VLOOKUP($C66,'[1]PoB PI'!$C$1:$T$898,18,FALSE)</f>
        <v>0</v>
      </c>
      <c r="V66">
        <f>VLOOKUP($C66,'[1]PoB OT'!$C$1:$T$898,17,FALSE)</f>
        <v>157</v>
      </c>
      <c r="W66">
        <f>VLOOKUP($C66,'[1]PoB OT'!$C$1:$T$898,18,FALSE)</f>
        <v>77</v>
      </c>
      <c r="X66">
        <f>VLOOKUP($C66,'[1]PoB 2R'!$C$1:$T$898,17,FALSE)</f>
        <v>83</v>
      </c>
      <c r="Y66">
        <f>VLOOKUP($C66,'[1]PoB 2R'!$C$1:$T$898,18,FALSE)</f>
        <v>40</v>
      </c>
    </row>
    <row r="67" spans="1:25" x14ac:dyDescent="0.25">
      <c r="A67" t="s">
        <v>416</v>
      </c>
      <c r="B67">
        <v>5310495</v>
      </c>
      <c r="C67" t="s">
        <v>417</v>
      </c>
      <c r="D67">
        <f t="shared" ref="D67:D130" si="3">SUM(E67,F67)</f>
        <v>2929</v>
      </c>
      <c r="E67">
        <f>VLOOKUP($C67,'[1]PoB Totals'!$C$3:$T$898,17,FALSE)</f>
        <v>2587</v>
      </c>
      <c r="F67">
        <f>VLOOKUP($C67,'[1]PoB Totals'!$C$3:$T$898,18,FALSE)</f>
        <v>342</v>
      </c>
      <c r="G67">
        <f t="shared" ref="G67:G130" si="4">H67+I67</f>
        <v>2929</v>
      </c>
      <c r="H67">
        <f t="shared" ref="H67:I130" si="5">SUM(J67,L67,N67,P67,R67,T67,V67,X67)</f>
        <v>2587</v>
      </c>
      <c r="I67">
        <f t="shared" si="5"/>
        <v>342</v>
      </c>
      <c r="J67">
        <f>VLOOKUP($C67,'[1]PoB WN'!$C$1:$T$898,17,FALSE)</f>
        <v>2371</v>
      </c>
      <c r="K67">
        <f>VLOOKUP($C67,'[1]PoB WN'!$C$1:$T$898,18,FALSE)</f>
        <v>38</v>
      </c>
      <c r="L67">
        <f>VLOOKUP($C67,'[1]PoB WH'!$C$1:$T$898,17,FALSE)</f>
        <v>85</v>
      </c>
      <c r="M67">
        <f>VLOOKUP($C67,'[1]PoB WH'!$C$1:$T$898,18,FALSE)</f>
        <v>154</v>
      </c>
      <c r="N67">
        <f>VLOOKUP($C67,'[1]PoB AA'!$C$1:$T$898,17,FALSE)</f>
        <v>9</v>
      </c>
      <c r="O67">
        <f>VLOOKUP($C67,'[1]PoB AA'!$C$1:$T$898,18,FALSE)</f>
        <v>5</v>
      </c>
      <c r="P67">
        <f>VLOOKUP($C67,'[1]PoB AI'!$C$1:$T$898,17,FALSE)</f>
        <v>25</v>
      </c>
      <c r="Q67">
        <f>VLOOKUP($C67,'[1]PoB AI'!$C$1:$T$898,18,FALSE)</f>
        <v>0</v>
      </c>
      <c r="R67">
        <f>VLOOKUP($C67,'[1]PoB AS'!$C$1:$T$898,17,FALSE)</f>
        <v>0</v>
      </c>
      <c r="S67">
        <f>VLOOKUP($C67,'[1]PoB AS'!$C$1:$T$898,18,FALSE)</f>
        <v>4</v>
      </c>
      <c r="T67">
        <f>VLOOKUP($C67,'[1]PoB PI'!$C$1:$T$898,17,FALSE)</f>
        <v>3</v>
      </c>
      <c r="U67">
        <f>VLOOKUP($C67,'[1]PoB PI'!$C$1:$T$898,18,FALSE)</f>
        <v>0</v>
      </c>
      <c r="V67">
        <f>VLOOKUP($C67,'[1]PoB OT'!$C$1:$T$898,17,FALSE)</f>
        <v>61</v>
      </c>
      <c r="W67">
        <f>VLOOKUP($C67,'[1]PoB OT'!$C$1:$T$898,18,FALSE)</f>
        <v>134</v>
      </c>
      <c r="X67">
        <f>VLOOKUP($C67,'[1]PoB 2R'!$C$1:$T$898,17,FALSE)</f>
        <v>33</v>
      </c>
      <c r="Y67">
        <f>VLOOKUP($C67,'[1]PoB 2R'!$C$1:$T$898,18,FALSE)</f>
        <v>7</v>
      </c>
    </row>
    <row r="68" spans="1:25" x14ac:dyDescent="0.25">
      <c r="A68" t="s">
        <v>418</v>
      </c>
      <c r="B68">
        <v>5310565</v>
      </c>
      <c r="C68" t="s">
        <v>419</v>
      </c>
      <c r="D68">
        <f t="shared" si="3"/>
        <v>2145</v>
      </c>
      <c r="E68">
        <f>VLOOKUP($C68,'[1]PoB Totals'!$C$3:$T$898,17,FALSE)</f>
        <v>2118</v>
      </c>
      <c r="F68">
        <f>VLOOKUP($C68,'[1]PoB Totals'!$C$3:$T$898,18,FALSE)</f>
        <v>27</v>
      </c>
      <c r="G68">
        <f t="shared" si="4"/>
        <v>2145</v>
      </c>
      <c r="H68">
        <f t="shared" si="5"/>
        <v>2118</v>
      </c>
      <c r="I68">
        <f t="shared" si="5"/>
        <v>27</v>
      </c>
      <c r="J68">
        <f>VLOOKUP($C68,'[1]PoB WN'!$C$1:$T$898,17,FALSE)</f>
        <v>1913</v>
      </c>
      <c r="K68">
        <f>VLOOKUP($C68,'[1]PoB WN'!$C$1:$T$898,18,FALSE)</f>
        <v>18</v>
      </c>
      <c r="L68">
        <f>VLOOKUP($C68,'[1]PoB WH'!$C$1:$T$898,17,FALSE)</f>
        <v>27</v>
      </c>
      <c r="M68">
        <f>VLOOKUP($C68,'[1]PoB WH'!$C$1:$T$898,18,FALSE)</f>
        <v>0</v>
      </c>
      <c r="N68">
        <f>VLOOKUP($C68,'[1]PoB AA'!$C$1:$T$898,17,FALSE)</f>
        <v>23</v>
      </c>
      <c r="O68">
        <f>VLOOKUP($C68,'[1]PoB AA'!$C$1:$T$898,18,FALSE)</f>
        <v>0</v>
      </c>
      <c r="P68">
        <f>VLOOKUP($C68,'[1]PoB AI'!$C$1:$T$898,17,FALSE)</f>
        <v>98</v>
      </c>
      <c r="Q68">
        <f>VLOOKUP($C68,'[1]PoB AI'!$C$1:$T$898,18,FALSE)</f>
        <v>0</v>
      </c>
      <c r="R68">
        <f>VLOOKUP($C68,'[1]PoB AS'!$C$1:$T$898,17,FALSE)</f>
        <v>0</v>
      </c>
      <c r="S68">
        <f>VLOOKUP($C68,'[1]PoB AS'!$C$1:$T$898,18,FALSE)</f>
        <v>0</v>
      </c>
      <c r="T68">
        <f>VLOOKUP($C68,'[1]PoB PI'!$C$1:$T$898,17,FALSE)</f>
        <v>0</v>
      </c>
      <c r="U68">
        <f>VLOOKUP($C68,'[1]PoB PI'!$C$1:$T$898,18,FALSE)</f>
        <v>5</v>
      </c>
      <c r="V68">
        <f>VLOOKUP($C68,'[1]PoB OT'!$C$1:$T$898,17,FALSE)</f>
        <v>21</v>
      </c>
      <c r="W68">
        <f>VLOOKUP($C68,'[1]PoB OT'!$C$1:$T$898,18,FALSE)</f>
        <v>4</v>
      </c>
      <c r="X68">
        <f>VLOOKUP($C68,'[1]PoB 2R'!$C$1:$T$898,17,FALSE)</f>
        <v>36</v>
      </c>
      <c r="Y68">
        <f>VLOOKUP($C68,'[1]PoB 2R'!$C$1:$T$898,18,FALSE)</f>
        <v>0</v>
      </c>
    </row>
    <row r="69" spans="1:25" x14ac:dyDescent="0.25">
      <c r="A69" t="s">
        <v>1510</v>
      </c>
      <c r="B69">
        <v>5310585</v>
      </c>
      <c r="C69" t="s">
        <v>1511</v>
      </c>
      <c r="D69">
        <f t="shared" si="3"/>
        <v>489</v>
      </c>
      <c r="E69">
        <f>VLOOKUP($C69,'[1]PoB Totals'!$C$3:$T$898,17,FALSE)</f>
        <v>474</v>
      </c>
      <c r="F69">
        <f>VLOOKUP($C69,'[1]PoB Totals'!$C$3:$T$898,18,FALSE)</f>
        <v>15</v>
      </c>
      <c r="G69">
        <f t="shared" si="4"/>
        <v>489</v>
      </c>
      <c r="H69">
        <f t="shared" si="5"/>
        <v>474</v>
      </c>
      <c r="I69">
        <f t="shared" si="5"/>
        <v>15</v>
      </c>
      <c r="J69">
        <f>VLOOKUP($C69,'[1]PoB WN'!$C$1:$T$898,17,FALSE)</f>
        <v>438</v>
      </c>
      <c r="K69">
        <f>VLOOKUP($C69,'[1]PoB WN'!$C$1:$T$898,18,FALSE)</f>
        <v>7</v>
      </c>
      <c r="L69">
        <f>VLOOKUP($C69,'[1]PoB WH'!$C$1:$T$898,17,FALSE)</f>
        <v>3</v>
      </c>
      <c r="M69">
        <f>VLOOKUP($C69,'[1]PoB WH'!$C$1:$T$898,18,FALSE)</f>
        <v>0</v>
      </c>
      <c r="N69">
        <f>VLOOKUP($C69,'[1]PoB AA'!$C$1:$T$898,17,FALSE)</f>
        <v>1</v>
      </c>
      <c r="O69">
        <f>VLOOKUP($C69,'[1]PoB AA'!$C$1:$T$898,18,FALSE)</f>
        <v>0</v>
      </c>
      <c r="P69">
        <f>VLOOKUP($C69,'[1]PoB AI'!$C$1:$T$898,17,FALSE)</f>
        <v>7</v>
      </c>
      <c r="Q69">
        <f>VLOOKUP($C69,'[1]PoB AI'!$C$1:$T$898,18,FALSE)</f>
        <v>0</v>
      </c>
      <c r="R69">
        <f>VLOOKUP($C69,'[1]PoB AS'!$C$1:$T$898,17,FALSE)</f>
        <v>0</v>
      </c>
      <c r="S69">
        <f>VLOOKUP($C69,'[1]PoB AS'!$C$1:$T$898,18,FALSE)</f>
        <v>5</v>
      </c>
      <c r="T69">
        <f>VLOOKUP($C69,'[1]PoB PI'!$C$1:$T$898,17,FALSE)</f>
        <v>0</v>
      </c>
      <c r="U69">
        <f>VLOOKUP($C69,'[1]PoB PI'!$C$1:$T$898,18,FALSE)</f>
        <v>0</v>
      </c>
      <c r="V69">
        <f>VLOOKUP($C69,'[1]PoB OT'!$C$1:$T$898,17,FALSE)</f>
        <v>2</v>
      </c>
      <c r="W69">
        <f>VLOOKUP($C69,'[1]PoB OT'!$C$1:$T$898,18,FALSE)</f>
        <v>0</v>
      </c>
      <c r="X69">
        <f>VLOOKUP($C69,'[1]PoB 2R'!$C$1:$T$898,17,FALSE)</f>
        <v>23</v>
      </c>
      <c r="Y69">
        <f>VLOOKUP($C69,'[1]PoB 2R'!$C$1:$T$898,18,FALSE)</f>
        <v>3</v>
      </c>
    </row>
    <row r="70" spans="1:25" x14ac:dyDescent="0.25">
      <c r="A70" t="s">
        <v>420</v>
      </c>
      <c r="B70">
        <v>5310600</v>
      </c>
      <c r="C70" t="s">
        <v>421</v>
      </c>
      <c r="D70">
        <f t="shared" si="3"/>
        <v>2837</v>
      </c>
      <c r="E70">
        <f>VLOOKUP($C70,'[1]PoB Totals'!$C$3:$T$898,17,FALSE)</f>
        <v>2738</v>
      </c>
      <c r="F70">
        <f>VLOOKUP($C70,'[1]PoB Totals'!$C$3:$T$898,18,FALSE)</f>
        <v>99</v>
      </c>
      <c r="G70">
        <f t="shared" si="4"/>
        <v>2837</v>
      </c>
      <c r="H70">
        <f t="shared" si="5"/>
        <v>2738</v>
      </c>
      <c r="I70">
        <f t="shared" si="5"/>
        <v>99</v>
      </c>
      <c r="J70">
        <f>VLOOKUP($C70,'[1]PoB WN'!$C$1:$T$898,17,FALSE)</f>
        <v>2514</v>
      </c>
      <c r="K70">
        <f>VLOOKUP($C70,'[1]PoB WN'!$C$1:$T$898,18,FALSE)</f>
        <v>85</v>
      </c>
      <c r="L70">
        <f>VLOOKUP($C70,'[1]PoB WH'!$C$1:$T$898,17,FALSE)</f>
        <v>60</v>
      </c>
      <c r="M70">
        <f>VLOOKUP($C70,'[1]PoB WH'!$C$1:$T$898,18,FALSE)</f>
        <v>0</v>
      </c>
      <c r="N70">
        <f>VLOOKUP($C70,'[1]PoB AA'!$C$1:$T$898,17,FALSE)</f>
        <v>8</v>
      </c>
      <c r="O70">
        <f>VLOOKUP($C70,'[1]PoB AA'!$C$1:$T$898,18,FALSE)</f>
        <v>0</v>
      </c>
      <c r="P70">
        <f>VLOOKUP($C70,'[1]PoB AI'!$C$1:$T$898,17,FALSE)</f>
        <v>0</v>
      </c>
      <c r="Q70">
        <f>VLOOKUP($C70,'[1]PoB AI'!$C$1:$T$898,18,FALSE)</f>
        <v>0</v>
      </c>
      <c r="R70">
        <f>VLOOKUP($C70,'[1]PoB AS'!$C$1:$T$898,17,FALSE)</f>
        <v>27</v>
      </c>
      <c r="S70">
        <f>VLOOKUP($C70,'[1]PoB AS'!$C$1:$T$898,18,FALSE)</f>
        <v>14</v>
      </c>
      <c r="T70">
        <f>VLOOKUP($C70,'[1]PoB PI'!$C$1:$T$898,17,FALSE)</f>
        <v>0</v>
      </c>
      <c r="U70">
        <f>VLOOKUP($C70,'[1]PoB PI'!$C$1:$T$898,18,FALSE)</f>
        <v>0</v>
      </c>
      <c r="V70">
        <f>VLOOKUP($C70,'[1]PoB OT'!$C$1:$T$898,17,FALSE)</f>
        <v>0</v>
      </c>
      <c r="W70">
        <f>VLOOKUP($C70,'[1]PoB OT'!$C$1:$T$898,18,FALSE)</f>
        <v>0</v>
      </c>
      <c r="X70">
        <f>VLOOKUP($C70,'[1]PoB 2R'!$C$1:$T$898,17,FALSE)</f>
        <v>129</v>
      </c>
      <c r="Y70">
        <f>VLOOKUP($C70,'[1]PoB 2R'!$C$1:$T$898,18,FALSE)</f>
        <v>0</v>
      </c>
    </row>
    <row r="71" spans="1:25" x14ac:dyDescent="0.25">
      <c r="A71" t="s">
        <v>422</v>
      </c>
      <c r="B71">
        <v>5310635</v>
      </c>
      <c r="C71" t="s">
        <v>423</v>
      </c>
      <c r="D71">
        <f t="shared" si="3"/>
        <v>548</v>
      </c>
      <c r="E71">
        <f>VLOOKUP($C71,'[1]PoB Totals'!$C$3:$T$898,17,FALSE)</f>
        <v>528</v>
      </c>
      <c r="F71">
        <f>VLOOKUP($C71,'[1]PoB Totals'!$C$3:$T$898,18,FALSE)</f>
        <v>20</v>
      </c>
      <c r="G71">
        <f t="shared" si="4"/>
        <v>548</v>
      </c>
      <c r="H71">
        <f t="shared" si="5"/>
        <v>528</v>
      </c>
      <c r="I71">
        <f t="shared" si="5"/>
        <v>20</v>
      </c>
      <c r="J71">
        <f>VLOOKUP($C71,'[1]PoB WN'!$C$1:$T$898,17,FALSE)</f>
        <v>498</v>
      </c>
      <c r="K71">
        <f>VLOOKUP($C71,'[1]PoB WN'!$C$1:$T$898,18,FALSE)</f>
        <v>17</v>
      </c>
      <c r="L71">
        <f>VLOOKUP($C71,'[1]PoB WH'!$C$1:$T$898,17,FALSE)</f>
        <v>0</v>
      </c>
      <c r="M71">
        <f>VLOOKUP($C71,'[1]PoB WH'!$C$1:$T$898,18,FALSE)</f>
        <v>0</v>
      </c>
      <c r="N71">
        <f>VLOOKUP($C71,'[1]PoB AA'!$C$1:$T$898,17,FALSE)</f>
        <v>0</v>
      </c>
      <c r="O71">
        <f>VLOOKUP($C71,'[1]PoB AA'!$C$1:$T$898,18,FALSE)</f>
        <v>0</v>
      </c>
      <c r="P71">
        <f>VLOOKUP($C71,'[1]PoB AI'!$C$1:$T$898,17,FALSE)</f>
        <v>15</v>
      </c>
      <c r="Q71">
        <f>VLOOKUP($C71,'[1]PoB AI'!$C$1:$T$898,18,FALSE)</f>
        <v>0</v>
      </c>
      <c r="R71">
        <f>VLOOKUP($C71,'[1]PoB AS'!$C$1:$T$898,17,FALSE)</f>
        <v>6</v>
      </c>
      <c r="S71">
        <f>VLOOKUP($C71,'[1]PoB AS'!$C$1:$T$898,18,FALSE)</f>
        <v>0</v>
      </c>
      <c r="T71">
        <f>VLOOKUP($C71,'[1]PoB PI'!$C$1:$T$898,17,FALSE)</f>
        <v>0</v>
      </c>
      <c r="U71">
        <f>VLOOKUP($C71,'[1]PoB PI'!$C$1:$T$898,18,FALSE)</f>
        <v>0</v>
      </c>
      <c r="V71">
        <f>VLOOKUP($C71,'[1]PoB OT'!$C$1:$T$898,17,FALSE)</f>
        <v>6</v>
      </c>
      <c r="W71">
        <f>VLOOKUP($C71,'[1]PoB OT'!$C$1:$T$898,18,FALSE)</f>
        <v>3</v>
      </c>
      <c r="X71">
        <f>VLOOKUP($C71,'[1]PoB 2R'!$C$1:$T$898,17,FALSE)</f>
        <v>3</v>
      </c>
      <c r="Y71">
        <f>VLOOKUP($C71,'[1]PoB 2R'!$C$1:$T$898,18,FALSE)</f>
        <v>0</v>
      </c>
    </row>
    <row r="72" spans="1:25" x14ac:dyDescent="0.25">
      <c r="A72" t="s">
        <v>426</v>
      </c>
      <c r="B72">
        <v>5311090</v>
      </c>
      <c r="C72" t="s">
        <v>427</v>
      </c>
      <c r="D72">
        <f t="shared" si="3"/>
        <v>104</v>
      </c>
      <c r="E72">
        <f>VLOOKUP($C72,'[1]PoB Totals'!$C$3:$T$898,17,FALSE)</f>
        <v>102</v>
      </c>
      <c r="F72">
        <f>VLOOKUP($C72,'[1]PoB Totals'!$C$3:$T$898,18,FALSE)</f>
        <v>2</v>
      </c>
      <c r="G72">
        <f t="shared" si="4"/>
        <v>104</v>
      </c>
      <c r="H72">
        <f t="shared" si="5"/>
        <v>102</v>
      </c>
      <c r="I72">
        <f t="shared" si="5"/>
        <v>2</v>
      </c>
      <c r="J72">
        <f>VLOOKUP($C72,'[1]PoB WN'!$C$1:$T$898,17,FALSE)</f>
        <v>97</v>
      </c>
      <c r="K72">
        <f>VLOOKUP($C72,'[1]PoB WN'!$C$1:$T$898,18,FALSE)</f>
        <v>2</v>
      </c>
      <c r="L72">
        <f>VLOOKUP($C72,'[1]PoB WH'!$C$1:$T$898,17,FALSE)</f>
        <v>0</v>
      </c>
      <c r="M72">
        <f>VLOOKUP($C72,'[1]PoB WH'!$C$1:$T$898,18,FALSE)</f>
        <v>0</v>
      </c>
      <c r="N72">
        <f>VLOOKUP($C72,'[1]PoB AA'!$C$1:$T$898,17,FALSE)</f>
        <v>0</v>
      </c>
      <c r="O72">
        <f>VLOOKUP($C72,'[1]PoB AA'!$C$1:$T$898,18,FALSE)</f>
        <v>0</v>
      </c>
      <c r="P72">
        <f>VLOOKUP($C72,'[1]PoB AI'!$C$1:$T$898,17,FALSE)</f>
        <v>3</v>
      </c>
      <c r="Q72">
        <f>VLOOKUP($C72,'[1]PoB AI'!$C$1:$T$898,18,FALSE)</f>
        <v>0</v>
      </c>
      <c r="R72">
        <f>VLOOKUP($C72,'[1]PoB AS'!$C$1:$T$898,17,FALSE)</f>
        <v>0</v>
      </c>
      <c r="S72">
        <f>VLOOKUP($C72,'[1]PoB AS'!$C$1:$T$898,18,FALSE)</f>
        <v>0</v>
      </c>
      <c r="T72">
        <f>VLOOKUP($C72,'[1]PoB PI'!$C$1:$T$898,17,FALSE)</f>
        <v>0</v>
      </c>
      <c r="U72">
        <f>VLOOKUP($C72,'[1]PoB PI'!$C$1:$T$898,18,FALSE)</f>
        <v>0</v>
      </c>
      <c r="V72">
        <f>VLOOKUP($C72,'[1]PoB OT'!$C$1:$T$898,17,FALSE)</f>
        <v>2</v>
      </c>
      <c r="W72">
        <f>VLOOKUP($C72,'[1]PoB OT'!$C$1:$T$898,18,FALSE)</f>
        <v>0</v>
      </c>
      <c r="X72">
        <f>VLOOKUP($C72,'[1]PoB 2R'!$C$1:$T$898,17,FALSE)</f>
        <v>0</v>
      </c>
      <c r="Y72">
        <f>VLOOKUP($C72,'[1]PoB 2R'!$C$1:$T$898,18,FALSE)</f>
        <v>0</v>
      </c>
    </row>
    <row r="73" spans="1:25" x14ac:dyDescent="0.25">
      <c r="A73" t="s">
        <v>428</v>
      </c>
      <c r="B73">
        <v>5311160</v>
      </c>
      <c r="C73" t="s">
        <v>429</v>
      </c>
      <c r="D73">
        <f t="shared" si="3"/>
        <v>14720</v>
      </c>
      <c r="E73">
        <f>VLOOKUP($C73,'[1]PoB Totals'!$C$3:$T$898,17,FALSE)</f>
        <v>13438</v>
      </c>
      <c r="F73">
        <f>VLOOKUP($C73,'[1]PoB Totals'!$C$3:$T$898,18,FALSE)</f>
        <v>1282</v>
      </c>
      <c r="G73">
        <f t="shared" si="4"/>
        <v>14720</v>
      </c>
      <c r="H73">
        <f t="shared" si="5"/>
        <v>13438</v>
      </c>
      <c r="I73">
        <f t="shared" si="5"/>
        <v>1282</v>
      </c>
      <c r="J73">
        <f>VLOOKUP($C73,'[1]PoB WN'!$C$1:$T$898,17,FALSE)</f>
        <v>12239</v>
      </c>
      <c r="K73">
        <f>VLOOKUP($C73,'[1]PoB WN'!$C$1:$T$898,18,FALSE)</f>
        <v>202</v>
      </c>
      <c r="L73">
        <f>VLOOKUP($C73,'[1]PoB WH'!$C$1:$T$898,17,FALSE)</f>
        <v>210</v>
      </c>
      <c r="M73">
        <f>VLOOKUP($C73,'[1]PoB WH'!$C$1:$T$898,18,FALSE)</f>
        <v>457</v>
      </c>
      <c r="N73">
        <f>VLOOKUP($C73,'[1]PoB AA'!$C$1:$T$898,17,FALSE)</f>
        <v>55</v>
      </c>
      <c r="O73">
        <f>VLOOKUP($C73,'[1]PoB AA'!$C$1:$T$898,18,FALSE)</f>
        <v>0</v>
      </c>
      <c r="P73">
        <f>VLOOKUP($C73,'[1]PoB AI'!$C$1:$T$898,17,FALSE)</f>
        <v>183</v>
      </c>
      <c r="Q73">
        <f>VLOOKUP($C73,'[1]PoB AI'!$C$1:$T$898,18,FALSE)</f>
        <v>0</v>
      </c>
      <c r="R73">
        <f>VLOOKUP($C73,'[1]PoB AS'!$C$1:$T$898,17,FALSE)</f>
        <v>36</v>
      </c>
      <c r="S73">
        <f>VLOOKUP($C73,'[1]PoB AS'!$C$1:$T$898,18,FALSE)</f>
        <v>45</v>
      </c>
      <c r="T73">
        <f>VLOOKUP($C73,'[1]PoB PI'!$C$1:$T$898,17,FALSE)</f>
        <v>31</v>
      </c>
      <c r="U73">
        <f>VLOOKUP($C73,'[1]PoB PI'!$C$1:$T$898,18,FALSE)</f>
        <v>51</v>
      </c>
      <c r="V73">
        <f>VLOOKUP($C73,'[1]PoB OT'!$C$1:$T$898,17,FALSE)</f>
        <v>336</v>
      </c>
      <c r="W73">
        <f>VLOOKUP($C73,'[1]PoB OT'!$C$1:$T$898,18,FALSE)</f>
        <v>470</v>
      </c>
      <c r="X73">
        <f>VLOOKUP($C73,'[1]PoB 2R'!$C$1:$T$898,17,FALSE)</f>
        <v>348</v>
      </c>
      <c r="Y73">
        <f>VLOOKUP($C73,'[1]PoB 2R'!$C$1:$T$898,18,FALSE)</f>
        <v>57</v>
      </c>
    </row>
    <row r="74" spans="1:25" x14ac:dyDescent="0.25">
      <c r="A74" t="s">
        <v>430</v>
      </c>
      <c r="B74">
        <v>5311195</v>
      </c>
      <c r="C74" t="s">
        <v>431</v>
      </c>
      <c r="D74">
        <f t="shared" si="3"/>
        <v>2542</v>
      </c>
      <c r="E74">
        <f>VLOOKUP($C74,'[1]PoB Totals'!$C$3:$T$898,17,FALSE)</f>
        <v>2463</v>
      </c>
      <c r="F74">
        <f>VLOOKUP($C74,'[1]PoB Totals'!$C$3:$T$898,18,FALSE)</f>
        <v>79</v>
      </c>
      <c r="G74">
        <f t="shared" si="4"/>
        <v>2542</v>
      </c>
      <c r="H74">
        <f t="shared" si="5"/>
        <v>2463</v>
      </c>
      <c r="I74">
        <f t="shared" si="5"/>
        <v>79</v>
      </c>
      <c r="J74">
        <f>VLOOKUP($C74,'[1]PoB WN'!$C$1:$T$898,17,FALSE)</f>
        <v>2292</v>
      </c>
      <c r="K74">
        <f>VLOOKUP($C74,'[1]PoB WN'!$C$1:$T$898,18,FALSE)</f>
        <v>47</v>
      </c>
      <c r="L74">
        <f>VLOOKUP($C74,'[1]PoB WH'!$C$1:$T$898,17,FALSE)</f>
        <v>6</v>
      </c>
      <c r="M74">
        <f>VLOOKUP($C74,'[1]PoB WH'!$C$1:$T$898,18,FALSE)</f>
        <v>0</v>
      </c>
      <c r="N74">
        <f>VLOOKUP($C74,'[1]PoB AA'!$C$1:$T$898,17,FALSE)</f>
        <v>0</v>
      </c>
      <c r="O74">
        <f>VLOOKUP($C74,'[1]PoB AA'!$C$1:$T$898,18,FALSE)</f>
        <v>0</v>
      </c>
      <c r="P74">
        <f>VLOOKUP($C74,'[1]PoB AI'!$C$1:$T$898,17,FALSE)</f>
        <v>37</v>
      </c>
      <c r="Q74">
        <f>VLOOKUP($C74,'[1]PoB AI'!$C$1:$T$898,18,FALSE)</f>
        <v>0</v>
      </c>
      <c r="R74">
        <f>VLOOKUP($C74,'[1]PoB AS'!$C$1:$T$898,17,FALSE)</f>
        <v>0</v>
      </c>
      <c r="S74">
        <f>VLOOKUP($C74,'[1]PoB AS'!$C$1:$T$898,18,FALSE)</f>
        <v>24</v>
      </c>
      <c r="T74">
        <f>VLOOKUP($C74,'[1]PoB PI'!$C$1:$T$898,17,FALSE)</f>
        <v>0</v>
      </c>
      <c r="U74">
        <f>VLOOKUP($C74,'[1]PoB PI'!$C$1:$T$898,18,FALSE)</f>
        <v>0</v>
      </c>
      <c r="V74">
        <f>VLOOKUP($C74,'[1]PoB OT'!$C$1:$T$898,17,FALSE)</f>
        <v>0</v>
      </c>
      <c r="W74">
        <f>VLOOKUP($C74,'[1]PoB OT'!$C$1:$T$898,18,FALSE)</f>
        <v>8</v>
      </c>
      <c r="X74">
        <f>VLOOKUP($C74,'[1]PoB 2R'!$C$1:$T$898,17,FALSE)</f>
        <v>128</v>
      </c>
      <c r="Y74">
        <f>VLOOKUP($C74,'[1]PoB 2R'!$C$1:$T$898,18,FALSE)</f>
        <v>0</v>
      </c>
    </row>
    <row r="75" spans="1:25" x14ac:dyDescent="0.25">
      <c r="A75" t="s">
        <v>434</v>
      </c>
      <c r="B75">
        <v>5311475</v>
      </c>
      <c r="C75" t="s">
        <v>435</v>
      </c>
      <c r="D75">
        <f t="shared" si="3"/>
        <v>7003</v>
      </c>
      <c r="E75">
        <f>VLOOKUP($C75,'[1]PoB Totals'!$C$3:$T$898,17,FALSE)</f>
        <v>6530</v>
      </c>
      <c r="F75">
        <f>VLOOKUP($C75,'[1]PoB Totals'!$C$3:$T$898,18,FALSE)</f>
        <v>473</v>
      </c>
      <c r="G75">
        <f t="shared" si="4"/>
        <v>7003</v>
      </c>
      <c r="H75">
        <f t="shared" si="5"/>
        <v>6530</v>
      </c>
      <c r="I75">
        <f t="shared" si="5"/>
        <v>473</v>
      </c>
      <c r="J75">
        <f>VLOOKUP($C75,'[1]PoB WN'!$C$1:$T$898,17,FALSE)</f>
        <v>5857</v>
      </c>
      <c r="K75">
        <f>VLOOKUP($C75,'[1]PoB WN'!$C$1:$T$898,18,FALSE)</f>
        <v>170</v>
      </c>
      <c r="L75">
        <f>VLOOKUP($C75,'[1]PoB WH'!$C$1:$T$898,17,FALSE)</f>
        <v>104</v>
      </c>
      <c r="M75">
        <f>VLOOKUP($C75,'[1]PoB WH'!$C$1:$T$898,18,FALSE)</f>
        <v>45</v>
      </c>
      <c r="N75">
        <f>VLOOKUP($C75,'[1]PoB AA'!$C$1:$T$898,17,FALSE)</f>
        <v>90</v>
      </c>
      <c r="O75">
        <f>VLOOKUP($C75,'[1]PoB AA'!$C$1:$T$898,18,FALSE)</f>
        <v>4</v>
      </c>
      <c r="P75">
        <f>VLOOKUP($C75,'[1]PoB AI'!$C$1:$T$898,17,FALSE)</f>
        <v>123</v>
      </c>
      <c r="Q75">
        <f>VLOOKUP($C75,'[1]PoB AI'!$C$1:$T$898,18,FALSE)</f>
        <v>6</v>
      </c>
      <c r="R75">
        <f>VLOOKUP($C75,'[1]PoB AS'!$C$1:$T$898,17,FALSE)</f>
        <v>11</v>
      </c>
      <c r="S75">
        <f>VLOOKUP($C75,'[1]PoB AS'!$C$1:$T$898,18,FALSE)</f>
        <v>17</v>
      </c>
      <c r="T75">
        <f>VLOOKUP($C75,'[1]PoB PI'!$C$1:$T$898,17,FALSE)</f>
        <v>9</v>
      </c>
      <c r="U75">
        <f>VLOOKUP($C75,'[1]PoB PI'!$C$1:$T$898,18,FALSE)</f>
        <v>6</v>
      </c>
      <c r="V75">
        <f>VLOOKUP($C75,'[1]PoB OT'!$C$1:$T$898,17,FALSE)</f>
        <v>149</v>
      </c>
      <c r="W75">
        <f>VLOOKUP($C75,'[1]PoB OT'!$C$1:$T$898,18,FALSE)</f>
        <v>168</v>
      </c>
      <c r="X75">
        <f>VLOOKUP($C75,'[1]PoB 2R'!$C$1:$T$898,17,FALSE)</f>
        <v>187</v>
      </c>
      <c r="Y75">
        <f>VLOOKUP($C75,'[1]PoB 2R'!$C$1:$T$898,18,FALSE)</f>
        <v>57</v>
      </c>
    </row>
    <row r="76" spans="1:25" x14ac:dyDescent="0.25">
      <c r="A76" t="s">
        <v>1512</v>
      </c>
      <c r="B76">
        <v>5311568</v>
      </c>
      <c r="C76" t="s">
        <v>1513</v>
      </c>
      <c r="D76">
        <f t="shared" si="3"/>
        <v>330</v>
      </c>
      <c r="E76">
        <f>VLOOKUP($C76,'[1]PoB Totals'!$C$3:$T$898,17,FALSE)</f>
        <v>328</v>
      </c>
      <c r="F76">
        <f>VLOOKUP($C76,'[1]PoB Totals'!$C$3:$T$898,18,FALSE)</f>
        <v>2</v>
      </c>
      <c r="G76">
        <f t="shared" si="4"/>
        <v>330</v>
      </c>
      <c r="H76">
        <f t="shared" si="5"/>
        <v>328</v>
      </c>
      <c r="I76">
        <f t="shared" si="5"/>
        <v>2</v>
      </c>
      <c r="J76">
        <f>VLOOKUP($C76,'[1]PoB WN'!$C$1:$T$898,17,FALSE)</f>
        <v>27</v>
      </c>
      <c r="K76">
        <f>VLOOKUP($C76,'[1]PoB WN'!$C$1:$T$898,18,FALSE)</f>
        <v>0</v>
      </c>
      <c r="L76">
        <f>VLOOKUP($C76,'[1]PoB WH'!$C$1:$T$898,17,FALSE)</f>
        <v>2</v>
      </c>
      <c r="M76">
        <f>VLOOKUP($C76,'[1]PoB WH'!$C$1:$T$898,18,FALSE)</f>
        <v>0</v>
      </c>
      <c r="N76">
        <f>VLOOKUP($C76,'[1]PoB AA'!$C$1:$T$898,17,FALSE)</f>
        <v>2</v>
      </c>
      <c r="O76">
        <f>VLOOKUP($C76,'[1]PoB AA'!$C$1:$T$898,18,FALSE)</f>
        <v>0</v>
      </c>
      <c r="P76">
        <f>VLOOKUP($C76,'[1]PoB AI'!$C$1:$T$898,17,FALSE)</f>
        <v>284</v>
      </c>
      <c r="Q76">
        <f>VLOOKUP($C76,'[1]PoB AI'!$C$1:$T$898,18,FALSE)</f>
        <v>2</v>
      </c>
      <c r="R76">
        <f>VLOOKUP($C76,'[1]PoB AS'!$C$1:$T$898,17,FALSE)</f>
        <v>0</v>
      </c>
      <c r="S76">
        <f>VLOOKUP($C76,'[1]PoB AS'!$C$1:$T$898,18,FALSE)</f>
        <v>0</v>
      </c>
      <c r="T76">
        <f>VLOOKUP($C76,'[1]PoB PI'!$C$1:$T$898,17,FALSE)</f>
        <v>0</v>
      </c>
      <c r="U76">
        <f>VLOOKUP($C76,'[1]PoB PI'!$C$1:$T$898,18,FALSE)</f>
        <v>0</v>
      </c>
      <c r="V76">
        <f>VLOOKUP($C76,'[1]PoB OT'!$C$1:$T$898,17,FALSE)</f>
        <v>0</v>
      </c>
      <c r="W76">
        <f>VLOOKUP($C76,'[1]PoB OT'!$C$1:$T$898,18,FALSE)</f>
        <v>0</v>
      </c>
      <c r="X76">
        <f>VLOOKUP($C76,'[1]PoB 2R'!$C$1:$T$898,17,FALSE)</f>
        <v>13</v>
      </c>
      <c r="Y76">
        <f>VLOOKUP($C76,'[1]PoB 2R'!$C$1:$T$898,18,FALSE)</f>
        <v>0</v>
      </c>
    </row>
    <row r="77" spans="1:25" x14ac:dyDescent="0.25">
      <c r="A77" t="s">
        <v>436</v>
      </c>
      <c r="B77">
        <v>5311615</v>
      </c>
      <c r="C77" t="s">
        <v>437</v>
      </c>
      <c r="D77">
        <f t="shared" si="3"/>
        <v>3594</v>
      </c>
      <c r="E77">
        <f>VLOOKUP($C77,'[1]PoB Totals'!$C$3:$T$898,17,FALSE)</f>
        <v>3150</v>
      </c>
      <c r="F77">
        <f>VLOOKUP($C77,'[1]PoB Totals'!$C$3:$T$898,18,FALSE)</f>
        <v>444</v>
      </c>
      <c r="G77">
        <f t="shared" si="4"/>
        <v>3594</v>
      </c>
      <c r="H77">
        <f t="shared" si="5"/>
        <v>3150</v>
      </c>
      <c r="I77">
        <f t="shared" si="5"/>
        <v>444</v>
      </c>
      <c r="J77">
        <f>VLOOKUP($C77,'[1]PoB WN'!$C$1:$T$898,17,FALSE)</f>
        <v>2741</v>
      </c>
      <c r="K77">
        <f>VLOOKUP($C77,'[1]PoB WN'!$C$1:$T$898,18,FALSE)</f>
        <v>101</v>
      </c>
      <c r="L77">
        <f>VLOOKUP($C77,'[1]PoB WH'!$C$1:$T$898,17,FALSE)</f>
        <v>134</v>
      </c>
      <c r="M77">
        <f>VLOOKUP($C77,'[1]PoB WH'!$C$1:$T$898,18,FALSE)</f>
        <v>60</v>
      </c>
      <c r="N77">
        <f>VLOOKUP($C77,'[1]PoB AA'!$C$1:$T$898,17,FALSE)</f>
        <v>9</v>
      </c>
      <c r="O77">
        <f>VLOOKUP($C77,'[1]PoB AA'!$C$1:$T$898,18,FALSE)</f>
        <v>0</v>
      </c>
      <c r="P77">
        <f>VLOOKUP($C77,'[1]PoB AI'!$C$1:$T$898,17,FALSE)</f>
        <v>65</v>
      </c>
      <c r="Q77">
        <f>VLOOKUP($C77,'[1]PoB AI'!$C$1:$T$898,18,FALSE)</f>
        <v>0</v>
      </c>
      <c r="R77">
        <f>VLOOKUP($C77,'[1]PoB AS'!$C$1:$T$898,17,FALSE)</f>
        <v>3</v>
      </c>
      <c r="S77">
        <f>VLOOKUP($C77,'[1]PoB AS'!$C$1:$T$898,18,FALSE)</f>
        <v>6</v>
      </c>
      <c r="T77">
        <f>VLOOKUP($C77,'[1]PoB PI'!$C$1:$T$898,17,FALSE)</f>
        <v>0</v>
      </c>
      <c r="U77">
        <f>VLOOKUP($C77,'[1]PoB PI'!$C$1:$T$898,18,FALSE)</f>
        <v>0</v>
      </c>
      <c r="V77">
        <f>VLOOKUP($C77,'[1]PoB OT'!$C$1:$T$898,17,FALSE)</f>
        <v>127</v>
      </c>
      <c r="W77">
        <f>VLOOKUP($C77,'[1]PoB OT'!$C$1:$T$898,18,FALSE)</f>
        <v>277</v>
      </c>
      <c r="X77">
        <f>VLOOKUP($C77,'[1]PoB 2R'!$C$1:$T$898,17,FALSE)</f>
        <v>71</v>
      </c>
      <c r="Y77">
        <f>VLOOKUP($C77,'[1]PoB 2R'!$C$1:$T$898,18,FALSE)</f>
        <v>0</v>
      </c>
    </row>
    <row r="78" spans="1:25" x14ac:dyDescent="0.25">
      <c r="A78" t="s">
        <v>440</v>
      </c>
      <c r="B78">
        <v>5311825</v>
      </c>
      <c r="C78" t="s">
        <v>441</v>
      </c>
      <c r="D78">
        <f t="shared" si="3"/>
        <v>8972</v>
      </c>
      <c r="E78">
        <f>VLOOKUP($C78,'[1]PoB Totals'!$C$3:$T$898,17,FALSE)</f>
        <v>8171</v>
      </c>
      <c r="F78">
        <f>VLOOKUP($C78,'[1]PoB Totals'!$C$3:$T$898,18,FALSE)</f>
        <v>801</v>
      </c>
      <c r="G78">
        <f t="shared" si="4"/>
        <v>8972</v>
      </c>
      <c r="H78">
        <f t="shared" si="5"/>
        <v>8171</v>
      </c>
      <c r="I78">
        <f t="shared" si="5"/>
        <v>801</v>
      </c>
      <c r="J78">
        <f>VLOOKUP($C78,'[1]PoB WN'!$C$1:$T$898,17,FALSE)</f>
        <v>7128</v>
      </c>
      <c r="K78">
        <f>VLOOKUP($C78,'[1]PoB WN'!$C$1:$T$898,18,FALSE)</f>
        <v>340</v>
      </c>
      <c r="L78">
        <f>VLOOKUP($C78,'[1]PoB WH'!$C$1:$T$898,17,FALSE)</f>
        <v>161</v>
      </c>
      <c r="M78">
        <f>VLOOKUP($C78,'[1]PoB WH'!$C$1:$T$898,18,FALSE)</f>
        <v>39</v>
      </c>
      <c r="N78">
        <f>VLOOKUP($C78,'[1]PoB AA'!$C$1:$T$898,17,FALSE)</f>
        <v>187</v>
      </c>
      <c r="O78">
        <f>VLOOKUP($C78,'[1]PoB AA'!$C$1:$T$898,18,FALSE)</f>
        <v>0</v>
      </c>
      <c r="P78">
        <f>VLOOKUP($C78,'[1]PoB AI'!$C$1:$T$898,17,FALSE)</f>
        <v>118</v>
      </c>
      <c r="Q78">
        <f>VLOOKUP($C78,'[1]PoB AI'!$C$1:$T$898,18,FALSE)</f>
        <v>7</v>
      </c>
      <c r="R78">
        <f>VLOOKUP($C78,'[1]PoB AS'!$C$1:$T$898,17,FALSE)</f>
        <v>132</v>
      </c>
      <c r="S78">
        <f>VLOOKUP($C78,'[1]PoB AS'!$C$1:$T$898,18,FALSE)</f>
        <v>360</v>
      </c>
      <c r="T78">
        <f>VLOOKUP($C78,'[1]PoB PI'!$C$1:$T$898,17,FALSE)</f>
        <v>0</v>
      </c>
      <c r="U78">
        <f>VLOOKUP($C78,'[1]PoB PI'!$C$1:$T$898,18,FALSE)</f>
        <v>0</v>
      </c>
      <c r="V78">
        <f>VLOOKUP($C78,'[1]PoB OT'!$C$1:$T$898,17,FALSE)</f>
        <v>109</v>
      </c>
      <c r="W78">
        <f>VLOOKUP($C78,'[1]PoB OT'!$C$1:$T$898,18,FALSE)</f>
        <v>35</v>
      </c>
      <c r="X78">
        <f>VLOOKUP($C78,'[1]PoB 2R'!$C$1:$T$898,17,FALSE)</f>
        <v>336</v>
      </c>
      <c r="Y78">
        <f>VLOOKUP($C78,'[1]PoB 2R'!$C$1:$T$898,18,FALSE)</f>
        <v>20</v>
      </c>
    </row>
    <row r="79" spans="1:25" x14ac:dyDescent="0.25">
      <c r="A79" t="s">
        <v>442</v>
      </c>
      <c r="B79">
        <v>5312015</v>
      </c>
      <c r="C79" t="s">
        <v>443</v>
      </c>
      <c r="D79">
        <f t="shared" si="3"/>
        <v>642</v>
      </c>
      <c r="E79">
        <f>VLOOKUP($C79,'[1]PoB Totals'!$C$3:$T$898,17,FALSE)</f>
        <v>642</v>
      </c>
      <c r="F79">
        <f>VLOOKUP($C79,'[1]PoB Totals'!$C$3:$T$898,18,FALSE)</f>
        <v>0</v>
      </c>
      <c r="G79">
        <f t="shared" si="4"/>
        <v>642</v>
      </c>
      <c r="H79">
        <f t="shared" si="5"/>
        <v>642</v>
      </c>
      <c r="I79">
        <f t="shared" si="5"/>
        <v>0</v>
      </c>
      <c r="J79">
        <f>VLOOKUP($C79,'[1]PoB WN'!$C$1:$T$898,17,FALSE)</f>
        <v>598</v>
      </c>
      <c r="K79">
        <f>VLOOKUP($C79,'[1]PoB WN'!$C$1:$T$898,18,FALSE)</f>
        <v>0</v>
      </c>
      <c r="L79">
        <f>VLOOKUP($C79,'[1]PoB WH'!$C$1:$T$898,17,FALSE)</f>
        <v>11</v>
      </c>
      <c r="M79">
        <f>VLOOKUP($C79,'[1]PoB WH'!$C$1:$T$898,18,FALSE)</f>
        <v>0</v>
      </c>
      <c r="N79">
        <f>VLOOKUP($C79,'[1]PoB AA'!$C$1:$T$898,17,FALSE)</f>
        <v>6</v>
      </c>
      <c r="O79">
        <f>VLOOKUP($C79,'[1]PoB AA'!$C$1:$T$898,18,FALSE)</f>
        <v>0</v>
      </c>
      <c r="P79">
        <f>VLOOKUP($C79,'[1]PoB AI'!$C$1:$T$898,17,FALSE)</f>
        <v>0</v>
      </c>
      <c r="Q79">
        <f>VLOOKUP($C79,'[1]PoB AI'!$C$1:$T$898,18,FALSE)</f>
        <v>0</v>
      </c>
      <c r="R79">
        <f>VLOOKUP($C79,'[1]PoB AS'!$C$1:$T$898,17,FALSE)</f>
        <v>0</v>
      </c>
      <c r="S79">
        <f>VLOOKUP($C79,'[1]PoB AS'!$C$1:$T$898,18,FALSE)</f>
        <v>0</v>
      </c>
      <c r="T79">
        <f>VLOOKUP($C79,'[1]PoB PI'!$C$1:$T$898,17,FALSE)</f>
        <v>0</v>
      </c>
      <c r="U79">
        <f>VLOOKUP($C79,'[1]PoB PI'!$C$1:$T$898,18,FALSE)</f>
        <v>0</v>
      </c>
      <c r="V79">
        <f>VLOOKUP($C79,'[1]PoB OT'!$C$1:$T$898,17,FALSE)</f>
        <v>0</v>
      </c>
      <c r="W79">
        <f>VLOOKUP($C79,'[1]PoB OT'!$C$1:$T$898,18,FALSE)</f>
        <v>0</v>
      </c>
      <c r="X79">
        <f>VLOOKUP($C79,'[1]PoB 2R'!$C$1:$T$898,17,FALSE)</f>
        <v>27</v>
      </c>
      <c r="Y79">
        <f>VLOOKUP($C79,'[1]PoB 2R'!$C$1:$T$898,18,FALSE)</f>
        <v>0</v>
      </c>
    </row>
    <row r="80" spans="1:25" x14ac:dyDescent="0.25">
      <c r="A80" t="s">
        <v>444</v>
      </c>
      <c r="B80">
        <v>5312140</v>
      </c>
      <c r="C80" t="s">
        <v>445</v>
      </c>
      <c r="D80">
        <f t="shared" si="3"/>
        <v>2196</v>
      </c>
      <c r="E80">
        <f>VLOOKUP($C80,'[1]PoB Totals'!$C$3:$T$898,17,FALSE)</f>
        <v>2100</v>
      </c>
      <c r="F80">
        <f>VLOOKUP($C80,'[1]PoB Totals'!$C$3:$T$898,18,FALSE)</f>
        <v>96</v>
      </c>
      <c r="G80">
        <f t="shared" si="4"/>
        <v>2196</v>
      </c>
      <c r="H80">
        <f t="shared" si="5"/>
        <v>2100</v>
      </c>
      <c r="I80">
        <f t="shared" si="5"/>
        <v>96</v>
      </c>
      <c r="J80">
        <f>VLOOKUP($C80,'[1]PoB WN'!$C$1:$T$898,17,FALSE)</f>
        <v>1918</v>
      </c>
      <c r="K80">
        <f>VLOOKUP($C80,'[1]PoB WN'!$C$1:$T$898,18,FALSE)</f>
        <v>72</v>
      </c>
      <c r="L80">
        <f>VLOOKUP($C80,'[1]PoB WH'!$C$1:$T$898,17,FALSE)</f>
        <v>39</v>
      </c>
      <c r="M80">
        <f>VLOOKUP($C80,'[1]PoB WH'!$C$1:$T$898,18,FALSE)</f>
        <v>6</v>
      </c>
      <c r="N80">
        <f>VLOOKUP($C80,'[1]PoB AA'!$C$1:$T$898,17,FALSE)</f>
        <v>0</v>
      </c>
      <c r="O80">
        <f>VLOOKUP($C80,'[1]PoB AA'!$C$1:$T$898,18,FALSE)</f>
        <v>0</v>
      </c>
      <c r="P80">
        <f>VLOOKUP($C80,'[1]PoB AI'!$C$1:$T$898,17,FALSE)</f>
        <v>28</v>
      </c>
      <c r="Q80">
        <f>VLOOKUP($C80,'[1]PoB AI'!$C$1:$T$898,18,FALSE)</f>
        <v>0</v>
      </c>
      <c r="R80">
        <f>VLOOKUP($C80,'[1]PoB AS'!$C$1:$T$898,17,FALSE)</f>
        <v>8</v>
      </c>
      <c r="S80">
        <f>VLOOKUP($C80,'[1]PoB AS'!$C$1:$T$898,18,FALSE)</f>
        <v>18</v>
      </c>
      <c r="T80">
        <f>VLOOKUP($C80,'[1]PoB PI'!$C$1:$T$898,17,FALSE)</f>
        <v>0</v>
      </c>
      <c r="U80">
        <f>VLOOKUP($C80,'[1]PoB PI'!$C$1:$T$898,18,FALSE)</f>
        <v>0</v>
      </c>
      <c r="V80">
        <f>VLOOKUP($C80,'[1]PoB OT'!$C$1:$T$898,17,FALSE)</f>
        <v>14</v>
      </c>
      <c r="W80">
        <f>VLOOKUP($C80,'[1]PoB OT'!$C$1:$T$898,18,FALSE)</f>
        <v>0</v>
      </c>
      <c r="X80">
        <f>VLOOKUP($C80,'[1]PoB 2R'!$C$1:$T$898,17,FALSE)</f>
        <v>93</v>
      </c>
      <c r="Y80">
        <f>VLOOKUP($C80,'[1]PoB 2R'!$C$1:$T$898,18,FALSE)</f>
        <v>0</v>
      </c>
    </row>
    <row r="81" spans="1:25" x14ac:dyDescent="0.25">
      <c r="A81" t="s">
        <v>448</v>
      </c>
      <c r="B81">
        <v>5312315</v>
      </c>
      <c r="C81" t="s">
        <v>449</v>
      </c>
      <c r="D81">
        <f t="shared" si="3"/>
        <v>417</v>
      </c>
      <c r="E81">
        <f>VLOOKUP($C81,'[1]PoB Totals'!$C$3:$T$898,17,FALSE)</f>
        <v>395</v>
      </c>
      <c r="F81">
        <f>VLOOKUP($C81,'[1]PoB Totals'!$C$3:$T$898,18,FALSE)</f>
        <v>22</v>
      </c>
      <c r="G81">
        <f t="shared" si="4"/>
        <v>417</v>
      </c>
      <c r="H81">
        <f t="shared" si="5"/>
        <v>395</v>
      </c>
      <c r="I81">
        <f t="shared" si="5"/>
        <v>22</v>
      </c>
      <c r="J81">
        <f>VLOOKUP($C81,'[1]PoB WN'!$C$1:$T$898,17,FALSE)</f>
        <v>377</v>
      </c>
      <c r="K81">
        <f>VLOOKUP($C81,'[1]PoB WN'!$C$1:$T$898,18,FALSE)</f>
        <v>22</v>
      </c>
      <c r="L81">
        <f>VLOOKUP($C81,'[1]PoB WH'!$C$1:$T$898,17,FALSE)</f>
        <v>0</v>
      </c>
      <c r="M81">
        <f>VLOOKUP($C81,'[1]PoB WH'!$C$1:$T$898,18,FALSE)</f>
        <v>0</v>
      </c>
      <c r="N81">
        <f>VLOOKUP($C81,'[1]PoB AA'!$C$1:$T$898,17,FALSE)</f>
        <v>0</v>
      </c>
      <c r="O81">
        <f>VLOOKUP($C81,'[1]PoB AA'!$C$1:$T$898,18,FALSE)</f>
        <v>0</v>
      </c>
      <c r="P81">
        <f>VLOOKUP($C81,'[1]PoB AI'!$C$1:$T$898,17,FALSE)</f>
        <v>0</v>
      </c>
      <c r="Q81">
        <f>VLOOKUP($C81,'[1]PoB AI'!$C$1:$T$898,18,FALSE)</f>
        <v>0</v>
      </c>
      <c r="R81">
        <f>VLOOKUP($C81,'[1]PoB AS'!$C$1:$T$898,17,FALSE)</f>
        <v>0</v>
      </c>
      <c r="S81">
        <f>VLOOKUP($C81,'[1]PoB AS'!$C$1:$T$898,18,FALSE)</f>
        <v>0</v>
      </c>
      <c r="T81">
        <f>VLOOKUP($C81,'[1]PoB PI'!$C$1:$T$898,17,FALSE)</f>
        <v>0</v>
      </c>
      <c r="U81">
        <f>VLOOKUP($C81,'[1]PoB PI'!$C$1:$T$898,18,FALSE)</f>
        <v>0</v>
      </c>
      <c r="V81">
        <f>VLOOKUP($C81,'[1]PoB OT'!$C$1:$T$898,17,FALSE)</f>
        <v>0</v>
      </c>
      <c r="W81">
        <f>VLOOKUP($C81,'[1]PoB OT'!$C$1:$T$898,18,FALSE)</f>
        <v>0</v>
      </c>
      <c r="X81">
        <f>VLOOKUP($C81,'[1]PoB 2R'!$C$1:$T$898,17,FALSE)</f>
        <v>18</v>
      </c>
      <c r="Y81">
        <f>VLOOKUP($C81,'[1]PoB 2R'!$C$1:$T$898,18,FALSE)</f>
        <v>0</v>
      </c>
    </row>
    <row r="82" spans="1:25" x14ac:dyDescent="0.25">
      <c r="A82" t="s">
        <v>452</v>
      </c>
      <c r="B82">
        <v>5312630</v>
      </c>
      <c r="C82" t="s">
        <v>453</v>
      </c>
      <c r="D82">
        <f t="shared" si="3"/>
        <v>7351</v>
      </c>
      <c r="E82">
        <f>VLOOKUP($C82,'[1]PoB Totals'!$C$3:$T$898,17,FALSE)</f>
        <v>7194</v>
      </c>
      <c r="F82">
        <f>VLOOKUP($C82,'[1]PoB Totals'!$C$3:$T$898,18,FALSE)</f>
        <v>157</v>
      </c>
      <c r="G82">
        <f t="shared" si="4"/>
        <v>7351</v>
      </c>
      <c r="H82">
        <f t="shared" si="5"/>
        <v>7194</v>
      </c>
      <c r="I82">
        <f t="shared" si="5"/>
        <v>157</v>
      </c>
      <c r="J82">
        <f>VLOOKUP($C82,'[1]PoB WN'!$C$1:$T$898,17,FALSE)</f>
        <v>6836</v>
      </c>
      <c r="K82">
        <f>VLOOKUP($C82,'[1]PoB WN'!$C$1:$T$898,18,FALSE)</f>
        <v>110</v>
      </c>
      <c r="L82">
        <f>VLOOKUP($C82,'[1]PoB WH'!$C$1:$T$898,17,FALSE)</f>
        <v>30</v>
      </c>
      <c r="M82">
        <f>VLOOKUP($C82,'[1]PoB WH'!$C$1:$T$898,18,FALSE)</f>
        <v>18</v>
      </c>
      <c r="N82">
        <f>VLOOKUP($C82,'[1]PoB AA'!$C$1:$T$898,17,FALSE)</f>
        <v>6</v>
      </c>
      <c r="O82">
        <f>VLOOKUP($C82,'[1]PoB AA'!$C$1:$T$898,18,FALSE)</f>
        <v>0</v>
      </c>
      <c r="P82">
        <f>VLOOKUP($C82,'[1]PoB AI'!$C$1:$T$898,17,FALSE)</f>
        <v>39</v>
      </c>
      <c r="Q82">
        <f>VLOOKUP($C82,'[1]PoB AI'!$C$1:$T$898,18,FALSE)</f>
        <v>0</v>
      </c>
      <c r="R82">
        <f>VLOOKUP($C82,'[1]PoB AS'!$C$1:$T$898,17,FALSE)</f>
        <v>35</v>
      </c>
      <c r="S82">
        <f>VLOOKUP($C82,'[1]PoB AS'!$C$1:$T$898,18,FALSE)</f>
        <v>20</v>
      </c>
      <c r="T82">
        <f>VLOOKUP($C82,'[1]PoB PI'!$C$1:$T$898,17,FALSE)</f>
        <v>0</v>
      </c>
      <c r="U82">
        <f>VLOOKUP($C82,'[1]PoB PI'!$C$1:$T$898,18,FALSE)</f>
        <v>0</v>
      </c>
      <c r="V82">
        <f>VLOOKUP($C82,'[1]PoB OT'!$C$1:$T$898,17,FALSE)</f>
        <v>58</v>
      </c>
      <c r="W82">
        <f>VLOOKUP($C82,'[1]PoB OT'!$C$1:$T$898,18,FALSE)</f>
        <v>9</v>
      </c>
      <c r="X82">
        <f>VLOOKUP($C82,'[1]PoB 2R'!$C$1:$T$898,17,FALSE)</f>
        <v>190</v>
      </c>
      <c r="Y82">
        <f>VLOOKUP($C82,'[1]PoB 2R'!$C$1:$T$898,18,FALSE)</f>
        <v>0</v>
      </c>
    </row>
    <row r="83" spans="1:25" x14ac:dyDescent="0.25">
      <c r="A83" t="s">
        <v>454</v>
      </c>
      <c r="B83">
        <v>5312680</v>
      </c>
      <c r="C83" t="s">
        <v>455</v>
      </c>
      <c r="D83">
        <f t="shared" si="3"/>
        <v>6166</v>
      </c>
      <c r="E83">
        <f>VLOOKUP($C83,'[1]PoB Totals'!$C$3:$T$898,17,FALSE)</f>
        <v>5997</v>
      </c>
      <c r="F83">
        <f>VLOOKUP($C83,'[1]PoB Totals'!$C$3:$T$898,18,FALSE)</f>
        <v>169</v>
      </c>
      <c r="G83">
        <f t="shared" si="4"/>
        <v>6166</v>
      </c>
      <c r="H83">
        <f t="shared" si="5"/>
        <v>5997</v>
      </c>
      <c r="I83">
        <f t="shared" si="5"/>
        <v>169</v>
      </c>
      <c r="J83">
        <f>VLOOKUP($C83,'[1]PoB WN'!$C$1:$T$898,17,FALSE)</f>
        <v>5769</v>
      </c>
      <c r="K83">
        <f>VLOOKUP($C83,'[1]PoB WN'!$C$1:$T$898,18,FALSE)</f>
        <v>108</v>
      </c>
      <c r="L83">
        <f>VLOOKUP($C83,'[1]PoB WH'!$C$1:$T$898,17,FALSE)</f>
        <v>45</v>
      </c>
      <c r="M83">
        <f>VLOOKUP($C83,'[1]PoB WH'!$C$1:$T$898,18,FALSE)</f>
        <v>10</v>
      </c>
      <c r="N83">
        <f>VLOOKUP($C83,'[1]PoB AA'!$C$1:$T$898,17,FALSE)</f>
        <v>13</v>
      </c>
      <c r="O83">
        <f>VLOOKUP($C83,'[1]PoB AA'!$C$1:$T$898,18,FALSE)</f>
        <v>0</v>
      </c>
      <c r="P83">
        <f>VLOOKUP($C83,'[1]PoB AI'!$C$1:$T$898,17,FALSE)</f>
        <v>63</v>
      </c>
      <c r="Q83">
        <f>VLOOKUP($C83,'[1]PoB AI'!$C$1:$T$898,18,FALSE)</f>
        <v>0</v>
      </c>
      <c r="R83">
        <f>VLOOKUP($C83,'[1]PoB AS'!$C$1:$T$898,17,FALSE)</f>
        <v>0</v>
      </c>
      <c r="S83">
        <f>VLOOKUP($C83,'[1]PoB AS'!$C$1:$T$898,18,FALSE)</f>
        <v>16</v>
      </c>
      <c r="T83">
        <f>VLOOKUP($C83,'[1]PoB PI'!$C$1:$T$898,17,FALSE)</f>
        <v>0</v>
      </c>
      <c r="U83">
        <f>VLOOKUP($C83,'[1]PoB PI'!$C$1:$T$898,18,FALSE)</f>
        <v>6</v>
      </c>
      <c r="V83">
        <f>VLOOKUP($C83,'[1]PoB OT'!$C$1:$T$898,17,FALSE)</f>
        <v>13</v>
      </c>
      <c r="W83">
        <f>VLOOKUP($C83,'[1]PoB OT'!$C$1:$T$898,18,FALSE)</f>
        <v>3</v>
      </c>
      <c r="X83">
        <f>VLOOKUP($C83,'[1]PoB 2R'!$C$1:$T$898,17,FALSE)</f>
        <v>94</v>
      </c>
      <c r="Y83">
        <f>VLOOKUP($C83,'[1]PoB 2R'!$C$1:$T$898,18,FALSE)</f>
        <v>26</v>
      </c>
    </row>
    <row r="84" spans="1:25" x14ac:dyDescent="0.25">
      <c r="A84" t="s">
        <v>460</v>
      </c>
      <c r="B84">
        <v>5312840</v>
      </c>
      <c r="C84" t="s">
        <v>1514</v>
      </c>
      <c r="D84">
        <f t="shared" si="3"/>
        <v>1049</v>
      </c>
      <c r="E84">
        <f>VLOOKUP($C84,'[1]PoB Totals'!$C$3:$T$898,17,FALSE)</f>
        <v>1021</v>
      </c>
      <c r="F84">
        <f>VLOOKUP($C84,'[1]PoB Totals'!$C$3:$T$898,18,FALSE)</f>
        <v>28</v>
      </c>
      <c r="G84">
        <f t="shared" si="4"/>
        <v>1049</v>
      </c>
      <c r="H84">
        <f t="shared" si="5"/>
        <v>1021</v>
      </c>
      <c r="I84">
        <f t="shared" si="5"/>
        <v>28</v>
      </c>
      <c r="J84">
        <f>VLOOKUP($C84,'[1]PoB WN'!$C$1:$T$898,17,FALSE)</f>
        <v>939</v>
      </c>
      <c r="K84">
        <f>VLOOKUP($C84,'[1]PoB WN'!$C$1:$T$898,18,FALSE)</f>
        <v>28</v>
      </c>
      <c r="L84">
        <f>VLOOKUP($C84,'[1]PoB WH'!$C$1:$T$898,17,FALSE)</f>
        <v>26</v>
      </c>
      <c r="M84">
        <f>VLOOKUP($C84,'[1]PoB WH'!$C$1:$T$898,18,FALSE)</f>
        <v>0</v>
      </c>
      <c r="N84">
        <f>VLOOKUP($C84,'[1]PoB AA'!$C$1:$T$898,17,FALSE)</f>
        <v>0</v>
      </c>
      <c r="O84">
        <f>VLOOKUP($C84,'[1]PoB AA'!$C$1:$T$898,18,FALSE)</f>
        <v>0</v>
      </c>
      <c r="P84">
        <f>VLOOKUP($C84,'[1]PoB AI'!$C$1:$T$898,17,FALSE)</f>
        <v>11</v>
      </c>
      <c r="Q84">
        <f>VLOOKUP($C84,'[1]PoB AI'!$C$1:$T$898,18,FALSE)</f>
        <v>0</v>
      </c>
      <c r="R84">
        <f>VLOOKUP($C84,'[1]PoB AS'!$C$1:$T$898,17,FALSE)</f>
        <v>0</v>
      </c>
      <c r="S84">
        <f>VLOOKUP($C84,'[1]PoB AS'!$C$1:$T$898,18,FALSE)</f>
        <v>0</v>
      </c>
      <c r="T84">
        <f>VLOOKUP($C84,'[1]PoB PI'!$C$1:$T$898,17,FALSE)</f>
        <v>0</v>
      </c>
      <c r="U84">
        <f>VLOOKUP($C84,'[1]PoB PI'!$C$1:$T$898,18,FALSE)</f>
        <v>0</v>
      </c>
      <c r="V84">
        <f>VLOOKUP($C84,'[1]PoB OT'!$C$1:$T$898,17,FALSE)</f>
        <v>9</v>
      </c>
      <c r="W84">
        <f>VLOOKUP($C84,'[1]PoB OT'!$C$1:$T$898,18,FALSE)</f>
        <v>0</v>
      </c>
      <c r="X84">
        <f>VLOOKUP($C84,'[1]PoB 2R'!$C$1:$T$898,17,FALSE)</f>
        <v>36</v>
      </c>
      <c r="Y84">
        <f>VLOOKUP($C84,'[1]PoB 2R'!$C$1:$T$898,18,FALSE)</f>
        <v>0</v>
      </c>
    </row>
    <row r="85" spans="1:25" x14ac:dyDescent="0.25">
      <c r="A85" t="s">
        <v>464</v>
      </c>
      <c r="B85">
        <v>5312945</v>
      </c>
      <c r="C85" t="s">
        <v>465</v>
      </c>
      <c r="D85">
        <f t="shared" si="3"/>
        <v>1787</v>
      </c>
      <c r="E85">
        <f>VLOOKUP($C85,'[1]PoB Totals'!$C$3:$T$898,17,FALSE)</f>
        <v>1701</v>
      </c>
      <c r="F85">
        <f>VLOOKUP($C85,'[1]PoB Totals'!$C$3:$T$898,18,FALSE)</f>
        <v>86</v>
      </c>
      <c r="G85">
        <f t="shared" si="4"/>
        <v>1787</v>
      </c>
      <c r="H85">
        <f t="shared" si="5"/>
        <v>1701</v>
      </c>
      <c r="I85">
        <f t="shared" si="5"/>
        <v>86</v>
      </c>
      <c r="J85">
        <f>VLOOKUP($C85,'[1]PoB WN'!$C$1:$T$898,17,FALSE)</f>
        <v>1619</v>
      </c>
      <c r="K85">
        <f>VLOOKUP($C85,'[1]PoB WN'!$C$1:$T$898,18,FALSE)</f>
        <v>40</v>
      </c>
      <c r="L85">
        <f>VLOOKUP($C85,'[1]PoB WH'!$C$1:$T$898,17,FALSE)</f>
        <v>24</v>
      </c>
      <c r="M85">
        <f>VLOOKUP($C85,'[1]PoB WH'!$C$1:$T$898,18,FALSE)</f>
        <v>8</v>
      </c>
      <c r="N85">
        <f>VLOOKUP($C85,'[1]PoB AA'!$C$1:$T$898,17,FALSE)</f>
        <v>0</v>
      </c>
      <c r="O85">
        <f>VLOOKUP($C85,'[1]PoB AA'!$C$1:$T$898,18,FALSE)</f>
        <v>0</v>
      </c>
      <c r="P85">
        <f>VLOOKUP($C85,'[1]PoB AI'!$C$1:$T$898,17,FALSE)</f>
        <v>7</v>
      </c>
      <c r="Q85">
        <f>VLOOKUP($C85,'[1]PoB AI'!$C$1:$T$898,18,FALSE)</f>
        <v>5</v>
      </c>
      <c r="R85">
        <f>VLOOKUP($C85,'[1]PoB AS'!$C$1:$T$898,17,FALSE)</f>
        <v>0</v>
      </c>
      <c r="S85">
        <f>VLOOKUP($C85,'[1]PoB AS'!$C$1:$T$898,18,FALSE)</f>
        <v>11</v>
      </c>
      <c r="T85">
        <f>VLOOKUP($C85,'[1]PoB PI'!$C$1:$T$898,17,FALSE)</f>
        <v>14</v>
      </c>
      <c r="U85">
        <f>VLOOKUP($C85,'[1]PoB PI'!$C$1:$T$898,18,FALSE)</f>
        <v>15</v>
      </c>
      <c r="V85">
        <f>VLOOKUP($C85,'[1]PoB OT'!$C$1:$T$898,17,FALSE)</f>
        <v>9</v>
      </c>
      <c r="W85">
        <f>VLOOKUP($C85,'[1]PoB OT'!$C$1:$T$898,18,FALSE)</f>
        <v>4</v>
      </c>
      <c r="X85">
        <f>VLOOKUP($C85,'[1]PoB 2R'!$C$1:$T$898,17,FALSE)</f>
        <v>28</v>
      </c>
      <c r="Y85">
        <f>VLOOKUP($C85,'[1]PoB 2R'!$C$1:$T$898,18,FALSE)</f>
        <v>3</v>
      </c>
    </row>
    <row r="86" spans="1:25" x14ac:dyDescent="0.25">
      <c r="A86" t="s">
        <v>468</v>
      </c>
      <c r="B86">
        <v>5313155</v>
      </c>
      <c r="C86" t="s">
        <v>469</v>
      </c>
      <c r="D86">
        <f t="shared" si="3"/>
        <v>789</v>
      </c>
      <c r="E86">
        <f>VLOOKUP($C86,'[1]PoB Totals'!$C$3:$T$898,17,FALSE)</f>
        <v>769</v>
      </c>
      <c r="F86">
        <f>VLOOKUP($C86,'[1]PoB Totals'!$C$3:$T$898,18,FALSE)</f>
        <v>20</v>
      </c>
      <c r="G86">
        <f t="shared" si="4"/>
        <v>789</v>
      </c>
      <c r="H86">
        <f t="shared" si="5"/>
        <v>769</v>
      </c>
      <c r="I86">
        <f t="shared" si="5"/>
        <v>20</v>
      </c>
      <c r="J86">
        <f>VLOOKUP($C86,'[1]PoB WN'!$C$1:$T$898,17,FALSE)</f>
        <v>726</v>
      </c>
      <c r="K86">
        <f>VLOOKUP($C86,'[1]PoB WN'!$C$1:$T$898,18,FALSE)</f>
        <v>9</v>
      </c>
      <c r="L86">
        <f>VLOOKUP($C86,'[1]PoB WH'!$C$1:$T$898,17,FALSE)</f>
        <v>0</v>
      </c>
      <c r="M86">
        <f>VLOOKUP($C86,'[1]PoB WH'!$C$1:$T$898,18,FALSE)</f>
        <v>0</v>
      </c>
      <c r="N86">
        <f>VLOOKUP($C86,'[1]PoB AA'!$C$1:$T$898,17,FALSE)</f>
        <v>9</v>
      </c>
      <c r="O86">
        <f>VLOOKUP($C86,'[1]PoB AA'!$C$1:$T$898,18,FALSE)</f>
        <v>0</v>
      </c>
      <c r="P86">
        <f>VLOOKUP($C86,'[1]PoB AI'!$C$1:$T$898,17,FALSE)</f>
        <v>9</v>
      </c>
      <c r="Q86">
        <f>VLOOKUP($C86,'[1]PoB AI'!$C$1:$T$898,18,FALSE)</f>
        <v>0</v>
      </c>
      <c r="R86">
        <f>VLOOKUP($C86,'[1]PoB AS'!$C$1:$T$898,17,FALSE)</f>
        <v>0</v>
      </c>
      <c r="S86">
        <f>VLOOKUP($C86,'[1]PoB AS'!$C$1:$T$898,18,FALSE)</f>
        <v>11</v>
      </c>
      <c r="T86">
        <f>VLOOKUP($C86,'[1]PoB PI'!$C$1:$T$898,17,FALSE)</f>
        <v>0</v>
      </c>
      <c r="U86">
        <f>VLOOKUP($C86,'[1]PoB PI'!$C$1:$T$898,18,FALSE)</f>
        <v>0</v>
      </c>
      <c r="V86">
        <f>VLOOKUP($C86,'[1]PoB OT'!$C$1:$T$898,17,FALSE)</f>
        <v>0</v>
      </c>
      <c r="W86">
        <f>VLOOKUP($C86,'[1]PoB OT'!$C$1:$T$898,18,FALSE)</f>
        <v>0</v>
      </c>
      <c r="X86">
        <f>VLOOKUP($C86,'[1]PoB 2R'!$C$1:$T$898,17,FALSE)</f>
        <v>25</v>
      </c>
      <c r="Y86">
        <f>VLOOKUP($C86,'[1]PoB 2R'!$C$1:$T$898,18,FALSE)</f>
        <v>0</v>
      </c>
    </row>
    <row r="87" spans="1:25" x14ac:dyDescent="0.25">
      <c r="A87" t="s">
        <v>472</v>
      </c>
      <c r="B87">
        <v>5313365</v>
      </c>
      <c r="C87" t="s">
        <v>473</v>
      </c>
      <c r="D87">
        <f t="shared" si="3"/>
        <v>2890</v>
      </c>
      <c r="E87">
        <f>VLOOKUP($C87,'[1]PoB Totals'!$C$3:$T$898,17,FALSE)</f>
        <v>2501</v>
      </c>
      <c r="F87">
        <f>VLOOKUP($C87,'[1]PoB Totals'!$C$3:$T$898,18,FALSE)</f>
        <v>389</v>
      </c>
      <c r="G87">
        <f t="shared" si="4"/>
        <v>2890</v>
      </c>
      <c r="H87">
        <f t="shared" si="5"/>
        <v>2501</v>
      </c>
      <c r="I87">
        <f t="shared" si="5"/>
        <v>389</v>
      </c>
      <c r="J87">
        <f>VLOOKUP($C87,'[1]PoB WN'!$C$1:$T$898,17,FALSE)</f>
        <v>2375</v>
      </c>
      <c r="K87">
        <f>VLOOKUP($C87,'[1]PoB WN'!$C$1:$T$898,18,FALSE)</f>
        <v>221</v>
      </c>
      <c r="L87">
        <f>VLOOKUP($C87,'[1]PoB WH'!$C$1:$T$898,17,FALSE)</f>
        <v>16</v>
      </c>
      <c r="M87">
        <f>VLOOKUP($C87,'[1]PoB WH'!$C$1:$T$898,18,FALSE)</f>
        <v>0</v>
      </c>
      <c r="N87">
        <f>VLOOKUP($C87,'[1]PoB AA'!$C$1:$T$898,17,FALSE)</f>
        <v>0</v>
      </c>
      <c r="O87">
        <f>VLOOKUP($C87,'[1]PoB AA'!$C$1:$T$898,18,FALSE)</f>
        <v>0</v>
      </c>
      <c r="P87">
        <f>VLOOKUP($C87,'[1]PoB AI'!$C$1:$T$898,17,FALSE)</f>
        <v>0</v>
      </c>
      <c r="Q87">
        <f>VLOOKUP($C87,'[1]PoB AI'!$C$1:$T$898,18,FALSE)</f>
        <v>0</v>
      </c>
      <c r="R87">
        <f>VLOOKUP($C87,'[1]PoB AS'!$C$1:$T$898,17,FALSE)</f>
        <v>29</v>
      </c>
      <c r="S87">
        <f>VLOOKUP($C87,'[1]PoB AS'!$C$1:$T$898,18,FALSE)</f>
        <v>151</v>
      </c>
      <c r="T87">
        <f>VLOOKUP($C87,'[1]PoB PI'!$C$1:$T$898,17,FALSE)</f>
        <v>0</v>
      </c>
      <c r="U87">
        <f>VLOOKUP($C87,'[1]PoB PI'!$C$1:$T$898,18,FALSE)</f>
        <v>0</v>
      </c>
      <c r="V87">
        <f>VLOOKUP($C87,'[1]PoB OT'!$C$1:$T$898,17,FALSE)</f>
        <v>23</v>
      </c>
      <c r="W87">
        <f>VLOOKUP($C87,'[1]PoB OT'!$C$1:$T$898,18,FALSE)</f>
        <v>4</v>
      </c>
      <c r="X87">
        <f>VLOOKUP($C87,'[1]PoB 2R'!$C$1:$T$898,17,FALSE)</f>
        <v>58</v>
      </c>
      <c r="Y87">
        <f>VLOOKUP($C87,'[1]PoB 2R'!$C$1:$T$898,18,FALSE)</f>
        <v>13</v>
      </c>
    </row>
    <row r="88" spans="1:25" x14ac:dyDescent="0.25">
      <c r="A88" t="s">
        <v>474</v>
      </c>
      <c r="B88">
        <v>5313595</v>
      </c>
      <c r="C88" t="s">
        <v>475</v>
      </c>
      <c r="D88">
        <f t="shared" si="3"/>
        <v>621</v>
      </c>
      <c r="E88">
        <f>VLOOKUP($C88,'[1]PoB Totals'!$C$3:$T$898,17,FALSE)</f>
        <v>607</v>
      </c>
      <c r="F88">
        <f>VLOOKUP($C88,'[1]PoB Totals'!$C$3:$T$898,18,FALSE)</f>
        <v>14</v>
      </c>
      <c r="G88">
        <f t="shared" si="4"/>
        <v>621</v>
      </c>
      <c r="H88">
        <f t="shared" si="5"/>
        <v>607</v>
      </c>
      <c r="I88">
        <f t="shared" si="5"/>
        <v>14</v>
      </c>
      <c r="J88">
        <f>VLOOKUP($C88,'[1]PoB WN'!$C$1:$T$898,17,FALSE)</f>
        <v>579</v>
      </c>
      <c r="K88">
        <f>VLOOKUP($C88,'[1]PoB WN'!$C$1:$T$898,18,FALSE)</f>
        <v>14</v>
      </c>
      <c r="L88">
        <f>VLOOKUP($C88,'[1]PoB WH'!$C$1:$T$898,17,FALSE)</f>
        <v>0</v>
      </c>
      <c r="M88">
        <f>VLOOKUP($C88,'[1]PoB WH'!$C$1:$T$898,18,FALSE)</f>
        <v>0</v>
      </c>
      <c r="N88">
        <f>VLOOKUP($C88,'[1]PoB AA'!$C$1:$T$898,17,FALSE)</f>
        <v>0</v>
      </c>
      <c r="O88">
        <f>VLOOKUP($C88,'[1]PoB AA'!$C$1:$T$898,18,FALSE)</f>
        <v>0</v>
      </c>
      <c r="P88">
        <f>VLOOKUP($C88,'[1]PoB AI'!$C$1:$T$898,17,FALSE)</f>
        <v>5</v>
      </c>
      <c r="Q88">
        <f>VLOOKUP($C88,'[1]PoB AI'!$C$1:$T$898,18,FALSE)</f>
        <v>0</v>
      </c>
      <c r="R88">
        <f>VLOOKUP($C88,'[1]PoB AS'!$C$1:$T$898,17,FALSE)</f>
        <v>0</v>
      </c>
      <c r="S88">
        <f>VLOOKUP($C88,'[1]PoB AS'!$C$1:$T$898,18,FALSE)</f>
        <v>0</v>
      </c>
      <c r="T88">
        <f>VLOOKUP($C88,'[1]PoB PI'!$C$1:$T$898,17,FALSE)</f>
        <v>0</v>
      </c>
      <c r="U88">
        <f>VLOOKUP($C88,'[1]PoB PI'!$C$1:$T$898,18,FALSE)</f>
        <v>0</v>
      </c>
      <c r="V88">
        <f>VLOOKUP($C88,'[1]PoB OT'!$C$1:$T$898,17,FALSE)</f>
        <v>0</v>
      </c>
      <c r="W88">
        <f>VLOOKUP($C88,'[1]PoB OT'!$C$1:$T$898,18,FALSE)</f>
        <v>0</v>
      </c>
      <c r="X88">
        <f>VLOOKUP($C88,'[1]PoB 2R'!$C$1:$T$898,17,FALSE)</f>
        <v>23</v>
      </c>
      <c r="Y88">
        <f>VLOOKUP($C88,'[1]PoB 2R'!$C$1:$T$898,18,FALSE)</f>
        <v>0</v>
      </c>
    </row>
    <row r="89" spans="1:25" x14ac:dyDescent="0.25">
      <c r="A89" t="s">
        <v>476</v>
      </c>
      <c r="B89">
        <v>5313785</v>
      </c>
      <c r="C89" t="s">
        <v>477</v>
      </c>
      <c r="D89">
        <f t="shared" si="3"/>
        <v>2846</v>
      </c>
      <c r="E89">
        <f>VLOOKUP($C89,'[1]PoB Totals'!$C$3:$T$898,17,FALSE)</f>
        <v>2693</v>
      </c>
      <c r="F89">
        <f>VLOOKUP($C89,'[1]PoB Totals'!$C$3:$T$898,18,FALSE)</f>
        <v>153</v>
      </c>
      <c r="G89">
        <f t="shared" si="4"/>
        <v>2846</v>
      </c>
      <c r="H89">
        <f t="shared" si="5"/>
        <v>2693</v>
      </c>
      <c r="I89">
        <f t="shared" si="5"/>
        <v>153</v>
      </c>
      <c r="J89">
        <f>VLOOKUP($C89,'[1]PoB WN'!$C$1:$T$898,17,FALSE)</f>
        <v>2554</v>
      </c>
      <c r="K89">
        <f>VLOOKUP($C89,'[1]PoB WN'!$C$1:$T$898,18,FALSE)</f>
        <v>61</v>
      </c>
      <c r="L89">
        <f>VLOOKUP($C89,'[1]PoB WH'!$C$1:$T$898,17,FALSE)</f>
        <v>4</v>
      </c>
      <c r="M89">
        <f>VLOOKUP($C89,'[1]PoB WH'!$C$1:$T$898,18,FALSE)</f>
        <v>6</v>
      </c>
      <c r="N89">
        <f>VLOOKUP($C89,'[1]PoB AA'!$C$1:$T$898,17,FALSE)</f>
        <v>3</v>
      </c>
      <c r="O89">
        <f>VLOOKUP($C89,'[1]PoB AA'!$C$1:$T$898,18,FALSE)</f>
        <v>0</v>
      </c>
      <c r="P89">
        <f>VLOOKUP($C89,'[1]PoB AI'!$C$1:$T$898,17,FALSE)</f>
        <v>50</v>
      </c>
      <c r="Q89">
        <f>VLOOKUP($C89,'[1]PoB AI'!$C$1:$T$898,18,FALSE)</f>
        <v>0</v>
      </c>
      <c r="R89">
        <f>VLOOKUP($C89,'[1]PoB AS'!$C$1:$T$898,17,FALSE)</f>
        <v>44</v>
      </c>
      <c r="S89">
        <f>VLOOKUP($C89,'[1]PoB AS'!$C$1:$T$898,18,FALSE)</f>
        <v>80</v>
      </c>
      <c r="T89">
        <f>VLOOKUP($C89,'[1]PoB PI'!$C$1:$T$898,17,FALSE)</f>
        <v>0</v>
      </c>
      <c r="U89">
        <f>VLOOKUP($C89,'[1]PoB PI'!$C$1:$T$898,18,FALSE)</f>
        <v>0</v>
      </c>
      <c r="V89">
        <f>VLOOKUP($C89,'[1]PoB OT'!$C$1:$T$898,17,FALSE)</f>
        <v>6</v>
      </c>
      <c r="W89">
        <f>VLOOKUP($C89,'[1]PoB OT'!$C$1:$T$898,18,FALSE)</f>
        <v>6</v>
      </c>
      <c r="X89">
        <f>VLOOKUP($C89,'[1]PoB 2R'!$C$1:$T$898,17,FALSE)</f>
        <v>32</v>
      </c>
      <c r="Y89">
        <f>VLOOKUP($C89,'[1]PoB 2R'!$C$1:$T$898,18,FALSE)</f>
        <v>0</v>
      </c>
    </row>
    <row r="90" spans="1:25" x14ac:dyDescent="0.25">
      <c r="A90" t="s">
        <v>478</v>
      </c>
      <c r="B90">
        <v>5313855</v>
      </c>
      <c r="C90" t="s">
        <v>479</v>
      </c>
      <c r="D90">
        <f t="shared" si="3"/>
        <v>7814</v>
      </c>
      <c r="E90">
        <f>VLOOKUP($C90,'[1]PoB Totals'!$C$3:$T$898,17,FALSE)</f>
        <v>6931</v>
      </c>
      <c r="F90">
        <f>VLOOKUP($C90,'[1]PoB Totals'!$C$3:$T$898,18,FALSE)</f>
        <v>883</v>
      </c>
      <c r="G90">
        <f t="shared" si="4"/>
        <v>7814</v>
      </c>
      <c r="H90">
        <f t="shared" si="5"/>
        <v>6931</v>
      </c>
      <c r="I90">
        <f t="shared" si="5"/>
        <v>883</v>
      </c>
      <c r="J90">
        <f>VLOOKUP($C90,'[1]PoB WN'!$C$1:$T$898,17,FALSE)</f>
        <v>6053</v>
      </c>
      <c r="K90">
        <f>VLOOKUP($C90,'[1]PoB WN'!$C$1:$T$898,18,FALSE)</f>
        <v>326</v>
      </c>
      <c r="L90">
        <f>VLOOKUP($C90,'[1]PoB WH'!$C$1:$T$898,17,FALSE)</f>
        <v>255</v>
      </c>
      <c r="M90">
        <f>VLOOKUP($C90,'[1]PoB WH'!$C$1:$T$898,18,FALSE)</f>
        <v>158</v>
      </c>
      <c r="N90">
        <f>VLOOKUP($C90,'[1]PoB AA'!$C$1:$T$898,17,FALSE)</f>
        <v>90</v>
      </c>
      <c r="O90">
        <f>VLOOKUP($C90,'[1]PoB AA'!$C$1:$T$898,18,FALSE)</f>
        <v>66</v>
      </c>
      <c r="P90">
        <f>VLOOKUP($C90,'[1]PoB AI'!$C$1:$T$898,17,FALSE)</f>
        <v>81</v>
      </c>
      <c r="Q90">
        <f>VLOOKUP($C90,'[1]PoB AI'!$C$1:$T$898,18,FALSE)</f>
        <v>20</v>
      </c>
      <c r="R90">
        <f>VLOOKUP($C90,'[1]PoB AS'!$C$1:$T$898,17,FALSE)</f>
        <v>31</v>
      </c>
      <c r="S90">
        <f>VLOOKUP($C90,'[1]PoB AS'!$C$1:$T$898,18,FALSE)</f>
        <v>100</v>
      </c>
      <c r="T90">
        <f>VLOOKUP($C90,'[1]PoB PI'!$C$1:$T$898,17,FALSE)</f>
        <v>0</v>
      </c>
      <c r="U90">
        <f>VLOOKUP($C90,'[1]PoB PI'!$C$1:$T$898,18,FALSE)</f>
        <v>14</v>
      </c>
      <c r="V90">
        <f>VLOOKUP($C90,'[1]PoB OT'!$C$1:$T$898,17,FALSE)</f>
        <v>334</v>
      </c>
      <c r="W90">
        <f>VLOOKUP($C90,'[1]PoB OT'!$C$1:$T$898,18,FALSE)</f>
        <v>184</v>
      </c>
      <c r="X90">
        <f>VLOOKUP($C90,'[1]PoB 2R'!$C$1:$T$898,17,FALSE)</f>
        <v>87</v>
      </c>
      <c r="Y90">
        <f>VLOOKUP($C90,'[1]PoB 2R'!$C$1:$T$898,18,FALSE)</f>
        <v>15</v>
      </c>
    </row>
    <row r="91" spans="1:25" x14ac:dyDescent="0.25">
      <c r="A91" t="s">
        <v>480</v>
      </c>
      <c r="B91">
        <v>5313890</v>
      </c>
      <c r="C91" t="s">
        <v>481</v>
      </c>
      <c r="D91">
        <f t="shared" si="3"/>
        <v>406</v>
      </c>
      <c r="E91">
        <f>VLOOKUP($C91,'[1]PoB Totals'!$C$3:$T$898,17,FALSE)</f>
        <v>406</v>
      </c>
      <c r="F91">
        <f>VLOOKUP($C91,'[1]PoB Totals'!$C$3:$T$898,18,FALSE)</f>
        <v>0</v>
      </c>
      <c r="G91">
        <f t="shared" si="4"/>
        <v>406</v>
      </c>
      <c r="H91">
        <f t="shared" si="5"/>
        <v>406</v>
      </c>
      <c r="I91">
        <f t="shared" si="5"/>
        <v>0</v>
      </c>
      <c r="J91">
        <f>VLOOKUP($C91,'[1]PoB WN'!$C$1:$T$898,17,FALSE)</f>
        <v>385</v>
      </c>
      <c r="K91">
        <f>VLOOKUP($C91,'[1]PoB WN'!$C$1:$T$898,18,FALSE)</f>
        <v>0</v>
      </c>
      <c r="L91">
        <f>VLOOKUP($C91,'[1]PoB WH'!$C$1:$T$898,17,FALSE)</f>
        <v>4</v>
      </c>
      <c r="M91">
        <f>VLOOKUP($C91,'[1]PoB WH'!$C$1:$T$898,18,FALSE)</f>
        <v>0</v>
      </c>
      <c r="N91">
        <f>VLOOKUP($C91,'[1]PoB AA'!$C$1:$T$898,17,FALSE)</f>
        <v>0</v>
      </c>
      <c r="O91">
        <f>VLOOKUP($C91,'[1]PoB AA'!$C$1:$T$898,18,FALSE)</f>
        <v>0</v>
      </c>
      <c r="P91">
        <f>VLOOKUP($C91,'[1]PoB AI'!$C$1:$T$898,17,FALSE)</f>
        <v>4</v>
      </c>
      <c r="Q91">
        <f>VLOOKUP($C91,'[1]PoB AI'!$C$1:$T$898,18,FALSE)</f>
        <v>0</v>
      </c>
      <c r="R91">
        <f>VLOOKUP($C91,'[1]PoB AS'!$C$1:$T$898,17,FALSE)</f>
        <v>0</v>
      </c>
      <c r="S91">
        <f>VLOOKUP($C91,'[1]PoB AS'!$C$1:$T$898,18,FALSE)</f>
        <v>0</v>
      </c>
      <c r="T91">
        <f>VLOOKUP($C91,'[1]PoB PI'!$C$1:$T$898,17,FALSE)</f>
        <v>0</v>
      </c>
      <c r="U91">
        <f>VLOOKUP($C91,'[1]PoB PI'!$C$1:$T$898,18,FALSE)</f>
        <v>0</v>
      </c>
      <c r="V91">
        <f>VLOOKUP($C91,'[1]PoB OT'!$C$1:$T$898,17,FALSE)</f>
        <v>0</v>
      </c>
      <c r="W91">
        <f>VLOOKUP($C91,'[1]PoB OT'!$C$1:$T$898,18,FALSE)</f>
        <v>0</v>
      </c>
      <c r="X91">
        <f>VLOOKUP($C91,'[1]PoB 2R'!$C$1:$T$898,17,FALSE)</f>
        <v>13</v>
      </c>
      <c r="Y91">
        <f>VLOOKUP($C91,'[1]PoB 2R'!$C$1:$T$898,18,FALSE)</f>
        <v>0</v>
      </c>
    </row>
    <row r="92" spans="1:25" x14ac:dyDescent="0.25">
      <c r="A92" t="s">
        <v>482</v>
      </c>
      <c r="B92">
        <v>5314170</v>
      </c>
      <c r="C92" t="s">
        <v>483</v>
      </c>
      <c r="D92">
        <f t="shared" si="3"/>
        <v>5004</v>
      </c>
      <c r="E92">
        <f>VLOOKUP($C92,'[1]PoB Totals'!$C$3:$T$898,17,FALSE)</f>
        <v>4848</v>
      </c>
      <c r="F92">
        <f>VLOOKUP($C92,'[1]PoB Totals'!$C$3:$T$898,18,FALSE)</f>
        <v>156</v>
      </c>
      <c r="G92">
        <f t="shared" si="4"/>
        <v>5004</v>
      </c>
      <c r="H92">
        <f t="shared" si="5"/>
        <v>4848</v>
      </c>
      <c r="I92">
        <f t="shared" si="5"/>
        <v>156</v>
      </c>
      <c r="J92">
        <f>VLOOKUP($C92,'[1]PoB WN'!$C$1:$T$898,17,FALSE)</f>
        <v>4487</v>
      </c>
      <c r="K92">
        <f>VLOOKUP($C92,'[1]PoB WN'!$C$1:$T$898,18,FALSE)</f>
        <v>122</v>
      </c>
      <c r="L92">
        <f>VLOOKUP($C92,'[1]PoB WH'!$C$1:$T$898,17,FALSE)</f>
        <v>57</v>
      </c>
      <c r="M92">
        <f>VLOOKUP($C92,'[1]PoB WH'!$C$1:$T$898,18,FALSE)</f>
        <v>7</v>
      </c>
      <c r="N92">
        <f>VLOOKUP($C92,'[1]PoB AA'!$C$1:$T$898,17,FALSE)</f>
        <v>0</v>
      </c>
      <c r="O92">
        <f>VLOOKUP($C92,'[1]PoB AA'!$C$1:$T$898,18,FALSE)</f>
        <v>0</v>
      </c>
      <c r="P92">
        <f>VLOOKUP($C92,'[1]PoB AI'!$C$1:$T$898,17,FALSE)</f>
        <v>104</v>
      </c>
      <c r="Q92">
        <f>VLOOKUP($C92,'[1]PoB AI'!$C$1:$T$898,18,FALSE)</f>
        <v>0</v>
      </c>
      <c r="R92">
        <f>VLOOKUP($C92,'[1]PoB AS'!$C$1:$T$898,17,FALSE)</f>
        <v>12</v>
      </c>
      <c r="S92">
        <f>VLOOKUP($C92,'[1]PoB AS'!$C$1:$T$898,18,FALSE)</f>
        <v>0</v>
      </c>
      <c r="T92">
        <f>VLOOKUP($C92,'[1]PoB PI'!$C$1:$T$898,17,FALSE)</f>
        <v>8</v>
      </c>
      <c r="U92">
        <f>VLOOKUP($C92,'[1]PoB PI'!$C$1:$T$898,18,FALSE)</f>
        <v>0</v>
      </c>
      <c r="V92">
        <f>VLOOKUP($C92,'[1]PoB OT'!$C$1:$T$898,17,FALSE)</f>
        <v>12</v>
      </c>
      <c r="W92">
        <f>VLOOKUP($C92,'[1]PoB OT'!$C$1:$T$898,18,FALSE)</f>
        <v>21</v>
      </c>
      <c r="X92">
        <f>VLOOKUP($C92,'[1]PoB 2R'!$C$1:$T$898,17,FALSE)</f>
        <v>168</v>
      </c>
      <c r="Y92">
        <f>VLOOKUP($C92,'[1]PoB 2R'!$C$1:$T$898,18,FALSE)</f>
        <v>6</v>
      </c>
    </row>
    <row r="93" spans="1:25" x14ac:dyDescent="0.25">
      <c r="A93" t="s">
        <v>484</v>
      </c>
      <c r="B93">
        <v>5314310</v>
      </c>
      <c r="C93" t="s">
        <v>485</v>
      </c>
      <c r="D93">
        <f t="shared" si="3"/>
        <v>209</v>
      </c>
      <c r="E93">
        <f>VLOOKUP($C93,'[1]PoB Totals'!$C$3:$T$898,17,FALSE)</f>
        <v>205</v>
      </c>
      <c r="F93">
        <f>VLOOKUP($C93,'[1]PoB Totals'!$C$3:$T$898,18,FALSE)</f>
        <v>4</v>
      </c>
      <c r="G93">
        <f t="shared" si="4"/>
        <v>209</v>
      </c>
      <c r="H93">
        <f t="shared" si="5"/>
        <v>205</v>
      </c>
      <c r="I93">
        <f t="shared" si="5"/>
        <v>4</v>
      </c>
      <c r="J93">
        <f>VLOOKUP($C93,'[1]PoB WN'!$C$1:$T$898,17,FALSE)</f>
        <v>193</v>
      </c>
      <c r="K93">
        <f>VLOOKUP($C93,'[1]PoB WN'!$C$1:$T$898,18,FALSE)</f>
        <v>4</v>
      </c>
      <c r="L93">
        <f>VLOOKUP($C93,'[1]PoB WH'!$C$1:$T$898,17,FALSE)</f>
        <v>0</v>
      </c>
      <c r="M93">
        <f>VLOOKUP($C93,'[1]PoB WH'!$C$1:$T$898,18,FALSE)</f>
        <v>0</v>
      </c>
      <c r="N93">
        <f>VLOOKUP($C93,'[1]PoB AA'!$C$1:$T$898,17,FALSE)</f>
        <v>0</v>
      </c>
      <c r="O93">
        <f>VLOOKUP($C93,'[1]PoB AA'!$C$1:$T$898,18,FALSE)</f>
        <v>0</v>
      </c>
      <c r="P93">
        <f>VLOOKUP($C93,'[1]PoB AI'!$C$1:$T$898,17,FALSE)</f>
        <v>10</v>
      </c>
      <c r="Q93">
        <f>VLOOKUP($C93,'[1]PoB AI'!$C$1:$T$898,18,FALSE)</f>
        <v>0</v>
      </c>
      <c r="R93">
        <f>VLOOKUP($C93,'[1]PoB AS'!$C$1:$T$898,17,FALSE)</f>
        <v>0</v>
      </c>
      <c r="S93">
        <f>VLOOKUP($C93,'[1]PoB AS'!$C$1:$T$898,18,FALSE)</f>
        <v>0</v>
      </c>
      <c r="T93">
        <f>VLOOKUP($C93,'[1]PoB PI'!$C$1:$T$898,17,FALSE)</f>
        <v>0</v>
      </c>
      <c r="U93">
        <f>VLOOKUP($C93,'[1]PoB PI'!$C$1:$T$898,18,FALSE)</f>
        <v>0</v>
      </c>
      <c r="V93">
        <f>VLOOKUP($C93,'[1]PoB OT'!$C$1:$T$898,17,FALSE)</f>
        <v>0</v>
      </c>
      <c r="W93">
        <f>VLOOKUP($C93,'[1]PoB OT'!$C$1:$T$898,18,FALSE)</f>
        <v>0</v>
      </c>
      <c r="X93">
        <f>VLOOKUP($C93,'[1]PoB 2R'!$C$1:$T$898,17,FALSE)</f>
        <v>2</v>
      </c>
      <c r="Y93">
        <f>VLOOKUP($C93,'[1]PoB 2R'!$C$1:$T$898,18,FALSE)</f>
        <v>0</v>
      </c>
    </row>
    <row r="94" spans="1:25" x14ac:dyDescent="0.25">
      <c r="A94" t="s">
        <v>486</v>
      </c>
      <c r="B94">
        <v>5314380</v>
      </c>
      <c r="C94" t="s">
        <v>487</v>
      </c>
      <c r="D94">
        <f t="shared" si="3"/>
        <v>832</v>
      </c>
      <c r="E94">
        <f>VLOOKUP($C94,'[1]PoB Totals'!$C$3:$T$898,17,FALSE)</f>
        <v>812</v>
      </c>
      <c r="F94">
        <f>VLOOKUP($C94,'[1]PoB Totals'!$C$3:$T$898,18,FALSE)</f>
        <v>20</v>
      </c>
      <c r="G94">
        <f t="shared" si="4"/>
        <v>832</v>
      </c>
      <c r="H94">
        <f t="shared" si="5"/>
        <v>812</v>
      </c>
      <c r="I94">
        <f t="shared" si="5"/>
        <v>20</v>
      </c>
      <c r="J94">
        <f>VLOOKUP($C94,'[1]PoB WN'!$C$1:$T$898,17,FALSE)</f>
        <v>765</v>
      </c>
      <c r="K94">
        <f>VLOOKUP($C94,'[1]PoB WN'!$C$1:$T$898,18,FALSE)</f>
        <v>17</v>
      </c>
      <c r="L94">
        <f>VLOOKUP($C94,'[1]PoB WH'!$C$1:$T$898,17,FALSE)</f>
        <v>0</v>
      </c>
      <c r="M94">
        <f>VLOOKUP($C94,'[1]PoB WH'!$C$1:$T$898,18,FALSE)</f>
        <v>3</v>
      </c>
      <c r="N94">
        <f>VLOOKUP($C94,'[1]PoB AA'!$C$1:$T$898,17,FALSE)</f>
        <v>0</v>
      </c>
      <c r="O94">
        <f>VLOOKUP($C94,'[1]PoB AA'!$C$1:$T$898,18,FALSE)</f>
        <v>0</v>
      </c>
      <c r="P94">
        <f>VLOOKUP($C94,'[1]PoB AI'!$C$1:$T$898,17,FALSE)</f>
        <v>14</v>
      </c>
      <c r="Q94">
        <f>VLOOKUP($C94,'[1]PoB AI'!$C$1:$T$898,18,FALSE)</f>
        <v>0</v>
      </c>
      <c r="R94">
        <f>VLOOKUP($C94,'[1]PoB AS'!$C$1:$T$898,17,FALSE)</f>
        <v>0</v>
      </c>
      <c r="S94">
        <f>VLOOKUP($C94,'[1]PoB AS'!$C$1:$T$898,18,FALSE)</f>
        <v>0</v>
      </c>
      <c r="T94">
        <f>VLOOKUP($C94,'[1]PoB PI'!$C$1:$T$898,17,FALSE)</f>
        <v>0</v>
      </c>
      <c r="U94">
        <f>VLOOKUP($C94,'[1]PoB PI'!$C$1:$T$898,18,FALSE)</f>
        <v>0</v>
      </c>
      <c r="V94">
        <f>VLOOKUP($C94,'[1]PoB OT'!$C$1:$T$898,17,FALSE)</f>
        <v>0</v>
      </c>
      <c r="W94">
        <f>VLOOKUP($C94,'[1]PoB OT'!$C$1:$T$898,18,FALSE)</f>
        <v>0</v>
      </c>
      <c r="X94">
        <f>VLOOKUP($C94,'[1]PoB 2R'!$C$1:$T$898,17,FALSE)</f>
        <v>33</v>
      </c>
      <c r="Y94">
        <f>VLOOKUP($C94,'[1]PoB 2R'!$C$1:$T$898,18,FALSE)</f>
        <v>0</v>
      </c>
    </row>
    <row r="95" spans="1:25" x14ac:dyDescent="0.25">
      <c r="A95" t="s">
        <v>488</v>
      </c>
      <c r="B95">
        <v>5314485</v>
      </c>
      <c r="C95" t="s">
        <v>489</v>
      </c>
      <c r="D95">
        <f t="shared" si="3"/>
        <v>2930</v>
      </c>
      <c r="E95">
        <f>VLOOKUP($C95,'[1]PoB Totals'!$C$3:$T$898,17,FALSE)</f>
        <v>2162</v>
      </c>
      <c r="F95">
        <f>VLOOKUP($C95,'[1]PoB Totals'!$C$3:$T$898,18,FALSE)</f>
        <v>768</v>
      </c>
      <c r="G95">
        <f t="shared" si="4"/>
        <v>2930</v>
      </c>
      <c r="H95">
        <f t="shared" si="5"/>
        <v>2162</v>
      </c>
      <c r="I95">
        <f t="shared" si="5"/>
        <v>768</v>
      </c>
      <c r="J95">
        <f>VLOOKUP($C95,'[1]PoB WN'!$C$1:$T$898,17,FALSE)</f>
        <v>1384</v>
      </c>
      <c r="K95">
        <f>VLOOKUP($C95,'[1]PoB WN'!$C$1:$T$898,18,FALSE)</f>
        <v>31</v>
      </c>
      <c r="L95">
        <f>VLOOKUP($C95,'[1]PoB WH'!$C$1:$T$898,17,FALSE)</f>
        <v>179</v>
      </c>
      <c r="M95">
        <f>VLOOKUP($C95,'[1]PoB WH'!$C$1:$T$898,18,FALSE)</f>
        <v>208</v>
      </c>
      <c r="N95">
        <f>VLOOKUP($C95,'[1]PoB AA'!$C$1:$T$898,17,FALSE)</f>
        <v>86</v>
      </c>
      <c r="O95">
        <f>VLOOKUP($C95,'[1]PoB AA'!$C$1:$T$898,18,FALSE)</f>
        <v>5</v>
      </c>
      <c r="P95">
        <f>VLOOKUP($C95,'[1]PoB AI'!$C$1:$T$898,17,FALSE)</f>
        <v>47</v>
      </c>
      <c r="Q95">
        <f>VLOOKUP($C95,'[1]PoB AI'!$C$1:$T$898,18,FALSE)</f>
        <v>6</v>
      </c>
      <c r="R95">
        <f>VLOOKUP($C95,'[1]PoB AS'!$C$1:$T$898,17,FALSE)</f>
        <v>33</v>
      </c>
      <c r="S95">
        <f>VLOOKUP($C95,'[1]PoB AS'!$C$1:$T$898,18,FALSE)</f>
        <v>92</v>
      </c>
      <c r="T95">
        <f>VLOOKUP($C95,'[1]PoB PI'!$C$1:$T$898,17,FALSE)</f>
        <v>0</v>
      </c>
      <c r="U95">
        <f>VLOOKUP($C95,'[1]PoB PI'!$C$1:$T$898,18,FALSE)</f>
        <v>0</v>
      </c>
      <c r="V95">
        <f>VLOOKUP($C95,'[1]PoB OT'!$C$1:$T$898,17,FALSE)</f>
        <v>303</v>
      </c>
      <c r="W95">
        <f>VLOOKUP($C95,'[1]PoB OT'!$C$1:$T$898,18,FALSE)</f>
        <v>337</v>
      </c>
      <c r="X95">
        <f>VLOOKUP($C95,'[1]PoB 2R'!$C$1:$T$898,17,FALSE)</f>
        <v>130</v>
      </c>
      <c r="Y95">
        <f>VLOOKUP($C95,'[1]PoB 2R'!$C$1:$T$898,18,FALSE)</f>
        <v>89</v>
      </c>
    </row>
    <row r="96" spans="1:25" x14ac:dyDescent="0.25">
      <c r="A96" t="s">
        <v>490</v>
      </c>
      <c r="B96">
        <v>5314520</v>
      </c>
      <c r="C96" t="s">
        <v>491</v>
      </c>
      <c r="D96">
        <f t="shared" si="3"/>
        <v>49</v>
      </c>
      <c r="E96">
        <f>VLOOKUP($C96,'[1]PoB Totals'!$C$3:$T$898,17,FALSE)</f>
        <v>49</v>
      </c>
      <c r="F96">
        <f>VLOOKUP($C96,'[1]PoB Totals'!$C$3:$T$898,18,FALSE)</f>
        <v>0</v>
      </c>
      <c r="G96">
        <f t="shared" si="4"/>
        <v>49</v>
      </c>
      <c r="H96">
        <f t="shared" si="5"/>
        <v>49</v>
      </c>
      <c r="I96">
        <f t="shared" si="5"/>
        <v>0</v>
      </c>
      <c r="J96">
        <f>VLOOKUP($C96,'[1]PoB WN'!$C$1:$T$898,17,FALSE)</f>
        <v>49</v>
      </c>
      <c r="K96">
        <f>VLOOKUP($C96,'[1]PoB WN'!$C$1:$T$898,18,FALSE)</f>
        <v>0</v>
      </c>
      <c r="L96">
        <f>VLOOKUP($C96,'[1]PoB WH'!$C$1:$T$898,17,FALSE)</f>
        <v>0</v>
      </c>
      <c r="M96">
        <f>VLOOKUP($C96,'[1]PoB WH'!$C$1:$T$898,18,FALSE)</f>
        <v>0</v>
      </c>
      <c r="N96">
        <f>VLOOKUP($C96,'[1]PoB AA'!$C$1:$T$898,17,FALSE)</f>
        <v>0</v>
      </c>
      <c r="O96">
        <f>VLOOKUP($C96,'[1]PoB AA'!$C$1:$T$898,18,FALSE)</f>
        <v>0</v>
      </c>
      <c r="P96">
        <f>VLOOKUP($C96,'[1]PoB AI'!$C$1:$T$898,17,FALSE)</f>
        <v>0</v>
      </c>
      <c r="Q96">
        <f>VLOOKUP($C96,'[1]PoB AI'!$C$1:$T$898,18,FALSE)</f>
        <v>0</v>
      </c>
      <c r="R96">
        <f>VLOOKUP($C96,'[1]PoB AS'!$C$1:$T$898,17,FALSE)</f>
        <v>0</v>
      </c>
      <c r="S96">
        <f>VLOOKUP($C96,'[1]PoB AS'!$C$1:$T$898,18,FALSE)</f>
        <v>0</v>
      </c>
      <c r="T96">
        <f>VLOOKUP($C96,'[1]PoB PI'!$C$1:$T$898,17,FALSE)</f>
        <v>0</v>
      </c>
      <c r="U96">
        <f>VLOOKUP($C96,'[1]PoB PI'!$C$1:$T$898,18,FALSE)</f>
        <v>0</v>
      </c>
      <c r="V96">
        <f>VLOOKUP($C96,'[1]PoB OT'!$C$1:$T$898,17,FALSE)</f>
        <v>0</v>
      </c>
      <c r="W96">
        <f>VLOOKUP($C96,'[1]PoB OT'!$C$1:$T$898,18,FALSE)</f>
        <v>0</v>
      </c>
      <c r="X96">
        <f>VLOOKUP($C96,'[1]PoB 2R'!$C$1:$T$898,17,FALSE)</f>
        <v>0</v>
      </c>
      <c r="Y96">
        <f>VLOOKUP($C96,'[1]PoB 2R'!$C$1:$T$898,18,FALSE)</f>
        <v>0</v>
      </c>
    </row>
    <row r="97" spans="1:25" x14ac:dyDescent="0.25">
      <c r="A97" t="s">
        <v>492</v>
      </c>
      <c r="B97">
        <v>5314660</v>
      </c>
      <c r="C97" t="s">
        <v>493</v>
      </c>
      <c r="D97">
        <f t="shared" si="3"/>
        <v>448</v>
      </c>
      <c r="E97">
        <f>VLOOKUP($C97,'[1]PoB Totals'!$C$3:$T$898,17,FALSE)</f>
        <v>435</v>
      </c>
      <c r="F97">
        <f>VLOOKUP($C97,'[1]PoB Totals'!$C$3:$T$898,18,FALSE)</f>
        <v>13</v>
      </c>
      <c r="G97">
        <f t="shared" si="4"/>
        <v>448</v>
      </c>
      <c r="H97">
        <f t="shared" si="5"/>
        <v>435</v>
      </c>
      <c r="I97">
        <f t="shared" si="5"/>
        <v>13</v>
      </c>
      <c r="J97">
        <f>VLOOKUP($C97,'[1]PoB WN'!$C$1:$T$898,17,FALSE)</f>
        <v>425</v>
      </c>
      <c r="K97">
        <f>VLOOKUP($C97,'[1]PoB WN'!$C$1:$T$898,18,FALSE)</f>
        <v>13</v>
      </c>
      <c r="L97">
        <f>VLOOKUP($C97,'[1]PoB WH'!$C$1:$T$898,17,FALSE)</f>
        <v>0</v>
      </c>
      <c r="M97">
        <f>VLOOKUP($C97,'[1]PoB WH'!$C$1:$T$898,18,FALSE)</f>
        <v>0</v>
      </c>
      <c r="N97">
        <f>VLOOKUP($C97,'[1]PoB AA'!$C$1:$T$898,17,FALSE)</f>
        <v>0</v>
      </c>
      <c r="O97">
        <f>VLOOKUP($C97,'[1]PoB AA'!$C$1:$T$898,18,FALSE)</f>
        <v>0</v>
      </c>
      <c r="P97">
        <f>VLOOKUP($C97,'[1]PoB AI'!$C$1:$T$898,17,FALSE)</f>
        <v>0</v>
      </c>
      <c r="Q97">
        <f>VLOOKUP($C97,'[1]PoB AI'!$C$1:$T$898,18,FALSE)</f>
        <v>0</v>
      </c>
      <c r="R97">
        <f>VLOOKUP($C97,'[1]PoB AS'!$C$1:$T$898,17,FALSE)</f>
        <v>0</v>
      </c>
      <c r="S97">
        <f>VLOOKUP($C97,'[1]PoB AS'!$C$1:$T$898,18,FALSE)</f>
        <v>0</v>
      </c>
      <c r="T97">
        <f>VLOOKUP($C97,'[1]PoB PI'!$C$1:$T$898,17,FALSE)</f>
        <v>0</v>
      </c>
      <c r="U97">
        <f>VLOOKUP($C97,'[1]PoB PI'!$C$1:$T$898,18,FALSE)</f>
        <v>0</v>
      </c>
      <c r="V97">
        <f>VLOOKUP($C97,'[1]PoB OT'!$C$1:$T$898,17,FALSE)</f>
        <v>0</v>
      </c>
      <c r="W97">
        <f>VLOOKUP($C97,'[1]PoB OT'!$C$1:$T$898,18,FALSE)</f>
        <v>0</v>
      </c>
      <c r="X97">
        <f>VLOOKUP($C97,'[1]PoB 2R'!$C$1:$T$898,17,FALSE)</f>
        <v>10</v>
      </c>
      <c r="Y97">
        <f>VLOOKUP($C97,'[1]PoB 2R'!$C$1:$T$898,18,FALSE)</f>
        <v>0</v>
      </c>
    </row>
    <row r="98" spans="1:25" x14ac:dyDescent="0.25">
      <c r="A98" t="s">
        <v>494</v>
      </c>
      <c r="B98">
        <v>5314870</v>
      </c>
      <c r="C98" t="s">
        <v>495</v>
      </c>
      <c r="D98">
        <f t="shared" si="3"/>
        <v>1595</v>
      </c>
      <c r="E98">
        <f>VLOOKUP($C98,'[1]PoB Totals'!$C$3:$T$898,17,FALSE)</f>
        <v>1510</v>
      </c>
      <c r="F98">
        <f>VLOOKUP($C98,'[1]PoB Totals'!$C$3:$T$898,18,FALSE)</f>
        <v>85</v>
      </c>
      <c r="G98">
        <f t="shared" si="4"/>
        <v>1595</v>
      </c>
      <c r="H98">
        <f t="shared" si="5"/>
        <v>1510</v>
      </c>
      <c r="I98">
        <f t="shared" si="5"/>
        <v>85</v>
      </c>
      <c r="J98">
        <f>VLOOKUP($C98,'[1]PoB WN'!$C$1:$T$898,17,FALSE)</f>
        <v>1398</v>
      </c>
      <c r="K98">
        <f>VLOOKUP($C98,'[1]PoB WN'!$C$1:$T$898,18,FALSE)</f>
        <v>44</v>
      </c>
      <c r="L98">
        <f>VLOOKUP($C98,'[1]PoB WH'!$C$1:$T$898,17,FALSE)</f>
        <v>22</v>
      </c>
      <c r="M98">
        <f>VLOOKUP($C98,'[1]PoB WH'!$C$1:$T$898,18,FALSE)</f>
        <v>12</v>
      </c>
      <c r="N98">
        <f>VLOOKUP($C98,'[1]PoB AA'!$C$1:$T$898,17,FALSE)</f>
        <v>0</v>
      </c>
      <c r="O98">
        <f>VLOOKUP($C98,'[1]PoB AA'!$C$1:$T$898,18,FALSE)</f>
        <v>0</v>
      </c>
      <c r="P98">
        <f>VLOOKUP($C98,'[1]PoB AI'!$C$1:$T$898,17,FALSE)</f>
        <v>29</v>
      </c>
      <c r="Q98">
        <f>VLOOKUP($C98,'[1]PoB AI'!$C$1:$T$898,18,FALSE)</f>
        <v>0</v>
      </c>
      <c r="R98">
        <f>VLOOKUP($C98,'[1]PoB AS'!$C$1:$T$898,17,FALSE)</f>
        <v>5</v>
      </c>
      <c r="S98">
        <f>VLOOKUP($C98,'[1]PoB AS'!$C$1:$T$898,18,FALSE)</f>
        <v>9</v>
      </c>
      <c r="T98">
        <f>VLOOKUP($C98,'[1]PoB PI'!$C$1:$T$898,17,FALSE)</f>
        <v>0</v>
      </c>
      <c r="U98">
        <f>VLOOKUP($C98,'[1]PoB PI'!$C$1:$T$898,18,FALSE)</f>
        <v>0</v>
      </c>
      <c r="V98">
        <f>VLOOKUP($C98,'[1]PoB OT'!$C$1:$T$898,17,FALSE)</f>
        <v>20</v>
      </c>
      <c r="W98">
        <f>VLOOKUP($C98,'[1]PoB OT'!$C$1:$T$898,18,FALSE)</f>
        <v>20</v>
      </c>
      <c r="X98">
        <f>VLOOKUP($C98,'[1]PoB 2R'!$C$1:$T$898,17,FALSE)</f>
        <v>36</v>
      </c>
      <c r="Y98">
        <f>VLOOKUP($C98,'[1]PoB 2R'!$C$1:$T$898,18,FALSE)</f>
        <v>0</v>
      </c>
    </row>
    <row r="99" spans="1:25" x14ac:dyDescent="0.25">
      <c r="A99" t="s">
        <v>496</v>
      </c>
      <c r="B99">
        <v>5314940</v>
      </c>
      <c r="C99" t="s">
        <v>497</v>
      </c>
      <c r="D99">
        <f t="shared" si="3"/>
        <v>24299</v>
      </c>
      <c r="E99">
        <f>VLOOKUP($C99,'[1]PoB Totals'!$C$3:$T$898,17,FALSE)</f>
        <v>22344</v>
      </c>
      <c r="F99">
        <f>VLOOKUP($C99,'[1]PoB Totals'!$C$3:$T$898,18,FALSE)</f>
        <v>1955</v>
      </c>
      <c r="G99">
        <f t="shared" si="4"/>
        <v>24299</v>
      </c>
      <c r="H99">
        <f t="shared" si="5"/>
        <v>22344</v>
      </c>
      <c r="I99">
        <f t="shared" si="5"/>
        <v>1955</v>
      </c>
      <c r="J99">
        <f>VLOOKUP($C99,'[1]PoB WN'!$C$1:$T$898,17,FALSE)</f>
        <v>20590</v>
      </c>
      <c r="K99">
        <f>VLOOKUP($C99,'[1]PoB WN'!$C$1:$T$898,18,FALSE)</f>
        <v>1158</v>
      </c>
      <c r="L99">
        <f>VLOOKUP($C99,'[1]PoB WH'!$C$1:$T$898,17,FALSE)</f>
        <v>221</v>
      </c>
      <c r="M99">
        <f>VLOOKUP($C99,'[1]PoB WH'!$C$1:$T$898,18,FALSE)</f>
        <v>45</v>
      </c>
      <c r="N99">
        <f>VLOOKUP($C99,'[1]PoB AA'!$C$1:$T$898,17,FALSE)</f>
        <v>181</v>
      </c>
      <c r="O99">
        <f>VLOOKUP($C99,'[1]PoB AA'!$C$1:$T$898,18,FALSE)</f>
        <v>13</v>
      </c>
      <c r="P99">
        <f>VLOOKUP($C99,'[1]PoB AI'!$C$1:$T$898,17,FALSE)</f>
        <v>85</v>
      </c>
      <c r="Q99">
        <f>VLOOKUP($C99,'[1]PoB AI'!$C$1:$T$898,18,FALSE)</f>
        <v>0</v>
      </c>
      <c r="R99">
        <f>VLOOKUP($C99,'[1]PoB AS'!$C$1:$T$898,17,FALSE)</f>
        <v>469</v>
      </c>
      <c r="S99">
        <f>VLOOKUP($C99,'[1]PoB AS'!$C$1:$T$898,18,FALSE)</f>
        <v>582</v>
      </c>
      <c r="T99">
        <f>VLOOKUP($C99,'[1]PoB PI'!$C$1:$T$898,17,FALSE)</f>
        <v>17</v>
      </c>
      <c r="U99">
        <f>VLOOKUP($C99,'[1]PoB PI'!$C$1:$T$898,18,FALSE)</f>
        <v>0</v>
      </c>
      <c r="V99">
        <f>VLOOKUP($C99,'[1]PoB OT'!$C$1:$T$898,17,FALSE)</f>
        <v>218</v>
      </c>
      <c r="W99">
        <f>VLOOKUP($C99,'[1]PoB OT'!$C$1:$T$898,18,FALSE)</f>
        <v>50</v>
      </c>
      <c r="X99">
        <f>VLOOKUP($C99,'[1]PoB 2R'!$C$1:$T$898,17,FALSE)</f>
        <v>563</v>
      </c>
      <c r="Y99">
        <f>VLOOKUP($C99,'[1]PoB 2R'!$C$1:$T$898,18,FALSE)</f>
        <v>107</v>
      </c>
    </row>
    <row r="100" spans="1:25" x14ac:dyDescent="0.25">
      <c r="A100" t="s">
        <v>498</v>
      </c>
      <c r="B100">
        <v>5315080</v>
      </c>
      <c r="C100" t="s">
        <v>499</v>
      </c>
      <c r="D100">
        <f t="shared" si="3"/>
        <v>615</v>
      </c>
      <c r="E100">
        <f>VLOOKUP($C100,'[1]PoB Totals'!$C$3:$T$898,17,FALSE)</f>
        <v>607</v>
      </c>
      <c r="F100">
        <f>VLOOKUP($C100,'[1]PoB Totals'!$C$3:$T$898,18,FALSE)</f>
        <v>8</v>
      </c>
      <c r="G100">
        <f t="shared" si="4"/>
        <v>615</v>
      </c>
      <c r="H100">
        <f t="shared" si="5"/>
        <v>607</v>
      </c>
      <c r="I100">
        <f t="shared" si="5"/>
        <v>8</v>
      </c>
      <c r="J100">
        <f>VLOOKUP($C100,'[1]PoB WN'!$C$1:$T$898,17,FALSE)</f>
        <v>576</v>
      </c>
      <c r="K100">
        <f>VLOOKUP($C100,'[1]PoB WN'!$C$1:$T$898,18,FALSE)</f>
        <v>6</v>
      </c>
      <c r="L100">
        <f>VLOOKUP($C100,'[1]PoB WH'!$C$1:$T$898,17,FALSE)</f>
        <v>18</v>
      </c>
      <c r="M100">
        <f>VLOOKUP($C100,'[1]PoB WH'!$C$1:$T$898,18,FALSE)</f>
        <v>0</v>
      </c>
      <c r="N100">
        <f>VLOOKUP($C100,'[1]PoB AA'!$C$1:$T$898,17,FALSE)</f>
        <v>5</v>
      </c>
      <c r="O100">
        <f>VLOOKUP($C100,'[1]PoB AA'!$C$1:$T$898,18,FALSE)</f>
        <v>0</v>
      </c>
      <c r="P100">
        <f>VLOOKUP($C100,'[1]PoB AI'!$C$1:$T$898,17,FALSE)</f>
        <v>2</v>
      </c>
      <c r="Q100">
        <f>VLOOKUP($C100,'[1]PoB AI'!$C$1:$T$898,18,FALSE)</f>
        <v>0</v>
      </c>
      <c r="R100">
        <f>VLOOKUP($C100,'[1]PoB AS'!$C$1:$T$898,17,FALSE)</f>
        <v>0</v>
      </c>
      <c r="S100">
        <f>VLOOKUP($C100,'[1]PoB AS'!$C$1:$T$898,18,FALSE)</f>
        <v>0</v>
      </c>
      <c r="T100">
        <f>VLOOKUP($C100,'[1]PoB PI'!$C$1:$T$898,17,FALSE)</f>
        <v>0</v>
      </c>
      <c r="U100">
        <f>VLOOKUP($C100,'[1]PoB PI'!$C$1:$T$898,18,FALSE)</f>
        <v>0</v>
      </c>
      <c r="V100">
        <f>VLOOKUP($C100,'[1]PoB OT'!$C$1:$T$898,17,FALSE)</f>
        <v>0</v>
      </c>
      <c r="W100">
        <f>VLOOKUP($C100,'[1]PoB OT'!$C$1:$T$898,18,FALSE)</f>
        <v>2</v>
      </c>
      <c r="X100">
        <f>VLOOKUP($C100,'[1]PoB 2R'!$C$1:$T$898,17,FALSE)</f>
        <v>6</v>
      </c>
      <c r="Y100">
        <f>VLOOKUP($C100,'[1]PoB 2R'!$C$1:$T$898,18,FALSE)</f>
        <v>0</v>
      </c>
    </row>
    <row r="101" spans="1:25" x14ac:dyDescent="0.25">
      <c r="A101" t="s">
        <v>500</v>
      </c>
      <c r="B101">
        <v>5315115</v>
      </c>
      <c r="C101" t="s">
        <v>501</v>
      </c>
      <c r="D101">
        <f t="shared" si="3"/>
        <v>1047</v>
      </c>
      <c r="E101">
        <f>VLOOKUP($C101,'[1]PoB Totals'!$C$3:$T$898,17,FALSE)</f>
        <v>1028</v>
      </c>
      <c r="F101">
        <f>VLOOKUP($C101,'[1]PoB Totals'!$C$3:$T$898,18,FALSE)</f>
        <v>19</v>
      </c>
      <c r="G101">
        <f t="shared" si="4"/>
        <v>1047</v>
      </c>
      <c r="H101">
        <f t="shared" si="5"/>
        <v>1028</v>
      </c>
      <c r="I101">
        <f t="shared" si="5"/>
        <v>19</v>
      </c>
      <c r="J101">
        <f>VLOOKUP($C101,'[1]PoB WN'!$C$1:$T$898,17,FALSE)</f>
        <v>662</v>
      </c>
      <c r="K101">
        <f>VLOOKUP($C101,'[1]PoB WN'!$C$1:$T$898,18,FALSE)</f>
        <v>8</v>
      </c>
      <c r="L101">
        <f>VLOOKUP($C101,'[1]PoB WH'!$C$1:$T$898,17,FALSE)</f>
        <v>5</v>
      </c>
      <c r="M101">
        <f>VLOOKUP($C101,'[1]PoB WH'!$C$1:$T$898,18,FALSE)</f>
        <v>0</v>
      </c>
      <c r="N101">
        <f>VLOOKUP($C101,'[1]PoB AA'!$C$1:$T$898,17,FALSE)</f>
        <v>0</v>
      </c>
      <c r="O101">
        <f>VLOOKUP($C101,'[1]PoB AA'!$C$1:$T$898,18,FALSE)</f>
        <v>0</v>
      </c>
      <c r="P101">
        <f>VLOOKUP($C101,'[1]PoB AI'!$C$1:$T$898,17,FALSE)</f>
        <v>295</v>
      </c>
      <c r="Q101">
        <f>VLOOKUP($C101,'[1]PoB AI'!$C$1:$T$898,18,FALSE)</f>
        <v>0</v>
      </c>
      <c r="R101">
        <f>VLOOKUP($C101,'[1]PoB AS'!$C$1:$T$898,17,FALSE)</f>
        <v>0</v>
      </c>
      <c r="S101">
        <f>VLOOKUP($C101,'[1]PoB AS'!$C$1:$T$898,18,FALSE)</f>
        <v>7</v>
      </c>
      <c r="T101">
        <f>VLOOKUP($C101,'[1]PoB PI'!$C$1:$T$898,17,FALSE)</f>
        <v>3</v>
      </c>
      <c r="U101">
        <f>VLOOKUP($C101,'[1]PoB PI'!$C$1:$T$898,18,FALSE)</f>
        <v>0</v>
      </c>
      <c r="V101">
        <f>VLOOKUP($C101,'[1]PoB OT'!$C$1:$T$898,17,FALSE)</f>
        <v>5</v>
      </c>
      <c r="W101">
        <f>VLOOKUP($C101,'[1]PoB OT'!$C$1:$T$898,18,FALSE)</f>
        <v>4</v>
      </c>
      <c r="X101">
        <f>VLOOKUP($C101,'[1]PoB 2R'!$C$1:$T$898,17,FALSE)</f>
        <v>58</v>
      </c>
      <c r="Y101">
        <f>VLOOKUP($C101,'[1]PoB 2R'!$C$1:$T$898,18,FALSE)</f>
        <v>0</v>
      </c>
    </row>
    <row r="102" spans="1:25" x14ac:dyDescent="0.25">
      <c r="A102" t="s">
        <v>502</v>
      </c>
      <c r="B102">
        <v>5315150</v>
      </c>
      <c r="C102" t="s">
        <v>503</v>
      </c>
      <c r="D102">
        <f t="shared" si="3"/>
        <v>5203</v>
      </c>
      <c r="E102">
        <f>VLOOKUP($C102,'[1]PoB Totals'!$C$3:$T$898,17,FALSE)</f>
        <v>5027</v>
      </c>
      <c r="F102">
        <f>VLOOKUP($C102,'[1]PoB Totals'!$C$3:$T$898,18,FALSE)</f>
        <v>176</v>
      </c>
      <c r="G102">
        <f t="shared" si="4"/>
        <v>5203</v>
      </c>
      <c r="H102">
        <f t="shared" si="5"/>
        <v>5027</v>
      </c>
      <c r="I102">
        <f t="shared" si="5"/>
        <v>176</v>
      </c>
      <c r="J102">
        <f>VLOOKUP($C102,'[1]PoB WN'!$C$1:$T$898,17,FALSE)</f>
        <v>4582</v>
      </c>
      <c r="K102">
        <f>VLOOKUP($C102,'[1]PoB WN'!$C$1:$T$898,18,FALSE)</f>
        <v>117</v>
      </c>
      <c r="L102">
        <f>VLOOKUP($C102,'[1]PoB WH'!$C$1:$T$898,17,FALSE)</f>
        <v>8</v>
      </c>
      <c r="M102">
        <f>VLOOKUP($C102,'[1]PoB WH'!$C$1:$T$898,18,FALSE)</f>
        <v>0</v>
      </c>
      <c r="N102">
        <f>VLOOKUP($C102,'[1]PoB AA'!$C$1:$T$898,17,FALSE)</f>
        <v>24</v>
      </c>
      <c r="O102">
        <f>VLOOKUP($C102,'[1]PoB AA'!$C$1:$T$898,18,FALSE)</f>
        <v>0</v>
      </c>
      <c r="P102">
        <f>VLOOKUP($C102,'[1]PoB AI'!$C$1:$T$898,17,FALSE)</f>
        <v>33</v>
      </c>
      <c r="Q102">
        <f>VLOOKUP($C102,'[1]PoB AI'!$C$1:$T$898,18,FALSE)</f>
        <v>0</v>
      </c>
      <c r="R102">
        <f>VLOOKUP($C102,'[1]PoB AS'!$C$1:$T$898,17,FALSE)</f>
        <v>80</v>
      </c>
      <c r="S102">
        <f>VLOOKUP($C102,'[1]PoB AS'!$C$1:$T$898,18,FALSE)</f>
        <v>17</v>
      </c>
      <c r="T102">
        <f>VLOOKUP($C102,'[1]PoB PI'!$C$1:$T$898,17,FALSE)</f>
        <v>53</v>
      </c>
      <c r="U102">
        <f>VLOOKUP($C102,'[1]PoB PI'!$C$1:$T$898,18,FALSE)</f>
        <v>0</v>
      </c>
      <c r="V102">
        <f>VLOOKUP($C102,'[1]PoB OT'!$C$1:$T$898,17,FALSE)</f>
        <v>56</v>
      </c>
      <c r="W102">
        <f>VLOOKUP($C102,'[1]PoB OT'!$C$1:$T$898,18,FALSE)</f>
        <v>16</v>
      </c>
      <c r="X102">
        <f>VLOOKUP($C102,'[1]PoB 2R'!$C$1:$T$898,17,FALSE)</f>
        <v>191</v>
      </c>
      <c r="Y102">
        <f>VLOOKUP($C102,'[1]PoB 2R'!$C$1:$T$898,18,FALSE)</f>
        <v>26</v>
      </c>
    </row>
    <row r="103" spans="1:25" x14ac:dyDescent="0.25">
      <c r="A103" t="s">
        <v>504</v>
      </c>
      <c r="B103">
        <v>5315185</v>
      </c>
      <c r="C103" t="s">
        <v>505</v>
      </c>
      <c r="D103">
        <f t="shared" si="3"/>
        <v>1738</v>
      </c>
      <c r="E103">
        <f>VLOOKUP($C103,'[1]PoB Totals'!$C$3:$T$898,17,FALSE)</f>
        <v>1587</v>
      </c>
      <c r="F103">
        <f>VLOOKUP($C103,'[1]PoB Totals'!$C$3:$T$898,18,FALSE)</f>
        <v>151</v>
      </c>
      <c r="G103">
        <f t="shared" si="4"/>
        <v>1738</v>
      </c>
      <c r="H103">
        <f t="shared" si="5"/>
        <v>1587</v>
      </c>
      <c r="I103">
        <f t="shared" si="5"/>
        <v>151</v>
      </c>
      <c r="J103">
        <f>VLOOKUP($C103,'[1]PoB WN'!$C$1:$T$898,17,FALSE)</f>
        <v>1444</v>
      </c>
      <c r="K103">
        <f>VLOOKUP($C103,'[1]PoB WN'!$C$1:$T$898,18,FALSE)</f>
        <v>76</v>
      </c>
      <c r="L103">
        <f>VLOOKUP($C103,'[1]PoB WH'!$C$1:$T$898,17,FALSE)</f>
        <v>36</v>
      </c>
      <c r="M103">
        <f>VLOOKUP($C103,'[1]PoB WH'!$C$1:$T$898,18,FALSE)</f>
        <v>10</v>
      </c>
      <c r="N103">
        <f>VLOOKUP($C103,'[1]PoB AA'!$C$1:$T$898,17,FALSE)</f>
        <v>26</v>
      </c>
      <c r="O103">
        <f>VLOOKUP($C103,'[1]PoB AA'!$C$1:$T$898,18,FALSE)</f>
        <v>1</v>
      </c>
      <c r="P103">
        <f>VLOOKUP($C103,'[1]PoB AI'!$C$1:$T$898,17,FALSE)</f>
        <v>8</v>
      </c>
      <c r="Q103">
        <f>VLOOKUP($C103,'[1]PoB AI'!$C$1:$T$898,18,FALSE)</f>
        <v>0</v>
      </c>
      <c r="R103">
        <f>VLOOKUP($C103,'[1]PoB AS'!$C$1:$T$898,17,FALSE)</f>
        <v>28</v>
      </c>
      <c r="S103">
        <f>VLOOKUP($C103,'[1]PoB AS'!$C$1:$T$898,18,FALSE)</f>
        <v>24</v>
      </c>
      <c r="T103">
        <f>VLOOKUP($C103,'[1]PoB PI'!$C$1:$T$898,17,FALSE)</f>
        <v>0</v>
      </c>
      <c r="U103">
        <f>VLOOKUP($C103,'[1]PoB PI'!$C$1:$T$898,18,FALSE)</f>
        <v>0</v>
      </c>
      <c r="V103">
        <f>VLOOKUP($C103,'[1]PoB OT'!$C$1:$T$898,17,FALSE)</f>
        <v>2</v>
      </c>
      <c r="W103">
        <f>VLOOKUP($C103,'[1]PoB OT'!$C$1:$T$898,18,FALSE)</f>
        <v>38</v>
      </c>
      <c r="X103">
        <f>VLOOKUP($C103,'[1]PoB 2R'!$C$1:$T$898,17,FALSE)</f>
        <v>43</v>
      </c>
      <c r="Y103">
        <f>VLOOKUP($C103,'[1]PoB 2R'!$C$1:$T$898,18,FALSE)</f>
        <v>2</v>
      </c>
    </row>
    <row r="104" spans="1:25" x14ac:dyDescent="0.25">
      <c r="A104" t="s">
        <v>506</v>
      </c>
      <c r="B104">
        <v>5315290</v>
      </c>
      <c r="C104" t="s">
        <v>507</v>
      </c>
      <c r="D104">
        <f t="shared" si="3"/>
        <v>13768</v>
      </c>
      <c r="E104">
        <f>VLOOKUP($C104,'[1]PoB Totals'!$C$3:$T$898,17,FALSE)</f>
        <v>12779</v>
      </c>
      <c r="F104">
        <f>VLOOKUP($C104,'[1]PoB Totals'!$C$3:$T$898,18,FALSE)</f>
        <v>989</v>
      </c>
      <c r="G104">
        <f t="shared" si="4"/>
        <v>13768</v>
      </c>
      <c r="H104">
        <f t="shared" si="5"/>
        <v>12779</v>
      </c>
      <c r="I104">
        <f t="shared" si="5"/>
        <v>989</v>
      </c>
      <c r="J104">
        <f>VLOOKUP($C104,'[1]PoB WN'!$C$1:$T$898,17,FALSE)</f>
        <v>11286</v>
      </c>
      <c r="K104">
        <f>VLOOKUP($C104,'[1]PoB WN'!$C$1:$T$898,18,FALSE)</f>
        <v>601</v>
      </c>
      <c r="L104">
        <f>VLOOKUP($C104,'[1]PoB WH'!$C$1:$T$898,17,FALSE)</f>
        <v>224</v>
      </c>
      <c r="M104">
        <f>VLOOKUP($C104,'[1]PoB WH'!$C$1:$T$898,18,FALSE)</f>
        <v>9</v>
      </c>
      <c r="N104">
        <f>VLOOKUP($C104,'[1]PoB AA'!$C$1:$T$898,17,FALSE)</f>
        <v>297</v>
      </c>
      <c r="O104">
        <f>VLOOKUP($C104,'[1]PoB AA'!$C$1:$T$898,18,FALSE)</f>
        <v>7</v>
      </c>
      <c r="P104">
        <f>VLOOKUP($C104,'[1]PoB AI'!$C$1:$T$898,17,FALSE)</f>
        <v>41</v>
      </c>
      <c r="Q104">
        <f>VLOOKUP($C104,'[1]PoB AI'!$C$1:$T$898,18,FALSE)</f>
        <v>8</v>
      </c>
      <c r="R104">
        <f>VLOOKUP($C104,'[1]PoB AS'!$C$1:$T$898,17,FALSE)</f>
        <v>137</v>
      </c>
      <c r="S104">
        <f>VLOOKUP($C104,'[1]PoB AS'!$C$1:$T$898,18,FALSE)</f>
        <v>221</v>
      </c>
      <c r="T104">
        <f>VLOOKUP($C104,'[1]PoB PI'!$C$1:$T$898,17,FALSE)</f>
        <v>30</v>
      </c>
      <c r="U104">
        <f>VLOOKUP($C104,'[1]PoB PI'!$C$1:$T$898,18,FALSE)</f>
        <v>19</v>
      </c>
      <c r="V104">
        <f>VLOOKUP($C104,'[1]PoB OT'!$C$1:$T$898,17,FALSE)</f>
        <v>250</v>
      </c>
      <c r="W104">
        <f>VLOOKUP($C104,'[1]PoB OT'!$C$1:$T$898,18,FALSE)</f>
        <v>77</v>
      </c>
      <c r="X104">
        <f>VLOOKUP($C104,'[1]PoB 2R'!$C$1:$T$898,17,FALSE)</f>
        <v>514</v>
      </c>
      <c r="Y104">
        <f>VLOOKUP($C104,'[1]PoB 2R'!$C$1:$T$898,18,FALSE)</f>
        <v>47</v>
      </c>
    </row>
    <row r="105" spans="1:25" x14ac:dyDescent="0.25">
      <c r="A105" t="s">
        <v>510</v>
      </c>
      <c r="B105">
        <v>5315710</v>
      </c>
      <c r="C105" t="s">
        <v>511</v>
      </c>
      <c r="D105">
        <f t="shared" si="3"/>
        <v>230</v>
      </c>
      <c r="E105">
        <f>VLOOKUP($C105,'[1]PoB Totals'!$C$3:$T$898,17,FALSE)</f>
        <v>230</v>
      </c>
      <c r="F105">
        <f>VLOOKUP($C105,'[1]PoB Totals'!$C$3:$T$898,18,FALSE)</f>
        <v>0</v>
      </c>
      <c r="G105">
        <f t="shared" si="4"/>
        <v>230</v>
      </c>
      <c r="H105">
        <f t="shared" si="5"/>
        <v>230</v>
      </c>
      <c r="I105">
        <f t="shared" si="5"/>
        <v>0</v>
      </c>
      <c r="J105">
        <f>VLOOKUP($C105,'[1]PoB WN'!$C$1:$T$898,17,FALSE)</f>
        <v>208</v>
      </c>
      <c r="K105">
        <f>VLOOKUP($C105,'[1]PoB WN'!$C$1:$T$898,18,FALSE)</f>
        <v>0</v>
      </c>
      <c r="L105">
        <f>VLOOKUP($C105,'[1]PoB WH'!$C$1:$T$898,17,FALSE)</f>
        <v>0</v>
      </c>
      <c r="M105">
        <f>VLOOKUP($C105,'[1]PoB WH'!$C$1:$T$898,18,FALSE)</f>
        <v>0</v>
      </c>
      <c r="N105">
        <f>VLOOKUP($C105,'[1]PoB AA'!$C$1:$T$898,17,FALSE)</f>
        <v>4</v>
      </c>
      <c r="O105">
        <f>VLOOKUP($C105,'[1]PoB AA'!$C$1:$T$898,18,FALSE)</f>
        <v>0</v>
      </c>
      <c r="P105">
        <f>VLOOKUP($C105,'[1]PoB AI'!$C$1:$T$898,17,FALSE)</f>
        <v>15</v>
      </c>
      <c r="Q105">
        <f>VLOOKUP($C105,'[1]PoB AI'!$C$1:$T$898,18,FALSE)</f>
        <v>0</v>
      </c>
      <c r="R105">
        <f>VLOOKUP($C105,'[1]PoB AS'!$C$1:$T$898,17,FALSE)</f>
        <v>0</v>
      </c>
      <c r="S105">
        <f>VLOOKUP($C105,'[1]PoB AS'!$C$1:$T$898,18,FALSE)</f>
        <v>0</v>
      </c>
      <c r="T105">
        <f>VLOOKUP($C105,'[1]PoB PI'!$C$1:$T$898,17,FALSE)</f>
        <v>0</v>
      </c>
      <c r="U105">
        <f>VLOOKUP($C105,'[1]PoB PI'!$C$1:$T$898,18,FALSE)</f>
        <v>0</v>
      </c>
      <c r="V105">
        <f>VLOOKUP($C105,'[1]PoB OT'!$C$1:$T$898,17,FALSE)</f>
        <v>0</v>
      </c>
      <c r="W105">
        <f>VLOOKUP($C105,'[1]PoB OT'!$C$1:$T$898,18,FALSE)</f>
        <v>0</v>
      </c>
      <c r="X105">
        <f>VLOOKUP($C105,'[1]PoB 2R'!$C$1:$T$898,17,FALSE)</f>
        <v>3</v>
      </c>
      <c r="Y105">
        <f>VLOOKUP($C105,'[1]PoB 2R'!$C$1:$T$898,18,FALSE)</f>
        <v>0</v>
      </c>
    </row>
    <row r="106" spans="1:25" x14ac:dyDescent="0.25">
      <c r="A106" t="s">
        <v>518</v>
      </c>
      <c r="B106">
        <v>5316340</v>
      </c>
      <c r="C106" t="s">
        <v>519</v>
      </c>
      <c r="D106">
        <f t="shared" si="3"/>
        <v>211</v>
      </c>
      <c r="E106">
        <f>VLOOKUP($C106,'[1]PoB Totals'!$C$3:$T$898,17,FALSE)</f>
        <v>211</v>
      </c>
      <c r="F106">
        <f>VLOOKUP($C106,'[1]PoB Totals'!$C$3:$T$898,18,FALSE)</f>
        <v>0</v>
      </c>
      <c r="G106">
        <f t="shared" si="4"/>
        <v>211</v>
      </c>
      <c r="H106">
        <f t="shared" si="5"/>
        <v>211</v>
      </c>
      <c r="I106">
        <f t="shared" si="5"/>
        <v>0</v>
      </c>
      <c r="J106">
        <f>VLOOKUP($C106,'[1]PoB WN'!$C$1:$T$898,17,FALSE)</f>
        <v>195</v>
      </c>
      <c r="K106">
        <f>VLOOKUP($C106,'[1]PoB WN'!$C$1:$T$898,18,FALSE)</f>
        <v>0</v>
      </c>
      <c r="L106">
        <f>VLOOKUP($C106,'[1]PoB WH'!$C$1:$T$898,17,FALSE)</f>
        <v>0</v>
      </c>
      <c r="M106">
        <f>VLOOKUP($C106,'[1]PoB WH'!$C$1:$T$898,18,FALSE)</f>
        <v>0</v>
      </c>
      <c r="N106">
        <f>VLOOKUP($C106,'[1]PoB AA'!$C$1:$T$898,17,FALSE)</f>
        <v>0</v>
      </c>
      <c r="O106">
        <f>VLOOKUP($C106,'[1]PoB AA'!$C$1:$T$898,18,FALSE)</f>
        <v>0</v>
      </c>
      <c r="P106">
        <f>VLOOKUP($C106,'[1]PoB AI'!$C$1:$T$898,17,FALSE)</f>
        <v>11</v>
      </c>
      <c r="Q106">
        <f>VLOOKUP($C106,'[1]PoB AI'!$C$1:$T$898,18,FALSE)</f>
        <v>0</v>
      </c>
      <c r="R106">
        <f>VLOOKUP($C106,'[1]PoB AS'!$C$1:$T$898,17,FALSE)</f>
        <v>0</v>
      </c>
      <c r="S106">
        <f>VLOOKUP($C106,'[1]PoB AS'!$C$1:$T$898,18,FALSE)</f>
        <v>0</v>
      </c>
      <c r="T106">
        <f>VLOOKUP($C106,'[1]PoB PI'!$C$1:$T$898,17,FALSE)</f>
        <v>0</v>
      </c>
      <c r="U106">
        <f>VLOOKUP($C106,'[1]PoB PI'!$C$1:$T$898,18,FALSE)</f>
        <v>0</v>
      </c>
      <c r="V106">
        <f>VLOOKUP($C106,'[1]PoB OT'!$C$1:$T$898,17,FALSE)</f>
        <v>0</v>
      </c>
      <c r="W106">
        <f>VLOOKUP($C106,'[1]PoB OT'!$C$1:$T$898,18,FALSE)</f>
        <v>0</v>
      </c>
      <c r="X106">
        <f>VLOOKUP($C106,'[1]PoB 2R'!$C$1:$T$898,17,FALSE)</f>
        <v>5</v>
      </c>
      <c r="Y106">
        <f>VLOOKUP($C106,'[1]PoB 2R'!$C$1:$T$898,18,FALSE)</f>
        <v>0</v>
      </c>
    </row>
    <row r="107" spans="1:25" x14ac:dyDescent="0.25">
      <c r="A107" t="s">
        <v>520</v>
      </c>
      <c r="B107">
        <v>5316375</v>
      </c>
      <c r="C107" t="s">
        <v>521</v>
      </c>
      <c r="D107">
        <f t="shared" si="3"/>
        <v>188</v>
      </c>
      <c r="E107">
        <f>VLOOKUP($C107,'[1]PoB Totals'!$C$3:$T$898,17,FALSE)</f>
        <v>182</v>
      </c>
      <c r="F107">
        <f>VLOOKUP($C107,'[1]PoB Totals'!$C$3:$T$898,18,FALSE)</f>
        <v>6</v>
      </c>
      <c r="G107">
        <f t="shared" si="4"/>
        <v>188</v>
      </c>
      <c r="H107">
        <f t="shared" si="5"/>
        <v>182</v>
      </c>
      <c r="I107">
        <f t="shared" si="5"/>
        <v>6</v>
      </c>
      <c r="J107">
        <f>VLOOKUP($C107,'[1]PoB WN'!$C$1:$T$898,17,FALSE)</f>
        <v>162</v>
      </c>
      <c r="K107">
        <f>VLOOKUP($C107,'[1]PoB WN'!$C$1:$T$898,18,FALSE)</f>
        <v>6</v>
      </c>
      <c r="L107">
        <f>VLOOKUP($C107,'[1]PoB WH'!$C$1:$T$898,17,FALSE)</f>
        <v>0</v>
      </c>
      <c r="M107">
        <f>VLOOKUP($C107,'[1]PoB WH'!$C$1:$T$898,18,FALSE)</f>
        <v>0</v>
      </c>
      <c r="N107">
        <f>VLOOKUP($C107,'[1]PoB AA'!$C$1:$T$898,17,FALSE)</f>
        <v>0</v>
      </c>
      <c r="O107">
        <f>VLOOKUP($C107,'[1]PoB AA'!$C$1:$T$898,18,FALSE)</f>
        <v>0</v>
      </c>
      <c r="P107">
        <f>VLOOKUP($C107,'[1]PoB AI'!$C$1:$T$898,17,FALSE)</f>
        <v>0</v>
      </c>
      <c r="Q107">
        <f>VLOOKUP($C107,'[1]PoB AI'!$C$1:$T$898,18,FALSE)</f>
        <v>0</v>
      </c>
      <c r="R107">
        <f>VLOOKUP($C107,'[1]PoB AS'!$C$1:$T$898,17,FALSE)</f>
        <v>0</v>
      </c>
      <c r="S107">
        <f>VLOOKUP($C107,'[1]PoB AS'!$C$1:$T$898,18,FALSE)</f>
        <v>0</v>
      </c>
      <c r="T107">
        <f>VLOOKUP($C107,'[1]PoB PI'!$C$1:$T$898,17,FALSE)</f>
        <v>0</v>
      </c>
      <c r="U107">
        <f>VLOOKUP($C107,'[1]PoB PI'!$C$1:$T$898,18,FALSE)</f>
        <v>0</v>
      </c>
      <c r="V107">
        <f>VLOOKUP($C107,'[1]PoB OT'!$C$1:$T$898,17,FALSE)</f>
        <v>0</v>
      </c>
      <c r="W107">
        <f>VLOOKUP($C107,'[1]PoB OT'!$C$1:$T$898,18,FALSE)</f>
        <v>0</v>
      </c>
      <c r="X107">
        <f>VLOOKUP($C107,'[1]PoB 2R'!$C$1:$T$898,17,FALSE)</f>
        <v>20</v>
      </c>
      <c r="Y107">
        <f>VLOOKUP($C107,'[1]PoB 2R'!$C$1:$T$898,18,FALSE)</f>
        <v>0</v>
      </c>
    </row>
    <row r="108" spans="1:25" x14ac:dyDescent="0.25">
      <c r="A108" t="s">
        <v>522</v>
      </c>
      <c r="B108">
        <v>5316550</v>
      </c>
      <c r="C108" t="s">
        <v>523</v>
      </c>
      <c r="D108">
        <f t="shared" si="3"/>
        <v>1241</v>
      </c>
      <c r="E108">
        <f>VLOOKUP($C108,'[1]PoB Totals'!$C$3:$T$898,17,FALSE)</f>
        <v>1164</v>
      </c>
      <c r="F108">
        <f>VLOOKUP($C108,'[1]PoB Totals'!$C$3:$T$898,18,FALSE)</f>
        <v>77</v>
      </c>
      <c r="G108">
        <f t="shared" si="4"/>
        <v>1241</v>
      </c>
      <c r="H108">
        <f t="shared" si="5"/>
        <v>1164</v>
      </c>
      <c r="I108">
        <f t="shared" si="5"/>
        <v>77</v>
      </c>
      <c r="J108">
        <f>VLOOKUP($C108,'[1]PoB WN'!$C$1:$T$898,17,FALSE)</f>
        <v>1057</v>
      </c>
      <c r="K108">
        <f>VLOOKUP($C108,'[1]PoB WN'!$C$1:$T$898,18,FALSE)</f>
        <v>32</v>
      </c>
      <c r="L108">
        <f>VLOOKUP($C108,'[1]PoB WH'!$C$1:$T$898,17,FALSE)</f>
        <v>5</v>
      </c>
      <c r="M108">
        <f>VLOOKUP($C108,'[1]PoB WH'!$C$1:$T$898,18,FALSE)</f>
        <v>0</v>
      </c>
      <c r="N108">
        <f>VLOOKUP($C108,'[1]PoB AA'!$C$1:$T$898,17,FALSE)</f>
        <v>4</v>
      </c>
      <c r="O108">
        <f>VLOOKUP($C108,'[1]PoB AA'!$C$1:$T$898,18,FALSE)</f>
        <v>0</v>
      </c>
      <c r="P108">
        <f>VLOOKUP($C108,'[1]PoB AI'!$C$1:$T$898,17,FALSE)</f>
        <v>21</v>
      </c>
      <c r="Q108">
        <f>VLOOKUP($C108,'[1]PoB AI'!$C$1:$T$898,18,FALSE)</f>
        <v>0</v>
      </c>
      <c r="R108">
        <f>VLOOKUP($C108,'[1]PoB AS'!$C$1:$T$898,17,FALSE)</f>
        <v>9</v>
      </c>
      <c r="S108">
        <f>VLOOKUP($C108,'[1]PoB AS'!$C$1:$T$898,18,FALSE)</f>
        <v>5</v>
      </c>
      <c r="T108">
        <f>VLOOKUP($C108,'[1]PoB PI'!$C$1:$T$898,17,FALSE)</f>
        <v>0</v>
      </c>
      <c r="U108">
        <f>VLOOKUP($C108,'[1]PoB PI'!$C$1:$T$898,18,FALSE)</f>
        <v>0</v>
      </c>
      <c r="V108">
        <f>VLOOKUP($C108,'[1]PoB OT'!$C$1:$T$898,17,FALSE)</f>
        <v>29</v>
      </c>
      <c r="W108">
        <f>VLOOKUP($C108,'[1]PoB OT'!$C$1:$T$898,18,FALSE)</f>
        <v>36</v>
      </c>
      <c r="X108">
        <f>VLOOKUP($C108,'[1]PoB 2R'!$C$1:$T$898,17,FALSE)</f>
        <v>39</v>
      </c>
      <c r="Y108">
        <f>VLOOKUP($C108,'[1]PoB 2R'!$C$1:$T$898,18,FALSE)</f>
        <v>4</v>
      </c>
    </row>
    <row r="109" spans="1:25" x14ac:dyDescent="0.25">
      <c r="A109" t="s">
        <v>526</v>
      </c>
      <c r="B109">
        <v>5316690</v>
      </c>
      <c r="C109" t="s">
        <v>527</v>
      </c>
      <c r="D109">
        <f t="shared" si="3"/>
        <v>1169</v>
      </c>
      <c r="E109">
        <f>VLOOKUP($C109,'[1]PoB Totals'!$C$3:$T$898,17,FALSE)</f>
        <v>1137</v>
      </c>
      <c r="F109">
        <f>VLOOKUP($C109,'[1]PoB Totals'!$C$3:$T$898,18,FALSE)</f>
        <v>32</v>
      </c>
      <c r="G109">
        <f t="shared" si="4"/>
        <v>1169</v>
      </c>
      <c r="H109">
        <f t="shared" si="5"/>
        <v>1137</v>
      </c>
      <c r="I109">
        <f t="shared" si="5"/>
        <v>32</v>
      </c>
      <c r="J109">
        <f>VLOOKUP($C109,'[1]PoB WN'!$C$1:$T$898,17,FALSE)</f>
        <v>1083</v>
      </c>
      <c r="K109">
        <f>VLOOKUP($C109,'[1]PoB WN'!$C$1:$T$898,18,FALSE)</f>
        <v>27</v>
      </c>
      <c r="L109">
        <f>VLOOKUP($C109,'[1]PoB WH'!$C$1:$T$898,17,FALSE)</f>
        <v>5</v>
      </c>
      <c r="M109">
        <f>VLOOKUP($C109,'[1]PoB WH'!$C$1:$T$898,18,FALSE)</f>
        <v>5</v>
      </c>
      <c r="N109">
        <f>VLOOKUP($C109,'[1]PoB AA'!$C$1:$T$898,17,FALSE)</f>
        <v>0</v>
      </c>
      <c r="O109">
        <f>VLOOKUP($C109,'[1]PoB AA'!$C$1:$T$898,18,FALSE)</f>
        <v>0</v>
      </c>
      <c r="P109">
        <f>VLOOKUP($C109,'[1]PoB AI'!$C$1:$T$898,17,FALSE)</f>
        <v>17</v>
      </c>
      <c r="Q109">
        <f>VLOOKUP($C109,'[1]PoB AI'!$C$1:$T$898,18,FALSE)</f>
        <v>0</v>
      </c>
      <c r="R109">
        <f>VLOOKUP($C109,'[1]PoB AS'!$C$1:$T$898,17,FALSE)</f>
        <v>3</v>
      </c>
      <c r="S109">
        <f>VLOOKUP($C109,'[1]PoB AS'!$C$1:$T$898,18,FALSE)</f>
        <v>0</v>
      </c>
      <c r="T109">
        <f>VLOOKUP($C109,'[1]PoB PI'!$C$1:$T$898,17,FALSE)</f>
        <v>2</v>
      </c>
      <c r="U109">
        <f>VLOOKUP($C109,'[1]PoB PI'!$C$1:$T$898,18,FALSE)</f>
        <v>0</v>
      </c>
      <c r="V109">
        <f>VLOOKUP($C109,'[1]PoB OT'!$C$1:$T$898,17,FALSE)</f>
        <v>0</v>
      </c>
      <c r="W109">
        <f>VLOOKUP($C109,'[1]PoB OT'!$C$1:$T$898,18,FALSE)</f>
        <v>0</v>
      </c>
      <c r="X109">
        <f>VLOOKUP($C109,'[1]PoB 2R'!$C$1:$T$898,17,FALSE)</f>
        <v>27</v>
      </c>
      <c r="Y109">
        <f>VLOOKUP($C109,'[1]PoB 2R'!$C$1:$T$898,18,FALSE)</f>
        <v>0</v>
      </c>
    </row>
    <row r="110" spans="1:25" x14ac:dyDescent="0.25">
      <c r="A110" t="s">
        <v>530</v>
      </c>
      <c r="B110">
        <v>5316795</v>
      </c>
      <c r="C110" t="s">
        <v>531</v>
      </c>
      <c r="D110">
        <f t="shared" si="3"/>
        <v>1738</v>
      </c>
      <c r="E110">
        <f>VLOOKUP($C110,'[1]PoB Totals'!$C$3:$T$898,17,FALSE)</f>
        <v>1702</v>
      </c>
      <c r="F110">
        <f>VLOOKUP($C110,'[1]PoB Totals'!$C$3:$T$898,18,FALSE)</f>
        <v>36</v>
      </c>
      <c r="G110">
        <f t="shared" si="4"/>
        <v>1738</v>
      </c>
      <c r="H110">
        <f t="shared" si="5"/>
        <v>1702</v>
      </c>
      <c r="I110">
        <f t="shared" si="5"/>
        <v>36</v>
      </c>
      <c r="J110">
        <f>VLOOKUP($C110,'[1]PoB WN'!$C$1:$T$898,17,FALSE)</f>
        <v>1633</v>
      </c>
      <c r="K110">
        <f>VLOOKUP($C110,'[1]PoB WN'!$C$1:$T$898,18,FALSE)</f>
        <v>32</v>
      </c>
      <c r="L110">
        <f>VLOOKUP($C110,'[1]PoB WH'!$C$1:$T$898,17,FALSE)</f>
        <v>15</v>
      </c>
      <c r="M110">
        <f>VLOOKUP($C110,'[1]PoB WH'!$C$1:$T$898,18,FALSE)</f>
        <v>0</v>
      </c>
      <c r="N110">
        <f>VLOOKUP($C110,'[1]PoB AA'!$C$1:$T$898,17,FALSE)</f>
        <v>4</v>
      </c>
      <c r="O110">
        <f>VLOOKUP($C110,'[1]PoB AA'!$C$1:$T$898,18,FALSE)</f>
        <v>0</v>
      </c>
      <c r="P110">
        <f>VLOOKUP($C110,'[1]PoB AI'!$C$1:$T$898,17,FALSE)</f>
        <v>15</v>
      </c>
      <c r="Q110">
        <f>VLOOKUP($C110,'[1]PoB AI'!$C$1:$T$898,18,FALSE)</f>
        <v>2</v>
      </c>
      <c r="R110">
        <f>VLOOKUP($C110,'[1]PoB AS'!$C$1:$T$898,17,FALSE)</f>
        <v>0</v>
      </c>
      <c r="S110">
        <f>VLOOKUP($C110,'[1]PoB AS'!$C$1:$T$898,18,FALSE)</f>
        <v>0</v>
      </c>
      <c r="T110">
        <f>VLOOKUP($C110,'[1]PoB PI'!$C$1:$T$898,17,FALSE)</f>
        <v>0</v>
      </c>
      <c r="U110">
        <f>VLOOKUP($C110,'[1]PoB PI'!$C$1:$T$898,18,FALSE)</f>
        <v>0</v>
      </c>
      <c r="V110">
        <f>VLOOKUP($C110,'[1]PoB OT'!$C$1:$T$898,17,FALSE)</f>
        <v>7</v>
      </c>
      <c r="W110">
        <f>VLOOKUP($C110,'[1]PoB OT'!$C$1:$T$898,18,FALSE)</f>
        <v>0</v>
      </c>
      <c r="X110">
        <f>VLOOKUP($C110,'[1]PoB 2R'!$C$1:$T$898,17,FALSE)</f>
        <v>28</v>
      </c>
      <c r="Y110">
        <f>VLOOKUP($C110,'[1]PoB 2R'!$C$1:$T$898,18,FALSE)</f>
        <v>2</v>
      </c>
    </row>
    <row r="111" spans="1:25" x14ac:dyDescent="0.25">
      <c r="A111" t="s">
        <v>532</v>
      </c>
      <c r="B111">
        <v>5316970</v>
      </c>
      <c r="C111" t="s">
        <v>533</v>
      </c>
      <c r="D111">
        <f t="shared" si="3"/>
        <v>2650</v>
      </c>
      <c r="E111">
        <f>VLOOKUP($C111,'[1]PoB Totals'!$C$3:$T$898,17,FALSE)</f>
        <v>2520</v>
      </c>
      <c r="F111">
        <f>VLOOKUP($C111,'[1]PoB Totals'!$C$3:$T$898,18,FALSE)</f>
        <v>130</v>
      </c>
      <c r="G111">
        <f t="shared" si="4"/>
        <v>2650</v>
      </c>
      <c r="H111">
        <f t="shared" si="5"/>
        <v>2520</v>
      </c>
      <c r="I111">
        <f t="shared" si="5"/>
        <v>130</v>
      </c>
      <c r="J111">
        <f>VLOOKUP($C111,'[1]PoB WN'!$C$1:$T$898,17,FALSE)</f>
        <v>2275</v>
      </c>
      <c r="K111">
        <f>VLOOKUP($C111,'[1]PoB WN'!$C$1:$T$898,18,FALSE)</f>
        <v>36</v>
      </c>
      <c r="L111">
        <f>VLOOKUP($C111,'[1]PoB WH'!$C$1:$T$898,17,FALSE)</f>
        <v>77</v>
      </c>
      <c r="M111">
        <f>VLOOKUP($C111,'[1]PoB WH'!$C$1:$T$898,18,FALSE)</f>
        <v>12</v>
      </c>
      <c r="N111">
        <f>VLOOKUP($C111,'[1]PoB AA'!$C$1:$T$898,17,FALSE)</f>
        <v>0</v>
      </c>
      <c r="O111">
        <f>VLOOKUP($C111,'[1]PoB AA'!$C$1:$T$898,18,FALSE)</f>
        <v>0</v>
      </c>
      <c r="P111">
        <f>VLOOKUP($C111,'[1]PoB AI'!$C$1:$T$898,17,FALSE)</f>
        <v>23</v>
      </c>
      <c r="Q111">
        <f>VLOOKUP($C111,'[1]PoB AI'!$C$1:$T$898,18,FALSE)</f>
        <v>0</v>
      </c>
      <c r="R111">
        <f>VLOOKUP($C111,'[1]PoB AS'!$C$1:$T$898,17,FALSE)</f>
        <v>11</v>
      </c>
      <c r="S111">
        <f>VLOOKUP($C111,'[1]PoB AS'!$C$1:$T$898,18,FALSE)</f>
        <v>14</v>
      </c>
      <c r="T111">
        <f>VLOOKUP($C111,'[1]PoB PI'!$C$1:$T$898,17,FALSE)</f>
        <v>0</v>
      </c>
      <c r="U111">
        <f>VLOOKUP($C111,'[1]PoB PI'!$C$1:$T$898,18,FALSE)</f>
        <v>0</v>
      </c>
      <c r="V111">
        <f>VLOOKUP($C111,'[1]PoB OT'!$C$1:$T$898,17,FALSE)</f>
        <v>80</v>
      </c>
      <c r="W111">
        <f>VLOOKUP($C111,'[1]PoB OT'!$C$1:$T$898,18,FALSE)</f>
        <v>65</v>
      </c>
      <c r="X111">
        <f>VLOOKUP($C111,'[1]PoB 2R'!$C$1:$T$898,17,FALSE)</f>
        <v>54</v>
      </c>
      <c r="Y111">
        <f>VLOOKUP($C111,'[1]PoB 2R'!$C$1:$T$898,18,FALSE)</f>
        <v>3</v>
      </c>
    </row>
    <row r="112" spans="1:25" x14ac:dyDescent="0.25">
      <c r="A112" t="s">
        <v>536</v>
      </c>
      <c r="B112">
        <v>5317320</v>
      </c>
      <c r="C112" t="s">
        <v>537</v>
      </c>
      <c r="D112">
        <f t="shared" si="3"/>
        <v>3028</v>
      </c>
      <c r="E112">
        <f>VLOOKUP($C112,'[1]PoB Totals'!$C$3:$T$898,17,FALSE)</f>
        <v>2954</v>
      </c>
      <c r="F112">
        <f>VLOOKUP($C112,'[1]PoB Totals'!$C$3:$T$898,18,FALSE)</f>
        <v>74</v>
      </c>
      <c r="G112">
        <f t="shared" si="4"/>
        <v>3028</v>
      </c>
      <c r="H112">
        <f t="shared" si="5"/>
        <v>2954</v>
      </c>
      <c r="I112">
        <f t="shared" si="5"/>
        <v>74</v>
      </c>
      <c r="J112">
        <f>VLOOKUP($C112,'[1]PoB WN'!$C$1:$T$898,17,FALSE)</f>
        <v>2780</v>
      </c>
      <c r="K112">
        <f>VLOOKUP($C112,'[1]PoB WN'!$C$1:$T$898,18,FALSE)</f>
        <v>59</v>
      </c>
      <c r="L112">
        <f>VLOOKUP($C112,'[1]PoB WH'!$C$1:$T$898,17,FALSE)</f>
        <v>29</v>
      </c>
      <c r="M112">
        <f>VLOOKUP($C112,'[1]PoB WH'!$C$1:$T$898,18,FALSE)</f>
        <v>5</v>
      </c>
      <c r="N112">
        <f>VLOOKUP($C112,'[1]PoB AA'!$C$1:$T$898,17,FALSE)</f>
        <v>4</v>
      </c>
      <c r="O112">
        <f>VLOOKUP($C112,'[1]PoB AA'!$C$1:$T$898,18,FALSE)</f>
        <v>0</v>
      </c>
      <c r="P112">
        <f>VLOOKUP($C112,'[1]PoB AI'!$C$1:$T$898,17,FALSE)</f>
        <v>45</v>
      </c>
      <c r="Q112">
        <f>VLOOKUP($C112,'[1]PoB AI'!$C$1:$T$898,18,FALSE)</f>
        <v>0</v>
      </c>
      <c r="R112">
        <f>VLOOKUP($C112,'[1]PoB AS'!$C$1:$T$898,17,FALSE)</f>
        <v>0</v>
      </c>
      <c r="S112">
        <f>VLOOKUP($C112,'[1]PoB AS'!$C$1:$T$898,18,FALSE)</f>
        <v>0</v>
      </c>
      <c r="T112">
        <f>VLOOKUP($C112,'[1]PoB PI'!$C$1:$T$898,17,FALSE)</f>
        <v>0</v>
      </c>
      <c r="U112">
        <f>VLOOKUP($C112,'[1]PoB PI'!$C$1:$T$898,18,FALSE)</f>
        <v>0</v>
      </c>
      <c r="V112">
        <f>VLOOKUP($C112,'[1]PoB OT'!$C$1:$T$898,17,FALSE)</f>
        <v>34</v>
      </c>
      <c r="W112">
        <f>VLOOKUP($C112,'[1]PoB OT'!$C$1:$T$898,18,FALSE)</f>
        <v>10</v>
      </c>
      <c r="X112">
        <f>VLOOKUP($C112,'[1]PoB 2R'!$C$1:$T$898,17,FALSE)</f>
        <v>62</v>
      </c>
      <c r="Y112">
        <f>VLOOKUP($C112,'[1]PoB 2R'!$C$1:$T$898,18,FALSE)</f>
        <v>0</v>
      </c>
    </row>
    <row r="113" spans="1:25" x14ac:dyDescent="0.25">
      <c r="A113" t="s">
        <v>538</v>
      </c>
      <c r="B113">
        <v>5317495</v>
      </c>
      <c r="C113" t="s">
        <v>539</v>
      </c>
      <c r="D113">
        <f t="shared" si="3"/>
        <v>181</v>
      </c>
      <c r="E113">
        <f>VLOOKUP($C113,'[1]PoB Totals'!$C$3:$T$898,17,FALSE)</f>
        <v>179</v>
      </c>
      <c r="F113">
        <f>VLOOKUP($C113,'[1]PoB Totals'!$C$3:$T$898,18,FALSE)</f>
        <v>2</v>
      </c>
      <c r="G113">
        <f t="shared" si="4"/>
        <v>181</v>
      </c>
      <c r="H113">
        <f t="shared" si="5"/>
        <v>179</v>
      </c>
      <c r="I113">
        <f t="shared" si="5"/>
        <v>2</v>
      </c>
      <c r="J113">
        <f>VLOOKUP($C113,'[1]PoB WN'!$C$1:$T$898,17,FALSE)</f>
        <v>179</v>
      </c>
      <c r="K113">
        <f>VLOOKUP($C113,'[1]PoB WN'!$C$1:$T$898,18,FALSE)</f>
        <v>0</v>
      </c>
      <c r="L113">
        <f>VLOOKUP($C113,'[1]PoB WH'!$C$1:$T$898,17,FALSE)</f>
        <v>0</v>
      </c>
      <c r="M113">
        <f>VLOOKUP($C113,'[1]PoB WH'!$C$1:$T$898,18,FALSE)</f>
        <v>0</v>
      </c>
      <c r="N113">
        <f>VLOOKUP($C113,'[1]PoB AA'!$C$1:$T$898,17,FALSE)</f>
        <v>0</v>
      </c>
      <c r="O113">
        <f>VLOOKUP($C113,'[1]PoB AA'!$C$1:$T$898,18,FALSE)</f>
        <v>0</v>
      </c>
      <c r="P113">
        <f>VLOOKUP($C113,'[1]PoB AI'!$C$1:$T$898,17,FALSE)</f>
        <v>0</v>
      </c>
      <c r="Q113">
        <f>VLOOKUP($C113,'[1]PoB AI'!$C$1:$T$898,18,FALSE)</f>
        <v>0</v>
      </c>
      <c r="R113">
        <f>VLOOKUP($C113,'[1]PoB AS'!$C$1:$T$898,17,FALSE)</f>
        <v>0</v>
      </c>
      <c r="S113">
        <f>VLOOKUP($C113,'[1]PoB AS'!$C$1:$T$898,18,FALSE)</f>
        <v>0</v>
      </c>
      <c r="T113">
        <f>VLOOKUP($C113,'[1]PoB PI'!$C$1:$T$898,17,FALSE)</f>
        <v>0</v>
      </c>
      <c r="U113">
        <f>VLOOKUP($C113,'[1]PoB PI'!$C$1:$T$898,18,FALSE)</f>
        <v>0</v>
      </c>
      <c r="V113">
        <f>VLOOKUP($C113,'[1]PoB OT'!$C$1:$T$898,17,FALSE)</f>
        <v>0</v>
      </c>
      <c r="W113">
        <f>VLOOKUP($C113,'[1]PoB OT'!$C$1:$T$898,18,FALSE)</f>
        <v>2</v>
      </c>
      <c r="X113">
        <f>VLOOKUP($C113,'[1]PoB 2R'!$C$1:$T$898,17,FALSE)</f>
        <v>0</v>
      </c>
      <c r="Y113">
        <f>VLOOKUP($C113,'[1]PoB 2R'!$C$1:$T$898,18,FALSE)</f>
        <v>0</v>
      </c>
    </row>
    <row r="114" spans="1:25" x14ac:dyDescent="0.25">
      <c r="A114" t="s">
        <v>540</v>
      </c>
      <c r="B114">
        <v>5317617</v>
      </c>
      <c r="C114" t="s">
        <v>541</v>
      </c>
      <c r="D114">
        <f t="shared" si="3"/>
        <v>1421</v>
      </c>
      <c r="E114">
        <f>VLOOKUP($C114,'[1]PoB Totals'!$C$3:$T$898,17,FALSE)</f>
        <v>946</v>
      </c>
      <c r="F114">
        <f>VLOOKUP($C114,'[1]PoB Totals'!$C$3:$T$898,18,FALSE)</f>
        <v>475</v>
      </c>
      <c r="G114">
        <f t="shared" si="4"/>
        <v>1421</v>
      </c>
      <c r="H114">
        <f t="shared" si="5"/>
        <v>946</v>
      </c>
      <c r="I114">
        <f t="shared" si="5"/>
        <v>475</v>
      </c>
      <c r="J114">
        <f>VLOOKUP($C114,'[1]PoB WN'!$C$1:$T$898,17,FALSE)</f>
        <v>586</v>
      </c>
      <c r="K114">
        <f>VLOOKUP($C114,'[1]PoB WN'!$C$1:$T$898,18,FALSE)</f>
        <v>0</v>
      </c>
      <c r="L114">
        <f>VLOOKUP($C114,'[1]PoB WH'!$C$1:$T$898,17,FALSE)</f>
        <v>111</v>
      </c>
      <c r="M114">
        <f>VLOOKUP($C114,'[1]PoB WH'!$C$1:$T$898,18,FALSE)</f>
        <v>116</v>
      </c>
      <c r="N114">
        <f>VLOOKUP($C114,'[1]PoB AA'!$C$1:$T$898,17,FALSE)</f>
        <v>0</v>
      </c>
      <c r="O114">
        <f>VLOOKUP($C114,'[1]PoB AA'!$C$1:$T$898,18,FALSE)</f>
        <v>0</v>
      </c>
      <c r="P114">
        <f>VLOOKUP($C114,'[1]PoB AI'!$C$1:$T$898,17,FALSE)</f>
        <v>0</v>
      </c>
      <c r="Q114">
        <f>VLOOKUP($C114,'[1]PoB AI'!$C$1:$T$898,18,FALSE)</f>
        <v>0</v>
      </c>
      <c r="R114">
        <f>VLOOKUP($C114,'[1]PoB AS'!$C$1:$T$898,17,FALSE)</f>
        <v>0</v>
      </c>
      <c r="S114">
        <f>VLOOKUP($C114,'[1]PoB AS'!$C$1:$T$898,18,FALSE)</f>
        <v>0</v>
      </c>
      <c r="T114">
        <f>VLOOKUP($C114,'[1]PoB PI'!$C$1:$T$898,17,FALSE)</f>
        <v>0</v>
      </c>
      <c r="U114">
        <f>VLOOKUP($C114,'[1]PoB PI'!$C$1:$T$898,18,FALSE)</f>
        <v>0</v>
      </c>
      <c r="V114">
        <f>VLOOKUP($C114,'[1]PoB OT'!$C$1:$T$898,17,FALSE)</f>
        <v>226</v>
      </c>
      <c r="W114">
        <f>VLOOKUP($C114,'[1]PoB OT'!$C$1:$T$898,18,FALSE)</f>
        <v>359</v>
      </c>
      <c r="X114">
        <f>VLOOKUP($C114,'[1]PoB 2R'!$C$1:$T$898,17,FALSE)</f>
        <v>23</v>
      </c>
      <c r="Y114">
        <f>VLOOKUP($C114,'[1]PoB 2R'!$C$1:$T$898,18,FALSE)</f>
        <v>0</v>
      </c>
    </row>
    <row r="115" spans="1:25" x14ac:dyDescent="0.25">
      <c r="A115" t="s">
        <v>542</v>
      </c>
      <c r="B115">
        <v>5317635</v>
      </c>
      <c r="C115" t="s">
        <v>543</v>
      </c>
      <c r="D115">
        <f t="shared" si="3"/>
        <v>29409</v>
      </c>
      <c r="E115">
        <f>VLOOKUP($C115,'[1]PoB Totals'!$C$3:$T$898,17,FALSE)</f>
        <v>25399</v>
      </c>
      <c r="F115">
        <f>VLOOKUP($C115,'[1]PoB Totals'!$C$3:$T$898,18,FALSE)</f>
        <v>4010</v>
      </c>
      <c r="G115">
        <f t="shared" si="4"/>
        <v>29409</v>
      </c>
      <c r="H115">
        <f t="shared" si="5"/>
        <v>25399</v>
      </c>
      <c r="I115">
        <f t="shared" si="5"/>
        <v>4010</v>
      </c>
      <c r="J115">
        <f>VLOOKUP($C115,'[1]PoB WN'!$C$1:$T$898,17,FALSE)</f>
        <v>20304</v>
      </c>
      <c r="K115">
        <f>VLOOKUP($C115,'[1]PoB WN'!$C$1:$T$898,18,FALSE)</f>
        <v>958</v>
      </c>
      <c r="L115">
        <f>VLOOKUP($C115,'[1]PoB WH'!$C$1:$T$898,17,FALSE)</f>
        <v>497</v>
      </c>
      <c r="M115">
        <f>VLOOKUP($C115,'[1]PoB WH'!$C$1:$T$898,18,FALSE)</f>
        <v>203</v>
      </c>
      <c r="N115">
        <f>VLOOKUP($C115,'[1]PoB AA'!$C$1:$T$898,17,FALSE)</f>
        <v>1948</v>
      </c>
      <c r="O115">
        <f>VLOOKUP($C115,'[1]PoB AA'!$C$1:$T$898,18,FALSE)</f>
        <v>216</v>
      </c>
      <c r="P115">
        <f>VLOOKUP($C115,'[1]PoB AI'!$C$1:$T$898,17,FALSE)</f>
        <v>188</v>
      </c>
      <c r="Q115">
        <f>VLOOKUP($C115,'[1]PoB AI'!$C$1:$T$898,18,FALSE)</f>
        <v>29</v>
      </c>
      <c r="R115">
        <f>VLOOKUP($C115,'[1]PoB AS'!$C$1:$T$898,17,FALSE)</f>
        <v>854</v>
      </c>
      <c r="S115">
        <f>VLOOKUP($C115,'[1]PoB AS'!$C$1:$T$898,18,FALSE)</f>
        <v>1611</v>
      </c>
      <c r="T115">
        <f>VLOOKUP($C115,'[1]PoB PI'!$C$1:$T$898,17,FALSE)</f>
        <v>127</v>
      </c>
      <c r="U115">
        <f>VLOOKUP($C115,'[1]PoB PI'!$C$1:$T$898,18,FALSE)</f>
        <v>263</v>
      </c>
      <c r="V115">
        <f>VLOOKUP($C115,'[1]PoB OT'!$C$1:$T$898,17,FALSE)</f>
        <v>345</v>
      </c>
      <c r="W115">
        <f>VLOOKUP($C115,'[1]PoB OT'!$C$1:$T$898,18,FALSE)</f>
        <v>572</v>
      </c>
      <c r="X115">
        <f>VLOOKUP($C115,'[1]PoB 2R'!$C$1:$T$898,17,FALSE)</f>
        <v>1136</v>
      </c>
      <c r="Y115">
        <f>VLOOKUP($C115,'[1]PoB 2R'!$C$1:$T$898,18,FALSE)</f>
        <v>158</v>
      </c>
    </row>
    <row r="116" spans="1:25" x14ac:dyDescent="0.25">
      <c r="A116" t="s">
        <v>1515</v>
      </c>
      <c r="B116">
        <v>5317985</v>
      </c>
      <c r="C116" t="s">
        <v>1516</v>
      </c>
      <c r="D116">
        <f t="shared" si="3"/>
        <v>9993</v>
      </c>
      <c r="E116">
        <f>VLOOKUP($C116,'[1]PoB Totals'!$C$3:$T$898,17,FALSE)</f>
        <v>9673</v>
      </c>
      <c r="F116">
        <f>VLOOKUP($C116,'[1]PoB Totals'!$C$3:$T$898,18,FALSE)</f>
        <v>320</v>
      </c>
      <c r="G116">
        <f t="shared" si="4"/>
        <v>9993</v>
      </c>
      <c r="H116">
        <f t="shared" si="5"/>
        <v>9673</v>
      </c>
      <c r="I116">
        <f t="shared" si="5"/>
        <v>320</v>
      </c>
      <c r="J116">
        <f>VLOOKUP($C116,'[1]PoB WN'!$C$1:$T$898,17,FALSE)</f>
        <v>8856</v>
      </c>
      <c r="K116">
        <f>VLOOKUP($C116,'[1]PoB WN'!$C$1:$T$898,18,FALSE)</f>
        <v>190</v>
      </c>
      <c r="L116">
        <f>VLOOKUP($C116,'[1]PoB WH'!$C$1:$T$898,17,FALSE)</f>
        <v>117</v>
      </c>
      <c r="M116">
        <f>VLOOKUP($C116,'[1]PoB WH'!$C$1:$T$898,18,FALSE)</f>
        <v>37</v>
      </c>
      <c r="N116">
        <f>VLOOKUP($C116,'[1]PoB AA'!$C$1:$T$898,17,FALSE)</f>
        <v>46</v>
      </c>
      <c r="O116">
        <f>VLOOKUP($C116,'[1]PoB AA'!$C$1:$T$898,18,FALSE)</f>
        <v>0</v>
      </c>
      <c r="P116">
        <f>VLOOKUP($C116,'[1]PoB AI'!$C$1:$T$898,17,FALSE)</f>
        <v>230</v>
      </c>
      <c r="Q116">
        <f>VLOOKUP($C116,'[1]PoB AI'!$C$1:$T$898,18,FALSE)</f>
        <v>0</v>
      </c>
      <c r="R116">
        <f>VLOOKUP($C116,'[1]PoB AS'!$C$1:$T$898,17,FALSE)</f>
        <v>24</v>
      </c>
      <c r="S116">
        <f>VLOOKUP($C116,'[1]PoB AS'!$C$1:$T$898,18,FALSE)</f>
        <v>69</v>
      </c>
      <c r="T116">
        <f>VLOOKUP($C116,'[1]PoB PI'!$C$1:$T$898,17,FALSE)</f>
        <v>0</v>
      </c>
      <c r="U116">
        <f>VLOOKUP($C116,'[1]PoB PI'!$C$1:$T$898,18,FALSE)</f>
        <v>0</v>
      </c>
      <c r="V116">
        <f>VLOOKUP($C116,'[1]PoB OT'!$C$1:$T$898,17,FALSE)</f>
        <v>198</v>
      </c>
      <c r="W116">
        <f>VLOOKUP($C116,'[1]PoB OT'!$C$1:$T$898,18,FALSE)</f>
        <v>20</v>
      </c>
      <c r="X116">
        <f>VLOOKUP($C116,'[1]PoB 2R'!$C$1:$T$898,17,FALSE)</f>
        <v>202</v>
      </c>
      <c r="Y116">
        <f>VLOOKUP($C116,'[1]PoB 2R'!$C$1:$T$898,18,FALSE)</f>
        <v>4</v>
      </c>
    </row>
    <row r="117" spans="1:25" x14ac:dyDescent="0.25">
      <c r="A117" t="s">
        <v>546</v>
      </c>
      <c r="B117">
        <v>5318055</v>
      </c>
      <c r="C117" t="s">
        <v>547</v>
      </c>
      <c r="D117">
        <f t="shared" si="3"/>
        <v>214</v>
      </c>
      <c r="E117">
        <f>VLOOKUP($C117,'[1]PoB Totals'!$C$3:$T$898,17,FALSE)</f>
        <v>214</v>
      </c>
      <c r="F117">
        <f>VLOOKUP($C117,'[1]PoB Totals'!$C$3:$T$898,18,FALSE)</f>
        <v>0</v>
      </c>
      <c r="G117">
        <f t="shared" si="4"/>
        <v>214</v>
      </c>
      <c r="H117">
        <f t="shared" si="5"/>
        <v>214</v>
      </c>
      <c r="I117">
        <f t="shared" si="5"/>
        <v>0</v>
      </c>
      <c r="J117">
        <f>VLOOKUP($C117,'[1]PoB WN'!$C$1:$T$898,17,FALSE)</f>
        <v>209</v>
      </c>
      <c r="K117">
        <f>VLOOKUP($C117,'[1]PoB WN'!$C$1:$T$898,18,FALSE)</f>
        <v>0</v>
      </c>
      <c r="L117">
        <f>VLOOKUP($C117,'[1]PoB WH'!$C$1:$T$898,17,FALSE)</f>
        <v>0</v>
      </c>
      <c r="M117">
        <f>VLOOKUP($C117,'[1]PoB WH'!$C$1:$T$898,18,FALSE)</f>
        <v>0</v>
      </c>
      <c r="N117">
        <f>VLOOKUP($C117,'[1]PoB AA'!$C$1:$T$898,17,FALSE)</f>
        <v>0</v>
      </c>
      <c r="O117">
        <f>VLOOKUP($C117,'[1]PoB AA'!$C$1:$T$898,18,FALSE)</f>
        <v>0</v>
      </c>
      <c r="P117">
        <f>VLOOKUP($C117,'[1]PoB AI'!$C$1:$T$898,17,FALSE)</f>
        <v>0</v>
      </c>
      <c r="Q117">
        <f>VLOOKUP($C117,'[1]PoB AI'!$C$1:$T$898,18,FALSE)</f>
        <v>0</v>
      </c>
      <c r="R117">
        <f>VLOOKUP($C117,'[1]PoB AS'!$C$1:$T$898,17,FALSE)</f>
        <v>0</v>
      </c>
      <c r="S117">
        <f>VLOOKUP($C117,'[1]PoB AS'!$C$1:$T$898,18,FALSE)</f>
        <v>0</v>
      </c>
      <c r="T117">
        <f>VLOOKUP($C117,'[1]PoB PI'!$C$1:$T$898,17,FALSE)</f>
        <v>0</v>
      </c>
      <c r="U117">
        <f>VLOOKUP($C117,'[1]PoB PI'!$C$1:$T$898,18,FALSE)</f>
        <v>0</v>
      </c>
      <c r="V117">
        <f>VLOOKUP($C117,'[1]PoB OT'!$C$1:$T$898,17,FALSE)</f>
        <v>0</v>
      </c>
      <c r="W117">
        <f>VLOOKUP($C117,'[1]PoB OT'!$C$1:$T$898,18,FALSE)</f>
        <v>0</v>
      </c>
      <c r="X117">
        <f>VLOOKUP($C117,'[1]PoB 2R'!$C$1:$T$898,17,FALSE)</f>
        <v>5</v>
      </c>
      <c r="Y117">
        <f>VLOOKUP($C117,'[1]PoB 2R'!$C$1:$T$898,18,FALSE)</f>
        <v>0</v>
      </c>
    </row>
    <row r="118" spans="1:25" x14ac:dyDescent="0.25">
      <c r="A118" t="s">
        <v>1517</v>
      </c>
      <c r="B118">
        <v>5318195</v>
      </c>
      <c r="C118" t="s">
        <v>1518</v>
      </c>
      <c r="D118">
        <f t="shared" si="3"/>
        <v>1116</v>
      </c>
      <c r="E118">
        <f>VLOOKUP($C118,'[1]PoB Totals'!$C$3:$T$898,17,FALSE)</f>
        <v>1082</v>
      </c>
      <c r="F118">
        <f>VLOOKUP($C118,'[1]PoB Totals'!$C$3:$T$898,18,FALSE)</f>
        <v>34</v>
      </c>
      <c r="G118">
        <f t="shared" si="4"/>
        <v>1116</v>
      </c>
      <c r="H118">
        <f t="shared" si="5"/>
        <v>1082</v>
      </c>
      <c r="I118">
        <f t="shared" si="5"/>
        <v>34</v>
      </c>
      <c r="J118">
        <f>VLOOKUP($C118,'[1]PoB WN'!$C$1:$T$898,17,FALSE)</f>
        <v>1046</v>
      </c>
      <c r="K118">
        <f>VLOOKUP($C118,'[1]PoB WN'!$C$1:$T$898,18,FALSE)</f>
        <v>15</v>
      </c>
      <c r="L118">
        <f>VLOOKUP($C118,'[1]PoB WH'!$C$1:$T$898,17,FALSE)</f>
        <v>0</v>
      </c>
      <c r="M118">
        <f>VLOOKUP($C118,'[1]PoB WH'!$C$1:$T$898,18,FALSE)</f>
        <v>0</v>
      </c>
      <c r="N118">
        <f>VLOOKUP($C118,'[1]PoB AA'!$C$1:$T$898,17,FALSE)</f>
        <v>0</v>
      </c>
      <c r="O118">
        <f>VLOOKUP($C118,'[1]PoB AA'!$C$1:$T$898,18,FALSE)</f>
        <v>0</v>
      </c>
      <c r="P118">
        <f>VLOOKUP($C118,'[1]PoB AI'!$C$1:$T$898,17,FALSE)</f>
        <v>7</v>
      </c>
      <c r="Q118">
        <f>VLOOKUP($C118,'[1]PoB AI'!$C$1:$T$898,18,FALSE)</f>
        <v>0</v>
      </c>
      <c r="R118">
        <f>VLOOKUP($C118,'[1]PoB AS'!$C$1:$T$898,17,FALSE)</f>
        <v>0</v>
      </c>
      <c r="S118">
        <f>VLOOKUP($C118,'[1]PoB AS'!$C$1:$T$898,18,FALSE)</f>
        <v>0</v>
      </c>
      <c r="T118">
        <f>VLOOKUP($C118,'[1]PoB PI'!$C$1:$T$898,17,FALSE)</f>
        <v>0</v>
      </c>
      <c r="U118">
        <f>VLOOKUP($C118,'[1]PoB PI'!$C$1:$T$898,18,FALSE)</f>
        <v>0</v>
      </c>
      <c r="V118">
        <f>VLOOKUP($C118,'[1]PoB OT'!$C$1:$T$898,17,FALSE)</f>
        <v>20</v>
      </c>
      <c r="W118">
        <f>VLOOKUP($C118,'[1]PoB OT'!$C$1:$T$898,18,FALSE)</f>
        <v>19</v>
      </c>
      <c r="X118">
        <f>VLOOKUP($C118,'[1]PoB 2R'!$C$1:$T$898,17,FALSE)</f>
        <v>9</v>
      </c>
      <c r="Y118">
        <f>VLOOKUP($C118,'[1]PoB 2R'!$C$1:$T$898,18,FALSE)</f>
        <v>0</v>
      </c>
    </row>
    <row r="119" spans="1:25" x14ac:dyDescent="0.25">
      <c r="A119" t="s">
        <v>554</v>
      </c>
      <c r="B119">
        <v>5318965</v>
      </c>
      <c r="C119" t="s">
        <v>555</v>
      </c>
      <c r="D119">
        <f t="shared" si="3"/>
        <v>2464</v>
      </c>
      <c r="E119">
        <f>VLOOKUP($C119,'[1]PoB Totals'!$C$3:$T$898,17,FALSE)</f>
        <v>2080</v>
      </c>
      <c r="F119">
        <f>VLOOKUP($C119,'[1]PoB Totals'!$C$3:$T$898,18,FALSE)</f>
        <v>384</v>
      </c>
      <c r="G119">
        <f t="shared" si="4"/>
        <v>2464</v>
      </c>
      <c r="H119">
        <f t="shared" si="5"/>
        <v>2080</v>
      </c>
      <c r="I119">
        <f t="shared" si="5"/>
        <v>384</v>
      </c>
      <c r="J119">
        <f>VLOOKUP($C119,'[1]PoB WN'!$C$1:$T$898,17,FALSE)</f>
        <v>1594</v>
      </c>
      <c r="K119">
        <f>VLOOKUP($C119,'[1]PoB WN'!$C$1:$T$898,18,FALSE)</f>
        <v>151</v>
      </c>
      <c r="L119">
        <f>VLOOKUP($C119,'[1]PoB WH'!$C$1:$T$898,17,FALSE)</f>
        <v>82</v>
      </c>
      <c r="M119">
        <f>VLOOKUP($C119,'[1]PoB WH'!$C$1:$T$898,18,FALSE)</f>
        <v>31</v>
      </c>
      <c r="N119">
        <f>VLOOKUP($C119,'[1]PoB AA'!$C$1:$T$898,17,FALSE)</f>
        <v>194</v>
      </c>
      <c r="O119">
        <f>VLOOKUP($C119,'[1]PoB AA'!$C$1:$T$898,18,FALSE)</f>
        <v>13</v>
      </c>
      <c r="P119">
        <f>VLOOKUP($C119,'[1]PoB AI'!$C$1:$T$898,17,FALSE)</f>
        <v>2</v>
      </c>
      <c r="Q119">
        <f>VLOOKUP($C119,'[1]PoB AI'!$C$1:$T$898,18,FALSE)</f>
        <v>0</v>
      </c>
      <c r="R119">
        <f>VLOOKUP($C119,'[1]PoB AS'!$C$1:$T$898,17,FALSE)</f>
        <v>32</v>
      </c>
      <c r="S119">
        <f>VLOOKUP($C119,'[1]PoB AS'!$C$1:$T$898,18,FALSE)</f>
        <v>152</v>
      </c>
      <c r="T119">
        <f>VLOOKUP($C119,'[1]PoB PI'!$C$1:$T$898,17,FALSE)</f>
        <v>0</v>
      </c>
      <c r="U119">
        <f>VLOOKUP($C119,'[1]PoB PI'!$C$1:$T$898,18,FALSE)</f>
        <v>0</v>
      </c>
      <c r="V119">
        <f>VLOOKUP($C119,'[1]PoB OT'!$C$1:$T$898,17,FALSE)</f>
        <v>23</v>
      </c>
      <c r="W119">
        <f>VLOOKUP($C119,'[1]PoB OT'!$C$1:$T$898,18,FALSE)</f>
        <v>12</v>
      </c>
      <c r="X119">
        <f>VLOOKUP($C119,'[1]PoB 2R'!$C$1:$T$898,17,FALSE)</f>
        <v>153</v>
      </c>
      <c r="Y119">
        <f>VLOOKUP($C119,'[1]PoB 2R'!$C$1:$T$898,18,FALSE)</f>
        <v>25</v>
      </c>
    </row>
    <row r="120" spans="1:25" x14ac:dyDescent="0.25">
      <c r="A120" t="s">
        <v>556</v>
      </c>
      <c r="B120">
        <v>5319035</v>
      </c>
      <c r="C120" t="s">
        <v>557</v>
      </c>
      <c r="D120">
        <f t="shared" si="3"/>
        <v>4647</v>
      </c>
      <c r="E120">
        <f>VLOOKUP($C120,'[1]PoB Totals'!$C$3:$T$898,17,FALSE)</f>
        <v>4472</v>
      </c>
      <c r="F120">
        <f>VLOOKUP($C120,'[1]PoB Totals'!$C$3:$T$898,18,FALSE)</f>
        <v>175</v>
      </c>
      <c r="G120">
        <f t="shared" si="4"/>
        <v>4647</v>
      </c>
      <c r="H120">
        <f t="shared" si="5"/>
        <v>4472</v>
      </c>
      <c r="I120">
        <f t="shared" si="5"/>
        <v>175</v>
      </c>
      <c r="J120">
        <f>VLOOKUP($C120,'[1]PoB WN'!$C$1:$T$898,17,FALSE)</f>
        <v>4053</v>
      </c>
      <c r="K120">
        <f>VLOOKUP($C120,'[1]PoB WN'!$C$1:$T$898,18,FALSE)</f>
        <v>87</v>
      </c>
      <c r="L120">
        <f>VLOOKUP($C120,'[1]PoB WH'!$C$1:$T$898,17,FALSE)</f>
        <v>59</v>
      </c>
      <c r="M120">
        <f>VLOOKUP($C120,'[1]PoB WH'!$C$1:$T$898,18,FALSE)</f>
        <v>8</v>
      </c>
      <c r="N120">
        <f>VLOOKUP($C120,'[1]PoB AA'!$C$1:$T$898,17,FALSE)</f>
        <v>138</v>
      </c>
      <c r="O120">
        <f>VLOOKUP($C120,'[1]PoB AA'!$C$1:$T$898,18,FALSE)</f>
        <v>0</v>
      </c>
      <c r="P120">
        <f>VLOOKUP($C120,'[1]PoB AI'!$C$1:$T$898,17,FALSE)</f>
        <v>19</v>
      </c>
      <c r="Q120">
        <f>VLOOKUP($C120,'[1]PoB AI'!$C$1:$T$898,18,FALSE)</f>
        <v>0</v>
      </c>
      <c r="R120">
        <f>VLOOKUP($C120,'[1]PoB AS'!$C$1:$T$898,17,FALSE)</f>
        <v>8</v>
      </c>
      <c r="S120">
        <f>VLOOKUP($C120,'[1]PoB AS'!$C$1:$T$898,18,FALSE)</f>
        <v>0</v>
      </c>
      <c r="T120">
        <f>VLOOKUP($C120,'[1]PoB PI'!$C$1:$T$898,17,FALSE)</f>
        <v>0</v>
      </c>
      <c r="U120">
        <f>VLOOKUP($C120,'[1]PoB PI'!$C$1:$T$898,18,FALSE)</f>
        <v>29</v>
      </c>
      <c r="V120">
        <f>VLOOKUP($C120,'[1]PoB OT'!$C$1:$T$898,17,FALSE)</f>
        <v>18</v>
      </c>
      <c r="W120">
        <f>VLOOKUP($C120,'[1]PoB OT'!$C$1:$T$898,18,FALSE)</f>
        <v>23</v>
      </c>
      <c r="X120">
        <f>VLOOKUP($C120,'[1]PoB 2R'!$C$1:$T$898,17,FALSE)</f>
        <v>177</v>
      </c>
      <c r="Y120">
        <f>VLOOKUP($C120,'[1]PoB 2R'!$C$1:$T$898,18,FALSE)</f>
        <v>28</v>
      </c>
    </row>
    <row r="121" spans="1:25" x14ac:dyDescent="0.25">
      <c r="A121" t="s">
        <v>558</v>
      </c>
      <c r="B121">
        <v>5319290</v>
      </c>
      <c r="C121" t="s">
        <v>559</v>
      </c>
      <c r="D121">
        <f t="shared" si="3"/>
        <v>535</v>
      </c>
      <c r="E121">
        <f>VLOOKUP($C121,'[1]PoB Totals'!$C$3:$T$898,17,FALSE)</f>
        <v>528</v>
      </c>
      <c r="F121">
        <f>VLOOKUP($C121,'[1]PoB Totals'!$C$3:$T$898,18,FALSE)</f>
        <v>7</v>
      </c>
      <c r="G121">
        <f t="shared" si="4"/>
        <v>535</v>
      </c>
      <c r="H121">
        <f t="shared" si="5"/>
        <v>528</v>
      </c>
      <c r="I121">
        <f t="shared" si="5"/>
        <v>7</v>
      </c>
      <c r="J121">
        <f>VLOOKUP($C121,'[1]PoB WN'!$C$1:$T$898,17,FALSE)</f>
        <v>515</v>
      </c>
      <c r="K121">
        <f>VLOOKUP($C121,'[1]PoB WN'!$C$1:$T$898,18,FALSE)</f>
        <v>7</v>
      </c>
      <c r="L121">
        <f>VLOOKUP($C121,'[1]PoB WH'!$C$1:$T$898,17,FALSE)</f>
        <v>0</v>
      </c>
      <c r="M121">
        <f>VLOOKUP($C121,'[1]PoB WH'!$C$1:$T$898,18,FALSE)</f>
        <v>0</v>
      </c>
      <c r="N121">
        <f>VLOOKUP($C121,'[1]PoB AA'!$C$1:$T$898,17,FALSE)</f>
        <v>0</v>
      </c>
      <c r="O121">
        <f>VLOOKUP($C121,'[1]PoB AA'!$C$1:$T$898,18,FALSE)</f>
        <v>0</v>
      </c>
      <c r="P121">
        <f>VLOOKUP($C121,'[1]PoB AI'!$C$1:$T$898,17,FALSE)</f>
        <v>6</v>
      </c>
      <c r="Q121">
        <f>VLOOKUP($C121,'[1]PoB AI'!$C$1:$T$898,18,FALSE)</f>
        <v>0</v>
      </c>
      <c r="R121">
        <f>VLOOKUP($C121,'[1]PoB AS'!$C$1:$T$898,17,FALSE)</f>
        <v>0</v>
      </c>
      <c r="S121">
        <f>VLOOKUP($C121,'[1]PoB AS'!$C$1:$T$898,18,FALSE)</f>
        <v>0</v>
      </c>
      <c r="T121">
        <f>VLOOKUP($C121,'[1]PoB PI'!$C$1:$T$898,17,FALSE)</f>
        <v>0</v>
      </c>
      <c r="U121">
        <f>VLOOKUP($C121,'[1]PoB PI'!$C$1:$T$898,18,FALSE)</f>
        <v>0</v>
      </c>
      <c r="V121">
        <f>VLOOKUP($C121,'[1]PoB OT'!$C$1:$T$898,17,FALSE)</f>
        <v>7</v>
      </c>
      <c r="W121">
        <f>VLOOKUP($C121,'[1]PoB OT'!$C$1:$T$898,18,FALSE)</f>
        <v>0</v>
      </c>
      <c r="X121">
        <f>VLOOKUP($C121,'[1]PoB 2R'!$C$1:$T$898,17,FALSE)</f>
        <v>0</v>
      </c>
      <c r="Y121">
        <f>VLOOKUP($C121,'[1]PoB 2R'!$C$1:$T$898,18,FALSE)</f>
        <v>0</v>
      </c>
    </row>
    <row r="122" spans="1:25" x14ac:dyDescent="0.25">
      <c r="A122" t="s">
        <v>1519</v>
      </c>
      <c r="B122">
        <v>5319420</v>
      </c>
      <c r="C122" t="s">
        <v>1520</v>
      </c>
      <c r="D122">
        <f t="shared" si="3"/>
        <v>4646</v>
      </c>
      <c r="E122">
        <f>VLOOKUP($C122,'[1]PoB Totals'!$C$3:$T$898,17,FALSE)</f>
        <v>3817</v>
      </c>
      <c r="F122">
        <f>VLOOKUP($C122,'[1]PoB Totals'!$C$3:$T$898,18,FALSE)</f>
        <v>829</v>
      </c>
      <c r="G122">
        <f t="shared" si="4"/>
        <v>4646</v>
      </c>
      <c r="H122">
        <f t="shared" si="5"/>
        <v>3817</v>
      </c>
      <c r="I122">
        <f t="shared" si="5"/>
        <v>829</v>
      </c>
      <c r="J122">
        <f>VLOOKUP($C122,'[1]PoB WN'!$C$1:$T$898,17,FALSE)</f>
        <v>3485</v>
      </c>
      <c r="K122">
        <f>VLOOKUP($C122,'[1]PoB WN'!$C$1:$T$898,18,FALSE)</f>
        <v>477</v>
      </c>
      <c r="L122">
        <f>VLOOKUP($C122,'[1]PoB WH'!$C$1:$T$898,17,FALSE)</f>
        <v>42</v>
      </c>
      <c r="M122">
        <f>VLOOKUP($C122,'[1]PoB WH'!$C$1:$T$898,18,FALSE)</f>
        <v>99</v>
      </c>
      <c r="N122">
        <f>VLOOKUP($C122,'[1]PoB AA'!$C$1:$T$898,17,FALSE)</f>
        <v>59</v>
      </c>
      <c r="O122">
        <f>VLOOKUP($C122,'[1]PoB AA'!$C$1:$T$898,18,FALSE)</f>
        <v>0</v>
      </c>
      <c r="P122">
        <f>VLOOKUP($C122,'[1]PoB AI'!$C$1:$T$898,17,FALSE)</f>
        <v>0</v>
      </c>
      <c r="Q122">
        <f>VLOOKUP($C122,'[1]PoB AI'!$C$1:$T$898,18,FALSE)</f>
        <v>0</v>
      </c>
      <c r="R122">
        <f>VLOOKUP($C122,'[1]PoB AS'!$C$1:$T$898,17,FALSE)</f>
        <v>152</v>
      </c>
      <c r="S122">
        <f>VLOOKUP($C122,'[1]PoB AS'!$C$1:$T$898,18,FALSE)</f>
        <v>230</v>
      </c>
      <c r="T122">
        <f>VLOOKUP($C122,'[1]PoB PI'!$C$1:$T$898,17,FALSE)</f>
        <v>0</v>
      </c>
      <c r="U122">
        <f>VLOOKUP($C122,'[1]PoB PI'!$C$1:$T$898,18,FALSE)</f>
        <v>0</v>
      </c>
      <c r="V122">
        <f>VLOOKUP($C122,'[1]PoB OT'!$C$1:$T$898,17,FALSE)</f>
        <v>16</v>
      </c>
      <c r="W122">
        <f>VLOOKUP($C122,'[1]PoB OT'!$C$1:$T$898,18,FALSE)</f>
        <v>19</v>
      </c>
      <c r="X122">
        <f>VLOOKUP($C122,'[1]PoB 2R'!$C$1:$T$898,17,FALSE)</f>
        <v>63</v>
      </c>
      <c r="Y122">
        <f>VLOOKUP($C122,'[1]PoB 2R'!$C$1:$T$898,18,FALSE)</f>
        <v>4</v>
      </c>
    </row>
    <row r="123" spans="1:25" x14ac:dyDescent="0.25">
      <c r="A123" t="s">
        <v>1521</v>
      </c>
      <c r="B123">
        <v>5319515</v>
      </c>
      <c r="C123" t="s">
        <v>1522</v>
      </c>
      <c r="D123">
        <f t="shared" si="3"/>
        <v>29620</v>
      </c>
      <c r="E123">
        <f>VLOOKUP($C123,'[1]PoB Totals'!$C$3:$T$898,17,FALSE)</f>
        <v>24586</v>
      </c>
      <c r="F123">
        <f>VLOOKUP($C123,'[1]PoB Totals'!$C$3:$T$898,18,FALSE)</f>
        <v>5034</v>
      </c>
      <c r="G123">
        <f t="shared" si="4"/>
        <v>29620</v>
      </c>
      <c r="H123">
        <f t="shared" si="5"/>
        <v>24586</v>
      </c>
      <c r="I123">
        <f t="shared" si="5"/>
        <v>5034</v>
      </c>
      <c r="J123">
        <f>VLOOKUP($C123,'[1]PoB WN'!$C$1:$T$898,17,FALSE)</f>
        <v>19868</v>
      </c>
      <c r="K123">
        <f>VLOOKUP($C123,'[1]PoB WN'!$C$1:$T$898,18,FALSE)</f>
        <v>1407</v>
      </c>
      <c r="L123">
        <f>VLOOKUP($C123,'[1]PoB WH'!$C$1:$T$898,17,FALSE)</f>
        <v>468</v>
      </c>
      <c r="M123">
        <f>VLOOKUP($C123,'[1]PoB WH'!$C$1:$T$898,18,FALSE)</f>
        <v>131</v>
      </c>
      <c r="N123">
        <f>VLOOKUP($C123,'[1]PoB AA'!$C$1:$T$898,17,FALSE)</f>
        <v>1135</v>
      </c>
      <c r="O123">
        <f>VLOOKUP($C123,'[1]PoB AA'!$C$1:$T$898,18,FALSE)</f>
        <v>190</v>
      </c>
      <c r="P123">
        <f>VLOOKUP($C123,'[1]PoB AI'!$C$1:$T$898,17,FALSE)</f>
        <v>71</v>
      </c>
      <c r="Q123">
        <f>VLOOKUP($C123,'[1]PoB AI'!$C$1:$T$898,18,FALSE)</f>
        <v>0</v>
      </c>
      <c r="R123">
        <f>VLOOKUP($C123,'[1]PoB AS'!$C$1:$T$898,17,FALSE)</f>
        <v>1291</v>
      </c>
      <c r="S123">
        <f>VLOOKUP($C123,'[1]PoB AS'!$C$1:$T$898,18,FALSE)</f>
        <v>2614</v>
      </c>
      <c r="T123">
        <f>VLOOKUP($C123,'[1]PoB PI'!$C$1:$T$898,17,FALSE)</f>
        <v>167</v>
      </c>
      <c r="U123">
        <f>VLOOKUP($C123,'[1]PoB PI'!$C$1:$T$898,18,FALSE)</f>
        <v>186</v>
      </c>
      <c r="V123">
        <f>VLOOKUP($C123,'[1]PoB OT'!$C$1:$T$898,17,FALSE)</f>
        <v>132</v>
      </c>
      <c r="W123">
        <f>VLOOKUP($C123,'[1]PoB OT'!$C$1:$T$898,18,FALSE)</f>
        <v>114</v>
      </c>
      <c r="X123">
        <f>VLOOKUP($C123,'[1]PoB 2R'!$C$1:$T$898,17,FALSE)</f>
        <v>1454</v>
      </c>
      <c r="Y123">
        <f>VLOOKUP($C123,'[1]PoB 2R'!$C$1:$T$898,18,FALSE)</f>
        <v>392</v>
      </c>
    </row>
    <row r="124" spans="1:25" x14ac:dyDescent="0.25">
      <c r="A124" t="s">
        <v>562</v>
      </c>
      <c r="B124">
        <v>5319700</v>
      </c>
      <c r="C124" t="s">
        <v>563</v>
      </c>
      <c r="D124">
        <f t="shared" si="3"/>
        <v>418</v>
      </c>
      <c r="E124">
        <f>VLOOKUP($C124,'[1]PoB Totals'!$C$3:$T$898,17,FALSE)</f>
        <v>394</v>
      </c>
      <c r="F124">
        <f>VLOOKUP($C124,'[1]PoB Totals'!$C$3:$T$898,18,FALSE)</f>
        <v>24</v>
      </c>
      <c r="G124">
        <f t="shared" si="4"/>
        <v>418</v>
      </c>
      <c r="H124">
        <f t="shared" si="5"/>
        <v>394</v>
      </c>
      <c r="I124">
        <f t="shared" si="5"/>
        <v>24</v>
      </c>
      <c r="J124">
        <f>VLOOKUP($C124,'[1]PoB WN'!$C$1:$T$898,17,FALSE)</f>
        <v>361</v>
      </c>
      <c r="K124">
        <f>VLOOKUP($C124,'[1]PoB WN'!$C$1:$T$898,18,FALSE)</f>
        <v>5</v>
      </c>
      <c r="L124">
        <f>VLOOKUP($C124,'[1]PoB WH'!$C$1:$T$898,17,FALSE)</f>
        <v>7</v>
      </c>
      <c r="M124">
        <f>VLOOKUP($C124,'[1]PoB WH'!$C$1:$T$898,18,FALSE)</f>
        <v>13</v>
      </c>
      <c r="N124">
        <f>VLOOKUP($C124,'[1]PoB AA'!$C$1:$T$898,17,FALSE)</f>
        <v>0</v>
      </c>
      <c r="O124">
        <f>VLOOKUP($C124,'[1]PoB AA'!$C$1:$T$898,18,FALSE)</f>
        <v>0</v>
      </c>
      <c r="P124">
        <f>VLOOKUP($C124,'[1]PoB AI'!$C$1:$T$898,17,FALSE)</f>
        <v>8</v>
      </c>
      <c r="Q124">
        <f>VLOOKUP($C124,'[1]PoB AI'!$C$1:$T$898,18,FALSE)</f>
        <v>0</v>
      </c>
      <c r="R124">
        <f>VLOOKUP($C124,'[1]PoB AS'!$C$1:$T$898,17,FALSE)</f>
        <v>0</v>
      </c>
      <c r="S124">
        <f>VLOOKUP($C124,'[1]PoB AS'!$C$1:$T$898,18,FALSE)</f>
        <v>0</v>
      </c>
      <c r="T124">
        <f>VLOOKUP($C124,'[1]PoB PI'!$C$1:$T$898,17,FALSE)</f>
        <v>0</v>
      </c>
      <c r="U124">
        <f>VLOOKUP($C124,'[1]PoB PI'!$C$1:$T$898,18,FALSE)</f>
        <v>0</v>
      </c>
      <c r="V124">
        <f>VLOOKUP($C124,'[1]PoB OT'!$C$1:$T$898,17,FALSE)</f>
        <v>12</v>
      </c>
      <c r="W124">
        <f>VLOOKUP($C124,'[1]PoB OT'!$C$1:$T$898,18,FALSE)</f>
        <v>6</v>
      </c>
      <c r="X124">
        <f>VLOOKUP($C124,'[1]PoB 2R'!$C$1:$T$898,17,FALSE)</f>
        <v>6</v>
      </c>
      <c r="Y124">
        <f>VLOOKUP($C124,'[1]PoB 2R'!$C$1:$T$898,18,FALSE)</f>
        <v>0</v>
      </c>
    </row>
    <row r="125" spans="1:25" x14ac:dyDescent="0.25">
      <c r="A125" t="s">
        <v>564</v>
      </c>
      <c r="B125">
        <v>5319770</v>
      </c>
      <c r="C125" t="s">
        <v>565</v>
      </c>
      <c r="D125">
        <f t="shared" si="3"/>
        <v>5092</v>
      </c>
      <c r="E125">
        <f>VLOOKUP($C125,'[1]PoB Totals'!$C$3:$T$898,17,FALSE)</f>
        <v>4683</v>
      </c>
      <c r="F125">
        <f>VLOOKUP($C125,'[1]PoB Totals'!$C$3:$T$898,18,FALSE)</f>
        <v>409</v>
      </c>
      <c r="G125">
        <f t="shared" si="4"/>
        <v>5092</v>
      </c>
      <c r="H125">
        <f t="shared" si="5"/>
        <v>4683</v>
      </c>
      <c r="I125">
        <f t="shared" si="5"/>
        <v>409</v>
      </c>
      <c r="J125">
        <f>VLOOKUP($C125,'[1]PoB WN'!$C$1:$T$898,17,FALSE)</f>
        <v>4144</v>
      </c>
      <c r="K125">
        <f>VLOOKUP($C125,'[1]PoB WN'!$C$1:$T$898,18,FALSE)</f>
        <v>72</v>
      </c>
      <c r="L125">
        <f>VLOOKUP($C125,'[1]PoB WH'!$C$1:$T$898,17,FALSE)</f>
        <v>66</v>
      </c>
      <c r="M125">
        <f>VLOOKUP($C125,'[1]PoB WH'!$C$1:$T$898,18,FALSE)</f>
        <v>29</v>
      </c>
      <c r="N125">
        <f>VLOOKUP($C125,'[1]PoB AA'!$C$1:$T$898,17,FALSE)</f>
        <v>193</v>
      </c>
      <c r="O125">
        <f>VLOOKUP($C125,'[1]PoB AA'!$C$1:$T$898,18,FALSE)</f>
        <v>0</v>
      </c>
      <c r="P125">
        <f>VLOOKUP($C125,'[1]PoB AI'!$C$1:$T$898,17,FALSE)</f>
        <v>35</v>
      </c>
      <c r="Q125">
        <f>VLOOKUP($C125,'[1]PoB AI'!$C$1:$T$898,18,FALSE)</f>
        <v>0</v>
      </c>
      <c r="R125">
        <f>VLOOKUP($C125,'[1]PoB AS'!$C$1:$T$898,17,FALSE)</f>
        <v>30</v>
      </c>
      <c r="S125">
        <f>VLOOKUP($C125,'[1]PoB AS'!$C$1:$T$898,18,FALSE)</f>
        <v>103</v>
      </c>
      <c r="T125">
        <f>VLOOKUP($C125,'[1]PoB PI'!$C$1:$T$898,17,FALSE)</f>
        <v>0</v>
      </c>
      <c r="U125">
        <f>VLOOKUP($C125,'[1]PoB PI'!$C$1:$T$898,18,FALSE)</f>
        <v>71</v>
      </c>
      <c r="V125">
        <f>VLOOKUP($C125,'[1]PoB OT'!$C$1:$T$898,17,FALSE)</f>
        <v>59</v>
      </c>
      <c r="W125">
        <f>VLOOKUP($C125,'[1]PoB OT'!$C$1:$T$898,18,FALSE)</f>
        <v>38</v>
      </c>
      <c r="X125">
        <f>VLOOKUP($C125,'[1]PoB 2R'!$C$1:$T$898,17,FALSE)</f>
        <v>156</v>
      </c>
      <c r="Y125">
        <f>VLOOKUP($C125,'[1]PoB 2R'!$C$1:$T$898,18,FALSE)</f>
        <v>96</v>
      </c>
    </row>
    <row r="126" spans="1:25" x14ac:dyDescent="0.25">
      <c r="A126" t="s">
        <v>566</v>
      </c>
      <c r="B126">
        <v>5319857</v>
      </c>
      <c r="C126" t="s">
        <v>567</v>
      </c>
      <c r="D126">
        <f t="shared" si="3"/>
        <v>13106</v>
      </c>
      <c r="E126">
        <f>VLOOKUP($C126,'[1]PoB Totals'!$C$3:$T$898,17,FALSE)</f>
        <v>12228</v>
      </c>
      <c r="F126">
        <f>VLOOKUP($C126,'[1]PoB Totals'!$C$3:$T$898,18,FALSE)</f>
        <v>878</v>
      </c>
      <c r="G126">
        <f t="shared" si="4"/>
        <v>13106</v>
      </c>
      <c r="H126">
        <f t="shared" si="5"/>
        <v>12228</v>
      </c>
      <c r="I126">
        <f t="shared" si="5"/>
        <v>878</v>
      </c>
      <c r="J126">
        <f>VLOOKUP($C126,'[1]PoB WN'!$C$1:$T$898,17,FALSE)</f>
        <v>11246</v>
      </c>
      <c r="K126">
        <f>VLOOKUP($C126,'[1]PoB WN'!$C$1:$T$898,18,FALSE)</f>
        <v>478</v>
      </c>
      <c r="L126">
        <f>VLOOKUP($C126,'[1]PoB WH'!$C$1:$T$898,17,FALSE)</f>
        <v>153</v>
      </c>
      <c r="M126">
        <f>VLOOKUP($C126,'[1]PoB WH'!$C$1:$T$898,18,FALSE)</f>
        <v>147</v>
      </c>
      <c r="N126">
        <f>VLOOKUP($C126,'[1]PoB AA'!$C$1:$T$898,17,FALSE)</f>
        <v>190</v>
      </c>
      <c r="O126">
        <f>VLOOKUP($C126,'[1]PoB AA'!$C$1:$T$898,18,FALSE)</f>
        <v>59</v>
      </c>
      <c r="P126">
        <f>VLOOKUP($C126,'[1]PoB AI'!$C$1:$T$898,17,FALSE)</f>
        <v>175</v>
      </c>
      <c r="Q126">
        <f>VLOOKUP($C126,'[1]PoB AI'!$C$1:$T$898,18,FALSE)</f>
        <v>0</v>
      </c>
      <c r="R126">
        <f>VLOOKUP($C126,'[1]PoB AS'!$C$1:$T$898,17,FALSE)</f>
        <v>185</v>
      </c>
      <c r="S126">
        <f>VLOOKUP($C126,'[1]PoB AS'!$C$1:$T$898,18,FALSE)</f>
        <v>182</v>
      </c>
      <c r="T126">
        <f>VLOOKUP($C126,'[1]PoB PI'!$C$1:$T$898,17,FALSE)</f>
        <v>12</v>
      </c>
      <c r="U126">
        <f>VLOOKUP($C126,'[1]PoB PI'!$C$1:$T$898,18,FALSE)</f>
        <v>0</v>
      </c>
      <c r="V126">
        <f>VLOOKUP($C126,'[1]PoB OT'!$C$1:$T$898,17,FALSE)</f>
        <v>52</v>
      </c>
      <c r="W126">
        <f>VLOOKUP($C126,'[1]PoB OT'!$C$1:$T$898,18,FALSE)</f>
        <v>7</v>
      </c>
      <c r="X126">
        <f>VLOOKUP($C126,'[1]PoB 2R'!$C$1:$T$898,17,FALSE)</f>
        <v>215</v>
      </c>
      <c r="Y126">
        <f>VLOOKUP($C126,'[1]PoB 2R'!$C$1:$T$898,18,FALSE)</f>
        <v>5</v>
      </c>
    </row>
    <row r="127" spans="1:25" x14ac:dyDescent="0.25">
      <c r="A127" t="s">
        <v>568</v>
      </c>
      <c r="B127">
        <v>5320155</v>
      </c>
      <c r="C127" t="s">
        <v>569</v>
      </c>
      <c r="D127">
        <f t="shared" si="3"/>
        <v>5813</v>
      </c>
      <c r="E127">
        <f>VLOOKUP($C127,'[1]PoB Totals'!$C$3:$T$898,17,FALSE)</f>
        <v>5290</v>
      </c>
      <c r="F127">
        <f>VLOOKUP($C127,'[1]PoB Totals'!$C$3:$T$898,18,FALSE)</f>
        <v>523</v>
      </c>
      <c r="G127">
        <f t="shared" si="4"/>
        <v>5813</v>
      </c>
      <c r="H127">
        <f t="shared" si="5"/>
        <v>5290</v>
      </c>
      <c r="I127">
        <f t="shared" si="5"/>
        <v>523</v>
      </c>
      <c r="J127">
        <f>VLOOKUP($C127,'[1]PoB WN'!$C$1:$T$898,17,FALSE)</f>
        <v>4788</v>
      </c>
      <c r="K127">
        <f>VLOOKUP($C127,'[1]PoB WN'!$C$1:$T$898,18,FALSE)</f>
        <v>124</v>
      </c>
      <c r="L127">
        <f>VLOOKUP($C127,'[1]PoB WH'!$C$1:$T$898,17,FALSE)</f>
        <v>136</v>
      </c>
      <c r="M127">
        <f>VLOOKUP($C127,'[1]PoB WH'!$C$1:$T$898,18,FALSE)</f>
        <v>143</v>
      </c>
      <c r="N127">
        <f>VLOOKUP($C127,'[1]PoB AA'!$C$1:$T$898,17,FALSE)</f>
        <v>16</v>
      </c>
      <c r="O127">
        <f>VLOOKUP($C127,'[1]PoB AA'!$C$1:$T$898,18,FALSE)</f>
        <v>0</v>
      </c>
      <c r="P127">
        <f>VLOOKUP($C127,'[1]PoB AI'!$C$1:$T$898,17,FALSE)</f>
        <v>14</v>
      </c>
      <c r="Q127">
        <f>VLOOKUP($C127,'[1]PoB AI'!$C$1:$T$898,18,FALSE)</f>
        <v>0</v>
      </c>
      <c r="R127">
        <f>VLOOKUP($C127,'[1]PoB AS'!$C$1:$T$898,17,FALSE)</f>
        <v>55</v>
      </c>
      <c r="S127">
        <f>VLOOKUP($C127,'[1]PoB AS'!$C$1:$T$898,18,FALSE)</f>
        <v>18</v>
      </c>
      <c r="T127">
        <f>VLOOKUP($C127,'[1]PoB PI'!$C$1:$T$898,17,FALSE)</f>
        <v>14</v>
      </c>
      <c r="U127">
        <f>VLOOKUP($C127,'[1]PoB PI'!$C$1:$T$898,18,FALSE)</f>
        <v>0</v>
      </c>
      <c r="V127">
        <f>VLOOKUP($C127,'[1]PoB OT'!$C$1:$T$898,17,FALSE)</f>
        <v>206</v>
      </c>
      <c r="W127">
        <f>VLOOKUP($C127,'[1]PoB OT'!$C$1:$T$898,18,FALSE)</f>
        <v>200</v>
      </c>
      <c r="X127">
        <f>VLOOKUP($C127,'[1]PoB 2R'!$C$1:$T$898,17,FALSE)</f>
        <v>61</v>
      </c>
      <c r="Y127">
        <f>VLOOKUP($C127,'[1]PoB 2R'!$C$1:$T$898,18,FALSE)</f>
        <v>38</v>
      </c>
    </row>
    <row r="128" spans="1:25" x14ac:dyDescent="0.25">
      <c r="A128" t="s">
        <v>1523</v>
      </c>
      <c r="B128">
        <v>5320190</v>
      </c>
      <c r="C128" t="s">
        <v>1524</v>
      </c>
      <c r="D128">
        <f t="shared" si="3"/>
        <v>13595</v>
      </c>
      <c r="E128">
        <f>VLOOKUP($C128,'[1]PoB Totals'!$C$3:$T$898,17,FALSE)</f>
        <v>12200</v>
      </c>
      <c r="F128">
        <f>VLOOKUP($C128,'[1]PoB Totals'!$C$3:$T$898,18,FALSE)</f>
        <v>1395</v>
      </c>
      <c r="G128">
        <f t="shared" si="4"/>
        <v>13595</v>
      </c>
      <c r="H128">
        <f t="shared" si="5"/>
        <v>12200</v>
      </c>
      <c r="I128">
        <f t="shared" si="5"/>
        <v>1395</v>
      </c>
      <c r="J128">
        <f>VLOOKUP($C128,'[1]PoB WN'!$C$1:$T$898,17,FALSE)</f>
        <v>11135</v>
      </c>
      <c r="K128">
        <f>VLOOKUP($C128,'[1]PoB WN'!$C$1:$T$898,18,FALSE)</f>
        <v>350</v>
      </c>
      <c r="L128">
        <f>VLOOKUP($C128,'[1]PoB WH'!$C$1:$T$898,17,FALSE)</f>
        <v>316</v>
      </c>
      <c r="M128">
        <f>VLOOKUP($C128,'[1]PoB WH'!$C$1:$T$898,18,FALSE)</f>
        <v>410</v>
      </c>
      <c r="N128">
        <f>VLOOKUP($C128,'[1]PoB AA'!$C$1:$T$898,17,FALSE)</f>
        <v>52</v>
      </c>
      <c r="O128">
        <f>VLOOKUP($C128,'[1]PoB AA'!$C$1:$T$898,18,FALSE)</f>
        <v>23</v>
      </c>
      <c r="P128">
        <f>VLOOKUP($C128,'[1]PoB AI'!$C$1:$T$898,17,FALSE)</f>
        <v>103</v>
      </c>
      <c r="Q128">
        <f>VLOOKUP($C128,'[1]PoB AI'!$C$1:$T$898,18,FALSE)</f>
        <v>6</v>
      </c>
      <c r="R128">
        <f>VLOOKUP($C128,'[1]PoB AS'!$C$1:$T$898,17,FALSE)</f>
        <v>28</v>
      </c>
      <c r="S128">
        <f>VLOOKUP($C128,'[1]PoB AS'!$C$1:$T$898,18,FALSE)</f>
        <v>110</v>
      </c>
      <c r="T128">
        <f>VLOOKUP($C128,'[1]PoB PI'!$C$1:$T$898,17,FALSE)</f>
        <v>14</v>
      </c>
      <c r="U128">
        <f>VLOOKUP($C128,'[1]PoB PI'!$C$1:$T$898,18,FALSE)</f>
        <v>0</v>
      </c>
      <c r="V128">
        <f>VLOOKUP($C128,'[1]PoB OT'!$C$1:$T$898,17,FALSE)</f>
        <v>330</v>
      </c>
      <c r="W128">
        <f>VLOOKUP($C128,'[1]PoB OT'!$C$1:$T$898,18,FALSE)</f>
        <v>444</v>
      </c>
      <c r="X128">
        <f>VLOOKUP($C128,'[1]PoB 2R'!$C$1:$T$898,17,FALSE)</f>
        <v>222</v>
      </c>
      <c r="Y128">
        <f>VLOOKUP($C128,'[1]PoB 2R'!$C$1:$T$898,18,FALSE)</f>
        <v>52</v>
      </c>
    </row>
    <row r="129" spans="1:25" x14ac:dyDescent="0.25">
      <c r="A129" t="s">
        <v>570</v>
      </c>
      <c r="B129">
        <v>5320260</v>
      </c>
      <c r="C129" t="s">
        <v>571</v>
      </c>
      <c r="D129">
        <f t="shared" si="3"/>
        <v>1970</v>
      </c>
      <c r="E129">
        <f>VLOOKUP($C129,'[1]PoB Totals'!$C$3:$T$898,17,FALSE)</f>
        <v>1859</v>
      </c>
      <c r="F129">
        <f>VLOOKUP($C129,'[1]PoB Totals'!$C$3:$T$898,18,FALSE)</f>
        <v>111</v>
      </c>
      <c r="G129">
        <f t="shared" si="4"/>
        <v>1970</v>
      </c>
      <c r="H129">
        <f t="shared" si="5"/>
        <v>1859</v>
      </c>
      <c r="I129">
        <f t="shared" si="5"/>
        <v>111</v>
      </c>
      <c r="J129">
        <f>VLOOKUP($C129,'[1]PoB WN'!$C$1:$T$898,17,FALSE)</f>
        <v>1697</v>
      </c>
      <c r="K129">
        <f>VLOOKUP($C129,'[1]PoB WN'!$C$1:$T$898,18,FALSE)</f>
        <v>60</v>
      </c>
      <c r="L129">
        <f>VLOOKUP($C129,'[1]PoB WH'!$C$1:$T$898,17,FALSE)</f>
        <v>34</v>
      </c>
      <c r="M129">
        <f>VLOOKUP($C129,'[1]PoB WH'!$C$1:$T$898,18,FALSE)</f>
        <v>0</v>
      </c>
      <c r="N129">
        <f>VLOOKUP($C129,'[1]PoB AA'!$C$1:$T$898,17,FALSE)</f>
        <v>0</v>
      </c>
      <c r="O129">
        <f>VLOOKUP($C129,'[1]PoB AA'!$C$1:$T$898,18,FALSE)</f>
        <v>0</v>
      </c>
      <c r="P129">
        <f>VLOOKUP($C129,'[1]PoB AI'!$C$1:$T$898,17,FALSE)</f>
        <v>23</v>
      </c>
      <c r="Q129">
        <f>VLOOKUP($C129,'[1]PoB AI'!$C$1:$T$898,18,FALSE)</f>
        <v>0</v>
      </c>
      <c r="R129">
        <f>VLOOKUP($C129,'[1]PoB AS'!$C$1:$T$898,17,FALSE)</f>
        <v>13</v>
      </c>
      <c r="S129">
        <f>VLOOKUP($C129,'[1]PoB AS'!$C$1:$T$898,18,FALSE)</f>
        <v>10</v>
      </c>
      <c r="T129">
        <f>VLOOKUP($C129,'[1]PoB PI'!$C$1:$T$898,17,FALSE)</f>
        <v>2</v>
      </c>
      <c r="U129">
        <f>VLOOKUP($C129,'[1]PoB PI'!$C$1:$T$898,18,FALSE)</f>
        <v>0</v>
      </c>
      <c r="V129">
        <f>VLOOKUP($C129,'[1]PoB OT'!$C$1:$T$898,17,FALSE)</f>
        <v>5</v>
      </c>
      <c r="W129">
        <f>VLOOKUP($C129,'[1]PoB OT'!$C$1:$T$898,18,FALSE)</f>
        <v>37</v>
      </c>
      <c r="X129">
        <f>VLOOKUP($C129,'[1]PoB 2R'!$C$1:$T$898,17,FALSE)</f>
        <v>85</v>
      </c>
      <c r="Y129">
        <f>VLOOKUP($C129,'[1]PoB 2R'!$C$1:$T$898,18,FALSE)</f>
        <v>4</v>
      </c>
    </row>
    <row r="130" spans="1:25" x14ac:dyDescent="0.25">
      <c r="A130" t="s">
        <v>1525</v>
      </c>
      <c r="B130">
        <v>5320417</v>
      </c>
      <c r="C130" t="s">
        <v>1526</v>
      </c>
      <c r="D130">
        <f t="shared" si="3"/>
        <v>926</v>
      </c>
      <c r="E130">
        <f>VLOOKUP($C130,'[1]PoB Totals'!$C$3:$T$898,17,FALSE)</f>
        <v>895</v>
      </c>
      <c r="F130">
        <f>VLOOKUP($C130,'[1]PoB Totals'!$C$3:$T$898,18,FALSE)</f>
        <v>31</v>
      </c>
      <c r="G130">
        <f t="shared" si="4"/>
        <v>926</v>
      </c>
      <c r="H130">
        <f t="shared" si="5"/>
        <v>895</v>
      </c>
      <c r="I130">
        <f t="shared" si="5"/>
        <v>31</v>
      </c>
      <c r="J130">
        <f>VLOOKUP($C130,'[1]PoB WN'!$C$1:$T$898,17,FALSE)</f>
        <v>814</v>
      </c>
      <c r="K130">
        <f>VLOOKUP($C130,'[1]PoB WN'!$C$1:$T$898,18,FALSE)</f>
        <v>10</v>
      </c>
      <c r="L130">
        <f>VLOOKUP($C130,'[1]PoB WH'!$C$1:$T$898,17,FALSE)</f>
        <v>0</v>
      </c>
      <c r="M130">
        <f>VLOOKUP($C130,'[1]PoB WH'!$C$1:$T$898,18,FALSE)</f>
        <v>5</v>
      </c>
      <c r="N130">
        <f>VLOOKUP($C130,'[1]PoB AA'!$C$1:$T$898,17,FALSE)</f>
        <v>0</v>
      </c>
      <c r="O130">
        <f>VLOOKUP($C130,'[1]PoB AA'!$C$1:$T$898,18,FALSE)</f>
        <v>6</v>
      </c>
      <c r="P130">
        <f>VLOOKUP($C130,'[1]PoB AI'!$C$1:$T$898,17,FALSE)</f>
        <v>0</v>
      </c>
      <c r="Q130">
        <f>VLOOKUP($C130,'[1]PoB AI'!$C$1:$T$898,18,FALSE)</f>
        <v>0</v>
      </c>
      <c r="R130">
        <f>VLOOKUP($C130,'[1]PoB AS'!$C$1:$T$898,17,FALSE)</f>
        <v>0</v>
      </c>
      <c r="S130">
        <f>VLOOKUP($C130,'[1]PoB AS'!$C$1:$T$898,18,FALSE)</f>
        <v>10</v>
      </c>
      <c r="T130">
        <f>VLOOKUP($C130,'[1]PoB PI'!$C$1:$T$898,17,FALSE)</f>
        <v>13</v>
      </c>
      <c r="U130">
        <f>VLOOKUP($C130,'[1]PoB PI'!$C$1:$T$898,18,FALSE)</f>
        <v>0</v>
      </c>
      <c r="V130">
        <f>VLOOKUP($C130,'[1]PoB OT'!$C$1:$T$898,17,FALSE)</f>
        <v>0</v>
      </c>
      <c r="W130">
        <f>VLOOKUP($C130,'[1]PoB OT'!$C$1:$T$898,18,FALSE)</f>
        <v>0</v>
      </c>
      <c r="X130">
        <f>VLOOKUP($C130,'[1]PoB 2R'!$C$1:$T$898,17,FALSE)</f>
        <v>68</v>
      </c>
      <c r="Y130">
        <f>VLOOKUP($C130,'[1]PoB 2R'!$C$1:$T$898,18,FALSE)</f>
        <v>0</v>
      </c>
    </row>
    <row r="131" spans="1:25" x14ac:dyDescent="0.25">
      <c r="A131" t="s">
        <v>572</v>
      </c>
      <c r="B131">
        <v>5320645</v>
      </c>
      <c r="C131" t="s">
        <v>573</v>
      </c>
      <c r="D131">
        <f t="shared" ref="D131:D194" si="6">SUM(E131,F131)</f>
        <v>9110</v>
      </c>
      <c r="E131">
        <f>VLOOKUP($C131,'[1]PoB Totals'!$C$3:$T$898,17,FALSE)</f>
        <v>8637</v>
      </c>
      <c r="F131">
        <f>VLOOKUP($C131,'[1]PoB Totals'!$C$3:$T$898,18,FALSE)</f>
        <v>473</v>
      </c>
      <c r="G131">
        <f t="shared" ref="G131:G194" si="7">H131+I131</f>
        <v>9110</v>
      </c>
      <c r="H131">
        <f t="shared" ref="H131:I194" si="8">SUM(J131,L131,N131,P131,R131,T131,V131,X131)</f>
        <v>8637</v>
      </c>
      <c r="I131">
        <f t="shared" si="8"/>
        <v>473</v>
      </c>
      <c r="J131">
        <f>VLOOKUP($C131,'[1]PoB WN'!$C$1:$T$898,17,FALSE)</f>
        <v>8009</v>
      </c>
      <c r="K131">
        <f>VLOOKUP($C131,'[1]PoB WN'!$C$1:$T$898,18,FALSE)</f>
        <v>289</v>
      </c>
      <c r="L131">
        <f>VLOOKUP($C131,'[1]PoB WH'!$C$1:$T$898,17,FALSE)</f>
        <v>102</v>
      </c>
      <c r="M131">
        <f>VLOOKUP($C131,'[1]PoB WH'!$C$1:$T$898,18,FALSE)</f>
        <v>29</v>
      </c>
      <c r="N131">
        <f>VLOOKUP($C131,'[1]PoB AA'!$C$1:$T$898,17,FALSE)</f>
        <v>50</v>
      </c>
      <c r="O131">
        <f>VLOOKUP($C131,'[1]PoB AA'!$C$1:$T$898,18,FALSE)</f>
        <v>0</v>
      </c>
      <c r="P131">
        <f>VLOOKUP($C131,'[1]PoB AI'!$C$1:$T$898,17,FALSE)</f>
        <v>73</v>
      </c>
      <c r="Q131">
        <f>VLOOKUP($C131,'[1]PoB AI'!$C$1:$T$898,18,FALSE)</f>
        <v>0</v>
      </c>
      <c r="R131">
        <f>VLOOKUP($C131,'[1]PoB AS'!$C$1:$T$898,17,FALSE)</f>
        <v>96</v>
      </c>
      <c r="S131">
        <f>VLOOKUP($C131,'[1]PoB AS'!$C$1:$T$898,18,FALSE)</f>
        <v>114</v>
      </c>
      <c r="T131">
        <f>VLOOKUP($C131,'[1]PoB PI'!$C$1:$T$898,17,FALSE)</f>
        <v>33</v>
      </c>
      <c r="U131">
        <f>VLOOKUP($C131,'[1]PoB PI'!$C$1:$T$898,18,FALSE)</f>
        <v>33</v>
      </c>
      <c r="V131">
        <f>VLOOKUP($C131,'[1]PoB OT'!$C$1:$T$898,17,FALSE)</f>
        <v>53</v>
      </c>
      <c r="W131">
        <f>VLOOKUP($C131,'[1]PoB OT'!$C$1:$T$898,18,FALSE)</f>
        <v>8</v>
      </c>
      <c r="X131">
        <f>VLOOKUP($C131,'[1]PoB 2R'!$C$1:$T$898,17,FALSE)</f>
        <v>221</v>
      </c>
      <c r="Y131">
        <f>VLOOKUP($C131,'[1]PoB 2R'!$C$1:$T$898,18,FALSE)</f>
        <v>0</v>
      </c>
    </row>
    <row r="132" spans="1:25" x14ac:dyDescent="0.25">
      <c r="A132" t="s">
        <v>574</v>
      </c>
      <c r="B132">
        <v>5320680</v>
      </c>
      <c r="C132" t="s">
        <v>575</v>
      </c>
      <c r="D132">
        <f t="shared" si="6"/>
        <v>142</v>
      </c>
      <c r="E132">
        <f>VLOOKUP($C132,'[1]PoB Totals'!$C$3:$T$898,17,FALSE)</f>
        <v>142</v>
      </c>
      <c r="F132">
        <f>VLOOKUP($C132,'[1]PoB Totals'!$C$3:$T$898,18,FALSE)</f>
        <v>0</v>
      </c>
      <c r="G132">
        <f t="shared" si="7"/>
        <v>142</v>
      </c>
      <c r="H132">
        <f t="shared" si="8"/>
        <v>142</v>
      </c>
      <c r="I132">
        <f t="shared" si="8"/>
        <v>0</v>
      </c>
      <c r="J132">
        <f>VLOOKUP($C132,'[1]PoB WN'!$C$1:$T$898,17,FALSE)</f>
        <v>95</v>
      </c>
      <c r="K132">
        <f>VLOOKUP($C132,'[1]PoB WN'!$C$1:$T$898,18,FALSE)</f>
        <v>0</v>
      </c>
      <c r="L132">
        <f>VLOOKUP($C132,'[1]PoB WH'!$C$1:$T$898,17,FALSE)</f>
        <v>0</v>
      </c>
      <c r="M132">
        <f>VLOOKUP($C132,'[1]PoB WH'!$C$1:$T$898,18,FALSE)</f>
        <v>0</v>
      </c>
      <c r="N132">
        <f>VLOOKUP($C132,'[1]PoB AA'!$C$1:$T$898,17,FALSE)</f>
        <v>0</v>
      </c>
      <c r="O132">
        <f>VLOOKUP($C132,'[1]PoB AA'!$C$1:$T$898,18,FALSE)</f>
        <v>0</v>
      </c>
      <c r="P132">
        <f>VLOOKUP($C132,'[1]PoB AI'!$C$1:$T$898,17,FALSE)</f>
        <v>7</v>
      </c>
      <c r="Q132">
        <f>VLOOKUP($C132,'[1]PoB AI'!$C$1:$T$898,18,FALSE)</f>
        <v>0</v>
      </c>
      <c r="R132">
        <f>VLOOKUP($C132,'[1]PoB AS'!$C$1:$T$898,17,FALSE)</f>
        <v>0</v>
      </c>
      <c r="S132">
        <f>VLOOKUP($C132,'[1]PoB AS'!$C$1:$T$898,18,FALSE)</f>
        <v>0</v>
      </c>
      <c r="T132">
        <f>VLOOKUP($C132,'[1]PoB PI'!$C$1:$T$898,17,FALSE)</f>
        <v>0</v>
      </c>
      <c r="U132">
        <f>VLOOKUP($C132,'[1]PoB PI'!$C$1:$T$898,18,FALSE)</f>
        <v>0</v>
      </c>
      <c r="V132">
        <f>VLOOKUP($C132,'[1]PoB OT'!$C$1:$T$898,17,FALSE)</f>
        <v>0</v>
      </c>
      <c r="W132">
        <f>VLOOKUP($C132,'[1]PoB OT'!$C$1:$T$898,18,FALSE)</f>
        <v>0</v>
      </c>
      <c r="X132">
        <f>VLOOKUP($C132,'[1]PoB 2R'!$C$1:$T$898,17,FALSE)</f>
        <v>40</v>
      </c>
      <c r="Y132">
        <f>VLOOKUP($C132,'[1]PoB 2R'!$C$1:$T$898,18,FALSE)</f>
        <v>0</v>
      </c>
    </row>
    <row r="133" spans="1:25" x14ac:dyDescent="0.25">
      <c r="A133" t="s">
        <v>576</v>
      </c>
      <c r="B133">
        <v>5320750</v>
      </c>
      <c r="C133" t="s">
        <v>577</v>
      </c>
      <c r="D133">
        <f t="shared" si="6"/>
        <v>39610</v>
      </c>
      <c r="E133">
        <f>VLOOKUP($C133,'[1]PoB Totals'!$C$3:$T$898,17,FALSE)</f>
        <v>34766</v>
      </c>
      <c r="F133">
        <f>VLOOKUP($C133,'[1]PoB Totals'!$C$3:$T$898,18,FALSE)</f>
        <v>4844</v>
      </c>
      <c r="G133">
        <f t="shared" si="7"/>
        <v>39610</v>
      </c>
      <c r="H133">
        <f t="shared" si="8"/>
        <v>34766</v>
      </c>
      <c r="I133">
        <f t="shared" si="8"/>
        <v>4844</v>
      </c>
      <c r="J133">
        <f>VLOOKUP($C133,'[1]PoB WN'!$C$1:$T$898,17,FALSE)</f>
        <v>31848</v>
      </c>
      <c r="K133">
        <f>VLOOKUP($C133,'[1]PoB WN'!$C$1:$T$898,18,FALSE)</f>
        <v>2451</v>
      </c>
      <c r="L133">
        <f>VLOOKUP($C133,'[1]PoB WH'!$C$1:$T$898,17,FALSE)</f>
        <v>374</v>
      </c>
      <c r="M133">
        <f>VLOOKUP($C133,'[1]PoB WH'!$C$1:$T$898,18,FALSE)</f>
        <v>232</v>
      </c>
      <c r="N133">
        <f>VLOOKUP($C133,'[1]PoB AA'!$C$1:$T$898,17,FALSE)</f>
        <v>299</v>
      </c>
      <c r="O133">
        <f>VLOOKUP($C133,'[1]PoB AA'!$C$1:$T$898,18,FALSE)</f>
        <v>90</v>
      </c>
      <c r="P133">
        <f>VLOOKUP($C133,'[1]PoB AI'!$C$1:$T$898,17,FALSE)</f>
        <v>309</v>
      </c>
      <c r="Q133">
        <f>VLOOKUP($C133,'[1]PoB AI'!$C$1:$T$898,18,FALSE)</f>
        <v>20</v>
      </c>
      <c r="R133">
        <f>VLOOKUP($C133,'[1]PoB AS'!$C$1:$T$898,17,FALSE)</f>
        <v>651</v>
      </c>
      <c r="S133">
        <f>VLOOKUP($C133,'[1]PoB AS'!$C$1:$T$898,18,FALSE)</f>
        <v>1536</v>
      </c>
      <c r="T133">
        <f>VLOOKUP($C133,'[1]PoB PI'!$C$1:$T$898,17,FALSE)</f>
        <v>87</v>
      </c>
      <c r="U133">
        <f>VLOOKUP($C133,'[1]PoB PI'!$C$1:$T$898,18,FALSE)</f>
        <v>66</v>
      </c>
      <c r="V133">
        <f>VLOOKUP($C133,'[1]PoB OT'!$C$1:$T$898,17,FALSE)</f>
        <v>224</v>
      </c>
      <c r="W133">
        <f>VLOOKUP($C133,'[1]PoB OT'!$C$1:$T$898,18,FALSE)</f>
        <v>273</v>
      </c>
      <c r="X133">
        <f>VLOOKUP($C133,'[1]PoB 2R'!$C$1:$T$898,17,FALSE)</f>
        <v>974</v>
      </c>
      <c r="Y133">
        <f>VLOOKUP($C133,'[1]PoB 2R'!$C$1:$T$898,18,FALSE)</f>
        <v>176</v>
      </c>
    </row>
    <row r="134" spans="1:25" x14ac:dyDescent="0.25">
      <c r="A134" t="s">
        <v>578</v>
      </c>
      <c r="B134">
        <v>5320890</v>
      </c>
      <c r="C134" t="s">
        <v>579</v>
      </c>
      <c r="D134">
        <f t="shared" si="6"/>
        <v>8</v>
      </c>
      <c r="E134">
        <f>VLOOKUP($C134,'[1]PoB Totals'!$C$3:$T$898,17,FALSE)</f>
        <v>8</v>
      </c>
      <c r="F134">
        <f>VLOOKUP($C134,'[1]PoB Totals'!$C$3:$T$898,18,FALSE)</f>
        <v>0</v>
      </c>
      <c r="G134">
        <f t="shared" si="7"/>
        <v>8</v>
      </c>
      <c r="H134">
        <f t="shared" si="8"/>
        <v>8</v>
      </c>
      <c r="I134">
        <f t="shared" si="8"/>
        <v>0</v>
      </c>
      <c r="J134">
        <f>VLOOKUP($C134,'[1]PoB WN'!$C$1:$T$898,17,FALSE)</f>
        <v>8</v>
      </c>
      <c r="K134">
        <f>VLOOKUP($C134,'[1]PoB WN'!$C$1:$T$898,18,FALSE)</f>
        <v>0</v>
      </c>
      <c r="L134">
        <f>VLOOKUP($C134,'[1]PoB WH'!$C$1:$T$898,17,FALSE)</f>
        <v>0</v>
      </c>
      <c r="M134">
        <f>VLOOKUP($C134,'[1]PoB WH'!$C$1:$T$898,18,FALSE)</f>
        <v>0</v>
      </c>
      <c r="N134">
        <f>VLOOKUP($C134,'[1]PoB AA'!$C$1:$T$898,17,FALSE)</f>
        <v>0</v>
      </c>
      <c r="O134">
        <f>VLOOKUP($C134,'[1]PoB AA'!$C$1:$T$898,18,FALSE)</f>
        <v>0</v>
      </c>
      <c r="P134">
        <f>VLOOKUP($C134,'[1]PoB AI'!$C$1:$T$898,17,FALSE)</f>
        <v>0</v>
      </c>
      <c r="Q134">
        <f>VLOOKUP($C134,'[1]PoB AI'!$C$1:$T$898,18,FALSE)</f>
        <v>0</v>
      </c>
      <c r="R134">
        <f>VLOOKUP($C134,'[1]PoB AS'!$C$1:$T$898,17,FALSE)</f>
        <v>0</v>
      </c>
      <c r="S134">
        <f>VLOOKUP($C134,'[1]PoB AS'!$C$1:$T$898,18,FALSE)</f>
        <v>0</v>
      </c>
      <c r="T134">
        <f>VLOOKUP($C134,'[1]PoB PI'!$C$1:$T$898,17,FALSE)</f>
        <v>0</v>
      </c>
      <c r="U134">
        <f>VLOOKUP($C134,'[1]PoB PI'!$C$1:$T$898,18,FALSE)</f>
        <v>0</v>
      </c>
      <c r="V134">
        <f>VLOOKUP($C134,'[1]PoB OT'!$C$1:$T$898,17,FALSE)</f>
        <v>0</v>
      </c>
      <c r="W134">
        <f>VLOOKUP($C134,'[1]PoB OT'!$C$1:$T$898,18,FALSE)</f>
        <v>0</v>
      </c>
      <c r="X134">
        <f>VLOOKUP($C134,'[1]PoB 2R'!$C$1:$T$898,17,FALSE)</f>
        <v>0</v>
      </c>
      <c r="Y134">
        <f>VLOOKUP($C134,'[1]PoB 2R'!$C$1:$T$898,18,FALSE)</f>
        <v>0</v>
      </c>
    </row>
    <row r="135" spans="1:25" x14ac:dyDescent="0.25">
      <c r="A135" t="s">
        <v>580</v>
      </c>
      <c r="B135">
        <v>5321030</v>
      </c>
      <c r="C135" t="s">
        <v>1527</v>
      </c>
      <c r="D135">
        <f t="shared" si="6"/>
        <v>903</v>
      </c>
      <c r="E135">
        <f>VLOOKUP($C135,'[1]PoB Totals'!$C$3:$T$898,17,FALSE)</f>
        <v>887</v>
      </c>
      <c r="F135">
        <f>VLOOKUP($C135,'[1]PoB Totals'!$C$3:$T$898,18,FALSE)</f>
        <v>16</v>
      </c>
      <c r="G135">
        <f t="shared" si="7"/>
        <v>903</v>
      </c>
      <c r="H135">
        <f t="shared" si="8"/>
        <v>887</v>
      </c>
      <c r="I135">
        <f t="shared" si="8"/>
        <v>16</v>
      </c>
      <c r="J135">
        <f>VLOOKUP($C135,'[1]PoB WN'!$C$1:$T$898,17,FALSE)</f>
        <v>800</v>
      </c>
      <c r="K135">
        <f>VLOOKUP($C135,'[1]PoB WN'!$C$1:$T$898,18,FALSE)</f>
        <v>16</v>
      </c>
      <c r="L135">
        <f>VLOOKUP($C135,'[1]PoB WH'!$C$1:$T$898,17,FALSE)</f>
        <v>5</v>
      </c>
      <c r="M135">
        <f>VLOOKUP($C135,'[1]PoB WH'!$C$1:$T$898,18,FALSE)</f>
        <v>0</v>
      </c>
      <c r="N135">
        <f>VLOOKUP($C135,'[1]PoB AA'!$C$1:$T$898,17,FALSE)</f>
        <v>3</v>
      </c>
      <c r="O135">
        <f>VLOOKUP($C135,'[1]PoB AA'!$C$1:$T$898,18,FALSE)</f>
        <v>0</v>
      </c>
      <c r="P135">
        <f>VLOOKUP($C135,'[1]PoB AI'!$C$1:$T$898,17,FALSE)</f>
        <v>57</v>
      </c>
      <c r="Q135">
        <f>VLOOKUP($C135,'[1]PoB AI'!$C$1:$T$898,18,FALSE)</f>
        <v>0</v>
      </c>
      <c r="R135">
        <f>VLOOKUP($C135,'[1]PoB AS'!$C$1:$T$898,17,FALSE)</f>
        <v>2</v>
      </c>
      <c r="S135">
        <f>VLOOKUP($C135,'[1]PoB AS'!$C$1:$T$898,18,FALSE)</f>
        <v>0</v>
      </c>
      <c r="T135">
        <f>VLOOKUP($C135,'[1]PoB PI'!$C$1:$T$898,17,FALSE)</f>
        <v>0</v>
      </c>
      <c r="U135">
        <f>VLOOKUP($C135,'[1]PoB PI'!$C$1:$T$898,18,FALSE)</f>
        <v>0</v>
      </c>
      <c r="V135">
        <f>VLOOKUP($C135,'[1]PoB OT'!$C$1:$T$898,17,FALSE)</f>
        <v>2</v>
      </c>
      <c r="W135">
        <f>VLOOKUP($C135,'[1]PoB OT'!$C$1:$T$898,18,FALSE)</f>
        <v>0</v>
      </c>
      <c r="X135">
        <f>VLOOKUP($C135,'[1]PoB 2R'!$C$1:$T$898,17,FALSE)</f>
        <v>18</v>
      </c>
      <c r="Y135">
        <f>VLOOKUP($C135,'[1]PoB 2R'!$C$1:$T$898,18,FALSE)</f>
        <v>0</v>
      </c>
    </row>
    <row r="136" spans="1:25" x14ac:dyDescent="0.25">
      <c r="A136" t="s">
        <v>582</v>
      </c>
      <c r="B136">
        <v>5321205</v>
      </c>
      <c r="C136" t="s">
        <v>583</v>
      </c>
      <c r="D136">
        <f t="shared" si="6"/>
        <v>15687</v>
      </c>
      <c r="E136">
        <f>VLOOKUP($C136,'[1]PoB Totals'!$C$3:$T$898,17,FALSE)</f>
        <v>14089</v>
      </c>
      <c r="F136">
        <f>VLOOKUP($C136,'[1]PoB Totals'!$C$3:$T$898,18,FALSE)</f>
        <v>1598</v>
      </c>
      <c r="G136">
        <f t="shared" si="7"/>
        <v>15687</v>
      </c>
      <c r="H136">
        <f t="shared" si="8"/>
        <v>14089</v>
      </c>
      <c r="I136">
        <f t="shared" si="8"/>
        <v>1598</v>
      </c>
      <c r="J136">
        <f>VLOOKUP($C136,'[1]PoB WN'!$C$1:$T$898,17,FALSE)</f>
        <v>11611</v>
      </c>
      <c r="K136">
        <f>VLOOKUP($C136,'[1]PoB WN'!$C$1:$T$898,18,FALSE)</f>
        <v>740</v>
      </c>
      <c r="L136">
        <f>VLOOKUP($C136,'[1]PoB WH'!$C$1:$T$898,17,FALSE)</f>
        <v>277</v>
      </c>
      <c r="M136">
        <f>VLOOKUP($C136,'[1]PoB WH'!$C$1:$T$898,18,FALSE)</f>
        <v>30</v>
      </c>
      <c r="N136">
        <f>VLOOKUP($C136,'[1]PoB AA'!$C$1:$T$898,17,FALSE)</f>
        <v>766</v>
      </c>
      <c r="O136">
        <f>VLOOKUP($C136,'[1]PoB AA'!$C$1:$T$898,18,FALSE)</f>
        <v>96</v>
      </c>
      <c r="P136">
        <f>VLOOKUP($C136,'[1]PoB AI'!$C$1:$T$898,17,FALSE)</f>
        <v>286</v>
      </c>
      <c r="Q136">
        <f>VLOOKUP($C136,'[1]PoB AI'!$C$1:$T$898,18,FALSE)</f>
        <v>0</v>
      </c>
      <c r="R136">
        <f>VLOOKUP($C136,'[1]PoB AS'!$C$1:$T$898,17,FALSE)</f>
        <v>241</v>
      </c>
      <c r="S136">
        <f>VLOOKUP($C136,'[1]PoB AS'!$C$1:$T$898,18,FALSE)</f>
        <v>386</v>
      </c>
      <c r="T136">
        <f>VLOOKUP($C136,'[1]PoB PI'!$C$1:$T$898,17,FALSE)</f>
        <v>72</v>
      </c>
      <c r="U136">
        <f>VLOOKUP($C136,'[1]PoB PI'!$C$1:$T$898,18,FALSE)</f>
        <v>146</v>
      </c>
      <c r="V136">
        <f>VLOOKUP($C136,'[1]PoB OT'!$C$1:$T$898,17,FALSE)</f>
        <v>125</v>
      </c>
      <c r="W136">
        <f>VLOOKUP($C136,'[1]PoB OT'!$C$1:$T$898,18,FALSE)</f>
        <v>72</v>
      </c>
      <c r="X136">
        <f>VLOOKUP($C136,'[1]PoB 2R'!$C$1:$T$898,17,FALSE)</f>
        <v>711</v>
      </c>
      <c r="Y136">
        <f>VLOOKUP($C136,'[1]PoB 2R'!$C$1:$T$898,18,FALSE)</f>
        <v>128</v>
      </c>
    </row>
    <row r="137" spans="1:25" x14ac:dyDescent="0.25">
      <c r="A137" t="s">
        <v>584</v>
      </c>
      <c r="B137">
        <v>5321240</v>
      </c>
      <c r="C137" t="s">
        <v>585</v>
      </c>
      <c r="D137">
        <f t="shared" si="6"/>
        <v>15369</v>
      </c>
      <c r="E137">
        <f>VLOOKUP($C137,'[1]PoB Totals'!$C$3:$T$898,17,FALSE)</f>
        <v>14170</v>
      </c>
      <c r="F137">
        <f>VLOOKUP($C137,'[1]PoB Totals'!$C$3:$T$898,18,FALSE)</f>
        <v>1199</v>
      </c>
      <c r="G137">
        <f t="shared" si="7"/>
        <v>15369</v>
      </c>
      <c r="H137">
        <f t="shared" si="8"/>
        <v>14170</v>
      </c>
      <c r="I137">
        <f t="shared" si="8"/>
        <v>1199</v>
      </c>
      <c r="J137">
        <f>VLOOKUP($C137,'[1]PoB WN'!$C$1:$T$898,17,FALSE)</f>
        <v>12805</v>
      </c>
      <c r="K137">
        <f>VLOOKUP($C137,'[1]PoB WN'!$C$1:$T$898,18,FALSE)</f>
        <v>351</v>
      </c>
      <c r="L137">
        <f>VLOOKUP($C137,'[1]PoB WH'!$C$1:$T$898,17,FALSE)</f>
        <v>360</v>
      </c>
      <c r="M137">
        <f>VLOOKUP($C137,'[1]PoB WH'!$C$1:$T$898,18,FALSE)</f>
        <v>189</v>
      </c>
      <c r="N137">
        <f>VLOOKUP($C137,'[1]PoB AA'!$C$1:$T$898,17,FALSE)</f>
        <v>214</v>
      </c>
      <c r="O137">
        <f>VLOOKUP($C137,'[1]PoB AA'!$C$1:$T$898,18,FALSE)</f>
        <v>4</v>
      </c>
      <c r="P137">
        <f>VLOOKUP($C137,'[1]PoB AI'!$C$1:$T$898,17,FALSE)</f>
        <v>148</v>
      </c>
      <c r="Q137">
        <f>VLOOKUP($C137,'[1]PoB AI'!$C$1:$T$898,18,FALSE)</f>
        <v>0</v>
      </c>
      <c r="R137">
        <f>VLOOKUP($C137,'[1]PoB AS'!$C$1:$T$898,17,FALSE)</f>
        <v>76</v>
      </c>
      <c r="S137">
        <f>VLOOKUP($C137,'[1]PoB AS'!$C$1:$T$898,18,FALSE)</f>
        <v>400</v>
      </c>
      <c r="T137">
        <f>VLOOKUP($C137,'[1]PoB PI'!$C$1:$T$898,17,FALSE)</f>
        <v>58</v>
      </c>
      <c r="U137">
        <f>VLOOKUP($C137,'[1]PoB PI'!$C$1:$T$898,18,FALSE)</f>
        <v>57</v>
      </c>
      <c r="V137">
        <f>VLOOKUP($C137,'[1]PoB OT'!$C$1:$T$898,17,FALSE)</f>
        <v>130</v>
      </c>
      <c r="W137">
        <f>VLOOKUP($C137,'[1]PoB OT'!$C$1:$T$898,18,FALSE)</f>
        <v>132</v>
      </c>
      <c r="X137">
        <f>VLOOKUP($C137,'[1]PoB 2R'!$C$1:$T$898,17,FALSE)</f>
        <v>379</v>
      </c>
      <c r="Y137">
        <f>VLOOKUP($C137,'[1]PoB 2R'!$C$1:$T$898,18,FALSE)</f>
        <v>66</v>
      </c>
    </row>
    <row r="138" spans="1:25" x14ac:dyDescent="0.25">
      <c r="A138" t="s">
        <v>586</v>
      </c>
      <c r="B138">
        <v>5321450</v>
      </c>
      <c r="C138" t="s">
        <v>587</v>
      </c>
      <c r="D138">
        <f t="shared" si="6"/>
        <v>2955</v>
      </c>
      <c r="E138">
        <f>VLOOKUP($C138,'[1]PoB Totals'!$C$3:$T$898,17,FALSE)</f>
        <v>2868</v>
      </c>
      <c r="F138">
        <f>VLOOKUP($C138,'[1]PoB Totals'!$C$3:$T$898,18,FALSE)</f>
        <v>87</v>
      </c>
      <c r="G138">
        <f t="shared" si="7"/>
        <v>2955</v>
      </c>
      <c r="H138">
        <f t="shared" si="8"/>
        <v>2868</v>
      </c>
      <c r="I138">
        <f t="shared" si="8"/>
        <v>87</v>
      </c>
      <c r="J138">
        <f>VLOOKUP($C138,'[1]PoB WN'!$C$1:$T$898,17,FALSE)</f>
        <v>2631</v>
      </c>
      <c r="K138">
        <f>VLOOKUP($C138,'[1]PoB WN'!$C$1:$T$898,18,FALSE)</f>
        <v>30</v>
      </c>
      <c r="L138">
        <f>VLOOKUP($C138,'[1]PoB WH'!$C$1:$T$898,17,FALSE)</f>
        <v>34</v>
      </c>
      <c r="M138">
        <f>VLOOKUP($C138,'[1]PoB WH'!$C$1:$T$898,18,FALSE)</f>
        <v>8</v>
      </c>
      <c r="N138">
        <f>VLOOKUP($C138,'[1]PoB AA'!$C$1:$T$898,17,FALSE)</f>
        <v>0</v>
      </c>
      <c r="O138">
        <f>VLOOKUP($C138,'[1]PoB AA'!$C$1:$T$898,18,FALSE)</f>
        <v>0</v>
      </c>
      <c r="P138">
        <f>VLOOKUP($C138,'[1]PoB AI'!$C$1:$T$898,17,FALSE)</f>
        <v>44</v>
      </c>
      <c r="Q138">
        <f>VLOOKUP($C138,'[1]PoB AI'!$C$1:$T$898,18,FALSE)</f>
        <v>11</v>
      </c>
      <c r="R138">
        <f>VLOOKUP($C138,'[1]PoB AS'!$C$1:$T$898,17,FALSE)</f>
        <v>6</v>
      </c>
      <c r="S138">
        <f>VLOOKUP($C138,'[1]PoB AS'!$C$1:$T$898,18,FALSE)</f>
        <v>10</v>
      </c>
      <c r="T138">
        <f>VLOOKUP($C138,'[1]PoB PI'!$C$1:$T$898,17,FALSE)</f>
        <v>0</v>
      </c>
      <c r="U138">
        <f>VLOOKUP($C138,'[1]PoB PI'!$C$1:$T$898,18,FALSE)</f>
        <v>0</v>
      </c>
      <c r="V138">
        <f>VLOOKUP($C138,'[1]PoB OT'!$C$1:$T$898,17,FALSE)</f>
        <v>17</v>
      </c>
      <c r="W138">
        <f>VLOOKUP($C138,'[1]PoB OT'!$C$1:$T$898,18,FALSE)</f>
        <v>12</v>
      </c>
      <c r="X138">
        <f>VLOOKUP($C138,'[1]PoB 2R'!$C$1:$T$898,17,FALSE)</f>
        <v>136</v>
      </c>
      <c r="Y138">
        <f>VLOOKUP($C138,'[1]PoB 2R'!$C$1:$T$898,18,FALSE)</f>
        <v>16</v>
      </c>
    </row>
    <row r="139" spans="1:25" x14ac:dyDescent="0.25">
      <c r="A139" t="s">
        <v>588</v>
      </c>
      <c r="B139">
        <v>5321485</v>
      </c>
      <c r="C139" t="s">
        <v>589</v>
      </c>
      <c r="D139">
        <f t="shared" si="6"/>
        <v>290</v>
      </c>
      <c r="E139">
        <f>VLOOKUP($C139,'[1]PoB Totals'!$C$3:$T$898,17,FALSE)</f>
        <v>284</v>
      </c>
      <c r="F139">
        <f>VLOOKUP($C139,'[1]PoB Totals'!$C$3:$T$898,18,FALSE)</f>
        <v>6</v>
      </c>
      <c r="G139">
        <f t="shared" si="7"/>
        <v>290</v>
      </c>
      <c r="H139">
        <f t="shared" si="8"/>
        <v>284</v>
      </c>
      <c r="I139">
        <f t="shared" si="8"/>
        <v>6</v>
      </c>
      <c r="J139">
        <f>VLOOKUP($C139,'[1]PoB WN'!$C$1:$T$898,17,FALSE)</f>
        <v>156</v>
      </c>
      <c r="K139">
        <f>VLOOKUP($C139,'[1]PoB WN'!$C$1:$T$898,18,FALSE)</f>
        <v>6</v>
      </c>
      <c r="L139">
        <f>VLOOKUP($C139,'[1]PoB WH'!$C$1:$T$898,17,FALSE)</f>
        <v>8</v>
      </c>
      <c r="M139">
        <f>VLOOKUP($C139,'[1]PoB WH'!$C$1:$T$898,18,FALSE)</f>
        <v>0</v>
      </c>
      <c r="N139">
        <f>VLOOKUP($C139,'[1]PoB AA'!$C$1:$T$898,17,FALSE)</f>
        <v>0</v>
      </c>
      <c r="O139">
        <f>VLOOKUP($C139,'[1]PoB AA'!$C$1:$T$898,18,FALSE)</f>
        <v>0</v>
      </c>
      <c r="P139">
        <f>VLOOKUP($C139,'[1]PoB AI'!$C$1:$T$898,17,FALSE)</f>
        <v>114</v>
      </c>
      <c r="Q139">
        <f>VLOOKUP($C139,'[1]PoB AI'!$C$1:$T$898,18,FALSE)</f>
        <v>0</v>
      </c>
      <c r="R139">
        <f>VLOOKUP($C139,'[1]PoB AS'!$C$1:$T$898,17,FALSE)</f>
        <v>0</v>
      </c>
      <c r="S139">
        <f>VLOOKUP($C139,'[1]PoB AS'!$C$1:$T$898,18,FALSE)</f>
        <v>0</v>
      </c>
      <c r="T139">
        <f>VLOOKUP($C139,'[1]PoB PI'!$C$1:$T$898,17,FALSE)</f>
        <v>0</v>
      </c>
      <c r="U139">
        <f>VLOOKUP($C139,'[1]PoB PI'!$C$1:$T$898,18,FALSE)</f>
        <v>0</v>
      </c>
      <c r="V139">
        <f>VLOOKUP($C139,'[1]PoB OT'!$C$1:$T$898,17,FALSE)</f>
        <v>0</v>
      </c>
      <c r="W139">
        <f>VLOOKUP($C139,'[1]PoB OT'!$C$1:$T$898,18,FALSE)</f>
        <v>0</v>
      </c>
      <c r="X139">
        <f>VLOOKUP($C139,'[1]PoB 2R'!$C$1:$T$898,17,FALSE)</f>
        <v>6</v>
      </c>
      <c r="Y139">
        <f>VLOOKUP($C139,'[1]PoB 2R'!$C$1:$T$898,18,FALSE)</f>
        <v>0</v>
      </c>
    </row>
    <row r="140" spans="1:25" x14ac:dyDescent="0.25">
      <c r="A140" t="s">
        <v>590</v>
      </c>
      <c r="B140">
        <v>5321730</v>
      </c>
      <c r="C140" t="s">
        <v>591</v>
      </c>
      <c r="D140">
        <f t="shared" si="6"/>
        <v>621</v>
      </c>
      <c r="E140">
        <f>VLOOKUP($C140,'[1]PoB Totals'!$C$3:$T$898,17,FALSE)</f>
        <v>610</v>
      </c>
      <c r="F140">
        <f>VLOOKUP($C140,'[1]PoB Totals'!$C$3:$T$898,18,FALSE)</f>
        <v>11</v>
      </c>
      <c r="G140">
        <f t="shared" si="7"/>
        <v>621</v>
      </c>
      <c r="H140">
        <f t="shared" si="8"/>
        <v>610</v>
      </c>
      <c r="I140">
        <f t="shared" si="8"/>
        <v>11</v>
      </c>
      <c r="J140">
        <f>VLOOKUP($C140,'[1]PoB WN'!$C$1:$T$898,17,FALSE)</f>
        <v>535</v>
      </c>
      <c r="K140">
        <f>VLOOKUP($C140,'[1]PoB WN'!$C$1:$T$898,18,FALSE)</f>
        <v>11</v>
      </c>
      <c r="L140">
        <f>VLOOKUP($C140,'[1]PoB WH'!$C$1:$T$898,17,FALSE)</f>
        <v>2</v>
      </c>
      <c r="M140">
        <f>VLOOKUP($C140,'[1]PoB WH'!$C$1:$T$898,18,FALSE)</f>
        <v>0</v>
      </c>
      <c r="N140">
        <f>VLOOKUP($C140,'[1]PoB AA'!$C$1:$T$898,17,FALSE)</f>
        <v>0</v>
      </c>
      <c r="O140">
        <f>VLOOKUP($C140,'[1]PoB AA'!$C$1:$T$898,18,FALSE)</f>
        <v>0</v>
      </c>
      <c r="P140">
        <f>VLOOKUP($C140,'[1]PoB AI'!$C$1:$T$898,17,FALSE)</f>
        <v>6</v>
      </c>
      <c r="Q140">
        <f>VLOOKUP($C140,'[1]PoB AI'!$C$1:$T$898,18,FALSE)</f>
        <v>0</v>
      </c>
      <c r="R140">
        <f>VLOOKUP($C140,'[1]PoB AS'!$C$1:$T$898,17,FALSE)</f>
        <v>65</v>
      </c>
      <c r="S140">
        <f>VLOOKUP($C140,'[1]PoB AS'!$C$1:$T$898,18,FALSE)</f>
        <v>0</v>
      </c>
      <c r="T140">
        <f>VLOOKUP($C140,'[1]PoB PI'!$C$1:$T$898,17,FALSE)</f>
        <v>0</v>
      </c>
      <c r="U140">
        <f>VLOOKUP($C140,'[1]PoB PI'!$C$1:$T$898,18,FALSE)</f>
        <v>0</v>
      </c>
      <c r="V140">
        <f>VLOOKUP($C140,'[1]PoB OT'!$C$1:$T$898,17,FALSE)</f>
        <v>0</v>
      </c>
      <c r="W140">
        <f>VLOOKUP($C140,'[1]PoB OT'!$C$1:$T$898,18,FALSE)</f>
        <v>0</v>
      </c>
      <c r="X140">
        <f>VLOOKUP($C140,'[1]PoB 2R'!$C$1:$T$898,17,FALSE)</f>
        <v>2</v>
      </c>
      <c r="Y140">
        <f>VLOOKUP($C140,'[1]PoB 2R'!$C$1:$T$898,18,FALSE)</f>
        <v>0</v>
      </c>
    </row>
    <row r="141" spans="1:25" x14ac:dyDescent="0.25">
      <c r="A141" t="s">
        <v>594</v>
      </c>
      <c r="B141">
        <v>5322010</v>
      </c>
      <c r="C141" t="s">
        <v>595</v>
      </c>
      <c r="D141">
        <f t="shared" si="6"/>
        <v>959</v>
      </c>
      <c r="E141">
        <f>VLOOKUP($C141,'[1]PoB Totals'!$C$3:$T$898,17,FALSE)</f>
        <v>852</v>
      </c>
      <c r="F141">
        <f>VLOOKUP($C141,'[1]PoB Totals'!$C$3:$T$898,18,FALSE)</f>
        <v>107</v>
      </c>
      <c r="G141">
        <f t="shared" si="7"/>
        <v>959</v>
      </c>
      <c r="H141">
        <f t="shared" si="8"/>
        <v>852</v>
      </c>
      <c r="I141">
        <f t="shared" si="8"/>
        <v>107</v>
      </c>
      <c r="J141">
        <f>VLOOKUP($C141,'[1]PoB WN'!$C$1:$T$898,17,FALSE)</f>
        <v>680</v>
      </c>
      <c r="K141">
        <f>VLOOKUP($C141,'[1]PoB WN'!$C$1:$T$898,18,FALSE)</f>
        <v>19</v>
      </c>
      <c r="L141">
        <f>VLOOKUP($C141,'[1]PoB WH'!$C$1:$T$898,17,FALSE)</f>
        <v>32</v>
      </c>
      <c r="M141">
        <f>VLOOKUP($C141,'[1]PoB WH'!$C$1:$T$898,18,FALSE)</f>
        <v>24</v>
      </c>
      <c r="N141">
        <f>VLOOKUP($C141,'[1]PoB AA'!$C$1:$T$898,17,FALSE)</f>
        <v>1</v>
      </c>
      <c r="O141">
        <f>VLOOKUP($C141,'[1]PoB AA'!$C$1:$T$898,18,FALSE)</f>
        <v>2</v>
      </c>
      <c r="P141">
        <f>VLOOKUP($C141,'[1]PoB AI'!$C$1:$T$898,17,FALSE)</f>
        <v>33</v>
      </c>
      <c r="Q141">
        <f>VLOOKUP($C141,'[1]PoB AI'!$C$1:$T$898,18,FALSE)</f>
        <v>0</v>
      </c>
      <c r="R141">
        <f>VLOOKUP($C141,'[1]PoB AS'!$C$1:$T$898,17,FALSE)</f>
        <v>0</v>
      </c>
      <c r="S141">
        <f>VLOOKUP($C141,'[1]PoB AS'!$C$1:$T$898,18,FALSE)</f>
        <v>0</v>
      </c>
      <c r="T141">
        <f>VLOOKUP($C141,'[1]PoB PI'!$C$1:$T$898,17,FALSE)</f>
        <v>0</v>
      </c>
      <c r="U141">
        <f>VLOOKUP($C141,'[1]PoB PI'!$C$1:$T$898,18,FALSE)</f>
        <v>0</v>
      </c>
      <c r="V141">
        <f>VLOOKUP($C141,'[1]PoB OT'!$C$1:$T$898,17,FALSE)</f>
        <v>76</v>
      </c>
      <c r="W141">
        <f>VLOOKUP($C141,'[1]PoB OT'!$C$1:$T$898,18,FALSE)</f>
        <v>56</v>
      </c>
      <c r="X141">
        <f>VLOOKUP($C141,'[1]PoB 2R'!$C$1:$T$898,17,FALSE)</f>
        <v>30</v>
      </c>
      <c r="Y141">
        <f>VLOOKUP($C141,'[1]PoB 2R'!$C$1:$T$898,18,FALSE)</f>
        <v>6</v>
      </c>
    </row>
    <row r="142" spans="1:25" x14ac:dyDescent="0.25">
      <c r="A142" t="s">
        <v>596</v>
      </c>
      <c r="B142">
        <v>5322045</v>
      </c>
      <c r="C142" t="s">
        <v>597</v>
      </c>
      <c r="D142">
        <f t="shared" si="6"/>
        <v>11183</v>
      </c>
      <c r="E142">
        <f>VLOOKUP($C142,'[1]PoB Totals'!$C$3:$T$898,17,FALSE)</f>
        <v>10694</v>
      </c>
      <c r="F142">
        <f>VLOOKUP($C142,'[1]PoB Totals'!$C$3:$T$898,18,FALSE)</f>
        <v>489</v>
      </c>
      <c r="G142">
        <f t="shared" si="7"/>
        <v>11183</v>
      </c>
      <c r="H142">
        <f t="shared" si="8"/>
        <v>10694</v>
      </c>
      <c r="I142">
        <f t="shared" si="8"/>
        <v>489</v>
      </c>
      <c r="J142">
        <f>VLOOKUP($C142,'[1]PoB WN'!$C$1:$T$898,17,FALSE)</f>
        <v>9860</v>
      </c>
      <c r="K142">
        <f>VLOOKUP($C142,'[1]PoB WN'!$C$1:$T$898,18,FALSE)</f>
        <v>314</v>
      </c>
      <c r="L142">
        <f>VLOOKUP($C142,'[1]PoB WH'!$C$1:$T$898,17,FALSE)</f>
        <v>242</v>
      </c>
      <c r="M142">
        <f>VLOOKUP($C142,'[1]PoB WH'!$C$1:$T$898,18,FALSE)</f>
        <v>13</v>
      </c>
      <c r="N142">
        <f>VLOOKUP($C142,'[1]PoB AA'!$C$1:$T$898,17,FALSE)</f>
        <v>85</v>
      </c>
      <c r="O142">
        <f>VLOOKUP($C142,'[1]PoB AA'!$C$1:$T$898,18,FALSE)</f>
        <v>0</v>
      </c>
      <c r="P142">
        <f>VLOOKUP($C142,'[1]PoB AI'!$C$1:$T$898,17,FALSE)</f>
        <v>80</v>
      </c>
      <c r="Q142">
        <f>VLOOKUP($C142,'[1]PoB AI'!$C$1:$T$898,18,FALSE)</f>
        <v>0</v>
      </c>
      <c r="R142">
        <f>VLOOKUP($C142,'[1]PoB AS'!$C$1:$T$898,17,FALSE)</f>
        <v>38</v>
      </c>
      <c r="S142">
        <f>VLOOKUP($C142,'[1]PoB AS'!$C$1:$T$898,18,FALSE)</f>
        <v>8</v>
      </c>
      <c r="T142">
        <f>VLOOKUP($C142,'[1]PoB PI'!$C$1:$T$898,17,FALSE)</f>
        <v>0</v>
      </c>
      <c r="U142">
        <f>VLOOKUP($C142,'[1]PoB PI'!$C$1:$T$898,18,FALSE)</f>
        <v>0</v>
      </c>
      <c r="V142">
        <f>VLOOKUP($C142,'[1]PoB OT'!$C$1:$T$898,17,FALSE)</f>
        <v>52</v>
      </c>
      <c r="W142">
        <f>VLOOKUP($C142,'[1]PoB OT'!$C$1:$T$898,18,FALSE)</f>
        <v>117</v>
      </c>
      <c r="X142">
        <f>VLOOKUP($C142,'[1]PoB 2R'!$C$1:$T$898,17,FALSE)</f>
        <v>337</v>
      </c>
      <c r="Y142">
        <f>VLOOKUP($C142,'[1]PoB 2R'!$C$1:$T$898,18,FALSE)</f>
        <v>37</v>
      </c>
    </row>
    <row r="143" spans="1:25" x14ac:dyDescent="0.25">
      <c r="A143" t="s">
        <v>598</v>
      </c>
      <c r="B143">
        <v>5322080</v>
      </c>
      <c r="C143" t="s">
        <v>599</v>
      </c>
      <c r="D143">
        <f t="shared" si="6"/>
        <v>6818</v>
      </c>
      <c r="E143">
        <f>VLOOKUP($C143,'[1]PoB Totals'!$C$3:$T$898,17,FALSE)</f>
        <v>6216</v>
      </c>
      <c r="F143">
        <f>VLOOKUP($C143,'[1]PoB Totals'!$C$3:$T$898,18,FALSE)</f>
        <v>602</v>
      </c>
      <c r="G143">
        <f t="shared" si="7"/>
        <v>6818</v>
      </c>
      <c r="H143">
        <f t="shared" si="8"/>
        <v>6216</v>
      </c>
      <c r="I143">
        <f t="shared" si="8"/>
        <v>602</v>
      </c>
      <c r="J143">
        <f>VLOOKUP($C143,'[1]PoB WN'!$C$1:$T$898,17,FALSE)</f>
        <v>5633</v>
      </c>
      <c r="K143">
        <f>VLOOKUP($C143,'[1]PoB WN'!$C$1:$T$898,18,FALSE)</f>
        <v>168</v>
      </c>
      <c r="L143">
        <f>VLOOKUP($C143,'[1]PoB WH'!$C$1:$T$898,17,FALSE)</f>
        <v>149</v>
      </c>
      <c r="M143">
        <f>VLOOKUP($C143,'[1]PoB WH'!$C$1:$T$898,18,FALSE)</f>
        <v>108</v>
      </c>
      <c r="N143">
        <f>VLOOKUP($C143,'[1]PoB AA'!$C$1:$T$898,17,FALSE)</f>
        <v>20</v>
      </c>
      <c r="O143">
        <f>VLOOKUP($C143,'[1]PoB AA'!$C$1:$T$898,18,FALSE)</f>
        <v>0</v>
      </c>
      <c r="P143">
        <f>VLOOKUP($C143,'[1]PoB AI'!$C$1:$T$898,17,FALSE)</f>
        <v>25</v>
      </c>
      <c r="Q143">
        <f>VLOOKUP($C143,'[1]PoB AI'!$C$1:$T$898,18,FALSE)</f>
        <v>0</v>
      </c>
      <c r="R143">
        <f>VLOOKUP($C143,'[1]PoB AS'!$C$1:$T$898,17,FALSE)</f>
        <v>26</v>
      </c>
      <c r="S143">
        <f>VLOOKUP($C143,'[1]PoB AS'!$C$1:$T$898,18,FALSE)</f>
        <v>34</v>
      </c>
      <c r="T143">
        <f>VLOOKUP($C143,'[1]PoB PI'!$C$1:$T$898,17,FALSE)</f>
        <v>8</v>
      </c>
      <c r="U143">
        <f>VLOOKUP($C143,'[1]PoB PI'!$C$1:$T$898,18,FALSE)</f>
        <v>0</v>
      </c>
      <c r="V143">
        <f>VLOOKUP($C143,'[1]PoB OT'!$C$1:$T$898,17,FALSE)</f>
        <v>264</v>
      </c>
      <c r="W143">
        <f>VLOOKUP($C143,'[1]PoB OT'!$C$1:$T$898,18,FALSE)</f>
        <v>283</v>
      </c>
      <c r="X143">
        <f>VLOOKUP($C143,'[1]PoB 2R'!$C$1:$T$898,17,FALSE)</f>
        <v>91</v>
      </c>
      <c r="Y143">
        <f>VLOOKUP($C143,'[1]PoB 2R'!$C$1:$T$898,18,FALSE)</f>
        <v>9</v>
      </c>
    </row>
    <row r="144" spans="1:25" x14ac:dyDescent="0.25">
      <c r="A144" t="s">
        <v>600</v>
      </c>
      <c r="B144">
        <v>5322118</v>
      </c>
      <c r="C144" t="s">
        <v>601</v>
      </c>
      <c r="D144">
        <f t="shared" si="6"/>
        <v>2678</v>
      </c>
      <c r="E144">
        <f>VLOOKUP($C144,'[1]PoB Totals'!$C$3:$T$898,17,FALSE)</f>
        <v>2492</v>
      </c>
      <c r="F144">
        <f>VLOOKUP($C144,'[1]PoB Totals'!$C$3:$T$898,18,FALSE)</f>
        <v>186</v>
      </c>
      <c r="G144">
        <f t="shared" si="7"/>
        <v>2678</v>
      </c>
      <c r="H144">
        <f t="shared" si="8"/>
        <v>2492</v>
      </c>
      <c r="I144">
        <f t="shared" si="8"/>
        <v>186</v>
      </c>
      <c r="J144">
        <f>VLOOKUP($C144,'[1]PoB WN'!$C$1:$T$898,17,FALSE)</f>
        <v>2299</v>
      </c>
      <c r="K144">
        <f>VLOOKUP($C144,'[1]PoB WN'!$C$1:$T$898,18,FALSE)</f>
        <v>52</v>
      </c>
      <c r="L144">
        <f>VLOOKUP($C144,'[1]PoB WH'!$C$1:$T$898,17,FALSE)</f>
        <v>33</v>
      </c>
      <c r="M144">
        <f>VLOOKUP($C144,'[1]PoB WH'!$C$1:$T$898,18,FALSE)</f>
        <v>11</v>
      </c>
      <c r="N144">
        <f>VLOOKUP($C144,'[1]PoB AA'!$C$1:$T$898,17,FALSE)</f>
        <v>0</v>
      </c>
      <c r="O144">
        <f>VLOOKUP($C144,'[1]PoB AA'!$C$1:$T$898,18,FALSE)</f>
        <v>13</v>
      </c>
      <c r="P144">
        <f>VLOOKUP($C144,'[1]PoB AI'!$C$1:$T$898,17,FALSE)</f>
        <v>62</v>
      </c>
      <c r="Q144">
        <f>VLOOKUP($C144,'[1]PoB AI'!$C$1:$T$898,18,FALSE)</f>
        <v>0</v>
      </c>
      <c r="R144">
        <f>VLOOKUP($C144,'[1]PoB AS'!$C$1:$T$898,17,FALSE)</f>
        <v>24</v>
      </c>
      <c r="S144">
        <f>VLOOKUP($C144,'[1]PoB AS'!$C$1:$T$898,18,FALSE)</f>
        <v>95</v>
      </c>
      <c r="T144">
        <f>VLOOKUP($C144,'[1]PoB PI'!$C$1:$T$898,17,FALSE)</f>
        <v>0</v>
      </c>
      <c r="U144">
        <f>VLOOKUP($C144,'[1]PoB PI'!$C$1:$T$898,18,FALSE)</f>
        <v>0</v>
      </c>
      <c r="V144">
        <f>VLOOKUP($C144,'[1]PoB OT'!$C$1:$T$898,17,FALSE)</f>
        <v>43</v>
      </c>
      <c r="W144">
        <f>VLOOKUP($C144,'[1]PoB OT'!$C$1:$T$898,18,FALSE)</f>
        <v>0</v>
      </c>
      <c r="X144">
        <f>VLOOKUP($C144,'[1]PoB 2R'!$C$1:$T$898,17,FALSE)</f>
        <v>31</v>
      </c>
      <c r="Y144">
        <f>VLOOKUP($C144,'[1]PoB 2R'!$C$1:$T$898,18,FALSE)</f>
        <v>15</v>
      </c>
    </row>
    <row r="145" spans="1:25" x14ac:dyDescent="0.25">
      <c r="A145" t="s">
        <v>602</v>
      </c>
      <c r="B145">
        <v>5322150</v>
      </c>
      <c r="C145" t="s">
        <v>603</v>
      </c>
      <c r="D145">
        <f t="shared" si="6"/>
        <v>424</v>
      </c>
      <c r="E145">
        <f>VLOOKUP($C145,'[1]PoB Totals'!$C$3:$T$898,17,FALSE)</f>
        <v>409</v>
      </c>
      <c r="F145">
        <f>VLOOKUP($C145,'[1]PoB Totals'!$C$3:$T$898,18,FALSE)</f>
        <v>15</v>
      </c>
      <c r="G145">
        <f t="shared" si="7"/>
        <v>424</v>
      </c>
      <c r="H145">
        <f t="shared" si="8"/>
        <v>409</v>
      </c>
      <c r="I145">
        <f t="shared" si="8"/>
        <v>15</v>
      </c>
      <c r="J145">
        <f>VLOOKUP($C145,'[1]PoB WN'!$C$1:$T$898,17,FALSE)</f>
        <v>348</v>
      </c>
      <c r="K145">
        <f>VLOOKUP($C145,'[1]PoB WN'!$C$1:$T$898,18,FALSE)</f>
        <v>0</v>
      </c>
      <c r="L145">
        <f>VLOOKUP($C145,'[1]PoB WH'!$C$1:$T$898,17,FALSE)</f>
        <v>17</v>
      </c>
      <c r="M145">
        <f>VLOOKUP($C145,'[1]PoB WH'!$C$1:$T$898,18,FALSE)</f>
        <v>11</v>
      </c>
      <c r="N145">
        <f>VLOOKUP($C145,'[1]PoB AA'!$C$1:$T$898,17,FALSE)</f>
        <v>0</v>
      </c>
      <c r="O145">
        <f>VLOOKUP($C145,'[1]PoB AA'!$C$1:$T$898,18,FALSE)</f>
        <v>0</v>
      </c>
      <c r="P145">
        <f>VLOOKUP($C145,'[1]PoB AI'!$C$1:$T$898,17,FALSE)</f>
        <v>7</v>
      </c>
      <c r="Q145">
        <f>VLOOKUP($C145,'[1]PoB AI'!$C$1:$T$898,18,FALSE)</f>
        <v>0</v>
      </c>
      <c r="R145">
        <f>VLOOKUP($C145,'[1]PoB AS'!$C$1:$T$898,17,FALSE)</f>
        <v>0</v>
      </c>
      <c r="S145">
        <f>VLOOKUP($C145,'[1]PoB AS'!$C$1:$T$898,18,FALSE)</f>
        <v>0</v>
      </c>
      <c r="T145">
        <f>VLOOKUP($C145,'[1]PoB PI'!$C$1:$T$898,17,FALSE)</f>
        <v>0</v>
      </c>
      <c r="U145">
        <f>VLOOKUP($C145,'[1]PoB PI'!$C$1:$T$898,18,FALSE)</f>
        <v>0</v>
      </c>
      <c r="V145">
        <f>VLOOKUP($C145,'[1]PoB OT'!$C$1:$T$898,17,FALSE)</f>
        <v>28</v>
      </c>
      <c r="W145">
        <f>VLOOKUP($C145,'[1]PoB OT'!$C$1:$T$898,18,FALSE)</f>
        <v>4</v>
      </c>
      <c r="X145">
        <f>VLOOKUP($C145,'[1]PoB 2R'!$C$1:$T$898,17,FALSE)</f>
        <v>9</v>
      </c>
      <c r="Y145">
        <f>VLOOKUP($C145,'[1]PoB 2R'!$C$1:$T$898,18,FALSE)</f>
        <v>0</v>
      </c>
    </row>
    <row r="146" spans="1:25" x14ac:dyDescent="0.25">
      <c r="A146" t="s">
        <v>604</v>
      </c>
      <c r="B146">
        <v>5322255</v>
      </c>
      <c r="C146" t="s">
        <v>605</v>
      </c>
      <c r="D146">
        <f t="shared" si="6"/>
        <v>3581</v>
      </c>
      <c r="E146">
        <f>VLOOKUP($C146,'[1]PoB Totals'!$C$3:$T$898,17,FALSE)</f>
        <v>3161</v>
      </c>
      <c r="F146">
        <f>VLOOKUP($C146,'[1]PoB Totals'!$C$3:$T$898,18,FALSE)</f>
        <v>420</v>
      </c>
      <c r="G146">
        <f t="shared" si="7"/>
        <v>3581</v>
      </c>
      <c r="H146">
        <f t="shared" si="8"/>
        <v>3161</v>
      </c>
      <c r="I146">
        <f t="shared" si="8"/>
        <v>420</v>
      </c>
      <c r="J146">
        <f>VLOOKUP($C146,'[1]PoB WN'!$C$1:$T$898,17,FALSE)</f>
        <v>2845</v>
      </c>
      <c r="K146">
        <f>VLOOKUP($C146,'[1]PoB WN'!$C$1:$T$898,18,FALSE)</f>
        <v>145</v>
      </c>
      <c r="L146">
        <f>VLOOKUP($C146,'[1]PoB WH'!$C$1:$T$898,17,FALSE)</f>
        <v>46</v>
      </c>
      <c r="M146">
        <f>VLOOKUP($C146,'[1]PoB WH'!$C$1:$T$898,18,FALSE)</f>
        <v>29</v>
      </c>
      <c r="N146">
        <f>VLOOKUP($C146,'[1]PoB AA'!$C$1:$T$898,17,FALSE)</f>
        <v>0</v>
      </c>
      <c r="O146">
        <f>VLOOKUP($C146,'[1]PoB AA'!$C$1:$T$898,18,FALSE)</f>
        <v>0</v>
      </c>
      <c r="P146">
        <f>VLOOKUP($C146,'[1]PoB AI'!$C$1:$T$898,17,FALSE)</f>
        <v>31</v>
      </c>
      <c r="Q146">
        <f>VLOOKUP($C146,'[1]PoB AI'!$C$1:$T$898,18,FALSE)</f>
        <v>0</v>
      </c>
      <c r="R146">
        <f>VLOOKUP($C146,'[1]PoB AS'!$C$1:$T$898,17,FALSE)</f>
        <v>103</v>
      </c>
      <c r="S146">
        <f>VLOOKUP($C146,'[1]PoB AS'!$C$1:$T$898,18,FALSE)</f>
        <v>202</v>
      </c>
      <c r="T146">
        <f>VLOOKUP($C146,'[1]PoB PI'!$C$1:$T$898,17,FALSE)</f>
        <v>0</v>
      </c>
      <c r="U146">
        <f>VLOOKUP($C146,'[1]PoB PI'!$C$1:$T$898,18,FALSE)</f>
        <v>0</v>
      </c>
      <c r="V146">
        <f>VLOOKUP($C146,'[1]PoB OT'!$C$1:$T$898,17,FALSE)</f>
        <v>46</v>
      </c>
      <c r="W146">
        <f>VLOOKUP($C146,'[1]PoB OT'!$C$1:$T$898,18,FALSE)</f>
        <v>38</v>
      </c>
      <c r="X146">
        <f>VLOOKUP($C146,'[1]PoB 2R'!$C$1:$T$898,17,FALSE)</f>
        <v>90</v>
      </c>
      <c r="Y146">
        <f>VLOOKUP($C146,'[1]PoB 2R'!$C$1:$T$898,18,FALSE)</f>
        <v>6</v>
      </c>
    </row>
    <row r="147" spans="1:25" x14ac:dyDescent="0.25">
      <c r="A147" t="s">
        <v>606</v>
      </c>
      <c r="B147">
        <v>5322640</v>
      </c>
      <c r="C147" t="s">
        <v>607</v>
      </c>
      <c r="D147">
        <f t="shared" si="6"/>
        <v>91290</v>
      </c>
      <c r="E147">
        <f>VLOOKUP($C147,'[1]PoB Totals'!$C$3:$T$898,17,FALSE)</f>
        <v>78771</v>
      </c>
      <c r="F147">
        <f>VLOOKUP($C147,'[1]PoB Totals'!$C$3:$T$898,18,FALSE)</f>
        <v>12519</v>
      </c>
      <c r="G147">
        <f t="shared" si="7"/>
        <v>91290</v>
      </c>
      <c r="H147">
        <f t="shared" si="8"/>
        <v>78771</v>
      </c>
      <c r="I147">
        <f t="shared" si="8"/>
        <v>12519</v>
      </c>
      <c r="J147">
        <f>VLOOKUP($C147,'[1]PoB WN'!$C$1:$T$898,17,FALSE)</f>
        <v>66639</v>
      </c>
      <c r="K147">
        <f>VLOOKUP($C147,'[1]PoB WN'!$C$1:$T$898,18,FALSE)</f>
        <v>4540</v>
      </c>
      <c r="L147">
        <f>VLOOKUP($C147,'[1]PoB WH'!$C$1:$T$898,17,FALSE)</f>
        <v>1810</v>
      </c>
      <c r="M147">
        <f>VLOOKUP($C147,'[1]PoB WH'!$C$1:$T$898,18,FALSE)</f>
        <v>812</v>
      </c>
      <c r="N147">
        <f>VLOOKUP($C147,'[1]PoB AA'!$C$1:$T$898,17,FALSE)</f>
        <v>2550</v>
      </c>
      <c r="O147">
        <f>VLOOKUP($C147,'[1]PoB AA'!$C$1:$T$898,18,FALSE)</f>
        <v>317</v>
      </c>
      <c r="P147">
        <f>VLOOKUP($C147,'[1]PoB AI'!$C$1:$T$898,17,FALSE)</f>
        <v>1632</v>
      </c>
      <c r="Q147">
        <f>VLOOKUP($C147,'[1]PoB AI'!$C$1:$T$898,18,FALSE)</f>
        <v>59</v>
      </c>
      <c r="R147">
        <f>VLOOKUP($C147,'[1]PoB AS'!$C$1:$T$898,17,FALSE)</f>
        <v>1553</v>
      </c>
      <c r="S147">
        <f>VLOOKUP($C147,'[1]PoB AS'!$C$1:$T$898,18,FALSE)</f>
        <v>4504</v>
      </c>
      <c r="T147">
        <f>VLOOKUP($C147,'[1]PoB PI'!$C$1:$T$898,17,FALSE)</f>
        <v>147</v>
      </c>
      <c r="U147">
        <f>VLOOKUP($C147,'[1]PoB PI'!$C$1:$T$898,18,FALSE)</f>
        <v>96</v>
      </c>
      <c r="V147">
        <f>VLOOKUP($C147,'[1]PoB OT'!$C$1:$T$898,17,FALSE)</f>
        <v>1532</v>
      </c>
      <c r="W147">
        <f>VLOOKUP($C147,'[1]PoB OT'!$C$1:$T$898,18,FALSE)</f>
        <v>1410</v>
      </c>
      <c r="X147">
        <f>VLOOKUP($C147,'[1]PoB 2R'!$C$1:$T$898,17,FALSE)</f>
        <v>2908</v>
      </c>
      <c r="Y147">
        <f>VLOOKUP($C147,'[1]PoB 2R'!$C$1:$T$898,18,FALSE)</f>
        <v>781</v>
      </c>
    </row>
    <row r="148" spans="1:25" x14ac:dyDescent="0.25">
      <c r="A148" t="s">
        <v>608</v>
      </c>
      <c r="B148">
        <v>5322745</v>
      </c>
      <c r="C148" t="s">
        <v>609</v>
      </c>
      <c r="D148">
        <f t="shared" si="6"/>
        <v>2048</v>
      </c>
      <c r="E148">
        <f>VLOOKUP($C148,'[1]PoB Totals'!$C$3:$T$898,17,FALSE)</f>
        <v>1743</v>
      </c>
      <c r="F148">
        <f>VLOOKUP($C148,'[1]PoB Totals'!$C$3:$T$898,18,FALSE)</f>
        <v>305</v>
      </c>
      <c r="G148">
        <f t="shared" si="7"/>
        <v>2048</v>
      </c>
      <c r="H148">
        <f t="shared" si="8"/>
        <v>1743</v>
      </c>
      <c r="I148">
        <f t="shared" si="8"/>
        <v>305</v>
      </c>
      <c r="J148">
        <f>VLOOKUP($C148,'[1]PoB WN'!$C$1:$T$898,17,FALSE)</f>
        <v>1429</v>
      </c>
      <c r="K148">
        <f>VLOOKUP($C148,'[1]PoB WN'!$C$1:$T$898,18,FALSE)</f>
        <v>62</v>
      </c>
      <c r="L148">
        <f>VLOOKUP($C148,'[1]PoB WH'!$C$1:$T$898,17,FALSE)</f>
        <v>117</v>
      </c>
      <c r="M148">
        <f>VLOOKUP($C148,'[1]PoB WH'!$C$1:$T$898,18,FALSE)</f>
        <v>119</v>
      </c>
      <c r="N148">
        <f>VLOOKUP($C148,'[1]PoB AA'!$C$1:$T$898,17,FALSE)</f>
        <v>15</v>
      </c>
      <c r="O148">
        <f>VLOOKUP($C148,'[1]PoB AA'!$C$1:$T$898,18,FALSE)</f>
        <v>2</v>
      </c>
      <c r="P148">
        <f>VLOOKUP($C148,'[1]PoB AI'!$C$1:$T$898,17,FALSE)</f>
        <v>31</v>
      </c>
      <c r="Q148">
        <f>VLOOKUP($C148,'[1]PoB AI'!$C$1:$T$898,18,FALSE)</f>
        <v>16</v>
      </c>
      <c r="R148">
        <f>VLOOKUP($C148,'[1]PoB AS'!$C$1:$T$898,17,FALSE)</f>
        <v>7</v>
      </c>
      <c r="S148">
        <f>VLOOKUP($C148,'[1]PoB AS'!$C$1:$T$898,18,FALSE)</f>
        <v>34</v>
      </c>
      <c r="T148">
        <f>VLOOKUP($C148,'[1]PoB PI'!$C$1:$T$898,17,FALSE)</f>
        <v>0</v>
      </c>
      <c r="U148">
        <f>VLOOKUP($C148,'[1]PoB PI'!$C$1:$T$898,18,FALSE)</f>
        <v>0</v>
      </c>
      <c r="V148">
        <f>VLOOKUP($C148,'[1]PoB OT'!$C$1:$T$898,17,FALSE)</f>
        <v>79</v>
      </c>
      <c r="W148">
        <f>VLOOKUP($C148,'[1]PoB OT'!$C$1:$T$898,18,FALSE)</f>
        <v>61</v>
      </c>
      <c r="X148">
        <f>VLOOKUP($C148,'[1]PoB 2R'!$C$1:$T$898,17,FALSE)</f>
        <v>65</v>
      </c>
      <c r="Y148">
        <f>VLOOKUP($C148,'[1]PoB 2R'!$C$1:$T$898,18,FALSE)</f>
        <v>11</v>
      </c>
    </row>
    <row r="149" spans="1:25" x14ac:dyDescent="0.25">
      <c r="A149" t="s">
        <v>610</v>
      </c>
      <c r="B149">
        <v>5322955</v>
      </c>
      <c r="C149" t="s">
        <v>611</v>
      </c>
      <c r="D149">
        <f t="shared" si="6"/>
        <v>4357</v>
      </c>
      <c r="E149">
        <f>VLOOKUP($C149,'[1]PoB Totals'!$C$3:$T$898,17,FALSE)</f>
        <v>3992</v>
      </c>
      <c r="F149">
        <f>VLOOKUP($C149,'[1]PoB Totals'!$C$3:$T$898,18,FALSE)</f>
        <v>365</v>
      </c>
      <c r="G149">
        <f t="shared" si="7"/>
        <v>4357</v>
      </c>
      <c r="H149">
        <f t="shared" si="8"/>
        <v>3992</v>
      </c>
      <c r="I149">
        <f t="shared" si="8"/>
        <v>365</v>
      </c>
      <c r="J149">
        <f>VLOOKUP($C149,'[1]PoB WN'!$C$1:$T$898,17,FALSE)</f>
        <v>3124</v>
      </c>
      <c r="K149">
        <f>VLOOKUP($C149,'[1]PoB WN'!$C$1:$T$898,18,FALSE)</f>
        <v>178</v>
      </c>
      <c r="L149">
        <f>VLOOKUP($C149,'[1]PoB WH'!$C$1:$T$898,17,FALSE)</f>
        <v>86</v>
      </c>
      <c r="M149">
        <f>VLOOKUP($C149,'[1]PoB WH'!$C$1:$T$898,18,FALSE)</f>
        <v>19</v>
      </c>
      <c r="N149">
        <f>VLOOKUP($C149,'[1]PoB AA'!$C$1:$T$898,17,FALSE)</f>
        <v>301</v>
      </c>
      <c r="O149">
        <f>VLOOKUP($C149,'[1]PoB AA'!$C$1:$T$898,18,FALSE)</f>
        <v>38</v>
      </c>
      <c r="P149">
        <f>VLOOKUP($C149,'[1]PoB AI'!$C$1:$T$898,17,FALSE)</f>
        <v>68</v>
      </c>
      <c r="Q149">
        <f>VLOOKUP($C149,'[1]PoB AI'!$C$1:$T$898,18,FALSE)</f>
        <v>0</v>
      </c>
      <c r="R149">
        <f>VLOOKUP($C149,'[1]PoB AS'!$C$1:$T$898,17,FALSE)</f>
        <v>19</v>
      </c>
      <c r="S149">
        <f>VLOOKUP($C149,'[1]PoB AS'!$C$1:$T$898,18,FALSE)</f>
        <v>101</v>
      </c>
      <c r="T149">
        <f>VLOOKUP($C149,'[1]PoB PI'!$C$1:$T$898,17,FALSE)</f>
        <v>25</v>
      </c>
      <c r="U149">
        <f>VLOOKUP($C149,'[1]PoB PI'!$C$1:$T$898,18,FALSE)</f>
        <v>5</v>
      </c>
      <c r="V149">
        <f>VLOOKUP($C149,'[1]PoB OT'!$C$1:$T$898,17,FALSE)</f>
        <v>137</v>
      </c>
      <c r="W149">
        <f>VLOOKUP($C149,'[1]PoB OT'!$C$1:$T$898,18,FALSE)</f>
        <v>11</v>
      </c>
      <c r="X149">
        <f>VLOOKUP($C149,'[1]PoB 2R'!$C$1:$T$898,17,FALSE)</f>
        <v>232</v>
      </c>
      <c r="Y149">
        <f>VLOOKUP($C149,'[1]PoB 2R'!$C$1:$T$898,18,FALSE)</f>
        <v>13</v>
      </c>
    </row>
    <row r="150" spans="1:25" x14ac:dyDescent="0.25">
      <c r="A150" t="s">
        <v>612</v>
      </c>
      <c r="B150">
        <v>5322990</v>
      </c>
      <c r="C150" t="s">
        <v>613</v>
      </c>
      <c r="D150">
        <f t="shared" si="6"/>
        <v>487</v>
      </c>
      <c r="E150">
        <f>VLOOKUP($C150,'[1]PoB Totals'!$C$3:$T$898,17,FALSE)</f>
        <v>480</v>
      </c>
      <c r="F150">
        <f>VLOOKUP($C150,'[1]PoB Totals'!$C$3:$T$898,18,FALSE)</f>
        <v>7</v>
      </c>
      <c r="G150">
        <f t="shared" si="7"/>
        <v>487</v>
      </c>
      <c r="H150">
        <f t="shared" si="8"/>
        <v>480</v>
      </c>
      <c r="I150">
        <f t="shared" si="8"/>
        <v>7</v>
      </c>
      <c r="J150">
        <f>VLOOKUP($C150,'[1]PoB WN'!$C$1:$T$898,17,FALSE)</f>
        <v>430</v>
      </c>
      <c r="K150">
        <f>VLOOKUP($C150,'[1]PoB WN'!$C$1:$T$898,18,FALSE)</f>
        <v>4</v>
      </c>
      <c r="L150">
        <f>VLOOKUP($C150,'[1]PoB WH'!$C$1:$T$898,17,FALSE)</f>
        <v>7</v>
      </c>
      <c r="M150">
        <f>VLOOKUP($C150,'[1]PoB WH'!$C$1:$T$898,18,FALSE)</f>
        <v>0</v>
      </c>
      <c r="N150">
        <f>VLOOKUP($C150,'[1]PoB AA'!$C$1:$T$898,17,FALSE)</f>
        <v>1</v>
      </c>
      <c r="O150">
        <f>VLOOKUP($C150,'[1]PoB AA'!$C$1:$T$898,18,FALSE)</f>
        <v>0</v>
      </c>
      <c r="P150">
        <f>VLOOKUP($C150,'[1]PoB AI'!$C$1:$T$898,17,FALSE)</f>
        <v>5</v>
      </c>
      <c r="Q150">
        <f>VLOOKUP($C150,'[1]PoB AI'!$C$1:$T$898,18,FALSE)</f>
        <v>0</v>
      </c>
      <c r="R150">
        <f>VLOOKUP($C150,'[1]PoB AS'!$C$1:$T$898,17,FALSE)</f>
        <v>3</v>
      </c>
      <c r="S150">
        <f>VLOOKUP($C150,'[1]PoB AS'!$C$1:$T$898,18,FALSE)</f>
        <v>0</v>
      </c>
      <c r="T150">
        <f>VLOOKUP($C150,'[1]PoB PI'!$C$1:$T$898,17,FALSE)</f>
        <v>0</v>
      </c>
      <c r="U150">
        <f>VLOOKUP($C150,'[1]PoB PI'!$C$1:$T$898,18,FALSE)</f>
        <v>0</v>
      </c>
      <c r="V150">
        <f>VLOOKUP($C150,'[1]PoB OT'!$C$1:$T$898,17,FALSE)</f>
        <v>7</v>
      </c>
      <c r="W150">
        <f>VLOOKUP($C150,'[1]PoB OT'!$C$1:$T$898,18,FALSE)</f>
        <v>3</v>
      </c>
      <c r="X150">
        <f>VLOOKUP($C150,'[1]PoB 2R'!$C$1:$T$898,17,FALSE)</f>
        <v>27</v>
      </c>
      <c r="Y150">
        <f>VLOOKUP($C150,'[1]PoB 2R'!$C$1:$T$898,18,FALSE)</f>
        <v>0</v>
      </c>
    </row>
    <row r="151" spans="1:25" x14ac:dyDescent="0.25">
      <c r="A151" t="s">
        <v>616</v>
      </c>
      <c r="B151">
        <v>5323165</v>
      </c>
      <c r="C151" t="s">
        <v>1528</v>
      </c>
      <c r="D151">
        <f t="shared" si="6"/>
        <v>6784</v>
      </c>
      <c r="E151">
        <f>VLOOKUP($C151,'[1]PoB Totals'!$C$3:$T$898,17,FALSE)</f>
        <v>6273</v>
      </c>
      <c r="F151">
        <f>VLOOKUP($C151,'[1]PoB Totals'!$C$3:$T$898,18,FALSE)</f>
        <v>511</v>
      </c>
      <c r="G151">
        <f t="shared" si="7"/>
        <v>6784</v>
      </c>
      <c r="H151">
        <f t="shared" si="8"/>
        <v>6273</v>
      </c>
      <c r="I151">
        <f t="shared" si="8"/>
        <v>511</v>
      </c>
      <c r="J151">
        <f>VLOOKUP($C151,'[1]PoB WN'!$C$1:$T$898,17,FALSE)</f>
        <v>5901</v>
      </c>
      <c r="K151">
        <f>VLOOKUP($C151,'[1]PoB WN'!$C$1:$T$898,18,FALSE)</f>
        <v>386</v>
      </c>
      <c r="L151">
        <f>VLOOKUP($C151,'[1]PoB WH'!$C$1:$T$898,17,FALSE)</f>
        <v>78</v>
      </c>
      <c r="M151">
        <f>VLOOKUP($C151,'[1]PoB WH'!$C$1:$T$898,18,FALSE)</f>
        <v>12</v>
      </c>
      <c r="N151">
        <f>VLOOKUP($C151,'[1]PoB AA'!$C$1:$T$898,17,FALSE)</f>
        <v>32</v>
      </c>
      <c r="O151">
        <f>VLOOKUP($C151,'[1]PoB AA'!$C$1:$T$898,18,FALSE)</f>
        <v>0</v>
      </c>
      <c r="P151">
        <f>VLOOKUP($C151,'[1]PoB AI'!$C$1:$T$898,17,FALSE)</f>
        <v>121</v>
      </c>
      <c r="Q151">
        <f>VLOOKUP($C151,'[1]PoB AI'!$C$1:$T$898,18,FALSE)</f>
        <v>0</v>
      </c>
      <c r="R151">
        <f>VLOOKUP($C151,'[1]PoB AS'!$C$1:$T$898,17,FALSE)</f>
        <v>0</v>
      </c>
      <c r="S151">
        <f>VLOOKUP($C151,'[1]PoB AS'!$C$1:$T$898,18,FALSE)</f>
        <v>71</v>
      </c>
      <c r="T151">
        <f>VLOOKUP($C151,'[1]PoB PI'!$C$1:$T$898,17,FALSE)</f>
        <v>19</v>
      </c>
      <c r="U151">
        <f>VLOOKUP($C151,'[1]PoB PI'!$C$1:$T$898,18,FALSE)</f>
        <v>0</v>
      </c>
      <c r="V151">
        <f>VLOOKUP($C151,'[1]PoB OT'!$C$1:$T$898,17,FALSE)</f>
        <v>60</v>
      </c>
      <c r="W151">
        <f>VLOOKUP($C151,'[1]PoB OT'!$C$1:$T$898,18,FALSE)</f>
        <v>8</v>
      </c>
      <c r="X151">
        <f>VLOOKUP($C151,'[1]PoB 2R'!$C$1:$T$898,17,FALSE)</f>
        <v>62</v>
      </c>
      <c r="Y151">
        <f>VLOOKUP($C151,'[1]PoB 2R'!$C$1:$T$898,18,FALSE)</f>
        <v>34</v>
      </c>
    </row>
    <row r="152" spans="1:25" x14ac:dyDescent="0.25">
      <c r="A152" t="s">
        <v>618</v>
      </c>
      <c r="B152">
        <v>5323200</v>
      </c>
      <c r="C152" t="s">
        <v>619</v>
      </c>
      <c r="D152">
        <f t="shared" si="6"/>
        <v>1651</v>
      </c>
      <c r="E152">
        <f>VLOOKUP($C152,'[1]PoB Totals'!$C$3:$T$898,17,FALSE)</f>
        <v>1593</v>
      </c>
      <c r="F152">
        <f>VLOOKUP($C152,'[1]PoB Totals'!$C$3:$T$898,18,FALSE)</f>
        <v>58</v>
      </c>
      <c r="G152">
        <f t="shared" si="7"/>
        <v>1651</v>
      </c>
      <c r="H152">
        <f t="shared" si="8"/>
        <v>1593</v>
      </c>
      <c r="I152">
        <f t="shared" si="8"/>
        <v>58</v>
      </c>
      <c r="J152">
        <f>VLOOKUP($C152,'[1]PoB WN'!$C$1:$T$898,17,FALSE)</f>
        <v>1524</v>
      </c>
      <c r="K152">
        <f>VLOOKUP($C152,'[1]PoB WN'!$C$1:$T$898,18,FALSE)</f>
        <v>29</v>
      </c>
      <c r="L152">
        <f>VLOOKUP($C152,'[1]PoB WH'!$C$1:$T$898,17,FALSE)</f>
        <v>5</v>
      </c>
      <c r="M152">
        <f>VLOOKUP($C152,'[1]PoB WH'!$C$1:$T$898,18,FALSE)</f>
        <v>9</v>
      </c>
      <c r="N152">
        <f>VLOOKUP($C152,'[1]PoB AA'!$C$1:$T$898,17,FALSE)</f>
        <v>14</v>
      </c>
      <c r="O152">
        <f>VLOOKUP($C152,'[1]PoB AA'!$C$1:$T$898,18,FALSE)</f>
        <v>6</v>
      </c>
      <c r="P152">
        <f>VLOOKUP($C152,'[1]PoB AI'!$C$1:$T$898,17,FALSE)</f>
        <v>19</v>
      </c>
      <c r="Q152">
        <f>VLOOKUP($C152,'[1]PoB AI'!$C$1:$T$898,18,FALSE)</f>
        <v>0</v>
      </c>
      <c r="R152">
        <f>VLOOKUP($C152,'[1]PoB AS'!$C$1:$T$898,17,FALSE)</f>
        <v>0</v>
      </c>
      <c r="S152">
        <f>VLOOKUP($C152,'[1]PoB AS'!$C$1:$T$898,18,FALSE)</f>
        <v>0</v>
      </c>
      <c r="T152">
        <f>VLOOKUP($C152,'[1]PoB PI'!$C$1:$T$898,17,FALSE)</f>
        <v>0</v>
      </c>
      <c r="U152">
        <f>VLOOKUP($C152,'[1]PoB PI'!$C$1:$T$898,18,FALSE)</f>
        <v>0</v>
      </c>
      <c r="V152">
        <f>VLOOKUP($C152,'[1]PoB OT'!$C$1:$T$898,17,FALSE)</f>
        <v>0</v>
      </c>
      <c r="W152">
        <f>VLOOKUP($C152,'[1]PoB OT'!$C$1:$T$898,18,FALSE)</f>
        <v>14</v>
      </c>
      <c r="X152">
        <f>VLOOKUP($C152,'[1]PoB 2R'!$C$1:$T$898,17,FALSE)</f>
        <v>31</v>
      </c>
      <c r="Y152">
        <f>VLOOKUP($C152,'[1]PoB 2R'!$C$1:$T$898,18,FALSE)</f>
        <v>0</v>
      </c>
    </row>
    <row r="153" spans="1:25" x14ac:dyDescent="0.25">
      <c r="A153" t="s">
        <v>620</v>
      </c>
      <c r="B153">
        <v>5323340</v>
      </c>
      <c r="C153" t="s">
        <v>621</v>
      </c>
      <c r="D153">
        <f t="shared" si="6"/>
        <v>117</v>
      </c>
      <c r="E153">
        <f>VLOOKUP($C153,'[1]PoB Totals'!$C$3:$T$898,17,FALSE)</f>
        <v>117</v>
      </c>
      <c r="F153">
        <f>VLOOKUP($C153,'[1]PoB Totals'!$C$3:$T$898,18,FALSE)</f>
        <v>0</v>
      </c>
      <c r="G153">
        <f t="shared" si="7"/>
        <v>117</v>
      </c>
      <c r="H153">
        <f t="shared" si="8"/>
        <v>117</v>
      </c>
      <c r="I153">
        <f t="shared" si="8"/>
        <v>0</v>
      </c>
      <c r="J153">
        <f>VLOOKUP($C153,'[1]PoB WN'!$C$1:$T$898,17,FALSE)</f>
        <v>116</v>
      </c>
      <c r="K153">
        <f>VLOOKUP($C153,'[1]PoB WN'!$C$1:$T$898,18,FALSE)</f>
        <v>0</v>
      </c>
      <c r="L153">
        <f>VLOOKUP($C153,'[1]PoB WH'!$C$1:$T$898,17,FALSE)</f>
        <v>0</v>
      </c>
      <c r="M153">
        <f>VLOOKUP($C153,'[1]PoB WH'!$C$1:$T$898,18,FALSE)</f>
        <v>0</v>
      </c>
      <c r="N153">
        <f>VLOOKUP($C153,'[1]PoB AA'!$C$1:$T$898,17,FALSE)</f>
        <v>0</v>
      </c>
      <c r="O153">
        <f>VLOOKUP($C153,'[1]PoB AA'!$C$1:$T$898,18,FALSE)</f>
        <v>0</v>
      </c>
      <c r="P153">
        <f>VLOOKUP($C153,'[1]PoB AI'!$C$1:$T$898,17,FALSE)</f>
        <v>1</v>
      </c>
      <c r="Q153">
        <f>VLOOKUP($C153,'[1]PoB AI'!$C$1:$T$898,18,FALSE)</f>
        <v>0</v>
      </c>
      <c r="R153">
        <f>VLOOKUP($C153,'[1]PoB AS'!$C$1:$T$898,17,FALSE)</f>
        <v>0</v>
      </c>
      <c r="S153">
        <f>VLOOKUP($C153,'[1]PoB AS'!$C$1:$T$898,18,FALSE)</f>
        <v>0</v>
      </c>
      <c r="T153">
        <f>VLOOKUP($C153,'[1]PoB PI'!$C$1:$T$898,17,FALSE)</f>
        <v>0</v>
      </c>
      <c r="U153">
        <f>VLOOKUP($C153,'[1]PoB PI'!$C$1:$T$898,18,FALSE)</f>
        <v>0</v>
      </c>
      <c r="V153">
        <f>VLOOKUP($C153,'[1]PoB OT'!$C$1:$T$898,17,FALSE)</f>
        <v>0</v>
      </c>
      <c r="W153">
        <f>VLOOKUP($C153,'[1]PoB OT'!$C$1:$T$898,18,FALSE)</f>
        <v>0</v>
      </c>
      <c r="X153">
        <f>VLOOKUP($C153,'[1]PoB 2R'!$C$1:$T$898,17,FALSE)</f>
        <v>0</v>
      </c>
      <c r="Y153">
        <f>VLOOKUP($C153,'[1]PoB 2R'!$C$1:$T$898,18,FALSE)</f>
        <v>0</v>
      </c>
    </row>
    <row r="154" spans="1:25" x14ac:dyDescent="0.25">
      <c r="A154" t="s">
        <v>622</v>
      </c>
      <c r="B154">
        <v>5323515</v>
      </c>
      <c r="C154" t="s">
        <v>623</v>
      </c>
      <c r="D154">
        <f t="shared" si="6"/>
        <v>83233</v>
      </c>
      <c r="E154">
        <f>VLOOKUP($C154,'[1]PoB Totals'!$C$3:$T$898,17,FALSE)</f>
        <v>67469</v>
      </c>
      <c r="F154">
        <f>VLOOKUP($C154,'[1]PoB Totals'!$C$3:$T$898,18,FALSE)</f>
        <v>15764</v>
      </c>
      <c r="G154">
        <f t="shared" si="7"/>
        <v>83233</v>
      </c>
      <c r="H154">
        <f t="shared" si="8"/>
        <v>67469</v>
      </c>
      <c r="I154">
        <f t="shared" si="8"/>
        <v>15764</v>
      </c>
      <c r="J154">
        <f>VLOOKUP($C154,'[1]PoB WN'!$C$1:$T$898,17,FALSE)</f>
        <v>50312</v>
      </c>
      <c r="K154">
        <f>VLOOKUP($C154,'[1]PoB WN'!$C$1:$T$898,18,FALSE)</f>
        <v>4414</v>
      </c>
      <c r="L154">
        <f>VLOOKUP($C154,'[1]PoB WH'!$C$1:$T$898,17,FALSE)</f>
        <v>1479</v>
      </c>
      <c r="M154">
        <f>VLOOKUP($C154,'[1]PoB WH'!$C$1:$T$898,18,FALSE)</f>
        <v>732</v>
      </c>
      <c r="N154">
        <f>VLOOKUP($C154,'[1]PoB AA'!$C$1:$T$898,17,FALSE)</f>
        <v>5706</v>
      </c>
      <c r="O154">
        <f>VLOOKUP($C154,'[1]PoB AA'!$C$1:$T$898,18,FALSE)</f>
        <v>534</v>
      </c>
      <c r="P154">
        <f>VLOOKUP($C154,'[1]PoB AI'!$C$1:$T$898,17,FALSE)</f>
        <v>673</v>
      </c>
      <c r="Q154">
        <f>VLOOKUP($C154,'[1]PoB AI'!$C$1:$T$898,18,FALSE)</f>
        <v>41</v>
      </c>
      <c r="R154">
        <f>VLOOKUP($C154,'[1]PoB AS'!$C$1:$T$898,17,FALSE)</f>
        <v>3016</v>
      </c>
      <c r="S154">
        <f>VLOOKUP($C154,'[1]PoB AS'!$C$1:$T$898,18,FALSE)</f>
        <v>7146</v>
      </c>
      <c r="T154">
        <f>VLOOKUP($C154,'[1]PoB PI'!$C$1:$T$898,17,FALSE)</f>
        <v>490</v>
      </c>
      <c r="U154">
        <f>VLOOKUP($C154,'[1]PoB PI'!$C$1:$T$898,18,FALSE)</f>
        <v>405</v>
      </c>
      <c r="V154">
        <f>VLOOKUP($C154,'[1]PoB OT'!$C$1:$T$898,17,FALSE)</f>
        <v>1690</v>
      </c>
      <c r="W154">
        <f>VLOOKUP($C154,'[1]PoB OT'!$C$1:$T$898,18,FALSE)</f>
        <v>1391</v>
      </c>
      <c r="X154">
        <f>VLOOKUP($C154,'[1]PoB 2R'!$C$1:$T$898,17,FALSE)</f>
        <v>4103</v>
      </c>
      <c r="Y154">
        <f>VLOOKUP($C154,'[1]PoB 2R'!$C$1:$T$898,18,FALSE)</f>
        <v>1101</v>
      </c>
    </row>
    <row r="155" spans="1:25" x14ac:dyDescent="0.25">
      <c r="A155" t="s">
        <v>624</v>
      </c>
      <c r="B155">
        <v>5323550</v>
      </c>
      <c r="C155" t="s">
        <v>625</v>
      </c>
      <c r="D155">
        <f t="shared" si="6"/>
        <v>5783</v>
      </c>
      <c r="E155">
        <f>VLOOKUP($C155,'[1]PoB Totals'!$C$3:$T$898,17,FALSE)</f>
        <v>5390</v>
      </c>
      <c r="F155">
        <f>VLOOKUP($C155,'[1]PoB Totals'!$C$3:$T$898,18,FALSE)</f>
        <v>393</v>
      </c>
      <c r="G155">
        <f t="shared" si="7"/>
        <v>5783</v>
      </c>
      <c r="H155">
        <f t="shared" si="8"/>
        <v>5390</v>
      </c>
      <c r="I155">
        <f t="shared" si="8"/>
        <v>393</v>
      </c>
      <c r="J155">
        <f>VLOOKUP($C155,'[1]PoB WN'!$C$1:$T$898,17,FALSE)</f>
        <v>5063</v>
      </c>
      <c r="K155">
        <f>VLOOKUP($C155,'[1]PoB WN'!$C$1:$T$898,18,FALSE)</f>
        <v>221</v>
      </c>
      <c r="L155">
        <f>VLOOKUP($C155,'[1]PoB WH'!$C$1:$T$898,17,FALSE)</f>
        <v>47</v>
      </c>
      <c r="M155">
        <f>VLOOKUP($C155,'[1]PoB WH'!$C$1:$T$898,18,FALSE)</f>
        <v>9</v>
      </c>
      <c r="N155">
        <f>VLOOKUP($C155,'[1]PoB AA'!$C$1:$T$898,17,FALSE)</f>
        <v>28</v>
      </c>
      <c r="O155">
        <f>VLOOKUP($C155,'[1]PoB AA'!$C$1:$T$898,18,FALSE)</f>
        <v>8</v>
      </c>
      <c r="P155">
        <f>VLOOKUP($C155,'[1]PoB AI'!$C$1:$T$898,17,FALSE)</f>
        <v>0</v>
      </c>
      <c r="Q155">
        <f>VLOOKUP($C155,'[1]PoB AI'!$C$1:$T$898,18,FALSE)</f>
        <v>0</v>
      </c>
      <c r="R155">
        <f>VLOOKUP($C155,'[1]PoB AS'!$C$1:$T$898,17,FALSE)</f>
        <v>30</v>
      </c>
      <c r="S155">
        <f>VLOOKUP($C155,'[1]PoB AS'!$C$1:$T$898,18,FALSE)</f>
        <v>155</v>
      </c>
      <c r="T155">
        <f>VLOOKUP($C155,'[1]PoB PI'!$C$1:$T$898,17,FALSE)</f>
        <v>8</v>
      </c>
      <c r="U155">
        <f>VLOOKUP($C155,'[1]PoB PI'!$C$1:$T$898,18,FALSE)</f>
        <v>0</v>
      </c>
      <c r="V155">
        <f>VLOOKUP($C155,'[1]PoB OT'!$C$1:$T$898,17,FALSE)</f>
        <v>0</v>
      </c>
      <c r="W155">
        <f>VLOOKUP($C155,'[1]PoB OT'!$C$1:$T$898,18,FALSE)</f>
        <v>0</v>
      </c>
      <c r="X155">
        <f>VLOOKUP($C155,'[1]PoB 2R'!$C$1:$T$898,17,FALSE)</f>
        <v>214</v>
      </c>
      <c r="Y155">
        <f>VLOOKUP($C155,'[1]PoB 2R'!$C$1:$T$898,18,FALSE)</f>
        <v>0</v>
      </c>
    </row>
    <row r="156" spans="1:25" x14ac:dyDescent="0.25">
      <c r="A156" t="s">
        <v>626</v>
      </c>
      <c r="B156">
        <v>5323620</v>
      </c>
      <c r="C156" t="s">
        <v>627</v>
      </c>
      <c r="D156">
        <f t="shared" si="6"/>
        <v>8813</v>
      </c>
      <c r="E156">
        <f>VLOOKUP($C156,'[1]PoB Totals'!$C$3:$T$898,17,FALSE)</f>
        <v>7511</v>
      </c>
      <c r="F156">
        <f>VLOOKUP($C156,'[1]PoB Totals'!$C$3:$T$898,18,FALSE)</f>
        <v>1302</v>
      </c>
      <c r="G156">
        <f t="shared" si="7"/>
        <v>8813</v>
      </c>
      <c r="H156">
        <f t="shared" si="8"/>
        <v>7511</v>
      </c>
      <c r="I156">
        <f t="shared" si="8"/>
        <v>1302</v>
      </c>
      <c r="J156">
        <f>VLOOKUP($C156,'[1]PoB WN'!$C$1:$T$898,17,FALSE)</f>
        <v>6474</v>
      </c>
      <c r="K156">
        <f>VLOOKUP($C156,'[1]PoB WN'!$C$1:$T$898,18,FALSE)</f>
        <v>708</v>
      </c>
      <c r="L156">
        <f>VLOOKUP($C156,'[1]PoB WH'!$C$1:$T$898,17,FALSE)</f>
        <v>200</v>
      </c>
      <c r="M156">
        <f>VLOOKUP($C156,'[1]PoB WH'!$C$1:$T$898,18,FALSE)</f>
        <v>58</v>
      </c>
      <c r="N156">
        <f>VLOOKUP($C156,'[1]PoB AA'!$C$1:$T$898,17,FALSE)</f>
        <v>6</v>
      </c>
      <c r="O156">
        <f>VLOOKUP($C156,'[1]PoB AA'!$C$1:$T$898,18,FALSE)</f>
        <v>0</v>
      </c>
      <c r="P156">
        <f>VLOOKUP($C156,'[1]PoB AI'!$C$1:$T$898,17,FALSE)</f>
        <v>294</v>
      </c>
      <c r="Q156">
        <f>VLOOKUP($C156,'[1]PoB AI'!$C$1:$T$898,18,FALSE)</f>
        <v>0</v>
      </c>
      <c r="R156">
        <f>VLOOKUP($C156,'[1]PoB AS'!$C$1:$T$898,17,FALSE)</f>
        <v>67</v>
      </c>
      <c r="S156">
        <f>VLOOKUP($C156,'[1]PoB AS'!$C$1:$T$898,18,FALSE)</f>
        <v>158</v>
      </c>
      <c r="T156">
        <f>VLOOKUP($C156,'[1]PoB PI'!$C$1:$T$898,17,FALSE)</f>
        <v>0</v>
      </c>
      <c r="U156">
        <f>VLOOKUP($C156,'[1]PoB PI'!$C$1:$T$898,18,FALSE)</f>
        <v>0</v>
      </c>
      <c r="V156">
        <f>VLOOKUP($C156,'[1]PoB OT'!$C$1:$T$898,17,FALSE)</f>
        <v>186</v>
      </c>
      <c r="W156">
        <f>VLOOKUP($C156,'[1]PoB OT'!$C$1:$T$898,18,FALSE)</f>
        <v>238</v>
      </c>
      <c r="X156">
        <f>VLOOKUP($C156,'[1]PoB 2R'!$C$1:$T$898,17,FALSE)</f>
        <v>284</v>
      </c>
      <c r="Y156">
        <f>VLOOKUP($C156,'[1]PoB 2R'!$C$1:$T$898,18,FALSE)</f>
        <v>140</v>
      </c>
    </row>
    <row r="157" spans="1:25" x14ac:dyDescent="0.25">
      <c r="A157" t="s">
        <v>630</v>
      </c>
      <c r="B157">
        <v>5323795</v>
      </c>
      <c r="C157" t="s">
        <v>631</v>
      </c>
      <c r="D157">
        <f t="shared" si="6"/>
        <v>4760</v>
      </c>
      <c r="E157">
        <f>VLOOKUP($C157,'[1]PoB Totals'!$C$3:$T$898,17,FALSE)</f>
        <v>4078</v>
      </c>
      <c r="F157">
        <f>VLOOKUP($C157,'[1]PoB Totals'!$C$3:$T$898,18,FALSE)</f>
        <v>682</v>
      </c>
      <c r="G157">
        <f t="shared" si="7"/>
        <v>4760</v>
      </c>
      <c r="H157">
        <f t="shared" si="8"/>
        <v>4078</v>
      </c>
      <c r="I157">
        <f t="shared" si="8"/>
        <v>682</v>
      </c>
      <c r="J157">
        <f>VLOOKUP($C157,'[1]PoB WN'!$C$1:$T$898,17,FALSE)</f>
        <v>2949</v>
      </c>
      <c r="K157">
        <f>VLOOKUP($C157,'[1]PoB WN'!$C$1:$T$898,18,FALSE)</f>
        <v>91</v>
      </c>
      <c r="L157">
        <f>VLOOKUP($C157,'[1]PoB WH'!$C$1:$T$898,17,FALSE)</f>
        <v>135</v>
      </c>
      <c r="M157">
        <f>VLOOKUP($C157,'[1]PoB WH'!$C$1:$T$898,18,FALSE)</f>
        <v>108</v>
      </c>
      <c r="N157">
        <f>VLOOKUP($C157,'[1]PoB AA'!$C$1:$T$898,17,FALSE)</f>
        <v>263</v>
      </c>
      <c r="O157">
        <f>VLOOKUP($C157,'[1]PoB AA'!$C$1:$T$898,18,FALSE)</f>
        <v>9</v>
      </c>
      <c r="P157">
        <f>VLOOKUP($C157,'[1]PoB AI'!$C$1:$T$898,17,FALSE)</f>
        <v>213</v>
      </c>
      <c r="Q157">
        <f>VLOOKUP($C157,'[1]PoB AI'!$C$1:$T$898,18,FALSE)</f>
        <v>2</v>
      </c>
      <c r="R157">
        <f>VLOOKUP($C157,'[1]PoB AS'!$C$1:$T$898,17,FALSE)</f>
        <v>126</v>
      </c>
      <c r="S157">
        <f>VLOOKUP($C157,'[1]PoB AS'!$C$1:$T$898,18,FALSE)</f>
        <v>153</v>
      </c>
      <c r="T157">
        <f>VLOOKUP($C157,'[1]PoB PI'!$C$1:$T$898,17,FALSE)</f>
        <v>37</v>
      </c>
      <c r="U157">
        <f>VLOOKUP($C157,'[1]PoB PI'!$C$1:$T$898,18,FALSE)</f>
        <v>32</v>
      </c>
      <c r="V157">
        <f>VLOOKUP($C157,'[1]PoB OT'!$C$1:$T$898,17,FALSE)</f>
        <v>103</v>
      </c>
      <c r="W157">
        <f>VLOOKUP($C157,'[1]PoB OT'!$C$1:$T$898,18,FALSE)</f>
        <v>234</v>
      </c>
      <c r="X157">
        <f>VLOOKUP($C157,'[1]PoB 2R'!$C$1:$T$898,17,FALSE)</f>
        <v>252</v>
      </c>
      <c r="Y157">
        <f>VLOOKUP($C157,'[1]PoB 2R'!$C$1:$T$898,18,FALSE)</f>
        <v>53</v>
      </c>
    </row>
    <row r="158" spans="1:25" x14ac:dyDescent="0.25">
      <c r="A158" t="s">
        <v>634</v>
      </c>
      <c r="B158">
        <v>5323865</v>
      </c>
      <c r="C158" t="s">
        <v>635</v>
      </c>
      <c r="D158">
        <f t="shared" si="6"/>
        <v>5664</v>
      </c>
      <c r="E158">
        <f>VLOOKUP($C158,'[1]PoB Totals'!$C$3:$T$898,17,FALSE)</f>
        <v>5344</v>
      </c>
      <c r="F158">
        <f>VLOOKUP($C158,'[1]PoB Totals'!$C$3:$T$898,18,FALSE)</f>
        <v>320</v>
      </c>
      <c r="G158">
        <f t="shared" si="7"/>
        <v>5664</v>
      </c>
      <c r="H158">
        <f t="shared" si="8"/>
        <v>5344</v>
      </c>
      <c r="I158">
        <f t="shared" si="8"/>
        <v>320</v>
      </c>
      <c r="J158">
        <f>VLOOKUP($C158,'[1]PoB WN'!$C$1:$T$898,17,FALSE)</f>
        <v>4836</v>
      </c>
      <c r="K158">
        <f>VLOOKUP($C158,'[1]PoB WN'!$C$1:$T$898,18,FALSE)</f>
        <v>79</v>
      </c>
      <c r="L158">
        <f>VLOOKUP($C158,'[1]PoB WH'!$C$1:$T$898,17,FALSE)</f>
        <v>138</v>
      </c>
      <c r="M158">
        <f>VLOOKUP($C158,'[1]PoB WH'!$C$1:$T$898,18,FALSE)</f>
        <v>71</v>
      </c>
      <c r="N158">
        <f>VLOOKUP($C158,'[1]PoB AA'!$C$1:$T$898,17,FALSE)</f>
        <v>0</v>
      </c>
      <c r="O158">
        <f>VLOOKUP($C158,'[1]PoB AA'!$C$1:$T$898,18,FALSE)</f>
        <v>0</v>
      </c>
      <c r="P158">
        <f>VLOOKUP($C158,'[1]PoB AI'!$C$1:$T$898,17,FALSE)</f>
        <v>10</v>
      </c>
      <c r="Q158">
        <f>VLOOKUP($C158,'[1]PoB AI'!$C$1:$T$898,18,FALSE)</f>
        <v>0</v>
      </c>
      <c r="R158">
        <f>VLOOKUP($C158,'[1]PoB AS'!$C$1:$T$898,17,FALSE)</f>
        <v>0</v>
      </c>
      <c r="S158">
        <f>VLOOKUP($C158,'[1]PoB AS'!$C$1:$T$898,18,FALSE)</f>
        <v>29</v>
      </c>
      <c r="T158">
        <f>VLOOKUP($C158,'[1]PoB PI'!$C$1:$T$898,17,FALSE)</f>
        <v>26</v>
      </c>
      <c r="U158">
        <f>VLOOKUP($C158,'[1]PoB PI'!$C$1:$T$898,18,FALSE)</f>
        <v>0</v>
      </c>
      <c r="V158">
        <f>VLOOKUP($C158,'[1]PoB OT'!$C$1:$T$898,17,FALSE)</f>
        <v>160</v>
      </c>
      <c r="W158">
        <f>VLOOKUP($C158,'[1]PoB OT'!$C$1:$T$898,18,FALSE)</f>
        <v>91</v>
      </c>
      <c r="X158">
        <f>VLOOKUP($C158,'[1]PoB 2R'!$C$1:$T$898,17,FALSE)</f>
        <v>174</v>
      </c>
      <c r="Y158">
        <f>VLOOKUP($C158,'[1]PoB 2R'!$C$1:$T$898,18,FALSE)</f>
        <v>50</v>
      </c>
    </row>
    <row r="159" spans="1:25" x14ac:dyDescent="0.25">
      <c r="A159" t="s">
        <v>636</v>
      </c>
      <c r="B159">
        <v>5323970</v>
      </c>
      <c r="C159" t="s">
        <v>637</v>
      </c>
      <c r="D159">
        <f t="shared" si="6"/>
        <v>5849</v>
      </c>
      <c r="E159">
        <f>VLOOKUP($C159,'[1]PoB Totals'!$C$3:$T$898,17,FALSE)</f>
        <v>5466</v>
      </c>
      <c r="F159">
        <f>VLOOKUP($C159,'[1]PoB Totals'!$C$3:$T$898,18,FALSE)</f>
        <v>383</v>
      </c>
      <c r="G159">
        <f t="shared" si="7"/>
        <v>5849</v>
      </c>
      <c r="H159">
        <f t="shared" si="8"/>
        <v>5466</v>
      </c>
      <c r="I159">
        <f t="shared" si="8"/>
        <v>383</v>
      </c>
      <c r="J159">
        <f>VLOOKUP($C159,'[1]PoB WN'!$C$1:$T$898,17,FALSE)</f>
        <v>4829</v>
      </c>
      <c r="K159">
        <f>VLOOKUP($C159,'[1]PoB WN'!$C$1:$T$898,18,FALSE)</f>
        <v>210</v>
      </c>
      <c r="L159">
        <f>VLOOKUP($C159,'[1]PoB WH'!$C$1:$T$898,17,FALSE)</f>
        <v>48</v>
      </c>
      <c r="M159">
        <f>VLOOKUP($C159,'[1]PoB WH'!$C$1:$T$898,18,FALSE)</f>
        <v>16</v>
      </c>
      <c r="N159">
        <f>VLOOKUP($C159,'[1]PoB AA'!$C$1:$T$898,17,FALSE)</f>
        <v>229</v>
      </c>
      <c r="O159">
        <f>VLOOKUP($C159,'[1]PoB AA'!$C$1:$T$898,18,FALSE)</f>
        <v>0</v>
      </c>
      <c r="P159">
        <f>VLOOKUP($C159,'[1]PoB AI'!$C$1:$T$898,17,FALSE)</f>
        <v>22</v>
      </c>
      <c r="Q159">
        <f>VLOOKUP($C159,'[1]PoB AI'!$C$1:$T$898,18,FALSE)</f>
        <v>0</v>
      </c>
      <c r="R159">
        <f>VLOOKUP($C159,'[1]PoB AS'!$C$1:$T$898,17,FALSE)</f>
        <v>68</v>
      </c>
      <c r="S159">
        <f>VLOOKUP($C159,'[1]PoB AS'!$C$1:$T$898,18,FALSE)</f>
        <v>130</v>
      </c>
      <c r="T159">
        <f>VLOOKUP($C159,'[1]PoB PI'!$C$1:$T$898,17,FALSE)</f>
        <v>0</v>
      </c>
      <c r="U159">
        <f>VLOOKUP($C159,'[1]PoB PI'!$C$1:$T$898,18,FALSE)</f>
        <v>0</v>
      </c>
      <c r="V159">
        <f>VLOOKUP($C159,'[1]PoB OT'!$C$1:$T$898,17,FALSE)</f>
        <v>39</v>
      </c>
      <c r="W159">
        <f>VLOOKUP($C159,'[1]PoB OT'!$C$1:$T$898,18,FALSE)</f>
        <v>11</v>
      </c>
      <c r="X159">
        <f>VLOOKUP($C159,'[1]PoB 2R'!$C$1:$T$898,17,FALSE)</f>
        <v>231</v>
      </c>
      <c r="Y159">
        <f>VLOOKUP($C159,'[1]PoB 2R'!$C$1:$T$898,18,FALSE)</f>
        <v>16</v>
      </c>
    </row>
    <row r="160" spans="1:25" x14ac:dyDescent="0.25">
      <c r="A160" t="s">
        <v>638</v>
      </c>
      <c r="B160">
        <v>5324188</v>
      </c>
      <c r="C160" t="s">
        <v>639</v>
      </c>
      <c r="D160">
        <f t="shared" si="6"/>
        <v>12119</v>
      </c>
      <c r="E160">
        <f>VLOOKUP($C160,'[1]PoB Totals'!$C$3:$T$898,17,FALSE)</f>
        <v>11061</v>
      </c>
      <c r="F160">
        <f>VLOOKUP($C160,'[1]PoB Totals'!$C$3:$T$898,18,FALSE)</f>
        <v>1058</v>
      </c>
      <c r="G160">
        <f t="shared" si="7"/>
        <v>12119</v>
      </c>
      <c r="H160">
        <f t="shared" si="8"/>
        <v>11061</v>
      </c>
      <c r="I160">
        <f t="shared" si="8"/>
        <v>1058</v>
      </c>
      <c r="J160">
        <f>VLOOKUP($C160,'[1]PoB WN'!$C$1:$T$898,17,FALSE)</f>
        <v>10013</v>
      </c>
      <c r="K160">
        <f>VLOOKUP($C160,'[1]PoB WN'!$C$1:$T$898,18,FALSE)</f>
        <v>406</v>
      </c>
      <c r="L160">
        <f>VLOOKUP($C160,'[1]PoB WH'!$C$1:$T$898,17,FALSE)</f>
        <v>161</v>
      </c>
      <c r="M160">
        <f>VLOOKUP($C160,'[1]PoB WH'!$C$1:$T$898,18,FALSE)</f>
        <v>61</v>
      </c>
      <c r="N160">
        <f>VLOOKUP($C160,'[1]PoB AA'!$C$1:$T$898,17,FALSE)</f>
        <v>235</v>
      </c>
      <c r="O160">
        <f>VLOOKUP($C160,'[1]PoB AA'!$C$1:$T$898,18,FALSE)</f>
        <v>54</v>
      </c>
      <c r="P160">
        <f>VLOOKUP($C160,'[1]PoB AI'!$C$1:$T$898,17,FALSE)</f>
        <v>112</v>
      </c>
      <c r="Q160">
        <f>VLOOKUP($C160,'[1]PoB AI'!$C$1:$T$898,18,FALSE)</f>
        <v>0</v>
      </c>
      <c r="R160">
        <f>VLOOKUP($C160,'[1]PoB AS'!$C$1:$T$898,17,FALSE)</f>
        <v>171</v>
      </c>
      <c r="S160">
        <f>VLOOKUP($C160,'[1]PoB AS'!$C$1:$T$898,18,FALSE)</f>
        <v>414</v>
      </c>
      <c r="T160">
        <f>VLOOKUP($C160,'[1]PoB PI'!$C$1:$T$898,17,FALSE)</f>
        <v>11</v>
      </c>
      <c r="U160">
        <f>VLOOKUP($C160,'[1]PoB PI'!$C$1:$T$898,18,FALSE)</f>
        <v>0</v>
      </c>
      <c r="V160">
        <f>VLOOKUP($C160,'[1]PoB OT'!$C$1:$T$898,17,FALSE)</f>
        <v>72</v>
      </c>
      <c r="W160">
        <f>VLOOKUP($C160,'[1]PoB OT'!$C$1:$T$898,18,FALSE)</f>
        <v>83</v>
      </c>
      <c r="X160">
        <f>VLOOKUP($C160,'[1]PoB 2R'!$C$1:$T$898,17,FALSE)</f>
        <v>286</v>
      </c>
      <c r="Y160">
        <f>VLOOKUP($C160,'[1]PoB 2R'!$C$1:$T$898,18,FALSE)</f>
        <v>40</v>
      </c>
    </row>
    <row r="161" spans="1:25" x14ac:dyDescent="0.25">
      <c r="A161" t="s">
        <v>642</v>
      </c>
      <c r="B161">
        <v>5324565</v>
      </c>
      <c r="C161" t="s">
        <v>643</v>
      </c>
      <c r="D161">
        <f t="shared" si="6"/>
        <v>1917</v>
      </c>
      <c r="E161">
        <f>VLOOKUP($C161,'[1]PoB Totals'!$C$3:$T$898,17,FALSE)</f>
        <v>1855</v>
      </c>
      <c r="F161">
        <f>VLOOKUP($C161,'[1]PoB Totals'!$C$3:$T$898,18,FALSE)</f>
        <v>62</v>
      </c>
      <c r="G161">
        <f t="shared" si="7"/>
        <v>1917</v>
      </c>
      <c r="H161">
        <f t="shared" si="8"/>
        <v>1855</v>
      </c>
      <c r="I161">
        <f t="shared" si="8"/>
        <v>62</v>
      </c>
      <c r="J161">
        <f>VLOOKUP($C161,'[1]PoB WN'!$C$1:$T$898,17,FALSE)</f>
        <v>1731</v>
      </c>
      <c r="K161">
        <f>VLOOKUP($C161,'[1]PoB WN'!$C$1:$T$898,18,FALSE)</f>
        <v>54</v>
      </c>
      <c r="L161">
        <f>VLOOKUP($C161,'[1]PoB WH'!$C$1:$T$898,17,FALSE)</f>
        <v>47</v>
      </c>
      <c r="M161">
        <f>VLOOKUP($C161,'[1]PoB WH'!$C$1:$T$898,18,FALSE)</f>
        <v>0</v>
      </c>
      <c r="N161">
        <f>VLOOKUP($C161,'[1]PoB AA'!$C$1:$T$898,17,FALSE)</f>
        <v>0</v>
      </c>
      <c r="O161">
        <f>VLOOKUP($C161,'[1]PoB AA'!$C$1:$T$898,18,FALSE)</f>
        <v>0</v>
      </c>
      <c r="P161">
        <f>VLOOKUP($C161,'[1]PoB AI'!$C$1:$T$898,17,FALSE)</f>
        <v>16</v>
      </c>
      <c r="Q161">
        <f>VLOOKUP($C161,'[1]PoB AI'!$C$1:$T$898,18,FALSE)</f>
        <v>0</v>
      </c>
      <c r="R161">
        <f>VLOOKUP($C161,'[1]PoB AS'!$C$1:$T$898,17,FALSE)</f>
        <v>0</v>
      </c>
      <c r="S161">
        <f>VLOOKUP($C161,'[1]PoB AS'!$C$1:$T$898,18,FALSE)</f>
        <v>0</v>
      </c>
      <c r="T161">
        <f>VLOOKUP($C161,'[1]PoB PI'!$C$1:$T$898,17,FALSE)</f>
        <v>4</v>
      </c>
      <c r="U161">
        <f>VLOOKUP($C161,'[1]PoB PI'!$C$1:$T$898,18,FALSE)</f>
        <v>0</v>
      </c>
      <c r="V161">
        <f>VLOOKUP($C161,'[1]PoB OT'!$C$1:$T$898,17,FALSE)</f>
        <v>18</v>
      </c>
      <c r="W161">
        <f>VLOOKUP($C161,'[1]PoB OT'!$C$1:$T$898,18,FALSE)</f>
        <v>8</v>
      </c>
      <c r="X161">
        <f>VLOOKUP($C161,'[1]PoB 2R'!$C$1:$T$898,17,FALSE)</f>
        <v>39</v>
      </c>
      <c r="Y161">
        <f>VLOOKUP($C161,'[1]PoB 2R'!$C$1:$T$898,18,FALSE)</f>
        <v>0</v>
      </c>
    </row>
    <row r="162" spans="1:25" x14ac:dyDescent="0.25">
      <c r="A162" t="s">
        <v>644</v>
      </c>
      <c r="B162">
        <v>5324810</v>
      </c>
      <c r="C162" t="s">
        <v>645</v>
      </c>
      <c r="D162">
        <f t="shared" si="6"/>
        <v>3047</v>
      </c>
      <c r="E162">
        <f>VLOOKUP($C162,'[1]PoB Totals'!$C$3:$T$898,17,FALSE)</f>
        <v>2716</v>
      </c>
      <c r="F162">
        <f>VLOOKUP($C162,'[1]PoB Totals'!$C$3:$T$898,18,FALSE)</f>
        <v>331</v>
      </c>
      <c r="G162">
        <f t="shared" si="7"/>
        <v>3047</v>
      </c>
      <c r="H162">
        <f t="shared" si="8"/>
        <v>2716</v>
      </c>
      <c r="I162">
        <f t="shared" si="8"/>
        <v>331</v>
      </c>
      <c r="J162">
        <f>VLOOKUP($C162,'[1]PoB WN'!$C$1:$T$898,17,FALSE)</f>
        <v>2322</v>
      </c>
      <c r="K162">
        <f>VLOOKUP($C162,'[1]PoB WN'!$C$1:$T$898,18,FALSE)</f>
        <v>33</v>
      </c>
      <c r="L162">
        <f>VLOOKUP($C162,'[1]PoB WH'!$C$1:$T$898,17,FALSE)</f>
        <v>77</v>
      </c>
      <c r="M162">
        <f>VLOOKUP($C162,'[1]PoB WH'!$C$1:$T$898,18,FALSE)</f>
        <v>74</v>
      </c>
      <c r="N162">
        <f>VLOOKUP($C162,'[1]PoB AA'!$C$1:$T$898,17,FALSE)</f>
        <v>12</v>
      </c>
      <c r="O162">
        <f>VLOOKUP($C162,'[1]PoB AA'!$C$1:$T$898,18,FALSE)</f>
        <v>0</v>
      </c>
      <c r="P162">
        <f>VLOOKUP($C162,'[1]PoB AI'!$C$1:$T$898,17,FALSE)</f>
        <v>178</v>
      </c>
      <c r="Q162">
        <f>VLOOKUP($C162,'[1]PoB AI'!$C$1:$T$898,18,FALSE)</f>
        <v>6</v>
      </c>
      <c r="R162">
        <f>VLOOKUP($C162,'[1]PoB AS'!$C$1:$T$898,17,FALSE)</f>
        <v>8</v>
      </c>
      <c r="S162">
        <f>VLOOKUP($C162,'[1]PoB AS'!$C$1:$T$898,18,FALSE)</f>
        <v>16</v>
      </c>
      <c r="T162">
        <f>VLOOKUP($C162,'[1]PoB PI'!$C$1:$T$898,17,FALSE)</f>
        <v>0</v>
      </c>
      <c r="U162">
        <f>VLOOKUP($C162,'[1]PoB PI'!$C$1:$T$898,18,FALSE)</f>
        <v>0</v>
      </c>
      <c r="V162">
        <f>VLOOKUP($C162,'[1]PoB OT'!$C$1:$T$898,17,FALSE)</f>
        <v>52</v>
      </c>
      <c r="W162">
        <f>VLOOKUP($C162,'[1]PoB OT'!$C$1:$T$898,18,FALSE)</f>
        <v>202</v>
      </c>
      <c r="X162">
        <f>VLOOKUP($C162,'[1]PoB 2R'!$C$1:$T$898,17,FALSE)</f>
        <v>67</v>
      </c>
      <c r="Y162">
        <f>VLOOKUP($C162,'[1]PoB 2R'!$C$1:$T$898,18,FALSE)</f>
        <v>0</v>
      </c>
    </row>
    <row r="163" spans="1:25" x14ac:dyDescent="0.25">
      <c r="A163" t="s">
        <v>646</v>
      </c>
      <c r="B163">
        <v>5324915</v>
      </c>
      <c r="C163" t="s">
        <v>647</v>
      </c>
      <c r="D163">
        <f t="shared" si="6"/>
        <v>19026</v>
      </c>
      <c r="E163">
        <f>VLOOKUP($C163,'[1]PoB Totals'!$C$3:$T$898,17,FALSE)</f>
        <v>16424</v>
      </c>
      <c r="F163">
        <f>VLOOKUP($C163,'[1]PoB Totals'!$C$3:$T$898,18,FALSE)</f>
        <v>2602</v>
      </c>
      <c r="G163">
        <f t="shared" si="7"/>
        <v>19026</v>
      </c>
      <c r="H163">
        <f t="shared" si="8"/>
        <v>16424</v>
      </c>
      <c r="I163">
        <f t="shared" si="8"/>
        <v>2602</v>
      </c>
      <c r="J163">
        <f>VLOOKUP($C163,'[1]PoB WN'!$C$1:$T$898,17,FALSE)</f>
        <v>9908</v>
      </c>
      <c r="K163">
        <f>VLOOKUP($C163,'[1]PoB WN'!$C$1:$T$898,18,FALSE)</f>
        <v>632</v>
      </c>
      <c r="L163">
        <f>VLOOKUP($C163,'[1]PoB WH'!$C$1:$T$898,17,FALSE)</f>
        <v>610</v>
      </c>
      <c r="M163">
        <f>VLOOKUP($C163,'[1]PoB WH'!$C$1:$T$898,18,FALSE)</f>
        <v>248</v>
      </c>
      <c r="N163">
        <f>VLOOKUP($C163,'[1]PoB AA'!$C$1:$T$898,17,FALSE)</f>
        <v>3422</v>
      </c>
      <c r="O163">
        <f>VLOOKUP($C163,'[1]PoB AA'!$C$1:$T$898,18,FALSE)</f>
        <v>442</v>
      </c>
      <c r="P163">
        <f>VLOOKUP($C163,'[1]PoB AI'!$C$1:$T$898,17,FALSE)</f>
        <v>187</v>
      </c>
      <c r="Q163">
        <f>VLOOKUP($C163,'[1]PoB AI'!$C$1:$T$898,18,FALSE)</f>
        <v>46</v>
      </c>
      <c r="R163">
        <f>VLOOKUP($C163,'[1]PoB AS'!$C$1:$T$898,17,FALSE)</f>
        <v>206</v>
      </c>
      <c r="S163">
        <f>VLOOKUP($C163,'[1]PoB AS'!$C$1:$T$898,18,FALSE)</f>
        <v>453</v>
      </c>
      <c r="T163">
        <f>VLOOKUP($C163,'[1]PoB PI'!$C$1:$T$898,17,FALSE)</f>
        <v>68</v>
      </c>
      <c r="U163">
        <f>VLOOKUP($C163,'[1]PoB PI'!$C$1:$T$898,18,FALSE)</f>
        <v>249</v>
      </c>
      <c r="V163">
        <f>VLOOKUP($C163,'[1]PoB OT'!$C$1:$T$898,17,FALSE)</f>
        <v>867</v>
      </c>
      <c r="W163">
        <f>VLOOKUP($C163,'[1]PoB OT'!$C$1:$T$898,18,FALSE)</f>
        <v>293</v>
      </c>
      <c r="X163">
        <f>VLOOKUP($C163,'[1]PoB 2R'!$C$1:$T$898,17,FALSE)</f>
        <v>1156</v>
      </c>
      <c r="Y163">
        <f>VLOOKUP($C163,'[1]PoB 2R'!$C$1:$T$898,18,FALSE)</f>
        <v>239</v>
      </c>
    </row>
    <row r="164" spans="1:25" x14ac:dyDescent="0.25">
      <c r="A164" t="s">
        <v>650</v>
      </c>
      <c r="B164">
        <v>5325370</v>
      </c>
      <c r="C164" t="s">
        <v>651</v>
      </c>
      <c r="D164">
        <f t="shared" si="6"/>
        <v>2803</v>
      </c>
      <c r="E164">
        <f>VLOOKUP($C164,'[1]PoB Totals'!$C$3:$T$898,17,FALSE)</f>
        <v>2732</v>
      </c>
      <c r="F164">
        <f>VLOOKUP($C164,'[1]PoB Totals'!$C$3:$T$898,18,FALSE)</f>
        <v>71</v>
      </c>
      <c r="G164">
        <f t="shared" si="7"/>
        <v>2803</v>
      </c>
      <c r="H164">
        <f t="shared" si="8"/>
        <v>2732</v>
      </c>
      <c r="I164">
        <f t="shared" si="8"/>
        <v>71</v>
      </c>
      <c r="J164">
        <f>VLOOKUP($C164,'[1]PoB WN'!$C$1:$T$898,17,FALSE)</f>
        <v>2555</v>
      </c>
      <c r="K164">
        <f>VLOOKUP($C164,'[1]PoB WN'!$C$1:$T$898,18,FALSE)</f>
        <v>71</v>
      </c>
      <c r="L164">
        <f>VLOOKUP($C164,'[1]PoB WH'!$C$1:$T$898,17,FALSE)</f>
        <v>37</v>
      </c>
      <c r="M164">
        <f>VLOOKUP($C164,'[1]PoB WH'!$C$1:$T$898,18,FALSE)</f>
        <v>0</v>
      </c>
      <c r="N164">
        <f>VLOOKUP($C164,'[1]PoB AA'!$C$1:$T$898,17,FALSE)</f>
        <v>53</v>
      </c>
      <c r="O164">
        <f>VLOOKUP($C164,'[1]PoB AA'!$C$1:$T$898,18,FALSE)</f>
        <v>0</v>
      </c>
      <c r="P164">
        <f>VLOOKUP($C164,'[1]PoB AI'!$C$1:$T$898,17,FALSE)</f>
        <v>26</v>
      </c>
      <c r="Q164">
        <f>VLOOKUP($C164,'[1]PoB AI'!$C$1:$T$898,18,FALSE)</f>
        <v>0</v>
      </c>
      <c r="R164">
        <f>VLOOKUP($C164,'[1]PoB AS'!$C$1:$T$898,17,FALSE)</f>
        <v>0</v>
      </c>
      <c r="S164">
        <f>VLOOKUP($C164,'[1]PoB AS'!$C$1:$T$898,18,FALSE)</f>
        <v>0</v>
      </c>
      <c r="T164">
        <f>VLOOKUP($C164,'[1]PoB PI'!$C$1:$T$898,17,FALSE)</f>
        <v>0</v>
      </c>
      <c r="U164">
        <f>VLOOKUP($C164,'[1]PoB PI'!$C$1:$T$898,18,FALSE)</f>
        <v>0</v>
      </c>
      <c r="V164">
        <f>VLOOKUP($C164,'[1]PoB OT'!$C$1:$T$898,17,FALSE)</f>
        <v>6</v>
      </c>
      <c r="W164">
        <f>VLOOKUP($C164,'[1]PoB OT'!$C$1:$T$898,18,FALSE)</f>
        <v>0</v>
      </c>
      <c r="X164">
        <f>VLOOKUP($C164,'[1]PoB 2R'!$C$1:$T$898,17,FALSE)</f>
        <v>55</v>
      </c>
      <c r="Y164">
        <f>VLOOKUP($C164,'[1]PoB 2R'!$C$1:$T$898,18,FALSE)</f>
        <v>0</v>
      </c>
    </row>
    <row r="165" spans="1:25" x14ac:dyDescent="0.25">
      <c r="A165" t="s">
        <v>652</v>
      </c>
      <c r="B165">
        <v>5325475</v>
      </c>
      <c r="C165" t="s">
        <v>653</v>
      </c>
      <c r="D165">
        <f t="shared" si="6"/>
        <v>5804</v>
      </c>
      <c r="E165">
        <f>VLOOKUP($C165,'[1]PoB Totals'!$C$3:$T$898,17,FALSE)</f>
        <v>5436</v>
      </c>
      <c r="F165">
        <f>VLOOKUP($C165,'[1]PoB Totals'!$C$3:$T$898,18,FALSE)</f>
        <v>368</v>
      </c>
      <c r="G165">
        <f t="shared" si="7"/>
        <v>5804</v>
      </c>
      <c r="H165">
        <f t="shared" si="8"/>
        <v>5436</v>
      </c>
      <c r="I165">
        <f t="shared" si="8"/>
        <v>368</v>
      </c>
      <c r="J165">
        <f>VLOOKUP($C165,'[1]PoB WN'!$C$1:$T$898,17,FALSE)</f>
        <v>4688</v>
      </c>
      <c r="K165">
        <f>VLOOKUP($C165,'[1]PoB WN'!$C$1:$T$898,18,FALSE)</f>
        <v>197</v>
      </c>
      <c r="L165">
        <f>VLOOKUP($C165,'[1]PoB WH'!$C$1:$T$898,17,FALSE)</f>
        <v>107</v>
      </c>
      <c r="M165">
        <f>VLOOKUP($C165,'[1]PoB WH'!$C$1:$T$898,18,FALSE)</f>
        <v>59</v>
      </c>
      <c r="N165">
        <f>VLOOKUP($C165,'[1]PoB AA'!$C$1:$T$898,17,FALSE)</f>
        <v>204</v>
      </c>
      <c r="O165">
        <f>VLOOKUP($C165,'[1]PoB AA'!$C$1:$T$898,18,FALSE)</f>
        <v>13</v>
      </c>
      <c r="P165">
        <f>VLOOKUP($C165,'[1]PoB AI'!$C$1:$T$898,17,FALSE)</f>
        <v>112</v>
      </c>
      <c r="Q165">
        <f>VLOOKUP($C165,'[1]PoB AI'!$C$1:$T$898,18,FALSE)</f>
        <v>0</v>
      </c>
      <c r="R165">
        <f>VLOOKUP($C165,'[1]PoB AS'!$C$1:$T$898,17,FALSE)</f>
        <v>19</v>
      </c>
      <c r="S165">
        <f>VLOOKUP($C165,'[1]PoB AS'!$C$1:$T$898,18,FALSE)</f>
        <v>87</v>
      </c>
      <c r="T165">
        <f>VLOOKUP($C165,'[1]PoB PI'!$C$1:$T$898,17,FALSE)</f>
        <v>0</v>
      </c>
      <c r="U165">
        <f>VLOOKUP($C165,'[1]PoB PI'!$C$1:$T$898,18,FALSE)</f>
        <v>0</v>
      </c>
      <c r="V165">
        <f>VLOOKUP($C165,'[1]PoB OT'!$C$1:$T$898,17,FALSE)</f>
        <v>41</v>
      </c>
      <c r="W165">
        <f>VLOOKUP($C165,'[1]PoB OT'!$C$1:$T$898,18,FALSE)</f>
        <v>7</v>
      </c>
      <c r="X165">
        <f>VLOOKUP($C165,'[1]PoB 2R'!$C$1:$T$898,17,FALSE)</f>
        <v>265</v>
      </c>
      <c r="Y165">
        <f>VLOOKUP($C165,'[1]PoB 2R'!$C$1:$T$898,18,FALSE)</f>
        <v>5</v>
      </c>
    </row>
    <row r="166" spans="1:25" x14ac:dyDescent="0.25">
      <c r="A166" t="s">
        <v>654</v>
      </c>
      <c r="B166">
        <v>5325510</v>
      </c>
      <c r="C166" t="s">
        <v>655</v>
      </c>
      <c r="D166">
        <f t="shared" si="6"/>
        <v>1320</v>
      </c>
      <c r="E166">
        <f>VLOOKUP($C166,'[1]PoB Totals'!$C$3:$T$898,17,FALSE)</f>
        <v>1253</v>
      </c>
      <c r="F166">
        <f>VLOOKUP($C166,'[1]PoB Totals'!$C$3:$T$898,18,FALSE)</f>
        <v>67</v>
      </c>
      <c r="G166">
        <f t="shared" si="7"/>
        <v>1320</v>
      </c>
      <c r="H166">
        <f t="shared" si="8"/>
        <v>1253</v>
      </c>
      <c r="I166">
        <f t="shared" si="8"/>
        <v>67</v>
      </c>
      <c r="J166">
        <f>VLOOKUP($C166,'[1]PoB WN'!$C$1:$T$898,17,FALSE)</f>
        <v>1217</v>
      </c>
      <c r="K166">
        <f>VLOOKUP($C166,'[1]PoB WN'!$C$1:$T$898,18,FALSE)</f>
        <v>67</v>
      </c>
      <c r="L166">
        <f>VLOOKUP($C166,'[1]PoB WH'!$C$1:$T$898,17,FALSE)</f>
        <v>0</v>
      </c>
      <c r="M166">
        <f>VLOOKUP($C166,'[1]PoB WH'!$C$1:$T$898,18,FALSE)</f>
        <v>0</v>
      </c>
      <c r="N166">
        <f>VLOOKUP($C166,'[1]PoB AA'!$C$1:$T$898,17,FALSE)</f>
        <v>0</v>
      </c>
      <c r="O166">
        <f>VLOOKUP($C166,'[1]PoB AA'!$C$1:$T$898,18,FALSE)</f>
        <v>0</v>
      </c>
      <c r="P166">
        <f>VLOOKUP($C166,'[1]PoB AI'!$C$1:$T$898,17,FALSE)</f>
        <v>13</v>
      </c>
      <c r="Q166">
        <f>VLOOKUP($C166,'[1]PoB AI'!$C$1:$T$898,18,FALSE)</f>
        <v>0</v>
      </c>
      <c r="R166">
        <f>VLOOKUP($C166,'[1]PoB AS'!$C$1:$T$898,17,FALSE)</f>
        <v>0</v>
      </c>
      <c r="S166">
        <f>VLOOKUP($C166,'[1]PoB AS'!$C$1:$T$898,18,FALSE)</f>
        <v>0</v>
      </c>
      <c r="T166">
        <f>VLOOKUP($C166,'[1]PoB PI'!$C$1:$T$898,17,FALSE)</f>
        <v>0</v>
      </c>
      <c r="U166">
        <f>VLOOKUP($C166,'[1]PoB PI'!$C$1:$T$898,18,FALSE)</f>
        <v>0</v>
      </c>
      <c r="V166">
        <f>VLOOKUP($C166,'[1]PoB OT'!$C$1:$T$898,17,FALSE)</f>
        <v>0</v>
      </c>
      <c r="W166">
        <f>VLOOKUP($C166,'[1]PoB OT'!$C$1:$T$898,18,FALSE)</f>
        <v>0</v>
      </c>
      <c r="X166">
        <f>VLOOKUP($C166,'[1]PoB 2R'!$C$1:$T$898,17,FALSE)</f>
        <v>23</v>
      </c>
      <c r="Y166">
        <f>VLOOKUP($C166,'[1]PoB 2R'!$C$1:$T$898,18,FALSE)</f>
        <v>0</v>
      </c>
    </row>
    <row r="167" spans="1:25" x14ac:dyDescent="0.25">
      <c r="A167" t="s">
        <v>656</v>
      </c>
      <c r="B167">
        <v>5325615</v>
      </c>
      <c r="C167" t="s">
        <v>657</v>
      </c>
      <c r="D167">
        <f t="shared" si="6"/>
        <v>2008</v>
      </c>
      <c r="E167">
        <f>VLOOKUP($C167,'[1]PoB Totals'!$C$3:$T$898,17,FALSE)</f>
        <v>1836</v>
      </c>
      <c r="F167">
        <f>VLOOKUP($C167,'[1]PoB Totals'!$C$3:$T$898,18,FALSE)</f>
        <v>172</v>
      </c>
      <c r="G167">
        <f t="shared" si="7"/>
        <v>2008</v>
      </c>
      <c r="H167">
        <f t="shared" si="8"/>
        <v>1836</v>
      </c>
      <c r="I167">
        <f t="shared" si="8"/>
        <v>172</v>
      </c>
      <c r="J167">
        <f>VLOOKUP($C167,'[1]PoB WN'!$C$1:$T$898,17,FALSE)</f>
        <v>1697</v>
      </c>
      <c r="K167">
        <f>VLOOKUP($C167,'[1]PoB WN'!$C$1:$T$898,18,FALSE)</f>
        <v>108</v>
      </c>
      <c r="L167">
        <f>VLOOKUP($C167,'[1]PoB WH'!$C$1:$T$898,17,FALSE)</f>
        <v>62</v>
      </c>
      <c r="M167">
        <f>VLOOKUP($C167,'[1]PoB WH'!$C$1:$T$898,18,FALSE)</f>
        <v>0</v>
      </c>
      <c r="N167">
        <f>VLOOKUP($C167,'[1]PoB AA'!$C$1:$T$898,17,FALSE)</f>
        <v>0</v>
      </c>
      <c r="O167">
        <f>VLOOKUP($C167,'[1]PoB AA'!$C$1:$T$898,18,FALSE)</f>
        <v>0</v>
      </c>
      <c r="P167">
        <f>VLOOKUP($C167,'[1]PoB AI'!$C$1:$T$898,17,FALSE)</f>
        <v>43</v>
      </c>
      <c r="Q167">
        <f>VLOOKUP($C167,'[1]PoB AI'!$C$1:$T$898,18,FALSE)</f>
        <v>0</v>
      </c>
      <c r="R167">
        <f>VLOOKUP($C167,'[1]PoB AS'!$C$1:$T$898,17,FALSE)</f>
        <v>4</v>
      </c>
      <c r="S167">
        <f>VLOOKUP($C167,'[1]PoB AS'!$C$1:$T$898,18,FALSE)</f>
        <v>13</v>
      </c>
      <c r="T167">
        <f>VLOOKUP($C167,'[1]PoB PI'!$C$1:$T$898,17,FALSE)</f>
        <v>0</v>
      </c>
      <c r="U167">
        <f>VLOOKUP($C167,'[1]PoB PI'!$C$1:$T$898,18,FALSE)</f>
        <v>0</v>
      </c>
      <c r="V167">
        <f>VLOOKUP($C167,'[1]PoB OT'!$C$1:$T$898,17,FALSE)</f>
        <v>13</v>
      </c>
      <c r="W167">
        <f>VLOOKUP($C167,'[1]PoB OT'!$C$1:$T$898,18,FALSE)</f>
        <v>44</v>
      </c>
      <c r="X167">
        <f>VLOOKUP($C167,'[1]PoB 2R'!$C$1:$T$898,17,FALSE)</f>
        <v>17</v>
      </c>
      <c r="Y167">
        <f>VLOOKUP($C167,'[1]PoB 2R'!$C$1:$T$898,18,FALSE)</f>
        <v>7</v>
      </c>
    </row>
    <row r="168" spans="1:25" x14ac:dyDescent="0.25">
      <c r="A168" t="s">
        <v>658</v>
      </c>
      <c r="B168">
        <v>5326140</v>
      </c>
      <c r="C168" t="s">
        <v>659</v>
      </c>
      <c r="D168">
        <f t="shared" si="6"/>
        <v>607</v>
      </c>
      <c r="E168">
        <f>VLOOKUP($C168,'[1]PoB Totals'!$C$3:$T$898,17,FALSE)</f>
        <v>592</v>
      </c>
      <c r="F168">
        <f>VLOOKUP($C168,'[1]PoB Totals'!$C$3:$T$898,18,FALSE)</f>
        <v>15</v>
      </c>
      <c r="G168">
        <f t="shared" si="7"/>
        <v>607</v>
      </c>
      <c r="H168">
        <f t="shared" si="8"/>
        <v>592</v>
      </c>
      <c r="I168">
        <f t="shared" si="8"/>
        <v>15</v>
      </c>
      <c r="J168">
        <f>VLOOKUP($C168,'[1]PoB WN'!$C$1:$T$898,17,FALSE)</f>
        <v>585</v>
      </c>
      <c r="K168">
        <f>VLOOKUP($C168,'[1]PoB WN'!$C$1:$T$898,18,FALSE)</f>
        <v>15</v>
      </c>
      <c r="L168">
        <f>VLOOKUP($C168,'[1]PoB WH'!$C$1:$T$898,17,FALSE)</f>
        <v>0</v>
      </c>
      <c r="M168">
        <f>VLOOKUP($C168,'[1]PoB WH'!$C$1:$T$898,18,FALSE)</f>
        <v>0</v>
      </c>
      <c r="N168">
        <f>VLOOKUP($C168,'[1]PoB AA'!$C$1:$T$898,17,FALSE)</f>
        <v>0</v>
      </c>
      <c r="O168">
        <f>VLOOKUP($C168,'[1]PoB AA'!$C$1:$T$898,18,FALSE)</f>
        <v>0</v>
      </c>
      <c r="P168">
        <f>VLOOKUP($C168,'[1]PoB AI'!$C$1:$T$898,17,FALSE)</f>
        <v>7</v>
      </c>
      <c r="Q168">
        <f>VLOOKUP($C168,'[1]PoB AI'!$C$1:$T$898,18,FALSE)</f>
        <v>0</v>
      </c>
      <c r="R168">
        <f>VLOOKUP($C168,'[1]PoB AS'!$C$1:$T$898,17,FALSE)</f>
        <v>0</v>
      </c>
      <c r="S168">
        <f>VLOOKUP($C168,'[1]PoB AS'!$C$1:$T$898,18,FALSE)</f>
        <v>0</v>
      </c>
      <c r="T168">
        <f>VLOOKUP($C168,'[1]PoB PI'!$C$1:$T$898,17,FALSE)</f>
        <v>0</v>
      </c>
      <c r="U168">
        <f>VLOOKUP($C168,'[1]PoB PI'!$C$1:$T$898,18,FALSE)</f>
        <v>0</v>
      </c>
      <c r="V168">
        <f>VLOOKUP($C168,'[1]PoB OT'!$C$1:$T$898,17,FALSE)</f>
        <v>0</v>
      </c>
      <c r="W168">
        <f>VLOOKUP($C168,'[1]PoB OT'!$C$1:$T$898,18,FALSE)</f>
        <v>0</v>
      </c>
      <c r="X168">
        <f>VLOOKUP($C168,'[1]PoB 2R'!$C$1:$T$898,17,FALSE)</f>
        <v>0</v>
      </c>
      <c r="Y168">
        <f>VLOOKUP($C168,'[1]PoB 2R'!$C$1:$T$898,18,FALSE)</f>
        <v>0</v>
      </c>
    </row>
    <row r="169" spans="1:25" x14ac:dyDescent="0.25">
      <c r="A169" t="s">
        <v>660</v>
      </c>
      <c r="B169">
        <v>5326245</v>
      </c>
      <c r="C169" t="s">
        <v>661</v>
      </c>
      <c r="D169">
        <f t="shared" si="6"/>
        <v>954</v>
      </c>
      <c r="E169">
        <f>VLOOKUP($C169,'[1]PoB Totals'!$C$3:$T$898,17,FALSE)</f>
        <v>935</v>
      </c>
      <c r="F169">
        <f>VLOOKUP($C169,'[1]PoB Totals'!$C$3:$T$898,18,FALSE)</f>
        <v>19</v>
      </c>
      <c r="G169">
        <f t="shared" si="7"/>
        <v>954</v>
      </c>
      <c r="H169">
        <f t="shared" si="8"/>
        <v>935</v>
      </c>
      <c r="I169">
        <f t="shared" si="8"/>
        <v>19</v>
      </c>
      <c r="J169">
        <f>VLOOKUP($C169,'[1]PoB WN'!$C$1:$T$898,17,FALSE)</f>
        <v>928</v>
      </c>
      <c r="K169">
        <f>VLOOKUP($C169,'[1]PoB WN'!$C$1:$T$898,18,FALSE)</f>
        <v>19</v>
      </c>
      <c r="L169">
        <f>VLOOKUP($C169,'[1]PoB WH'!$C$1:$T$898,17,FALSE)</f>
        <v>0</v>
      </c>
      <c r="M169">
        <f>VLOOKUP($C169,'[1]PoB WH'!$C$1:$T$898,18,FALSE)</f>
        <v>0</v>
      </c>
      <c r="N169">
        <f>VLOOKUP($C169,'[1]PoB AA'!$C$1:$T$898,17,FALSE)</f>
        <v>0</v>
      </c>
      <c r="O169">
        <f>VLOOKUP($C169,'[1]PoB AA'!$C$1:$T$898,18,FALSE)</f>
        <v>0</v>
      </c>
      <c r="P169">
        <f>VLOOKUP($C169,'[1]PoB AI'!$C$1:$T$898,17,FALSE)</f>
        <v>0</v>
      </c>
      <c r="Q169">
        <f>VLOOKUP($C169,'[1]PoB AI'!$C$1:$T$898,18,FALSE)</f>
        <v>0</v>
      </c>
      <c r="R169">
        <f>VLOOKUP($C169,'[1]PoB AS'!$C$1:$T$898,17,FALSE)</f>
        <v>0</v>
      </c>
      <c r="S169">
        <f>VLOOKUP($C169,'[1]PoB AS'!$C$1:$T$898,18,FALSE)</f>
        <v>0</v>
      </c>
      <c r="T169">
        <f>VLOOKUP($C169,'[1]PoB PI'!$C$1:$T$898,17,FALSE)</f>
        <v>0</v>
      </c>
      <c r="U169">
        <f>VLOOKUP($C169,'[1]PoB PI'!$C$1:$T$898,18,FALSE)</f>
        <v>0</v>
      </c>
      <c r="V169">
        <f>VLOOKUP($C169,'[1]PoB OT'!$C$1:$T$898,17,FALSE)</f>
        <v>7</v>
      </c>
      <c r="W169">
        <f>VLOOKUP($C169,'[1]PoB OT'!$C$1:$T$898,18,FALSE)</f>
        <v>0</v>
      </c>
      <c r="X169">
        <f>VLOOKUP($C169,'[1]PoB 2R'!$C$1:$T$898,17,FALSE)</f>
        <v>0</v>
      </c>
      <c r="Y169">
        <f>VLOOKUP($C169,'[1]PoB 2R'!$C$1:$T$898,18,FALSE)</f>
        <v>0</v>
      </c>
    </row>
    <row r="170" spans="1:25" x14ac:dyDescent="0.25">
      <c r="A170" t="s">
        <v>662</v>
      </c>
      <c r="B170">
        <v>5326420</v>
      </c>
      <c r="C170" t="s">
        <v>663</v>
      </c>
      <c r="D170">
        <f t="shared" si="6"/>
        <v>2082</v>
      </c>
      <c r="E170">
        <f>VLOOKUP($C170,'[1]PoB Totals'!$C$3:$T$898,17,FALSE)</f>
        <v>1971</v>
      </c>
      <c r="F170">
        <f>VLOOKUP($C170,'[1]PoB Totals'!$C$3:$T$898,18,FALSE)</f>
        <v>111</v>
      </c>
      <c r="G170">
        <f t="shared" si="7"/>
        <v>2082</v>
      </c>
      <c r="H170">
        <f t="shared" si="8"/>
        <v>1971</v>
      </c>
      <c r="I170">
        <f t="shared" si="8"/>
        <v>111</v>
      </c>
      <c r="J170">
        <f>VLOOKUP($C170,'[1]PoB WN'!$C$1:$T$898,17,FALSE)</f>
        <v>1873</v>
      </c>
      <c r="K170">
        <f>VLOOKUP($C170,'[1]PoB WN'!$C$1:$T$898,18,FALSE)</f>
        <v>89</v>
      </c>
      <c r="L170">
        <f>VLOOKUP($C170,'[1]PoB WH'!$C$1:$T$898,17,FALSE)</f>
        <v>21</v>
      </c>
      <c r="M170">
        <f>VLOOKUP($C170,'[1]PoB WH'!$C$1:$T$898,18,FALSE)</f>
        <v>0</v>
      </c>
      <c r="N170">
        <f>VLOOKUP($C170,'[1]PoB AA'!$C$1:$T$898,17,FALSE)</f>
        <v>10</v>
      </c>
      <c r="O170">
        <f>VLOOKUP($C170,'[1]PoB AA'!$C$1:$T$898,18,FALSE)</f>
        <v>0</v>
      </c>
      <c r="P170">
        <f>VLOOKUP($C170,'[1]PoB AI'!$C$1:$T$898,17,FALSE)</f>
        <v>8</v>
      </c>
      <c r="Q170">
        <f>VLOOKUP($C170,'[1]PoB AI'!$C$1:$T$898,18,FALSE)</f>
        <v>0</v>
      </c>
      <c r="R170">
        <f>VLOOKUP($C170,'[1]PoB AS'!$C$1:$T$898,17,FALSE)</f>
        <v>0</v>
      </c>
      <c r="S170">
        <f>VLOOKUP($C170,'[1]PoB AS'!$C$1:$T$898,18,FALSE)</f>
        <v>14</v>
      </c>
      <c r="T170">
        <f>VLOOKUP($C170,'[1]PoB PI'!$C$1:$T$898,17,FALSE)</f>
        <v>0</v>
      </c>
      <c r="U170">
        <f>VLOOKUP($C170,'[1]PoB PI'!$C$1:$T$898,18,FALSE)</f>
        <v>0</v>
      </c>
      <c r="V170">
        <f>VLOOKUP($C170,'[1]PoB OT'!$C$1:$T$898,17,FALSE)</f>
        <v>0</v>
      </c>
      <c r="W170">
        <f>VLOOKUP($C170,'[1]PoB OT'!$C$1:$T$898,18,FALSE)</f>
        <v>0</v>
      </c>
      <c r="X170">
        <f>VLOOKUP($C170,'[1]PoB 2R'!$C$1:$T$898,17,FALSE)</f>
        <v>59</v>
      </c>
      <c r="Y170">
        <f>VLOOKUP($C170,'[1]PoB 2R'!$C$1:$T$898,18,FALSE)</f>
        <v>8</v>
      </c>
    </row>
    <row r="171" spans="1:25" x14ac:dyDescent="0.25">
      <c r="A171" t="s">
        <v>664</v>
      </c>
      <c r="B171">
        <v>5326455</v>
      </c>
      <c r="C171" t="s">
        <v>665</v>
      </c>
      <c r="D171">
        <f t="shared" si="6"/>
        <v>510</v>
      </c>
      <c r="E171">
        <f>VLOOKUP($C171,'[1]PoB Totals'!$C$3:$T$898,17,FALSE)</f>
        <v>263</v>
      </c>
      <c r="F171">
        <f>VLOOKUP($C171,'[1]PoB Totals'!$C$3:$T$898,18,FALSE)</f>
        <v>247</v>
      </c>
      <c r="G171">
        <f t="shared" si="7"/>
        <v>510</v>
      </c>
      <c r="H171">
        <f t="shared" si="8"/>
        <v>263</v>
      </c>
      <c r="I171">
        <f t="shared" si="8"/>
        <v>247</v>
      </c>
      <c r="J171">
        <f>VLOOKUP($C171,'[1]PoB WN'!$C$1:$T$898,17,FALSE)</f>
        <v>154</v>
      </c>
      <c r="K171">
        <f>VLOOKUP($C171,'[1]PoB WN'!$C$1:$T$898,18,FALSE)</f>
        <v>9</v>
      </c>
      <c r="L171">
        <f>VLOOKUP($C171,'[1]PoB WH'!$C$1:$T$898,17,FALSE)</f>
        <v>69</v>
      </c>
      <c r="M171">
        <f>VLOOKUP($C171,'[1]PoB WH'!$C$1:$T$898,18,FALSE)</f>
        <v>143</v>
      </c>
      <c r="N171">
        <f>VLOOKUP($C171,'[1]PoB AA'!$C$1:$T$898,17,FALSE)</f>
        <v>0</v>
      </c>
      <c r="O171">
        <f>VLOOKUP($C171,'[1]PoB AA'!$C$1:$T$898,18,FALSE)</f>
        <v>0</v>
      </c>
      <c r="P171">
        <f>VLOOKUP($C171,'[1]PoB AI'!$C$1:$T$898,17,FALSE)</f>
        <v>0</v>
      </c>
      <c r="Q171">
        <f>VLOOKUP($C171,'[1]PoB AI'!$C$1:$T$898,18,FALSE)</f>
        <v>6</v>
      </c>
      <c r="R171">
        <f>VLOOKUP($C171,'[1]PoB AS'!$C$1:$T$898,17,FALSE)</f>
        <v>6</v>
      </c>
      <c r="S171">
        <f>VLOOKUP($C171,'[1]PoB AS'!$C$1:$T$898,18,FALSE)</f>
        <v>3</v>
      </c>
      <c r="T171">
        <f>VLOOKUP($C171,'[1]PoB PI'!$C$1:$T$898,17,FALSE)</f>
        <v>0</v>
      </c>
      <c r="U171">
        <f>VLOOKUP($C171,'[1]PoB PI'!$C$1:$T$898,18,FALSE)</f>
        <v>0</v>
      </c>
      <c r="V171">
        <f>VLOOKUP($C171,'[1]PoB OT'!$C$1:$T$898,17,FALSE)</f>
        <v>19</v>
      </c>
      <c r="W171">
        <f>VLOOKUP($C171,'[1]PoB OT'!$C$1:$T$898,18,FALSE)</f>
        <v>67</v>
      </c>
      <c r="X171">
        <f>VLOOKUP($C171,'[1]PoB 2R'!$C$1:$T$898,17,FALSE)</f>
        <v>15</v>
      </c>
      <c r="Y171">
        <f>VLOOKUP($C171,'[1]PoB 2R'!$C$1:$T$898,18,FALSE)</f>
        <v>19</v>
      </c>
    </row>
    <row r="172" spans="1:25" x14ac:dyDescent="0.25">
      <c r="A172" t="s">
        <v>666</v>
      </c>
      <c r="B172">
        <v>5326735</v>
      </c>
      <c r="C172" t="s">
        <v>667</v>
      </c>
      <c r="D172">
        <f t="shared" si="6"/>
        <v>6593</v>
      </c>
      <c r="E172">
        <f>VLOOKUP($C172,'[1]PoB Totals'!$C$3:$T$898,17,FALSE)</f>
        <v>6195</v>
      </c>
      <c r="F172">
        <f>VLOOKUP($C172,'[1]PoB Totals'!$C$3:$T$898,18,FALSE)</f>
        <v>398</v>
      </c>
      <c r="G172">
        <f t="shared" si="7"/>
        <v>6593</v>
      </c>
      <c r="H172">
        <f t="shared" si="8"/>
        <v>6195</v>
      </c>
      <c r="I172">
        <f t="shared" si="8"/>
        <v>398</v>
      </c>
      <c r="J172">
        <f>VLOOKUP($C172,'[1]PoB WN'!$C$1:$T$898,17,FALSE)</f>
        <v>5778</v>
      </c>
      <c r="K172">
        <f>VLOOKUP($C172,'[1]PoB WN'!$C$1:$T$898,18,FALSE)</f>
        <v>210</v>
      </c>
      <c r="L172">
        <f>VLOOKUP($C172,'[1]PoB WH'!$C$1:$T$898,17,FALSE)</f>
        <v>43</v>
      </c>
      <c r="M172">
        <f>VLOOKUP($C172,'[1]PoB WH'!$C$1:$T$898,18,FALSE)</f>
        <v>57</v>
      </c>
      <c r="N172">
        <f>VLOOKUP($C172,'[1]PoB AA'!$C$1:$T$898,17,FALSE)</f>
        <v>93</v>
      </c>
      <c r="O172">
        <f>VLOOKUP($C172,'[1]PoB AA'!$C$1:$T$898,18,FALSE)</f>
        <v>11</v>
      </c>
      <c r="P172">
        <f>VLOOKUP($C172,'[1]PoB AI'!$C$1:$T$898,17,FALSE)</f>
        <v>15</v>
      </c>
      <c r="Q172">
        <f>VLOOKUP($C172,'[1]PoB AI'!$C$1:$T$898,18,FALSE)</f>
        <v>0</v>
      </c>
      <c r="R172">
        <f>VLOOKUP($C172,'[1]PoB AS'!$C$1:$T$898,17,FALSE)</f>
        <v>91</v>
      </c>
      <c r="S172">
        <f>VLOOKUP($C172,'[1]PoB AS'!$C$1:$T$898,18,FALSE)</f>
        <v>63</v>
      </c>
      <c r="T172">
        <f>VLOOKUP($C172,'[1]PoB PI'!$C$1:$T$898,17,FALSE)</f>
        <v>40</v>
      </c>
      <c r="U172">
        <f>VLOOKUP($C172,'[1]PoB PI'!$C$1:$T$898,18,FALSE)</f>
        <v>19</v>
      </c>
      <c r="V172">
        <f>VLOOKUP($C172,'[1]PoB OT'!$C$1:$T$898,17,FALSE)</f>
        <v>16</v>
      </c>
      <c r="W172">
        <f>VLOOKUP($C172,'[1]PoB OT'!$C$1:$T$898,18,FALSE)</f>
        <v>4</v>
      </c>
      <c r="X172">
        <f>VLOOKUP($C172,'[1]PoB 2R'!$C$1:$T$898,17,FALSE)</f>
        <v>119</v>
      </c>
      <c r="Y172">
        <f>VLOOKUP($C172,'[1]PoB 2R'!$C$1:$T$898,18,FALSE)</f>
        <v>34</v>
      </c>
    </row>
    <row r="173" spans="1:25" x14ac:dyDescent="0.25">
      <c r="A173" t="s">
        <v>668</v>
      </c>
      <c r="B173">
        <v>5326875</v>
      </c>
      <c r="C173" t="s">
        <v>669</v>
      </c>
      <c r="D173">
        <f t="shared" si="6"/>
        <v>73</v>
      </c>
      <c r="E173">
        <f>VLOOKUP($C173,'[1]PoB Totals'!$C$3:$T$898,17,FALSE)</f>
        <v>73</v>
      </c>
      <c r="F173">
        <f>VLOOKUP($C173,'[1]PoB Totals'!$C$3:$T$898,18,FALSE)</f>
        <v>0</v>
      </c>
      <c r="G173">
        <f t="shared" si="7"/>
        <v>73</v>
      </c>
      <c r="H173">
        <f t="shared" si="8"/>
        <v>73</v>
      </c>
      <c r="I173">
        <f t="shared" si="8"/>
        <v>0</v>
      </c>
      <c r="J173">
        <f>VLOOKUP($C173,'[1]PoB WN'!$C$1:$T$898,17,FALSE)</f>
        <v>35</v>
      </c>
      <c r="K173">
        <f>VLOOKUP($C173,'[1]PoB WN'!$C$1:$T$898,18,FALSE)</f>
        <v>0</v>
      </c>
      <c r="L173">
        <f>VLOOKUP($C173,'[1]PoB WH'!$C$1:$T$898,17,FALSE)</f>
        <v>0</v>
      </c>
      <c r="M173">
        <f>VLOOKUP($C173,'[1]PoB WH'!$C$1:$T$898,18,FALSE)</f>
        <v>0</v>
      </c>
      <c r="N173">
        <f>VLOOKUP($C173,'[1]PoB AA'!$C$1:$T$898,17,FALSE)</f>
        <v>0</v>
      </c>
      <c r="O173">
        <f>VLOOKUP($C173,'[1]PoB AA'!$C$1:$T$898,18,FALSE)</f>
        <v>0</v>
      </c>
      <c r="P173">
        <f>VLOOKUP($C173,'[1]PoB AI'!$C$1:$T$898,17,FALSE)</f>
        <v>0</v>
      </c>
      <c r="Q173">
        <f>VLOOKUP($C173,'[1]PoB AI'!$C$1:$T$898,18,FALSE)</f>
        <v>0</v>
      </c>
      <c r="R173">
        <f>VLOOKUP($C173,'[1]PoB AS'!$C$1:$T$898,17,FALSE)</f>
        <v>0</v>
      </c>
      <c r="S173">
        <f>VLOOKUP($C173,'[1]PoB AS'!$C$1:$T$898,18,FALSE)</f>
        <v>0</v>
      </c>
      <c r="T173">
        <f>VLOOKUP($C173,'[1]PoB PI'!$C$1:$T$898,17,FALSE)</f>
        <v>0</v>
      </c>
      <c r="U173">
        <f>VLOOKUP($C173,'[1]PoB PI'!$C$1:$T$898,18,FALSE)</f>
        <v>0</v>
      </c>
      <c r="V173">
        <f>VLOOKUP($C173,'[1]PoB OT'!$C$1:$T$898,17,FALSE)</f>
        <v>9</v>
      </c>
      <c r="W173">
        <f>VLOOKUP($C173,'[1]PoB OT'!$C$1:$T$898,18,FALSE)</f>
        <v>0</v>
      </c>
      <c r="X173">
        <f>VLOOKUP($C173,'[1]PoB 2R'!$C$1:$T$898,17,FALSE)</f>
        <v>29</v>
      </c>
      <c r="Y173">
        <f>VLOOKUP($C173,'[1]PoB 2R'!$C$1:$T$898,18,FALSE)</f>
        <v>0</v>
      </c>
    </row>
    <row r="174" spans="1:25" x14ac:dyDescent="0.25">
      <c r="A174" t="s">
        <v>670</v>
      </c>
      <c r="B174">
        <v>5326945</v>
      </c>
      <c r="C174" t="s">
        <v>671</v>
      </c>
      <c r="D174">
        <f t="shared" si="6"/>
        <v>2593</v>
      </c>
      <c r="E174">
        <f>VLOOKUP($C174,'[1]PoB Totals'!$C$3:$T$898,17,FALSE)</f>
        <v>2459</v>
      </c>
      <c r="F174">
        <f>VLOOKUP($C174,'[1]PoB Totals'!$C$3:$T$898,18,FALSE)</f>
        <v>134</v>
      </c>
      <c r="G174">
        <f t="shared" si="7"/>
        <v>2593</v>
      </c>
      <c r="H174">
        <f t="shared" si="8"/>
        <v>2459</v>
      </c>
      <c r="I174">
        <f t="shared" si="8"/>
        <v>134</v>
      </c>
      <c r="J174">
        <f>VLOOKUP($C174,'[1]PoB WN'!$C$1:$T$898,17,FALSE)</f>
        <v>2231</v>
      </c>
      <c r="K174">
        <f>VLOOKUP($C174,'[1]PoB WN'!$C$1:$T$898,18,FALSE)</f>
        <v>22</v>
      </c>
      <c r="L174">
        <f>VLOOKUP($C174,'[1]PoB WH'!$C$1:$T$898,17,FALSE)</f>
        <v>14</v>
      </c>
      <c r="M174">
        <f>VLOOKUP($C174,'[1]PoB WH'!$C$1:$T$898,18,FALSE)</f>
        <v>0</v>
      </c>
      <c r="N174">
        <f>VLOOKUP($C174,'[1]PoB AA'!$C$1:$T$898,17,FALSE)</f>
        <v>0</v>
      </c>
      <c r="O174">
        <f>VLOOKUP($C174,'[1]PoB AA'!$C$1:$T$898,18,FALSE)</f>
        <v>0</v>
      </c>
      <c r="P174">
        <f>VLOOKUP($C174,'[1]PoB AI'!$C$1:$T$898,17,FALSE)</f>
        <v>0</v>
      </c>
      <c r="Q174">
        <f>VLOOKUP($C174,'[1]PoB AI'!$C$1:$T$898,18,FALSE)</f>
        <v>0</v>
      </c>
      <c r="R174">
        <f>VLOOKUP($C174,'[1]PoB AS'!$C$1:$T$898,17,FALSE)</f>
        <v>0</v>
      </c>
      <c r="S174">
        <f>VLOOKUP($C174,'[1]PoB AS'!$C$1:$T$898,18,FALSE)</f>
        <v>9</v>
      </c>
      <c r="T174">
        <f>VLOOKUP($C174,'[1]PoB PI'!$C$1:$T$898,17,FALSE)</f>
        <v>0</v>
      </c>
      <c r="U174">
        <f>VLOOKUP($C174,'[1]PoB PI'!$C$1:$T$898,18,FALSE)</f>
        <v>0</v>
      </c>
      <c r="V174">
        <f>VLOOKUP($C174,'[1]PoB OT'!$C$1:$T$898,17,FALSE)</f>
        <v>116</v>
      </c>
      <c r="W174">
        <f>VLOOKUP($C174,'[1]PoB OT'!$C$1:$T$898,18,FALSE)</f>
        <v>95</v>
      </c>
      <c r="X174">
        <f>VLOOKUP($C174,'[1]PoB 2R'!$C$1:$T$898,17,FALSE)</f>
        <v>98</v>
      </c>
      <c r="Y174">
        <f>VLOOKUP($C174,'[1]PoB 2R'!$C$1:$T$898,18,FALSE)</f>
        <v>8</v>
      </c>
    </row>
    <row r="175" spans="1:25" x14ac:dyDescent="0.25">
      <c r="A175" t="s">
        <v>674</v>
      </c>
      <c r="B175">
        <v>5327365</v>
      </c>
      <c r="C175" t="s">
        <v>675</v>
      </c>
      <c r="D175">
        <f t="shared" si="6"/>
        <v>1969</v>
      </c>
      <c r="E175">
        <f>VLOOKUP($C175,'[1]PoB Totals'!$C$3:$T$898,17,FALSE)</f>
        <v>1873</v>
      </c>
      <c r="F175">
        <f>VLOOKUP($C175,'[1]PoB Totals'!$C$3:$T$898,18,FALSE)</f>
        <v>96</v>
      </c>
      <c r="G175">
        <f t="shared" si="7"/>
        <v>1969</v>
      </c>
      <c r="H175">
        <f t="shared" si="8"/>
        <v>1873</v>
      </c>
      <c r="I175">
        <f t="shared" si="8"/>
        <v>96</v>
      </c>
      <c r="J175">
        <f>VLOOKUP($C175,'[1]PoB WN'!$C$1:$T$898,17,FALSE)</f>
        <v>1688</v>
      </c>
      <c r="K175">
        <f>VLOOKUP($C175,'[1]PoB WN'!$C$1:$T$898,18,FALSE)</f>
        <v>48</v>
      </c>
      <c r="L175">
        <f>VLOOKUP($C175,'[1]PoB WH'!$C$1:$T$898,17,FALSE)</f>
        <v>40</v>
      </c>
      <c r="M175">
        <f>VLOOKUP($C175,'[1]PoB WH'!$C$1:$T$898,18,FALSE)</f>
        <v>0</v>
      </c>
      <c r="N175">
        <f>VLOOKUP($C175,'[1]PoB AA'!$C$1:$T$898,17,FALSE)</f>
        <v>2</v>
      </c>
      <c r="O175">
        <f>VLOOKUP($C175,'[1]PoB AA'!$C$1:$T$898,18,FALSE)</f>
        <v>0</v>
      </c>
      <c r="P175">
        <f>VLOOKUP($C175,'[1]PoB AI'!$C$1:$T$898,17,FALSE)</f>
        <v>41</v>
      </c>
      <c r="Q175">
        <f>VLOOKUP($C175,'[1]PoB AI'!$C$1:$T$898,18,FALSE)</f>
        <v>0</v>
      </c>
      <c r="R175">
        <f>VLOOKUP($C175,'[1]PoB AS'!$C$1:$T$898,17,FALSE)</f>
        <v>0</v>
      </c>
      <c r="S175">
        <f>VLOOKUP($C175,'[1]PoB AS'!$C$1:$T$898,18,FALSE)</f>
        <v>31</v>
      </c>
      <c r="T175">
        <f>VLOOKUP($C175,'[1]PoB PI'!$C$1:$T$898,17,FALSE)</f>
        <v>0</v>
      </c>
      <c r="U175">
        <f>VLOOKUP($C175,'[1]PoB PI'!$C$1:$T$898,18,FALSE)</f>
        <v>0</v>
      </c>
      <c r="V175">
        <f>VLOOKUP($C175,'[1]PoB OT'!$C$1:$T$898,17,FALSE)</f>
        <v>21</v>
      </c>
      <c r="W175">
        <f>VLOOKUP($C175,'[1]PoB OT'!$C$1:$T$898,18,FALSE)</f>
        <v>2</v>
      </c>
      <c r="X175">
        <f>VLOOKUP($C175,'[1]PoB 2R'!$C$1:$T$898,17,FALSE)</f>
        <v>81</v>
      </c>
      <c r="Y175">
        <f>VLOOKUP($C175,'[1]PoB 2R'!$C$1:$T$898,18,FALSE)</f>
        <v>15</v>
      </c>
    </row>
    <row r="176" spans="1:25" x14ac:dyDescent="0.25">
      <c r="A176" t="s">
        <v>676</v>
      </c>
      <c r="B176">
        <v>5327435</v>
      </c>
      <c r="C176" t="s">
        <v>677</v>
      </c>
      <c r="D176">
        <f t="shared" si="6"/>
        <v>3776</v>
      </c>
      <c r="E176">
        <f>VLOOKUP($C176,'[1]PoB Totals'!$C$3:$T$898,17,FALSE)</f>
        <v>3597</v>
      </c>
      <c r="F176">
        <f>VLOOKUP($C176,'[1]PoB Totals'!$C$3:$T$898,18,FALSE)</f>
        <v>179</v>
      </c>
      <c r="G176">
        <f t="shared" si="7"/>
        <v>3776</v>
      </c>
      <c r="H176">
        <f t="shared" si="8"/>
        <v>3597</v>
      </c>
      <c r="I176">
        <f t="shared" si="8"/>
        <v>179</v>
      </c>
      <c r="J176">
        <f>VLOOKUP($C176,'[1]PoB WN'!$C$1:$T$898,17,FALSE)</f>
        <v>3192</v>
      </c>
      <c r="K176">
        <f>VLOOKUP($C176,'[1]PoB WN'!$C$1:$T$898,18,FALSE)</f>
        <v>57</v>
      </c>
      <c r="L176">
        <f>VLOOKUP($C176,'[1]PoB WH'!$C$1:$T$898,17,FALSE)</f>
        <v>20</v>
      </c>
      <c r="M176">
        <f>VLOOKUP($C176,'[1]PoB WH'!$C$1:$T$898,18,FALSE)</f>
        <v>0</v>
      </c>
      <c r="N176">
        <f>VLOOKUP($C176,'[1]PoB AA'!$C$1:$T$898,17,FALSE)</f>
        <v>10</v>
      </c>
      <c r="O176">
        <f>VLOOKUP($C176,'[1]PoB AA'!$C$1:$T$898,18,FALSE)</f>
        <v>0</v>
      </c>
      <c r="P176">
        <f>VLOOKUP($C176,'[1]PoB AI'!$C$1:$T$898,17,FALSE)</f>
        <v>201</v>
      </c>
      <c r="Q176">
        <f>VLOOKUP($C176,'[1]PoB AI'!$C$1:$T$898,18,FALSE)</f>
        <v>0</v>
      </c>
      <c r="R176">
        <f>VLOOKUP($C176,'[1]PoB AS'!$C$1:$T$898,17,FALSE)</f>
        <v>10</v>
      </c>
      <c r="S176">
        <f>VLOOKUP($C176,'[1]PoB AS'!$C$1:$T$898,18,FALSE)</f>
        <v>0</v>
      </c>
      <c r="T176">
        <f>VLOOKUP($C176,'[1]PoB PI'!$C$1:$T$898,17,FALSE)</f>
        <v>29</v>
      </c>
      <c r="U176">
        <f>VLOOKUP($C176,'[1]PoB PI'!$C$1:$T$898,18,FALSE)</f>
        <v>0</v>
      </c>
      <c r="V176">
        <f>VLOOKUP($C176,'[1]PoB OT'!$C$1:$T$898,17,FALSE)</f>
        <v>104</v>
      </c>
      <c r="W176">
        <f>VLOOKUP($C176,'[1]PoB OT'!$C$1:$T$898,18,FALSE)</f>
        <v>122</v>
      </c>
      <c r="X176">
        <f>VLOOKUP($C176,'[1]PoB 2R'!$C$1:$T$898,17,FALSE)</f>
        <v>31</v>
      </c>
      <c r="Y176">
        <f>VLOOKUP($C176,'[1]PoB 2R'!$C$1:$T$898,18,FALSE)</f>
        <v>0</v>
      </c>
    </row>
    <row r="177" spans="1:25" x14ac:dyDescent="0.25">
      <c r="A177" t="s">
        <v>680</v>
      </c>
      <c r="B177">
        <v>5327785</v>
      </c>
      <c r="C177" t="s">
        <v>681</v>
      </c>
      <c r="D177">
        <f t="shared" si="6"/>
        <v>8880</v>
      </c>
      <c r="E177">
        <f>VLOOKUP($C177,'[1]PoB Totals'!$C$3:$T$898,17,FALSE)</f>
        <v>8526</v>
      </c>
      <c r="F177">
        <f>VLOOKUP($C177,'[1]PoB Totals'!$C$3:$T$898,18,FALSE)</f>
        <v>354</v>
      </c>
      <c r="G177">
        <f t="shared" si="7"/>
        <v>8880</v>
      </c>
      <c r="H177">
        <f t="shared" si="8"/>
        <v>8526</v>
      </c>
      <c r="I177">
        <f t="shared" si="8"/>
        <v>354</v>
      </c>
      <c r="J177">
        <f>VLOOKUP($C177,'[1]PoB WN'!$C$1:$T$898,17,FALSE)</f>
        <v>7668</v>
      </c>
      <c r="K177">
        <f>VLOOKUP($C177,'[1]PoB WN'!$C$1:$T$898,18,FALSE)</f>
        <v>228</v>
      </c>
      <c r="L177">
        <f>VLOOKUP($C177,'[1]PoB WH'!$C$1:$T$898,17,FALSE)</f>
        <v>123</v>
      </c>
      <c r="M177">
        <f>VLOOKUP($C177,'[1]PoB WH'!$C$1:$T$898,18,FALSE)</f>
        <v>11</v>
      </c>
      <c r="N177">
        <f>VLOOKUP($C177,'[1]PoB AA'!$C$1:$T$898,17,FALSE)</f>
        <v>213</v>
      </c>
      <c r="O177">
        <f>VLOOKUP($C177,'[1]PoB AA'!$C$1:$T$898,18,FALSE)</f>
        <v>8</v>
      </c>
      <c r="P177">
        <f>VLOOKUP($C177,'[1]PoB AI'!$C$1:$T$898,17,FALSE)</f>
        <v>83</v>
      </c>
      <c r="Q177">
        <f>VLOOKUP($C177,'[1]PoB AI'!$C$1:$T$898,18,FALSE)</f>
        <v>0</v>
      </c>
      <c r="R177">
        <f>VLOOKUP($C177,'[1]PoB AS'!$C$1:$T$898,17,FALSE)</f>
        <v>9</v>
      </c>
      <c r="S177">
        <f>VLOOKUP($C177,'[1]PoB AS'!$C$1:$T$898,18,FALSE)</f>
        <v>60</v>
      </c>
      <c r="T177">
        <f>VLOOKUP($C177,'[1]PoB PI'!$C$1:$T$898,17,FALSE)</f>
        <v>0</v>
      </c>
      <c r="U177">
        <f>VLOOKUP($C177,'[1]PoB PI'!$C$1:$T$898,18,FALSE)</f>
        <v>0</v>
      </c>
      <c r="V177">
        <f>VLOOKUP($C177,'[1]PoB OT'!$C$1:$T$898,17,FALSE)</f>
        <v>71</v>
      </c>
      <c r="W177">
        <f>VLOOKUP($C177,'[1]PoB OT'!$C$1:$T$898,18,FALSE)</f>
        <v>28</v>
      </c>
      <c r="X177">
        <f>VLOOKUP($C177,'[1]PoB 2R'!$C$1:$T$898,17,FALSE)</f>
        <v>359</v>
      </c>
      <c r="Y177">
        <f>VLOOKUP($C177,'[1]PoB 2R'!$C$1:$T$898,18,FALSE)</f>
        <v>19</v>
      </c>
    </row>
    <row r="178" spans="1:25" x14ac:dyDescent="0.25">
      <c r="A178" t="s">
        <v>682</v>
      </c>
      <c r="B178">
        <v>5327855</v>
      </c>
      <c r="C178" t="s">
        <v>683</v>
      </c>
      <c r="D178">
        <f t="shared" si="6"/>
        <v>902</v>
      </c>
      <c r="E178">
        <f>VLOOKUP($C178,'[1]PoB Totals'!$C$3:$T$898,17,FALSE)</f>
        <v>870</v>
      </c>
      <c r="F178">
        <f>VLOOKUP($C178,'[1]PoB Totals'!$C$3:$T$898,18,FALSE)</f>
        <v>32</v>
      </c>
      <c r="G178">
        <f t="shared" si="7"/>
        <v>902</v>
      </c>
      <c r="H178">
        <f t="shared" si="8"/>
        <v>870</v>
      </c>
      <c r="I178">
        <f t="shared" si="8"/>
        <v>32</v>
      </c>
      <c r="J178">
        <f>VLOOKUP($C178,'[1]PoB WN'!$C$1:$T$898,17,FALSE)</f>
        <v>692</v>
      </c>
      <c r="K178">
        <f>VLOOKUP($C178,'[1]PoB WN'!$C$1:$T$898,18,FALSE)</f>
        <v>12</v>
      </c>
      <c r="L178">
        <f>VLOOKUP($C178,'[1]PoB WH'!$C$1:$T$898,17,FALSE)</f>
        <v>16</v>
      </c>
      <c r="M178">
        <f>VLOOKUP($C178,'[1]PoB WH'!$C$1:$T$898,18,FALSE)</f>
        <v>0</v>
      </c>
      <c r="N178">
        <f>VLOOKUP($C178,'[1]PoB AA'!$C$1:$T$898,17,FALSE)</f>
        <v>11</v>
      </c>
      <c r="O178">
        <f>VLOOKUP($C178,'[1]PoB AA'!$C$1:$T$898,18,FALSE)</f>
        <v>0</v>
      </c>
      <c r="P178">
        <f>VLOOKUP($C178,'[1]PoB AI'!$C$1:$T$898,17,FALSE)</f>
        <v>124</v>
      </c>
      <c r="Q178">
        <f>VLOOKUP($C178,'[1]PoB AI'!$C$1:$T$898,18,FALSE)</f>
        <v>0</v>
      </c>
      <c r="R178">
        <f>VLOOKUP($C178,'[1]PoB AS'!$C$1:$T$898,17,FALSE)</f>
        <v>3</v>
      </c>
      <c r="S178">
        <f>VLOOKUP($C178,'[1]PoB AS'!$C$1:$T$898,18,FALSE)</f>
        <v>14</v>
      </c>
      <c r="T178">
        <f>VLOOKUP($C178,'[1]PoB PI'!$C$1:$T$898,17,FALSE)</f>
        <v>0</v>
      </c>
      <c r="U178">
        <f>VLOOKUP($C178,'[1]PoB PI'!$C$1:$T$898,18,FALSE)</f>
        <v>0</v>
      </c>
      <c r="V178">
        <f>VLOOKUP($C178,'[1]PoB OT'!$C$1:$T$898,17,FALSE)</f>
        <v>10</v>
      </c>
      <c r="W178">
        <f>VLOOKUP($C178,'[1]PoB OT'!$C$1:$T$898,18,FALSE)</f>
        <v>6</v>
      </c>
      <c r="X178">
        <f>VLOOKUP($C178,'[1]PoB 2R'!$C$1:$T$898,17,FALSE)</f>
        <v>14</v>
      </c>
      <c r="Y178">
        <f>VLOOKUP($C178,'[1]PoB 2R'!$C$1:$T$898,18,FALSE)</f>
        <v>0</v>
      </c>
    </row>
    <row r="179" spans="1:25" x14ac:dyDescent="0.25">
      <c r="A179" t="s">
        <v>684</v>
      </c>
      <c r="B179">
        <v>5327890</v>
      </c>
      <c r="C179" t="s">
        <v>685</v>
      </c>
      <c r="D179">
        <f t="shared" si="6"/>
        <v>2072</v>
      </c>
      <c r="E179">
        <f>VLOOKUP($C179,'[1]PoB Totals'!$C$3:$T$898,17,FALSE)</f>
        <v>1986</v>
      </c>
      <c r="F179">
        <f>VLOOKUP($C179,'[1]PoB Totals'!$C$3:$T$898,18,FALSE)</f>
        <v>86</v>
      </c>
      <c r="G179">
        <f t="shared" si="7"/>
        <v>2072</v>
      </c>
      <c r="H179">
        <f t="shared" si="8"/>
        <v>1986</v>
      </c>
      <c r="I179">
        <f t="shared" si="8"/>
        <v>86</v>
      </c>
      <c r="J179">
        <f>VLOOKUP($C179,'[1]PoB WN'!$C$1:$T$898,17,FALSE)</f>
        <v>1771</v>
      </c>
      <c r="K179">
        <f>VLOOKUP($C179,'[1]PoB WN'!$C$1:$T$898,18,FALSE)</f>
        <v>11</v>
      </c>
      <c r="L179">
        <f>VLOOKUP($C179,'[1]PoB WH'!$C$1:$T$898,17,FALSE)</f>
        <v>7</v>
      </c>
      <c r="M179">
        <f>VLOOKUP($C179,'[1]PoB WH'!$C$1:$T$898,18,FALSE)</f>
        <v>0</v>
      </c>
      <c r="N179">
        <f>VLOOKUP($C179,'[1]PoB AA'!$C$1:$T$898,17,FALSE)</f>
        <v>0</v>
      </c>
      <c r="O179">
        <f>VLOOKUP($C179,'[1]PoB AA'!$C$1:$T$898,18,FALSE)</f>
        <v>0</v>
      </c>
      <c r="P179">
        <f>VLOOKUP($C179,'[1]PoB AI'!$C$1:$T$898,17,FALSE)</f>
        <v>32</v>
      </c>
      <c r="Q179">
        <f>VLOOKUP($C179,'[1]PoB AI'!$C$1:$T$898,18,FALSE)</f>
        <v>0</v>
      </c>
      <c r="R179">
        <f>VLOOKUP($C179,'[1]PoB AS'!$C$1:$T$898,17,FALSE)</f>
        <v>0</v>
      </c>
      <c r="S179">
        <f>VLOOKUP($C179,'[1]PoB AS'!$C$1:$T$898,18,FALSE)</f>
        <v>0</v>
      </c>
      <c r="T179">
        <f>VLOOKUP($C179,'[1]PoB PI'!$C$1:$T$898,17,FALSE)</f>
        <v>10</v>
      </c>
      <c r="U179">
        <f>VLOOKUP($C179,'[1]PoB PI'!$C$1:$T$898,18,FALSE)</f>
        <v>50</v>
      </c>
      <c r="V179">
        <f>VLOOKUP($C179,'[1]PoB OT'!$C$1:$T$898,17,FALSE)</f>
        <v>94</v>
      </c>
      <c r="W179">
        <f>VLOOKUP($C179,'[1]PoB OT'!$C$1:$T$898,18,FALSE)</f>
        <v>25</v>
      </c>
      <c r="X179">
        <f>VLOOKUP($C179,'[1]PoB 2R'!$C$1:$T$898,17,FALSE)</f>
        <v>72</v>
      </c>
      <c r="Y179">
        <f>VLOOKUP($C179,'[1]PoB 2R'!$C$1:$T$898,18,FALSE)</f>
        <v>0</v>
      </c>
    </row>
    <row r="180" spans="1:25" x14ac:dyDescent="0.25">
      <c r="A180" t="s">
        <v>686</v>
      </c>
      <c r="B180">
        <v>5327925</v>
      </c>
      <c r="C180" t="s">
        <v>687</v>
      </c>
      <c r="D180">
        <f t="shared" si="6"/>
        <v>8377</v>
      </c>
      <c r="E180">
        <f>VLOOKUP($C180,'[1]PoB Totals'!$C$3:$T$898,17,FALSE)</f>
        <v>6091</v>
      </c>
      <c r="F180">
        <f>VLOOKUP($C180,'[1]PoB Totals'!$C$3:$T$898,18,FALSE)</f>
        <v>2286</v>
      </c>
      <c r="G180">
        <f t="shared" si="7"/>
        <v>8377</v>
      </c>
      <c r="H180">
        <f t="shared" si="8"/>
        <v>6091</v>
      </c>
      <c r="I180">
        <f t="shared" si="8"/>
        <v>2286</v>
      </c>
      <c r="J180">
        <f>VLOOKUP($C180,'[1]PoB WN'!$C$1:$T$898,17,FALSE)</f>
        <v>2365</v>
      </c>
      <c r="K180">
        <f>VLOOKUP($C180,'[1]PoB WN'!$C$1:$T$898,18,FALSE)</f>
        <v>71</v>
      </c>
      <c r="L180">
        <f>VLOOKUP($C180,'[1]PoB WH'!$C$1:$T$898,17,FALSE)</f>
        <v>1062</v>
      </c>
      <c r="M180">
        <f>VLOOKUP($C180,'[1]PoB WH'!$C$1:$T$898,18,FALSE)</f>
        <v>738</v>
      </c>
      <c r="N180">
        <f>VLOOKUP($C180,'[1]PoB AA'!$C$1:$T$898,17,FALSE)</f>
        <v>15</v>
      </c>
      <c r="O180">
        <f>VLOOKUP($C180,'[1]PoB AA'!$C$1:$T$898,18,FALSE)</f>
        <v>22</v>
      </c>
      <c r="P180">
        <f>VLOOKUP($C180,'[1]PoB AI'!$C$1:$T$898,17,FALSE)</f>
        <v>51</v>
      </c>
      <c r="Q180">
        <f>VLOOKUP($C180,'[1]PoB AI'!$C$1:$T$898,18,FALSE)</f>
        <v>0</v>
      </c>
      <c r="R180">
        <f>VLOOKUP($C180,'[1]PoB AS'!$C$1:$T$898,17,FALSE)</f>
        <v>34</v>
      </c>
      <c r="S180">
        <f>VLOOKUP($C180,'[1]PoB AS'!$C$1:$T$898,18,FALSE)</f>
        <v>107</v>
      </c>
      <c r="T180">
        <f>VLOOKUP($C180,'[1]PoB PI'!$C$1:$T$898,17,FALSE)</f>
        <v>0</v>
      </c>
      <c r="U180">
        <f>VLOOKUP($C180,'[1]PoB PI'!$C$1:$T$898,18,FALSE)</f>
        <v>0</v>
      </c>
      <c r="V180">
        <f>VLOOKUP($C180,'[1]PoB OT'!$C$1:$T$898,17,FALSE)</f>
        <v>2336</v>
      </c>
      <c r="W180">
        <f>VLOOKUP($C180,'[1]PoB OT'!$C$1:$T$898,18,FALSE)</f>
        <v>1282</v>
      </c>
      <c r="X180">
        <f>VLOOKUP($C180,'[1]PoB 2R'!$C$1:$T$898,17,FALSE)</f>
        <v>228</v>
      </c>
      <c r="Y180">
        <f>VLOOKUP($C180,'[1]PoB 2R'!$C$1:$T$898,18,FALSE)</f>
        <v>66</v>
      </c>
    </row>
    <row r="181" spans="1:25" x14ac:dyDescent="0.25">
      <c r="A181" t="s">
        <v>688</v>
      </c>
      <c r="B181">
        <v>5327960</v>
      </c>
      <c r="C181" t="s">
        <v>1529</v>
      </c>
      <c r="D181">
        <f t="shared" si="6"/>
        <v>2586</v>
      </c>
      <c r="E181">
        <f>VLOOKUP($C181,'[1]PoB Totals'!$C$3:$T$898,17,FALSE)</f>
        <v>1590</v>
      </c>
      <c r="F181">
        <f>VLOOKUP($C181,'[1]PoB Totals'!$C$3:$T$898,18,FALSE)</f>
        <v>996</v>
      </c>
      <c r="G181">
        <f t="shared" si="7"/>
        <v>2586</v>
      </c>
      <c r="H181">
        <f t="shared" si="8"/>
        <v>1590</v>
      </c>
      <c r="I181">
        <f t="shared" si="8"/>
        <v>996</v>
      </c>
      <c r="J181">
        <f>VLOOKUP($C181,'[1]PoB WN'!$C$1:$T$898,17,FALSE)</f>
        <v>270</v>
      </c>
      <c r="K181">
        <f>VLOOKUP($C181,'[1]PoB WN'!$C$1:$T$898,18,FALSE)</f>
        <v>11</v>
      </c>
      <c r="L181">
        <f>VLOOKUP($C181,'[1]PoB WH'!$C$1:$T$898,17,FALSE)</f>
        <v>83</v>
      </c>
      <c r="M181">
        <f>VLOOKUP($C181,'[1]PoB WH'!$C$1:$T$898,18,FALSE)</f>
        <v>73</v>
      </c>
      <c r="N181">
        <f>VLOOKUP($C181,'[1]PoB AA'!$C$1:$T$898,17,FALSE)</f>
        <v>0</v>
      </c>
      <c r="O181">
        <f>VLOOKUP($C181,'[1]PoB AA'!$C$1:$T$898,18,FALSE)</f>
        <v>0</v>
      </c>
      <c r="P181">
        <f>VLOOKUP($C181,'[1]PoB AI'!$C$1:$T$898,17,FALSE)</f>
        <v>21</v>
      </c>
      <c r="Q181">
        <f>VLOOKUP($C181,'[1]PoB AI'!$C$1:$T$898,18,FALSE)</f>
        <v>0</v>
      </c>
      <c r="R181">
        <f>VLOOKUP($C181,'[1]PoB AS'!$C$1:$T$898,17,FALSE)</f>
        <v>0</v>
      </c>
      <c r="S181">
        <f>VLOOKUP($C181,'[1]PoB AS'!$C$1:$T$898,18,FALSE)</f>
        <v>2</v>
      </c>
      <c r="T181">
        <f>VLOOKUP($C181,'[1]PoB PI'!$C$1:$T$898,17,FALSE)</f>
        <v>0</v>
      </c>
      <c r="U181">
        <f>VLOOKUP($C181,'[1]PoB PI'!$C$1:$T$898,18,FALSE)</f>
        <v>0</v>
      </c>
      <c r="V181">
        <f>VLOOKUP($C181,'[1]PoB OT'!$C$1:$T$898,17,FALSE)</f>
        <v>1168</v>
      </c>
      <c r="W181">
        <f>VLOOKUP($C181,'[1]PoB OT'!$C$1:$T$898,18,FALSE)</f>
        <v>897</v>
      </c>
      <c r="X181">
        <f>VLOOKUP($C181,'[1]PoB 2R'!$C$1:$T$898,17,FALSE)</f>
        <v>48</v>
      </c>
      <c r="Y181">
        <f>VLOOKUP($C181,'[1]PoB 2R'!$C$1:$T$898,18,FALSE)</f>
        <v>13</v>
      </c>
    </row>
    <row r="182" spans="1:25" x14ac:dyDescent="0.25">
      <c r="A182" t="s">
        <v>690</v>
      </c>
      <c r="B182">
        <v>5327995</v>
      </c>
      <c r="C182" t="s">
        <v>691</v>
      </c>
      <c r="D182">
        <f t="shared" si="6"/>
        <v>2352</v>
      </c>
      <c r="E182">
        <f>VLOOKUP($C182,'[1]PoB Totals'!$C$3:$T$898,17,FALSE)</f>
        <v>2279</v>
      </c>
      <c r="F182">
        <f>VLOOKUP($C182,'[1]PoB Totals'!$C$3:$T$898,18,FALSE)</f>
        <v>73</v>
      </c>
      <c r="G182">
        <f t="shared" si="7"/>
        <v>2352</v>
      </c>
      <c r="H182">
        <f t="shared" si="8"/>
        <v>2279</v>
      </c>
      <c r="I182">
        <f t="shared" si="8"/>
        <v>73</v>
      </c>
      <c r="J182">
        <f>VLOOKUP($C182,'[1]PoB WN'!$C$1:$T$898,17,FALSE)</f>
        <v>2057</v>
      </c>
      <c r="K182">
        <f>VLOOKUP($C182,'[1]PoB WN'!$C$1:$T$898,18,FALSE)</f>
        <v>37</v>
      </c>
      <c r="L182">
        <f>VLOOKUP($C182,'[1]PoB WH'!$C$1:$T$898,17,FALSE)</f>
        <v>51</v>
      </c>
      <c r="M182">
        <f>VLOOKUP($C182,'[1]PoB WH'!$C$1:$T$898,18,FALSE)</f>
        <v>19</v>
      </c>
      <c r="N182">
        <f>VLOOKUP($C182,'[1]PoB AA'!$C$1:$T$898,17,FALSE)</f>
        <v>10</v>
      </c>
      <c r="O182">
        <f>VLOOKUP($C182,'[1]PoB AA'!$C$1:$T$898,18,FALSE)</f>
        <v>0</v>
      </c>
      <c r="P182">
        <f>VLOOKUP($C182,'[1]PoB AI'!$C$1:$T$898,17,FALSE)</f>
        <v>64</v>
      </c>
      <c r="Q182">
        <f>VLOOKUP($C182,'[1]PoB AI'!$C$1:$T$898,18,FALSE)</f>
        <v>0</v>
      </c>
      <c r="R182">
        <f>VLOOKUP($C182,'[1]PoB AS'!$C$1:$T$898,17,FALSE)</f>
        <v>6</v>
      </c>
      <c r="S182">
        <f>VLOOKUP($C182,'[1]PoB AS'!$C$1:$T$898,18,FALSE)</f>
        <v>6</v>
      </c>
      <c r="T182">
        <f>VLOOKUP($C182,'[1]PoB PI'!$C$1:$T$898,17,FALSE)</f>
        <v>5</v>
      </c>
      <c r="U182">
        <f>VLOOKUP($C182,'[1]PoB PI'!$C$1:$T$898,18,FALSE)</f>
        <v>0</v>
      </c>
      <c r="V182">
        <f>VLOOKUP($C182,'[1]PoB OT'!$C$1:$T$898,17,FALSE)</f>
        <v>16</v>
      </c>
      <c r="W182">
        <f>VLOOKUP($C182,'[1]PoB OT'!$C$1:$T$898,18,FALSE)</f>
        <v>8</v>
      </c>
      <c r="X182">
        <f>VLOOKUP($C182,'[1]PoB 2R'!$C$1:$T$898,17,FALSE)</f>
        <v>70</v>
      </c>
      <c r="Y182">
        <f>VLOOKUP($C182,'[1]PoB 2R'!$C$1:$T$898,18,FALSE)</f>
        <v>3</v>
      </c>
    </row>
    <row r="183" spans="1:25" x14ac:dyDescent="0.25">
      <c r="A183" t="s">
        <v>694</v>
      </c>
      <c r="B183">
        <v>5328345</v>
      </c>
      <c r="C183" t="s">
        <v>695</v>
      </c>
      <c r="D183">
        <f t="shared" si="6"/>
        <v>992</v>
      </c>
      <c r="E183">
        <f>VLOOKUP($C183,'[1]PoB Totals'!$C$3:$T$898,17,FALSE)</f>
        <v>931</v>
      </c>
      <c r="F183">
        <f>VLOOKUP($C183,'[1]PoB Totals'!$C$3:$T$898,18,FALSE)</f>
        <v>61</v>
      </c>
      <c r="G183">
        <f t="shared" si="7"/>
        <v>992</v>
      </c>
      <c r="H183">
        <f t="shared" si="8"/>
        <v>931</v>
      </c>
      <c r="I183">
        <f t="shared" si="8"/>
        <v>61</v>
      </c>
      <c r="J183">
        <f>VLOOKUP($C183,'[1]PoB WN'!$C$1:$T$898,17,FALSE)</f>
        <v>878</v>
      </c>
      <c r="K183">
        <f>VLOOKUP($C183,'[1]PoB WN'!$C$1:$T$898,18,FALSE)</f>
        <v>24</v>
      </c>
      <c r="L183">
        <f>VLOOKUP($C183,'[1]PoB WH'!$C$1:$T$898,17,FALSE)</f>
        <v>31</v>
      </c>
      <c r="M183">
        <f>VLOOKUP($C183,'[1]PoB WH'!$C$1:$T$898,18,FALSE)</f>
        <v>22</v>
      </c>
      <c r="N183">
        <f>VLOOKUP($C183,'[1]PoB AA'!$C$1:$T$898,17,FALSE)</f>
        <v>0</v>
      </c>
      <c r="O183">
        <f>VLOOKUP($C183,'[1]PoB AA'!$C$1:$T$898,18,FALSE)</f>
        <v>0</v>
      </c>
      <c r="P183">
        <f>VLOOKUP($C183,'[1]PoB AI'!$C$1:$T$898,17,FALSE)</f>
        <v>8</v>
      </c>
      <c r="Q183">
        <f>VLOOKUP($C183,'[1]PoB AI'!$C$1:$T$898,18,FALSE)</f>
        <v>0</v>
      </c>
      <c r="R183">
        <f>VLOOKUP($C183,'[1]PoB AS'!$C$1:$T$898,17,FALSE)</f>
        <v>0</v>
      </c>
      <c r="S183">
        <f>VLOOKUP($C183,'[1]PoB AS'!$C$1:$T$898,18,FALSE)</f>
        <v>6</v>
      </c>
      <c r="T183">
        <f>VLOOKUP($C183,'[1]PoB PI'!$C$1:$T$898,17,FALSE)</f>
        <v>14</v>
      </c>
      <c r="U183">
        <f>VLOOKUP($C183,'[1]PoB PI'!$C$1:$T$898,18,FALSE)</f>
        <v>0</v>
      </c>
      <c r="V183">
        <f>VLOOKUP($C183,'[1]PoB OT'!$C$1:$T$898,17,FALSE)</f>
        <v>0</v>
      </c>
      <c r="W183">
        <f>VLOOKUP($C183,'[1]PoB OT'!$C$1:$T$898,18,FALSE)</f>
        <v>9</v>
      </c>
      <c r="X183">
        <f>VLOOKUP($C183,'[1]PoB 2R'!$C$1:$T$898,17,FALSE)</f>
        <v>0</v>
      </c>
      <c r="Y183">
        <f>VLOOKUP($C183,'[1]PoB 2R'!$C$1:$T$898,18,FALSE)</f>
        <v>0</v>
      </c>
    </row>
    <row r="184" spans="1:25" x14ac:dyDescent="0.25">
      <c r="A184" t="s">
        <v>1530</v>
      </c>
      <c r="B184">
        <v>5328520</v>
      </c>
      <c r="C184" t="s">
        <v>1531</v>
      </c>
      <c r="D184">
        <f t="shared" si="6"/>
        <v>5175</v>
      </c>
      <c r="E184">
        <f>VLOOKUP($C184,'[1]PoB Totals'!$C$3:$T$898,17,FALSE)</f>
        <v>4994</v>
      </c>
      <c r="F184">
        <f>VLOOKUP($C184,'[1]PoB Totals'!$C$3:$T$898,18,FALSE)</f>
        <v>181</v>
      </c>
      <c r="G184">
        <f t="shared" si="7"/>
        <v>5175</v>
      </c>
      <c r="H184">
        <f t="shared" si="8"/>
        <v>4994</v>
      </c>
      <c r="I184">
        <f t="shared" si="8"/>
        <v>181</v>
      </c>
      <c r="J184">
        <f>VLOOKUP($C184,'[1]PoB WN'!$C$1:$T$898,17,FALSE)</f>
        <v>4709</v>
      </c>
      <c r="K184">
        <f>VLOOKUP($C184,'[1]PoB WN'!$C$1:$T$898,18,FALSE)</f>
        <v>140</v>
      </c>
      <c r="L184">
        <f>VLOOKUP($C184,'[1]PoB WH'!$C$1:$T$898,17,FALSE)</f>
        <v>79</v>
      </c>
      <c r="M184">
        <f>VLOOKUP($C184,'[1]PoB WH'!$C$1:$T$898,18,FALSE)</f>
        <v>11</v>
      </c>
      <c r="N184">
        <f>VLOOKUP($C184,'[1]PoB AA'!$C$1:$T$898,17,FALSE)</f>
        <v>23</v>
      </c>
      <c r="O184">
        <f>VLOOKUP($C184,'[1]PoB AA'!$C$1:$T$898,18,FALSE)</f>
        <v>0</v>
      </c>
      <c r="P184">
        <f>VLOOKUP($C184,'[1]PoB AI'!$C$1:$T$898,17,FALSE)</f>
        <v>62</v>
      </c>
      <c r="Q184">
        <f>VLOOKUP($C184,'[1]PoB AI'!$C$1:$T$898,18,FALSE)</f>
        <v>0</v>
      </c>
      <c r="R184">
        <f>VLOOKUP($C184,'[1]PoB AS'!$C$1:$T$898,17,FALSE)</f>
        <v>0</v>
      </c>
      <c r="S184">
        <f>VLOOKUP($C184,'[1]PoB AS'!$C$1:$T$898,18,FALSE)</f>
        <v>8</v>
      </c>
      <c r="T184">
        <f>VLOOKUP($C184,'[1]PoB PI'!$C$1:$T$898,17,FALSE)</f>
        <v>0</v>
      </c>
      <c r="U184">
        <f>VLOOKUP($C184,'[1]PoB PI'!$C$1:$T$898,18,FALSE)</f>
        <v>8</v>
      </c>
      <c r="V184">
        <f>VLOOKUP($C184,'[1]PoB OT'!$C$1:$T$898,17,FALSE)</f>
        <v>0</v>
      </c>
      <c r="W184">
        <f>VLOOKUP($C184,'[1]PoB OT'!$C$1:$T$898,18,FALSE)</f>
        <v>0</v>
      </c>
      <c r="X184">
        <f>VLOOKUP($C184,'[1]PoB 2R'!$C$1:$T$898,17,FALSE)</f>
        <v>121</v>
      </c>
      <c r="Y184">
        <f>VLOOKUP($C184,'[1]PoB 2R'!$C$1:$T$898,18,FALSE)</f>
        <v>14</v>
      </c>
    </row>
    <row r="185" spans="1:25" x14ac:dyDescent="0.25">
      <c r="A185" t="s">
        <v>700</v>
      </c>
      <c r="B185">
        <v>5328695</v>
      </c>
      <c r="C185" t="s">
        <v>701</v>
      </c>
      <c r="D185">
        <f t="shared" si="6"/>
        <v>67</v>
      </c>
      <c r="E185">
        <f>VLOOKUP($C185,'[1]PoB Totals'!$C$3:$T$898,17,FALSE)</f>
        <v>63</v>
      </c>
      <c r="F185">
        <f>VLOOKUP($C185,'[1]PoB Totals'!$C$3:$T$898,18,FALSE)</f>
        <v>4</v>
      </c>
      <c r="G185">
        <f t="shared" si="7"/>
        <v>67</v>
      </c>
      <c r="H185">
        <f t="shared" si="8"/>
        <v>63</v>
      </c>
      <c r="I185">
        <f t="shared" si="8"/>
        <v>4</v>
      </c>
      <c r="J185">
        <f>VLOOKUP($C185,'[1]PoB WN'!$C$1:$T$898,17,FALSE)</f>
        <v>63</v>
      </c>
      <c r="K185">
        <f>VLOOKUP($C185,'[1]PoB WN'!$C$1:$T$898,18,FALSE)</f>
        <v>4</v>
      </c>
      <c r="L185">
        <f>VLOOKUP($C185,'[1]PoB WH'!$C$1:$T$898,17,FALSE)</f>
        <v>0</v>
      </c>
      <c r="M185">
        <f>VLOOKUP($C185,'[1]PoB WH'!$C$1:$T$898,18,FALSE)</f>
        <v>0</v>
      </c>
      <c r="N185">
        <f>VLOOKUP($C185,'[1]PoB AA'!$C$1:$T$898,17,FALSE)</f>
        <v>0</v>
      </c>
      <c r="O185">
        <f>VLOOKUP($C185,'[1]PoB AA'!$C$1:$T$898,18,FALSE)</f>
        <v>0</v>
      </c>
      <c r="P185">
        <f>VLOOKUP($C185,'[1]PoB AI'!$C$1:$T$898,17,FALSE)</f>
        <v>0</v>
      </c>
      <c r="Q185">
        <f>VLOOKUP($C185,'[1]PoB AI'!$C$1:$T$898,18,FALSE)</f>
        <v>0</v>
      </c>
      <c r="R185">
        <f>VLOOKUP($C185,'[1]PoB AS'!$C$1:$T$898,17,FALSE)</f>
        <v>0</v>
      </c>
      <c r="S185">
        <f>VLOOKUP($C185,'[1]PoB AS'!$C$1:$T$898,18,FALSE)</f>
        <v>0</v>
      </c>
      <c r="T185">
        <f>VLOOKUP($C185,'[1]PoB PI'!$C$1:$T$898,17,FALSE)</f>
        <v>0</v>
      </c>
      <c r="U185">
        <f>VLOOKUP($C185,'[1]PoB PI'!$C$1:$T$898,18,FALSE)</f>
        <v>0</v>
      </c>
      <c r="V185">
        <f>VLOOKUP($C185,'[1]PoB OT'!$C$1:$T$898,17,FALSE)</f>
        <v>0</v>
      </c>
      <c r="W185">
        <f>VLOOKUP($C185,'[1]PoB OT'!$C$1:$T$898,18,FALSE)</f>
        <v>0</v>
      </c>
      <c r="X185">
        <f>VLOOKUP($C185,'[1]PoB 2R'!$C$1:$T$898,17,FALSE)</f>
        <v>0</v>
      </c>
      <c r="Y185">
        <f>VLOOKUP($C185,'[1]PoB 2R'!$C$1:$T$898,18,FALSE)</f>
        <v>0</v>
      </c>
    </row>
    <row r="186" spans="1:25" x14ac:dyDescent="0.25">
      <c r="A186" t="s">
        <v>702</v>
      </c>
      <c r="B186">
        <v>5329255</v>
      </c>
      <c r="C186" t="s">
        <v>703</v>
      </c>
      <c r="D186">
        <f t="shared" si="6"/>
        <v>330</v>
      </c>
      <c r="E186">
        <f>VLOOKUP($C186,'[1]PoB Totals'!$C$3:$T$898,17,FALSE)</f>
        <v>316</v>
      </c>
      <c r="F186">
        <f>VLOOKUP($C186,'[1]PoB Totals'!$C$3:$T$898,18,FALSE)</f>
        <v>14</v>
      </c>
      <c r="G186">
        <f t="shared" si="7"/>
        <v>330</v>
      </c>
      <c r="H186">
        <f t="shared" si="8"/>
        <v>316</v>
      </c>
      <c r="I186">
        <f t="shared" si="8"/>
        <v>14</v>
      </c>
      <c r="J186">
        <f>VLOOKUP($C186,'[1]PoB WN'!$C$1:$T$898,17,FALSE)</f>
        <v>295</v>
      </c>
      <c r="K186">
        <f>VLOOKUP($C186,'[1]PoB WN'!$C$1:$T$898,18,FALSE)</f>
        <v>7</v>
      </c>
      <c r="L186">
        <f>VLOOKUP($C186,'[1]PoB WH'!$C$1:$T$898,17,FALSE)</f>
        <v>3</v>
      </c>
      <c r="M186">
        <f>VLOOKUP($C186,'[1]PoB WH'!$C$1:$T$898,18,FALSE)</f>
        <v>0</v>
      </c>
      <c r="N186">
        <f>VLOOKUP($C186,'[1]PoB AA'!$C$1:$T$898,17,FALSE)</f>
        <v>0</v>
      </c>
      <c r="O186">
        <f>VLOOKUP($C186,'[1]PoB AA'!$C$1:$T$898,18,FALSE)</f>
        <v>0</v>
      </c>
      <c r="P186">
        <f>VLOOKUP($C186,'[1]PoB AI'!$C$1:$T$898,17,FALSE)</f>
        <v>6</v>
      </c>
      <c r="Q186">
        <f>VLOOKUP($C186,'[1]PoB AI'!$C$1:$T$898,18,FALSE)</f>
        <v>0</v>
      </c>
      <c r="R186">
        <f>VLOOKUP($C186,'[1]PoB AS'!$C$1:$T$898,17,FALSE)</f>
        <v>0</v>
      </c>
      <c r="S186">
        <f>VLOOKUP($C186,'[1]PoB AS'!$C$1:$T$898,18,FALSE)</f>
        <v>1</v>
      </c>
      <c r="T186">
        <f>VLOOKUP($C186,'[1]PoB PI'!$C$1:$T$898,17,FALSE)</f>
        <v>0</v>
      </c>
      <c r="U186">
        <f>VLOOKUP($C186,'[1]PoB PI'!$C$1:$T$898,18,FALSE)</f>
        <v>0</v>
      </c>
      <c r="V186">
        <f>VLOOKUP($C186,'[1]PoB OT'!$C$1:$T$898,17,FALSE)</f>
        <v>3</v>
      </c>
      <c r="W186">
        <f>VLOOKUP($C186,'[1]PoB OT'!$C$1:$T$898,18,FALSE)</f>
        <v>1</v>
      </c>
      <c r="X186">
        <f>VLOOKUP($C186,'[1]PoB 2R'!$C$1:$T$898,17,FALSE)</f>
        <v>9</v>
      </c>
      <c r="Y186">
        <f>VLOOKUP($C186,'[1]PoB 2R'!$C$1:$T$898,18,FALSE)</f>
        <v>5</v>
      </c>
    </row>
    <row r="187" spans="1:25" x14ac:dyDescent="0.25">
      <c r="A187" t="s">
        <v>706</v>
      </c>
      <c r="B187">
        <v>5329710</v>
      </c>
      <c r="C187" t="s">
        <v>707</v>
      </c>
      <c r="D187">
        <f t="shared" si="6"/>
        <v>532</v>
      </c>
      <c r="E187">
        <f>VLOOKUP($C187,'[1]PoB Totals'!$C$3:$T$898,17,FALSE)</f>
        <v>432</v>
      </c>
      <c r="F187">
        <f>VLOOKUP($C187,'[1]PoB Totals'!$C$3:$T$898,18,FALSE)</f>
        <v>100</v>
      </c>
      <c r="G187">
        <f t="shared" si="7"/>
        <v>532</v>
      </c>
      <c r="H187">
        <f t="shared" si="8"/>
        <v>432</v>
      </c>
      <c r="I187">
        <f t="shared" si="8"/>
        <v>100</v>
      </c>
      <c r="J187">
        <f>VLOOKUP($C187,'[1]PoB WN'!$C$1:$T$898,17,FALSE)</f>
        <v>169</v>
      </c>
      <c r="K187">
        <f>VLOOKUP($C187,'[1]PoB WN'!$C$1:$T$898,18,FALSE)</f>
        <v>3</v>
      </c>
      <c r="L187">
        <f>VLOOKUP($C187,'[1]PoB WH'!$C$1:$T$898,17,FALSE)</f>
        <v>25</v>
      </c>
      <c r="M187">
        <f>VLOOKUP($C187,'[1]PoB WH'!$C$1:$T$898,18,FALSE)</f>
        <v>20</v>
      </c>
      <c r="N187">
        <f>VLOOKUP($C187,'[1]PoB AA'!$C$1:$T$898,17,FALSE)</f>
        <v>4</v>
      </c>
      <c r="O187">
        <f>VLOOKUP($C187,'[1]PoB AA'!$C$1:$T$898,18,FALSE)</f>
        <v>0</v>
      </c>
      <c r="P187">
        <f>VLOOKUP($C187,'[1]PoB AI'!$C$1:$T$898,17,FALSE)</f>
        <v>47</v>
      </c>
      <c r="Q187">
        <f>VLOOKUP($C187,'[1]PoB AI'!$C$1:$T$898,18,FALSE)</f>
        <v>0</v>
      </c>
      <c r="R187">
        <f>VLOOKUP($C187,'[1]PoB AS'!$C$1:$T$898,17,FALSE)</f>
        <v>0</v>
      </c>
      <c r="S187">
        <f>VLOOKUP($C187,'[1]PoB AS'!$C$1:$T$898,18,FALSE)</f>
        <v>0</v>
      </c>
      <c r="T187">
        <f>VLOOKUP($C187,'[1]PoB PI'!$C$1:$T$898,17,FALSE)</f>
        <v>0</v>
      </c>
      <c r="U187">
        <f>VLOOKUP($C187,'[1]PoB PI'!$C$1:$T$898,18,FALSE)</f>
        <v>0</v>
      </c>
      <c r="V187">
        <f>VLOOKUP($C187,'[1]PoB OT'!$C$1:$T$898,17,FALSE)</f>
        <v>155</v>
      </c>
      <c r="W187">
        <f>VLOOKUP($C187,'[1]PoB OT'!$C$1:$T$898,18,FALSE)</f>
        <v>77</v>
      </c>
      <c r="X187">
        <f>VLOOKUP($C187,'[1]PoB 2R'!$C$1:$T$898,17,FALSE)</f>
        <v>32</v>
      </c>
      <c r="Y187">
        <f>VLOOKUP($C187,'[1]PoB 2R'!$C$1:$T$898,18,FALSE)</f>
        <v>0</v>
      </c>
    </row>
    <row r="188" spans="1:25" x14ac:dyDescent="0.25">
      <c r="A188" t="s">
        <v>708</v>
      </c>
      <c r="B188">
        <v>5329745</v>
      </c>
      <c r="C188" t="s">
        <v>709</v>
      </c>
      <c r="D188">
        <f t="shared" si="6"/>
        <v>384</v>
      </c>
      <c r="E188">
        <f>VLOOKUP($C188,'[1]PoB Totals'!$C$3:$T$898,17,FALSE)</f>
        <v>378</v>
      </c>
      <c r="F188">
        <f>VLOOKUP($C188,'[1]PoB Totals'!$C$3:$T$898,18,FALSE)</f>
        <v>6</v>
      </c>
      <c r="G188">
        <f t="shared" si="7"/>
        <v>384</v>
      </c>
      <c r="H188">
        <f t="shared" si="8"/>
        <v>378</v>
      </c>
      <c r="I188">
        <f t="shared" si="8"/>
        <v>6</v>
      </c>
      <c r="J188">
        <f>VLOOKUP($C188,'[1]PoB WN'!$C$1:$T$898,17,FALSE)</f>
        <v>327</v>
      </c>
      <c r="K188">
        <f>VLOOKUP($C188,'[1]PoB WN'!$C$1:$T$898,18,FALSE)</f>
        <v>6</v>
      </c>
      <c r="L188">
        <f>VLOOKUP($C188,'[1]PoB WH'!$C$1:$T$898,17,FALSE)</f>
        <v>0</v>
      </c>
      <c r="M188">
        <f>VLOOKUP($C188,'[1]PoB WH'!$C$1:$T$898,18,FALSE)</f>
        <v>0</v>
      </c>
      <c r="N188">
        <f>VLOOKUP($C188,'[1]PoB AA'!$C$1:$T$898,17,FALSE)</f>
        <v>0</v>
      </c>
      <c r="O188">
        <f>VLOOKUP($C188,'[1]PoB AA'!$C$1:$T$898,18,FALSE)</f>
        <v>0</v>
      </c>
      <c r="P188">
        <f>VLOOKUP($C188,'[1]PoB AI'!$C$1:$T$898,17,FALSE)</f>
        <v>4</v>
      </c>
      <c r="Q188">
        <f>VLOOKUP($C188,'[1]PoB AI'!$C$1:$T$898,18,FALSE)</f>
        <v>0</v>
      </c>
      <c r="R188">
        <f>VLOOKUP($C188,'[1]PoB AS'!$C$1:$T$898,17,FALSE)</f>
        <v>0</v>
      </c>
      <c r="S188">
        <f>VLOOKUP($C188,'[1]PoB AS'!$C$1:$T$898,18,FALSE)</f>
        <v>0</v>
      </c>
      <c r="T188">
        <f>VLOOKUP($C188,'[1]PoB PI'!$C$1:$T$898,17,FALSE)</f>
        <v>0</v>
      </c>
      <c r="U188">
        <f>VLOOKUP($C188,'[1]PoB PI'!$C$1:$T$898,18,FALSE)</f>
        <v>0</v>
      </c>
      <c r="V188">
        <f>VLOOKUP($C188,'[1]PoB OT'!$C$1:$T$898,17,FALSE)</f>
        <v>0</v>
      </c>
      <c r="W188">
        <f>VLOOKUP($C188,'[1]PoB OT'!$C$1:$T$898,18,FALSE)</f>
        <v>0</v>
      </c>
      <c r="X188">
        <f>VLOOKUP($C188,'[1]PoB 2R'!$C$1:$T$898,17,FALSE)</f>
        <v>47</v>
      </c>
      <c r="Y188">
        <f>VLOOKUP($C188,'[1]PoB 2R'!$C$1:$T$898,18,FALSE)</f>
        <v>0</v>
      </c>
    </row>
    <row r="189" spans="1:25" x14ac:dyDescent="0.25">
      <c r="A189" t="s">
        <v>710</v>
      </c>
      <c r="B189">
        <v>5329920</v>
      </c>
      <c r="C189" t="s">
        <v>711</v>
      </c>
      <c r="D189">
        <f t="shared" si="6"/>
        <v>142</v>
      </c>
      <c r="E189">
        <f>VLOOKUP($C189,'[1]PoB Totals'!$C$3:$T$898,17,FALSE)</f>
        <v>139</v>
      </c>
      <c r="F189">
        <f>VLOOKUP($C189,'[1]PoB Totals'!$C$3:$T$898,18,FALSE)</f>
        <v>3</v>
      </c>
      <c r="G189">
        <f t="shared" si="7"/>
        <v>142</v>
      </c>
      <c r="H189">
        <f t="shared" si="8"/>
        <v>139</v>
      </c>
      <c r="I189">
        <f t="shared" si="8"/>
        <v>3</v>
      </c>
      <c r="J189">
        <f>VLOOKUP($C189,'[1]PoB WN'!$C$1:$T$898,17,FALSE)</f>
        <v>131</v>
      </c>
      <c r="K189">
        <f>VLOOKUP($C189,'[1]PoB WN'!$C$1:$T$898,18,FALSE)</f>
        <v>3</v>
      </c>
      <c r="L189">
        <f>VLOOKUP($C189,'[1]PoB WH'!$C$1:$T$898,17,FALSE)</f>
        <v>0</v>
      </c>
      <c r="M189">
        <f>VLOOKUP($C189,'[1]PoB WH'!$C$1:$T$898,18,FALSE)</f>
        <v>0</v>
      </c>
      <c r="N189">
        <f>VLOOKUP($C189,'[1]PoB AA'!$C$1:$T$898,17,FALSE)</f>
        <v>0</v>
      </c>
      <c r="O189">
        <f>VLOOKUP($C189,'[1]PoB AA'!$C$1:$T$898,18,FALSE)</f>
        <v>0</v>
      </c>
      <c r="P189">
        <f>VLOOKUP($C189,'[1]PoB AI'!$C$1:$T$898,17,FALSE)</f>
        <v>1</v>
      </c>
      <c r="Q189">
        <f>VLOOKUP($C189,'[1]PoB AI'!$C$1:$T$898,18,FALSE)</f>
        <v>0</v>
      </c>
      <c r="R189">
        <f>VLOOKUP($C189,'[1]PoB AS'!$C$1:$T$898,17,FALSE)</f>
        <v>0</v>
      </c>
      <c r="S189">
        <f>VLOOKUP($C189,'[1]PoB AS'!$C$1:$T$898,18,FALSE)</f>
        <v>0</v>
      </c>
      <c r="T189">
        <f>VLOOKUP($C189,'[1]PoB PI'!$C$1:$T$898,17,FALSE)</f>
        <v>0</v>
      </c>
      <c r="U189">
        <f>VLOOKUP($C189,'[1]PoB PI'!$C$1:$T$898,18,FALSE)</f>
        <v>0</v>
      </c>
      <c r="V189">
        <f>VLOOKUP($C189,'[1]PoB OT'!$C$1:$T$898,17,FALSE)</f>
        <v>0</v>
      </c>
      <c r="W189">
        <f>VLOOKUP($C189,'[1]PoB OT'!$C$1:$T$898,18,FALSE)</f>
        <v>0</v>
      </c>
      <c r="X189">
        <f>VLOOKUP($C189,'[1]PoB 2R'!$C$1:$T$898,17,FALSE)</f>
        <v>7</v>
      </c>
      <c r="Y189">
        <f>VLOOKUP($C189,'[1]PoB 2R'!$C$1:$T$898,18,FALSE)</f>
        <v>0</v>
      </c>
    </row>
    <row r="190" spans="1:25" x14ac:dyDescent="0.25">
      <c r="A190" t="s">
        <v>714</v>
      </c>
      <c r="B190">
        <v>5330060</v>
      </c>
      <c r="C190" t="s">
        <v>715</v>
      </c>
      <c r="D190">
        <f t="shared" si="6"/>
        <v>118</v>
      </c>
      <c r="E190">
        <f>VLOOKUP($C190,'[1]PoB Totals'!$C$3:$T$898,17,FALSE)</f>
        <v>83</v>
      </c>
      <c r="F190">
        <f>VLOOKUP($C190,'[1]PoB Totals'!$C$3:$T$898,18,FALSE)</f>
        <v>35</v>
      </c>
      <c r="G190">
        <f t="shared" si="7"/>
        <v>118</v>
      </c>
      <c r="H190">
        <f t="shared" si="8"/>
        <v>83</v>
      </c>
      <c r="I190">
        <f t="shared" si="8"/>
        <v>35</v>
      </c>
      <c r="J190">
        <f>VLOOKUP($C190,'[1]PoB WN'!$C$1:$T$898,17,FALSE)</f>
        <v>71</v>
      </c>
      <c r="K190">
        <f>VLOOKUP($C190,'[1]PoB WN'!$C$1:$T$898,18,FALSE)</f>
        <v>0</v>
      </c>
      <c r="L190">
        <f>VLOOKUP($C190,'[1]PoB WH'!$C$1:$T$898,17,FALSE)</f>
        <v>0</v>
      </c>
      <c r="M190">
        <f>VLOOKUP($C190,'[1]PoB WH'!$C$1:$T$898,18,FALSE)</f>
        <v>0</v>
      </c>
      <c r="N190">
        <f>VLOOKUP($C190,'[1]PoB AA'!$C$1:$T$898,17,FALSE)</f>
        <v>0</v>
      </c>
      <c r="O190">
        <f>VLOOKUP($C190,'[1]PoB AA'!$C$1:$T$898,18,FALSE)</f>
        <v>0</v>
      </c>
      <c r="P190">
        <f>VLOOKUP($C190,'[1]PoB AI'!$C$1:$T$898,17,FALSE)</f>
        <v>0</v>
      </c>
      <c r="Q190">
        <f>VLOOKUP($C190,'[1]PoB AI'!$C$1:$T$898,18,FALSE)</f>
        <v>0</v>
      </c>
      <c r="R190">
        <f>VLOOKUP($C190,'[1]PoB AS'!$C$1:$T$898,17,FALSE)</f>
        <v>0</v>
      </c>
      <c r="S190">
        <f>VLOOKUP($C190,'[1]PoB AS'!$C$1:$T$898,18,FALSE)</f>
        <v>0</v>
      </c>
      <c r="T190">
        <f>VLOOKUP($C190,'[1]PoB PI'!$C$1:$T$898,17,FALSE)</f>
        <v>0</v>
      </c>
      <c r="U190">
        <f>VLOOKUP($C190,'[1]PoB PI'!$C$1:$T$898,18,FALSE)</f>
        <v>0</v>
      </c>
      <c r="V190">
        <f>VLOOKUP($C190,'[1]PoB OT'!$C$1:$T$898,17,FALSE)</f>
        <v>12</v>
      </c>
      <c r="W190">
        <f>VLOOKUP($C190,'[1]PoB OT'!$C$1:$T$898,18,FALSE)</f>
        <v>35</v>
      </c>
      <c r="X190">
        <f>VLOOKUP($C190,'[1]PoB 2R'!$C$1:$T$898,17,FALSE)</f>
        <v>0</v>
      </c>
      <c r="Y190">
        <f>VLOOKUP($C190,'[1]PoB 2R'!$C$1:$T$898,18,FALSE)</f>
        <v>0</v>
      </c>
    </row>
    <row r="191" spans="1:25" x14ac:dyDescent="0.25">
      <c r="A191" t="s">
        <v>1532</v>
      </c>
      <c r="B191">
        <v>5330312</v>
      </c>
      <c r="C191" t="s">
        <v>1533</v>
      </c>
      <c r="D191">
        <f t="shared" si="6"/>
        <v>9382</v>
      </c>
      <c r="E191">
        <f>VLOOKUP($C191,'[1]PoB Totals'!$C$3:$T$898,17,FALSE)</f>
        <v>8094</v>
      </c>
      <c r="F191">
        <f>VLOOKUP($C191,'[1]PoB Totals'!$C$3:$T$898,18,FALSE)</f>
        <v>1288</v>
      </c>
      <c r="G191">
        <f t="shared" si="7"/>
        <v>9382</v>
      </c>
      <c r="H191">
        <f t="shared" si="8"/>
        <v>8094</v>
      </c>
      <c r="I191">
        <f t="shared" si="8"/>
        <v>1288</v>
      </c>
      <c r="J191">
        <f>VLOOKUP($C191,'[1]PoB WN'!$C$1:$T$898,17,FALSE)</f>
        <v>7217</v>
      </c>
      <c r="K191">
        <f>VLOOKUP($C191,'[1]PoB WN'!$C$1:$T$898,18,FALSE)</f>
        <v>407</v>
      </c>
      <c r="L191">
        <f>VLOOKUP($C191,'[1]PoB WH'!$C$1:$T$898,17,FALSE)</f>
        <v>164</v>
      </c>
      <c r="M191">
        <f>VLOOKUP($C191,'[1]PoB WH'!$C$1:$T$898,18,FALSE)</f>
        <v>197</v>
      </c>
      <c r="N191">
        <f>VLOOKUP($C191,'[1]PoB AA'!$C$1:$T$898,17,FALSE)</f>
        <v>137</v>
      </c>
      <c r="O191">
        <f>VLOOKUP($C191,'[1]PoB AA'!$C$1:$T$898,18,FALSE)</f>
        <v>0</v>
      </c>
      <c r="P191">
        <f>VLOOKUP($C191,'[1]PoB AI'!$C$1:$T$898,17,FALSE)</f>
        <v>106</v>
      </c>
      <c r="Q191">
        <f>VLOOKUP($C191,'[1]PoB AI'!$C$1:$T$898,18,FALSE)</f>
        <v>3</v>
      </c>
      <c r="R191">
        <f>VLOOKUP($C191,'[1]PoB AS'!$C$1:$T$898,17,FALSE)</f>
        <v>48</v>
      </c>
      <c r="S191">
        <f>VLOOKUP($C191,'[1]PoB AS'!$C$1:$T$898,18,FALSE)</f>
        <v>163</v>
      </c>
      <c r="T191">
        <f>VLOOKUP($C191,'[1]PoB PI'!$C$1:$T$898,17,FALSE)</f>
        <v>19</v>
      </c>
      <c r="U191">
        <f>VLOOKUP($C191,'[1]PoB PI'!$C$1:$T$898,18,FALSE)</f>
        <v>56</v>
      </c>
      <c r="V191">
        <f>VLOOKUP($C191,'[1]PoB OT'!$C$1:$T$898,17,FALSE)</f>
        <v>190</v>
      </c>
      <c r="W191">
        <f>VLOOKUP($C191,'[1]PoB OT'!$C$1:$T$898,18,FALSE)</f>
        <v>395</v>
      </c>
      <c r="X191">
        <f>VLOOKUP($C191,'[1]PoB 2R'!$C$1:$T$898,17,FALSE)</f>
        <v>213</v>
      </c>
      <c r="Y191">
        <f>VLOOKUP($C191,'[1]PoB 2R'!$C$1:$T$898,18,FALSE)</f>
        <v>67</v>
      </c>
    </row>
    <row r="192" spans="1:25" x14ac:dyDescent="0.25">
      <c r="A192" t="s">
        <v>1534</v>
      </c>
      <c r="B192">
        <v>5330313</v>
      </c>
      <c r="C192" t="s">
        <v>1535</v>
      </c>
      <c r="D192">
        <f t="shared" si="6"/>
        <v>6700</v>
      </c>
      <c r="E192">
        <f>VLOOKUP($C192,'[1]PoB Totals'!$C$3:$T$898,17,FALSE)</f>
        <v>6413</v>
      </c>
      <c r="F192">
        <f>VLOOKUP($C192,'[1]PoB Totals'!$C$3:$T$898,18,FALSE)</f>
        <v>287</v>
      </c>
      <c r="G192">
        <f t="shared" si="7"/>
        <v>6700</v>
      </c>
      <c r="H192">
        <f t="shared" si="8"/>
        <v>6413</v>
      </c>
      <c r="I192">
        <f t="shared" si="8"/>
        <v>287</v>
      </c>
      <c r="J192">
        <f>VLOOKUP($C192,'[1]PoB WN'!$C$1:$T$898,17,FALSE)</f>
        <v>5787</v>
      </c>
      <c r="K192">
        <f>VLOOKUP($C192,'[1]PoB WN'!$C$1:$T$898,18,FALSE)</f>
        <v>124</v>
      </c>
      <c r="L192">
        <f>VLOOKUP($C192,'[1]PoB WH'!$C$1:$T$898,17,FALSE)</f>
        <v>121</v>
      </c>
      <c r="M192">
        <f>VLOOKUP($C192,'[1]PoB WH'!$C$1:$T$898,18,FALSE)</f>
        <v>35</v>
      </c>
      <c r="N192">
        <f>VLOOKUP($C192,'[1]PoB AA'!$C$1:$T$898,17,FALSE)</f>
        <v>218</v>
      </c>
      <c r="O192">
        <f>VLOOKUP($C192,'[1]PoB AA'!$C$1:$T$898,18,FALSE)</f>
        <v>0</v>
      </c>
      <c r="P192">
        <f>VLOOKUP($C192,'[1]PoB AI'!$C$1:$T$898,17,FALSE)</f>
        <v>51</v>
      </c>
      <c r="Q192">
        <f>VLOOKUP($C192,'[1]PoB AI'!$C$1:$T$898,18,FALSE)</f>
        <v>0</v>
      </c>
      <c r="R192">
        <f>VLOOKUP($C192,'[1]PoB AS'!$C$1:$T$898,17,FALSE)</f>
        <v>18</v>
      </c>
      <c r="S192">
        <f>VLOOKUP($C192,'[1]PoB AS'!$C$1:$T$898,18,FALSE)</f>
        <v>35</v>
      </c>
      <c r="T192">
        <f>VLOOKUP($C192,'[1]PoB PI'!$C$1:$T$898,17,FALSE)</f>
        <v>4</v>
      </c>
      <c r="U192">
        <f>VLOOKUP($C192,'[1]PoB PI'!$C$1:$T$898,18,FALSE)</f>
        <v>0</v>
      </c>
      <c r="V192">
        <f>VLOOKUP($C192,'[1]PoB OT'!$C$1:$T$898,17,FALSE)</f>
        <v>82</v>
      </c>
      <c r="W192">
        <f>VLOOKUP($C192,'[1]PoB OT'!$C$1:$T$898,18,FALSE)</f>
        <v>52</v>
      </c>
      <c r="X192">
        <f>VLOOKUP($C192,'[1]PoB 2R'!$C$1:$T$898,17,FALSE)</f>
        <v>132</v>
      </c>
      <c r="Y192">
        <f>VLOOKUP($C192,'[1]PoB 2R'!$C$1:$T$898,18,FALSE)</f>
        <v>41</v>
      </c>
    </row>
    <row r="193" spans="1:25" x14ac:dyDescent="0.25">
      <c r="A193" t="s">
        <v>1536</v>
      </c>
      <c r="B193">
        <v>5330775</v>
      </c>
      <c r="C193" t="s">
        <v>1537</v>
      </c>
      <c r="D193">
        <f t="shared" si="6"/>
        <v>3303</v>
      </c>
      <c r="E193">
        <f>VLOOKUP($C193,'[1]PoB Totals'!$C$3:$T$898,17,FALSE)</f>
        <v>3158</v>
      </c>
      <c r="F193">
        <f>VLOOKUP($C193,'[1]PoB Totals'!$C$3:$T$898,18,FALSE)</f>
        <v>145</v>
      </c>
      <c r="G193">
        <f t="shared" si="7"/>
        <v>3303</v>
      </c>
      <c r="H193">
        <f t="shared" si="8"/>
        <v>3158</v>
      </c>
      <c r="I193">
        <f t="shared" si="8"/>
        <v>145</v>
      </c>
      <c r="J193">
        <f>VLOOKUP($C193,'[1]PoB WN'!$C$1:$T$898,17,FALSE)</f>
        <v>2869</v>
      </c>
      <c r="K193">
        <f>VLOOKUP($C193,'[1]PoB WN'!$C$1:$T$898,18,FALSE)</f>
        <v>41</v>
      </c>
      <c r="L193">
        <f>VLOOKUP($C193,'[1]PoB WH'!$C$1:$T$898,17,FALSE)</f>
        <v>94</v>
      </c>
      <c r="M193">
        <f>VLOOKUP($C193,'[1]PoB WH'!$C$1:$T$898,18,FALSE)</f>
        <v>27</v>
      </c>
      <c r="N193">
        <f>VLOOKUP($C193,'[1]PoB AA'!$C$1:$T$898,17,FALSE)</f>
        <v>0</v>
      </c>
      <c r="O193">
        <f>VLOOKUP($C193,'[1]PoB AA'!$C$1:$T$898,18,FALSE)</f>
        <v>0</v>
      </c>
      <c r="P193">
        <f>VLOOKUP($C193,'[1]PoB AI'!$C$1:$T$898,17,FALSE)</f>
        <v>21</v>
      </c>
      <c r="Q193">
        <f>VLOOKUP($C193,'[1]PoB AI'!$C$1:$T$898,18,FALSE)</f>
        <v>0</v>
      </c>
      <c r="R193">
        <f>VLOOKUP($C193,'[1]PoB AS'!$C$1:$T$898,17,FALSE)</f>
        <v>0</v>
      </c>
      <c r="S193">
        <f>VLOOKUP($C193,'[1]PoB AS'!$C$1:$T$898,18,FALSE)</f>
        <v>0</v>
      </c>
      <c r="T193">
        <f>VLOOKUP($C193,'[1]PoB PI'!$C$1:$T$898,17,FALSE)</f>
        <v>0</v>
      </c>
      <c r="U193">
        <f>VLOOKUP($C193,'[1]PoB PI'!$C$1:$T$898,18,FALSE)</f>
        <v>0</v>
      </c>
      <c r="V193">
        <f>VLOOKUP($C193,'[1]PoB OT'!$C$1:$T$898,17,FALSE)</f>
        <v>124</v>
      </c>
      <c r="W193">
        <f>VLOOKUP($C193,'[1]PoB OT'!$C$1:$T$898,18,FALSE)</f>
        <v>77</v>
      </c>
      <c r="X193">
        <f>VLOOKUP($C193,'[1]PoB 2R'!$C$1:$T$898,17,FALSE)</f>
        <v>50</v>
      </c>
      <c r="Y193">
        <f>VLOOKUP($C193,'[1]PoB 2R'!$C$1:$T$898,18,FALSE)</f>
        <v>0</v>
      </c>
    </row>
    <row r="194" spans="1:25" x14ac:dyDescent="0.25">
      <c r="A194" t="s">
        <v>722</v>
      </c>
      <c r="B194">
        <v>5331495</v>
      </c>
      <c r="C194" t="s">
        <v>723</v>
      </c>
      <c r="D194">
        <f t="shared" si="6"/>
        <v>6152</v>
      </c>
      <c r="E194">
        <f>VLOOKUP($C194,'[1]PoB Totals'!$C$3:$T$898,17,FALSE)</f>
        <v>5853</v>
      </c>
      <c r="F194">
        <f>VLOOKUP($C194,'[1]PoB Totals'!$C$3:$T$898,18,FALSE)</f>
        <v>299</v>
      </c>
      <c r="G194">
        <f t="shared" si="7"/>
        <v>6152</v>
      </c>
      <c r="H194">
        <f t="shared" si="8"/>
        <v>5853</v>
      </c>
      <c r="I194">
        <f t="shared" si="8"/>
        <v>299</v>
      </c>
      <c r="J194">
        <f>VLOOKUP($C194,'[1]PoB WN'!$C$1:$T$898,17,FALSE)</f>
        <v>5554</v>
      </c>
      <c r="K194">
        <f>VLOOKUP($C194,'[1]PoB WN'!$C$1:$T$898,18,FALSE)</f>
        <v>189</v>
      </c>
      <c r="L194">
        <f>VLOOKUP($C194,'[1]PoB WH'!$C$1:$T$898,17,FALSE)</f>
        <v>65</v>
      </c>
      <c r="M194">
        <f>VLOOKUP($C194,'[1]PoB WH'!$C$1:$T$898,18,FALSE)</f>
        <v>17</v>
      </c>
      <c r="N194">
        <f>VLOOKUP($C194,'[1]PoB AA'!$C$1:$T$898,17,FALSE)</f>
        <v>30</v>
      </c>
      <c r="O194">
        <f>VLOOKUP($C194,'[1]PoB AA'!$C$1:$T$898,18,FALSE)</f>
        <v>5</v>
      </c>
      <c r="P194">
        <f>VLOOKUP($C194,'[1]PoB AI'!$C$1:$T$898,17,FALSE)</f>
        <v>26</v>
      </c>
      <c r="Q194">
        <f>VLOOKUP($C194,'[1]PoB AI'!$C$1:$T$898,18,FALSE)</f>
        <v>3</v>
      </c>
      <c r="R194">
        <f>VLOOKUP($C194,'[1]PoB AS'!$C$1:$T$898,17,FALSE)</f>
        <v>33</v>
      </c>
      <c r="S194">
        <f>VLOOKUP($C194,'[1]PoB AS'!$C$1:$T$898,18,FALSE)</f>
        <v>20</v>
      </c>
      <c r="T194">
        <f>VLOOKUP($C194,'[1]PoB PI'!$C$1:$T$898,17,FALSE)</f>
        <v>0</v>
      </c>
      <c r="U194">
        <f>VLOOKUP($C194,'[1]PoB PI'!$C$1:$T$898,18,FALSE)</f>
        <v>47</v>
      </c>
      <c r="V194">
        <f>VLOOKUP($C194,'[1]PoB OT'!$C$1:$T$898,17,FALSE)</f>
        <v>6</v>
      </c>
      <c r="W194">
        <f>VLOOKUP($C194,'[1]PoB OT'!$C$1:$T$898,18,FALSE)</f>
        <v>9</v>
      </c>
      <c r="X194">
        <f>VLOOKUP($C194,'[1]PoB 2R'!$C$1:$T$898,17,FALSE)</f>
        <v>139</v>
      </c>
      <c r="Y194">
        <f>VLOOKUP($C194,'[1]PoB 2R'!$C$1:$T$898,18,FALSE)</f>
        <v>9</v>
      </c>
    </row>
    <row r="195" spans="1:25" x14ac:dyDescent="0.25">
      <c r="A195" t="s">
        <v>724</v>
      </c>
      <c r="B195">
        <v>5331530</v>
      </c>
      <c r="C195" t="s">
        <v>725</v>
      </c>
      <c r="D195">
        <f t="shared" ref="D195:D258" si="9">SUM(E195,F195)</f>
        <v>5024</v>
      </c>
      <c r="E195">
        <f>VLOOKUP($C195,'[1]PoB Totals'!$C$3:$T$898,17,FALSE)</f>
        <v>4772</v>
      </c>
      <c r="F195">
        <f>VLOOKUP($C195,'[1]PoB Totals'!$C$3:$T$898,18,FALSE)</f>
        <v>252</v>
      </c>
      <c r="G195">
        <f t="shared" ref="G195:G258" si="10">H195+I195</f>
        <v>5024</v>
      </c>
      <c r="H195">
        <f t="shared" ref="H195:I258" si="11">SUM(J195,L195,N195,P195,R195,T195,V195,X195)</f>
        <v>4772</v>
      </c>
      <c r="I195">
        <f t="shared" si="11"/>
        <v>252</v>
      </c>
      <c r="J195">
        <f>VLOOKUP($C195,'[1]PoB WN'!$C$1:$T$898,17,FALSE)</f>
        <v>4543</v>
      </c>
      <c r="K195">
        <f>VLOOKUP($C195,'[1]PoB WN'!$C$1:$T$898,18,FALSE)</f>
        <v>161</v>
      </c>
      <c r="L195">
        <f>VLOOKUP($C195,'[1]PoB WH'!$C$1:$T$898,17,FALSE)</f>
        <v>32</v>
      </c>
      <c r="M195">
        <f>VLOOKUP($C195,'[1]PoB WH'!$C$1:$T$898,18,FALSE)</f>
        <v>17</v>
      </c>
      <c r="N195">
        <f>VLOOKUP($C195,'[1]PoB AA'!$C$1:$T$898,17,FALSE)</f>
        <v>0</v>
      </c>
      <c r="O195">
        <f>VLOOKUP($C195,'[1]PoB AA'!$C$1:$T$898,18,FALSE)</f>
        <v>12</v>
      </c>
      <c r="P195">
        <f>VLOOKUP($C195,'[1]PoB AI'!$C$1:$T$898,17,FALSE)</f>
        <v>4</v>
      </c>
      <c r="Q195">
        <f>VLOOKUP($C195,'[1]PoB AI'!$C$1:$T$898,18,FALSE)</f>
        <v>0</v>
      </c>
      <c r="R195">
        <f>VLOOKUP($C195,'[1]PoB AS'!$C$1:$T$898,17,FALSE)</f>
        <v>5</v>
      </c>
      <c r="S195">
        <f>VLOOKUP($C195,'[1]PoB AS'!$C$1:$T$898,18,FALSE)</f>
        <v>40</v>
      </c>
      <c r="T195">
        <f>VLOOKUP($C195,'[1]PoB PI'!$C$1:$T$898,17,FALSE)</f>
        <v>0</v>
      </c>
      <c r="U195">
        <f>VLOOKUP($C195,'[1]PoB PI'!$C$1:$T$898,18,FALSE)</f>
        <v>0</v>
      </c>
      <c r="V195">
        <f>VLOOKUP($C195,'[1]PoB OT'!$C$1:$T$898,17,FALSE)</f>
        <v>49</v>
      </c>
      <c r="W195">
        <f>VLOOKUP($C195,'[1]PoB OT'!$C$1:$T$898,18,FALSE)</f>
        <v>12</v>
      </c>
      <c r="X195">
        <f>VLOOKUP($C195,'[1]PoB 2R'!$C$1:$T$898,17,FALSE)</f>
        <v>139</v>
      </c>
      <c r="Y195">
        <f>VLOOKUP($C195,'[1]PoB 2R'!$C$1:$T$898,18,FALSE)</f>
        <v>10</v>
      </c>
    </row>
    <row r="196" spans="1:25" x14ac:dyDescent="0.25">
      <c r="A196" t="s">
        <v>732</v>
      </c>
      <c r="B196">
        <v>5332300</v>
      </c>
      <c r="C196" t="s">
        <v>733</v>
      </c>
      <c r="D196">
        <f t="shared" si="9"/>
        <v>9088</v>
      </c>
      <c r="E196">
        <f>VLOOKUP($C196,'[1]PoB Totals'!$C$3:$T$898,17,FALSE)</f>
        <v>8554</v>
      </c>
      <c r="F196">
        <f>VLOOKUP($C196,'[1]PoB Totals'!$C$3:$T$898,18,FALSE)</f>
        <v>534</v>
      </c>
      <c r="G196">
        <f t="shared" si="10"/>
        <v>9088</v>
      </c>
      <c r="H196">
        <f t="shared" si="11"/>
        <v>8554</v>
      </c>
      <c r="I196">
        <f t="shared" si="11"/>
        <v>534</v>
      </c>
      <c r="J196">
        <f>VLOOKUP($C196,'[1]PoB WN'!$C$1:$T$898,17,FALSE)</f>
        <v>7579</v>
      </c>
      <c r="K196">
        <f>VLOOKUP($C196,'[1]PoB WN'!$C$1:$T$898,18,FALSE)</f>
        <v>239</v>
      </c>
      <c r="L196">
        <f>VLOOKUP($C196,'[1]PoB WH'!$C$1:$T$898,17,FALSE)</f>
        <v>169</v>
      </c>
      <c r="M196">
        <f>VLOOKUP($C196,'[1]PoB WH'!$C$1:$T$898,18,FALSE)</f>
        <v>82</v>
      </c>
      <c r="N196">
        <f>VLOOKUP($C196,'[1]PoB AA'!$C$1:$T$898,17,FALSE)</f>
        <v>38</v>
      </c>
      <c r="O196">
        <f>VLOOKUP($C196,'[1]PoB AA'!$C$1:$T$898,18,FALSE)</f>
        <v>0</v>
      </c>
      <c r="P196">
        <f>VLOOKUP($C196,'[1]PoB AI'!$C$1:$T$898,17,FALSE)</f>
        <v>416</v>
      </c>
      <c r="Q196">
        <f>VLOOKUP($C196,'[1]PoB AI'!$C$1:$T$898,18,FALSE)</f>
        <v>6</v>
      </c>
      <c r="R196">
        <f>VLOOKUP($C196,'[1]PoB AS'!$C$1:$T$898,17,FALSE)</f>
        <v>41</v>
      </c>
      <c r="S196">
        <f>VLOOKUP($C196,'[1]PoB AS'!$C$1:$T$898,18,FALSE)</f>
        <v>59</v>
      </c>
      <c r="T196">
        <f>VLOOKUP($C196,'[1]PoB PI'!$C$1:$T$898,17,FALSE)</f>
        <v>0</v>
      </c>
      <c r="U196">
        <f>VLOOKUP($C196,'[1]PoB PI'!$C$1:$T$898,18,FALSE)</f>
        <v>9</v>
      </c>
      <c r="V196">
        <f>VLOOKUP($C196,'[1]PoB OT'!$C$1:$T$898,17,FALSE)</f>
        <v>107</v>
      </c>
      <c r="W196">
        <f>VLOOKUP($C196,'[1]PoB OT'!$C$1:$T$898,18,FALSE)</f>
        <v>114</v>
      </c>
      <c r="X196">
        <f>VLOOKUP($C196,'[1]PoB 2R'!$C$1:$T$898,17,FALSE)</f>
        <v>204</v>
      </c>
      <c r="Y196">
        <f>VLOOKUP($C196,'[1]PoB 2R'!$C$1:$T$898,18,FALSE)</f>
        <v>25</v>
      </c>
    </row>
    <row r="197" spans="1:25" x14ac:dyDescent="0.25">
      <c r="A197" t="s">
        <v>734</v>
      </c>
      <c r="B197">
        <v>5332650</v>
      </c>
      <c r="C197" t="s">
        <v>735</v>
      </c>
      <c r="D197">
        <f t="shared" si="9"/>
        <v>227</v>
      </c>
      <c r="E197">
        <f>VLOOKUP($C197,'[1]PoB Totals'!$C$3:$T$898,17,FALSE)</f>
        <v>205</v>
      </c>
      <c r="F197">
        <f>VLOOKUP($C197,'[1]PoB Totals'!$C$3:$T$898,18,FALSE)</f>
        <v>22</v>
      </c>
      <c r="G197">
        <f t="shared" si="10"/>
        <v>227</v>
      </c>
      <c r="H197">
        <f t="shared" si="11"/>
        <v>205</v>
      </c>
      <c r="I197">
        <f t="shared" si="11"/>
        <v>22</v>
      </c>
      <c r="J197">
        <f>VLOOKUP($C197,'[1]PoB WN'!$C$1:$T$898,17,FALSE)</f>
        <v>165</v>
      </c>
      <c r="K197">
        <f>VLOOKUP($C197,'[1]PoB WN'!$C$1:$T$898,18,FALSE)</f>
        <v>4</v>
      </c>
      <c r="L197">
        <f>VLOOKUP($C197,'[1]PoB WH'!$C$1:$T$898,17,FALSE)</f>
        <v>2</v>
      </c>
      <c r="M197">
        <f>VLOOKUP($C197,'[1]PoB WH'!$C$1:$T$898,18,FALSE)</f>
        <v>0</v>
      </c>
      <c r="N197">
        <f>VLOOKUP($C197,'[1]PoB AA'!$C$1:$T$898,17,FALSE)</f>
        <v>0</v>
      </c>
      <c r="O197">
        <f>VLOOKUP($C197,'[1]PoB AA'!$C$1:$T$898,18,FALSE)</f>
        <v>0</v>
      </c>
      <c r="P197">
        <f>VLOOKUP($C197,'[1]PoB AI'!$C$1:$T$898,17,FALSE)</f>
        <v>16</v>
      </c>
      <c r="Q197">
        <f>VLOOKUP($C197,'[1]PoB AI'!$C$1:$T$898,18,FALSE)</f>
        <v>0</v>
      </c>
      <c r="R197">
        <f>VLOOKUP($C197,'[1]PoB AS'!$C$1:$T$898,17,FALSE)</f>
        <v>0</v>
      </c>
      <c r="S197">
        <f>VLOOKUP($C197,'[1]PoB AS'!$C$1:$T$898,18,FALSE)</f>
        <v>3</v>
      </c>
      <c r="T197">
        <f>VLOOKUP($C197,'[1]PoB PI'!$C$1:$T$898,17,FALSE)</f>
        <v>0</v>
      </c>
      <c r="U197">
        <f>VLOOKUP($C197,'[1]PoB PI'!$C$1:$T$898,18,FALSE)</f>
        <v>0</v>
      </c>
      <c r="V197">
        <f>VLOOKUP($C197,'[1]PoB OT'!$C$1:$T$898,17,FALSE)</f>
        <v>16</v>
      </c>
      <c r="W197">
        <f>VLOOKUP($C197,'[1]PoB OT'!$C$1:$T$898,18,FALSE)</f>
        <v>15</v>
      </c>
      <c r="X197">
        <f>VLOOKUP($C197,'[1]PoB 2R'!$C$1:$T$898,17,FALSE)</f>
        <v>6</v>
      </c>
      <c r="Y197">
        <f>VLOOKUP($C197,'[1]PoB 2R'!$C$1:$T$898,18,FALSE)</f>
        <v>0</v>
      </c>
    </row>
    <row r="198" spans="1:25" x14ac:dyDescent="0.25">
      <c r="A198" t="s">
        <v>736</v>
      </c>
      <c r="B198">
        <v>5332755</v>
      </c>
      <c r="C198" t="s">
        <v>737</v>
      </c>
      <c r="D198">
        <f t="shared" si="9"/>
        <v>444</v>
      </c>
      <c r="E198">
        <f>VLOOKUP($C198,'[1]PoB Totals'!$C$3:$T$898,17,FALSE)</f>
        <v>405</v>
      </c>
      <c r="F198">
        <f>VLOOKUP($C198,'[1]PoB Totals'!$C$3:$T$898,18,FALSE)</f>
        <v>39</v>
      </c>
      <c r="G198">
        <f t="shared" si="10"/>
        <v>444</v>
      </c>
      <c r="H198">
        <f t="shared" si="11"/>
        <v>405</v>
      </c>
      <c r="I198">
        <f t="shared" si="11"/>
        <v>39</v>
      </c>
      <c r="J198">
        <f>VLOOKUP($C198,'[1]PoB WN'!$C$1:$T$898,17,FALSE)</f>
        <v>366</v>
      </c>
      <c r="K198">
        <f>VLOOKUP($C198,'[1]PoB WN'!$C$1:$T$898,18,FALSE)</f>
        <v>19</v>
      </c>
      <c r="L198">
        <f>VLOOKUP($C198,'[1]PoB WH'!$C$1:$T$898,17,FALSE)</f>
        <v>9</v>
      </c>
      <c r="M198">
        <f>VLOOKUP($C198,'[1]PoB WH'!$C$1:$T$898,18,FALSE)</f>
        <v>6</v>
      </c>
      <c r="N198">
        <f>VLOOKUP($C198,'[1]PoB AA'!$C$1:$T$898,17,FALSE)</f>
        <v>3</v>
      </c>
      <c r="O198">
        <f>VLOOKUP($C198,'[1]PoB AA'!$C$1:$T$898,18,FALSE)</f>
        <v>0</v>
      </c>
      <c r="P198">
        <f>VLOOKUP($C198,'[1]PoB AI'!$C$1:$T$898,17,FALSE)</f>
        <v>0</v>
      </c>
      <c r="Q198">
        <f>VLOOKUP($C198,'[1]PoB AI'!$C$1:$T$898,18,FALSE)</f>
        <v>0</v>
      </c>
      <c r="R198">
        <f>VLOOKUP($C198,'[1]PoB AS'!$C$1:$T$898,17,FALSE)</f>
        <v>12</v>
      </c>
      <c r="S198">
        <f>VLOOKUP($C198,'[1]PoB AS'!$C$1:$T$898,18,FALSE)</f>
        <v>14</v>
      </c>
      <c r="T198">
        <f>VLOOKUP($C198,'[1]PoB PI'!$C$1:$T$898,17,FALSE)</f>
        <v>0</v>
      </c>
      <c r="U198">
        <f>VLOOKUP($C198,'[1]PoB PI'!$C$1:$T$898,18,FALSE)</f>
        <v>0</v>
      </c>
      <c r="V198">
        <f>VLOOKUP($C198,'[1]PoB OT'!$C$1:$T$898,17,FALSE)</f>
        <v>0</v>
      </c>
      <c r="W198">
        <f>VLOOKUP($C198,'[1]PoB OT'!$C$1:$T$898,18,FALSE)</f>
        <v>0</v>
      </c>
      <c r="X198">
        <f>VLOOKUP($C198,'[1]PoB 2R'!$C$1:$T$898,17,FALSE)</f>
        <v>15</v>
      </c>
      <c r="Y198">
        <f>VLOOKUP($C198,'[1]PoB 2R'!$C$1:$T$898,18,FALSE)</f>
        <v>0</v>
      </c>
    </row>
    <row r="199" spans="1:25" x14ac:dyDescent="0.25">
      <c r="A199" t="s">
        <v>738</v>
      </c>
      <c r="B199">
        <v>5333000</v>
      </c>
      <c r="C199" t="s">
        <v>739</v>
      </c>
      <c r="D199">
        <f t="shared" si="9"/>
        <v>974</v>
      </c>
      <c r="E199">
        <f>VLOOKUP($C199,'[1]PoB Totals'!$C$3:$T$898,17,FALSE)</f>
        <v>885</v>
      </c>
      <c r="F199">
        <f>VLOOKUP($C199,'[1]PoB Totals'!$C$3:$T$898,18,FALSE)</f>
        <v>89</v>
      </c>
      <c r="G199">
        <f t="shared" si="10"/>
        <v>974</v>
      </c>
      <c r="H199">
        <f t="shared" si="11"/>
        <v>885</v>
      </c>
      <c r="I199">
        <f t="shared" si="11"/>
        <v>89</v>
      </c>
      <c r="J199">
        <f>VLOOKUP($C199,'[1]PoB WN'!$C$1:$T$898,17,FALSE)</f>
        <v>799</v>
      </c>
      <c r="K199">
        <f>VLOOKUP($C199,'[1]PoB WN'!$C$1:$T$898,18,FALSE)</f>
        <v>34</v>
      </c>
      <c r="L199">
        <f>VLOOKUP($C199,'[1]PoB WH'!$C$1:$T$898,17,FALSE)</f>
        <v>8</v>
      </c>
      <c r="M199">
        <f>VLOOKUP($C199,'[1]PoB WH'!$C$1:$T$898,18,FALSE)</f>
        <v>8</v>
      </c>
      <c r="N199">
        <f>VLOOKUP($C199,'[1]PoB AA'!$C$1:$T$898,17,FALSE)</f>
        <v>0</v>
      </c>
      <c r="O199">
        <f>VLOOKUP($C199,'[1]PoB AA'!$C$1:$T$898,18,FALSE)</f>
        <v>0</v>
      </c>
      <c r="P199">
        <f>VLOOKUP($C199,'[1]PoB AI'!$C$1:$T$898,17,FALSE)</f>
        <v>13</v>
      </c>
      <c r="Q199">
        <f>VLOOKUP($C199,'[1]PoB AI'!$C$1:$T$898,18,FALSE)</f>
        <v>0</v>
      </c>
      <c r="R199">
        <f>VLOOKUP($C199,'[1]PoB AS'!$C$1:$T$898,17,FALSE)</f>
        <v>0</v>
      </c>
      <c r="S199">
        <f>VLOOKUP($C199,'[1]PoB AS'!$C$1:$T$898,18,FALSE)</f>
        <v>3</v>
      </c>
      <c r="T199">
        <f>VLOOKUP($C199,'[1]PoB PI'!$C$1:$T$898,17,FALSE)</f>
        <v>0</v>
      </c>
      <c r="U199">
        <f>VLOOKUP($C199,'[1]PoB PI'!$C$1:$T$898,18,FALSE)</f>
        <v>0</v>
      </c>
      <c r="V199">
        <f>VLOOKUP($C199,'[1]PoB OT'!$C$1:$T$898,17,FALSE)</f>
        <v>30</v>
      </c>
      <c r="W199">
        <f>VLOOKUP($C199,'[1]PoB OT'!$C$1:$T$898,18,FALSE)</f>
        <v>43</v>
      </c>
      <c r="X199">
        <f>VLOOKUP($C199,'[1]PoB 2R'!$C$1:$T$898,17,FALSE)</f>
        <v>35</v>
      </c>
      <c r="Y199">
        <f>VLOOKUP($C199,'[1]PoB 2R'!$C$1:$T$898,18,FALSE)</f>
        <v>1</v>
      </c>
    </row>
    <row r="200" spans="1:25" x14ac:dyDescent="0.25">
      <c r="A200" t="s">
        <v>740</v>
      </c>
      <c r="B200">
        <v>5333105</v>
      </c>
      <c r="C200" t="s">
        <v>741</v>
      </c>
      <c r="D200">
        <f t="shared" si="9"/>
        <v>410</v>
      </c>
      <c r="E200">
        <f>VLOOKUP($C200,'[1]PoB Totals'!$C$3:$T$898,17,FALSE)</f>
        <v>408</v>
      </c>
      <c r="F200">
        <f>VLOOKUP($C200,'[1]PoB Totals'!$C$3:$T$898,18,FALSE)</f>
        <v>2</v>
      </c>
      <c r="G200">
        <f t="shared" si="10"/>
        <v>410</v>
      </c>
      <c r="H200">
        <f t="shared" si="11"/>
        <v>408</v>
      </c>
      <c r="I200">
        <f t="shared" si="11"/>
        <v>2</v>
      </c>
      <c r="J200">
        <f>VLOOKUP($C200,'[1]PoB WN'!$C$1:$T$898,17,FALSE)</f>
        <v>107</v>
      </c>
      <c r="K200">
        <f>VLOOKUP($C200,'[1]PoB WN'!$C$1:$T$898,18,FALSE)</f>
        <v>0</v>
      </c>
      <c r="L200">
        <f>VLOOKUP($C200,'[1]PoB WH'!$C$1:$T$898,17,FALSE)</f>
        <v>0</v>
      </c>
      <c r="M200">
        <f>VLOOKUP($C200,'[1]PoB WH'!$C$1:$T$898,18,FALSE)</f>
        <v>0</v>
      </c>
      <c r="N200">
        <f>VLOOKUP($C200,'[1]PoB AA'!$C$1:$T$898,17,FALSE)</f>
        <v>0</v>
      </c>
      <c r="O200">
        <f>VLOOKUP($C200,'[1]PoB AA'!$C$1:$T$898,18,FALSE)</f>
        <v>0</v>
      </c>
      <c r="P200">
        <f>VLOOKUP($C200,'[1]PoB AI'!$C$1:$T$898,17,FALSE)</f>
        <v>286</v>
      </c>
      <c r="Q200">
        <f>VLOOKUP($C200,'[1]PoB AI'!$C$1:$T$898,18,FALSE)</f>
        <v>2</v>
      </c>
      <c r="R200">
        <f>VLOOKUP($C200,'[1]PoB AS'!$C$1:$T$898,17,FALSE)</f>
        <v>0</v>
      </c>
      <c r="S200">
        <f>VLOOKUP($C200,'[1]PoB AS'!$C$1:$T$898,18,FALSE)</f>
        <v>0</v>
      </c>
      <c r="T200">
        <f>VLOOKUP($C200,'[1]PoB PI'!$C$1:$T$898,17,FALSE)</f>
        <v>0</v>
      </c>
      <c r="U200">
        <f>VLOOKUP($C200,'[1]PoB PI'!$C$1:$T$898,18,FALSE)</f>
        <v>0</v>
      </c>
      <c r="V200">
        <f>VLOOKUP($C200,'[1]PoB OT'!$C$1:$T$898,17,FALSE)</f>
        <v>0</v>
      </c>
      <c r="W200">
        <f>VLOOKUP($C200,'[1]PoB OT'!$C$1:$T$898,18,FALSE)</f>
        <v>0</v>
      </c>
      <c r="X200">
        <f>VLOOKUP($C200,'[1]PoB 2R'!$C$1:$T$898,17,FALSE)</f>
        <v>15</v>
      </c>
      <c r="Y200">
        <f>VLOOKUP($C200,'[1]PoB 2R'!$C$1:$T$898,18,FALSE)</f>
        <v>0</v>
      </c>
    </row>
    <row r="201" spans="1:25" x14ac:dyDescent="0.25">
      <c r="A201" t="s">
        <v>742</v>
      </c>
      <c r="B201">
        <v>5333175</v>
      </c>
      <c r="C201" t="s">
        <v>743</v>
      </c>
      <c r="D201">
        <f t="shared" si="9"/>
        <v>154</v>
      </c>
      <c r="E201">
        <f>VLOOKUP($C201,'[1]PoB Totals'!$C$3:$T$898,17,FALSE)</f>
        <v>150</v>
      </c>
      <c r="F201">
        <f>VLOOKUP($C201,'[1]PoB Totals'!$C$3:$T$898,18,FALSE)</f>
        <v>4</v>
      </c>
      <c r="G201">
        <f t="shared" si="10"/>
        <v>154</v>
      </c>
      <c r="H201">
        <f t="shared" si="11"/>
        <v>150</v>
      </c>
      <c r="I201">
        <f t="shared" si="11"/>
        <v>4</v>
      </c>
      <c r="J201">
        <f>VLOOKUP($C201,'[1]PoB WN'!$C$1:$T$898,17,FALSE)</f>
        <v>138</v>
      </c>
      <c r="K201">
        <f>VLOOKUP($C201,'[1]PoB WN'!$C$1:$T$898,18,FALSE)</f>
        <v>2</v>
      </c>
      <c r="L201">
        <f>VLOOKUP($C201,'[1]PoB WH'!$C$1:$T$898,17,FALSE)</f>
        <v>2</v>
      </c>
      <c r="M201">
        <f>VLOOKUP($C201,'[1]PoB WH'!$C$1:$T$898,18,FALSE)</f>
        <v>0</v>
      </c>
      <c r="N201">
        <f>VLOOKUP($C201,'[1]PoB AA'!$C$1:$T$898,17,FALSE)</f>
        <v>0</v>
      </c>
      <c r="O201">
        <f>VLOOKUP($C201,'[1]PoB AA'!$C$1:$T$898,18,FALSE)</f>
        <v>0</v>
      </c>
      <c r="P201">
        <f>VLOOKUP($C201,'[1]PoB AI'!$C$1:$T$898,17,FALSE)</f>
        <v>4</v>
      </c>
      <c r="Q201">
        <f>VLOOKUP($C201,'[1]PoB AI'!$C$1:$T$898,18,FALSE)</f>
        <v>0</v>
      </c>
      <c r="R201">
        <f>VLOOKUP($C201,'[1]PoB AS'!$C$1:$T$898,17,FALSE)</f>
        <v>0</v>
      </c>
      <c r="S201">
        <f>VLOOKUP($C201,'[1]PoB AS'!$C$1:$T$898,18,FALSE)</f>
        <v>2</v>
      </c>
      <c r="T201">
        <f>VLOOKUP($C201,'[1]PoB PI'!$C$1:$T$898,17,FALSE)</f>
        <v>0</v>
      </c>
      <c r="U201">
        <f>VLOOKUP($C201,'[1]PoB PI'!$C$1:$T$898,18,FALSE)</f>
        <v>0</v>
      </c>
      <c r="V201">
        <f>VLOOKUP($C201,'[1]PoB OT'!$C$1:$T$898,17,FALSE)</f>
        <v>0</v>
      </c>
      <c r="W201">
        <f>VLOOKUP($C201,'[1]PoB OT'!$C$1:$T$898,18,FALSE)</f>
        <v>0</v>
      </c>
      <c r="X201">
        <f>VLOOKUP($C201,'[1]PoB 2R'!$C$1:$T$898,17,FALSE)</f>
        <v>6</v>
      </c>
      <c r="Y201">
        <f>VLOOKUP($C201,'[1]PoB 2R'!$C$1:$T$898,18,FALSE)</f>
        <v>0</v>
      </c>
    </row>
    <row r="202" spans="1:25" x14ac:dyDescent="0.25">
      <c r="A202" t="s">
        <v>744</v>
      </c>
      <c r="B202">
        <v>5333280</v>
      </c>
      <c r="C202" t="s">
        <v>745</v>
      </c>
      <c r="D202">
        <f t="shared" si="9"/>
        <v>3026</v>
      </c>
      <c r="E202">
        <f>VLOOKUP($C202,'[1]PoB Totals'!$C$3:$T$898,17,FALSE)</f>
        <v>2889</v>
      </c>
      <c r="F202">
        <f>VLOOKUP($C202,'[1]PoB Totals'!$C$3:$T$898,18,FALSE)</f>
        <v>137</v>
      </c>
      <c r="G202">
        <f t="shared" si="10"/>
        <v>3026</v>
      </c>
      <c r="H202">
        <f t="shared" si="11"/>
        <v>2889</v>
      </c>
      <c r="I202">
        <f t="shared" si="11"/>
        <v>137</v>
      </c>
      <c r="J202">
        <f>VLOOKUP($C202,'[1]PoB WN'!$C$1:$T$898,17,FALSE)</f>
        <v>2522</v>
      </c>
      <c r="K202">
        <f>VLOOKUP($C202,'[1]PoB WN'!$C$1:$T$898,18,FALSE)</f>
        <v>91</v>
      </c>
      <c r="L202">
        <f>VLOOKUP($C202,'[1]PoB WH'!$C$1:$T$898,17,FALSE)</f>
        <v>36</v>
      </c>
      <c r="M202">
        <f>VLOOKUP($C202,'[1]PoB WH'!$C$1:$T$898,18,FALSE)</f>
        <v>10</v>
      </c>
      <c r="N202">
        <f>VLOOKUP($C202,'[1]PoB AA'!$C$1:$T$898,17,FALSE)</f>
        <v>13</v>
      </c>
      <c r="O202">
        <f>VLOOKUP($C202,'[1]PoB AA'!$C$1:$T$898,18,FALSE)</f>
        <v>0</v>
      </c>
      <c r="P202">
        <f>VLOOKUP($C202,'[1]PoB AI'!$C$1:$T$898,17,FALSE)</f>
        <v>147</v>
      </c>
      <c r="Q202">
        <f>VLOOKUP($C202,'[1]PoB AI'!$C$1:$T$898,18,FALSE)</f>
        <v>0</v>
      </c>
      <c r="R202">
        <f>VLOOKUP($C202,'[1]PoB AS'!$C$1:$T$898,17,FALSE)</f>
        <v>19</v>
      </c>
      <c r="S202">
        <f>VLOOKUP($C202,'[1]PoB AS'!$C$1:$T$898,18,FALSE)</f>
        <v>17</v>
      </c>
      <c r="T202">
        <f>VLOOKUP($C202,'[1]PoB PI'!$C$1:$T$898,17,FALSE)</f>
        <v>1</v>
      </c>
      <c r="U202">
        <f>VLOOKUP($C202,'[1]PoB PI'!$C$1:$T$898,18,FALSE)</f>
        <v>7</v>
      </c>
      <c r="V202">
        <f>VLOOKUP($C202,'[1]PoB OT'!$C$1:$T$898,17,FALSE)</f>
        <v>13</v>
      </c>
      <c r="W202">
        <f>VLOOKUP($C202,'[1]PoB OT'!$C$1:$T$898,18,FALSE)</f>
        <v>0</v>
      </c>
      <c r="X202">
        <f>VLOOKUP($C202,'[1]PoB 2R'!$C$1:$T$898,17,FALSE)</f>
        <v>138</v>
      </c>
      <c r="Y202">
        <f>VLOOKUP($C202,'[1]PoB 2R'!$C$1:$T$898,18,FALSE)</f>
        <v>12</v>
      </c>
    </row>
    <row r="203" spans="1:25" x14ac:dyDescent="0.25">
      <c r="A203" t="s">
        <v>1538</v>
      </c>
      <c r="B203">
        <v>5333380</v>
      </c>
      <c r="C203" t="s">
        <v>1539</v>
      </c>
      <c r="D203">
        <f t="shared" si="9"/>
        <v>22652</v>
      </c>
      <c r="E203">
        <f>VLOOKUP($C203,'[1]PoB Totals'!$C$3:$T$898,17,FALSE)</f>
        <v>19757</v>
      </c>
      <c r="F203">
        <f>VLOOKUP($C203,'[1]PoB Totals'!$C$3:$T$898,18,FALSE)</f>
        <v>2895</v>
      </c>
      <c r="G203">
        <f t="shared" si="10"/>
        <v>22652</v>
      </c>
      <c r="H203">
        <f t="shared" si="11"/>
        <v>19757</v>
      </c>
      <c r="I203">
        <f t="shared" si="11"/>
        <v>2895</v>
      </c>
      <c r="J203">
        <f>VLOOKUP($C203,'[1]PoB WN'!$C$1:$T$898,17,FALSE)</f>
        <v>17502</v>
      </c>
      <c r="K203">
        <f>VLOOKUP($C203,'[1]PoB WN'!$C$1:$T$898,18,FALSE)</f>
        <v>1418</v>
      </c>
      <c r="L203">
        <f>VLOOKUP($C203,'[1]PoB WH'!$C$1:$T$898,17,FALSE)</f>
        <v>257</v>
      </c>
      <c r="M203">
        <f>VLOOKUP($C203,'[1]PoB WH'!$C$1:$T$898,18,FALSE)</f>
        <v>140</v>
      </c>
      <c r="N203">
        <f>VLOOKUP($C203,'[1]PoB AA'!$C$1:$T$898,17,FALSE)</f>
        <v>184</v>
      </c>
      <c r="O203">
        <f>VLOOKUP($C203,'[1]PoB AA'!$C$1:$T$898,18,FALSE)</f>
        <v>5</v>
      </c>
      <c r="P203">
        <f>VLOOKUP($C203,'[1]PoB AI'!$C$1:$T$898,17,FALSE)</f>
        <v>193</v>
      </c>
      <c r="Q203">
        <f>VLOOKUP($C203,'[1]PoB AI'!$C$1:$T$898,18,FALSE)</f>
        <v>21</v>
      </c>
      <c r="R203">
        <f>VLOOKUP($C203,'[1]PoB AS'!$C$1:$T$898,17,FALSE)</f>
        <v>595</v>
      </c>
      <c r="S203">
        <f>VLOOKUP($C203,'[1]PoB AS'!$C$1:$T$898,18,FALSE)</f>
        <v>1084</v>
      </c>
      <c r="T203">
        <f>VLOOKUP($C203,'[1]PoB PI'!$C$1:$T$898,17,FALSE)</f>
        <v>9</v>
      </c>
      <c r="U203">
        <f>VLOOKUP($C203,'[1]PoB PI'!$C$1:$T$898,18,FALSE)</f>
        <v>0</v>
      </c>
      <c r="V203">
        <f>VLOOKUP($C203,'[1]PoB OT'!$C$1:$T$898,17,FALSE)</f>
        <v>178</v>
      </c>
      <c r="W203">
        <f>VLOOKUP($C203,'[1]PoB OT'!$C$1:$T$898,18,FALSE)</f>
        <v>89</v>
      </c>
      <c r="X203">
        <f>VLOOKUP($C203,'[1]PoB 2R'!$C$1:$T$898,17,FALSE)</f>
        <v>839</v>
      </c>
      <c r="Y203">
        <f>VLOOKUP($C203,'[1]PoB 2R'!$C$1:$T$898,18,FALSE)</f>
        <v>138</v>
      </c>
    </row>
    <row r="204" spans="1:25" x14ac:dyDescent="0.25">
      <c r="A204" t="s">
        <v>746</v>
      </c>
      <c r="B204">
        <v>5333560</v>
      </c>
      <c r="C204" t="s">
        <v>747</v>
      </c>
      <c r="D204">
        <f t="shared" si="9"/>
        <v>506</v>
      </c>
      <c r="E204">
        <f>VLOOKUP($C204,'[1]PoB Totals'!$C$3:$T$898,17,FALSE)</f>
        <v>487</v>
      </c>
      <c r="F204">
        <f>VLOOKUP($C204,'[1]PoB Totals'!$C$3:$T$898,18,FALSE)</f>
        <v>19</v>
      </c>
      <c r="G204">
        <f t="shared" si="10"/>
        <v>506</v>
      </c>
      <c r="H204">
        <f t="shared" si="11"/>
        <v>487</v>
      </c>
      <c r="I204">
        <f t="shared" si="11"/>
        <v>19</v>
      </c>
      <c r="J204">
        <f>VLOOKUP($C204,'[1]PoB WN'!$C$1:$T$898,17,FALSE)</f>
        <v>426</v>
      </c>
      <c r="K204">
        <f>VLOOKUP($C204,'[1]PoB WN'!$C$1:$T$898,18,FALSE)</f>
        <v>18</v>
      </c>
      <c r="L204">
        <f>VLOOKUP($C204,'[1]PoB WH'!$C$1:$T$898,17,FALSE)</f>
        <v>13</v>
      </c>
      <c r="M204">
        <f>VLOOKUP($C204,'[1]PoB WH'!$C$1:$T$898,18,FALSE)</f>
        <v>0</v>
      </c>
      <c r="N204">
        <f>VLOOKUP($C204,'[1]PoB AA'!$C$1:$T$898,17,FALSE)</f>
        <v>4</v>
      </c>
      <c r="O204">
        <f>VLOOKUP($C204,'[1]PoB AA'!$C$1:$T$898,18,FALSE)</f>
        <v>0</v>
      </c>
      <c r="P204">
        <f>VLOOKUP($C204,'[1]PoB AI'!$C$1:$T$898,17,FALSE)</f>
        <v>7</v>
      </c>
      <c r="Q204">
        <f>VLOOKUP($C204,'[1]PoB AI'!$C$1:$T$898,18,FALSE)</f>
        <v>0</v>
      </c>
      <c r="R204">
        <f>VLOOKUP($C204,'[1]PoB AS'!$C$1:$T$898,17,FALSE)</f>
        <v>4</v>
      </c>
      <c r="S204">
        <f>VLOOKUP($C204,'[1]PoB AS'!$C$1:$T$898,18,FALSE)</f>
        <v>1</v>
      </c>
      <c r="T204">
        <f>VLOOKUP($C204,'[1]PoB PI'!$C$1:$T$898,17,FALSE)</f>
        <v>0</v>
      </c>
      <c r="U204">
        <f>VLOOKUP($C204,'[1]PoB PI'!$C$1:$T$898,18,FALSE)</f>
        <v>0</v>
      </c>
      <c r="V204">
        <f>VLOOKUP($C204,'[1]PoB OT'!$C$1:$T$898,17,FALSE)</f>
        <v>2</v>
      </c>
      <c r="W204">
        <f>VLOOKUP($C204,'[1]PoB OT'!$C$1:$T$898,18,FALSE)</f>
        <v>0</v>
      </c>
      <c r="X204">
        <f>VLOOKUP($C204,'[1]PoB 2R'!$C$1:$T$898,17,FALSE)</f>
        <v>31</v>
      </c>
      <c r="Y204">
        <f>VLOOKUP($C204,'[1]PoB 2R'!$C$1:$T$898,18,FALSE)</f>
        <v>0</v>
      </c>
    </row>
    <row r="205" spans="1:25" x14ac:dyDescent="0.25">
      <c r="A205" t="s">
        <v>748</v>
      </c>
      <c r="B205">
        <v>5333805</v>
      </c>
      <c r="C205" t="s">
        <v>749</v>
      </c>
      <c r="D205">
        <f t="shared" si="9"/>
        <v>11205</v>
      </c>
      <c r="E205">
        <f>VLOOKUP($C205,'[1]PoB Totals'!$C$3:$T$898,17,FALSE)</f>
        <v>9711</v>
      </c>
      <c r="F205">
        <f>VLOOKUP($C205,'[1]PoB Totals'!$C$3:$T$898,18,FALSE)</f>
        <v>1494</v>
      </c>
      <c r="G205">
        <f t="shared" si="10"/>
        <v>11205</v>
      </c>
      <c r="H205">
        <f t="shared" si="11"/>
        <v>9711</v>
      </c>
      <c r="I205">
        <f t="shared" si="11"/>
        <v>1494</v>
      </c>
      <c r="J205">
        <f>VLOOKUP($C205,'[1]PoB WN'!$C$1:$T$898,17,FALSE)</f>
        <v>8921</v>
      </c>
      <c r="K205">
        <f>VLOOKUP($C205,'[1]PoB WN'!$C$1:$T$898,18,FALSE)</f>
        <v>563</v>
      </c>
      <c r="L205">
        <f>VLOOKUP($C205,'[1]PoB WH'!$C$1:$T$898,17,FALSE)</f>
        <v>165</v>
      </c>
      <c r="M205">
        <f>VLOOKUP($C205,'[1]PoB WH'!$C$1:$T$898,18,FALSE)</f>
        <v>245</v>
      </c>
      <c r="N205">
        <f>VLOOKUP($C205,'[1]PoB AA'!$C$1:$T$898,17,FALSE)</f>
        <v>34</v>
      </c>
      <c r="O205">
        <f>VLOOKUP($C205,'[1]PoB AA'!$C$1:$T$898,18,FALSE)</f>
        <v>15</v>
      </c>
      <c r="P205">
        <f>VLOOKUP($C205,'[1]PoB AI'!$C$1:$T$898,17,FALSE)</f>
        <v>109</v>
      </c>
      <c r="Q205">
        <f>VLOOKUP($C205,'[1]PoB AI'!$C$1:$T$898,18,FALSE)</f>
        <v>0</v>
      </c>
      <c r="R205">
        <f>VLOOKUP($C205,'[1]PoB AS'!$C$1:$T$898,17,FALSE)</f>
        <v>192</v>
      </c>
      <c r="S205">
        <f>VLOOKUP($C205,'[1]PoB AS'!$C$1:$T$898,18,FALSE)</f>
        <v>512</v>
      </c>
      <c r="T205">
        <f>VLOOKUP($C205,'[1]PoB PI'!$C$1:$T$898,17,FALSE)</f>
        <v>0</v>
      </c>
      <c r="U205">
        <f>VLOOKUP($C205,'[1]PoB PI'!$C$1:$T$898,18,FALSE)</f>
        <v>0</v>
      </c>
      <c r="V205">
        <f>VLOOKUP($C205,'[1]PoB OT'!$C$1:$T$898,17,FALSE)</f>
        <v>9</v>
      </c>
      <c r="W205">
        <f>VLOOKUP($C205,'[1]PoB OT'!$C$1:$T$898,18,FALSE)</f>
        <v>97</v>
      </c>
      <c r="X205">
        <f>VLOOKUP($C205,'[1]PoB 2R'!$C$1:$T$898,17,FALSE)</f>
        <v>281</v>
      </c>
      <c r="Y205">
        <f>VLOOKUP($C205,'[1]PoB 2R'!$C$1:$T$898,18,FALSE)</f>
        <v>62</v>
      </c>
    </row>
    <row r="206" spans="1:25" x14ac:dyDescent="0.25">
      <c r="A206" t="s">
        <v>1540</v>
      </c>
      <c r="B206">
        <v>5334220</v>
      </c>
      <c r="C206" t="s">
        <v>1541</v>
      </c>
      <c r="D206">
        <f t="shared" si="9"/>
        <v>755</v>
      </c>
      <c r="E206">
        <f>VLOOKUP($C206,'[1]PoB Totals'!$C$3:$T$898,17,FALSE)</f>
        <v>705</v>
      </c>
      <c r="F206">
        <f>VLOOKUP($C206,'[1]PoB Totals'!$C$3:$T$898,18,FALSE)</f>
        <v>50</v>
      </c>
      <c r="G206">
        <f t="shared" si="10"/>
        <v>755</v>
      </c>
      <c r="H206">
        <f t="shared" si="11"/>
        <v>705</v>
      </c>
      <c r="I206">
        <f t="shared" si="11"/>
        <v>50</v>
      </c>
      <c r="J206">
        <f>VLOOKUP($C206,'[1]PoB WN'!$C$1:$T$898,17,FALSE)</f>
        <v>617</v>
      </c>
      <c r="K206">
        <f>VLOOKUP($C206,'[1]PoB WN'!$C$1:$T$898,18,FALSE)</f>
        <v>33</v>
      </c>
      <c r="L206">
        <f>VLOOKUP($C206,'[1]PoB WH'!$C$1:$T$898,17,FALSE)</f>
        <v>4</v>
      </c>
      <c r="M206">
        <f>VLOOKUP($C206,'[1]PoB WH'!$C$1:$T$898,18,FALSE)</f>
        <v>0</v>
      </c>
      <c r="N206">
        <f>VLOOKUP($C206,'[1]PoB AA'!$C$1:$T$898,17,FALSE)</f>
        <v>0</v>
      </c>
      <c r="O206">
        <f>VLOOKUP($C206,'[1]PoB AA'!$C$1:$T$898,18,FALSE)</f>
        <v>0</v>
      </c>
      <c r="P206">
        <f>VLOOKUP($C206,'[1]PoB AI'!$C$1:$T$898,17,FALSE)</f>
        <v>54</v>
      </c>
      <c r="Q206">
        <f>VLOOKUP($C206,'[1]PoB AI'!$C$1:$T$898,18,FALSE)</f>
        <v>0</v>
      </c>
      <c r="R206">
        <f>VLOOKUP($C206,'[1]PoB AS'!$C$1:$T$898,17,FALSE)</f>
        <v>0</v>
      </c>
      <c r="S206">
        <f>VLOOKUP($C206,'[1]PoB AS'!$C$1:$T$898,18,FALSE)</f>
        <v>14</v>
      </c>
      <c r="T206">
        <f>VLOOKUP($C206,'[1]PoB PI'!$C$1:$T$898,17,FALSE)</f>
        <v>0</v>
      </c>
      <c r="U206">
        <f>VLOOKUP($C206,'[1]PoB PI'!$C$1:$T$898,18,FALSE)</f>
        <v>0</v>
      </c>
      <c r="V206">
        <f>VLOOKUP($C206,'[1]PoB OT'!$C$1:$T$898,17,FALSE)</f>
        <v>0</v>
      </c>
      <c r="W206">
        <f>VLOOKUP($C206,'[1]PoB OT'!$C$1:$T$898,18,FALSE)</f>
        <v>0</v>
      </c>
      <c r="X206">
        <f>VLOOKUP($C206,'[1]PoB 2R'!$C$1:$T$898,17,FALSE)</f>
        <v>30</v>
      </c>
      <c r="Y206">
        <f>VLOOKUP($C206,'[1]PoB 2R'!$C$1:$T$898,18,FALSE)</f>
        <v>3</v>
      </c>
    </row>
    <row r="207" spans="1:25" x14ac:dyDescent="0.25">
      <c r="A207" t="s">
        <v>1542</v>
      </c>
      <c r="B207">
        <v>5334277</v>
      </c>
      <c r="C207" t="s">
        <v>1543</v>
      </c>
      <c r="D207">
        <f t="shared" si="9"/>
        <v>2465</v>
      </c>
      <c r="E207">
        <f>VLOOKUP($C207,'[1]PoB Totals'!$C$3:$T$898,17,FALSE)</f>
        <v>2371</v>
      </c>
      <c r="F207">
        <f>VLOOKUP($C207,'[1]PoB Totals'!$C$3:$T$898,18,FALSE)</f>
        <v>94</v>
      </c>
      <c r="G207">
        <f t="shared" si="10"/>
        <v>2465</v>
      </c>
      <c r="H207">
        <f t="shared" si="11"/>
        <v>2371</v>
      </c>
      <c r="I207">
        <f t="shared" si="11"/>
        <v>94</v>
      </c>
      <c r="J207">
        <f>VLOOKUP($C207,'[1]PoB WN'!$C$1:$T$898,17,FALSE)</f>
        <v>2177</v>
      </c>
      <c r="K207">
        <f>VLOOKUP($C207,'[1]PoB WN'!$C$1:$T$898,18,FALSE)</f>
        <v>35</v>
      </c>
      <c r="L207">
        <f>VLOOKUP($C207,'[1]PoB WH'!$C$1:$T$898,17,FALSE)</f>
        <v>52</v>
      </c>
      <c r="M207">
        <f>VLOOKUP($C207,'[1]PoB WH'!$C$1:$T$898,18,FALSE)</f>
        <v>31</v>
      </c>
      <c r="N207">
        <f>VLOOKUP($C207,'[1]PoB AA'!$C$1:$T$898,17,FALSE)</f>
        <v>28</v>
      </c>
      <c r="O207">
        <f>VLOOKUP($C207,'[1]PoB AA'!$C$1:$T$898,18,FALSE)</f>
        <v>0</v>
      </c>
      <c r="P207">
        <f>VLOOKUP($C207,'[1]PoB AI'!$C$1:$T$898,17,FALSE)</f>
        <v>8</v>
      </c>
      <c r="Q207">
        <f>VLOOKUP($C207,'[1]PoB AI'!$C$1:$T$898,18,FALSE)</f>
        <v>0</v>
      </c>
      <c r="R207">
        <f>VLOOKUP($C207,'[1]PoB AS'!$C$1:$T$898,17,FALSE)</f>
        <v>4</v>
      </c>
      <c r="S207">
        <f>VLOOKUP($C207,'[1]PoB AS'!$C$1:$T$898,18,FALSE)</f>
        <v>21</v>
      </c>
      <c r="T207">
        <f>VLOOKUP($C207,'[1]PoB PI'!$C$1:$T$898,17,FALSE)</f>
        <v>8</v>
      </c>
      <c r="U207">
        <f>VLOOKUP($C207,'[1]PoB PI'!$C$1:$T$898,18,FALSE)</f>
        <v>0</v>
      </c>
      <c r="V207">
        <f>VLOOKUP($C207,'[1]PoB OT'!$C$1:$T$898,17,FALSE)</f>
        <v>21</v>
      </c>
      <c r="W207">
        <f>VLOOKUP($C207,'[1]PoB OT'!$C$1:$T$898,18,FALSE)</f>
        <v>7</v>
      </c>
      <c r="X207">
        <f>VLOOKUP($C207,'[1]PoB 2R'!$C$1:$T$898,17,FALSE)</f>
        <v>73</v>
      </c>
      <c r="Y207">
        <f>VLOOKUP($C207,'[1]PoB 2R'!$C$1:$T$898,18,FALSE)</f>
        <v>0</v>
      </c>
    </row>
    <row r="208" spans="1:25" x14ac:dyDescent="0.25">
      <c r="A208" t="s">
        <v>752</v>
      </c>
      <c r="B208">
        <v>5334470</v>
      </c>
      <c r="C208" t="s">
        <v>753</v>
      </c>
      <c r="D208">
        <f t="shared" si="9"/>
        <v>95</v>
      </c>
      <c r="E208">
        <f>VLOOKUP($C208,'[1]PoB Totals'!$C$3:$T$898,17,FALSE)</f>
        <v>95</v>
      </c>
      <c r="F208">
        <f>VLOOKUP($C208,'[1]PoB Totals'!$C$3:$T$898,18,FALSE)</f>
        <v>0</v>
      </c>
      <c r="G208">
        <f t="shared" si="10"/>
        <v>95</v>
      </c>
      <c r="H208">
        <f t="shared" si="11"/>
        <v>95</v>
      </c>
      <c r="I208">
        <f t="shared" si="11"/>
        <v>0</v>
      </c>
      <c r="J208">
        <f>VLOOKUP($C208,'[1]PoB WN'!$C$1:$T$898,17,FALSE)</f>
        <v>95</v>
      </c>
      <c r="K208">
        <f>VLOOKUP($C208,'[1]PoB WN'!$C$1:$T$898,18,FALSE)</f>
        <v>0</v>
      </c>
      <c r="L208">
        <f>VLOOKUP($C208,'[1]PoB WH'!$C$1:$T$898,17,FALSE)</f>
        <v>0</v>
      </c>
      <c r="M208">
        <f>VLOOKUP($C208,'[1]PoB WH'!$C$1:$T$898,18,FALSE)</f>
        <v>0</v>
      </c>
      <c r="N208">
        <f>VLOOKUP($C208,'[1]PoB AA'!$C$1:$T$898,17,FALSE)</f>
        <v>0</v>
      </c>
      <c r="O208">
        <f>VLOOKUP($C208,'[1]PoB AA'!$C$1:$T$898,18,FALSE)</f>
        <v>0</v>
      </c>
      <c r="P208">
        <f>VLOOKUP($C208,'[1]PoB AI'!$C$1:$T$898,17,FALSE)</f>
        <v>0</v>
      </c>
      <c r="Q208">
        <f>VLOOKUP($C208,'[1]PoB AI'!$C$1:$T$898,18,FALSE)</f>
        <v>0</v>
      </c>
      <c r="R208">
        <f>VLOOKUP($C208,'[1]PoB AS'!$C$1:$T$898,17,FALSE)</f>
        <v>0</v>
      </c>
      <c r="S208">
        <f>VLOOKUP($C208,'[1]PoB AS'!$C$1:$T$898,18,FALSE)</f>
        <v>0</v>
      </c>
      <c r="T208">
        <f>VLOOKUP($C208,'[1]PoB PI'!$C$1:$T$898,17,FALSE)</f>
        <v>0</v>
      </c>
      <c r="U208">
        <f>VLOOKUP($C208,'[1]PoB PI'!$C$1:$T$898,18,FALSE)</f>
        <v>0</v>
      </c>
      <c r="V208">
        <f>VLOOKUP($C208,'[1]PoB OT'!$C$1:$T$898,17,FALSE)</f>
        <v>0</v>
      </c>
      <c r="W208">
        <f>VLOOKUP($C208,'[1]PoB OT'!$C$1:$T$898,18,FALSE)</f>
        <v>0</v>
      </c>
      <c r="X208">
        <f>VLOOKUP($C208,'[1]PoB 2R'!$C$1:$T$898,17,FALSE)</f>
        <v>0</v>
      </c>
      <c r="Y208">
        <f>VLOOKUP($C208,'[1]PoB 2R'!$C$1:$T$898,18,FALSE)</f>
        <v>0</v>
      </c>
    </row>
    <row r="209" spans="1:25" x14ac:dyDescent="0.25">
      <c r="A209" t="s">
        <v>754</v>
      </c>
      <c r="B209">
        <v>5334575</v>
      </c>
      <c r="C209" t="s">
        <v>755</v>
      </c>
      <c r="D209">
        <f t="shared" si="9"/>
        <v>257</v>
      </c>
      <c r="E209">
        <f>VLOOKUP($C209,'[1]PoB Totals'!$C$3:$T$898,17,FALSE)</f>
        <v>254</v>
      </c>
      <c r="F209">
        <f>VLOOKUP($C209,'[1]PoB Totals'!$C$3:$T$898,18,FALSE)</f>
        <v>3</v>
      </c>
      <c r="G209">
        <f t="shared" si="10"/>
        <v>257</v>
      </c>
      <c r="H209">
        <f t="shared" si="11"/>
        <v>254</v>
      </c>
      <c r="I209">
        <f t="shared" si="11"/>
        <v>3</v>
      </c>
      <c r="J209">
        <f>VLOOKUP($C209,'[1]PoB WN'!$C$1:$T$898,17,FALSE)</f>
        <v>228</v>
      </c>
      <c r="K209">
        <f>VLOOKUP($C209,'[1]PoB WN'!$C$1:$T$898,18,FALSE)</f>
        <v>0</v>
      </c>
      <c r="L209">
        <f>VLOOKUP($C209,'[1]PoB WH'!$C$1:$T$898,17,FALSE)</f>
        <v>2</v>
      </c>
      <c r="M209">
        <f>VLOOKUP($C209,'[1]PoB WH'!$C$1:$T$898,18,FALSE)</f>
        <v>0</v>
      </c>
      <c r="N209">
        <f>VLOOKUP($C209,'[1]PoB AA'!$C$1:$T$898,17,FALSE)</f>
        <v>0</v>
      </c>
      <c r="O209">
        <f>VLOOKUP($C209,'[1]PoB AA'!$C$1:$T$898,18,FALSE)</f>
        <v>0</v>
      </c>
      <c r="P209">
        <f>VLOOKUP($C209,'[1]PoB AI'!$C$1:$T$898,17,FALSE)</f>
        <v>5</v>
      </c>
      <c r="Q209">
        <f>VLOOKUP($C209,'[1]PoB AI'!$C$1:$T$898,18,FALSE)</f>
        <v>0</v>
      </c>
      <c r="R209">
        <f>VLOOKUP($C209,'[1]PoB AS'!$C$1:$T$898,17,FALSE)</f>
        <v>1</v>
      </c>
      <c r="S209">
        <f>VLOOKUP($C209,'[1]PoB AS'!$C$1:$T$898,18,FALSE)</f>
        <v>0</v>
      </c>
      <c r="T209">
        <f>VLOOKUP($C209,'[1]PoB PI'!$C$1:$T$898,17,FALSE)</f>
        <v>0</v>
      </c>
      <c r="U209">
        <f>VLOOKUP($C209,'[1]PoB PI'!$C$1:$T$898,18,FALSE)</f>
        <v>0</v>
      </c>
      <c r="V209">
        <f>VLOOKUP($C209,'[1]PoB OT'!$C$1:$T$898,17,FALSE)</f>
        <v>9</v>
      </c>
      <c r="W209">
        <f>VLOOKUP($C209,'[1]PoB OT'!$C$1:$T$898,18,FALSE)</f>
        <v>3</v>
      </c>
      <c r="X209">
        <f>VLOOKUP($C209,'[1]PoB 2R'!$C$1:$T$898,17,FALSE)</f>
        <v>9</v>
      </c>
      <c r="Y209">
        <f>VLOOKUP($C209,'[1]PoB 2R'!$C$1:$T$898,18,FALSE)</f>
        <v>0</v>
      </c>
    </row>
    <row r="210" spans="1:25" x14ac:dyDescent="0.25">
      <c r="A210" t="s">
        <v>756</v>
      </c>
      <c r="B210">
        <v>5334645</v>
      </c>
      <c r="C210" t="s">
        <v>757</v>
      </c>
      <c r="D210">
        <f t="shared" si="9"/>
        <v>1798</v>
      </c>
      <c r="E210">
        <f>VLOOKUP($C210,'[1]PoB Totals'!$C$3:$T$898,17,FALSE)</f>
        <v>1731</v>
      </c>
      <c r="F210">
        <f>VLOOKUP($C210,'[1]PoB Totals'!$C$3:$T$898,18,FALSE)</f>
        <v>67</v>
      </c>
      <c r="G210">
        <f t="shared" si="10"/>
        <v>1798</v>
      </c>
      <c r="H210">
        <f t="shared" si="11"/>
        <v>1731</v>
      </c>
      <c r="I210">
        <f t="shared" si="11"/>
        <v>67</v>
      </c>
      <c r="J210">
        <f>VLOOKUP($C210,'[1]PoB WN'!$C$1:$T$898,17,FALSE)</f>
        <v>1625</v>
      </c>
      <c r="K210">
        <f>VLOOKUP($C210,'[1]PoB WN'!$C$1:$T$898,18,FALSE)</f>
        <v>44</v>
      </c>
      <c r="L210">
        <f>VLOOKUP($C210,'[1]PoB WH'!$C$1:$T$898,17,FALSE)</f>
        <v>17</v>
      </c>
      <c r="M210">
        <f>VLOOKUP($C210,'[1]PoB WH'!$C$1:$T$898,18,FALSE)</f>
        <v>7</v>
      </c>
      <c r="N210">
        <f>VLOOKUP($C210,'[1]PoB AA'!$C$1:$T$898,17,FALSE)</f>
        <v>22</v>
      </c>
      <c r="O210">
        <f>VLOOKUP($C210,'[1]PoB AA'!$C$1:$T$898,18,FALSE)</f>
        <v>0</v>
      </c>
      <c r="P210">
        <f>VLOOKUP($C210,'[1]PoB AI'!$C$1:$T$898,17,FALSE)</f>
        <v>32</v>
      </c>
      <c r="Q210">
        <f>VLOOKUP($C210,'[1]PoB AI'!$C$1:$T$898,18,FALSE)</f>
        <v>0</v>
      </c>
      <c r="R210">
        <f>VLOOKUP($C210,'[1]PoB AS'!$C$1:$T$898,17,FALSE)</f>
        <v>4</v>
      </c>
      <c r="S210">
        <f>VLOOKUP($C210,'[1]PoB AS'!$C$1:$T$898,18,FALSE)</f>
        <v>9</v>
      </c>
      <c r="T210">
        <f>VLOOKUP($C210,'[1]PoB PI'!$C$1:$T$898,17,FALSE)</f>
        <v>1</v>
      </c>
      <c r="U210">
        <f>VLOOKUP($C210,'[1]PoB PI'!$C$1:$T$898,18,FALSE)</f>
        <v>0</v>
      </c>
      <c r="V210">
        <f>VLOOKUP($C210,'[1]PoB OT'!$C$1:$T$898,17,FALSE)</f>
        <v>2</v>
      </c>
      <c r="W210">
        <f>VLOOKUP($C210,'[1]PoB OT'!$C$1:$T$898,18,FALSE)</f>
        <v>7</v>
      </c>
      <c r="X210">
        <f>VLOOKUP($C210,'[1]PoB 2R'!$C$1:$T$898,17,FALSE)</f>
        <v>28</v>
      </c>
      <c r="Y210">
        <f>VLOOKUP($C210,'[1]PoB 2R'!$C$1:$T$898,18,FALSE)</f>
        <v>0</v>
      </c>
    </row>
    <row r="211" spans="1:25" x14ac:dyDescent="0.25">
      <c r="A211" t="s">
        <v>764</v>
      </c>
      <c r="B211">
        <v>5335065</v>
      </c>
      <c r="C211" t="s">
        <v>765</v>
      </c>
      <c r="D211">
        <f t="shared" si="9"/>
        <v>12034</v>
      </c>
      <c r="E211">
        <f>VLOOKUP($C211,'[1]PoB Totals'!$C$3:$T$898,17,FALSE)</f>
        <v>11475</v>
      </c>
      <c r="F211">
        <f>VLOOKUP($C211,'[1]PoB Totals'!$C$3:$T$898,18,FALSE)</f>
        <v>559</v>
      </c>
      <c r="G211">
        <f t="shared" si="10"/>
        <v>12034</v>
      </c>
      <c r="H211">
        <f t="shared" si="11"/>
        <v>11475</v>
      </c>
      <c r="I211">
        <f t="shared" si="11"/>
        <v>559</v>
      </c>
      <c r="J211">
        <f>VLOOKUP($C211,'[1]PoB WN'!$C$1:$T$898,17,FALSE)</f>
        <v>10352</v>
      </c>
      <c r="K211">
        <f>VLOOKUP($C211,'[1]PoB WN'!$C$1:$T$898,18,FALSE)</f>
        <v>202</v>
      </c>
      <c r="L211">
        <f>VLOOKUP($C211,'[1]PoB WH'!$C$1:$T$898,17,FALSE)</f>
        <v>290</v>
      </c>
      <c r="M211">
        <f>VLOOKUP($C211,'[1]PoB WH'!$C$1:$T$898,18,FALSE)</f>
        <v>64</v>
      </c>
      <c r="N211">
        <f>VLOOKUP($C211,'[1]PoB AA'!$C$1:$T$898,17,FALSE)</f>
        <v>59</v>
      </c>
      <c r="O211">
        <f>VLOOKUP($C211,'[1]PoB AA'!$C$1:$T$898,18,FALSE)</f>
        <v>0</v>
      </c>
      <c r="P211">
        <f>VLOOKUP($C211,'[1]PoB AI'!$C$1:$T$898,17,FALSE)</f>
        <v>178</v>
      </c>
      <c r="Q211">
        <f>VLOOKUP($C211,'[1]PoB AI'!$C$1:$T$898,18,FALSE)</f>
        <v>8</v>
      </c>
      <c r="R211">
        <f>VLOOKUP($C211,'[1]PoB AS'!$C$1:$T$898,17,FALSE)</f>
        <v>53</v>
      </c>
      <c r="S211">
        <f>VLOOKUP($C211,'[1]PoB AS'!$C$1:$T$898,18,FALSE)</f>
        <v>73</v>
      </c>
      <c r="T211">
        <f>VLOOKUP($C211,'[1]PoB PI'!$C$1:$T$898,17,FALSE)</f>
        <v>31</v>
      </c>
      <c r="U211">
        <f>VLOOKUP($C211,'[1]PoB PI'!$C$1:$T$898,18,FALSE)</f>
        <v>5</v>
      </c>
      <c r="V211">
        <f>VLOOKUP($C211,'[1]PoB OT'!$C$1:$T$898,17,FALSE)</f>
        <v>184</v>
      </c>
      <c r="W211">
        <f>VLOOKUP($C211,'[1]PoB OT'!$C$1:$T$898,18,FALSE)</f>
        <v>151</v>
      </c>
      <c r="X211">
        <f>VLOOKUP($C211,'[1]PoB 2R'!$C$1:$T$898,17,FALSE)</f>
        <v>328</v>
      </c>
      <c r="Y211">
        <f>VLOOKUP($C211,'[1]PoB 2R'!$C$1:$T$898,18,FALSE)</f>
        <v>56</v>
      </c>
    </row>
    <row r="212" spans="1:25" x14ac:dyDescent="0.25">
      <c r="A212" t="s">
        <v>766</v>
      </c>
      <c r="B212">
        <v>5335135</v>
      </c>
      <c r="C212" t="s">
        <v>767</v>
      </c>
      <c r="D212">
        <f t="shared" si="9"/>
        <v>66</v>
      </c>
      <c r="E212">
        <f>VLOOKUP($C212,'[1]PoB Totals'!$C$3:$T$898,17,FALSE)</f>
        <v>66</v>
      </c>
      <c r="F212">
        <f>VLOOKUP($C212,'[1]PoB Totals'!$C$3:$T$898,18,FALSE)</f>
        <v>0</v>
      </c>
      <c r="G212">
        <f t="shared" si="10"/>
        <v>66</v>
      </c>
      <c r="H212">
        <f t="shared" si="11"/>
        <v>66</v>
      </c>
      <c r="I212">
        <f t="shared" si="11"/>
        <v>0</v>
      </c>
      <c r="J212">
        <f>VLOOKUP($C212,'[1]PoB WN'!$C$1:$T$898,17,FALSE)</f>
        <v>66</v>
      </c>
      <c r="K212">
        <f>VLOOKUP($C212,'[1]PoB WN'!$C$1:$T$898,18,FALSE)</f>
        <v>0</v>
      </c>
      <c r="L212">
        <f>VLOOKUP($C212,'[1]PoB WH'!$C$1:$T$898,17,FALSE)</f>
        <v>0</v>
      </c>
      <c r="M212">
        <f>VLOOKUP($C212,'[1]PoB WH'!$C$1:$T$898,18,FALSE)</f>
        <v>0</v>
      </c>
      <c r="N212">
        <f>VLOOKUP($C212,'[1]PoB AA'!$C$1:$T$898,17,FALSE)</f>
        <v>0</v>
      </c>
      <c r="O212">
        <f>VLOOKUP($C212,'[1]PoB AA'!$C$1:$T$898,18,FALSE)</f>
        <v>0</v>
      </c>
      <c r="P212">
        <f>VLOOKUP($C212,'[1]PoB AI'!$C$1:$T$898,17,FALSE)</f>
        <v>0</v>
      </c>
      <c r="Q212">
        <f>VLOOKUP($C212,'[1]PoB AI'!$C$1:$T$898,18,FALSE)</f>
        <v>0</v>
      </c>
      <c r="R212">
        <f>VLOOKUP($C212,'[1]PoB AS'!$C$1:$T$898,17,FALSE)</f>
        <v>0</v>
      </c>
      <c r="S212">
        <f>VLOOKUP($C212,'[1]PoB AS'!$C$1:$T$898,18,FALSE)</f>
        <v>0</v>
      </c>
      <c r="T212">
        <f>VLOOKUP($C212,'[1]PoB PI'!$C$1:$T$898,17,FALSE)</f>
        <v>0</v>
      </c>
      <c r="U212">
        <f>VLOOKUP($C212,'[1]PoB PI'!$C$1:$T$898,18,FALSE)</f>
        <v>0</v>
      </c>
      <c r="V212">
        <f>VLOOKUP($C212,'[1]PoB OT'!$C$1:$T$898,17,FALSE)</f>
        <v>0</v>
      </c>
      <c r="W212">
        <f>VLOOKUP($C212,'[1]PoB OT'!$C$1:$T$898,18,FALSE)</f>
        <v>0</v>
      </c>
      <c r="X212">
        <f>VLOOKUP($C212,'[1]PoB 2R'!$C$1:$T$898,17,FALSE)</f>
        <v>0</v>
      </c>
      <c r="Y212">
        <f>VLOOKUP($C212,'[1]PoB 2R'!$C$1:$T$898,18,FALSE)</f>
        <v>0</v>
      </c>
    </row>
    <row r="213" spans="1:25" x14ac:dyDescent="0.25">
      <c r="A213" t="s">
        <v>768</v>
      </c>
      <c r="B213">
        <v>5335170</v>
      </c>
      <c r="C213" t="s">
        <v>769</v>
      </c>
      <c r="D213">
        <f t="shared" si="9"/>
        <v>18540</v>
      </c>
      <c r="E213">
        <f>VLOOKUP($C213,'[1]PoB Totals'!$C$3:$T$898,17,FALSE)</f>
        <v>16274</v>
      </c>
      <c r="F213">
        <f>VLOOKUP($C213,'[1]PoB Totals'!$C$3:$T$898,18,FALSE)</f>
        <v>2266</v>
      </c>
      <c r="G213">
        <f t="shared" si="10"/>
        <v>18540</v>
      </c>
      <c r="H213">
        <f t="shared" si="11"/>
        <v>16274</v>
      </c>
      <c r="I213">
        <f t="shared" si="11"/>
        <v>2266</v>
      </c>
      <c r="J213">
        <f>VLOOKUP($C213,'[1]PoB WN'!$C$1:$T$898,17,FALSE)</f>
        <v>14414</v>
      </c>
      <c r="K213">
        <f>VLOOKUP($C213,'[1]PoB WN'!$C$1:$T$898,18,FALSE)</f>
        <v>1300</v>
      </c>
      <c r="L213">
        <f>VLOOKUP($C213,'[1]PoB WH'!$C$1:$T$898,17,FALSE)</f>
        <v>337</v>
      </c>
      <c r="M213">
        <f>VLOOKUP($C213,'[1]PoB WH'!$C$1:$T$898,18,FALSE)</f>
        <v>117</v>
      </c>
      <c r="N213">
        <f>VLOOKUP($C213,'[1]PoB AA'!$C$1:$T$898,17,FALSE)</f>
        <v>117</v>
      </c>
      <c r="O213">
        <f>VLOOKUP($C213,'[1]PoB AA'!$C$1:$T$898,18,FALSE)</f>
        <v>23</v>
      </c>
      <c r="P213">
        <f>VLOOKUP($C213,'[1]PoB AI'!$C$1:$T$898,17,FALSE)</f>
        <v>234</v>
      </c>
      <c r="Q213">
        <f>VLOOKUP($C213,'[1]PoB AI'!$C$1:$T$898,18,FALSE)</f>
        <v>0</v>
      </c>
      <c r="R213">
        <f>VLOOKUP($C213,'[1]PoB AS'!$C$1:$T$898,17,FALSE)</f>
        <v>472</v>
      </c>
      <c r="S213">
        <f>VLOOKUP($C213,'[1]PoB AS'!$C$1:$T$898,18,FALSE)</f>
        <v>754</v>
      </c>
      <c r="T213">
        <f>VLOOKUP($C213,'[1]PoB PI'!$C$1:$T$898,17,FALSE)</f>
        <v>102</v>
      </c>
      <c r="U213">
        <f>VLOOKUP($C213,'[1]PoB PI'!$C$1:$T$898,18,FALSE)</f>
        <v>0</v>
      </c>
      <c r="V213">
        <f>VLOOKUP($C213,'[1]PoB OT'!$C$1:$T$898,17,FALSE)</f>
        <v>122</v>
      </c>
      <c r="W213">
        <f>VLOOKUP($C213,'[1]PoB OT'!$C$1:$T$898,18,FALSE)</f>
        <v>24</v>
      </c>
      <c r="X213">
        <f>VLOOKUP($C213,'[1]PoB 2R'!$C$1:$T$898,17,FALSE)</f>
        <v>476</v>
      </c>
      <c r="Y213">
        <f>VLOOKUP($C213,'[1]PoB 2R'!$C$1:$T$898,18,FALSE)</f>
        <v>48</v>
      </c>
    </row>
    <row r="214" spans="1:25" x14ac:dyDescent="0.25">
      <c r="A214" t="s">
        <v>770</v>
      </c>
      <c r="B214">
        <v>5335275</v>
      </c>
      <c r="C214" t="s">
        <v>771</v>
      </c>
      <c r="D214">
        <f t="shared" si="9"/>
        <v>55090</v>
      </c>
      <c r="E214">
        <f>VLOOKUP($C214,'[1]PoB Totals'!$C$3:$T$898,17,FALSE)</f>
        <v>49328</v>
      </c>
      <c r="F214">
        <f>VLOOKUP($C214,'[1]PoB Totals'!$C$3:$T$898,18,FALSE)</f>
        <v>5762</v>
      </c>
      <c r="G214">
        <f t="shared" si="10"/>
        <v>55090</v>
      </c>
      <c r="H214">
        <f t="shared" si="11"/>
        <v>49328</v>
      </c>
      <c r="I214">
        <f t="shared" si="11"/>
        <v>5762</v>
      </c>
      <c r="J214">
        <f>VLOOKUP($C214,'[1]PoB WN'!$C$1:$T$898,17,FALSE)</f>
        <v>41587</v>
      </c>
      <c r="K214">
        <f>VLOOKUP($C214,'[1]PoB WN'!$C$1:$T$898,18,FALSE)</f>
        <v>1398</v>
      </c>
      <c r="L214">
        <f>VLOOKUP($C214,'[1]PoB WH'!$C$1:$T$898,17,FALSE)</f>
        <v>1585</v>
      </c>
      <c r="M214">
        <f>VLOOKUP($C214,'[1]PoB WH'!$C$1:$T$898,18,FALSE)</f>
        <v>1000</v>
      </c>
      <c r="N214">
        <f>VLOOKUP($C214,'[1]PoB AA'!$C$1:$T$898,17,FALSE)</f>
        <v>605</v>
      </c>
      <c r="O214">
        <f>VLOOKUP($C214,'[1]PoB AA'!$C$1:$T$898,18,FALSE)</f>
        <v>63</v>
      </c>
      <c r="P214">
        <f>VLOOKUP($C214,'[1]PoB AI'!$C$1:$T$898,17,FALSE)</f>
        <v>536</v>
      </c>
      <c r="Q214">
        <f>VLOOKUP($C214,'[1]PoB AI'!$C$1:$T$898,18,FALSE)</f>
        <v>14</v>
      </c>
      <c r="R214">
        <f>VLOOKUP($C214,'[1]PoB AS'!$C$1:$T$898,17,FALSE)</f>
        <v>302</v>
      </c>
      <c r="S214">
        <f>VLOOKUP($C214,'[1]PoB AS'!$C$1:$T$898,18,FALSE)</f>
        <v>656</v>
      </c>
      <c r="T214">
        <f>VLOOKUP($C214,'[1]PoB PI'!$C$1:$T$898,17,FALSE)</f>
        <v>64</v>
      </c>
      <c r="U214">
        <f>VLOOKUP($C214,'[1]PoB PI'!$C$1:$T$898,18,FALSE)</f>
        <v>16</v>
      </c>
      <c r="V214">
        <f>VLOOKUP($C214,'[1]PoB OT'!$C$1:$T$898,17,FALSE)</f>
        <v>3200</v>
      </c>
      <c r="W214">
        <f>VLOOKUP($C214,'[1]PoB OT'!$C$1:$T$898,18,FALSE)</f>
        <v>2258</v>
      </c>
      <c r="X214">
        <f>VLOOKUP($C214,'[1]PoB 2R'!$C$1:$T$898,17,FALSE)</f>
        <v>1449</v>
      </c>
      <c r="Y214">
        <f>VLOOKUP($C214,'[1]PoB 2R'!$C$1:$T$898,18,FALSE)</f>
        <v>357</v>
      </c>
    </row>
    <row r="215" spans="1:25" x14ac:dyDescent="0.25">
      <c r="A215" t="s">
        <v>772</v>
      </c>
      <c r="B215">
        <v>5335415</v>
      </c>
      <c r="C215" t="s">
        <v>773</v>
      </c>
      <c r="D215">
        <f t="shared" si="9"/>
        <v>79325</v>
      </c>
      <c r="E215">
        <f>VLOOKUP($C215,'[1]PoB Totals'!$C$3:$T$898,17,FALSE)</f>
        <v>65185</v>
      </c>
      <c r="F215">
        <f>VLOOKUP($C215,'[1]PoB Totals'!$C$3:$T$898,18,FALSE)</f>
        <v>14140</v>
      </c>
      <c r="G215">
        <f t="shared" si="10"/>
        <v>79325</v>
      </c>
      <c r="H215">
        <f t="shared" si="11"/>
        <v>65185</v>
      </c>
      <c r="I215">
        <f t="shared" si="11"/>
        <v>14140</v>
      </c>
      <c r="J215">
        <f>VLOOKUP($C215,'[1]PoB WN'!$C$1:$T$898,17,FALSE)</f>
        <v>49596</v>
      </c>
      <c r="K215">
        <f>VLOOKUP($C215,'[1]PoB WN'!$C$1:$T$898,18,FALSE)</f>
        <v>4337</v>
      </c>
      <c r="L215">
        <f>VLOOKUP($C215,'[1]PoB WH'!$C$1:$T$898,17,FALSE)</f>
        <v>1311</v>
      </c>
      <c r="M215">
        <f>VLOOKUP($C215,'[1]PoB WH'!$C$1:$T$898,18,FALSE)</f>
        <v>952</v>
      </c>
      <c r="N215">
        <f>VLOOKUP($C215,'[1]PoB AA'!$C$1:$T$898,17,FALSE)</f>
        <v>5675</v>
      </c>
      <c r="O215">
        <f>VLOOKUP($C215,'[1]PoB AA'!$C$1:$T$898,18,FALSE)</f>
        <v>711</v>
      </c>
      <c r="P215">
        <f>VLOOKUP($C215,'[1]PoB AI'!$C$1:$T$898,17,FALSE)</f>
        <v>717</v>
      </c>
      <c r="Q215">
        <f>VLOOKUP($C215,'[1]PoB AI'!$C$1:$T$898,18,FALSE)</f>
        <v>66</v>
      </c>
      <c r="R215">
        <f>VLOOKUP($C215,'[1]PoB AS'!$C$1:$T$898,17,FALSE)</f>
        <v>2558</v>
      </c>
      <c r="S215">
        <f>VLOOKUP($C215,'[1]PoB AS'!$C$1:$T$898,18,FALSE)</f>
        <v>5162</v>
      </c>
      <c r="T215">
        <f>VLOOKUP($C215,'[1]PoB PI'!$C$1:$T$898,17,FALSE)</f>
        <v>188</v>
      </c>
      <c r="U215">
        <f>VLOOKUP($C215,'[1]PoB PI'!$C$1:$T$898,18,FALSE)</f>
        <v>70</v>
      </c>
      <c r="V215">
        <f>VLOOKUP($C215,'[1]PoB OT'!$C$1:$T$898,17,FALSE)</f>
        <v>1612</v>
      </c>
      <c r="W215">
        <f>VLOOKUP($C215,'[1]PoB OT'!$C$1:$T$898,18,FALSE)</f>
        <v>1897</v>
      </c>
      <c r="X215">
        <f>VLOOKUP($C215,'[1]PoB 2R'!$C$1:$T$898,17,FALSE)</f>
        <v>3528</v>
      </c>
      <c r="Y215">
        <f>VLOOKUP($C215,'[1]PoB 2R'!$C$1:$T$898,18,FALSE)</f>
        <v>945</v>
      </c>
    </row>
    <row r="216" spans="1:25" x14ac:dyDescent="0.25">
      <c r="A216" t="s">
        <v>776</v>
      </c>
      <c r="B216">
        <v>5335485</v>
      </c>
      <c r="C216" t="s">
        <v>777</v>
      </c>
      <c r="D216">
        <f t="shared" si="9"/>
        <v>1553</v>
      </c>
      <c r="E216">
        <f>VLOOKUP($C216,'[1]PoB Totals'!$C$3:$T$898,17,FALSE)</f>
        <v>1511</v>
      </c>
      <c r="F216">
        <f>VLOOKUP($C216,'[1]PoB Totals'!$C$3:$T$898,18,FALSE)</f>
        <v>42</v>
      </c>
      <c r="G216">
        <f t="shared" si="10"/>
        <v>1553</v>
      </c>
      <c r="H216">
        <f t="shared" si="11"/>
        <v>1511</v>
      </c>
      <c r="I216">
        <f t="shared" si="11"/>
        <v>42</v>
      </c>
      <c r="J216">
        <f>VLOOKUP($C216,'[1]PoB WN'!$C$1:$T$898,17,FALSE)</f>
        <v>1362</v>
      </c>
      <c r="K216">
        <f>VLOOKUP($C216,'[1]PoB WN'!$C$1:$T$898,18,FALSE)</f>
        <v>38</v>
      </c>
      <c r="L216">
        <f>VLOOKUP($C216,'[1]PoB WH'!$C$1:$T$898,17,FALSE)</f>
        <v>17</v>
      </c>
      <c r="M216">
        <f>VLOOKUP($C216,'[1]PoB WH'!$C$1:$T$898,18,FALSE)</f>
        <v>0</v>
      </c>
      <c r="N216">
        <f>VLOOKUP($C216,'[1]PoB AA'!$C$1:$T$898,17,FALSE)</f>
        <v>0</v>
      </c>
      <c r="O216">
        <f>VLOOKUP($C216,'[1]PoB AA'!$C$1:$T$898,18,FALSE)</f>
        <v>0</v>
      </c>
      <c r="P216">
        <f>VLOOKUP($C216,'[1]PoB AI'!$C$1:$T$898,17,FALSE)</f>
        <v>81</v>
      </c>
      <c r="Q216">
        <f>VLOOKUP($C216,'[1]PoB AI'!$C$1:$T$898,18,FALSE)</f>
        <v>0</v>
      </c>
      <c r="R216">
        <f>VLOOKUP($C216,'[1]PoB AS'!$C$1:$T$898,17,FALSE)</f>
        <v>0</v>
      </c>
      <c r="S216">
        <f>VLOOKUP($C216,'[1]PoB AS'!$C$1:$T$898,18,FALSE)</f>
        <v>2</v>
      </c>
      <c r="T216">
        <f>VLOOKUP($C216,'[1]PoB PI'!$C$1:$T$898,17,FALSE)</f>
        <v>0</v>
      </c>
      <c r="U216">
        <f>VLOOKUP($C216,'[1]PoB PI'!$C$1:$T$898,18,FALSE)</f>
        <v>0</v>
      </c>
      <c r="V216">
        <f>VLOOKUP($C216,'[1]PoB OT'!$C$1:$T$898,17,FALSE)</f>
        <v>0</v>
      </c>
      <c r="W216">
        <f>VLOOKUP($C216,'[1]PoB OT'!$C$1:$T$898,18,FALSE)</f>
        <v>0</v>
      </c>
      <c r="X216">
        <f>VLOOKUP($C216,'[1]PoB 2R'!$C$1:$T$898,17,FALSE)</f>
        <v>51</v>
      </c>
      <c r="Y216">
        <f>VLOOKUP($C216,'[1]PoB 2R'!$C$1:$T$898,18,FALSE)</f>
        <v>2</v>
      </c>
    </row>
    <row r="217" spans="1:25" x14ac:dyDescent="0.25">
      <c r="A217" t="s">
        <v>1544</v>
      </c>
      <c r="B217">
        <v>5335835</v>
      </c>
      <c r="C217" t="s">
        <v>1545</v>
      </c>
      <c r="D217">
        <f t="shared" si="9"/>
        <v>12028</v>
      </c>
      <c r="E217">
        <f>VLOOKUP($C217,'[1]PoB Totals'!$C$3:$T$898,17,FALSE)</f>
        <v>9805</v>
      </c>
      <c r="F217">
        <f>VLOOKUP($C217,'[1]PoB Totals'!$C$3:$T$898,18,FALSE)</f>
        <v>2223</v>
      </c>
      <c r="G217">
        <f t="shared" si="10"/>
        <v>12028</v>
      </c>
      <c r="H217">
        <f t="shared" si="11"/>
        <v>9805</v>
      </c>
      <c r="I217">
        <f t="shared" si="11"/>
        <v>2223</v>
      </c>
      <c r="J217">
        <f>VLOOKUP($C217,'[1]PoB WN'!$C$1:$T$898,17,FALSE)</f>
        <v>8650</v>
      </c>
      <c r="K217">
        <f>VLOOKUP($C217,'[1]PoB WN'!$C$1:$T$898,18,FALSE)</f>
        <v>714</v>
      </c>
      <c r="L217">
        <f>VLOOKUP($C217,'[1]PoB WH'!$C$1:$T$898,17,FALSE)</f>
        <v>173</v>
      </c>
      <c r="M217">
        <f>VLOOKUP($C217,'[1]PoB WH'!$C$1:$T$898,18,FALSE)</f>
        <v>175</v>
      </c>
      <c r="N217">
        <f>VLOOKUP($C217,'[1]PoB AA'!$C$1:$T$898,17,FALSE)</f>
        <v>53</v>
      </c>
      <c r="O217">
        <f>VLOOKUP($C217,'[1]PoB AA'!$C$1:$T$898,18,FALSE)</f>
        <v>7</v>
      </c>
      <c r="P217">
        <f>VLOOKUP($C217,'[1]PoB AI'!$C$1:$T$898,17,FALSE)</f>
        <v>17</v>
      </c>
      <c r="Q217">
        <f>VLOOKUP($C217,'[1]PoB AI'!$C$1:$T$898,18,FALSE)</f>
        <v>0</v>
      </c>
      <c r="R217">
        <f>VLOOKUP($C217,'[1]PoB AS'!$C$1:$T$898,17,FALSE)</f>
        <v>418</v>
      </c>
      <c r="S217">
        <f>VLOOKUP($C217,'[1]PoB AS'!$C$1:$T$898,18,FALSE)</f>
        <v>1085</v>
      </c>
      <c r="T217">
        <f>VLOOKUP($C217,'[1]PoB PI'!$C$1:$T$898,17,FALSE)</f>
        <v>65</v>
      </c>
      <c r="U217">
        <f>VLOOKUP($C217,'[1]PoB PI'!$C$1:$T$898,18,FALSE)</f>
        <v>26</v>
      </c>
      <c r="V217">
        <f>VLOOKUP($C217,'[1]PoB OT'!$C$1:$T$898,17,FALSE)</f>
        <v>23</v>
      </c>
      <c r="W217">
        <f>VLOOKUP($C217,'[1]PoB OT'!$C$1:$T$898,18,FALSE)</f>
        <v>136</v>
      </c>
      <c r="X217">
        <f>VLOOKUP($C217,'[1]PoB 2R'!$C$1:$T$898,17,FALSE)</f>
        <v>406</v>
      </c>
      <c r="Y217">
        <f>VLOOKUP($C217,'[1]PoB 2R'!$C$1:$T$898,18,FALSE)</f>
        <v>80</v>
      </c>
    </row>
    <row r="218" spans="1:25" x14ac:dyDescent="0.25">
      <c r="A218" t="s">
        <v>782</v>
      </c>
      <c r="B218">
        <v>5335870</v>
      </c>
      <c r="C218" t="s">
        <v>783</v>
      </c>
      <c r="D218">
        <f t="shared" si="9"/>
        <v>1653</v>
      </c>
      <c r="E218">
        <f>VLOOKUP($C218,'[1]PoB Totals'!$C$3:$T$898,17,FALSE)</f>
        <v>1518</v>
      </c>
      <c r="F218">
        <f>VLOOKUP($C218,'[1]PoB Totals'!$C$3:$T$898,18,FALSE)</f>
        <v>135</v>
      </c>
      <c r="G218">
        <f t="shared" si="10"/>
        <v>1653</v>
      </c>
      <c r="H218">
        <f t="shared" si="11"/>
        <v>1518</v>
      </c>
      <c r="I218">
        <f t="shared" si="11"/>
        <v>135</v>
      </c>
      <c r="J218">
        <f>VLOOKUP($C218,'[1]PoB WN'!$C$1:$T$898,17,FALSE)</f>
        <v>1324</v>
      </c>
      <c r="K218">
        <f>VLOOKUP($C218,'[1]PoB WN'!$C$1:$T$898,18,FALSE)</f>
        <v>47</v>
      </c>
      <c r="L218">
        <f>VLOOKUP($C218,'[1]PoB WH'!$C$1:$T$898,17,FALSE)</f>
        <v>21</v>
      </c>
      <c r="M218">
        <f>VLOOKUP($C218,'[1]PoB WH'!$C$1:$T$898,18,FALSE)</f>
        <v>0</v>
      </c>
      <c r="N218">
        <f>VLOOKUP($C218,'[1]PoB AA'!$C$1:$T$898,17,FALSE)</f>
        <v>0</v>
      </c>
      <c r="O218">
        <f>VLOOKUP($C218,'[1]PoB AA'!$C$1:$T$898,18,FALSE)</f>
        <v>0</v>
      </c>
      <c r="P218">
        <f>VLOOKUP($C218,'[1]PoB AI'!$C$1:$T$898,17,FALSE)</f>
        <v>12</v>
      </c>
      <c r="Q218">
        <f>VLOOKUP($C218,'[1]PoB AI'!$C$1:$T$898,18,FALSE)</f>
        <v>0</v>
      </c>
      <c r="R218">
        <f>VLOOKUP($C218,'[1]PoB AS'!$C$1:$T$898,17,FALSE)</f>
        <v>7</v>
      </c>
      <c r="S218">
        <f>VLOOKUP($C218,'[1]PoB AS'!$C$1:$T$898,18,FALSE)</f>
        <v>73</v>
      </c>
      <c r="T218">
        <f>VLOOKUP($C218,'[1]PoB PI'!$C$1:$T$898,17,FALSE)</f>
        <v>0</v>
      </c>
      <c r="U218">
        <f>VLOOKUP($C218,'[1]PoB PI'!$C$1:$T$898,18,FALSE)</f>
        <v>0</v>
      </c>
      <c r="V218">
        <f>VLOOKUP($C218,'[1]PoB OT'!$C$1:$T$898,17,FALSE)</f>
        <v>56</v>
      </c>
      <c r="W218">
        <f>VLOOKUP($C218,'[1]PoB OT'!$C$1:$T$898,18,FALSE)</f>
        <v>0</v>
      </c>
      <c r="X218">
        <f>VLOOKUP($C218,'[1]PoB 2R'!$C$1:$T$898,17,FALSE)</f>
        <v>98</v>
      </c>
      <c r="Y218">
        <f>VLOOKUP($C218,'[1]PoB 2R'!$C$1:$T$898,18,FALSE)</f>
        <v>15</v>
      </c>
    </row>
    <row r="219" spans="1:25" x14ac:dyDescent="0.25">
      <c r="A219" t="s">
        <v>784</v>
      </c>
      <c r="B219">
        <v>5335940</v>
      </c>
      <c r="C219" t="s">
        <v>785</v>
      </c>
      <c r="D219">
        <f t="shared" si="9"/>
        <v>44986</v>
      </c>
      <c r="E219">
        <f>VLOOKUP($C219,'[1]PoB Totals'!$C$3:$T$898,17,FALSE)</f>
        <v>37866</v>
      </c>
      <c r="F219">
        <f>VLOOKUP($C219,'[1]PoB Totals'!$C$3:$T$898,18,FALSE)</f>
        <v>7120</v>
      </c>
      <c r="G219">
        <f t="shared" si="10"/>
        <v>44986</v>
      </c>
      <c r="H219">
        <f t="shared" si="11"/>
        <v>37866</v>
      </c>
      <c r="I219">
        <f t="shared" si="11"/>
        <v>7120</v>
      </c>
      <c r="J219">
        <f>VLOOKUP($C219,'[1]PoB WN'!$C$1:$T$898,17,FALSE)</f>
        <v>33902</v>
      </c>
      <c r="K219">
        <f>VLOOKUP($C219,'[1]PoB WN'!$C$1:$T$898,18,FALSE)</f>
        <v>3550</v>
      </c>
      <c r="L219">
        <f>VLOOKUP($C219,'[1]PoB WH'!$C$1:$T$898,17,FALSE)</f>
        <v>647</v>
      </c>
      <c r="M219">
        <f>VLOOKUP($C219,'[1]PoB WH'!$C$1:$T$898,18,FALSE)</f>
        <v>356</v>
      </c>
      <c r="N219">
        <f>VLOOKUP($C219,'[1]PoB AA'!$C$1:$T$898,17,FALSE)</f>
        <v>519</v>
      </c>
      <c r="O219">
        <f>VLOOKUP($C219,'[1]PoB AA'!$C$1:$T$898,18,FALSE)</f>
        <v>39</v>
      </c>
      <c r="P219">
        <f>VLOOKUP($C219,'[1]PoB AI'!$C$1:$T$898,17,FALSE)</f>
        <v>239</v>
      </c>
      <c r="Q219">
        <f>VLOOKUP($C219,'[1]PoB AI'!$C$1:$T$898,18,FALSE)</f>
        <v>9</v>
      </c>
      <c r="R219">
        <f>VLOOKUP($C219,'[1]PoB AS'!$C$1:$T$898,17,FALSE)</f>
        <v>917</v>
      </c>
      <c r="S219">
        <f>VLOOKUP($C219,'[1]PoB AS'!$C$1:$T$898,18,FALSE)</f>
        <v>2559</v>
      </c>
      <c r="T219">
        <f>VLOOKUP($C219,'[1]PoB PI'!$C$1:$T$898,17,FALSE)</f>
        <v>47</v>
      </c>
      <c r="U219">
        <f>VLOOKUP($C219,'[1]PoB PI'!$C$1:$T$898,18,FALSE)</f>
        <v>29</v>
      </c>
      <c r="V219">
        <f>VLOOKUP($C219,'[1]PoB OT'!$C$1:$T$898,17,FALSE)</f>
        <v>479</v>
      </c>
      <c r="W219">
        <f>VLOOKUP($C219,'[1]PoB OT'!$C$1:$T$898,18,FALSE)</f>
        <v>208</v>
      </c>
      <c r="X219">
        <f>VLOOKUP($C219,'[1]PoB 2R'!$C$1:$T$898,17,FALSE)</f>
        <v>1116</v>
      </c>
      <c r="Y219">
        <f>VLOOKUP($C219,'[1]PoB 2R'!$C$1:$T$898,18,FALSE)</f>
        <v>370</v>
      </c>
    </row>
    <row r="220" spans="1:25" x14ac:dyDescent="0.25">
      <c r="A220" t="s">
        <v>786</v>
      </c>
      <c r="B220">
        <v>5336045</v>
      </c>
      <c r="C220" t="s">
        <v>787</v>
      </c>
      <c r="D220">
        <f t="shared" si="9"/>
        <v>1130</v>
      </c>
      <c r="E220">
        <f>VLOOKUP($C220,'[1]PoB Totals'!$C$3:$T$898,17,FALSE)</f>
        <v>962</v>
      </c>
      <c r="F220">
        <f>VLOOKUP($C220,'[1]PoB Totals'!$C$3:$T$898,18,FALSE)</f>
        <v>168</v>
      </c>
      <c r="G220">
        <f t="shared" si="10"/>
        <v>1130</v>
      </c>
      <c r="H220">
        <f t="shared" si="11"/>
        <v>962</v>
      </c>
      <c r="I220">
        <f t="shared" si="11"/>
        <v>168</v>
      </c>
      <c r="J220">
        <f>VLOOKUP($C220,'[1]PoB WN'!$C$1:$T$898,17,FALSE)</f>
        <v>867</v>
      </c>
      <c r="K220">
        <f>VLOOKUP($C220,'[1]PoB WN'!$C$1:$T$898,18,FALSE)</f>
        <v>11</v>
      </c>
      <c r="L220">
        <f>VLOOKUP($C220,'[1]PoB WH'!$C$1:$T$898,17,FALSE)</f>
        <v>34</v>
      </c>
      <c r="M220">
        <f>VLOOKUP($C220,'[1]PoB WH'!$C$1:$T$898,18,FALSE)</f>
        <v>82</v>
      </c>
      <c r="N220">
        <f>VLOOKUP($C220,'[1]PoB AA'!$C$1:$T$898,17,FALSE)</f>
        <v>0</v>
      </c>
      <c r="O220">
        <f>VLOOKUP($C220,'[1]PoB AA'!$C$1:$T$898,18,FALSE)</f>
        <v>0</v>
      </c>
      <c r="P220">
        <f>VLOOKUP($C220,'[1]PoB AI'!$C$1:$T$898,17,FALSE)</f>
        <v>14</v>
      </c>
      <c r="Q220">
        <f>VLOOKUP($C220,'[1]PoB AI'!$C$1:$T$898,18,FALSE)</f>
        <v>0</v>
      </c>
      <c r="R220">
        <f>VLOOKUP($C220,'[1]PoB AS'!$C$1:$T$898,17,FALSE)</f>
        <v>0</v>
      </c>
      <c r="S220">
        <f>VLOOKUP($C220,'[1]PoB AS'!$C$1:$T$898,18,FALSE)</f>
        <v>3</v>
      </c>
      <c r="T220">
        <f>VLOOKUP($C220,'[1]PoB PI'!$C$1:$T$898,17,FALSE)</f>
        <v>0</v>
      </c>
      <c r="U220">
        <f>VLOOKUP($C220,'[1]PoB PI'!$C$1:$T$898,18,FALSE)</f>
        <v>0</v>
      </c>
      <c r="V220">
        <f>VLOOKUP($C220,'[1]PoB OT'!$C$1:$T$898,17,FALSE)</f>
        <v>38</v>
      </c>
      <c r="W220">
        <f>VLOOKUP($C220,'[1]PoB OT'!$C$1:$T$898,18,FALSE)</f>
        <v>72</v>
      </c>
      <c r="X220">
        <f>VLOOKUP($C220,'[1]PoB 2R'!$C$1:$T$898,17,FALSE)</f>
        <v>9</v>
      </c>
      <c r="Y220">
        <f>VLOOKUP($C220,'[1]PoB 2R'!$C$1:$T$898,18,FALSE)</f>
        <v>0</v>
      </c>
    </row>
    <row r="221" spans="1:25" x14ac:dyDescent="0.25">
      <c r="A221" t="s">
        <v>788</v>
      </c>
      <c r="B221">
        <v>5336115</v>
      </c>
      <c r="C221" t="s">
        <v>789</v>
      </c>
      <c r="D221">
        <f t="shared" si="9"/>
        <v>418</v>
      </c>
      <c r="E221">
        <f>VLOOKUP($C221,'[1]PoB Totals'!$C$3:$T$898,17,FALSE)</f>
        <v>391</v>
      </c>
      <c r="F221">
        <f>VLOOKUP($C221,'[1]PoB Totals'!$C$3:$T$898,18,FALSE)</f>
        <v>27</v>
      </c>
      <c r="G221">
        <f t="shared" si="10"/>
        <v>418</v>
      </c>
      <c r="H221">
        <f t="shared" si="11"/>
        <v>391</v>
      </c>
      <c r="I221">
        <f t="shared" si="11"/>
        <v>27</v>
      </c>
      <c r="J221">
        <f>VLOOKUP($C221,'[1]PoB WN'!$C$1:$T$898,17,FALSE)</f>
        <v>324</v>
      </c>
      <c r="K221">
        <f>VLOOKUP($C221,'[1]PoB WN'!$C$1:$T$898,18,FALSE)</f>
        <v>1</v>
      </c>
      <c r="L221">
        <f>VLOOKUP($C221,'[1]PoB WH'!$C$1:$T$898,17,FALSE)</f>
        <v>27</v>
      </c>
      <c r="M221">
        <f>VLOOKUP($C221,'[1]PoB WH'!$C$1:$T$898,18,FALSE)</f>
        <v>5</v>
      </c>
      <c r="N221">
        <f>VLOOKUP($C221,'[1]PoB AA'!$C$1:$T$898,17,FALSE)</f>
        <v>7</v>
      </c>
      <c r="O221">
        <f>VLOOKUP($C221,'[1]PoB AA'!$C$1:$T$898,18,FALSE)</f>
        <v>5</v>
      </c>
      <c r="P221">
        <f>VLOOKUP($C221,'[1]PoB AI'!$C$1:$T$898,17,FALSE)</f>
        <v>23</v>
      </c>
      <c r="Q221">
        <f>VLOOKUP($C221,'[1]PoB AI'!$C$1:$T$898,18,FALSE)</f>
        <v>0</v>
      </c>
      <c r="R221">
        <f>VLOOKUP($C221,'[1]PoB AS'!$C$1:$T$898,17,FALSE)</f>
        <v>0</v>
      </c>
      <c r="S221">
        <f>VLOOKUP($C221,'[1]PoB AS'!$C$1:$T$898,18,FALSE)</f>
        <v>0</v>
      </c>
      <c r="T221">
        <f>VLOOKUP($C221,'[1]PoB PI'!$C$1:$T$898,17,FALSE)</f>
        <v>0</v>
      </c>
      <c r="U221">
        <f>VLOOKUP($C221,'[1]PoB PI'!$C$1:$T$898,18,FALSE)</f>
        <v>0</v>
      </c>
      <c r="V221">
        <f>VLOOKUP($C221,'[1]PoB OT'!$C$1:$T$898,17,FALSE)</f>
        <v>4</v>
      </c>
      <c r="W221">
        <f>VLOOKUP($C221,'[1]PoB OT'!$C$1:$T$898,18,FALSE)</f>
        <v>14</v>
      </c>
      <c r="X221">
        <f>VLOOKUP($C221,'[1]PoB 2R'!$C$1:$T$898,17,FALSE)</f>
        <v>6</v>
      </c>
      <c r="Y221">
        <f>VLOOKUP($C221,'[1]PoB 2R'!$C$1:$T$898,18,FALSE)</f>
        <v>2</v>
      </c>
    </row>
    <row r="222" spans="1:25" x14ac:dyDescent="0.25">
      <c r="A222" t="s">
        <v>790</v>
      </c>
      <c r="B222">
        <v>5336395</v>
      </c>
      <c r="C222" t="s">
        <v>791</v>
      </c>
      <c r="D222">
        <f t="shared" si="9"/>
        <v>78</v>
      </c>
      <c r="E222">
        <f>VLOOKUP($C222,'[1]PoB Totals'!$C$3:$T$898,17,FALSE)</f>
        <v>77</v>
      </c>
      <c r="F222">
        <f>VLOOKUP($C222,'[1]PoB Totals'!$C$3:$T$898,18,FALSE)</f>
        <v>1</v>
      </c>
      <c r="G222">
        <f t="shared" si="10"/>
        <v>78</v>
      </c>
      <c r="H222">
        <f t="shared" si="11"/>
        <v>77</v>
      </c>
      <c r="I222">
        <f t="shared" si="11"/>
        <v>1</v>
      </c>
      <c r="J222">
        <f>VLOOKUP($C222,'[1]PoB WN'!$C$1:$T$898,17,FALSE)</f>
        <v>77</v>
      </c>
      <c r="K222">
        <f>VLOOKUP($C222,'[1]PoB WN'!$C$1:$T$898,18,FALSE)</f>
        <v>1</v>
      </c>
      <c r="L222">
        <f>VLOOKUP($C222,'[1]PoB WH'!$C$1:$T$898,17,FALSE)</f>
        <v>0</v>
      </c>
      <c r="M222">
        <f>VLOOKUP($C222,'[1]PoB WH'!$C$1:$T$898,18,FALSE)</f>
        <v>0</v>
      </c>
      <c r="N222">
        <f>VLOOKUP($C222,'[1]PoB AA'!$C$1:$T$898,17,FALSE)</f>
        <v>0</v>
      </c>
      <c r="O222">
        <f>VLOOKUP($C222,'[1]PoB AA'!$C$1:$T$898,18,FALSE)</f>
        <v>0</v>
      </c>
      <c r="P222">
        <f>VLOOKUP($C222,'[1]PoB AI'!$C$1:$T$898,17,FALSE)</f>
        <v>0</v>
      </c>
      <c r="Q222">
        <f>VLOOKUP($C222,'[1]PoB AI'!$C$1:$T$898,18,FALSE)</f>
        <v>0</v>
      </c>
      <c r="R222">
        <f>VLOOKUP($C222,'[1]PoB AS'!$C$1:$T$898,17,FALSE)</f>
        <v>0</v>
      </c>
      <c r="S222">
        <f>VLOOKUP($C222,'[1]PoB AS'!$C$1:$T$898,18,FALSE)</f>
        <v>0</v>
      </c>
      <c r="T222">
        <f>VLOOKUP($C222,'[1]PoB PI'!$C$1:$T$898,17,FALSE)</f>
        <v>0</v>
      </c>
      <c r="U222">
        <f>VLOOKUP($C222,'[1]PoB PI'!$C$1:$T$898,18,FALSE)</f>
        <v>0</v>
      </c>
      <c r="V222">
        <f>VLOOKUP($C222,'[1]PoB OT'!$C$1:$T$898,17,FALSE)</f>
        <v>0</v>
      </c>
      <c r="W222">
        <f>VLOOKUP($C222,'[1]PoB OT'!$C$1:$T$898,18,FALSE)</f>
        <v>0</v>
      </c>
      <c r="X222">
        <f>VLOOKUP($C222,'[1]PoB 2R'!$C$1:$T$898,17,FALSE)</f>
        <v>0</v>
      </c>
      <c r="Y222">
        <f>VLOOKUP($C222,'[1]PoB 2R'!$C$1:$T$898,18,FALSE)</f>
        <v>0</v>
      </c>
    </row>
    <row r="223" spans="1:25" x14ac:dyDescent="0.25">
      <c r="A223" t="s">
        <v>792</v>
      </c>
      <c r="B223">
        <v>5336710</v>
      </c>
      <c r="C223" t="s">
        <v>793</v>
      </c>
      <c r="D223">
        <f t="shared" si="9"/>
        <v>1639</v>
      </c>
      <c r="E223">
        <f>VLOOKUP($C223,'[1]PoB Totals'!$C$3:$T$898,17,FALSE)</f>
        <v>1529</v>
      </c>
      <c r="F223">
        <f>VLOOKUP($C223,'[1]PoB Totals'!$C$3:$T$898,18,FALSE)</f>
        <v>110</v>
      </c>
      <c r="G223">
        <f t="shared" si="10"/>
        <v>1639</v>
      </c>
      <c r="H223">
        <f t="shared" si="11"/>
        <v>1529</v>
      </c>
      <c r="I223">
        <f t="shared" si="11"/>
        <v>110</v>
      </c>
      <c r="J223">
        <f>VLOOKUP($C223,'[1]PoB WN'!$C$1:$T$898,17,FALSE)</f>
        <v>1412</v>
      </c>
      <c r="K223">
        <f>VLOOKUP($C223,'[1]PoB WN'!$C$1:$T$898,18,FALSE)</f>
        <v>58</v>
      </c>
      <c r="L223">
        <f>VLOOKUP($C223,'[1]PoB WH'!$C$1:$T$898,17,FALSE)</f>
        <v>29</v>
      </c>
      <c r="M223">
        <f>VLOOKUP($C223,'[1]PoB WH'!$C$1:$T$898,18,FALSE)</f>
        <v>6</v>
      </c>
      <c r="N223">
        <f>VLOOKUP($C223,'[1]PoB AA'!$C$1:$T$898,17,FALSE)</f>
        <v>7</v>
      </c>
      <c r="O223">
        <f>VLOOKUP($C223,'[1]PoB AA'!$C$1:$T$898,18,FALSE)</f>
        <v>0</v>
      </c>
      <c r="P223">
        <f>VLOOKUP($C223,'[1]PoB AI'!$C$1:$T$898,17,FALSE)</f>
        <v>14</v>
      </c>
      <c r="Q223">
        <f>VLOOKUP($C223,'[1]PoB AI'!$C$1:$T$898,18,FALSE)</f>
        <v>0</v>
      </c>
      <c r="R223">
        <f>VLOOKUP($C223,'[1]PoB AS'!$C$1:$T$898,17,FALSE)</f>
        <v>8</v>
      </c>
      <c r="S223">
        <f>VLOOKUP($C223,'[1]PoB AS'!$C$1:$T$898,18,FALSE)</f>
        <v>15</v>
      </c>
      <c r="T223">
        <f>VLOOKUP($C223,'[1]PoB PI'!$C$1:$T$898,17,FALSE)</f>
        <v>0</v>
      </c>
      <c r="U223">
        <f>VLOOKUP($C223,'[1]PoB PI'!$C$1:$T$898,18,FALSE)</f>
        <v>0</v>
      </c>
      <c r="V223">
        <f>VLOOKUP($C223,'[1]PoB OT'!$C$1:$T$898,17,FALSE)</f>
        <v>12</v>
      </c>
      <c r="W223">
        <f>VLOOKUP($C223,'[1]PoB OT'!$C$1:$T$898,18,FALSE)</f>
        <v>18</v>
      </c>
      <c r="X223">
        <f>VLOOKUP($C223,'[1]PoB 2R'!$C$1:$T$898,17,FALSE)</f>
        <v>47</v>
      </c>
      <c r="Y223">
        <f>VLOOKUP($C223,'[1]PoB 2R'!$C$1:$T$898,18,FALSE)</f>
        <v>13</v>
      </c>
    </row>
    <row r="224" spans="1:25" x14ac:dyDescent="0.25">
      <c r="A224" t="s">
        <v>794</v>
      </c>
      <c r="B224">
        <v>5336745</v>
      </c>
      <c r="C224" t="s">
        <v>795</v>
      </c>
      <c r="D224">
        <f t="shared" si="9"/>
        <v>31107</v>
      </c>
      <c r="E224">
        <f>VLOOKUP($C224,'[1]PoB Totals'!$C$3:$T$898,17,FALSE)</f>
        <v>27157</v>
      </c>
      <c r="F224">
        <f>VLOOKUP($C224,'[1]PoB Totals'!$C$3:$T$898,18,FALSE)</f>
        <v>3950</v>
      </c>
      <c r="G224">
        <f t="shared" si="10"/>
        <v>31107</v>
      </c>
      <c r="H224">
        <f t="shared" si="11"/>
        <v>27157</v>
      </c>
      <c r="I224">
        <f t="shared" si="11"/>
        <v>3950</v>
      </c>
      <c r="J224">
        <f>VLOOKUP($C224,'[1]PoB WN'!$C$1:$T$898,17,FALSE)</f>
        <v>22443</v>
      </c>
      <c r="K224">
        <f>VLOOKUP($C224,'[1]PoB WN'!$C$1:$T$898,18,FALSE)</f>
        <v>1199</v>
      </c>
      <c r="L224">
        <f>VLOOKUP($C224,'[1]PoB WH'!$C$1:$T$898,17,FALSE)</f>
        <v>551</v>
      </c>
      <c r="M224">
        <f>VLOOKUP($C224,'[1]PoB WH'!$C$1:$T$898,18,FALSE)</f>
        <v>242</v>
      </c>
      <c r="N224">
        <f>VLOOKUP($C224,'[1]PoB AA'!$C$1:$T$898,17,FALSE)</f>
        <v>1196</v>
      </c>
      <c r="O224">
        <f>VLOOKUP($C224,'[1]PoB AA'!$C$1:$T$898,18,FALSE)</f>
        <v>101</v>
      </c>
      <c r="P224">
        <f>VLOOKUP($C224,'[1]PoB AI'!$C$1:$T$898,17,FALSE)</f>
        <v>496</v>
      </c>
      <c r="Q224">
        <f>VLOOKUP($C224,'[1]PoB AI'!$C$1:$T$898,18,FALSE)</f>
        <v>14</v>
      </c>
      <c r="R224">
        <f>VLOOKUP($C224,'[1]PoB AS'!$C$1:$T$898,17,FALSE)</f>
        <v>714</v>
      </c>
      <c r="S224">
        <f>VLOOKUP($C224,'[1]PoB AS'!$C$1:$T$898,18,FALSE)</f>
        <v>1803</v>
      </c>
      <c r="T224">
        <f>VLOOKUP($C224,'[1]PoB PI'!$C$1:$T$898,17,FALSE)</f>
        <v>201</v>
      </c>
      <c r="U224">
        <f>VLOOKUP($C224,'[1]PoB PI'!$C$1:$T$898,18,FALSE)</f>
        <v>148</v>
      </c>
      <c r="V224">
        <f>VLOOKUP($C224,'[1]PoB OT'!$C$1:$T$898,17,FALSE)</f>
        <v>414</v>
      </c>
      <c r="W224">
        <f>VLOOKUP($C224,'[1]PoB OT'!$C$1:$T$898,18,FALSE)</f>
        <v>253</v>
      </c>
      <c r="X224">
        <f>VLOOKUP($C224,'[1]PoB 2R'!$C$1:$T$898,17,FALSE)</f>
        <v>1142</v>
      </c>
      <c r="Y224">
        <f>VLOOKUP($C224,'[1]PoB 2R'!$C$1:$T$898,18,FALSE)</f>
        <v>190</v>
      </c>
    </row>
    <row r="225" spans="1:25" x14ac:dyDescent="0.25">
      <c r="A225" t="s">
        <v>796</v>
      </c>
      <c r="B225">
        <v>5336780</v>
      </c>
      <c r="C225" t="s">
        <v>797</v>
      </c>
      <c r="D225">
        <f t="shared" si="9"/>
        <v>782</v>
      </c>
      <c r="E225">
        <f>VLOOKUP($C225,'[1]PoB Totals'!$C$3:$T$898,17,FALSE)</f>
        <v>726</v>
      </c>
      <c r="F225">
        <f>VLOOKUP($C225,'[1]PoB Totals'!$C$3:$T$898,18,FALSE)</f>
        <v>56</v>
      </c>
      <c r="G225">
        <f t="shared" si="10"/>
        <v>782</v>
      </c>
      <c r="H225">
        <f t="shared" si="11"/>
        <v>726</v>
      </c>
      <c r="I225">
        <f t="shared" si="11"/>
        <v>56</v>
      </c>
      <c r="J225">
        <f>VLOOKUP($C225,'[1]PoB WN'!$C$1:$T$898,17,FALSE)</f>
        <v>641</v>
      </c>
      <c r="K225">
        <f>VLOOKUP($C225,'[1]PoB WN'!$C$1:$T$898,18,FALSE)</f>
        <v>47</v>
      </c>
      <c r="L225">
        <f>VLOOKUP($C225,'[1]PoB WH'!$C$1:$T$898,17,FALSE)</f>
        <v>12</v>
      </c>
      <c r="M225">
        <f>VLOOKUP($C225,'[1]PoB WH'!$C$1:$T$898,18,FALSE)</f>
        <v>0</v>
      </c>
      <c r="N225">
        <f>VLOOKUP($C225,'[1]PoB AA'!$C$1:$T$898,17,FALSE)</f>
        <v>25</v>
      </c>
      <c r="O225">
        <f>VLOOKUP($C225,'[1]PoB AA'!$C$1:$T$898,18,FALSE)</f>
        <v>0</v>
      </c>
      <c r="P225">
        <f>VLOOKUP($C225,'[1]PoB AI'!$C$1:$T$898,17,FALSE)</f>
        <v>12</v>
      </c>
      <c r="Q225">
        <f>VLOOKUP($C225,'[1]PoB AI'!$C$1:$T$898,18,FALSE)</f>
        <v>3</v>
      </c>
      <c r="R225">
        <f>VLOOKUP($C225,'[1]PoB AS'!$C$1:$T$898,17,FALSE)</f>
        <v>0</v>
      </c>
      <c r="S225">
        <f>VLOOKUP($C225,'[1]PoB AS'!$C$1:$T$898,18,FALSE)</f>
        <v>2</v>
      </c>
      <c r="T225">
        <f>VLOOKUP($C225,'[1]PoB PI'!$C$1:$T$898,17,FALSE)</f>
        <v>0</v>
      </c>
      <c r="U225">
        <f>VLOOKUP($C225,'[1]PoB PI'!$C$1:$T$898,18,FALSE)</f>
        <v>0</v>
      </c>
      <c r="V225">
        <f>VLOOKUP($C225,'[1]PoB OT'!$C$1:$T$898,17,FALSE)</f>
        <v>1</v>
      </c>
      <c r="W225">
        <f>VLOOKUP($C225,'[1]PoB OT'!$C$1:$T$898,18,FALSE)</f>
        <v>2</v>
      </c>
      <c r="X225">
        <f>VLOOKUP($C225,'[1]PoB 2R'!$C$1:$T$898,17,FALSE)</f>
        <v>35</v>
      </c>
      <c r="Y225">
        <f>VLOOKUP($C225,'[1]PoB 2R'!$C$1:$T$898,18,FALSE)</f>
        <v>2</v>
      </c>
    </row>
    <row r="226" spans="1:25" x14ac:dyDescent="0.25">
      <c r="A226" t="s">
        <v>798</v>
      </c>
      <c r="B226">
        <v>5336850</v>
      </c>
      <c r="C226" t="s">
        <v>1546</v>
      </c>
      <c r="D226">
        <f t="shared" si="9"/>
        <v>370</v>
      </c>
      <c r="E226">
        <f>VLOOKUP($C226,'[1]PoB Totals'!$C$3:$T$898,17,FALSE)</f>
        <v>363</v>
      </c>
      <c r="F226">
        <f>VLOOKUP($C226,'[1]PoB Totals'!$C$3:$T$898,18,FALSE)</f>
        <v>7</v>
      </c>
      <c r="G226">
        <f t="shared" si="10"/>
        <v>370</v>
      </c>
      <c r="H226">
        <f t="shared" si="11"/>
        <v>363</v>
      </c>
      <c r="I226">
        <f t="shared" si="11"/>
        <v>7</v>
      </c>
      <c r="J226">
        <f>VLOOKUP($C226,'[1]PoB WN'!$C$1:$T$898,17,FALSE)</f>
        <v>345</v>
      </c>
      <c r="K226">
        <f>VLOOKUP($C226,'[1]PoB WN'!$C$1:$T$898,18,FALSE)</f>
        <v>5</v>
      </c>
      <c r="L226">
        <f>VLOOKUP($C226,'[1]PoB WH'!$C$1:$T$898,17,FALSE)</f>
        <v>0</v>
      </c>
      <c r="M226">
        <f>VLOOKUP($C226,'[1]PoB WH'!$C$1:$T$898,18,FALSE)</f>
        <v>0</v>
      </c>
      <c r="N226">
        <f>VLOOKUP($C226,'[1]PoB AA'!$C$1:$T$898,17,FALSE)</f>
        <v>0</v>
      </c>
      <c r="O226">
        <f>VLOOKUP($C226,'[1]PoB AA'!$C$1:$T$898,18,FALSE)</f>
        <v>0</v>
      </c>
      <c r="P226">
        <f>VLOOKUP($C226,'[1]PoB AI'!$C$1:$T$898,17,FALSE)</f>
        <v>14</v>
      </c>
      <c r="Q226">
        <f>VLOOKUP($C226,'[1]PoB AI'!$C$1:$T$898,18,FALSE)</f>
        <v>0</v>
      </c>
      <c r="R226">
        <f>VLOOKUP($C226,'[1]PoB AS'!$C$1:$T$898,17,FALSE)</f>
        <v>0</v>
      </c>
      <c r="S226">
        <f>VLOOKUP($C226,'[1]PoB AS'!$C$1:$T$898,18,FALSE)</f>
        <v>0</v>
      </c>
      <c r="T226">
        <f>VLOOKUP($C226,'[1]PoB PI'!$C$1:$T$898,17,FALSE)</f>
        <v>0</v>
      </c>
      <c r="U226">
        <f>VLOOKUP($C226,'[1]PoB PI'!$C$1:$T$898,18,FALSE)</f>
        <v>0</v>
      </c>
      <c r="V226">
        <f>VLOOKUP($C226,'[1]PoB OT'!$C$1:$T$898,17,FALSE)</f>
        <v>0</v>
      </c>
      <c r="W226">
        <f>VLOOKUP($C226,'[1]PoB OT'!$C$1:$T$898,18,FALSE)</f>
        <v>2</v>
      </c>
      <c r="X226">
        <f>VLOOKUP($C226,'[1]PoB 2R'!$C$1:$T$898,17,FALSE)</f>
        <v>4</v>
      </c>
      <c r="Y226">
        <f>VLOOKUP($C226,'[1]PoB 2R'!$C$1:$T$898,18,FALSE)</f>
        <v>0</v>
      </c>
    </row>
    <row r="227" spans="1:25" x14ac:dyDescent="0.25">
      <c r="A227" t="s">
        <v>802</v>
      </c>
      <c r="B227">
        <v>5337077</v>
      </c>
      <c r="C227" t="s">
        <v>803</v>
      </c>
      <c r="D227">
        <f t="shared" si="9"/>
        <v>162</v>
      </c>
      <c r="E227">
        <f>VLOOKUP($C227,'[1]PoB Totals'!$C$3:$T$898,17,FALSE)</f>
        <v>162</v>
      </c>
      <c r="F227">
        <f>VLOOKUP($C227,'[1]PoB Totals'!$C$3:$T$898,18,FALSE)</f>
        <v>0</v>
      </c>
      <c r="G227">
        <f t="shared" si="10"/>
        <v>162</v>
      </c>
      <c r="H227">
        <f t="shared" si="11"/>
        <v>162</v>
      </c>
      <c r="I227">
        <f t="shared" si="11"/>
        <v>0</v>
      </c>
      <c r="J227">
        <f>VLOOKUP($C227,'[1]PoB WN'!$C$1:$T$898,17,FALSE)</f>
        <v>157</v>
      </c>
      <c r="K227">
        <f>VLOOKUP($C227,'[1]PoB WN'!$C$1:$T$898,18,FALSE)</f>
        <v>0</v>
      </c>
      <c r="L227">
        <f>VLOOKUP($C227,'[1]PoB WH'!$C$1:$T$898,17,FALSE)</f>
        <v>0</v>
      </c>
      <c r="M227">
        <f>VLOOKUP($C227,'[1]PoB WH'!$C$1:$T$898,18,FALSE)</f>
        <v>0</v>
      </c>
      <c r="N227">
        <f>VLOOKUP($C227,'[1]PoB AA'!$C$1:$T$898,17,FALSE)</f>
        <v>5</v>
      </c>
      <c r="O227">
        <f>VLOOKUP($C227,'[1]PoB AA'!$C$1:$T$898,18,FALSE)</f>
        <v>0</v>
      </c>
      <c r="P227">
        <f>VLOOKUP($C227,'[1]PoB AI'!$C$1:$T$898,17,FALSE)</f>
        <v>0</v>
      </c>
      <c r="Q227">
        <f>VLOOKUP($C227,'[1]PoB AI'!$C$1:$T$898,18,FALSE)</f>
        <v>0</v>
      </c>
      <c r="R227">
        <f>VLOOKUP($C227,'[1]PoB AS'!$C$1:$T$898,17,FALSE)</f>
        <v>0</v>
      </c>
      <c r="S227">
        <f>VLOOKUP($C227,'[1]PoB AS'!$C$1:$T$898,18,FALSE)</f>
        <v>0</v>
      </c>
      <c r="T227">
        <f>VLOOKUP($C227,'[1]PoB PI'!$C$1:$T$898,17,FALSE)</f>
        <v>0</v>
      </c>
      <c r="U227">
        <f>VLOOKUP($C227,'[1]PoB PI'!$C$1:$T$898,18,FALSE)</f>
        <v>0</v>
      </c>
      <c r="V227">
        <f>VLOOKUP($C227,'[1]PoB OT'!$C$1:$T$898,17,FALSE)</f>
        <v>0</v>
      </c>
      <c r="W227">
        <f>VLOOKUP($C227,'[1]PoB OT'!$C$1:$T$898,18,FALSE)</f>
        <v>0</v>
      </c>
      <c r="X227">
        <f>VLOOKUP($C227,'[1]PoB 2R'!$C$1:$T$898,17,FALSE)</f>
        <v>0</v>
      </c>
      <c r="Y227">
        <f>VLOOKUP($C227,'[1]PoB 2R'!$C$1:$T$898,18,FALSE)</f>
        <v>0</v>
      </c>
    </row>
    <row r="228" spans="1:25" x14ac:dyDescent="0.25">
      <c r="A228" t="s">
        <v>806</v>
      </c>
      <c r="B228">
        <v>5337105</v>
      </c>
      <c r="C228" t="s">
        <v>807</v>
      </c>
      <c r="D228">
        <f t="shared" si="9"/>
        <v>97</v>
      </c>
      <c r="E228">
        <f>VLOOKUP($C228,'[1]PoB Totals'!$C$3:$T$898,17,FALSE)</f>
        <v>97</v>
      </c>
      <c r="F228">
        <f>VLOOKUP($C228,'[1]PoB Totals'!$C$3:$T$898,18,FALSE)</f>
        <v>0</v>
      </c>
      <c r="G228">
        <f t="shared" si="10"/>
        <v>97</v>
      </c>
      <c r="H228">
        <f t="shared" si="11"/>
        <v>97</v>
      </c>
      <c r="I228">
        <f t="shared" si="11"/>
        <v>0</v>
      </c>
      <c r="J228">
        <f>VLOOKUP($C228,'[1]PoB WN'!$C$1:$T$898,17,FALSE)</f>
        <v>97</v>
      </c>
      <c r="K228">
        <f>VLOOKUP($C228,'[1]PoB WN'!$C$1:$T$898,18,FALSE)</f>
        <v>0</v>
      </c>
      <c r="L228">
        <f>VLOOKUP($C228,'[1]PoB WH'!$C$1:$T$898,17,FALSE)</f>
        <v>0</v>
      </c>
      <c r="M228">
        <f>VLOOKUP($C228,'[1]PoB WH'!$C$1:$T$898,18,FALSE)</f>
        <v>0</v>
      </c>
      <c r="N228">
        <f>VLOOKUP($C228,'[1]PoB AA'!$C$1:$T$898,17,FALSE)</f>
        <v>0</v>
      </c>
      <c r="O228">
        <f>VLOOKUP($C228,'[1]PoB AA'!$C$1:$T$898,18,FALSE)</f>
        <v>0</v>
      </c>
      <c r="P228">
        <f>VLOOKUP($C228,'[1]PoB AI'!$C$1:$T$898,17,FALSE)</f>
        <v>0</v>
      </c>
      <c r="Q228">
        <f>VLOOKUP($C228,'[1]PoB AI'!$C$1:$T$898,18,FALSE)</f>
        <v>0</v>
      </c>
      <c r="R228">
        <f>VLOOKUP($C228,'[1]PoB AS'!$C$1:$T$898,17,FALSE)</f>
        <v>0</v>
      </c>
      <c r="S228">
        <f>VLOOKUP($C228,'[1]PoB AS'!$C$1:$T$898,18,FALSE)</f>
        <v>0</v>
      </c>
      <c r="T228">
        <f>VLOOKUP($C228,'[1]PoB PI'!$C$1:$T$898,17,FALSE)</f>
        <v>0</v>
      </c>
      <c r="U228">
        <f>VLOOKUP($C228,'[1]PoB PI'!$C$1:$T$898,18,FALSE)</f>
        <v>0</v>
      </c>
      <c r="V228">
        <f>VLOOKUP($C228,'[1]PoB OT'!$C$1:$T$898,17,FALSE)</f>
        <v>0</v>
      </c>
      <c r="W228">
        <f>VLOOKUP($C228,'[1]PoB OT'!$C$1:$T$898,18,FALSE)</f>
        <v>0</v>
      </c>
      <c r="X228">
        <f>VLOOKUP($C228,'[1]PoB 2R'!$C$1:$T$898,17,FALSE)</f>
        <v>0</v>
      </c>
      <c r="Y228">
        <f>VLOOKUP($C228,'[1]PoB 2R'!$C$1:$T$898,18,FALSE)</f>
        <v>0</v>
      </c>
    </row>
    <row r="229" spans="1:25" x14ac:dyDescent="0.25">
      <c r="A229" t="s">
        <v>808</v>
      </c>
      <c r="B229">
        <v>5337270</v>
      </c>
      <c r="C229" t="s">
        <v>809</v>
      </c>
      <c r="D229">
        <f t="shared" si="9"/>
        <v>13443</v>
      </c>
      <c r="E229">
        <f>VLOOKUP($C229,'[1]PoB Totals'!$C$3:$T$898,17,FALSE)</f>
        <v>11593</v>
      </c>
      <c r="F229">
        <f>VLOOKUP($C229,'[1]PoB Totals'!$C$3:$T$898,18,FALSE)</f>
        <v>1850</v>
      </c>
      <c r="G229">
        <f t="shared" si="10"/>
        <v>13443</v>
      </c>
      <c r="H229">
        <f t="shared" si="11"/>
        <v>11593</v>
      </c>
      <c r="I229">
        <f t="shared" si="11"/>
        <v>1850</v>
      </c>
      <c r="J229">
        <f>VLOOKUP($C229,'[1]PoB WN'!$C$1:$T$898,17,FALSE)</f>
        <v>10447</v>
      </c>
      <c r="K229">
        <f>VLOOKUP($C229,'[1]PoB WN'!$C$1:$T$898,18,FALSE)</f>
        <v>773</v>
      </c>
      <c r="L229">
        <f>VLOOKUP($C229,'[1]PoB WH'!$C$1:$T$898,17,FALSE)</f>
        <v>32</v>
      </c>
      <c r="M229">
        <f>VLOOKUP($C229,'[1]PoB WH'!$C$1:$T$898,18,FALSE)</f>
        <v>0</v>
      </c>
      <c r="N229">
        <f>VLOOKUP($C229,'[1]PoB AA'!$C$1:$T$898,17,FALSE)</f>
        <v>133</v>
      </c>
      <c r="O229">
        <f>VLOOKUP($C229,'[1]PoB AA'!$C$1:$T$898,18,FALSE)</f>
        <v>67</v>
      </c>
      <c r="P229">
        <f>VLOOKUP($C229,'[1]PoB AI'!$C$1:$T$898,17,FALSE)</f>
        <v>52</v>
      </c>
      <c r="Q229">
        <f>VLOOKUP($C229,'[1]PoB AI'!$C$1:$T$898,18,FALSE)</f>
        <v>3</v>
      </c>
      <c r="R229">
        <f>VLOOKUP($C229,'[1]PoB AS'!$C$1:$T$898,17,FALSE)</f>
        <v>343</v>
      </c>
      <c r="S229">
        <f>VLOOKUP($C229,'[1]PoB AS'!$C$1:$T$898,18,FALSE)</f>
        <v>814</v>
      </c>
      <c r="T229">
        <f>VLOOKUP($C229,'[1]PoB PI'!$C$1:$T$898,17,FALSE)</f>
        <v>42</v>
      </c>
      <c r="U229">
        <f>VLOOKUP($C229,'[1]PoB PI'!$C$1:$T$898,18,FALSE)</f>
        <v>26</v>
      </c>
      <c r="V229">
        <f>VLOOKUP($C229,'[1]PoB OT'!$C$1:$T$898,17,FALSE)</f>
        <v>118</v>
      </c>
      <c r="W229">
        <f>VLOOKUP($C229,'[1]PoB OT'!$C$1:$T$898,18,FALSE)</f>
        <v>77</v>
      </c>
      <c r="X229">
        <f>VLOOKUP($C229,'[1]PoB 2R'!$C$1:$T$898,17,FALSE)</f>
        <v>426</v>
      </c>
      <c r="Y229">
        <f>VLOOKUP($C229,'[1]PoB 2R'!$C$1:$T$898,18,FALSE)</f>
        <v>90</v>
      </c>
    </row>
    <row r="230" spans="1:25" x14ac:dyDescent="0.25">
      <c r="A230" t="s">
        <v>810</v>
      </c>
      <c r="B230">
        <v>5337287</v>
      </c>
      <c r="C230" t="s">
        <v>811</v>
      </c>
      <c r="D230">
        <f t="shared" si="9"/>
        <v>3175</v>
      </c>
      <c r="E230">
        <f>VLOOKUP($C230,'[1]PoB Totals'!$C$3:$T$898,17,FALSE)</f>
        <v>3010</v>
      </c>
      <c r="F230">
        <f>VLOOKUP($C230,'[1]PoB Totals'!$C$3:$T$898,18,FALSE)</f>
        <v>165</v>
      </c>
      <c r="G230">
        <f t="shared" si="10"/>
        <v>3175</v>
      </c>
      <c r="H230">
        <f t="shared" si="11"/>
        <v>3010</v>
      </c>
      <c r="I230">
        <f t="shared" si="11"/>
        <v>165</v>
      </c>
      <c r="J230">
        <f>VLOOKUP($C230,'[1]PoB WN'!$C$1:$T$898,17,FALSE)</f>
        <v>2885</v>
      </c>
      <c r="K230">
        <f>VLOOKUP($C230,'[1]PoB WN'!$C$1:$T$898,18,FALSE)</f>
        <v>114</v>
      </c>
      <c r="L230">
        <f>VLOOKUP($C230,'[1]PoB WH'!$C$1:$T$898,17,FALSE)</f>
        <v>14</v>
      </c>
      <c r="M230">
        <f>VLOOKUP($C230,'[1]PoB WH'!$C$1:$T$898,18,FALSE)</f>
        <v>7</v>
      </c>
      <c r="N230">
        <f>VLOOKUP($C230,'[1]PoB AA'!$C$1:$T$898,17,FALSE)</f>
        <v>0</v>
      </c>
      <c r="O230">
        <f>VLOOKUP($C230,'[1]PoB AA'!$C$1:$T$898,18,FALSE)</f>
        <v>0</v>
      </c>
      <c r="P230">
        <f>VLOOKUP($C230,'[1]PoB AI'!$C$1:$T$898,17,FALSE)</f>
        <v>14</v>
      </c>
      <c r="Q230">
        <f>VLOOKUP($C230,'[1]PoB AI'!$C$1:$T$898,18,FALSE)</f>
        <v>0</v>
      </c>
      <c r="R230">
        <f>VLOOKUP($C230,'[1]PoB AS'!$C$1:$T$898,17,FALSE)</f>
        <v>0</v>
      </c>
      <c r="S230">
        <f>VLOOKUP($C230,'[1]PoB AS'!$C$1:$T$898,18,FALSE)</f>
        <v>9</v>
      </c>
      <c r="T230">
        <f>VLOOKUP($C230,'[1]PoB PI'!$C$1:$T$898,17,FALSE)</f>
        <v>4</v>
      </c>
      <c r="U230">
        <f>VLOOKUP($C230,'[1]PoB PI'!$C$1:$T$898,18,FALSE)</f>
        <v>0</v>
      </c>
      <c r="V230">
        <f>VLOOKUP($C230,'[1]PoB OT'!$C$1:$T$898,17,FALSE)</f>
        <v>36</v>
      </c>
      <c r="W230">
        <f>VLOOKUP($C230,'[1]PoB OT'!$C$1:$T$898,18,FALSE)</f>
        <v>23</v>
      </c>
      <c r="X230">
        <f>VLOOKUP($C230,'[1]PoB 2R'!$C$1:$T$898,17,FALSE)</f>
        <v>57</v>
      </c>
      <c r="Y230">
        <f>VLOOKUP($C230,'[1]PoB 2R'!$C$1:$T$898,18,FALSE)</f>
        <v>12</v>
      </c>
    </row>
    <row r="231" spans="1:25" x14ac:dyDescent="0.25">
      <c r="A231" t="s">
        <v>814</v>
      </c>
      <c r="B231">
        <v>5337415</v>
      </c>
      <c r="C231" t="s">
        <v>815</v>
      </c>
      <c r="D231">
        <f t="shared" si="9"/>
        <v>1183</v>
      </c>
      <c r="E231">
        <f>VLOOKUP($C231,'[1]PoB Totals'!$C$3:$T$898,17,FALSE)</f>
        <v>1138</v>
      </c>
      <c r="F231">
        <f>VLOOKUP($C231,'[1]PoB Totals'!$C$3:$T$898,18,FALSE)</f>
        <v>45</v>
      </c>
      <c r="G231">
        <f t="shared" si="10"/>
        <v>1183</v>
      </c>
      <c r="H231">
        <f t="shared" si="11"/>
        <v>1138</v>
      </c>
      <c r="I231">
        <f t="shared" si="11"/>
        <v>45</v>
      </c>
      <c r="J231">
        <f>VLOOKUP($C231,'[1]PoB WN'!$C$1:$T$898,17,FALSE)</f>
        <v>1138</v>
      </c>
      <c r="K231">
        <f>VLOOKUP($C231,'[1]PoB WN'!$C$1:$T$898,18,FALSE)</f>
        <v>45</v>
      </c>
      <c r="L231">
        <f>VLOOKUP($C231,'[1]PoB WH'!$C$1:$T$898,17,FALSE)</f>
        <v>0</v>
      </c>
      <c r="M231">
        <f>VLOOKUP($C231,'[1]PoB WH'!$C$1:$T$898,18,FALSE)</f>
        <v>0</v>
      </c>
      <c r="N231">
        <f>VLOOKUP($C231,'[1]PoB AA'!$C$1:$T$898,17,FALSE)</f>
        <v>0</v>
      </c>
      <c r="O231">
        <f>VLOOKUP($C231,'[1]PoB AA'!$C$1:$T$898,18,FALSE)</f>
        <v>0</v>
      </c>
      <c r="P231">
        <f>VLOOKUP($C231,'[1]PoB AI'!$C$1:$T$898,17,FALSE)</f>
        <v>0</v>
      </c>
      <c r="Q231">
        <f>VLOOKUP($C231,'[1]PoB AI'!$C$1:$T$898,18,FALSE)</f>
        <v>0</v>
      </c>
      <c r="R231">
        <f>VLOOKUP($C231,'[1]PoB AS'!$C$1:$T$898,17,FALSE)</f>
        <v>0</v>
      </c>
      <c r="S231">
        <f>VLOOKUP($C231,'[1]PoB AS'!$C$1:$T$898,18,FALSE)</f>
        <v>0</v>
      </c>
      <c r="T231">
        <f>VLOOKUP($C231,'[1]PoB PI'!$C$1:$T$898,17,FALSE)</f>
        <v>0</v>
      </c>
      <c r="U231">
        <f>VLOOKUP($C231,'[1]PoB PI'!$C$1:$T$898,18,FALSE)</f>
        <v>0</v>
      </c>
      <c r="V231">
        <f>VLOOKUP($C231,'[1]PoB OT'!$C$1:$T$898,17,FALSE)</f>
        <v>0</v>
      </c>
      <c r="W231">
        <f>VLOOKUP($C231,'[1]PoB OT'!$C$1:$T$898,18,FALSE)</f>
        <v>0</v>
      </c>
      <c r="X231">
        <f>VLOOKUP($C231,'[1]PoB 2R'!$C$1:$T$898,17,FALSE)</f>
        <v>0</v>
      </c>
      <c r="Y231">
        <f>VLOOKUP($C231,'[1]PoB 2R'!$C$1:$T$898,18,FALSE)</f>
        <v>0</v>
      </c>
    </row>
    <row r="232" spans="1:25" x14ac:dyDescent="0.25">
      <c r="A232" t="s">
        <v>816</v>
      </c>
      <c r="B232">
        <v>5337420</v>
      </c>
      <c r="C232" t="s">
        <v>817</v>
      </c>
      <c r="D232">
        <f t="shared" si="9"/>
        <v>15146</v>
      </c>
      <c r="E232">
        <f>VLOOKUP($C232,'[1]PoB Totals'!$C$3:$T$898,17,FALSE)</f>
        <v>13195</v>
      </c>
      <c r="F232">
        <f>VLOOKUP($C232,'[1]PoB Totals'!$C$3:$T$898,18,FALSE)</f>
        <v>1951</v>
      </c>
      <c r="G232">
        <f t="shared" si="10"/>
        <v>15146</v>
      </c>
      <c r="H232">
        <f t="shared" si="11"/>
        <v>13195</v>
      </c>
      <c r="I232">
        <f t="shared" si="11"/>
        <v>1951</v>
      </c>
      <c r="J232">
        <f>VLOOKUP($C232,'[1]PoB WN'!$C$1:$T$898,17,FALSE)</f>
        <v>11171</v>
      </c>
      <c r="K232">
        <f>VLOOKUP($C232,'[1]PoB WN'!$C$1:$T$898,18,FALSE)</f>
        <v>1023</v>
      </c>
      <c r="L232">
        <f>VLOOKUP($C232,'[1]PoB WH'!$C$1:$T$898,17,FALSE)</f>
        <v>245</v>
      </c>
      <c r="M232">
        <f>VLOOKUP($C232,'[1]PoB WH'!$C$1:$T$898,18,FALSE)</f>
        <v>44</v>
      </c>
      <c r="N232">
        <f>VLOOKUP($C232,'[1]PoB AA'!$C$1:$T$898,17,FALSE)</f>
        <v>560</v>
      </c>
      <c r="O232">
        <f>VLOOKUP($C232,'[1]PoB AA'!$C$1:$T$898,18,FALSE)</f>
        <v>35</v>
      </c>
      <c r="P232">
        <f>VLOOKUP($C232,'[1]PoB AI'!$C$1:$T$898,17,FALSE)</f>
        <v>136</v>
      </c>
      <c r="Q232">
        <f>VLOOKUP($C232,'[1]PoB AI'!$C$1:$T$898,18,FALSE)</f>
        <v>0</v>
      </c>
      <c r="R232">
        <f>VLOOKUP($C232,'[1]PoB AS'!$C$1:$T$898,17,FALSE)</f>
        <v>318</v>
      </c>
      <c r="S232">
        <f>VLOOKUP($C232,'[1]PoB AS'!$C$1:$T$898,18,FALSE)</f>
        <v>623</v>
      </c>
      <c r="T232">
        <f>VLOOKUP($C232,'[1]PoB PI'!$C$1:$T$898,17,FALSE)</f>
        <v>72</v>
      </c>
      <c r="U232">
        <f>VLOOKUP($C232,'[1]PoB PI'!$C$1:$T$898,18,FALSE)</f>
        <v>37</v>
      </c>
      <c r="V232">
        <f>VLOOKUP($C232,'[1]PoB OT'!$C$1:$T$898,17,FALSE)</f>
        <v>162</v>
      </c>
      <c r="W232">
        <f>VLOOKUP($C232,'[1]PoB OT'!$C$1:$T$898,18,FALSE)</f>
        <v>80</v>
      </c>
      <c r="X232">
        <f>VLOOKUP($C232,'[1]PoB 2R'!$C$1:$T$898,17,FALSE)</f>
        <v>531</v>
      </c>
      <c r="Y232">
        <f>VLOOKUP($C232,'[1]PoB 2R'!$C$1:$T$898,18,FALSE)</f>
        <v>109</v>
      </c>
    </row>
    <row r="233" spans="1:25" x14ac:dyDescent="0.25">
      <c r="A233" t="s">
        <v>818</v>
      </c>
      <c r="B233">
        <v>5337430</v>
      </c>
      <c r="C233" t="s">
        <v>819</v>
      </c>
      <c r="D233">
        <f t="shared" si="9"/>
        <v>11499</v>
      </c>
      <c r="E233">
        <f>VLOOKUP($C233,'[1]PoB Totals'!$C$3:$T$898,17,FALSE)</f>
        <v>10459</v>
      </c>
      <c r="F233">
        <f>VLOOKUP($C233,'[1]PoB Totals'!$C$3:$T$898,18,FALSE)</f>
        <v>1040</v>
      </c>
      <c r="G233">
        <f t="shared" si="10"/>
        <v>11499</v>
      </c>
      <c r="H233">
        <f t="shared" si="11"/>
        <v>10459</v>
      </c>
      <c r="I233">
        <f t="shared" si="11"/>
        <v>1040</v>
      </c>
      <c r="J233">
        <f>VLOOKUP($C233,'[1]PoB WN'!$C$1:$T$898,17,FALSE)</f>
        <v>9055</v>
      </c>
      <c r="K233">
        <f>VLOOKUP($C233,'[1]PoB WN'!$C$1:$T$898,18,FALSE)</f>
        <v>451</v>
      </c>
      <c r="L233">
        <f>VLOOKUP($C233,'[1]PoB WH'!$C$1:$T$898,17,FALSE)</f>
        <v>175</v>
      </c>
      <c r="M233">
        <f>VLOOKUP($C233,'[1]PoB WH'!$C$1:$T$898,18,FALSE)</f>
        <v>0</v>
      </c>
      <c r="N233">
        <f>VLOOKUP($C233,'[1]PoB AA'!$C$1:$T$898,17,FALSE)</f>
        <v>413</v>
      </c>
      <c r="O233">
        <f>VLOOKUP($C233,'[1]PoB AA'!$C$1:$T$898,18,FALSE)</f>
        <v>22</v>
      </c>
      <c r="P233">
        <f>VLOOKUP($C233,'[1]PoB AI'!$C$1:$T$898,17,FALSE)</f>
        <v>76</v>
      </c>
      <c r="Q233">
        <f>VLOOKUP($C233,'[1]PoB AI'!$C$1:$T$898,18,FALSE)</f>
        <v>43</v>
      </c>
      <c r="R233">
        <f>VLOOKUP($C233,'[1]PoB AS'!$C$1:$T$898,17,FALSE)</f>
        <v>252</v>
      </c>
      <c r="S233">
        <f>VLOOKUP($C233,'[1]PoB AS'!$C$1:$T$898,18,FALSE)</f>
        <v>413</v>
      </c>
      <c r="T233">
        <f>VLOOKUP($C233,'[1]PoB PI'!$C$1:$T$898,17,FALSE)</f>
        <v>38</v>
      </c>
      <c r="U233">
        <f>VLOOKUP($C233,'[1]PoB PI'!$C$1:$T$898,18,FALSE)</f>
        <v>27</v>
      </c>
      <c r="V233">
        <f>VLOOKUP($C233,'[1]PoB OT'!$C$1:$T$898,17,FALSE)</f>
        <v>120</v>
      </c>
      <c r="W233">
        <f>VLOOKUP($C233,'[1]PoB OT'!$C$1:$T$898,18,FALSE)</f>
        <v>18</v>
      </c>
      <c r="X233">
        <f>VLOOKUP($C233,'[1]PoB 2R'!$C$1:$T$898,17,FALSE)</f>
        <v>330</v>
      </c>
      <c r="Y233">
        <f>VLOOKUP($C233,'[1]PoB 2R'!$C$1:$T$898,18,FALSE)</f>
        <v>66</v>
      </c>
    </row>
    <row r="234" spans="1:25" x14ac:dyDescent="0.25">
      <c r="A234" t="s">
        <v>820</v>
      </c>
      <c r="B234">
        <v>5337526</v>
      </c>
      <c r="C234" t="s">
        <v>821</v>
      </c>
      <c r="D234">
        <f t="shared" si="9"/>
        <v>178</v>
      </c>
      <c r="E234">
        <f>VLOOKUP($C234,'[1]PoB Totals'!$C$3:$T$898,17,FALSE)</f>
        <v>178</v>
      </c>
      <c r="F234">
        <f>VLOOKUP($C234,'[1]PoB Totals'!$C$3:$T$898,18,FALSE)</f>
        <v>0</v>
      </c>
      <c r="G234">
        <f t="shared" si="10"/>
        <v>178</v>
      </c>
      <c r="H234">
        <f t="shared" si="11"/>
        <v>178</v>
      </c>
      <c r="I234">
        <f t="shared" si="11"/>
        <v>0</v>
      </c>
      <c r="J234">
        <f>VLOOKUP($C234,'[1]PoB WN'!$C$1:$T$898,17,FALSE)</f>
        <v>157</v>
      </c>
      <c r="K234">
        <f>VLOOKUP($C234,'[1]PoB WN'!$C$1:$T$898,18,FALSE)</f>
        <v>0</v>
      </c>
      <c r="L234">
        <f>VLOOKUP($C234,'[1]PoB WH'!$C$1:$T$898,17,FALSE)</f>
        <v>0</v>
      </c>
      <c r="M234">
        <f>VLOOKUP($C234,'[1]PoB WH'!$C$1:$T$898,18,FALSE)</f>
        <v>0</v>
      </c>
      <c r="N234">
        <f>VLOOKUP($C234,'[1]PoB AA'!$C$1:$T$898,17,FALSE)</f>
        <v>0</v>
      </c>
      <c r="O234">
        <f>VLOOKUP($C234,'[1]PoB AA'!$C$1:$T$898,18,FALSE)</f>
        <v>0</v>
      </c>
      <c r="P234">
        <f>VLOOKUP($C234,'[1]PoB AI'!$C$1:$T$898,17,FALSE)</f>
        <v>0</v>
      </c>
      <c r="Q234">
        <f>VLOOKUP($C234,'[1]PoB AI'!$C$1:$T$898,18,FALSE)</f>
        <v>0</v>
      </c>
      <c r="R234">
        <f>VLOOKUP($C234,'[1]PoB AS'!$C$1:$T$898,17,FALSE)</f>
        <v>0</v>
      </c>
      <c r="S234">
        <f>VLOOKUP($C234,'[1]PoB AS'!$C$1:$T$898,18,FALSE)</f>
        <v>0</v>
      </c>
      <c r="T234">
        <f>VLOOKUP($C234,'[1]PoB PI'!$C$1:$T$898,17,FALSE)</f>
        <v>0</v>
      </c>
      <c r="U234">
        <f>VLOOKUP($C234,'[1]PoB PI'!$C$1:$T$898,18,FALSE)</f>
        <v>0</v>
      </c>
      <c r="V234">
        <f>VLOOKUP($C234,'[1]PoB OT'!$C$1:$T$898,17,FALSE)</f>
        <v>0</v>
      </c>
      <c r="W234">
        <f>VLOOKUP($C234,'[1]PoB OT'!$C$1:$T$898,18,FALSE)</f>
        <v>0</v>
      </c>
      <c r="X234">
        <f>VLOOKUP($C234,'[1]PoB 2R'!$C$1:$T$898,17,FALSE)</f>
        <v>21</v>
      </c>
      <c r="Y234">
        <f>VLOOKUP($C234,'[1]PoB 2R'!$C$1:$T$898,18,FALSE)</f>
        <v>0</v>
      </c>
    </row>
    <row r="235" spans="1:25" x14ac:dyDescent="0.25">
      <c r="A235" t="s">
        <v>822</v>
      </c>
      <c r="B235">
        <v>5337538</v>
      </c>
      <c r="C235" t="s">
        <v>823</v>
      </c>
      <c r="D235">
        <f t="shared" si="9"/>
        <v>1426</v>
      </c>
      <c r="E235">
        <f>VLOOKUP($C235,'[1]PoB Totals'!$C$3:$T$898,17,FALSE)</f>
        <v>1356</v>
      </c>
      <c r="F235">
        <f>VLOOKUP($C235,'[1]PoB Totals'!$C$3:$T$898,18,FALSE)</f>
        <v>70</v>
      </c>
      <c r="G235">
        <f t="shared" si="10"/>
        <v>1426</v>
      </c>
      <c r="H235">
        <f t="shared" si="11"/>
        <v>1356</v>
      </c>
      <c r="I235">
        <f t="shared" si="11"/>
        <v>70</v>
      </c>
      <c r="J235">
        <f>VLOOKUP($C235,'[1]PoB WN'!$C$1:$T$898,17,FALSE)</f>
        <v>1297</v>
      </c>
      <c r="K235">
        <f>VLOOKUP($C235,'[1]PoB WN'!$C$1:$T$898,18,FALSE)</f>
        <v>45</v>
      </c>
      <c r="L235">
        <f>VLOOKUP($C235,'[1]PoB WH'!$C$1:$T$898,17,FALSE)</f>
        <v>17</v>
      </c>
      <c r="M235">
        <f>VLOOKUP($C235,'[1]PoB WH'!$C$1:$T$898,18,FALSE)</f>
        <v>0</v>
      </c>
      <c r="N235">
        <f>VLOOKUP($C235,'[1]PoB AA'!$C$1:$T$898,17,FALSE)</f>
        <v>0</v>
      </c>
      <c r="O235">
        <f>VLOOKUP($C235,'[1]PoB AA'!$C$1:$T$898,18,FALSE)</f>
        <v>0</v>
      </c>
      <c r="P235">
        <f>VLOOKUP($C235,'[1]PoB AI'!$C$1:$T$898,17,FALSE)</f>
        <v>0</v>
      </c>
      <c r="Q235">
        <f>VLOOKUP($C235,'[1]PoB AI'!$C$1:$T$898,18,FALSE)</f>
        <v>0</v>
      </c>
      <c r="R235">
        <f>VLOOKUP($C235,'[1]PoB AS'!$C$1:$T$898,17,FALSE)</f>
        <v>35</v>
      </c>
      <c r="S235">
        <f>VLOOKUP($C235,'[1]PoB AS'!$C$1:$T$898,18,FALSE)</f>
        <v>25</v>
      </c>
      <c r="T235">
        <f>VLOOKUP($C235,'[1]PoB PI'!$C$1:$T$898,17,FALSE)</f>
        <v>0</v>
      </c>
      <c r="U235">
        <f>VLOOKUP($C235,'[1]PoB PI'!$C$1:$T$898,18,FALSE)</f>
        <v>0</v>
      </c>
      <c r="V235">
        <f>VLOOKUP($C235,'[1]PoB OT'!$C$1:$T$898,17,FALSE)</f>
        <v>0</v>
      </c>
      <c r="W235">
        <f>VLOOKUP($C235,'[1]PoB OT'!$C$1:$T$898,18,FALSE)</f>
        <v>0</v>
      </c>
      <c r="X235">
        <f>VLOOKUP($C235,'[1]PoB 2R'!$C$1:$T$898,17,FALSE)</f>
        <v>7</v>
      </c>
      <c r="Y235">
        <f>VLOOKUP($C235,'[1]PoB 2R'!$C$1:$T$898,18,FALSE)</f>
        <v>0</v>
      </c>
    </row>
    <row r="236" spans="1:25" x14ac:dyDescent="0.25">
      <c r="A236" t="s">
        <v>824</v>
      </c>
      <c r="B236">
        <v>5337567</v>
      </c>
      <c r="C236" t="s">
        <v>825</v>
      </c>
      <c r="D236">
        <f t="shared" si="9"/>
        <v>9736</v>
      </c>
      <c r="E236">
        <f>VLOOKUP($C236,'[1]PoB Totals'!$C$3:$T$898,17,FALSE)</f>
        <v>9379</v>
      </c>
      <c r="F236">
        <f>VLOOKUP($C236,'[1]PoB Totals'!$C$3:$T$898,18,FALSE)</f>
        <v>357</v>
      </c>
      <c r="G236">
        <f t="shared" si="10"/>
        <v>9736</v>
      </c>
      <c r="H236">
        <f t="shared" si="11"/>
        <v>9379</v>
      </c>
      <c r="I236">
        <f t="shared" si="11"/>
        <v>357</v>
      </c>
      <c r="J236">
        <f>VLOOKUP($C236,'[1]PoB WN'!$C$1:$T$898,17,FALSE)</f>
        <v>8614</v>
      </c>
      <c r="K236">
        <f>VLOOKUP($C236,'[1]PoB WN'!$C$1:$T$898,18,FALSE)</f>
        <v>223</v>
      </c>
      <c r="L236">
        <f>VLOOKUP($C236,'[1]PoB WH'!$C$1:$T$898,17,FALSE)</f>
        <v>87</v>
      </c>
      <c r="M236">
        <f>VLOOKUP($C236,'[1]PoB WH'!$C$1:$T$898,18,FALSE)</f>
        <v>34</v>
      </c>
      <c r="N236">
        <f>VLOOKUP($C236,'[1]PoB AA'!$C$1:$T$898,17,FALSE)</f>
        <v>115</v>
      </c>
      <c r="O236">
        <f>VLOOKUP($C236,'[1]PoB AA'!$C$1:$T$898,18,FALSE)</f>
        <v>0</v>
      </c>
      <c r="P236">
        <f>VLOOKUP($C236,'[1]PoB AI'!$C$1:$T$898,17,FALSE)</f>
        <v>50</v>
      </c>
      <c r="Q236">
        <f>VLOOKUP($C236,'[1]PoB AI'!$C$1:$T$898,18,FALSE)</f>
        <v>9</v>
      </c>
      <c r="R236">
        <f>VLOOKUP($C236,'[1]PoB AS'!$C$1:$T$898,17,FALSE)</f>
        <v>155</v>
      </c>
      <c r="S236">
        <f>VLOOKUP($C236,'[1]PoB AS'!$C$1:$T$898,18,FALSE)</f>
        <v>45</v>
      </c>
      <c r="T236">
        <f>VLOOKUP($C236,'[1]PoB PI'!$C$1:$T$898,17,FALSE)</f>
        <v>9</v>
      </c>
      <c r="U236">
        <f>VLOOKUP($C236,'[1]PoB PI'!$C$1:$T$898,18,FALSE)</f>
        <v>0</v>
      </c>
      <c r="V236">
        <f>VLOOKUP($C236,'[1]PoB OT'!$C$1:$T$898,17,FALSE)</f>
        <v>67</v>
      </c>
      <c r="W236">
        <f>VLOOKUP($C236,'[1]PoB OT'!$C$1:$T$898,18,FALSE)</f>
        <v>14</v>
      </c>
      <c r="X236">
        <f>VLOOKUP($C236,'[1]PoB 2R'!$C$1:$T$898,17,FALSE)</f>
        <v>282</v>
      </c>
      <c r="Y236">
        <f>VLOOKUP($C236,'[1]PoB 2R'!$C$1:$T$898,18,FALSE)</f>
        <v>32</v>
      </c>
    </row>
    <row r="237" spans="1:25" x14ac:dyDescent="0.25">
      <c r="A237" t="s">
        <v>826</v>
      </c>
      <c r="B237">
        <v>5337672</v>
      </c>
      <c r="C237" t="s">
        <v>827</v>
      </c>
      <c r="D237">
        <f t="shared" si="9"/>
        <v>672</v>
      </c>
      <c r="E237">
        <f>VLOOKUP($C237,'[1]PoB Totals'!$C$3:$T$898,17,FALSE)</f>
        <v>632</v>
      </c>
      <c r="F237">
        <f>VLOOKUP($C237,'[1]PoB Totals'!$C$3:$T$898,18,FALSE)</f>
        <v>40</v>
      </c>
      <c r="G237">
        <f t="shared" si="10"/>
        <v>672</v>
      </c>
      <c r="H237">
        <f t="shared" si="11"/>
        <v>632</v>
      </c>
      <c r="I237">
        <f t="shared" si="11"/>
        <v>40</v>
      </c>
      <c r="J237">
        <f>VLOOKUP($C237,'[1]PoB WN'!$C$1:$T$898,17,FALSE)</f>
        <v>625</v>
      </c>
      <c r="K237">
        <f>VLOOKUP($C237,'[1]PoB WN'!$C$1:$T$898,18,FALSE)</f>
        <v>40</v>
      </c>
      <c r="L237">
        <f>VLOOKUP($C237,'[1]PoB WH'!$C$1:$T$898,17,FALSE)</f>
        <v>0</v>
      </c>
      <c r="M237">
        <f>VLOOKUP($C237,'[1]PoB WH'!$C$1:$T$898,18,FALSE)</f>
        <v>0</v>
      </c>
      <c r="N237">
        <f>VLOOKUP($C237,'[1]PoB AA'!$C$1:$T$898,17,FALSE)</f>
        <v>0</v>
      </c>
      <c r="O237">
        <f>VLOOKUP($C237,'[1]PoB AA'!$C$1:$T$898,18,FALSE)</f>
        <v>0</v>
      </c>
      <c r="P237">
        <f>VLOOKUP($C237,'[1]PoB AI'!$C$1:$T$898,17,FALSE)</f>
        <v>7</v>
      </c>
      <c r="Q237">
        <f>VLOOKUP($C237,'[1]PoB AI'!$C$1:$T$898,18,FALSE)</f>
        <v>0</v>
      </c>
      <c r="R237">
        <f>VLOOKUP($C237,'[1]PoB AS'!$C$1:$T$898,17,FALSE)</f>
        <v>0</v>
      </c>
      <c r="S237">
        <f>VLOOKUP($C237,'[1]PoB AS'!$C$1:$T$898,18,FALSE)</f>
        <v>0</v>
      </c>
      <c r="T237">
        <f>VLOOKUP($C237,'[1]PoB PI'!$C$1:$T$898,17,FALSE)</f>
        <v>0</v>
      </c>
      <c r="U237">
        <f>VLOOKUP($C237,'[1]PoB PI'!$C$1:$T$898,18,FALSE)</f>
        <v>0</v>
      </c>
      <c r="V237">
        <f>VLOOKUP($C237,'[1]PoB OT'!$C$1:$T$898,17,FALSE)</f>
        <v>0</v>
      </c>
      <c r="W237">
        <f>VLOOKUP($C237,'[1]PoB OT'!$C$1:$T$898,18,FALSE)</f>
        <v>0</v>
      </c>
      <c r="X237">
        <f>VLOOKUP($C237,'[1]PoB 2R'!$C$1:$T$898,17,FALSE)</f>
        <v>0</v>
      </c>
      <c r="Y237">
        <f>VLOOKUP($C237,'[1]PoB 2R'!$C$1:$T$898,18,FALSE)</f>
        <v>0</v>
      </c>
    </row>
    <row r="238" spans="1:25" x14ac:dyDescent="0.25">
      <c r="A238" t="s">
        <v>828</v>
      </c>
      <c r="B238">
        <v>5337830</v>
      </c>
      <c r="C238" t="s">
        <v>829</v>
      </c>
      <c r="D238">
        <f t="shared" si="9"/>
        <v>6628</v>
      </c>
      <c r="E238">
        <f>VLOOKUP($C238,'[1]PoB Totals'!$C$3:$T$898,17,FALSE)</f>
        <v>6288</v>
      </c>
      <c r="F238">
        <f>VLOOKUP($C238,'[1]PoB Totals'!$C$3:$T$898,18,FALSE)</f>
        <v>340</v>
      </c>
      <c r="G238">
        <f t="shared" si="10"/>
        <v>6628</v>
      </c>
      <c r="H238">
        <f t="shared" si="11"/>
        <v>6288</v>
      </c>
      <c r="I238">
        <f t="shared" si="11"/>
        <v>340</v>
      </c>
      <c r="J238">
        <f>VLOOKUP($C238,'[1]PoB WN'!$C$1:$T$898,17,FALSE)</f>
        <v>5670</v>
      </c>
      <c r="K238">
        <f>VLOOKUP($C238,'[1]PoB WN'!$C$1:$T$898,18,FALSE)</f>
        <v>178</v>
      </c>
      <c r="L238">
        <f>VLOOKUP($C238,'[1]PoB WH'!$C$1:$T$898,17,FALSE)</f>
        <v>153</v>
      </c>
      <c r="M238">
        <f>VLOOKUP($C238,'[1]PoB WH'!$C$1:$T$898,18,FALSE)</f>
        <v>25</v>
      </c>
      <c r="N238">
        <f>VLOOKUP($C238,'[1]PoB AA'!$C$1:$T$898,17,FALSE)</f>
        <v>57</v>
      </c>
      <c r="O238">
        <f>VLOOKUP($C238,'[1]PoB AA'!$C$1:$T$898,18,FALSE)</f>
        <v>16</v>
      </c>
      <c r="P238">
        <f>VLOOKUP($C238,'[1]PoB AI'!$C$1:$T$898,17,FALSE)</f>
        <v>174</v>
      </c>
      <c r="Q238">
        <f>VLOOKUP($C238,'[1]PoB AI'!$C$1:$T$898,18,FALSE)</f>
        <v>12</v>
      </c>
      <c r="R238">
        <f>VLOOKUP($C238,'[1]PoB AS'!$C$1:$T$898,17,FALSE)</f>
        <v>43</v>
      </c>
      <c r="S238">
        <f>VLOOKUP($C238,'[1]PoB AS'!$C$1:$T$898,18,FALSE)</f>
        <v>56</v>
      </c>
      <c r="T238">
        <f>VLOOKUP($C238,'[1]PoB PI'!$C$1:$T$898,17,FALSE)</f>
        <v>7</v>
      </c>
      <c r="U238">
        <f>VLOOKUP($C238,'[1]PoB PI'!$C$1:$T$898,18,FALSE)</f>
        <v>0</v>
      </c>
      <c r="V238">
        <f>VLOOKUP($C238,'[1]PoB OT'!$C$1:$T$898,17,FALSE)</f>
        <v>25</v>
      </c>
      <c r="W238">
        <f>VLOOKUP($C238,'[1]PoB OT'!$C$1:$T$898,18,FALSE)</f>
        <v>20</v>
      </c>
      <c r="X238">
        <f>VLOOKUP($C238,'[1]PoB 2R'!$C$1:$T$898,17,FALSE)</f>
        <v>159</v>
      </c>
      <c r="Y238">
        <f>VLOOKUP($C238,'[1]PoB 2R'!$C$1:$T$898,18,FALSE)</f>
        <v>33</v>
      </c>
    </row>
    <row r="239" spans="1:25" x14ac:dyDescent="0.25">
      <c r="A239" t="s">
        <v>830</v>
      </c>
      <c r="B239">
        <v>5337900</v>
      </c>
      <c r="C239" t="s">
        <v>831</v>
      </c>
      <c r="D239">
        <f t="shared" si="9"/>
        <v>6484</v>
      </c>
      <c r="E239">
        <f>VLOOKUP($C239,'[1]PoB Totals'!$C$3:$T$898,17,FALSE)</f>
        <v>6199</v>
      </c>
      <c r="F239">
        <f>VLOOKUP($C239,'[1]PoB Totals'!$C$3:$T$898,18,FALSE)</f>
        <v>285</v>
      </c>
      <c r="G239">
        <f t="shared" si="10"/>
        <v>6484</v>
      </c>
      <c r="H239">
        <f t="shared" si="11"/>
        <v>6199</v>
      </c>
      <c r="I239">
        <f t="shared" si="11"/>
        <v>285</v>
      </c>
      <c r="J239">
        <f>VLOOKUP($C239,'[1]PoB WN'!$C$1:$T$898,17,FALSE)</f>
        <v>5632</v>
      </c>
      <c r="K239">
        <f>VLOOKUP($C239,'[1]PoB WN'!$C$1:$T$898,18,FALSE)</f>
        <v>237</v>
      </c>
      <c r="L239">
        <f>VLOOKUP($C239,'[1]PoB WH'!$C$1:$T$898,17,FALSE)</f>
        <v>148</v>
      </c>
      <c r="M239">
        <f>VLOOKUP($C239,'[1]PoB WH'!$C$1:$T$898,18,FALSE)</f>
        <v>23</v>
      </c>
      <c r="N239">
        <f>VLOOKUP($C239,'[1]PoB AA'!$C$1:$T$898,17,FALSE)</f>
        <v>48</v>
      </c>
      <c r="O239">
        <f>VLOOKUP($C239,'[1]PoB AA'!$C$1:$T$898,18,FALSE)</f>
        <v>0</v>
      </c>
      <c r="P239">
        <f>VLOOKUP($C239,'[1]PoB AI'!$C$1:$T$898,17,FALSE)</f>
        <v>108</v>
      </c>
      <c r="Q239">
        <f>VLOOKUP($C239,'[1]PoB AI'!$C$1:$T$898,18,FALSE)</f>
        <v>0</v>
      </c>
      <c r="R239">
        <f>VLOOKUP($C239,'[1]PoB AS'!$C$1:$T$898,17,FALSE)</f>
        <v>0</v>
      </c>
      <c r="S239">
        <f>VLOOKUP($C239,'[1]PoB AS'!$C$1:$T$898,18,FALSE)</f>
        <v>0</v>
      </c>
      <c r="T239">
        <f>VLOOKUP($C239,'[1]PoB PI'!$C$1:$T$898,17,FALSE)</f>
        <v>0</v>
      </c>
      <c r="U239">
        <f>VLOOKUP($C239,'[1]PoB PI'!$C$1:$T$898,18,FALSE)</f>
        <v>0</v>
      </c>
      <c r="V239">
        <f>VLOOKUP($C239,'[1]PoB OT'!$C$1:$T$898,17,FALSE)</f>
        <v>26</v>
      </c>
      <c r="W239">
        <f>VLOOKUP($C239,'[1]PoB OT'!$C$1:$T$898,18,FALSE)</f>
        <v>4</v>
      </c>
      <c r="X239">
        <f>VLOOKUP($C239,'[1]PoB 2R'!$C$1:$T$898,17,FALSE)</f>
        <v>237</v>
      </c>
      <c r="Y239">
        <f>VLOOKUP($C239,'[1]PoB 2R'!$C$1:$T$898,18,FALSE)</f>
        <v>21</v>
      </c>
    </row>
    <row r="240" spans="1:25" x14ac:dyDescent="0.25">
      <c r="A240" t="s">
        <v>836</v>
      </c>
      <c r="B240">
        <v>5337926</v>
      </c>
      <c r="C240" t="s">
        <v>837</v>
      </c>
      <c r="D240">
        <f t="shared" si="9"/>
        <v>753</v>
      </c>
      <c r="E240">
        <f>VLOOKUP($C240,'[1]PoB Totals'!$C$3:$T$898,17,FALSE)</f>
        <v>701</v>
      </c>
      <c r="F240">
        <f>VLOOKUP($C240,'[1]PoB Totals'!$C$3:$T$898,18,FALSE)</f>
        <v>52</v>
      </c>
      <c r="G240">
        <f t="shared" si="10"/>
        <v>753</v>
      </c>
      <c r="H240">
        <f t="shared" si="11"/>
        <v>701</v>
      </c>
      <c r="I240">
        <f t="shared" si="11"/>
        <v>52</v>
      </c>
      <c r="J240">
        <f>VLOOKUP($C240,'[1]PoB WN'!$C$1:$T$898,17,FALSE)</f>
        <v>671</v>
      </c>
      <c r="K240">
        <f>VLOOKUP($C240,'[1]PoB WN'!$C$1:$T$898,18,FALSE)</f>
        <v>45</v>
      </c>
      <c r="L240">
        <f>VLOOKUP($C240,'[1]PoB WH'!$C$1:$T$898,17,FALSE)</f>
        <v>0</v>
      </c>
      <c r="M240">
        <f>VLOOKUP($C240,'[1]PoB WH'!$C$1:$T$898,18,FALSE)</f>
        <v>0</v>
      </c>
      <c r="N240">
        <f>VLOOKUP($C240,'[1]PoB AA'!$C$1:$T$898,17,FALSE)</f>
        <v>0</v>
      </c>
      <c r="O240">
        <f>VLOOKUP($C240,'[1]PoB AA'!$C$1:$T$898,18,FALSE)</f>
        <v>0</v>
      </c>
      <c r="P240">
        <f>VLOOKUP($C240,'[1]PoB AI'!$C$1:$T$898,17,FALSE)</f>
        <v>17</v>
      </c>
      <c r="Q240">
        <f>VLOOKUP($C240,'[1]PoB AI'!$C$1:$T$898,18,FALSE)</f>
        <v>0</v>
      </c>
      <c r="R240">
        <f>VLOOKUP($C240,'[1]PoB AS'!$C$1:$T$898,17,FALSE)</f>
        <v>0</v>
      </c>
      <c r="S240">
        <f>VLOOKUP($C240,'[1]PoB AS'!$C$1:$T$898,18,FALSE)</f>
        <v>0</v>
      </c>
      <c r="T240">
        <f>VLOOKUP($C240,'[1]PoB PI'!$C$1:$T$898,17,FALSE)</f>
        <v>0</v>
      </c>
      <c r="U240">
        <f>VLOOKUP($C240,'[1]PoB PI'!$C$1:$T$898,18,FALSE)</f>
        <v>0</v>
      </c>
      <c r="V240">
        <f>VLOOKUP($C240,'[1]PoB OT'!$C$1:$T$898,17,FALSE)</f>
        <v>0</v>
      </c>
      <c r="W240">
        <f>VLOOKUP($C240,'[1]PoB OT'!$C$1:$T$898,18,FALSE)</f>
        <v>0</v>
      </c>
      <c r="X240">
        <f>VLOOKUP($C240,'[1]PoB 2R'!$C$1:$T$898,17,FALSE)</f>
        <v>13</v>
      </c>
      <c r="Y240">
        <f>VLOOKUP($C240,'[1]PoB 2R'!$C$1:$T$898,18,FALSE)</f>
        <v>7</v>
      </c>
    </row>
    <row r="241" spans="1:25" x14ac:dyDescent="0.25">
      <c r="A241" t="s">
        <v>838</v>
      </c>
      <c r="B241">
        <v>5338038</v>
      </c>
      <c r="C241" t="s">
        <v>839</v>
      </c>
      <c r="D241">
        <f t="shared" si="9"/>
        <v>58317</v>
      </c>
      <c r="E241">
        <f>VLOOKUP($C241,'[1]PoB Totals'!$C$3:$T$898,17,FALSE)</f>
        <v>48357</v>
      </c>
      <c r="F241">
        <f>VLOOKUP($C241,'[1]PoB Totals'!$C$3:$T$898,18,FALSE)</f>
        <v>9960</v>
      </c>
      <c r="G241">
        <f t="shared" si="10"/>
        <v>58317</v>
      </c>
      <c r="H241">
        <f t="shared" si="11"/>
        <v>48357</v>
      </c>
      <c r="I241">
        <f t="shared" si="11"/>
        <v>9960</v>
      </c>
      <c r="J241">
        <f>VLOOKUP($C241,'[1]PoB WN'!$C$1:$T$898,17,FALSE)</f>
        <v>32712</v>
      </c>
      <c r="K241">
        <f>VLOOKUP($C241,'[1]PoB WN'!$C$1:$T$898,18,FALSE)</f>
        <v>2833</v>
      </c>
      <c r="L241">
        <f>VLOOKUP($C241,'[1]PoB WH'!$C$1:$T$898,17,FALSE)</f>
        <v>1139</v>
      </c>
      <c r="M241">
        <f>VLOOKUP($C241,'[1]PoB WH'!$C$1:$T$898,18,FALSE)</f>
        <v>741</v>
      </c>
      <c r="N241">
        <f>VLOOKUP($C241,'[1]PoB AA'!$C$1:$T$898,17,FALSE)</f>
        <v>6873</v>
      </c>
      <c r="O241">
        <f>VLOOKUP($C241,'[1]PoB AA'!$C$1:$T$898,18,FALSE)</f>
        <v>560</v>
      </c>
      <c r="P241">
        <f>VLOOKUP($C241,'[1]PoB AI'!$C$1:$T$898,17,FALSE)</f>
        <v>837</v>
      </c>
      <c r="Q241">
        <f>VLOOKUP($C241,'[1]PoB AI'!$C$1:$T$898,18,FALSE)</f>
        <v>11</v>
      </c>
      <c r="R241">
        <f>VLOOKUP($C241,'[1]PoB AS'!$C$1:$T$898,17,FALSE)</f>
        <v>1330</v>
      </c>
      <c r="S241">
        <f>VLOOKUP($C241,'[1]PoB AS'!$C$1:$T$898,18,FALSE)</f>
        <v>3851</v>
      </c>
      <c r="T241">
        <f>VLOOKUP($C241,'[1]PoB PI'!$C$1:$T$898,17,FALSE)</f>
        <v>387</v>
      </c>
      <c r="U241">
        <f>VLOOKUP($C241,'[1]PoB PI'!$C$1:$T$898,18,FALSE)</f>
        <v>359</v>
      </c>
      <c r="V241">
        <f>VLOOKUP($C241,'[1]PoB OT'!$C$1:$T$898,17,FALSE)</f>
        <v>1387</v>
      </c>
      <c r="W241">
        <f>VLOOKUP($C241,'[1]PoB OT'!$C$1:$T$898,18,FALSE)</f>
        <v>804</v>
      </c>
      <c r="X241">
        <f>VLOOKUP($C241,'[1]PoB 2R'!$C$1:$T$898,17,FALSE)</f>
        <v>3692</v>
      </c>
      <c r="Y241">
        <f>VLOOKUP($C241,'[1]PoB 2R'!$C$1:$T$898,18,FALSE)</f>
        <v>801</v>
      </c>
    </row>
    <row r="242" spans="1:25" x14ac:dyDescent="0.25">
      <c r="A242" t="s">
        <v>840</v>
      </c>
      <c r="B242">
        <v>5338215</v>
      </c>
      <c r="C242" t="s">
        <v>841</v>
      </c>
      <c r="D242">
        <f t="shared" si="9"/>
        <v>91</v>
      </c>
      <c r="E242">
        <f>VLOOKUP($C242,'[1]PoB Totals'!$C$3:$T$898,17,FALSE)</f>
        <v>91</v>
      </c>
      <c r="F242">
        <f>VLOOKUP($C242,'[1]PoB Totals'!$C$3:$T$898,18,FALSE)</f>
        <v>0</v>
      </c>
      <c r="G242">
        <f t="shared" si="10"/>
        <v>91</v>
      </c>
      <c r="H242">
        <f t="shared" si="11"/>
        <v>91</v>
      </c>
      <c r="I242">
        <f t="shared" si="11"/>
        <v>0</v>
      </c>
      <c r="J242">
        <f>VLOOKUP($C242,'[1]PoB WN'!$C$1:$T$898,17,FALSE)</f>
        <v>82</v>
      </c>
      <c r="K242">
        <f>VLOOKUP($C242,'[1]PoB WN'!$C$1:$T$898,18,FALSE)</f>
        <v>0</v>
      </c>
      <c r="L242">
        <f>VLOOKUP($C242,'[1]PoB WH'!$C$1:$T$898,17,FALSE)</f>
        <v>0</v>
      </c>
      <c r="M242">
        <f>VLOOKUP($C242,'[1]PoB WH'!$C$1:$T$898,18,FALSE)</f>
        <v>0</v>
      </c>
      <c r="N242">
        <f>VLOOKUP($C242,'[1]PoB AA'!$C$1:$T$898,17,FALSE)</f>
        <v>0</v>
      </c>
      <c r="O242">
        <f>VLOOKUP($C242,'[1]PoB AA'!$C$1:$T$898,18,FALSE)</f>
        <v>0</v>
      </c>
      <c r="P242">
        <f>VLOOKUP($C242,'[1]PoB AI'!$C$1:$T$898,17,FALSE)</f>
        <v>0</v>
      </c>
      <c r="Q242">
        <f>VLOOKUP($C242,'[1]PoB AI'!$C$1:$T$898,18,FALSE)</f>
        <v>0</v>
      </c>
      <c r="R242">
        <f>VLOOKUP($C242,'[1]PoB AS'!$C$1:$T$898,17,FALSE)</f>
        <v>0</v>
      </c>
      <c r="S242">
        <f>VLOOKUP($C242,'[1]PoB AS'!$C$1:$T$898,18,FALSE)</f>
        <v>0</v>
      </c>
      <c r="T242">
        <f>VLOOKUP($C242,'[1]PoB PI'!$C$1:$T$898,17,FALSE)</f>
        <v>0</v>
      </c>
      <c r="U242">
        <f>VLOOKUP($C242,'[1]PoB PI'!$C$1:$T$898,18,FALSE)</f>
        <v>0</v>
      </c>
      <c r="V242">
        <f>VLOOKUP($C242,'[1]PoB OT'!$C$1:$T$898,17,FALSE)</f>
        <v>0</v>
      </c>
      <c r="W242">
        <f>VLOOKUP($C242,'[1]PoB OT'!$C$1:$T$898,18,FALSE)</f>
        <v>0</v>
      </c>
      <c r="X242">
        <f>VLOOKUP($C242,'[1]PoB 2R'!$C$1:$T$898,17,FALSE)</f>
        <v>9</v>
      </c>
      <c r="Y242">
        <f>VLOOKUP($C242,'[1]PoB 2R'!$C$1:$T$898,18,FALSE)</f>
        <v>0</v>
      </c>
    </row>
    <row r="243" spans="1:25" x14ac:dyDescent="0.25">
      <c r="A243" t="s">
        <v>842</v>
      </c>
      <c r="B243">
        <v>5338355</v>
      </c>
      <c r="C243" t="s">
        <v>843</v>
      </c>
      <c r="D243">
        <f t="shared" si="9"/>
        <v>938</v>
      </c>
      <c r="E243">
        <f>VLOOKUP($C243,'[1]PoB Totals'!$C$3:$T$898,17,FALSE)</f>
        <v>870</v>
      </c>
      <c r="F243">
        <f>VLOOKUP($C243,'[1]PoB Totals'!$C$3:$T$898,18,FALSE)</f>
        <v>68</v>
      </c>
      <c r="G243">
        <f t="shared" si="10"/>
        <v>938</v>
      </c>
      <c r="H243">
        <f t="shared" si="11"/>
        <v>870</v>
      </c>
      <c r="I243">
        <f t="shared" si="11"/>
        <v>68</v>
      </c>
      <c r="J243">
        <f>VLOOKUP($C243,'[1]PoB WN'!$C$1:$T$898,17,FALSE)</f>
        <v>834</v>
      </c>
      <c r="K243">
        <f>VLOOKUP($C243,'[1]PoB WN'!$C$1:$T$898,18,FALSE)</f>
        <v>59</v>
      </c>
      <c r="L243">
        <f>VLOOKUP($C243,'[1]PoB WH'!$C$1:$T$898,17,FALSE)</f>
        <v>12</v>
      </c>
      <c r="M243">
        <f>VLOOKUP($C243,'[1]PoB WH'!$C$1:$T$898,18,FALSE)</f>
        <v>2</v>
      </c>
      <c r="N243">
        <f>VLOOKUP($C243,'[1]PoB AA'!$C$1:$T$898,17,FALSE)</f>
        <v>2</v>
      </c>
      <c r="O243">
        <f>VLOOKUP($C243,'[1]PoB AA'!$C$1:$T$898,18,FALSE)</f>
        <v>0</v>
      </c>
      <c r="P243">
        <f>VLOOKUP($C243,'[1]PoB AI'!$C$1:$T$898,17,FALSE)</f>
        <v>2</v>
      </c>
      <c r="Q243">
        <f>VLOOKUP($C243,'[1]PoB AI'!$C$1:$T$898,18,FALSE)</f>
        <v>0</v>
      </c>
      <c r="R243">
        <f>VLOOKUP($C243,'[1]PoB AS'!$C$1:$T$898,17,FALSE)</f>
        <v>6</v>
      </c>
      <c r="S243">
        <f>VLOOKUP($C243,'[1]PoB AS'!$C$1:$T$898,18,FALSE)</f>
        <v>5</v>
      </c>
      <c r="T243">
        <f>VLOOKUP($C243,'[1]PoB PI'!$C$1:$T$898,17,FALSE)</f>
        <v>0</v>
      </c>
      <c r="U243">
        <f>VLOOKUP($C243,'[1]PoB PI'!$C$1:$T$898,18,FALSE)</f>
        <v>0</v>
      </c>
      <c r="V243">
        <f>VLOOKUP($C243,'[1]PoB OT'!$C$1:$T$898,17,FALSE)</f>
        <v>0</v>
      </c>
      <c r="W243">
        <f>VLOOKUP($C243,'[1]PoB OT'!$C$1:$T$898,18,FALSE)</f>
        <v>0</v>
      </c>
      <c r="X243">
        <f>VLOOKUP($C243,'[1]PoB 2R'!$C$1:$T$898,17,FALSE)</f>
        <v>14</v>
      </c>
      <c r="Y243">
        <f>VLOOKUP($C243,'[1]PoB 2R'!$C$1:$T$898,18,FALSE)</f>
        <v>2</v>
      </c>
    </row>
    <row r="244" spans="1:25" x14ac:dyDescent="0.25">
      <c r="A244" t="s">
        <v>846</v>
      </c>
      <c r="B244">
        <v>5338495</v>
      </c>
      <c r="C244" t="s">
        <v>847</v>
      </c>
      <c r="D244">
        <f t="shared" si="9"/>
        <v>182</v>
      </c>
      <c r="E244">
        <f>VLOOKUP($C244,'[1]PoB Totals'!$C$3:$T$898,17,FALSE)</f>
        <v>182</v>
      </c>
      <c r="F244">
        <f>VLOOKUP($C244,'[1]PoB Totals'!$C$3:$T$898,18,FALSE)</f>
        <v>0</v>
      </c>
      <c r="G244">
        <f t="shared" si="10"/>
        <v>182</v>
      </c>
      <c r="H244">
        <f t="shared" si="11"/>
        <v>182</v>
      </c>
      <c r="I244">
        <f t="shared" si="11"/>
        <v>0</v>
      </c>
      <c r="J244">
        <f>VLOOKUP($C244,'[1]PoB WN'!$C$1:$T$898,17,FALSE)</f>
        <v>176</v>
      </c>
      <c r="K244">
        <f>VLOOKUP($C244,'[1]PoB WN'!$C$1:$T$898,18,FALSE)</f>
        <v>0</v>
      </c>
      <c r="L244">
        <f>VLOOKUP($C244,'[1]PoB WH'!$C$1:$T$898,17,FALSE)</f>
        <v>0</v>
      </c>
      <c r="M244">
        <f>VLOOKUP($C244,'[1]PoB WH'!$C$1:$T$898,18,FALSE)</f>
        <v>0</v>
      </c>
      <c r="N244">
        <f>VLOOKUP($C244,'[1]PoB AA'!$C$1:$T$898,17,FALSE)</f>
        <v>0</v>
      </c>
      <c r="O244">
        <f>VLOOKUP($C244,'[1]PoB AA'!$C$1:$T$898,18,FALSE)</f>
        <v>0</v>
      </c>
      <c r="P244">
        <f>VLOOKUP($C244,'[1]PoB AI'!$C$1:$T$898,17,FALSE)</f>
        <v>2</v>
      </c>
      <c r="Q244">
        <f>VLOOKUP($C244,'[1]PoB AI'!$C$1:$T$898,18,FALSE)</f>
        <v>0</v>
      </c>
      <c r="R244">
        <f>VLOOKUP($C244,'[1]PoB AS'!$C$1:$T$898,17,FALSE)</f>
        <v>0</v>
      </c>
      <c r="S244">
        <f>VLOOKUP($C244,'[1]PoB AS'!$C$1:$T$898,18,FALSE)</f>
        <v>0</v>
      </c>
      <c r="T244">
        <f>VLOOKUP($C244,'[1]PoB PI'!$C$1:$T$898,17,FALSE)</f>
        <v>0</v>
      </c>
      <c r="U244">
        <f>VLOOKUP($C244,'[1]PoB PI'!$C$1:$T$898,18,FALSE)</f>
        <v>0</v>
      </c>
      <c r="V244">
        <f>VLOOKUP($C244,'[1]PoB OT'!$C$1:$T$898,17,FALSE)</f>
        <v>4</v>
      </c>
      <c r="W244">
        <f>VLOOKUP($C244,'[1]PoB OT'!$C$1:$T$898,18,FALSE)</f>
        <v>0</v>
      </c>
      <c r="X244">
        <f>VLOOKUP($C244,'[1]PoB 2R'!$C$1:$T$898,17,FALSE)</f>
        <v>0</v>
      </c>
      <c r="Y244">
        <f>VLOOKUP($C244,'[1]PoB 2R'!$C$1:$T$898,18,FALSE)</f>
        <v>0</v>
      </c>
    </row>
    <row r="245" spans="1:25" x14ac:dyDescent="0.25">
      <c r="A245" t="s">
        <v>1547</v>
      </c>
      <c r="B245">
        <v>5338815</v>
      </c>
      <c r="C245" t="s">
        <v>1548</v>
      </c>
      <c r="D245">
        <f t="shared" si="9"/>
        <v>10669</v>
      </c>
      <c r="E245">
        <f>VLOOKUP($C245,'[1]PoB Totals'!$C$3:$T$898,17,FALSE)</f>
        <v>9631</v>
      </c>
      <c r="F245">
        <f>VLOOKUP($C245,'[1]PoB Totals'!$C$3:$T$898,18,FALSE)</f>
        <v>1038</v>
      </c>
      <c r="G245">
        <f t="shared" si="10"/>
        <v>10669</v>
      </c>
      <c r="H245">
        <f t="shared" si="11"/>
        <v>9631</v>
      </c>
      <c r="I245">
        <f t="shared" si="11"/>
        <v>1038</v>
      </c>
      <c r="J245">
        <f>VLOOKUP($C245,'[1]PoB WN'!$C$1:$T$898,17,FALSE)</f>
        <v>8567</v>
      </c>
      <c r="K245">
        <f>VLOOKUP($C245,'[1]PoB WN'!$C$1:$T$898,18,FALSE)</f>
        <v>383</v>
      </c>
      <c r="L245">
        <f>VLOOKUP($C245,'[1]PoB WH'!$C$1:$T$898,17,FALSE)</f>
        <v>202</v>
      </c>
      <c r="M245">
        <f>VLOOKUP($C245,'[1]PoB WH'!$C$1:$T$898,18,FALSE)</f>
        <v>38</v>
      </c>
      <c r="N245">
        <f>VLOOKUP($C245,'[1]PoB AA'!$C$1:$T$898,17,FALSE)</f>
        <v>153</v>
      </c>
      <c r="O245">
        <f>VLOOKUP($C245,'[1]PoB AA'!$C$1:$T$898,18,FALSE)</f>
        <v>6</v>
      </c>
      <c r="P245">
        <f>VLOOKUP($C245,'[1]PoB AI'!$C$1:$T$898,17,FALSE)</f>
        <v>59</v>
      </c>
      <c r="Q245">
        <f>VLOOKUP($C245,'[1]PoB AI'!$C$1:$T$898,18,FALSE)</f>
        <v>0</v>
      </c>
      <c r="R245">
        <f>VLOOKUP($C245,'[1]PoB AS'!$C$1:$T$898,17,FALSE)</f>
        <v>146</v>
      </c>
      <c r="S245">
        <f>VLOOKUP($C245,'[1]PoB AS'!$C$1:$T$898,18,FALSE)</f>
        <v>373</v>
      </c>
      <c r="T245">
        <f>VLOOKUP($C245,'[1]PoB PI'!$C$1:$T$898,17,FALSE)</f>
        <v>0</v>
      </c>
      <c r="U245">
        <f>VLOOKUP($C245,'[1]PoB PI'!$C$1:$T$898,18,FALSE)</f>
        <v>0</v>
      </c>
      <c r="V245">
        <f>VLOOKUP($C245,'[1]PoB OT'!$C$1:$T$898,17,FALSE)</f>
        <v>63</v>
      </c>
      <c r="W245">
        <f>VLOOKUP($C245,'[1]PoB OT'!$C$1:$T$898,18,FALSE)</f>
        <v>71</v>
      </c>
      <c r="X245">
        <f>VLOOKUP($C245,'[1]PoB 2R'!$C$1:$T$898,17,FALSE)</f>
        <v>441</v>
      </c>
      <c r="Y245">
        <f>VLOOKUP($C245,'[1]PoB 2R'!$C$1:$T$898,18,FALSE)</f>
        <v>167</v>
      </c>
    </row>
    <row r="246" spans="1:25" x14ac:dyDescent="0.25">
      <c r="A246" t="s">
        <v>850</v>
      </c>
      <c r="B246">
        <v>5338845</v>
      </c>
      <c r="C246" t="s">
        <v>851</v>
      </c>
      <c r="D246">
        <f t="shared" si="9"/>
        <v>2036</v>
      </c>
      <c r="E246">
        <f>VLOOKUP($C246,'[1]PoB Totals'!$C$3:$T$898,17,FALSE)</f>
        <v>1859</v>
      </c>
      <c r="F246">
        <f>VLOOKUP($C246,'[1]PoB Totals'!$C$3:$T$898,18,FALSE)</f>
        <v>177</v>
      </c>
      <c r="G246">
        <f t="shared" si="10"/>
        <v>2036</v>
      </c>
      <c r="H246">
        <f t="shared" si="11"/>
        <v>1859</v>
      </c>
      <c r="I246">
        <f t="shared" si="11"/>
        <v>177</v>
      </c>
      <c r="J246">
        <f>VLOOKUP($C246,'[1]PoB WN'!$C$1:$T$898,17,FALSE)</f>
        <v>1718</v>
      </c>
      <c r="K246">
        <f>VLOOKUP($C246,'[1]PoB WN'!$C$1:$T$898,18,FALSE)</f>
        <v>114</v>
      </c>
      <c r="L246">
        <f>VLOOKUP($C246,'[1]PoB WH'!$C$1:$T$898,17,FALSE)</f>
        <v>13</v>
      </c>
      <c r="M246">
        <f>VLOOKUP($C246,'[1]PoB WH'!$C$1:$T$898,18,FALSE)</f>
        <v>13</v>
      </c>
      <c r="N246">
        <f>VLOOKUP($C246,'[1]PoB AA'!$C$1:$T$898,17,FALSE)</f>
        <v>0</v>
      </c>
      <c r="O246">
        <f>VLOOKUP($C246,'[1]PoB AA'!$C$1:$T$898,18,FALSE)</f>
        <v>0</v>
      </c>
      <c r="P246">
        <f>VLOOKUP($C246,'[1]PoB AI'!$C$1:$T$898,17,FALSE)</f>
        <v>58</v>
      </c>
      <c r="Q246">
        <f>VLOOKUP($C246,'[1]PoB AI'!$C$1:$T$898,18,FALSE)</f>
        <v>0</v>
      </c>
      <c r="R246">
        <f>VLOOKUP($C246,'[1]PoB AS'!$C$1:$T$898,17,FALSE)</f>
        <v>0</v>
      </c>
      <c r="S246">
        <f>VLOOKUP($C246,'[1]PoB AS'!$C$1:$T$898,18,FALSE)</f>
        <v>7</v>
      </c>
      <c r="T246">
        <f>VLOOKUP($C246,'[1]PoB PI'!$C$1:$T$898,17,FALSE)</f>
        <v>0</v>
      </c>
      <c r="U246">
        <f>VLOOKUP($C246,'[1]PoB PI'!$C$1:$T$898,18,FALSE)</f>
        <v>0</v>
      </c>
      <c r="V246">
        <f>VLOOKUP($C246,'[1]PoB OT'!$C$1:$T$898,17,FALSE)</f>
        <v>12</v>
      </c>
      <c r="W246">
        <f>VLOOKUP($C246,'[1]PoB OT'!$C$1:$T$898,18,FALSE)</f>
        <v>43</v>
      </c>
      <c r="X246">
        <f>VLOOKUP($C246,'[1]PoB 2R'!$C$1:$T$898,17,FALSE)</f>
        <v>58</v>
      </c>
      <c r="Y246">
        <f>VLOOKUP($C246,'[1]PoB 2R'!$C$1:$T$898,18,FALSE)</f>
        <v>0</v>
      </c>
    </row>
    <row r="247" spans="1:25" x14ac:dyDescent="0.25">
      <c r="A247" t="s">
        <v>852</v>
      </c>
      <c r="B247">
        <v>5338880</v>
      </c>
      <c r="C247" t="s">
        <v>853</v>
      </c>
      <c r="D247">
        <f t="shared" si="9"/>
        <v>202</v>
      </c>
      <c r="E247">
        <f>VLOOKUP($C247,'[1]PoB Totals'!$C$3:$T$898,17,FALSE)</f>
        <v>192</v>
      </c>
      <c r="F247">
        <f>VLOOKUP($C247,'[1]PoB Totals'!$C$3:$T$898,18,FALSE)</f>
        <v>10</v>
      </c>
      <c r="G247">
        <f t="shared" si="10"/>
        <v>202</v>
      </c>
      <c r="H247">
        <f t="shared" si="11"/>
        <v>192</v>
      </c>
      <c r="I247">
        <f t="shared" si="11"/>
        <v>10</v>
      </c>
      <c r="J247">
        <f>VLOOKUP($C247,'[1]PoB WN'!$C$1:$T$898,17,FALSE)</f>
        <v>153</v>
      </c>
      <c r="K247">
        <f>VLOOKUP($C247,'[1]PoB WN'!$C$1:$T$898,18,FALSE)</f>
        <v>0</v>
      </c>
      <c r="L247">
        <f>VLOOKUP($C247,'[1]PoB WH'!$C$1:$T$898,17,FALSE)</f>
        <v>0</v>
      </c>
      <c r="M247">
        <f>VLOOKUP($C247,'[1]PoB WH'!$C$1:$T$898,18,FALSE)</f>
        <v>0</v>
      </c>
      <c r="N247">
        <f>VLOOKUP($C247,'[1]PoB AA'!$C$1:$T$898,17,FALSE)</f>
        <v>0</v>
      </c>
      <c r="O247">
        <f>VLOOKUP($C247,'[1]PoB AA'!$C$1:$T$898,18,FALSE)</f>
        <v>0</v>
      </c>
      <c r="P247">
        <f>VLOOKUP($C247,'[1]PoB AI'!$C$1:$T$898,17,FALSE)</f>
        <v>35</v>
      </c>
      <c r="Q247">
        <f>VLOOKUP($C247,'[1]PoB AI'!$C$1:$T$898,18,FALSE)</f>
        <v>0</v>
      </c>
      <c r="R247">
        <f>VLOOKUP($C247,'[1]PoB AS'!$C$1:$T$898,17,FALSE)</f>
        <v>0</v>
      </c>
      <c r="S247">
        <f>VLOOKUP($C247,'[1]PoB AS'!$C$1:$T$898,18,FALSE)</f>
        <v>0</v>
      </c>
      <c r="T247">
        <f>VLOOKUP($C247,'[1]PoB PI'!$C$1:$T$898,17,FALSE)</f>
        <v>0</v>
      </c>
      <c r="U247">
        <f>VLOOKUP($C247,'[1]PoB PI'!$C$1:$T$898,18,FALSE)</f>
        <v>0</v>
      </c>
      <c r="V247">
        <f>VLOOKUP($C247,'[1]PoB OT'!$C$1:$T$898,17,FALSE)</f>
        <v>4</v>
      </c>
      <c r="W247">
        <f>VLOOKUP($C247,'[1]PoB OT'!$C$1:$T$898,18,FALSE)</f>
        <v>10</v>
      </c>
      <c r="X247">
        <f>VLOOKUP($C247,'[1]PoB 2R'!$C$1:$T$898,17,FALSE)</f>
        <v>0</v>
      </c>
      <c r="Y247">
        <f>VLOOKUP($C247,'[1]PoB 2R'!$C$1:$T$898,18,FALSE)</f>
        <v>0</v>
      </c>
    </row>
    <row r="248" spans="1:25" x14ac:dyDescent="0.25">
      <c r="A248" t="s">
        <v>854</v>
      </c>
      <c r="B248">
        <v>5339212</v>
      </c>
      <c r="C248" t="s">
        <v>855</v>
      </c>
      <c r="D248">
        <f t="shared" si="9"/>
        <v>1717</v>
      </c>
      <c r="E248">
        <f>VLOOKUP($C248,'[1]PoB Totals'!$C$3:$T$898,17,FALSE)</f>
        <v>1673</v>
      </c>
      <c r="F248">
        <f>VLOOKUP($C248,'[1]PoB Totals'!$C$3:$T$898,18,FALSE)</f>
        <v>44</v>
      </c>
      <c r="G248">
        <f t="shared" si="10"/>
        <v>1717</v>
      </c>
      <c r="H248">
        <f t="shared" si="11"/>
        <v>1673</v>
      </c>
      <c r="I248">
        <f t="shared" si="11"/>
        <v>44</v>
      </c>
      <c r="J248">
        <f>VLOOKUP($C248,'[1]PoB WN'!$C$1:$T$898,17,FALSE)</f>
        <v>1597</v>
      </c>
      <c r="K248">
        <f>VLOOKUP($C248,'[1]PoB WN'!$C$1:$T$898,18,FALSE)</f>
        <v>34</v>
      </c>
      <c r="L248">
        <f>VLOOKUP($C248,'[1]PoB WH'!$C$1:$T$898,17,FALSE)</f>
        <v>0</v>
      </c>
      <c r="M248">
        <f>VLOOKUP($C248,'[1]PoB WH'!$C$1:$T$898,18,FALSE)</f>
        <v>0</v>
      </c>
      <c r="N248">
        <f>VLOOKUP($C248,'[1]PoB AA'!$C$1:$T$898,17,FALSE)</f>
        <v>0</v>
      </c>
      <c r="O248">
        <f>VLOOKUP($C248,'[1]PoB AA'!$C$1:$T$898,18,FALSE)</f>
        <v>0</v>
      </c>
      <c r="P248">
        <f>VLOOKUP($C248,'[1]PoB AI'!$C$1:$T$898,17,FALSE)</f>
        <v>0</v>
      </c>
      <c r="Q248">
        <f>VLOOKUP($C248,'[1]PoB AI'!$C$1:$T$898,18,FALSE)</f>
        <v>0</v>
      </c>
      <c r="R248">
        <f>VLOOKUP($C248,'[1]PoB AS'!$C$1:$T$898,17,FALSE)</f>
        <v>0</v>
      </c>
      <c r="S248">
        <f>VLOOKUP($C248,'[1]PoB AS'!$C$1:$T$898,18,FALSE)</f>
        <v>0</v>
      </c>
      <c r="T248">
        <f>VLOOKUP($C248,'[1]PoB PI'!$C$1:$T$898,17,FALSE)</f>
        <v>0</v>
      </c>
      <c r="U248">
        <f>VLOOKUP($C248,'[1]PoB PI'!$C$1:$T$898,18,FALSE)</f>
        <v>0</v>
      </c>
      <c r="V248">
        <f>VLOOKUP($C248,'[1]PoB OT'!$C$1:$T$898,17,FALSE)</f>
        <v>35</v>
      </c>
      <c r="W248">
        <f>VLOOKUP($C248,'[1]PoB OT'!$C$1:$T$898,18,FALSE)</f>
        <v>10</v>
      </c>
      <c r="X248">
        <f>VLOOKUP($C248,'[1]PoB 2R'!$C$1:$T$898,17,FALSE)</f>
        <v>41</v>
      </c>
      <c r="Y248">
        <f>VLOOKUP($C248,'[1]PoB 2R'!$C$1:$T$898,18,FALSE)</f>
        <v>0</v>
      </c>
    </row>
    <row r="249" spans="1:25" x14ac:dyDescent="0.25">
      <c r="A249" t="s">
        <v>856</v>
      </c>
      <c r="B249">
        <v>5339335</v>
      </c>
      <c r="C249" t="s">
        <v>1549</v>
      </c>
      <c r="D249">
        <f t="shared" si="9"/>
        <v>4785</v>
      </c>
      <c r="E249">
        <f>VLOOKUP($C249,'[1]PoB Totals'!$C$3:$T$898,17,FALSE)</f>
        <v>4538</v>
      </c>
      <c r="F249">
        <f>VLOOKUP($C249,'[1]PoB Totals'!$C$3:$T$898,18,FALSE)</f>
        <v>247</v>
      </c>
      <c r="G249">
        <f t="shared" si="10"/>
        <v>4785</v>
      </c>
      <c r="H249">
        <f t="shared" si="11"/>
        <v>4538</v>
      </c>
      <c r="I249">
        <f t="shared" si="11"/>
        <v>247</v>
      </c>
      <c r="J249">
        <f>VLOOKUP($C249,'[1]PoB WN'!$C$1:$T$898,17,FALSE)</f>
        <v>4260</v>
      </c>
      <c r="K249">
        <f>VLOOKUP($C249,'[1]PoB WN'!$C$1:$T$898,18,FALSE)</f>
        <v>132</v>
      </c>
      <c r="L249">
        <f>VLOOKUP($C249,'[1]PoB WH'!$C$1:$T$898,17,FALSE)</f>
        <v>80</v>
      </c>
      <c r="M249">
        <f>VLOOKUP($C249,'[1]PoB WH'!$C$1:$T$898,18,FALSE)</f>
        <v>0</v>
      </c>
      <c r="N249">
        <f>VLOOKUP($C249,'[1]PoB AA'!$C$1:$T$898,17,FALSE)</f>
        <v>13</v>
      </c>
      <c r="O249">
        <f>VLOOKUP($C249,'[1]PoB AA'!$C$1:$T$898,18,FALSE)</f>
        <v>0</v>
      </c>
      <c r="P249">
        <f>VLOOKUP($C249,'[1]PoB AI'!$C$1:$T$898,17,FALSE)</f>
        <v>0</v>
      </c>
      <c r="Q249">
        <f>VLOOKUP($C249,'[1]PoB AI'!$C$1:$T$898,18,FALSE)</f>
        <v>0</v>
      </c>
      <c r="R249">
        <f>VLOOKUP($C249,'[1]PoB AS'!$C$1:$T$898,17,FALSE)</f>
        <v>35</v>
      </c>
      <c r="S249">
        <f>VLOOKUP($C249,'[1]PoB AS'!$C$1:$T$898,18,FALSE)</f>
        <v>101</v>
      </c>
      <c r="T249">
        <f>VLOOKUP($C249,'[1]PoB PI'!$C$1:$T$898,17,FALSE)</f>
        <v>0</v>
      </c>
      <c r="U249">
        <f>VLOOKUP($C249,'[1]PoB PI'!$C$1:$T$898,18,FALSE)</f>
        <v>0</v>
      </c>
      <c r="V249">
        <f>VLOOKUP($C249,'[1]PoB OT'!$C$1:$T$898,17,FALSE)</f>
        <v>8</v>
      </c>
      <c r="W249">
        <f>VLOOKUP($C249,'[1]PoB OT'!$C$1:$T$898,18,FALSE)</f>
        <v>0</v>
      </c>
      <c r="X249">
        <f>VLOOKUP($C249,'[1]PoB 2R'!$C$1:$T$898,17,FALSE)</f>
        <v>142</v>
      </c>
      <c r="Y249">
        <f>VLOOKUP($C249,'[1]PoB 2R'!$C$1:$T$898,18,FALSE)</f>
        <v>14</v>
      </c>
    </row>
    <row r="250" spans="1:25" x14ac:dyDescent="0.25">
      <c r="A250" t="s">
        <v>858</v>
      </c>
      <c r="B250">
        <v>5339510</v>
      </c>
      <c r="C250" t="s">
        <v>859</v>
      </c>
      <c r="D250">
        <f t="shared" si="9"/>
        <v>585</v>
      </c>
      <c r="E250">
        <f>VLOOKUP($C250,'[1]PoB Totals'!$C$3:$T$898,17,FALSE)</f>
        <v>557</v>
      </c>
      <c r="F250">
        <f>VLOOKUP($C250,'[1]PoB Totals'!$C$3:$T$898,18,FALSE)</f>
        <v>28</v>
      </c>
      <c r="G250">
        <f t="shared" si="10"/>
        <v>585</v>
      </c>
      <c r="H250">
        <f t="shared" si="11"/>
        <v>557</v>
      </c>
      <c r="I250">
        <f t="shared" si="11"/>
        <v>28</v>
      </c>
      <c r="J250">
        <f>VLOOKUP($C250,'[1]PoB WN'!$C$1:$T$898,17,FALSE)</f>
        <v>506</v>
      </c>
      <c r="K250">
        <f>VLOOKUP($C250,'[1]PoB WN'!$C$1:$T$898,18,FALSE)</f>
        <v>8</v>
      </c>
      <c r="L250">
        <f>VLOOKUP($C250,'[1]PoB WH'!$C$1:$T$898,17,FALSE)</f>
        <v>13</v>
      </c>
      <c r="M250">
        <f>VLOOKUP($C250,'[1]PoB WH'!$C$1:$T$898,18,FALSE)</f>
        <v>0</v>
      </c>
      <c r="N250">
        <f>VLOOKUP($C250,'[1]PoB AA'!$C$1:$T$898,17,FALSE)</f>
        <v>2</v>
      </c>
      <c r="O250">
        <f>VLOOKUP($C250,'[1]PoB AA'!$C$1:$T$898,18,FALSE)</f>
        <v>0</v>
      </c>
      <c r="P250">
        <f>VLOOKUP($C250,'[1]PoB AI'!$C$1:$T$898,17,FALSE)</f>
        <v>0</v>
      </c>
      <c r="Q250">
        <f>VLOOKUP($C250,'[1]PoB AI'!$C$1:$T$898,18,FALSE)</f>
        <v>0</v>
      </c>
      <c r="R250">
        <f>VLOOKUP($C250,'[1]PoB AS'!$C$1:$T$898,17,FALSE)</f>
        <v>0</v>
      </c>
      <c r="S250">
        <f>VLOOKUP($C250,'[1]PoB AS'!$C$1:$T$898,18,FALSE)</f>
        <v>0</v>
      </c>
      <c r="T250">
        <f>VLOOKUP($C250,'[1]PoB PI'!$C$1:$T$898,17,FALSE)</f>
        <v>0</v>
      </c>
      <c r="U250">
        <f>VLOOKUP($C250,'[1]PoB PI'!$C$1:$T$898,18,FALSE)</f>
        <v>0</v>
      </c>
      <c r="V250">
        <f>VLOOKUP($C250,'[1]PoB OT'!$C$1:$T$898,17,FALSE)</f>
        <v>32</v>
      </c>
      <c r="W250">
        <f>VLOOKUP($C250,'[1]PoB OT'!$C$1:$T$898,18,FALSE)</f>
        <v>20</v>
      </c>
      <c r="X250">
        <f>VLOOKUP($C250,'[1]PoB 2R'!$C$1:$T$898,17,FALSE)</f>
        <v>4</v>
      </c>
      <c r="Y250">
        <f>VLOOKUP($C250,'[1]PoB 2R'!$C$1:$T$898,18,FALSE)</f>
        <v>0</v>
      </c>
    </row>
    <row r="251" spans="1:25" x14ac:dyDescent="0.25">
      <c r="A251" t="s">
        <v>860</v>
      </c>
      <c r="B251">
        <v>5339860</v>
      </c>
      <c r="C251" t="s">
        <v>861</v>
      </c>
      <c r="D251">
        <f t="shared" si="9"/>
        <v>2111</v>
      </c>
      <c r="E251">
        <f>VLOOKUP($C251,'[1]PoB Totals'!$C$3:$T$898,17,FALSE)</f>
        <v>1962</v>
      </c>
      <c r="F251">
        <f>VLOOKUP($C251,'[1]PoB Totals'!$C$3:$T$898,18,FALSE)</f>
        <v>149</v>
      </c>
      <c r="G251">
        <f t="shared" si="10"/>
        <v>2111</v>
      </c>
      <c r="H251">
        <f t="shared" si="11"/>
        <v>1962</v>
      </c>
      <c r="I251">
        <f t="shared" si="11"/>
        <v>149</v>
      </c>
      <c r="J251">
        <f>VLOOKUP($C251,'[1]PoB WN'!$C$1:$T$898,17,FALSE)</f>
        <v>1799</v>
      </c>
      <c r="K251">
        <f>VLOOKUP($C251,'[1]PoB WN'!$C$1:$T$898,18,FALSE)</f>
        <v>84</v>
      </c>
      <c r="L251">
        <f>VLOOKUP($C251,'[1]PoB WH'!$C$1:$T$898,17,FALSE)</f>
        <v>57</v>
      </c>
      <c r="M251">
        <f>VLOOKUP($C251,'[1]PoB WH'!$C$1:$T$898,18,FALSE)</f>
        <v>24</v>
      </c>
      <c r="N251">
        <f>VLOOKUP($C251,'[1]PoB AA'!$C$1:$T$898,17,FALSE)</f>
        <v>0</v>
      </c>
      <c r="O251">
        <f>VLOOKUP($C251,'[1]PoB AA'!$C$1:$T$898,18,FALSE)</f>
        <v>0</v>
      </c>
      <c r="P251">
        <f>VLOOKUP($C251,'[1]PoB AI'!$C$1:$T$898,17,FALSE)</f>
        <v>38</v>
      </c>
      <c r="Q251">
        <f>VLOOKUP($C251,'[1]PoB AI'!$C$1:$T$898,18,FALSE)</f>
        <v>0</v>
      </c>
      <c r="R251">
        <f>VLOOKUP($C251,'[1]PoB AS'!$C$1:$T$898,17,FALSE)</f>
        <v>11</v>
      </c>
      <c r="S251">
        <f>VLOOKUP($C251,'[1]PoB AS'!$C$1:$T$898,18,FALSE)</f>
        <v>0</v>
      </c>
      <c r="T251">
        <f>VLOOKUP($C251,'[1]PoB PI'!$C$1:$T$898,17,FALSE)</f>
        <v>17</v>
      </c>
      <c r="U251">
        <f>VLOOKUP($C251,'[1]PoB PI'!$C$1:$T$898,18,FALSE)</f>
        <v>13</v>
      </c>
      <c r="V251">
        <f>VLOOKUP($C251,'[1]PoB OT'!$C$1:$T$898,17,FALSE)</f>
        <v>8</v>
      </c>
      <c r="W251">
        <f>VLOOKUP($C251,'[1]PoB OT'!$C$1:$T$898,18,FALSE)</f>
        <v>28</v>
      </c>
      <c r="X251">
        <f>VLOOKUP($C251,'[1]PoB 2R'!$C$1:$T$898,17,FALSE)</f>
        <v>32</v>
      </c>
      <c r="Y251">
        <f>VLOOKUP($C251,'[1]PoB 2R'!$C$1:$T$898,18,FALSE)</f>
        <v>0</v>
      </c>
    </row>
    <row r="252" spans="1:25" x14ac:dyDescent="0.25">
      <c r="A252" t="s">
        <v>864</v>
      </c>
      <c r="B252">
        <v>5340070</v>
      </c>
      <c r="C252" t="s">
        <v>865</v>
      </c>
      <c r="D252">
        <f t="shared" si="9"/>
        <v>1286</v>
      </c>
      <c r="E252">
        <f>VLOOKUP($C252,'[1]PoB Totals'!$C$3:$T$898,17,FALSE)</f>
        <v>1195</v>
      </c>
      <c r="F252">
        <f>VLOOKUP($C252,'[1]PoB Totals'!$C$3:$T$898,18,FALSE)</f>
        <v>91</v>
      </c>
      <c r="G252">
        <f t="shared" si="10"/>
        <v>1286</v>
      </c>
      <c r="H252">
        <f t="shared" si="11"/>
        <v>1195</v>
      </c>
      <c r="I252">
        <f t="shared" si="11"/>
        <v>91</v>
      </c>
      <c r="J252">
        <f>VLOOKUP($C252,'[1]PoB WN'!$C$1:$T$898,17,FALSE)</f>
        <v>1083</v>
      </c>
      <c r="K252">
        <f>VLOOKUP($C252,'[1]PoB WN'!$C$1:$T$898,18,FALSE)</f>
        <v>39</v>
      </c>
      <c r="L252">
        <f>VLOOKUP($C252,'[1]PoB WH'!$C$1:$T$898,17,FALSE)</f>
        <v>35</v>
      </c>
      <c r="M252">
        <f>VLOOKUP($C252,'[1]PoB WH'!$C$1:$T$898,18,FALSE)</f>
        <v>13</v>
      </c>
      <c r="N252">
        <f>VLOOKUP($C252,'[1]PoB AA'!$C$1:$T$898,17,FALSE)</f>
        <v>2</v>
      </c>
      <c r="O252">
        <f>VLOOKUP($C252,'[1]PoB AA'!$C$1:$T$898,18,FALSE)</f>
        <v>0</v>
      </c>
      <c r="P252">
        <f>VLOOKUP($C252,'[1]PoB AI'!$C$1:$T$898,17,FALSE)</f>
        <v>18</v>
      </c>
      <c r="Q252">
        <f>VLOOKUP($C252,'[1]PoB AI'!$C$1:$T$898,18,FALSE)</f>
        <v>5</v>
      </c>
      <c r="R252">
        <f>VLOOKUP($C252,'[1]PoB AS'!$C$1:$T$898,17,FALSE)</f>
        <v>5</v>
      </c>
      <c r="S252">
        <f>VLOOKUP($C252,'[1]PoB AS'!$C$1:$T$898,18,FALSE)</f>
        <v>19</v>
      </c>
      <c r="T252">
        <f>VLOOKUP($C252,'[1]PoB PI'!$C$1:$T$898,17,FALSE)</f>
        <v>0</v>
      </c>
      <c r="U252">
        <f>VLOOKUP($C252,'[1]PoB PI'!$C$1:$T$898,18,FALSE)</f>
        <v>0</v>
      </c>
      <c r="V252">
        <f>VLOOKUP($C252,'[1]PoB OT'!$C$1:$T$898,17,FALSE)</f>
        <v>0</v>
      </c>
      <c r="W252">
        <f>VLOOKUP($C252,'[1]PoB OT'!$C$1:$T$898,18,FALSE)</f>
        <v>6</v>
      </c>
      <c r="X252">
        <f>VLOOKUP($C252,'[1]PoB 2R'!$C$1:$T$898,17,FALSE)</f>
        <v>52</v>
      </c>
      <c r="Y252">
        <f>VLOOKUP($C252,'[1]PoB 2R'!$C$1:$T$898,18,FALSE)</f>
        <v>9</v>
      </c>
    </row>
    <row r="253" spans="1:25" x14ac:dyDescent="0.25">
      <c r="A253" t="s">
        <v>868</v>
      </c>
      <c r="B253">
        <v>5340245</v>
      </c>
      <c r="C253" t="s">
        <v>869</v>
      </c>
      <c r="D253">
        <f t="shared" si="9"/>
        <v>34804</v>
      </c>
      <c r="E253">
        <f>VLOOKUP($C253,'[1]PoB Totals'!$C$3:$T$898,17,FALSE)</f>
        <v>32621</v>
      </c>
      <c r="F253">
        <f>VLOOKUP($C253,'[1]PoB Totals'!$C$3:$T$898,18,FALSE)</f>
        <v>2183</v>
      </c>
      <c r="G253">
        <f t="shared" si="10"/>
        <v>34804</v>
      </c>
      <c r="H253">
        <f t="shared" si="11"/>
        <v>32621</v>
      </c>
      <c r="I253">
        <f t="shared" si="11"/>
        <v>2183</v>
      </c>
      <c r="J253">
        <f>VLOOKUP($C253,'[1]PoB WN'!$C$1:$T$898,17,FALSE)</f>
        <v>29535</v>
      </c>
      <c r="K253">
        <f>VLOOKUP($C253,'[1]PoB WN'!$C$1:$T$898,18,FALSE)</f>
        <v>739</v>
      </c>
      <c r="L253">
        <f>VLOOKUP($C253,'[1]PoB WH'!$C$1:$T$898,17,FALSE)</f>
        <v>575</v>
      </c>
      <c r="M253">
        <f>VLOOKUP($C253,'[1]PoB WH'!$C$1:$T$898,18,FALSE)</f>
        <v>245</v>
      </c>
      <c r="N253">
        <f>VLOOKUP($C253,'[1]PoB AA'!$C$1:$T$898,17,FALSE)</f>
        <v>204</v>
      </c>
      <c r="O253">
        <f>VLOOKUP($C253,'[1]PoB AA'!$C$1:$T$898,18,FALSE)</f>
        <v>24</v>
      </c>
      <c r="P253">
        <f>VLOOKUP($C253,'[1]PoB AI'!$C$1:$T$898,17,FALSE)</f>
        <v>647</v>
      </c>
      <c r="Q253">
        <f>VLOOKUP($C253,'[1]PoB AI'!$C$1:$T$898,18,FALSE)</f>
        <v>0</v>
      </c>
      <c r="R253">
        <f>VLOOKUP($C253,'[1]PoB AS'!$C$1:$T$898,17,FALSE)</f>
        <v>296</v>
      </c>
      <c r="S253">
        <f>VLOOKUP($C253,'[1]PoB AS'!$C$1:$T$898,18,FALSE)</f>
        <v>563</v>
      </c>
      <c r="T253">
        <f>VLOOKUP($C253,'[1]PoB PI'!$C$1:$T$898,17,FALSE)</f>
        <v>37</v>
      </c>
      <c r="U253">
        <f>VLOOKUP($C253,'[1]PoB PI'!$C$1:$T$898,18,FALSE)</f>
        <v>0</v>
      </c>
      <c r="V253">
        <f>VLOOKUP($C253,'[1]PoB OT'!$C$1:$T$898,17,FALSE)</f>
        <v>523</v>
      </c>
      <c r="W253">
        <f>VLOOKUP($C253,'[1]PoB OT'!$C$1:$T$898,18,FALSE)</f>
        <v>543</v>
      </c>
      <c r="X253">
        <f>VLOOKUP($C253,'[1]PoB 2R'!$C$1:$T$898,17,FALSE)</f>
        <v>804</v>
      </c>
      <c r="Y253">
        <f>VLOOKUP($C253,'[1]PoB 2R'!$C$1:$T$898,18,FALSE)</f>
        <v>69</v>
      </c>
    </row>
    <row r="254" spans="1:25" x14ac:dyDescent="0.25">
      <c r="A254" t="s">
        <v>870</v>
      </c>
      <c r="B254">
        <v>5340270</v>
      </c>
      <c r="C254" t="s">
        <v>871</v>
      </c>
      <c r="D254">
        <f t="shared" si="9"/>
        <v>3292</v>
      </c>
      <c r="E254">
        <f>VLOOKUP($C254,'[1]PoB Totals'!$C$3:$T$898,17,FALSE)</f>
        <v>3177</v>
      </c>
      <c r="F254">
        <f>VLOOKUP($C254,'[1]PoB Totals'!$C$3:$T$898,18,FALSE)</f>
        <v>115</v>
      </c>
      <c r="G254">
        <f t="shared" si="10"/>
        <v>3292</v>
      </c>
      <c r="H254">
        <f t="shared" si="11"/>
        <v>3177</v>
      </c>
      <c r="I254">
        <f t="shared" si="11"/>
        <v>115</v>
      </c>
      <c r="J254">
        <f>VLOOKUP($C254,'[1]PoB WN'!$C$1:$T$898,17,FALSE)</f>
        <v>3007</v>
      </c>
      <c r="K254">
        <f>VLOOKUP($C254,'[1]PoB WN'!$C$1:$T$898,18,FALSE)</f>
        <v>103</v>
      </c>
      <c r="L254">
        <f>VLOOKUP($C254,'[1]PoB WH'!$C$1:$T$898,17,FALSE)</f>
        <v>6</v>
      </c>
      <c r="M254">
        <f>VLOOKUP($C254,'[1]PoB WH'!$C$1:$T$898,18,FALSE)</f>
        <v>0</v>
      </c>
      <c r="N254">
        <f>VLOOKUP($C254,'[1]PoB AA'!$C$1:$T$898,17,FALSE)</f>
        <v>0</v>
      </c>
      <c r="O254">
        <f>VLOOKUP($C254,'[1]PoB AA'!$C$1:$T$898,18,FALSE)</f>
        <v>0</v>
      </c>
      <c r="P254">
        <f>VLOOKUP($C254,'[1]PoB AI'!$C$1:$T$898,17,FALSE)</f>
        <v>59</v>
      </c>
      <c r="Q254">
        <f>VLOOKUP($C254,'[1]PoB AI'!$C$1:$T$898,18,FALSE)</f>
        <v>0</v>
      </c>
      <c r="R254">
        <f>VLOOKUP($C254,'[1]PoB AS'!$C$1:$T$898,17,FALSE)</f>
        <v>8</v>
      </c>
      <c r="S254">
        <f>VLOOKUP($C254,'[1]PoB AS'!$C$1:$T$898,18,FALSE)</f>
        <v>12</v>
      </c>
      <c r="T254">
        <f>VLOOKUP($C254,'[1]PoB PI'!$C$1:$T$898,17,FALSE)</f>
        <v>39</v>
      </c>
      <c r="U254">
        <f>VLOOKUP($C254,'[1]PoB PI'!$C$1:$T$898,18,FALSE)</f>
        <v>0</v>
      </c>
      <c r="V254">
        <f>VLOOKUP($C254,'[1]PoB OT'!$C$1:$T$898,17,FALSE)</f>
        <v>0</v>
      </c>
      <c r="W254">
        <f>VLOOKUP($C254,'[1]PoB OT'!$C$1:$T$898,18,FALSE)</f>
        <v>0</v>
      </c>
      <c r="X254">
        <f>VLOOKUP($C254,'[1]PoB 2R'!$C$1:$T$898,17,FALSE)</f>
        <v>58</v>
      </c>
      <c r="Y254">
        <f>VLOOKUP($C254,'[1]PoB 2R'!$C$1:$T$898,18,FALSE)</f>
        <v>0</v>
      </c>
    </row>
    <row r="255" spans="1:25" x14ac:dyDescent="0.25">
      <c r="A255" t="s">
        <v>878</v>
      </c>
      <c r="B255">
        <v>5340735</v>
      </c>
      <c r="C255" t="s">
        <v>879</v>
      </c>
      <c r="D255">
        <f t="shared" si="9"/>
        <v>507</v>
      </c>
      <c r="E255">
        <f>VLOOKUP($C255,'[1]PoB Totals'!$C$3:$T$898,17,FALSE)</f>
        <v>496</v>
      </c>
      <c r="F255">
        <f>VLOOKUP($C255,'[1]PoB Totals'!$C$3:$T$898,18,FALSE)</f>
        <v>11</v>
      </c>
      <c r="G255">
        <f t="shared" si="10"/>
        <v>507</v>
      </c>
      <c r="H255">
        <f t="shared" si="11"/>
        <v>496</v>
      </c>
      <c r="I255">
        <f t="shared" si="11"/>
        <v>11</v>
      </c>
      <c r="J255">
        <f>VLOOKUP($C255,'[1]PoB WN'!$C$1:$T$898,17,FALSE)</f>
        <v>440</v>
      </c>
      <c r="K255">
        <f>VLOOKUP($C255,'[1]PoB WN'!$C$1:$T$898,18,FALSE)</f>
        <v>5</v>
      </c>
      <c r="L255">
        <f>VLOOKUP($C255,'[1]PoB WH'!$C$1:$T$898,17,FALSE)</f>
        <v>6</v>
      </c>
      <c r="M255">
        <f>VLOOKUP($C255,'[1]PoB WH'!$C$1:$T$898,18,FALSE)</f>
        <v>0</v>
      </c>
      <c r="N255">
        <f>VLOOKUP($C255,'[1]PoB AA'!$C$1:$T$898,17,FALSE)</f>
        <v>0</v>
      </c>
      <c r="O255">
        <f>VLOOKUP($C255,'[1]PoB AA'!$C$1:$T$898,18,FALSE)</f>
        <v>0</v>
      </c>
      <c r="P255">
        <f>VLOOKUP($C255,'[1]PoB AI'!$C$1:$T$898,17,FALSE)</f>
        <v>18</v>
      </c>
      <c r="Q255">
        <f>VLOOKUP($C255,'[1]PoB AI'!$C$1:$T$898,18,FALSE)</f>
        <v>0</v>
      </c>
      <c r="R255">
        <f>VLOOKUP($C255,'[1]PoB AS'!$C$1:$T$898,17,FALSE)</f>
        <v>6</v>
      </c>
      <c r="S255">
        <f>VLOOKUP($C255,'[1]PoB AS'!$C$1:$T$898,18,FALSE)</f>
        <v>6</v>
      </c>
      <c r="T255">
        <f>VLOOKUP($C255,'[1]PoB PI'!$C$1:$T$898,17,FALSE)</f>
        <v>0</v>
      </c>
      <c r="U255">
        <f>VLOOKUP($C255,'[1]PoB PI'!$C$1:$T$898,18,FALSE)</f>
        <v>0</v>
      </c>
      <c r="V255">
        <f>VLOOKUP($C255,'[1]PoB OT'!$C$1:$T$898,17,FALSE)</f>
        <v>22</v>
      </c>
      <c r="W255">
        <f>VLOOKUP($C255,'[1]PoB OT'!$C$1:$T$898,18,FALSE)</f>
        <v>0</v>
      </c>
      <c r="X255">
        <f>VLOOKUP($C255,'[1]PoB 2R'!$C$1:$T$898,17,FALSE)</f>
        <v>4</v>
      </c>
      <c r="Y255">
        <f>VLOOKUP($C255,'[1]PoB 2R'!$C$1:$T$898,18,FALSE)</f>
        <v>0</v>
      </c>
    </row>
    <row r="256" spans="1:25" x14ac:dyDescent="0.25">
      <c r="A256" t="s">
        <v>880</v>
      </c>
      <c r="B256">
        <v>5340770</v>
      </c>
      <c r="C256" t="s">
        <v>881</v>
      </c>
      <c r="D256">
        <f t="shared" si="9"/>
        <v>384</v>
      </c>
      <c r="E256">
        <f>VLOOKUP($C256,'[1]PoB Totals'!$C$3:$T$898,17,FALSE)</f>
        <v>374</v>
      </c>
      <c r="F256">
        <f>VLOOKUP($C256,'[1]PoB Totals'!$C$3:$T$898,18,FALSE)</f>
        <v>10</v>
      </c>
      <c r="G256">
        <f t="shared" si="10"/>
        <v>384</v>
      </c>
      <c r="H256">
        <f t="shared" si="11"/>
        <v>374</v>
      </c>
      <c r="I256">
        <f t="shared" si="11"/>
        <v>10</v>
      </c>
      <c r="J256">
        <f>VLOOKUP($C256,'[1]PoB WN'!$C$1:$T$898,17,FALSE)</f>
        <v>367</v>
      </c>
      <c r="K256">
        <f>VLOOKUP($C256,'[1]PoB WN'!$C$1:$T$898,18,FALSE)</f>
        <v>6</v>
      </c>
      <c r="L256">
        <f>VLOOKUP($C256,'[1]PoB WH'!$C$1:$T$898,17,FALSE)</f>
        <v>0</v>
      </c>
      <c r="M256">
        <f>VLOOKUP($C256,'[1]PoB WH'!$C$1:$T$898,18,FALSE)</f>
        <v>0</v>
      </c>
      <c r="N256">
        <f>VLOOKUP($C256,'[1]PoB AA'!$C$1:$T$898,17,FALSE)</f>
        <v>0</v>
      </c>
      <c r="O256">
        <f>VLOOKUP($C256,'[1]PoB AA'!$C$1:$T$898,18,FALSE)</f>
        <v>0</v>
      </c>
      <c r="P256">
        <f>VLOOKUP($C256,'[1]PoB AI'!$C$1:$T$898,17,FALSE)</f>
        <v>1</v>
      </c>
      <c r="Q256">
        <f>VLOOKUP($C256,'[1]PoB AI'!$C$1:$T$898,18,FALSE)</f>
        <v>0</v>
      </c>
      <c r="R256">
        <f>VLOOKUP($C256,'[1]PoB AS'!$C$1:$T$898,17,FALSE)</f>
        <v>0</v>
      </c>
      <c r="S256">
        <f>VLOOKUP($C256,'[1]PoB AS'!$C$1:$T$898,18,FALSE)</f>
        <v>4</v>
      </c>
      <c r="T256">
        <f>VLOOKUP($C256,'[1]PoB PI'!$C$1:$T$898,17,FALSE)</f>
        <v>0</v>
      </c>
      <c r="U256">
        <f>VLOOKUP($C256,'[1]PoB PI'!$C$1:$T$898,18,FALSE)</f>
        <v>0</v>
      </c>
      <c r="V256">
        <f>VLOOKUP($C256,'[1]PoB OT'!$C$1:$T$898,17,FALSE)</f>
        <v>0</v>
      </c>
      <c r="W256">
        <f>VLOOKUP($C256,'[1]PoB OT'!$C$1:$T$898,18,FALSE)</f>
        <v>0</v>
      </c>
      <c r="X256">
        <f>VLOOKUP($C256,'[1]PoB 2R'!$C$1:$T$898,17,FALSE)</f>
        <v>6</v>
      </c>
      <c r="Y256">
        <f>VLOOKUP($C256,'[1]PoB 2R'!$C$1:$T$898,18,FALSE)</f>
        <v>0</v>
      </c>
    </row>
    <row r="257" spans="1:25" x14ac:dyDescent="0.25">
      <c r="A257" t="s">
        <v>882</v>
      </c>
      <c r="B257">
        <v>5340805</v>
      </c>
      <c r="C257" t="s">
        <v>883</v>
      </c>
      <c r="D257">
        <f t="shared" si="9"/>
        <v>9093</v>
      </c>
      <c r="E257">
        <f>VLOOKUP($C257,'[1]PoB Totals'!$C$3:$T$898,17,FALSE)</f>
        <v>7899</v>
      </c>
      <c r="F257">
        <f>VLOOKUP($C257,'[1]PoB Totals'!$C$3:$T$898,18,FALSE)</f>
        <v>1194</v>
      </c>
      <c r="G257">
        <f t="shared" si="10"/>
        <v>9093</v>
      </c>
      <c r="H257">
        <f t="shared" si="11"/>
        <v>7899</v>
      </c>
      <c r="I257">
        <f t="shared" si="11"/>
        <v>1194</v>
      </c>
      <c r="J257">
        <f>VLOOKUP($C257,'[1]PoB WN'!$C$1:$T$898,17,FALSE)</f>
        <v>7435</v>
      </c>
      <c r="K257">
        <f>VLOOKUP($C257,'[1]PoB WN'!$C$1:$T$898,18,FALSE)</f>
        <v>926</v>
      </c>
      <c r="L257">
        <f>VLOOKUP($C257,'[1]PoB WH'!$C$1:$T$898,17,FALSE)</f>
        <v>116</v>
      </c>
      <c r="M257">
        <f>VLOOKUP($C257,'[1]PoB WH'!$C$1:$T$898,18,FALSE)</f>
        <v>11</v>
      </c>
      <c r="N257">
        <f>VLOOKUP($C257,'[1]PoB AA'!$C$1:$T$898,17,FALSE)</f>
        <v>5</v>
      </c>
      <c r="O257">
        <f>VLOOKUP($C257,'[1]PoB AA'!$C$1:$T$898,18,FALSE)</f>
        <v>0</v>
      </c>
      <c r="P257">
        <f>VLOOKUP($C257,'[1]PoB AI'!$C$1:$T$898,17,FALSE)</f>
        <v>14</v>
      </c>
      <c r="Q257">
        <f>VLOOKUP($C257,'[1]PoB AI'!$C$1:$T$898,18,FALSE)</f>
        <v>8</v>
      </c>
      <c r="R257">
        <f>VLOOKUP($C257,'[1]PoB AS'!$C$1:$T$898,17,FALSE)</f>
        <v>70</v>
      </c>
      <c r="S257">
        <f>VLOOKUP($C257,'[1]PoB AS'!$C$1:$T$898,18,FALSE)</f>
        <v>226</v>
      </c>
      <c r="T257">
        <f>VLOOKUP($C257,'[1]PoB PI'!$C$1:$T$898,17,FALSE)</f>
        <v>8</v>
      </c>
      <c r="U257">
        <f>VLOOKUP($C257,'[1]PoB PI'!$C$1:$T$898,18,FALSE)</f>
        <v>0</v>
      </c>
      <c r="V257">
        <f>VLOOKUP($C257,'[1]PoB OT'!$C$1:$T$898,17,FALSE)</f>
        <v>167</v>
      </c>
      <c r="W257">
        <f>VLOOKUP($C257,'[1]PoB OT'!$C$1:$T$898,18,FALSE)</f>
        <v>17</v>
      </c>
      <c r="X257">
        <f>VLOOKUP($C257,'[1]PoB 2R'!$C$1:$T$898,17,FALSE)</f>
        <v>84</v>
      </c>
      <c r="Y257">
        <f>VLOOKUP($C257,'[1]PoB 2R'!$C$1:$T$898,18,FALSE)</f>
        <v>6</v>
      </c>
    </row>
    <row r="258" spans="1:25" x14ac:dyDescent="0.25">
      <c r="A258" t="s">
        <v>884</v>
      </c>
      <c r="B258">
        <v>5340840</v>
      </c>
      <c r="C258" t="s">
        <v>885</v>
      </c>
      <c r="D258">
        <f t="shared" si="9"/>
        <v>33730</v>
      </c>
      <c r="E258">
        <f>VLOOKUP($C258,'[1]PoB Totals'!$C$3:$T$898,17,FALSE)</f>
        <v>26004</v>
      </c>
      <c r="F258">
        <f>VLOOKUP($C258,'[1]PoB Totals'!$C$3:$T$898,18,FALSE)</f>
        <v>7726</v>
      </c>
      <c r="G258">
        <f t="shared" si="10"/>
        <v>33730</v>
      </c>
      <c r="H258">
        <f t="shared" si="11"/>
        <v>26004</v>
      </c>
      <c r="I258">
        <f t="shared" si="11"/>
        <v>7726</v>
      </c>
      <c r="J258">
        <f>VLOOKUP($C258,'[1]PoB WN'!$C$1:$T$898,17,FALSE)</f>
        <v>21600</v>
      </c>
      <c r="K258">
        <f>VLOOKUP($C258,'[1]PoB WN'!$C$1:$T$898,18,FALSE)</f>
        <v>2412</v>
      </c>
      <c r="L258">
        <f>VLOOKUP($C258,'[1]PoB WH'!$C$1:$T$898,17,FALSE)</f>
        <v>556</v>
      </c>
      <c r="M258">
        <f>VLOOKUP($C258,'[1]PoB WH'!$C$1:$T$898,18,FALSE)</f>
        <v>525</v>
      </c>
      <c r="N258">
        <f>VLOOKUP($C258,'[1]PoB AA'!$C$1:$T$898,17,FALSE)</f>
        <v>924</v>
      </c>
      <c r="O258">
        <f>VLOOKUP($C258,'[1]PoB AA'!$C$1:$T$898,18,FALSE)</f>
        <v>270</v>
      </c>
      <c r="P258">
        <f>VLOOKUP($C258,'[1]PoB AI'!$C$1:$T$898,17,FALSE)</f>
        <v>235</v>
      </c>
      <c r="Q258">
        <f>VLOOKUP($C258,'[1]PoB AI'!$C$1:$T$898,18,FALSE)</f>
        <v>87</v>
      </c>
      <c r="R258">
        <f>VLOOKUP($C258,'[1]PoB AS'!$C$1:$T$898,17,FALSE)</f>
        <v>1139</v>
      </c>
      <c r="S258">
        <f>VLOOKUP($C258,'[1]PoB AS'!$C$1:$T$898,18,FALSE)</f>
        <v>3567</v>
      </c>
      <c r="T258">
        <f>VLOOKUP($C258,'[1]PoB PI'!$C$1:$T$898,17,FALSE)</f>
        <v>96</v>
      </c>
      <c r="U258">
        <f>VLOOKUP($C258,'[1]PoB PI'!$C$1:$T$898,18,FALSE)</f>
        <v>76</v>
      </c>
      <c r="V258">
        <f>VLOOKUP($C258,'[1]PoB OT'!$C$1:$T$898,17,FALSE)</f>
        <v>323</v>
      </c>
      <c r="W258">
        <f>VLOOKUP($C258,'[1]PoB OT'!$C$1:$T$898,18,FALSE)</f>
        <v>493</v>
      </c>
      <c r="X258">
        <f>VLOOKUP($C258,'[1]PoB 2R'!$C$1:$T$898,17,FALSE)</f>
        <v>1131</v>
      </c>
      <c r="Y258">
        <f>VLOOKUP($C258,'[1]PoB 2R'!$C$1:$T$898,18,FALSE)</f>
        <v>296</v>
      </c>
    </row>
    <row r="259" spans="1:25" x14ac:dyDescent="0.25">
      <c r="A259" t="s">
        <v>886</v>
      </c>
      <c r="B259">
        <v>5340980</v>
      </c>
      <c r="C259" t="s">
        <v>887</v>
      </c>
      <c r="D259">
        <f t="shared" ref="D259:D322" si="12">SUM(E259,F259)</f>
        <v>1923</v>
      </c>
      <c r="E259">
        <f>VLOOKUP($C259,'[1]PoB Totals'!$C$3:$T$898,17,FALSE)</f>
        <v>1259</v>
      </c>
      <c r="F259">
        <f>VLOOKUP($C259,'[1]PoB Totals'!$C$3:$T$898,18,FALSE)</f>
        <v>664</v>
      </c>
      <c r="G259">
        <f t="shared" ref="G259:G322" si="13">H259+I259</f>
        <v>1923</v>
      </c>
      <c r="H259">
        <f t="shared" ref="H259:I322" si="14">SUM(J259,L259,N259,P259,R259,T259,V259,X259)</f>
        <v>1259</v>
      </c>
      <c r="I259">
        <f t="shared" si="14"/>
        <v>664</v>
      </c>
      <c r="J259">
        <f>VLOOKUP($C259,'[1]PoB WN'!$C$1:$T$898,17,FALSE)</f>
        <v>203</v>
      </c>
      <c r="K259">
        <f>VLOOKUP($C259,'[1]PoB WN'!$C$1:$T$898,18,FALSE)</f>
        <v>11</v>
      </c>
      <c r="L259">
        <f>VLOOKUP($C259,'[1]PoB WH'!$C$1:$T$898,17,FALSE)</f>
        <v>143</v>
      </c>
      <c r="M259">
        <f>VLOOKUP($C259,'[1]PoB WH'!$C$1:$T$898,18,FALSE)</f>
        <v>72</v>
      </c>
      <c r="N259">
        <f>VLOOKUP($C259,'[1]PoB AA'!$C$1:$T$898,17,FALSE)</f>
        <v>0</v>
      </c>
      <c r="O259">
        <f>VLOOKUP($C259,'[1]PoB AA'!$C$1:$T$898,18,FALSE)</f>
        <v>0</v>
      </c>
      <c r="P259">
        <f>VLOOKUP($C259,'[1]PoB AI'!$C$1:$T$898,17,FALSE)</f>
        <v>2</v>
      </c>
      <c r="Q259">
        <f>VLOOKUP($C259,'[1]PoB AI'!$C$1:$T$898,18,FALSE)</f>
        <v>0</v>
      </c>
      <c r="R259">
        <f>VLOOKUP($C259,'[1]PoB AS'!$C$1:$T$898,17,FALSE)</f>
        <v>8</v>
      </c>
      <c r="S259">
        <f>VLOOKUP($C259,'[1]PoB AS'!$C$1:$T$898,18,FALSE)</f>
        <v>12</v>
      </c>
      <c r="T259">
        <f>VLOOKUP($C259,'[1]PoB PI'!$C$1:$T$898,17,FALSE)</f>
        <v>0</v>
      </c>
      <c r="U259">
        <f>VLOOKUP($C259,'[1]PoB PI'!$C$1:$T$898,18,FALSE)</f>
        <v>0</v>
      </c>
      <c r="V259">
        <f>VLOOKUP($C259,'[1]PoB OT'!$C$1:$T$898,17,FALSE)</f>
        <v>854</v>
      </c>
      <c r="W259">
        <f>VLOOKUP($C259,'[1]PoB OT'!$C$1:$T$898,18,FALSE)</f>
        <v>555</v>
      </c>
      <c r="X259">
        <f>VLOOKUP($C259,'[1]PoB 2R'!$C$1:$T$898,17,FALSE)</f>
        <v>49</v>
      </c>
      <c r="Y259">
        <f>VLOOKUP($C259,'[1]PoB 2R'!$C$1:$T$898,18,FALSE)</f>
        <v>14</v>
      </c>
    </row>
    <row r="260" spans="1:25" x14ac:dyDescent="0.25">
      <c r="A260" t="s">
        <v>888</v>
      </c>
      <c r="B260">
        <v>5341155</v>
      </c>
      <c r="C260" t="s">
        <v>889</v>
      </c>
      <c r="D260">
        <f t="shared" si="12"/>
        <v>4168</v>
      </c>
      <c r="E260">
        <f>VLOOKUP($C260,'[1]PoB Totals'!$C$3:$T$898,17,FALSE)</f>
        <v>3696</v>
      </c>
      <c r="F260">
        <f>VLOOKUP($C260,'[1]PoB Totals'!$C$3:$T$898,18,FALSE)</f>
        <v>472</v>
      </c>
      <c r="G260">
        <f t="shared" si="13"/>
        <v>4168</v>
      </c>
      <c r="H260">
        <f t="shared" si="14"/>
        <v>3696</v>
      </c>
      <c r="I260">
        <f t="shared" si="14"/>
        <v>472</v>
      </c>
      <c r="J260">
        <f>VLOOKUP($C260,'[1]PoB WN'!$C$1:$T$898,17,FALSE)</f>
        <v>2831</v>
      </c>
      <c r="K260">
        <f>VLOOKUP($C260,'[1]PoB WN'!$C$1:$T$898,18,FALSE)</f>
        <v>225</v>
      </c>
      <c r="L260">
        <f>VLOOKUP($C260,'[1]PoB WH'!$C$1:$T$898,17,FALSE)</f>
        <v>114</v>
      </c>
      <c r="M260">
        <f>VLOOKUP($C260,'[1]PoB WH'!$C$1:$T$898,18,FALSE)</f>
        <v>41</v>
      </c>
      <c r="N260">
        <f>VLOOKUP($C260,'[1]PoB AA'!$C$1:$T$898,17,FALSE)</f>
        <v>252</v>
      </c>
      <c r="O260">
        <f>VLOOKUP($C260,'[1]PoB AA'!$C$1:$T$898,18,FALSE)</f>
        <v>27</v>
      </c>
      <c r="P260">
        <f>VLOOKUP($C260,'[1]PoB AI'!$C$1:$T$898,17,FALSE)</f>
        <v>63</v>
      </c>
      <c r="Q260">
        <f>VLOOKUP($C260,'[1]PoB AI'!$C$1:$T$898,18,FALSE)</f>
        <v>5</v>
      </c>
      <c r="R260">
        <f>VLOOKUP($C260,'[1]PoB AS'!$C$1:$T$898,17,FALSE)</f>
        <v>73</v>
      </c>
      <c r="S260">
        <f>VLOOKUP($C260,'[1]PoB AS'!$C$1:$T$898,18,FALSE)</f>
        <v>110</v>
      </c>
      <c r="T260">
        <f>VLOOKUP($C260,'[1]PoB PI'!$C$1:$T$898,17,FALSE)</f>
        <v>7</v>
      </c>
      <c r="U260">
        <f>VLOOKUP($C260,'[1]PoB PI'!$C$1:$T$898,18,FALSE)</f>
        <v>4</v>
      </c>
      <c r="V260">
        <f>VLOOKUP($C260,'[1]PoB OT'!$C$1:$T$898,17,FALSE)</f>
        <v>52</v>
      </c>
      <c r="W260">
        <f>VLOOKUP($C260,'[1]PoB OT'!$C$1:$T$898,18,FALSE)</f>
        <v>10</v>
      </c>
      <c r="X260">
        <f>VLOOKUP($C260,'[1]PoB 2R'!$C$1:$T$898,17,FALSE)</f>
        <v>304</v>
      </c>
      <c r="Y260">
        <f>VLOOKUP($C260,'[1]PoB 2R'!$C$1:$T$898,18,FALSE)</f>
        <v>50</v>
      </c>
    </row>
    <row r="261" spans="1:25" x14ac:dyDescent="0.25">
      <c r="A261" t="s">
        <v>890</v>
      </c>
      <c r="B261">
        <v>5341225</v>
      </c>
      <c r="C261" t="s">
        <v>891</v>
      </c>
      <c r="D261">
        <f t="shared" si="12"/>
        <v>1464</v>
      </c>
      <c r="E261">
        <f>VLOOKUP($C261,'[1]PoB Totals'!$C$3:$T$898,17,FALSE)</f>
        <v>1416</v>
      </c>
      <c r="F261">
        <f>VLOOKUP($C261,'[1]PoB Totals'!$C$3:$T$898,18,FALSE)</f>
        <v>48</v>
      </c>
      <c r="G261">
        <f t="shared" si="13"/>
        <v>1464</v>
      </c>
      <c r="H261">
        <f t="shared" si="14"/>
        <v>1416</v>
      </c>
      <c r="I261">
        <f t="shared" si="14"/>
        <v>48</v>
      </c>
      <c r="J261">
        <f>VLOOKUP($C261,'[1]PoB WN'!$C$1:$T$898,17,FALSE)</f>
        <v>1295</v>
      </c>
      <c r="K261">
        <f>VLOOKUP($C261,'[1]PoB WN'!$C$1:$T$898,18,FALSE)</f>
        <v>31</v>
      </c>
      <c r="L261">
        <f>VLOOKUP($C261,'[1]PoB WH'!$C$1:$T$898,17,FALSE)</f>
        <v>21</v>
      </c>
      <c r="M261">
        <f>VLOOKUP($C261,'[1]PoB WH'!$C$1:$T$898,18,FALSE)</f>
        <v>10</v>
      </c>
      <c r="N261">
        <f>VLOOKUP($C261,'[1]PoB AA'!$C$1:$T$898,17,FALSE)</f>
        <v>6</v>
      </c>
      <c r="O261">
        <f>VLOOKUP($C261,'[1]PoB AA'!$C$1:$T$898,18,FALSE)</f>
        <v>0</v>
      </c>
      <c r="P261">
        <f>VLOOKUP($C261,'[1]PoB AI'!$C$1:$T$898,17,FALSE)</f>
        <v>19</v>
      </c>
      <c r="Q261">
        <f>VLOOKUP($C261,'[1]PoB AI'!$C$1:$T$898,18,FALSE)</f>
        <v>1</v>
      </c>
      <c r="R261">
        <f>VLOOKUP($C261,'[1]PoB AS'!$C$1:$T$898,17,FALSE)</f>
        <v>0</v>
      </c>
      <c r="S261">
        <f>VLOOKUP($C261,'[1]PoB AS'!$C$1:$T$898,18,FALSE)</f>
        <v>2</v>
      </c>
      <c r="T261">
        <f>VLOOKUP($C261,'[1]PoB PI'!$C$1:$T$898,17,FALSE)</f>
        <v>2</v>
      </c>
      <c r="U261">
        <f>VLOOKUP($C261,'[1]PoB PI'!$C$1:$T$898,18,FALSE)</f>
        <v>0</v>
      </c>
      <c r="V261">
        <f>VLOOKUP($C261,'[1]PoB OT'!$C$1:$T$898,17,FALSE)</f>
        <v>6</v>
      </c>
      <c r="W261">
        <f>VLOOKUP($C261,'[1]PoB OT'!$C$1:$T$898,18,FALSE)</f>
        <v>0</v>
      </c>
      <c r="X261">
        <f>VLOOKUP($C261,'[1]PoB 2R'!$C$1:$T$898,17,FALSE)</f>
        <v>67</v>
      </c>
      <c r="Y261">
        <f>VLOOKUP($C261,'[1]PoB 2R'!$C$1:$T$898,18,FALSE)</f>
        <v>4</v>
      </c>
    </row>
    <row r="262" spans="1:25" x14ac:dyDescent="0.25">
      <c r="A262" t="s">
        <v>892</v>
      </c>
      <c r="B262">
        <v>5341470</v>
      </c>
      <c r="C262" t="s">
        <v>893</v>
      </c>
      <c r="D262">
        <f t="shared" si="12"/>
        <v>1095</v>
      </c>
      <c r="E262">
        <f>VLOOKUP($C262,'[1]PoB Totals'!$C$3:$T$898,17,FALSE)</f>
        <v>1082</v>
      </c>
      <c r="F262">
        <f>VLOOKUP($C262,'[1]PoB Totals'!$C$3:$T$898,18,FALSE)</f>
        <v>13</v>
      </c>
      <c r="G262">
        <f t="shared" si="13"/>
        <v>1095</v>
      </c>
      <c r="H262">
        <f t="shared" si="14"/>
        <v>1082</v>
      </c>
      <c r="I262">
        <f t="shared" si="14"/>
        <v>13</v>
      </c>
      <c r="J262">
        <f>VLOOKUP($C262,'[1]PoB WN'!$C$1:$T$898,17,FALSE)</f>
        <v>1053</v>
      </c>
      <c r="K262">
        <f>VLOOKUP($C262,'[1]PoB WN'!$C$1:$T$898,18,FALSE)</f>
        <v>13</v>
      </c>
      <c r="L262">
        <f>VLOOKUP($C262,'[1]PoB WH'!$C$1:$T$898,17,FALSE)</f>
        <v>0</v>
      </c>
      <c r="M262">
        <f>VLOOKUP($C262,'[1]PoB WH'!$C$1:$T$898,18,FALSE)</f>
        <v>0</v>
      </c>
      <c r="N262">
        <f>VLOOKUP($C262,'[1]PoB AA'!$C$1:$T$898,17,FALSE)</f>
        <v>29</v>
      </c>
      <c r="O262">
        <f>VLOOKUP($C262,'[1]PoB AA'!$C$1:$T$898,18,FALSE)</f>
        <v>0</v>
      </c>
      <c r="P262">
        <f>VLOOKUP($C262,'[1]PoB AI'!$C$1:$T$898,17,FALSE)</f>
        <v>0</v>
      </c>
      <c r="Q262">
        <f>VLOOKUP($C262,'[1]PoB AI'!$C$1:$T$898,18,FALSE)</f>
        <v>0</v>
      </c>
      <c r="R262">
        <f>VLOOKUP($C262,'[1]PoB AS'!$C$1:$T$898,17,FALSE)</f>
        <v>0</v>
      </c>
      <c r="S262">
        <f>VLOOKUP($C262,'[1]PoB AS'!$C$1:$T$898,18,FALSE)</f>
        <v>0</v>
      </c>
      <c r="T262">
        <f>VLOOKUP($C262,'[1]PoB PI'!$C$1:$T$898,17,FALSE)</f>
        <v>0</v>
      </c>
      <c r="U262">
        <f>VLOOKUP($C262,'[1]PoB PI'!$C$1:$T$898,18,FALSE)</f>
        <v>0</v>
      </c>
      <c r="V262">
        <f>VLOOKUP($C262,'[1]PoB OT'!$C$1:$T$898,17,FALSE)</f>
        <v>0</v>
      </c>
      <c r="W262">
        <f>VLOOKUP($C262,'[1]PoB OT'!$C$1:$T$898,18,FALSE)</f>
        <v>0</v>
      </c>
      <c r="X262">
        <f>VLOOKUP($C262,'[1]PoB 2R'!$C$1:$T$898,17,FALSE)</f>
        <v>0</v>
      </c>
      <c r="Y262">
        <f>VLOOKUP($C262,'[1]PoB 2R'!$C$1:$T$898,18,FALSE)</f>
        <v>0</v>
      </c>
    </row>
    <row r="263" spans="1:25" x14ac:dyDescent="0.25">
      <c r="A263" t="s">
        <v>898</v>
      </c>
      <c r="B263">
        <v>5342275</v>
      </c>
      <c r="C263" t="s">
        <v>899</v>
      </c>
      <c r="D263">
        <f t="shared" si="12"/>
        <v>213</v>
      </c>
      <c r="E263">
        <f>VLOOKUP($C263,'[1]PoB Totals'!$C$3:$T$898,17,FALSE)</f>
        <v>209</v>
      </c>
      <c r="F263">
        <f>VLOOKUP($C263,'[1]PoB Totals'!$C$3:$T$898,18,FALSE)</f>
        <v>4</v>
      </c>
      <c r="G263">
        <f t="shared" si="13"/>
        <v>213</v>
      </c>
      <c r="H263">
        <f t="shared" si="14"/>
        <v>209</v>
      </c>
      <c r="I263">
        <f t="shared" si="14"/>
        <v>4</v>
      </c>
      <c r="J263">
        <f>VLOOKUP($C263,'[1]PoB WN'!$C$1:$T$898,17,FALSE)</f>
        <v>209</v>
      </c>
      <c r="K263">
        <f>VLOOKUP($C263,'[1]PoB WN'!$C$1:$T$898,18,FALSE)</f>
        <v>4</v>
      </c>
      <c r="L263">
        <f>VLOOKUP($C263,'[1]PoB WH'!$C$1:$T$898,17,FALSE)</f>
        <v>0</v>
      </c>
      <c r="M263">
        <f>VLOOKUP($C263,'[1]PoB WH'!$C$1:$T$898,18,FALSE)</f>
        <v>0</v>
      </c>
      <c r="N263">
        <f>VLOOKUP($C263,'[1]PoB AA'!$C$1:$T$898,17,FALSE)</f>
        <v>0</v>
      </c>
      <c r="O263">
        <f>VLOOKUP($C263,'[1]PoB AA'!$C$1:$T$898,18,FALSE)</f>
        <v>0</v>
      </c>
      <c r="P263">
        <f>VLOOKUP($C263,'[1]PoB AI'!$C$1:$T$898,17,FALSE)</f>
        <v>0</v>
      </c>
      <c r="Q263">
        <f>VLOOKUP($C263,'[1]PoB AI'!$C$1:$T$898,18,FALSE)</f>
        <v>0</v>
      </c>
      <c r="R263">
        <f>VLOOKUP($C263,'[1]PoB AS'!$C$1:$T$898,17,FALSE)</f>
        <v>0</v>
      </c>
      <c r="S263">
        <f>VLOOKUP($C263,'[1]PoB AS'!$C$1:$T$898,18,FALSE)</f>
        <v>0</v>
      </c>
      <c r="T263">
        <f>VLOOKUP($C263,'[1]PoB PI'!$C$1:$T$898,17,FALSE)</f>
        <v>0</v>
      </c>
      <c r="U263">
        <f>VLOOKUP($C263,'[1]PoB PI'!$C$1:$T$898,18,FALSE)</f>
        <v>0</v>
      </c>
      <c r="V263">
        <f>VLOOKUP($C263,'[1]PoB OT'!$C$1:$T$898,17,FALSE)</f>
        <v>0</v>
      </c>
      <c r="W263">
        <f>VLOOKUP($C263,'[1]PoB OT'!$C$1:$T$898,18,FALSE)</f>
        <v>0</v>
      </c>
      <c r="X263">
        <f>VLOOKUP($C263,'[1]PoB 2R'!$C$1:$T$898,17,FALSE)</f>
        <v>0</v>
      </c>
      <c r="Y263">
        <f>VLOOKUP($C263,'[1]PoB 2R'!$C$1:$T$898,18,FALSE)</f>
        <v>0</v>
      </c>
    </row>
    <row r="264" spans="1:25" x14ac:dyDescent="0.25">
      <c r="A264" t="s">
        <v>1550</v>
      </c>
      <c r="B264">
        <v>5342355</v>
      </c>
      <c r="C264" t="s">
        <v>1551</v>
      </c>
      <c r="D264">
        <f t="shared" si="12"/>
        <v>502</v>
      </c>
      <c r="E264">
        <f>VLOOKUP($C264,'[1]PoB Totals'!$C$3:$T$898,17,FALSE)</f>
        <v>497</v>
      </c>
      <c r="F264">
        <f>VLOOKUP($C264,'[1]PoB Totals'!$C$3:$T$898,18,FALSE)</f>
        <v>5</v>
      </c>
      <c r="G264">
        <f t="shared" si="13"/>
        <v>502</v>
      </c>
      <c r="H264">
        <f t="shared" si="14"/>
        <v>497</v>
      </c>
      <c r="I264">
        <f t="shared" si="14"/>
        <v>5</v>
      </c>
      <c r="J264">
        <f>VLOOKUP($C264,'[1]PoB WN'!$C$1:$T$898,17,FALSE)</f>
        <v>468</v>
      </c>
      <c r="K264">
        <f>VLOOKUP($C264,'[1]PoB WN'!$C$1:$T$898,18,FALSE)</f>
        <v>5</v>
      </c>
      <c r="L264">
        <f>VLOOKUP($C264,'[1]PoB WH'!$C$1:$T$898,17,FALSE)</f>
        <v>0</v>
      </c>
      <c r="M264">
        <f>VLOOKUP($C264,'[1]PoB WH'!$C$1:$T$898,18,FALSE)</f>
        <v>0</v>
      </c>
      <c r="N264">
        <f>VLOOKUP($C264,'[1]PoB AA'!$C$1:$T$898,17,FALSE)</f>
        <v>0</v>
      </c>
      <c r="O264">
        <f>VLOOKUP($C264,'[1]PoB AA'!$C$1:$T$898,18,FALSE)</f>
        <v>0</v>
      </c>
      <c r="P264">
        <f>VLOOKUP($C264,'[1]PoB AI'!$C$1:$T$898,17,FALSE)</f>
        <v>0</v>
      </c>
      <c r="Q264">
        <f>VLOOKUP($C264,'[1]PoB AI'!$C$1:$T$898,18,FALSE)</f>
        <v>0</v>
      </c>
      <c r="R264">
        <f>VLOOKUP($C264,'[1]PoB AS'!$C$1:$T$898,17,FALSE)</f>
        <v>0</v>
      </c>
      <c r="S264">
        <f>VLOOKUP($C264,'[1]PoB AS'!$C$1:$T$898,18,FALSE)</f>
        <v>0</v>
      </c>
      <c r="T264">
        <f>VLOOKUP($C264,'[1]PoB PI'!$C$1:$T$898,17,FALSE)</f>
        <v>4</v>
      </c>
      <c r="U264">
        <f>VLOOKUP($C264,'[1]PoB PI'!$C$1:$T$898,18,FALSE)</f>
        <v>0</v>
      </c>
      <c r="V264">
        <f>VLOOKUP($C264,'[1]PoB OT'!$C$1:$T$898,17,FALSE)</f>
        <v>0</v>
      </c>
      <c r="W264">
        <f>VLOOKUP($C264,'[1]PoB OT'!$C$1:$T$898,18,FALSE)</f>
        <v>0</v>
      </c>
      <c r="X264">
        <f>VLOOKUP($C264,'[1]PoB 2R'!$C$1:$T$898,17,FALSE)</f>
        <v>25</v>
      </c>
      <c r="Y264">
        <f>VLOOKUP($C264,'[1]PoB 2R'!$C$1:$T$898,18,FALSE)</f>
        <v>0</v>
      </c>
    </row>
    <row r="265" spans="1:25" x14ac:dyDescent="0.25">
      <c r="A265" t="s">
        <v>906</v>
      </c>
      <c r="B265">
        <v>5342415</v>
      </c>
      <c r="C265" t="s">
        <v>907</v>
      </c>
      <c r="D265">
        <f t="shared" si="12"/>
        <v>8472</v>
      </c>
      <c r="E265">
        <f>VLOOKUP($C265,'[1]PoB Totals'!$C$3:$T$898,17,FALSE)</f>
        <v>8144</v>
      </c>
      <c r="F265">
        <f>VLOOKUP($C265,'[1]PoB Totals'!$C$3:$T$898,18,FALSE)</f>
        <v>328</v>
      </c>
      <c r="G265">
        <f t="shared" si="13"/>
        <v>8472</v>
      </c>
      <c r="H265">
        <f t="shared" si="14"/>
        <v>8144</v>
      </c>
      <c r="I265">
        <f t="shared" si="14"/>
        <v>328</v>
      </c>
      <c r="J265">
        <f>VLOOKUP($C265,'[1]PoB WN'!$C$1:$T$898,17,FALSE)</f>
        <v>7667</v>
      </c>
      <c r="K265">
        <f>VLOOKUP($C265,'[1]PoB WN'!$C$1:$T$898,18,FALSE)</f>
        <v>235</v>
      </c>
      <c r="L265">
        <f>VLOOKUP($C265,'[1]PoB WH'!$C$1:$T$898,17,FALSE)</f>
        <v>126</v>
      </c>
      <c r="M265">
        <f>VLOOKUP($C265,'[1]PoB WH'!$C$1:$T$898,18,FALSE)</f>
        <v>4</v>
      </c>
      <c r="N265">
        <f>VLOOKUP($C265,'[1]PoB AA'!$C$1:$T$898,17,FALSE)</f>
        <v>51</v>
      </c>
      <c r="O265">
        <f>VLOOKUP($C265,'[1]PoB AA'!$C$1:$T$898,18,FALSE)</f>
        <v>0</v>
      </c>
      <c r="P265">
        <f>VLOOKUP($C265,'[1]PoB AI'!$C$1:$T$898,17,FALSE)</f>
        <v>17</v>
      </c>
      <c r="Q265">
        <f>VLOOKUP($C265,'[1]PoB AI'!$C$1:$T$898,18,FALSE)</f>
        <v>0</v>
      </c>
      <c r="R265">
        <f>VLOOKUP($C265,'[1]PoB AS'!$C$1:$T$898,17,FALSE)</f>
        <v>97</v>
      </c>
      <c r="S265">
        <f>VLOOKUP($C265,'[1]PoB AS'!$C$1:$T$898,18,FALSE)</f>
        <v>75</v>
      </c>
      <c r="T265">
        <f>VLOOKUP($C265,'[1]PoB PI'!$C$1:$T$898,17,FALSE)</f>
        <v>10</v>
      </c>
      <c r="U265">
        <f>VLOOKUP($C265,'[1]PoB PI'!$C$1:$T$898,18,FALSE)</f>
        <v>0</v>
      </c>
      <c r="V265">
        <f>VLOOKUP($C265,'[1]PoB OT'!$C$1:$T$898,17,FALSE)</f>
        <v>7</v>
      </c>
      <c r="W265">
        <f>VLOOKUP($C265,'[1]PoB OT'!$C$1:$T$898,18,FALSE)</f>
        <v>10</v>
      </c>
      <c r="X265">
        <f>VLOOKUP($C265,'[1]PoB 2R'!$C$1:$T$898,17,FALSE)</f>
        <v>169</v>
      </c>
      <c r="Y265">
        <f>VLOOKUP($C265,'[1]PoB 2R'!$C$1:$T$898,18,FALSE)</f>
        <v>4</v>
      </c>
    </row>
    <row r="266" spans="1:25" x14ac:dyDescent="0.25">
      <c r="A266" t="s">
        <v>908</v>
      </c>
      <c r="B266">
        <v>5342450</v>
      </c>
      <c r="C266" t="s">
        <v>909</v>
      </c>
      <c r="D266">
        <f t="shared" si="12"/>
        <v>4873</v>
      </c>
      <c r="E266">
        <f>VLOOKUP($C266,'[1]PoB Totals'!$C$3:$T$898,17,FALSE)</f>
        <v>4609</v>
      </c>
      <c r="F266">
        <f>VLOOKUP($C266,'[1]PoB Totals'!$C$3:$T$898,18,FALSE)</f>
        <v>264</v>
      </c>
      <c r="G266">
        <f t="shared" si="13"/>
        <v>4873</v>
      </c>
      <c r="H266">
        <f t="shared" si="14"/>
        <v>4609</v>
      </c>
      <c r="I266">
        <f t="shared" si="14"/>
        <v>264</v>
      </c>
      <c r="J266">
        <f>VLOOKUP($C266,'[1]PoB WN'!$C$1:$T$898,17,FALSE)</f>
        <v>4115</v>
      </c>
      <c r="K266">
        <f>VLOOKUP($C266,'[1]PoB WN'!$C$1:$T$898,18,FALSE)</f>
        <v>134</v>
      </c>
      <c r="L266">
        <f>VLOOKUP($C266,'[1]PoB WH'!$C$1:$T$898,17,FALSE)</f>
        <v>64</v>
      </c>
      <c r="M266">
        <f>VLOOKUP($C266,'[1]PoB WH'!$C$1:$T$898,18,FALSE)</f>
        <v>21</v>
      </c>
      <c r="N266">
        <f>VLOOKUP($C266,'[1]PoB AA'!$C$1:$T$898,17,FALSE)</f>
        <v>30</v>
      </c>
      <c r="O266">
        <f>VLOOKUP($C266,'[1]PoB AA'!$C$1:$T$898,18,FALSE)</f>
        <v>13</v>
      </c>
      <c r="P266">
        <f>VLOOKUP($C266,'[1]PoB AI'!$C$1:$T$898,17,FALSE)</f>
        <v>89</v>
      </c>
      <c r="Q266">
        <f>VLOOKUP($C266,'[1]PoB AI'!$C$1:$T$898,18,FALSE)</f>
        <v>0</v>
      </c>
      <c r="R266">
        <f>VLOOKUP($C266,'[1]PoB AS'!$C$1:$T$898,17,FALSE)</f>
        <v>11</v>
      </c>
      <c r="S266">
        <f>VLOOKUP($C266,'[1]PoB AS'!$C$1:$T$898,18,FALSE)</f>
        <v>65</v>
      </c>
      <c r="T266">
        <f>VLOOKUP($C266,'[1]PoB PI'!$C$1:$T$898,17,FALSE)</f>
        <v>81</v>
      </c>
      <c r="U266">
        <f>VLOOKUP($C266,'[1]PoB PI'!$C$1:$T$898,18,FALSE)</f>
        <v>0</v>
      </c>
      <c r="V266">
        <f>VLOOKUP($C266,'[1]PoB OT'!$C$1:$T$898,17,FALSE)</f>
        <v>55</v>
      </c>
      <c r="W266">
        <f>VLOOKUP($C266,'[1]PoB OT'!$C$1:$T$898,18,FALSE)</f>
        <v>6</v>
      </c>
      <c r="X266">
        <f>VLOOKUP($C266,'[1]PoB 2R'!$C$1:$T$898,17,FALSE)</f>
        <v>164</v>
      </c>
      <c r="Y266">
        <f>VLOOKUP($C266,'[1]PoB 2R'!$C$1:$T$898,18,FALSE)</f>
        <v>25</v>
      </c>
    </row>
    <row r="267" spans="1:25" x14ac:dyDescent="0.25">
      <c r="A267" t="s">
        <v>910</v>
      </c>
      <c r="B267">
        <v>5342800</v>
      </c>
      <c r="C267" t="s">
        <v>911</v>
      </c>
      <c r="D267">
        <f t="shared" si="12"/>
        <v>298</v>
      </c>
      <c r="E267">
        <f>VLOOKUP($C267,'[1]PoB Totals'!$C$3:$T$898,17,FALSE)</f>
        <v>288</v>
      </c>
      <c r="F267">
        <f>VLOOKUP($C267,'[1]PoB Totals'!$C$3:$T$898,18,FALSE)</f>
        <v>10</v>
      </c>
      <c r="G267">
        <f t="shared" si="13"/>
        <v>298</v>
      </c>
      <c r="H267">
        <f t="shared" si="14"/>
        <v>288</v>
      </c>
      <c r="I267">
        <f t="shared" si="14"/>
        <v>10</v>
      </c>
      <c r="J267">
        <f>VLOOKUP($C267,'[1]PoB WN'!$C$1:$T$898,17,FALSE)</f>
        <v>247</v>
      </c>
      <c r="K267">
        <f>VLOOKUP($C267,'[1]PoB WN'!$C$1:$T$898,18,FALSE)</f>
        <v>10</v>
      </c>
      <c r="L267">
        <f>VLOOKUP($C267,'[1]PoB WH'!$C$1:$T$898,17,FALSE)</f>
        <v>9</v>
      </c>
      <c r="M267">
        <f>VLOOKUP($C267,'[1]PoB WH'!$C$1:$T$898,18,FALSE)</f>
        <v>0</v>
      </c>
      <c r="N267">
        <f>VLOOKUP($C267,'[1]PoB AA'!$C$1:$T$898,17,FALSE)</f>
        <v>0</v>
      </c>
      <c r="O267">
        <f>VLOOKUP($C267,'[1]PoB AA'!$C$1:$T$898,18,FALSE)</f>
        <v>0</v>
      </c>
      <c r="P267">
        <f>VLOOKUP($C267,'[1]PoB AI'!$C$1:$T$898,17,FALSE)</f>
        <v>0</v>
      </c>
      <c r="Q267">
        <f>VLOOKUP($C267,'[1]PoB AI'!$C$1:$T$898,18,FALSE)</f>
        <v>0</v>
      </c>
      <c r="R267">
        <f>VLOOKUP($C267,'[1]PoB AS'!$C$1:$T$898,17,FALSE)</f>
        <v>0</v>
      </c>
      <c r="S267">
        <f>VLOOKUP($C267,'[1]PoB AS'!$C$1:$T$898,18,FALSE)</f>
        <v>0</v>
      </c>
      <c r="T267">
        <f>VLOOKUP($C267,'[1]PoB PI'!$C$1:$T$898,17,FALSE)</f>
        <v>0</v>
      </c>
      <c r="U267">
        <f>VLOOKUP($C267,'[1]PoB PI'!$C$1:$T$898,18,FALSE)</f>
        <v>0</v>
      </c>
      <c r="V267">
        <f>VLOOKUP($C267,'[1]PoB OT'!$C$1:$T$898,17,FALSE)</f>
        <v>9</v>
      </c>
      <c r="W267">
        <f>VLOOKUP($C267,'[1]PoB OT'!$C$1:$T$898,18,FALSE)</f>
        <v>0</v>
      </c>
      <c r="X267">
        <f>VLOOKUP($C267,'[1]PoB 2R'!$C$1:$T$898,17,FALSE)</f>
        <v>23</v>
      </c>
      <c r="Y267">
        <f>VLOOKUP($C267,'[1]PoB 2R'!$C$1:$T$898,18,FALSE)</f>
        <v>0</v>
      </c>
    </row>
    <row r="268" spans="1:25" x14ac:dyDescent="0.25">
      <c r="A268" t="s">
        <v>914</v>
      </c>
      <c r="B268">
        <v>5343010</v>
      </c>
      <c r="C268" t="s">
        <v>915</v>
      </c>
      <c r="D268">
        <f t="shared" si="12"/>
        <v>238</v>
      </c>
      <c r="E268">
        <f>VLOOKUP($C268,'[1]PoB Totals'!$C$3:$T$898,17,FALSE)</f>
        <v>238</v>
      </c>
      <c r="F268">
        <f>VLOOKUP($C268,'[1]PoB Totals'!$C$3:$T$898,18,FALSE)</f>
        <v>0</v>
      </c>
      <c r="G268">
        <f t="shared" si="13"/>
        <v>238</v>
      </c>
      <c r="H268">
        <f t="shared" si="14"/>
        <v>238</v>
      </c>
      <c r="I268">
        <f t="shared" si="14"/>
        <v>0</v>
      </c>
      <c r="J268">
        <f>VLOOKUP($C268,'[1]PoB WN'!$C$1:$T$898,17,FALSE)</f>
        <v>238</v>
      </c>
      <c r="K268">
        <f>VLOOKUP($C268,'[1]PoB WN'!$C$1:$T$898,18,FALSE)</f>
        <v>0</v>
      </c>
      <c r="L268">
        <f>VLOOKUP($C268,'[1]PoB WH'!$C$1:$T$898,17,FALSE)</f>
        <v>0</v>
      </c>
      <c r="M268">
        <f>VLOOKUP($C268,'[1]PoB WH'!$C$1:$T$898,18,FALSE)</f>
        <v>0</v>
      </c>
      <c r="N268">
        <f>VLOOKUP($C268,'[1]PoB AA'!$C$1:$T$898,17,FALSE)</f>
        <v>0</v>
      </c>
      <c r="O268">
        <f>VLOOKUP($C268,'[1]PoB AA'!$C$1:$T$898,18,FALSE)</f>
        <v>0</v>
      </c>
      <c r="P268">
        <f>VLOOKUP($C268,'[1]PoB AI'!$C$1:$T$898,17,FALSE)</f>
        <v>0</v>
      </c>
      <c r="Q268">
        <f>VLOOKUP($C268,'[1]PoB AI'!$C$1:$T$898,18,FALSE)</f>
        <v>0</v>
      </c>
      <c r="R268">
        <f>VLOOKUP($C268,'[1]PoB AS'!$C$1:$T$898,17,FALSE)</f>
        <v>0</v>
      </c>
      <c r="S268">
        <f>VLOOKUP($C268,'[1]PoB AS'!$C$1:$T$898,18,FALSE)</f>
        <v>0</v>
      </c>
      <c r="T268">
        <f>VLOOKUP($C268,'[1]PoB PI'!$C$1:$T$898,17,FALSE)</f>
        <v>0</v>
      </c>
      <c r="U268">
        <f>VLOOKUP($C268,'[1]PoB PI'!$C$1:$T$898,18,FALSE)</f>
        <v>0</v>
      </c>
      <c r="V268">
        <f>VLOOKUP($C268,'[1]PoB OT'!$C$1:$T$898,17,FALSE)</f>
        <v>0</v>
      </c>
      <c r="W268">
        <f>VLOOKUP($C268,'[1]PoB OT'!$C$1:$T$898,18,FALSE)</f>
        <v>0</v>
      </c>
      <c r="X268">
        <f>VLOOKUP($C268,'[1]PoB 2R'!$C$1:$T$898,17,FALSE)</f>
        <v>0</v>
      </c>
      <c r="Y268">
        <f>VLOOKUP($C268,'[1]PoB 2R'!$C$1:$T$898,18,FALSE)</f>
        <v>0</v>
      </c>
    </row>
    <row r="269" spans="1:25" x14ac:dyDescent="0.25">
      <c r="A269" t="s">
        <v>916</v>
      </c>
      <c r="B269">
        <v>5343062</v>
      </c>
      <c r="C269" t="s">
        <v>917</v>
      </c>
      <c r="D269">
        <f t="shared" si="12"/>
        <v>2582</v>
      </c>
      <c r="E269">
        <f>VLOOKUP($C269,'[1]PoB Totals'!$C$3:$T$898,17,FALSE)</f>
        <v>2434</v>
      </c>
      <c r="F269">
        <f>VLOOKUP($C269,'[1]PoB Totals'!$C$3:$T$898,18,FALSE)</f>
        <v>148</v>
      </c>
      <c r="G269">
        <f t="shared" si="13"/>
        <v>2582</v>
      </c>
      <c r="H269">
        <f t="shared" si="14"/>
        <v>2434</v>
      </c>
      <c r="I269">
        <f t="shared" si="14"/>
        <v>148</v>
      </c>
      <c r="J269">
        <f>VLOOKUP($C269,'[1]PoB WN'!$C$1:$T$898,17,FALSE)</f>
        <v>2166</v>
      </c>
      <c r="K269">
        <f>VLOOKUP($C269,'[1]PoB WN'!$C$1:$T$898,18,FALSE)</f>
        <v>41</v>
      </c>
      <c r="L269">
        <f>VLOOKUP($C269,'[1]PoB WH'!$C$1:$T$898,17,FALSE)</f>
        <v>41</v>
      </c>
      <c r="M269">
        <f>VLOOKUP($C269,'[1]PoB WH'!$C$1:$T$898,18,FALSE)</f>
        <v>8</v>
      </c>
      <c r="N269">
        <f>VLOOKUP($C269,'[1]PoB AA'!$C$1:$T$898,17,FALSE)</f>
        <v>23</v>
      </c>
      <c r="O269">
        <f>VLOOKUP($C269,'[1]PoB AA'!$C$1:$T$898,18,FALSE)</f>
        <v>0</v>
      </c>
      <c r="P269">
        <f>VLOOKUP($C269,'[1]PoB AI'!$C$1:$T$898,17,FALSE)</f>
        <v>32</v>
      </c>
      <c r="Q269">
        <f>VLOOKUP($C269,'[1]PoB AI'!$C$1:$T$898,18,FALSE)</f>
        <v>0</v>
      </c>
      <c r="R269">
        <f>VLOOKUP($C269,'[1]PoB AS'!$C$1:$T$898,17,FALSE)</f>
        <v>65</v>
      </c>
      <c r="S269">
        <f>VLOOKUP($C269,'[1]PoB AS'!$C$1:$T$898,18,FALSE)</f>
        <v>97</v>
      </c>
      <c r="T269">
        <f>VLOOKUP($C269,'[1]PoB PI'!$C$1:$T$898,17,FALSE)</f>
        <v>0</v>
      </c>
      <c r="U269">
        <f>VLOOKUP($C269,'[1]PoB PI'!$C$1:$T$898,18,FALSE)</f>
        <v>0</v>
      </c>
      <c r="V269">
        <f>VLOOKUP($C269,'[1]PoB OT'!$C$1:$T$898,17,FALSE)</f>
        <v>0</v>
      </c>
      <c r="W269">
        <f>VLOOKUP($C269,'[1]PoB OT'!$C$1:$T$898,18,FALSE)</f>
        <v>2</v>
      </c>
      <c r="X269">
        <f>VLOOKUP($C269,'[1]PoB 2R'!$C$1:$T$898,17,FALSE)</f>
        <v>107</v>
      </c>
      <c r="Y269">
        <f>VLOOKUP($C269,'[1]PoB 2R'!$C$1:$T$898,18,FALSE)</f>
        <v>0</v>
      </c>
    </row>
    <row r="270" spans="1:25" x14ac:dyDescent="0.25">
      <c r="A270" t="s">
        <v>918</v>
      </c>
      <c r="B270">
        <v>5343150</v>
      </c>
      <c r="C270" t="s">
        <v>919</v>
      </c>
      <c r="D270">
        <f t="shared" si="12"/>
        <v>14341</v>
      </c>
      <c r="E270">
        <f>VLOOKUP($C270,'[1]PoB Totals'!$C$3:$T$898,17,FALSE)</f>
        <v>13536</v>
      </c>
      <c r="F270">
        <f>VLOOKUP($C270,'[1]PoB Totals'!$C$3:$T$898,18,FALSE)</f>
        <v>805</v>
      </c>
      <c r="G270">
        <f t="shared" si="13"/>
        <v>14341</v>
      </c>
      <c r="H270">
        <f t="shared" si="14"/>
        <v>13536</v>
      </c>
      <c r="I270">
        <f t="shared" si="14"/>
        <v>805</v>
      </c>
      <c r="J270">
        <f>VLOOKUP($C270,'[1]PoB WN'!$C$1:$T$898,17,FALSE)</f>
        <v>12483</v>
      </c>
      <c r="K270">
        <f>VLOOKUP($C270,'[1]PoB WN'!$C$1:$T$898,18,FALSE)</f>
        <v>494</v>
      </c>
      <c r="L270">
        <f>VLOOKUP($C270,'[1]PoB WH'!$C$1:$T$898,17,FALSE)</f>
        <v>186</v>
      </c>
      <c r="M270">
        <f>VLOOKUP($C270,'[1]PoB WH'!$C$1:$T$898,18,FALSE)</f>
        <v>45</v>
      </c>
      <c r="N270">
        <f>VLOOKUP($C270,'[1]PoB AA'!$C$1:$T$898,17,FALSE)</f>
        <v>86</v>
      </c>
      <c r="O270">
        <f>VLOOKUP($C270,'[1]PoB AA'!$C$1:$T$898,18,FALSE)</f>
        <v>12</v>
      </c>
      <c r="P270">
        <f>VLOOKUP($C270,'[1]PoB AI'!$C$1:$T$898,17,FALSE)</f>
        <v>52</v>
      </c>
      <c r="Q270">
        <f>VLOOKUP($C270,'[1]PoB AI'!$C$1:$T$898,18,FALSE)</f>
        <v>23</v>
      </c>
      <c r="R270">
        <f>VLOOKUP($C270,'[1]PoB AS'!$C$1:$T$898,17,FALSE)</f>
        <v>207</v>
      </c>
      <c r="S270">
        <f>VLOOKUP($C270,'[1]PoB AS'!$C$1:$T$898,18,FALSE)</f>
        <v>178</v>
      </c>
      <c r="T270">
        <f>VLOOKUP($C270,'[1]PoB PI'!$C$1:$T$898,17,FALSE)</f>
        <v>12</v>
      </c>
      <c r="U270">
        <f>VLOOKUP($C270,'[1]PoB PI'!$C$1:$T$898,18,FALSE)</f>
        <v>8</v>
      </c>
      <c r="V270">
        <f>VLOOKUP($C270,'[1]PoB OT'!$C$1:$T$898,17,FALSE)</f>
        <v>102</v>
      </c>
      <c r="W270">
        <f>VLOOKUP($C270,'[1]PoB OT'!$C$1:$T$898,18,FALSE)</f>
        <v>29</v>
      </c>
      <c r="X270">
        <f>VLOOKUP($C270,'[1]PoB 2R'!$C$1:$T$898,17,FALSE)</f>
        <v>408</v>
      </c>
      <c r="Y270">
        <f>VLOOKUP($C270,'[1]PoB 2R'!$C$1:$T$898,18,FALSE)</f>
        <v>16</v>
      </c>
    </row>
    <row r="271" spans="1:25" x14ac:dyDescent="0.25">
      <c r="A271" t="s">
        <v>922</v>
      </c>
      <c r="B271">
        <v>5343325</v>
      </c>
      <c r="C271" t="s">
        <v>923</v>
      </c>
      <c r="D271">
        <f t="shared" si="12"/>
        <v>327</v>
      </c>
      <c r="E271">
        <f>VLOOKUP($C271,'[1]PoB Totals'!$C$3:$T$898,17,FALSE)</f>
        <v>303</v>
      </c>
      <c r="F271">
        <f>VLOOKUP($C271,'[1]PoB Totals'!$C$3:$T$898,18,FALSE)</f>
        <v>24</v>
      </c>
      <c r="G271">
        <f t="shared" si="13"/>
        <v>327</v>
      </c>
      <c r="H271">
        <f t="shared" si="14"/>
        <v>303</v>
      </c>
      <c r="I271">
        <f t="shared" si="14"/>
        <v>24</v>
      </c>
      <c r="J271">
        <f>VLOOKUP($C271,'[1]PoB WN'!$C$1:$T$898,17,FALSE)</f>
        <v>285</v>
      </c>
      <c r="K271">
        <f>VLOOKUP($C271,'[1]PoB WN'!$C$1:$T$898,18,FALSE)</f>
        <v>24</v>
      </c>
      <c r="L271">
        <f>VLOOKUP($C271,'[1]PoB WH'!$C$1:$T$898,17,FALSE)</f>
        <v>0</v>
      </c>
      <c r="M271">
        <f>VLOOKUP($C271,'[1]PoB WH'!$C$1:$T$898,18,FALSE)</f>
        <v>0</v>
      </c>
      <c r="N271">
        <f>VLOOKUP($C271,'[1]PoB AA'!$C$1:$T$898,17,FALSE)</f>
        <v>0</v>
      </c>
      <c r="O271">
        <f>VLOOKUP($C271,'[1]PoB AA'!$C$1:$T$898,18,FALSE)</f>
        <v>0</v>
      </c>
      <c r="P271">
        <f>VLOOKUP($C271,'[1]PoB AI'!$C$1:$T$898,17,FALSE)</f>
        <v>6</v>
      </c>
      <c r="Q271">
        <f>VLOOKUP($C271,'[1]PoB AI'!$C$1:$T$898,18,FALSE)</f>
        <v>0</v>
      </c>
      <c r="R271">
        <f>VLOOKUP($C271,'[1]PoB AS'!$C$1:$T$898,17,FALSE)</f>
        <v>0</v>
      </c>
      <c r="S271">
        <f>VLOOKUP($C271,'[1]PoB AS'!$C$1:$T$898,18,FALSE)</f>
        <v>0</v>
      </c>
      <c r="T271">
        <f>VLOOKUP($C271,'[1]PoB PI'!$C$1:$T$898,17,FALSE)</f>
        <v>0</v>
      </c>
      <c r="U271">
        <f>VLOOKUP($C271,'[1]PoB PI'!$C$1:$T$898,18,FALSE)</f>
        <v>0</v>
      </c>
      <c r="V271">
        <f>VLOOKUP($C271,'[1]PoB OT'!$C$1:$T$898,17,FALSE)</f>
        <v>0</v>
      </c>
      <c r="W271">
        <f>VLOOKUP($C271,'[1]PoB OT'!$C$1:$T$898,18,FALSE)</f>
        <v>0</v>
      </c>
      <c r="X271">
        <f>VLOOKUP($C271,'[1]PoB 2R'!$C$1:$T$898,17,FALSE)</f>
        <v>12</v>
      </c>
      <c r="Y271">
        <f>VLOOKUP($C271,'[1]PoB 2R'!$C$1:$T$898,18,FALSE)</f>
        <v>0</v>
      </c>
    </row>
    <row r="272" spans="1:25" x14ac:dyDescent="0.25">
      <c r="A272" t="s">
        <v>924</v>
      </c>
      <c r="B272">
        <v>5343395</v>
      </c>
      <c r="C272" t="s">
        <v>925</v>
      </c>
      <c r="D272">
        <f t="shared" si="12"/>
        <v>141</v>
      </c>
      <c r="E272">
        <f>VLOOKUP($C272,'[1]PoB Totals'!$C$3:$T$898,17,FALSE)</f>
        <v>133</v>
      </c>
      <c r="F272">
        <f>VLOOKUP($C272,'[1]PoB Totals'!$C$3:$T$898,18,FALSE)</f>
        <v>8</v>
      </c>
      <c r="G272">
        <f t="shared" si="13"/>
        <v>141</v>
      </c>
      <c r="H272">
        <f t="shared" si="14"/>
        <v>133</v>
      </c>
      <c r="I272">
        <f t="shared" si="14"/>
        <v>8</v>
      </c>
      <c r="J272">
        <f>VLOOKUP($C272,'[1]PoB WN'!$C$1:$T$898,17,FALSE)</f>
        <v>119</v>
      </c>
      <c r="K272">
        <f>VLOOKUP($C272,'[1]PoB WN'!$C$1:$T$898,18,FALSE)</f>
        <v>4</v>
      </c>
      <c r="L272">
        <f>VLOOKUP($C272,'[1]PoB WH'!$C$1:$T$898,17,FALSE)</f>
        <v>0</v>
      </c>
      <c r="M272">
        <f>VLOOKUP($C272,'[1]PoB WH'!$C$1:$T$898,18,FALSE)</f>
        <v>0</v>
      </c>
      <c r="N272">
        <f>VLOOKUP($C272,'[1]PoB AA'!$C$1:$T$898,17,FALSE)</f>
        <v>0</v>
      </c>
      <c r="O272">
        <f>VLOOKUP($C272,'[1]PoB AA'!$C$1:$T$898,18,FALSE)</f>
        <v>0</v>
      </c>
      <c r="P272">
        <f>VLOOKUP($C272,'[1]PoB AI'!$C$1:$T$898,17,FALSE)</f>
        <v>3</v>
      </c>
      <c r="Q272">
        <f>VLOOKUP($C272,'[1]PoB AI'!$C$1:$T$898,18,FALSE)</f>
        <v>0</v>
      </c>
      <c r="R272">
        <f>VLOOKUP($C272,'[1]PoB AS'!$C$1:$T$898,17,FALSE)</f>
        <v>0</v>
      </c>
      <c r="S272">
        <f>VLOOKUP($C272,'[1]PoB AS'!$C$1:$T$898,18,FALSE)</f>
        <v>4</v>
      </c>
      <c r="T272">
        <f>VLOOKUP($C272,'[1]PoB PI'!$C$1:$T$898,17,FALSE)</f>
        <v>0</v>
      </c>
      <c r="U272">
        <f>VLOOKUP($C272,'[1]PoB PI'!$C$1:$T$898,18,FALSE)</f>
        <v>0</v>
      </c>
      <c r="V272">
        <f>VLOOKUP($C272,'[1]PoB OT'!$C$1:$T$898,17,FALSE)</f>
        <v>0</v>
      </c>
      <c r="W272">
        <f>VLOOKUP($C272,'[1]PoB OT'!$C$1:$T$898,18,FALSE)</f>
        <v>0</v>
      </c>
      <c r="X272">
        <f>VLOOKUP($C272,'[1]PoB 2R'!$C$1:$T$898,17,FALSE)</f>
        <v>11</v>
      </c>
      <c r="Y272">
        <f>VLOOKUP($C272,'[1]PoB 2R'!$C$1:$T$898,18,FALSE)</f>
        <v>0</v>
      </c>
    </row>
    <row r="273" spans="1:25" x14ac:dyDescent="0.25">
      <c r="A273" t="s">
        <v>926</v>
      </c>
      <c r="B273">
        <v>5343491</v>
      </c>
      <c r="C273" t="s">
        <v>927</v>
      </c>
      <c r="D273">
        <f t="shared" si="12"/>
        <v>3901</v>
      </c>
      <c r="E273">
        <f>VLOOKUP($C273,'[1]PoB Totals'!$C$3:$T$898,17,FALSE)</f>
        <v>3393</v>
      </c>
      <c r="F273">
        <f>VLOOKUP($C273,'[1]PoB Totals'!$C$3:$T$898,18,FALSE)</f>
        <v>508</v>
      </c>
      <c r="G273">
        <f t="shared" si="13"/>
        <v>3901</v>
      </c>
      <c r="H273">
        <f t="shared" si="14"/>
        <v>3393</v>
      </c>
      <c r="I273">
        <f t="shared" si="14"/>
        <v>508</v>
      </c>
      <c r="J273">
        <f>VLOOKUP($C273,'[1]PoB WN'!$C$1:$T$898,17,FALSE)</f>
        <v>3033</v>
      </c>
      <c r="K273">
        <f>VLOOKUP($C273,'[1]PoB WN'!$C$1:$T$898,18,FALSE)</f>
        <v>326</v>
      </c>
      <c r="L273">
        <f>VLOOKUP($C273,'[1]PoB WH'!$C$1:$T$898,17,FALSE)</f>
        <v>0</v>
      </c>
      <c r="M273">
        <f>VLOOKUP($C273,'[1]PoB WH'!$C$1:$T$898,18,FALSE)</f>
        <v>0</v>
      </c>
      <c r="N273">
        <f>VLOOKUP($C273,'[1]PoB AA'!$C$1:$T$898,17,FALSE)</f>
        <v>0</v>
      </c>
      <c r="O273">
        <f>VLOOKUP($C273,'[1]PoB AA'!$C$1:$T$898,18,FALSE)</f>
        <v>0</v>
      </c>
      <c r="P273">
        <f>VLOOKUP($C273,'[1]PoB AI'!$C$1:$T$898,17,FALSE)</f>
        <v>112</v>
      </c>
      <c r="Q273">
        <f>VLOOKUP($C273,'[1]PoB AI'!$C$1:$T$898,18,FALSE)</f>
        <v>0</v>
      </c>
      <c r="R273">
        <f>VLOOKUP($C273,'[1]PoB AS'!$C$1:$T$898,17,FALSE)</f>
        <v>27</v>
      </c>
      <c r="S273">
        <f>VLOOKUP($C273,'[1]PoB AS'!$C$1:$T$898,18,FALSE)</f>
        <v>143</v>
      </c>
      <c r="T273">
        <f>VLOOKUP($C273,'[1]PoB PI'!$C$1:$T$898,17,FALSE)</f>
        <v>16</v>
      </c>
      <c r="U273">
        <f>VLOOKUP($C273,'[1]PoB PI'!$C$1:$T$898,18,FALSE)</f>
        <v>0</v>
      </c>
      <c r="V273">
        <f>VLOOKUP($C273,'[1]PoB OT'!$C$1:$T$898,17,FALSE)</f>
        <v>149</v>
      </c>
      <c r="W273">
        <f>VLOOKUP($C273,'[1]PoB OT'!$C$1:$T$898,18,FALSE)</f>
        <v>39</v>
      </c>
      <c r="X273">
        <f>VLOOKUP($C273,'[1]PoB 2R'!$C$1:$T$898,17,FALSE)</f>
        <v>56</v>
      </c>
      <c r="Y273">
        <f>VLOOKUP($C273,'[1]PoB 2R'!$C$1:$T$898,18,FALSE)</f>
        <v>0</v>
      </c>
    </row>
    <row r="274" spans="1:25" x14ac:dyDescent="0.25">
      <c r="A274" t="s">
        <v>928</v>
      </c>
      <c r="B274">
        <v>5343640</v>
      </c>
      <c r="C274" t="s">
        <v>929</v>
      </c>
      <c r="D274">
        <f t="shared" si="12"/>
        <v>73</v>
      </c>
      <c r="E274">
        <f>VLOOKUP($C274,'[1]PoB Totals'!$C$3:$T$898,17,FALSE)</f>
        <v>73</v>
      </c>
      <c r="F274">
        <f>VLOOKUP($C274,'[1]PoB Totals'!$C$3:$T$898,18,FALSE)</f>
        <v>0</v>
      </c>
      <c r="G274">
        <f t="shared" si="13"/>
        <v>73</v>
      </c>
      <c r="H274">
        <f t="shared" si="14"/>
        <v>73</v>
      </c>
      <c r="I274">
        <f t="shared" si="14"/>
        <v>0</v>
      </c>
      <c r="J274">
        <f>VLOOKUP($C274,'[1]PoB WN'!$C$1:$T$898,17,FALSE)</f>
        <v>73</v>
      </c>
      <c r="K274">
        <f>VLOOKUP($C274,'[1]PoB WN'!$C$1:$T$898,18,FALSE)</f>
        <v>0</v>
      </c>
      <c r="L274">
        <f>VLOOKUP($C274,'[1]PoB WH'!$C$1:$T$898,17,FALSE)</f>
        <v>0</v>
      </c>
      <c r="M274">
        <f>VLOOKUP($C274,'[1]PoB WH'!$C$1:$T$898,18,FALSE)</f>
        <v>0</v>
      </c>
      <c r="N274">
        <f>VLOOKUP($C274,'[1]PoB AA'!$C$1:$T$898,17,FALSE)</f>
        <v>0</v>
      </c>
      <c r="O274">
        <f>VLOOKUP($C274,'[1]PoB AA'!$C$1:$T$898,18,FALSE)</f>
        <v>0</v>
      </c>
      <c r="P274">
        <f>VLOOKUP($C274,'[1]PoB AI'!$C$1:$T$898,17,FALSE)</f>
        <v>0</v>
      </c>
      <c r="Q274">
        <f>VLOOKUP($C274,'[1]PoB AI'!$C$1:$T$898,18,FALSE)</f>
        <v>0</v>
      </c>
      <c r="R274">
        <f>VLOOKUP($C274,'[1]PoB AS'!$C$1:$T$898,17,FALSE)</f>
        <v>0</v>
      </c>
      <c r="S274">
        <f>VLOOKUP($C274,'[1]PoB AS'!$C$1:$T$898,18,FALSE)</f>
        <v>0</v>
      </c>
      <c r="T274">
        <f>VLOOKUP($C274,'[1]PoB PI'!$C$1:$T$898,17,FALSE)</f>
        <v>0</v>
      </c>
      <c r="U274">
        <f>VLOOKUP($C274,'[1]PoB PI'!$C$1:$T$898,18,FALSE)</f>
        <v>0</v>
      </c>
      <c r="V274">
        <f>VLOOKUP($C274,'[1]PoB OT'!$C$1:$T$898,17,FALSE)</f>
        <v>0</v>
      </c>
      <c r="W274">
        <f>VLOOKUP($C274,'[1]PoB OT'!$C$1:$T$898,18,FALSE)</f>
        <v>0</v>
      </c>
      <c r="X274">
        <f>VLOOKUP($C274,'[1]PoB 2R'!$C$1:$T$898,17,FALSE)</f>
        <v>0</v>
      </c>
      <c r="Y274">
        <f>VLOOKUP($C274,'[1]PoB 2R'!$C$1:$T$898,18,FALSE)</f>
        <v>0</v>
      </c>
    </row>
    <row r="275" spans="1:25" x14ac:dyDescent="0.25">
      <c r="A275" t="s">
        <v>930</v>
      </c>
      <c r="B275">
        <v>5343762</v>
      </c>
      <c r="C275" t="s">
        <v>931</v>
      </c>
      <c r="D275">
        <f t="shared" si="12"/>
        <v>876</v>
      </c>
      <c r="E275">
        <f>VLOOKUP($C275,'[1]PoB Totals'!$C$3:$T$898,17,FALSE)</f>
        <v>855</v>
      </c>
      <c r="F275">
        <f>VLOOKUP($C275,'[1]PoB Totals'!$C$3:$T$898,18,FALSE)</f>
        <v>21</v>
      </c>
      <c r="G275">
        <f t="shared" si="13"/>
        <v>876</v>
      </c>
      <c r="H275">
        <f t="shared" si="14"/>
        <v>855</v>
      </c>
      <c r="I275">
        <f t="shared" si="14"/>
        <v>21</v>
      </c>
      <c r="J275">
        <f>VLOOKUP($C275,'[1]PoB WN'!$C$1:$T$898,17,FALSE)</f>
        <v>822</v>
      </c>
      <c r="K275">
        <f>VLOOKUP($C275,'[1]PoB WN'!$C$1:$T$898,18,FALSE)</f>
        <v>21</v>
      </c>
      <c r="L275">
        <f>VLOOKUP($C275,'[1]PoB WH'!$C$1:$T$898,17,FALSE)</f>
        <v>9</v>
      </c>
      <c r="M275">
        <f>VLOOKUP($C275,'[1]PoB WH'!$C$1:$T$898,18,FALSE)</f>
        <v>0</v>
      </c>
      <c r="N275">
        <f>VLOOKUP($C275,'[1]PoB AA'!$C$1:$T$898,17,FALSE)</f>
        <v>0</v>
      </c>
      <c r="O275">
        <f>VLOOKUP($C275,'[1]PoB AA'!$C$1:$T$898,18,FALSE)</f>
        <v>0</v>
      </c>
      <c r="P275">
        <f>VLOOKUP($C275,'[1]PoB AI'!$C$1:$T$898,17,FALSE)</f>
        <v>10</v>
      </c>
      <c r="Q275">
        <f>VLOOKUP($C275,'[1]PoB AI'!$C$1:$T$898,18,FALSE)</f>
        <v>0</v>
      </c>
      <c r="R275">
        <f>VLOOKUP($C275,'[1]PoB AS'!$C$1:$T$898,17,FALSE)</f>
        <v>0</v>
      </c>
      <c r="S275">
        <f>VLOOKUP($C275,'[1]PoB AS'!$C$1:$T$898,18,FALSE)</f>
        <v>0</v>
      </c>
      <c r="T275">
        <f>VLOOKUP($C275,'[1]PoB PI'!$C$1:$T$898,17,FALSE)</f>
        <v>0</v>
      </c>
      <c r="U275">
        <f>VLOOKUP($C275,'[1]PoB PI'!$C$1:$T$898,18,FALSE)</f>
        <v>0</v>
      </c>
      <c r="V275">
        <f>VLOOKUP($C275,'[1]PoB OT'!$C$1:$T$898,17,FALSE)</f>
        <v>6</v>
      </c>
      <c r="W275">
        <f>VLOOKUP($C275,'[1]PoB OT'!$C$1:$T$898,18,FALSE)</f>
        <v>0</v>
      </c>
      <c r="X275">
        <f>VLOOKUP($C275,'[1]PoB 2R'!$C$1:$T$898,17,FALSE)</f>
        <v>8</v>
      </c>
      <c r="Y275">
        <f>VLOOKUP($C275,'[1]PoB 2R'!$C$1:$T$898,18,FALSE)</f>
        <v>0</v>
      </c>
    </row>
    <row r="276" spans="1:25" x14ac:dyDescent="0.25">
      <c r="A276" t="s">
        <v>932</v>
      </c>
      <c r="B276">
        <v>5343815</v>
      </c>
      <c r="C276" t="s">
        <v>933</v>
      </c>
      <c r="D276">
        <f t="shared" si="12"/>
        <v>12640</v>
      </c>
      <c r="E276">
        <f>VLOOKUP($C276,'[1]PoB Totals'!$C$3:$T$898,17,FALSE)</f>
        <v>11225</v>
      </c>
      <c r="F276">
        <f>VLOOKUP($C276,'[1]PoB Totals'!$C$3:$T$898,18,FALSE)</f>
        <v>1415</v>
      </c>
      <c r="G276">
        <f t="shared" si="13"/>
        <v>12640</v>
      </c>
      <c r="H276">
        <f t="shared" si="14"/>
        <v>11225</v>
      </c>
      <c r="I276">
        <f t="shared" si="14"/>
        <v>1415</v>
      </c>
      <c r="J276">
        <f>VLOOKUP($C276,'[1]PoB WN'!$C$1:$T$898,17,FALSE)</f>
        <v>9946</v>
      </c>
      <c r="K276">
        <f>VLOOKUP($C276,'[1]PoB WN'!$C$1:$T$898,18,FALSE)</f>
        <v>477</v>
      </c>
      <c r="L276">
        <f>VLOOKUP($C276,'[1]PoB WH'!$C$1:$T$898,17,FALSE)</f>
        <v>207</v>
      </c>
      <c r="M276">
        <f>VLOOKUP($C276,'[1]PoB WH'!$C$1:$T$898,18,FALSE)</f>
        <v>23</v>
      </c>
      <c r="N276">
        <f>VLOOKUP($C276,'[1]PoB AA'!$C$1:$T$898,17,FALSE)</f>
        <v>158</v>
      </c>
      <c r="O276">
        <f>VLOOKUP($C276,'[1]PoB AA'!$C$1:$T$898,18,FALSE)</f>
        <v>32</v>
      </c>
      <c r="P276">
        <f>VLOOKUP($C276,'[1]PoB AI'!$C$1:$T$898,17,FALSE)</f>
        <v>63</v>
      </c>
      <c r="Q276">
        <f>VLOOKUP($C276,'[1]PoB AI'!$C$1:$T$898,18,FALSE)</f>
        <v>0</v>
      </c>
      <c r="R276">
        <f>VLOOKUP($C276,'[1]PoB AS'!$C$1:$T$898,17,FALSE)</f>
        <v>414</v>
      </c>
      <c r="S276">
        <f>VLOOKUP($C276,'[1]PoB AS'!$C$1:$T$898,18,FALSE)</f>
        <v>757</v>
      </c>
      <c r="T276">
        <f>VLOOKUP($C276,'[1]PoB PI'!$C$1:$T$898,17,FALSE)</f>
        <v>0</v>
      </c>
      <c r="U276">
        <f>VLOOKUP($C276,'[1]PoB PI'!$C$1:$T$898,18,FALSE)</f>
        <v>0</v>
      </c>
      <c r="V276">
        <f>VLOOKUP($C276,'[1]PoB OT'!$C$1:$T$898,17,FALSE)</f>
        <v>83</v>
      </c>
      <c r="W276">
        <f>VLOOKUP($C276,'[1]PoB OT'!$C$1:$T$898,18,FALSE)</f>
        <v>28</v>
      </c>
      <c r="X276">
        <f>VLOOKUP($C276,'[1]PoB 2R'!$C$1:$T$898,17,FALSE)</f>
        <v>354</v>
      </c>
      <c r="Y276">
        <f>VLOOKUP($C276,'[1]PoB 2R'!$C$1:$T$898,18,FALSE)</f>
        <v>98</v>
      </c>
    </row>
    <row r="277" spans="1:25" x14ac:dyDescent="0.25">
      <c r="A277" t="s">
        <v>934</v>
      </c>
      <c r="B277">
        <v>5343885</v>
      </c>
      <c r="C277" t="s">
        <v>935</v>
      </c>
      <c r="D277">
        <f t="shared" si="12"/>
        <v>85</v>
      </c>
      <c r="E277">
        <f>VLOOKUP($C277,'[1]PoB Totals'!$C$3:$T$898,17,FALSE)</f>
        <v>85</v>
      </c>
      <c r="F277">
        <f>VLOOKUP($C277,'[1]PoB Totals'!$C$3:$T$898,18,FALSE)</f>
        <v>0</v>
      </c>
      <c r="G277">
        <f t="shared" si="13"/>
        <v>85</v>
      </c>
      <c r="H277">
        <f t="shared" si="14"/>
        <v>85</v>
      </c>
      <c r="I277">
        <f t="shared" si="14"/>
        <v>0</v>
      </c>
      <c r="J277">
        <f>VLOOKUP($C277,'[1]PoB WN'!$C$1:$T$898,17,FALSE)</f>
        <v>72</v>
      </c>
      <c r="K277">
        <f>VLOOKUP($C277,'[1]PoB WN'!$C$1:$T$898,18,FALSE)</f>
        <v>0</v>
      </c>
      <c r="L277">
        <f>VLOOKUP($C277,'[1]PoB WH'!$C$1:$T$898,17,FALSE)</f>
        <v>0</v>
      </c>
      <c r="M277">
        <f>VLOOKUP($C277,'[1]PoB WH'!$C$1:$T$898,18,FALSE)</f>
        <v>0</v>
      </c>
      <c r="N277">
        <f>VLOOKUP($C277,'[1]PoB AA'!$C$1:$T$898,17,FALSE)</f>
        <v>0</v>
      </c>
      <c r="O277">
        <f>VLOOKUP($C277,'[1]PoB AA'!$C$1:$T$898,18,FALSE)</f>
        <v>0</v>
      </c>
      <c r="P277">
        <f>VLOOKUP($C277,'[1]PoB AI'!$C$1:$T$898,17,FALSE)</f>
        <v>13</v>
      </c>
      <c r="Q277">
        <f>VLOOKUP($C277,'[1]PoB AI'!$C$1:$T$898,18,FALSE)</f>
        <v>0</v>
      </c>
      <c r="R277">
        <f>VLOOKUP($C277,'[1]PoB AS'!$C$1:$T$898,17,FALSE)</f>
        <v>0</v>
      </c>
      <c r="S277">
        <f>VLOOKUP($C277,'[1]PoB AS'!$C$1:$T$898,18,FALSE)</f>
        <v>0</v>
      </c>
      <c r="T277">
        <f>VLOOKUP($C277,'[1]PoB PI'!$C$1:$T$898,17,FALSE)</f>
        <v>0</v>
      </c>
      <c r="U277">
        <f>VLOOKUP($C277,'[1]PoB PI'!$C$1:$T$898,18,FALSE)</f>
        <v>0</v>
      </c>
      <c r="V277">
        <f>VLOOKUP($C277,'[1]PoB OT'!$C$1:$T$898,17,FALSE)</f>
        <v>0</v>
      </c>
      <c r="W277">
        <f>VLOOKUP($C277,'[1]PoB OT'!$C$1:$T$898,18,FALSE)</f>
        <v>0</v>
      </c>
      <c r="X277">
        <f>VLOOKUP($C277,'[1]PoB 2R'!$C$1:$T$898,17,FALSE)</f>
        <v>0</v>
      </c>
      <c r="Y277">
        <f>VLOOKUP($C277,'[1]PoB 2R'!$C$1:$T$898,18,FALSE)</f>
        <v>0</v>
      </c>
    </row>
    <row r="278" spans="1:25" x14ac:dyDescent="0.25">
      <c r="A278" t="s">
        <v>936</v>
      </c>
      <c r="B278">
        <v>5343955</v>
      </c>
      <c r="C278" t="s">
        <v>937</v>
      </c>
      <c r="D278">
        <f t="shared" si="12"/>
        <v>25221</v>
      </c>
      <c r="E278">
        <f>VLOOKUP($C278,'[1]PoB Totals'!$C$3:$T$898,17,FALSE)</f>
        <v>23010</v>
      </c>
      <c r="F278">
        <f>VLOOKUP($C278,'[1]PoB Totals'!$C$3:$T$898,18,FALSE)</f>
        <v>2211</v>
      </c>
      <c r="G278">
        <f t="shared" si="13"/>
        <v>25221</v>
      </c>
      <c r="H278">
        <f t="shared" si="14"/>
        <v>23010</v>
      </c>
      <c r="I278">
        <f t="shared" si="14"/>
        <v>2211</v>
      </c>
      <c r="J278">
        <f>VLOOKUP($C278,'[1]PoB WN'!$C$1:$T$898,17,FALSE)</f>
        <v>20833</v>
      </c>
      <c r="K278">
        <f>VLOOKUP($C278,'[1]PoB WN'!$C$1:$T$898,18,FALSE)</f>
        <v>920</v>
      </c>
      <c r="L278">
        <f>VLOOKUP($C278,'[1]PoB WH'!$C$1:$T$898,17,FALSE)</f>
        <v>261</v>
      </c>
      <c r="M278">
        <f>VLOOKUP($C278,'[1]PoB WH'!$C$1:$T$898,18,FALSE)</f>
        <v>215</v>
      </c>
      <c r="N278">
        <f>VLOOKUP($C278,'[1]PoB AA'!$C$1:$T$898,17,FALSE)</f>
        <v>221</v>
      </c>
      <c r="O278">
        <f>VLOOKUP($C278,'[1]PoB AA'!$C$1:$T$898,18,FALSE)</f>
        <v>43</v>
      </c>
      <c r="P278">
        <f>VLOOKUP($C278,'[1]PoB AI'!$C$1:$T$898,17,FALSE)</f>
        <v>325</v>
      </c>
      <c r="Q278">
        <f>VLOOKUP($C278,'[1]PoB AI'!$C$1:$T$898,18,FALSE)</f>
        <v>0</v>
      </c>
      <c r="R278">
        <f>VLOOKUP($C278,'[1]PoB AS'!$C$1:$T$898,17,FALSE)</f>
        <v>339</v>
      </c>
      <c r="S278">
        <f>VLOOKUP($C278,'[1]PoB AS'!$C$1:$T$898,18,FALSE)</f>
        <v>614</v>
      </c>
      <c r="T278">
        <f>VLOOKUP($C278,'[1]PoB PI'!$C$1:$T$898,17,FALSE)</f>
        <v>15</v>
      </c>
      <c r="U278">
        <f>VLOOKUP($C278,'[1]PoB PI'!$C$1:$T$898,18,FALSE)</f>
        <v>8</v>
      </c>
      <c r="V278">
        <f>VLOOKUP($C278,'[1]PoB OT'!$C$1:$T$898,17,FALSE)</f>
        <v>220</v>
      </c>
      <c r="W278">
        <f>VLOOKUP($C278,'[1]PoB OT'!$C$1:$T$898,18,FALSE)</f>
        <v>269</v>
      </c>
      <c r="X278">
        <f>VLOOKUP($C278,'[1]PoB 2R'!$C$1:$T$898,17,FALSE)</f>
        <v>796</v>
      </c>
      <c r="Y278">
        <f>VLOOKUP($C278,'[1]PoB 2R'!$C$1:$T$898,18,FALSE)</f>
        <v>142</v>
      </c>
    </row>
    <row r="279" spans="1:25" x14ac:dyDescent="0.25">
      <c r="A279" t="s">
        <v>938</v>
      </c>
      <c r="B279">
        <v>5344165</v>
      </c>
      <c r="C279" t="s">
        <v>1552</v>
      </c>
      <c r="D279">
        <f t="shared" si="12"/>
        <v>2703</v>
      </c>
      <c r="E279">
        <f>VLOOKUP($C279,'[1]PoB Totals'!$C$3:$T$898,17,FALSE)</f>
        <v>815</v>
      </c>
      <c r="F279">
        <f>VLOOKUP($C279,'[1]PoB Totals'!$C$3:$T$898,18,FALSE)</f>
        <v>1888</v>
      </c>
      <c r="G279">
        <f t="shared" si="13"/>
        <v>2703</v>
      </c>
      <c r="H279">
        <f t="shared" si="14"/>
        <v>815</v>
      </c>
      <c r="I279">
        <f t="shared" si="14"/>
        <v>1888</v>
      </c>
      <c r="J279">
        <f>VLOOKUP($C279,'[1]PoB WN'!$C$1:$T$898,17,FALSE)</f>
        <v>213</v>
      </c>
      <c r="K279">
        <f>VLOOKUP($C279,'[1]PoB WN'!$C$1:$T$898,18,FALSE)</f>
        <v>5</v>
      </c>
      <c r="L279">
        <f>VLOOKUP($C279,'[1]PoB WH'!$C$1:$T$898,17,FALSE)</f>
        <v>153</v>
      </c>
      <c r="M279">
        <f>VLOOKUP($C279,'[1]PoB WH'!$C$1:$T$898,18,FALSE)</f>
        <v>353</v>
      </c>
      <c r="N279">
        <f>VLOOKUP($C279,'[1]PoB AA'!$C$1:$T$898,17,FALSE)</f>
        <v>0</v>
      </c>
      <c r="O279">
        <f>VLOOKUP($C279,'[1]PoB AA'!$C$1:$T$898,18,FALSE)</f>
        <v>0</v>
      </c>
      <c r="P279">
        <f>VLOOKUP($C279,'[1]PoB AI'!$C$1:$T$898,17,FALSE)</f>
        <v>1</v>
      </c>
      <c r="Q279">
        <f>VLOOKUP($C279,'[1]PoB AI'!$C$1:$T$898,18,FALSE)</f>
        <v>19</v>
      </c>
      <c r="R279">
        <f>VLOOKUP($C279,'[1]PoB AS'!$C$1:$T$898,17,FALSE)</f>
        <v>0</v>
      </c>
      <c r="S279">
        <f>VLOOKUP($C279,'[1]PoB AS'!$C$1:$T$898,18,FALSE)</f>
        <v>1</v>
      </c>
      <c r="T279">
        <f>VLOOKUP($C279,'[1]PoB PI'!$C$1:$T$898,17,FALSE)</f>
        <v>0</v>
      </c>
      <c r="U279">
        <f>VLOOKUP($C279,'[1]PoB PI'!$C$1:$T$898,18,FALSE)</f>
        <v>0</v>
      </c>
      <c r="V279">
        <f>VLOOKUP($C279,'[1]PoB OT'!$C$1:$T$898,17,FALSE)</f>
        <v>431</v>
      </c>
      <c r="W279">
        <f>VLOOKUP($C279,'[1]PoB OT'!$C$1:$T$898,18,FALSE)</f>
        <v>1415</v>
      </c>
      <c r="X279">
        <f>VLOOKUP($C279,'[1]PoB 2R'!$C$1:$T$898,17,FALSE)</f>
        <v>17</v>
      </c>
      <c r="Y279">
        <f>VLOOKUP($C279,'[1]PoB 2R'!$C$1:$T$898,18,FALSE)</f>
        <v>95</v>
      </c>
    </row>
    <row r="280" spans="1:25" x14ac:dyDescent="0.25">
      <c r="A280" t="s">
        <v>940</v>
      </c>
      <c r="B280">
        <v>5344260</v>
      </c>
      <c r="C280" t="s">
        <v>941</v>
      </c>
      <c r="D280">
        <f t="shared" si="12"/>
        <v>987</v>
      </c>
      <c r="E280">
        <f>VLOOKUP($C280,'[1]PoB Totals'!$C$3:$T$898,17,FALSE)</f>
        <v>983</v>
      </c>
      <c r="F280">
        <f>VLOOKUP($C280,'[1]PoB Totals'!$C$3:$T$898,18,FALSE)</f>
        <v>4</v>
      </c>
      <c r="G280">
        <f t="shared" si="13"/>
        <v>987</v>
      </c>
      <c r="H280">
        <f t="shared" si="14"/>
        <v>983</v>
      </c>
      <c r="I280">
        <f t="shared" si="14"/>
        <v>4</v>
      </c>
      <c r="J280">
        <f>VLOOKUP($C280,'[1]PoB WN'!$C$1:$T$898,17,FALSE)</f>
        <v>941</v>
      </c>
      <c r="K280">
        <f>VLOOKUP($C280,'[1]PoB WN'!$C$1:$T$898,18,FALSE)</f>
        <v>4</v>
      </c>
      <c r="L280">
        <f>VLOOKUP($C280,'[1]PoB WH'!$C$1:$T$898,17,FALSE)</f>
        <v>19</v>
      </c>
      <c r="M280">
        <f>VLOOKUP($C280,'[1]PoB WH'!$C$1:$T$898,18,FALSE)</f>
        <v>0</v>
      </c>
      <c r="N280">
        <f>VLOOKUP($C280,'[1]PoB AA'!$C$1:$T$898,17,FALSE)</f>
        <v>0</v>
      </c>
      <c r="O280">
        <f>VLOOKUP($C280,'[1]PoB AA'!$C$1:$T$898,18,FALSE)</f>
        <v>0</v>
      </c>
      <c r="P280">
        <f>VLOOKUP($C280,'[1]PoB AI'!$C$1:$T$898,17,FALSE)</f>
        <v>2</v>
      </c>
      <c r="Q280">
        <f>VLOOKUP($C280,'[1]PoB AI'!$C$1:$T$898,18,FALSE)</f>
        <v>0</v>
      </c>
      <c r="R280">
        <f>VLOOKUP($C280,'[1]PoB AS'!$C$1:$T$898,17,FALSE)</f>
        <v>0</v>
      </c>
      <c r="S280">
        <f>VLOOKUP($C280,'[1]PoB AS'!$C$1:$T$898,18,FALSE)</f>
        <v>0</v>
      </c>
      <c r="T280">
        <f>VLOOKUP($C280,'[1]PoB PI'!$C$1:$T$898,17,FALSE)</f>
        <v>0</v>
      </c>
      <c r="U280">
        <f>VLOOKUP($C280,'[1]PoB PI'!$C$1:$T$898,18,FALSE)</f>
        <v>0</v>
      </c>
      <c r="V280">
        <f>VLOOKUP($C280,'[1]PoB OT'!$C$1:$T$898,17,FALSE)</f>
        <v>0</v>
      </c>
      <c r="W280">
        <f>VLOOKUP($C280,'[1]PoB OT'!$C$1:$T$898,18,FALSE)</f>
        <v>0</v>
      </c>
      <c r="X280">
        <f>VLOOKUP($C280,'[1]PoB 2R'!$C$1:$T$898,17,FALSE)</f>
        <v>21</v>
      </c>
      <c r="Y280">
        <f>VLOOKUP($C280,'[1]PoB 2R'!$C$1:$T$898,18,FALSE)</f>
        <v>0</v>
      </c>
    </row>
    <row r="281" spans="1:25" x14ac:dyDescent="0.25">
      <c r="A281" t="s">
        <v>946</v>
      </c>
      <c r="B281">
        <v>5344620</v>
      </c>
      <c r="C281" t="s">
        <v>947</v>
      </c>
      <c r="D281">
        <f t="shared" si="12"/>
        <v>2262</v>
      </c>
      <c r="E281">
        <f>VLOOKUP($C281,'[1]PoB Totals'!$C$3:$T$898,17,FALSE)</f>
        <v>2233</v>
      </c>
      <c r="F281">
        <f>VLOOKUP($C281,'[1]PoB Totals'!$C$3:$T$898,18,FALSE)</f>
        <v>29</v>
      </c>
      <c r="G281">
        <f t="shared" si="13"/>
        <v>2262</v>
      </c>
      <c r="H281">
        <f t="shared" si="14"/>
        <v>2233</v>
      </c>
      <c r="I281">
        <f t="shared" si="14"/>
        <v>29</v>
      </c>
      <c r="J281">
        <f>VLOOKUP($C281,'[1]PoB WN'!$C$1:$T$898,17,FALSE)</f>
        <v>2173</v>
      </c>
      <c r="K281">
        <f>VLOOKUP($C281,'[1]PoB WN'!$C$1:$T$898,18,FALSE)</f>
        <v>15</v>
      </c>
      <c r="L281">
        <f>VLOOKUP($C281,'[1]PoB WH'!$C$1:$T$898,17,FALSE)</f>
        <v>0</v>
      </c>
      <c r="M281">
        <f>VLOOKUP($C281,'[1]PoB WH'!$C$1:$T$898,18,FALSE)</f>
        <v>0</v>
      </c>
      <c r="N281">
        <f>VLOOKUP($C281,'[1]PoB AA'!$C$1:$T$898,17,FALSE)</f>
        <v>0</v>
      </c>
      <c r="O281">
        <f>VLOOKUP($C281,'[1]PoB AA'!$C$1:$T$898,18,FALSE)</f>
        <v>0</v>
      </c>
      <c r="P281">
        <f>VLOOKUP($C281,'[1]PoB AI'!$C$1:$T$898,17,FALSE)</f>
        <v>44</v>
      </c>
      <c r="Q281">
        <f>VLOOKUP($C281,'[1]PoB AI'!$C$1:$T$898,18,FALSE)</f>
        <v>0</v>
      </c>
      <c r="R281">
        <f>VLOOKUP($C281,'[1]PoB AS'!$C$1:$T$898,17,FALSE)</f>
        <v>0</v>
      </c>
      <c r="S281">
        <f>VLOOKUP($C281,'[1]PoB AS'!$C$1:$T$898,18,FALSE)</f>
        <v>14</v>
      </c>
      <c r="T281">
        <f>VLOOKUP($C281,'[1]PoB PI'!$C$1:$T$898,17,FALSE)</f>
        <v>0</v>
      </c>
      <c r="U281">
        <f>VLOOKUP($C281,'[1]PoB PI'!$C$1:$T$898,18,FALSE)</f>
        <v>0</v>
      </c>
      <c r="V281">
        <f>VLOOKUP($C281,'[1]PoB OT'!$C$1:$T$898,17,FALSE)</f>
        <v>0</v>
      </c>
      <c r="W281">
        <f>VLOOKUP($C281,'[1]PoB OT'!$C$1:$T$898,18,FALSE)</f>
        <v>0</v>
      </c>
      <c r="X281">
        <f>VLOOKUP($C281,'[1]PoB 2R'!$C$1:$T$898,17,FALSE)</f>
        <v>16</v>
      </c>
      <c r="Y281">
        <f>VLOOKUP($C281,'[1]PoB 2R'!$C$1:$T$898,18,FALSE)</f>
        <v>0</v>
      </c>
    </row>
    <row r="282" spans="1:25" x14ac:dyDescent="0.25">
      <c r="A282" t="s">
        <v>948</v>
      </c>
      <c r="B282">
        <v>5344690</v>
      </c>
      <c r="C282" t="s">
        <v>949</v>
      </c>
      <c r="D282">
        <f t="shared" si="12"/>
        <v>3771</v>
      </c>
      <c r="E282">
        <f>VLOOKUP($C282,'[1]PoB Totals'!$C$3:$T$898,17,FALSE)</f>
        <v>3649</v>
      </c>
      <c r="F282">
        <f>VLOOKUP($C282,'[1]PoB Totals'!$C$3:$T$898,18,FALSE)</f>
        <v>122</v>
      </c>
      <c r="G282">
        <f t="shared" si="13"/>
        <v>3771</v>
      </c>
      <c r="H282">
        <f t="shared" si="14"/>
        <v>3649</v>
      </c>
      <c r="I282">
        <f t="shared" si="14"/>
        <v>122</v>
      </c>
      <c r="J282">
        <f>VLOOKUP($C282,'[1]PoB WN'!$C$1:$T$898,17,FALSE)</f>
        <v>3184</v>
      </c>
      <c r="K282">
        <f>VLOOKUP($C282,'[1]PoB WN'!$C$1:$T$898,18,FALSE)</f>
        <v>67</v>
      </c>
      <c r="L282">
        <f>VLOOKUP($C282,'[1]PoB WH'!$C$1:$T$898,17,FALSE)</f>
        <v>137</v>
      </c>
      <c r="M282">
        <f>VLOOKUP($C282,'[1]PoB WH'!$C$1:$T$898,18,FALSE)</f>
        <v>3</v>
      </c>
      <c r="N282">
        <f>VLOOKUP($C282,'[1]PoB AA'!$C$1:$T$898,17,FALSE)</f>
        <v>205</v>
      </c>
      <c r="O282">
        <f>VLOOKUP($C282,'[1]PoB AA'!$C$1:$T$898,18,FALSE)</f>
        <v>12</v>
      </c>
      <c r="P282">
        <f>VLOOKUP($C282,'[1]PoB AI'!$C$1:$T$898,17,FALSE)</f>
        <v>8</v>
      </c>
      <c r="Q282">
        <f>VLOOKUP($C282,'[1]PoB AI'!$C$1:$T$898,18,FALSE)</f>
        <v>0</v>
      </c>
      <c r="R282">
        <f>VLOOKUP($C282,'[1]PoB AS'!$C$1:$T$898,17,FALSE)</f>
        <v>16</v>
      </c>
      <c r="S282">
        <f>VLOOKUP($C282,'[1]PoB AS'!$C$1:$T$898,18,FALSE)</f>
        <v>22</v>
      </c>
      <c r="T282">
        <f>VLOOKUP($C282,'[1]PoB PI'!$C$1:$T$898,17,FALSE)</f>
        <v>13</v>
      </c>
      <c r="U282">
        <f>VLOOKUP($C282,'[1]PoB PI'!$C$1:$T$898,18,FALSE)</f>
        <v>0</v>
      </c>
      <c r="V282">
        <f>VLOOKUP($C282,'[1]PoB OT'!$C$1:$T$898,17,FALSE)</f>
        <v>22</v>
      </c>
      <c r="W282">
        <f>VLOOKUP($C282,'[1]PoB OT'!$C$1:$T$898,18,FALSE)</f>
        <v>18</v>
      </c>
      <c r="X282">
        <f>VLOOKUP($C282,'[1]PoB 2R'!$C$1:$T$898,17,FALSE)</f>
        <v>64</v>
      </c>
      <c r="Y282">
        <f>VLOOKUP($C282,'[1]PoB 2R'!$C$1:$T$898,18,FALSE)</f>
        <v>0</v>
      </c>
    </row>
    <row r="283" spans="1:25" x14ac:dyDescent="0.25">
      <c r="A283" t="s">
        <v>950</v>
      </c>
      <c r="B283">
        <v>5344725</v>
      </c>
      <c r="C283" t="s">
        <v>951</v>
      </c>
      <c r="D283">
        <f t="shared" si="12"/>
        <v>3001</v>
      </c>
      <c r="E283">
        <f>VLOOKUP($C283,'[1]PoB Totals'!$C$3:$T$898,17,FALSE)</f>
        <v>2696</v>
      </c>
      <c r="F283">
        <f>VLOOKUP($C283,'[1]PoB Totals'!$C$3:$T$898,18,FALSE)</f>
        <v>305</v>
      </c>
      <c r="G283">
        <f t="shared" si="13"/>
        <v>3001</v>
      </c>
      <c r="H283">
        <f t="shared" si="14"/>
        <v>2696</v>
      </c>
      <c r="I283">
        <f t="shared" si="14"/>
        <v>305</v>
      </c>
      <c r="J283">
        <f>VLOOKUP($C283,'[1]PoB WN'!$C$1:$T$898,17,FALSE)</f>
        <v>2549</v>
      </c>
      <c r="K283">
        <f>VLOOKUP($C283,'[1]PoB WN'!$C$1:$T$898,18,FALSE)</f>
        <v>213</v>
      </c>
      <c r="L283">
        <f>VLOOKUP($C283,'[1]PoB WH'!$C$1:$T$898,17,FALSE)</f>
        <v>74</v>
      </c>
      <c r="M283">
        <f>VLOOKUP($C283,'[1]PoB WH'!$C$1:$T$898,18,FALSE)</f>
        <v>0</v>
      </c>
      <c r="N283">
        <f>VLOOKUP($C283,'[1]PoB AA'!$C$1:$T$898,17,FALSE)</f>
        <v>3</v>
      </c>
      <c r="O283">
        <f>VLOOKUP($C283,'[1]PoB AA'!$C$1:$T$898,18,FALSE)</f>
        <v>8</v>
      </c>
      <c r="P283">
        <f>VLOOKUP($C283,'[1]PoB AI'!$C$1:$T$898,17,FALSE)</f>
        <v>0</v>
      </c>
      <c r="Q283">
        <f>VLOOKUP($C283,'[1]PoB AI'!$C$1:$T$898,18,FALSE)</f>
        <v>0</v>
      </c>
      <c r="R283">
        <f>VLOOKUP($C283,'[1]PoB AS'!$C$1:$T$898,17,FALSE)</f>
        <v>18</v>
      </c>
      <c r="S283">
        <f>VLOOKUP($C283,'[1]PoB AS'!$C$1:$T$898,18,FALSE)</f>
        <v>79</v>
      </c>
      <c r="T283">
        <f>VLOOKUP($C283,'[1]PoB PI'!$C$1:$T$898,17,FALSE)</f>
        <v>0</v>
      </c>
      <c r="U283">
        <f>VLOOKUP($C283,'[1]PoB PI'!$C$1:$T$898,18,FALSE)</f>
        <v>0</v>
      </c>
      <c r="V283">
        <f>VLOOKUP($C283,'[1]PoB OT'!$C$1:$T$898,17,FALSE)</f>
        <v>8</v>
      </c>
      <c r="W283">
        <f>VLOOKUP($C283,'[1]PoB OT'!$C$1:$T$898,18,FALSE)</f>
        <v>5</v>
      </c>
      <c r="X283">
        <f>VLOOKUP($C283,'[1]PoB 2R'!$C$1:$T$898,17,FALSE)</f>
        <v>44</v>
      </c>
      <c r="Y283">
        <f>VLOOKUP($C283,'[1]PoB 2R'!$C$1:$T$898,18,FALSE)</f>
        <v>0</v>
      </c>
    </row>
    <row r="284" spans="1:25" x14ac:dyDescent="0.25">
      <c r="A284" t="s">
        <v>952</v>
      </c>
      <c r="B284">
        <v>5345005</v>
      </c>
      <c r="C284" t="s">
        <v>953</v>
      </c>
      <c r="D284">
        <f t="shared" si="12"/>
        <v>22036</v>
      </c>
      <c r="E284">
        <f>VLOOKUP($C284,'[1]PoB Totals'!$C$3:$T$898,17,FALSE)</f>
        <v>18755</v>
      </c>
      <c r="F284">
        <f>VLOOKUP($C284,'[1]PoB Totals'!$C$3:$T$898,18,FALSE)</f>
        <v>3281</v>
      </c>
      <c r="G284">
        <f t="shared" si="13"/>
        <v>22036</v>
      </c>
      <c r="H284">
        <f t="shared" si="14"/>
        <v>18755</v>
      </c>
      <c r="I284">
        <f t="shared" si="14"/>
        <v>3281</v>
      </c>
      <c r="J284">
        <f>VLOOKUP($C284,'[1]PoB WN'!$C$1:$T$898,17,FALSE)</f>
        <v>16541</v>
      </c>
      <c r="K284">
        <f>VLOOKUP($C284,'[1]PoB WN'!$C$1:$T$898,18,FALSE)</f>
        <v>1754</v>
      </c>
      <c r="L284">
        <f>VLOOKUP($C284,'[1]PoB WH'!$C$1:$T$898,17,FALSE)</f>
        <v>186</v>
      </c>
      <c r="M284">
        <f>VLOOKUP($C284,'[1]PoB WH'!$C$1:$T$898,18,FALSE)</f>
        <v>56</v>
      </c>
      <c r="N284">
        <f>VLOOKUP($C284,'[1]PoB AA'!$C$1:$T$898,17,FALSE)</f>
        <v>273</v>
      </c>
      <c r="O284">
        <f>VLOOKUP($C284,'[1]PoB AA'!$C$1:$T$898,18,FALSE)</f>
        <v>32</v>
      </c>
      <c r="P284">
        <f>VLOOKUP($C284,'[1]PoB AI'!$C$1:$T$898,17,FALSE)</f>
        <v>39</v>
      </c>
      <c r="Q284">
        <f>VLOOKUP($C284,'[1]PoB AI'!$C$1:$T$898,18,FALSE)</f>
        <v>0</v>
      </c>
      <c r="R284">
        <f>VLOOKUP($C284,'[1]PoB AS'!$C$1:$T$898,17,FALSE)</f>
        <v>1097</v>
      </c>
      <c r="S284">
        <f>VLOOKUP($C284,'[1]PoB AS'!$C$1:$T$898,18,FALSE)</f>
        <v>1339</v>
      </c>
      <c r="T284">
        <f>VLOOKUP($C284,'[1]PoB PI'!$C$1:$T$898,17,FALSE)</f>
        <v>11</v>
      </c>
      <c r="U284">
        <f>VLOOKUP($C284,'[1]PoB PI'!$C$1:$T$898,18,FALSE)</f>
        <v>16</v>
      </c>
      <c r="V284">
        <f>VLOOKUP($C284,'[1]PoB OT'!$C$1:$T$898,17,FALSE)</f>
        <v>58</v>
      </c>
      <c r="W284">
        <f>VLOOKUP($C284,'[1]PoB OT'!$C$1:$T$898,18,FALSE)</f>
        <v>37</v>
      </c>
      <c r="X284">
        <f>VLOOKUP($C284,'[1]PoB 2R'!$C$1:$T$898,17,FALSE)</f>
        <v>550</v>
      </c>
      <c r="Y284">
        <f>VLOOKUP($C284,'[1]PoB 2R'!$C$1:$T$898,18,FALSE)</f>
        <v>47</v>
      </c>
    </row>
    <row r="285" spans="1:25" x14ac:dyDescent="0.25">
      <c r="A285" t="s">
        <v>954</v>
      </c>
      <c r="B285">
        <v>5345180</v>
      </c>
      <c r="C285" t="s">
        <v>955</v>
      </c>
      <c r="D285">
        <f t="shared" si="12"/>
        <v>441</v>
      </c>
      <c r="E285">
        <f>VLOOKUP($C285,'[1]PoB Totals'!$C$3:$T$898,17,FALSE)</f>
        <v>275</v>
      </c>
      <c r="F285">
        <f>VLOOKUP($C285,'[1]PoB Totals'!$C$3:$T$898,18,FALSE)</f>
        <v>166</v>
      </c>
      <c r="G285">
        <f t="shared" si="13"/>
        <v>441</v>
      </c>
      <c r="H285">
        <f t="shared" si="14"/>
        <v>275</v>
      </c>
      <c r="I285">
        <f t="shared" si="14"/>
        <v>166</v>
      </c>
      <c r="J285">
        <f>VLOOKUP($C285,'[1]PoB WN'!$C$1:$T$898,17,FALSE)</f>
        <v>140</v>
      </c>
      <c r="K285">
        <f>VLOOKUP($C285,'[1]PoB WN'!$C$1:$T$898,18,FALSE)</f>
        <v>0</v>
      </c>
      <c r="L285">
        <f>VLOOKUP($C285,'[1]PoB WH'!$C$1:$T$898,17,FALSE)</f>
        <v>40</v>
      </c>
      <c r="M285">
        <f>VLOOKUP($C285,'[1]PoB WH'!$C$1:$T$898,18,FALSE)</f>
        <v>29</v>
      </c>
      <c r="N285">
        <f>VLOOKUP($C285,'[1]PoB AA'!$C$1:$T$898,17,FALSE)</f>
        <v>0</v>
      </c>
      <c r="O285">
        <f>VLOOKUP($C285,'[1]PoB AA'!$C$1:$T$898,18,FALSE)</f>
        <v>0</v>
      </c>
      <c r="P285">
        <f>VLOOKUP($C285,'[1]PoB AI'!$C$1:$T$898,17,FALSE)</f>
        <v>21</v>
      </c>
      <c r="Q285">
        <f>VLOOKUP($C285,'[1]PoB AI'!$C$1:$T$898,18,FALSE)</f>
        <v>5</v>
      </c>
      <c r="R285">
        <f>VLOOKUP($C285,'[1]PoB AS'!$C$1:$T$898,17,FALSE)</f>
        <v>0</v>
      </c>
      <c r="S285">
        <f>VLOOKUP($C285,'[1]PoB AS'!$C$1:$T$898,18,FALSE)</f>
        <v>3</v>
      </c>
      <c r="T285">
        <f>VLOOKUP($C285,'[1]PoB PI'!$C$1:$T$898,17,FALSE)</f>
        <v>0</v>
      </c>
      <c r="U285">
        <f>VLOOKUP($C285,'[1]PoB PI'!$C$1:$T$898,18,FALSE)</f>
        <v>0</v>
      </c>
      <c r="V285">
        <f>VLOOKUP($C285,'[1]PoB OT'!$C$1:$T$898,17,FALSE)</f>
        <v>45</v>
      </c>
      <c r="W285">
        <f>VLOOKUP($C285,'[1]PoB OT'!$C$1:$T$898,18,FALSE)</f>
        <v>82</v>
      </c>
      <c r="X285">
        <f>VLOOKUP($C285,'[1]PoB 2R'!$C$1:$T$898,17,FALSE)</f>
        <v>29</v>
      </c>
      <c r="Y285">
        <f>VLOOKUP($C285,'[1]PoB 2R'!$C$1:$T$898,18,FALSE)</f>
        <v>47</v>
      </c>
    </row>
    <row r="286" spans="1:25" x14ac:dyDescent="0.25">
      <c r="A286" t="s">
        <v>956</v>
      </c>
      <c r="B286">
        <v>5345285</v>
      </c>
      <c r="C286" t="s">
        <v>957</v>
      </c>
      <c r="D286">
        <f t="shared" si="12"/>
        <v>179</v>
      </c>
      <c r="E286">
        <f>VLOOKUP($C286,'[1]PoB Totals'!$C$3:$T$898,17,FALSE)</f>
        <v>171</v>
      </c>
      <c r="F286">
        <f>VLOOKUP($C286,'[1]PoB Totals'!$C$3:$T$898,18,FALSE)</f>
        <v>8</v>
      </c>
      <c r="G286">
        <f t="shared" si="13"/>
        <v>179</v>
      </c>
      <c r="H286">
        <f t="shared" si="14"/>
        <v>171</v>
      </c>
      <c r="I286">
        <f t="shared" si="14"/>
        <v>8</v>
      </c>
      <c r="J286">
        <f>VLOOKUP($C286,'[1]PoB WN'!$C$1:$T$898,17,FALSE)</f>
        <v>164</v>
      </c>
      <c r="K286">
        <f>VLOOKUP($C286,'[1]PoB WN'!$C$1:$T$898,18,FALSE)</f>
        <v>8</v>
      </c>
      <c r="L286">
        <f>VLOOKUP($C286,'[1]PoB WH'!$C$1:$T$898,17,FALSE)</f>
        <v>0</v>
      </c>
      <c r="M286">
        <f>VLOOKUP($C286,'[1]PoB WH'!$C$1:$T$898,18,FALSE)</f>
        <v>0</v>
      </c>
      <c r="N286">
        <f>VLOOKUP($C286,'[1]PoB AA'!$C$1:$T$898,17,FALSE)</f>
        <v>0</v>
      </c>
      <c r="O286">
        <f>VLOOKUP($C286,'[1]PoB AA'!$C$1:$T$898,18,FALSE)</f>
        <v>0</v>
      </c>
      <c r="P286">
        <f>VLOOKUP($C286,'[1]PoB AI'!$C$1:$T$898,17,FALSE)</f>
        <v>1</v>
      </c>
      <c r="Q286">
        <f>VLOOKUP($C286,'[1]PoB AI'!$C$1:$T$898,18,FALSE)</f>
        <v>0</v>
      </c>
      <c r="R286">
        <f>VLOOKUP($C286,'[1]PoB AS'!$C$1:$T$898,17,FALSE)</f>
        <v>0</v>
      </c>
      <c r="S286">
        <f>VLOOKUP($C286,'[1]PoB AS'!$C$1:$T$898,18,FALSE)</f>
        <v>0</v>
      </c>
      <c r="T286">
        <f>VLOOKUP($C286,'[1]PoB PI'!$C$1:$T$898,17,FALSE)</f>
        <v>0</v>
      </c>
      <c r="U286">
        <f>VLOOKUP($C286,'[1]PoB PI'!$C$1:$T$898,18,FALSE)</f>
        <v>0</v>
      </c>
      <c r="V286">
        <f>VLOOKUP($C286,'[1]PoB OT'!$C$1:$T$898,17,FALSE)</f>
        <v>0</v>
      </c>
      <c r="W286">
        <f>VLOOKUP($C286,'[1]PoB OT'!$C$1:$T$898,18,FALSE)</f>
        <v>0</v>
      </c>
      <c r="X286">
        <f>VLOOKUP($C286,'[1]PoB 2R'!$C$1:$T$898,17,FALSE)</f>
        <v>6</v>
      </c>
      <c r="Y286">
        <f>VLOOKUP($C286,'[1]PoB 2R'!$C$1:$T$898,18,FALSE)</f>
        <v>0</v>
      </c>
    </row>
    <row r="287" spans="1:25" x14ac:dyDescent="0.25">
      <c r="A287" t="s">
        <v>958</v>
      </c>
      <c r="B287">
        <v>5345320</v>
      </c>
      <c r="C287" t="s">
        <v>959</v>
      </c>
      <c r="D287">
        <f t="shared" si="12"/>
        <v>199</v>
      </c>
      <c r="E287">
        <f>VLOOKUP($C287,'[1]PoB Totals'!$C$3:$T$898,17,FALSE)</f>
        <v>183</v>
      </c>
      <c r="F287">
        <f>VLOOKUP($C287,'[1]PoB Totals'!$C$3:$T$898,18,FALSE)</f>
        <v>16</v>
      </c>
      <c r="G287">
        <f t="shared" si="13"/>
        <v>199</v>
      </c>
      <c r="H287">
        <f t="shared" si="14"/>
        <v>183</v>
      </c>
      <c r="I287">
        <f t="shared" si="14"/>
        <v>16</v>
      </c>
      <c r="J287">
        <f>VLOOKUP($C287,'[1]PoB WN'!$C$1:$T$898,17,FALSE)</f>
        <v>177</v>
      </c>
      <c r="K287">
        <f>VLOOKUP($C287,'[1]PoB WN'!$C$1:$T$898,18,FALSE)</f>
        <v>12</v>
      </c>
      <c r="L287">
        <f>VLOOKUP($C287,'[1]PoB WH'!$C$1:$T$898,17,FALSE)</f>
        <v>0</v>
      </c>
      <c r="M287">
        <f>VLOOKUP($C287,'[1]PoB WH'!$C$1:$T$898,18,FALSE)</f>
        <v>0</v>
      </c>
      <c r="N287">
        <f>VLOOKUP($C287,'[1]PoB AA'!$C$1:$T$898,17,FALSE)</f>
        <v>0</v>
      </c>
      <c r="O287">
        <f>VLOOKUP($C287,'[1]PoB AA'!$C$1:$T$898,18,FALSE)</f>
        <v>0</v>
      </c>
      <c r="P287">
        <f>VLOOKUP($C287,'[1]PoB AI'!$C$1:$T$898,17,FALSE)</f>
        <v>0</v>
      </c>
      <c r="Q287">
        <f>VLOOKUP($C287,'[1]PoB AI'!$C$1:$T$898,18,FALSE)</f>
        <v>0</v>
      </c>
      <c r="R287">
        <f>VLOOKUP($C287,'[1]PoB AS'!$C$1:$T$898,17,FALSE)</f>
        <v>1</v>
      </c>
      <c r="S287">
        <f>VLOOKUP($C287,'[1]PoB AS'!$C$1:$T$898,18,FALSE)</f>
        <v>4</v>
      </c>
      <c r="T287">
        <f>VLOOKUP($C287,'[1]PoB PI'!$C$1:$T$898,17,FALSE)</f>
        <v>0</v>
      </c>
      <c r="U287">
        <f>VLOOKUP($C287,'[1]PoB PI'!$C$1:$T$898,18,FALSE)</f>
        <v>0</v>
      </c>
      <c r="V287">
        <f>VLOOKUP($C287,'[1]PoB OT'!$C$1:$T$898,17,FALSE)</f>
        <v>0</v>
      </c>
      <c r="W287">
        <f>VLOOKUP($C287,'[1]PoB OT'!$C$1:$T$898,18,FALSE)</f>
        <v>0</v>
      </c>
      <c r="X287">
        <f>VLOOKUP($C287,'[1]PoB 2R'!$C$1:$T$898,17,FALSE)</f>
        <v>5</v>
      </c>
      <c r="Y287">
        <f>VLOOKUP($C287,'[1]PoB 2R'!$C$1:$T$898,18,FALSE)</f>
        <v>0</v>
      </c>
    </row>
    <row r="288" spans="1:25" x14ac:dyDescent="0.25">
      <c r="A288" t="s">
        <v>962</v>
      </c>
      <c r="B288">
        <v>5345495</v>
      </c>
      <c r="C288" t="s">
        <v>963</v>
      </c>
      <c r="D288">
        <f t="shared" si="12"/>
        <v>7473</v>
      </c>
      <c r="E288">
        <f>VLOOKUP($C288,'[1]PoB Totals'!$C$3:$T$898,17,FALSE)</f>
        <v>6742</v>
      </c>
      <c r="F288">
        <f>VLOOKUP($C288,'[1]PoB Totals'!$C$3:$T$898,18,FALSE)</f>
        <v>731</v>
      </c>
      <c r="G288">
        <f t="shared" si="13"/>
        <v>7473</v>
      </c>
      <c r="H288">
        <f t="shared" si="14"/>
        <v>6742</v>
      </c>
      <c r="I288">
        <f t="shared" si="14"/>
        <v>731</v>
      </c>
      <c r="J288">
        <f>VLOOKUP($C288,'[1]PoB WN'!$C$1:$T$898,17,FALSE)</f>
        <v>5034</v>
      </c>
      <c r="K288">
        <f>VLOOKUP($C288,'[1]PoB WN'!$C$1:$T$898,18,FALSE)</f>
        <v>134</v>
      </c>
      <c r="L288">
        <f>VLOOKUP($C288,'[1]PoB WH'!$C$1:$T$898,17,FALSE)</f>
        <v>143</v>
      </c>
      <c r="M288">
        <f>VLOOKUP($C288,'[1]PoB WH'!$C$1:$T$898,18,FALSE)</f>
        <v>107</v>
      </c>
      <c r="N288">
        <f>VLOOKUP($C288,'[1]PoB AA'!$C$1:$T$898,17,FALSE)</f>
        <v>508</v>
      </c>
      <c r="O288">
        <f>VLOOKUP($C288,'[1]PoB AA'!$C$1:$T$898,18,FALSE)</f>
        <v>3</v>
      </c>
      <c r="P288">
        <f>VLOOKUP($C288,'[1]PoB AI'!$C$1:$T$898,17,FALSE)</f>
        <v>170</v>
      </c>
      <c r="Q288">
        <f>VLOOKUP($C288,'[1]PoB AI'!$C$1:$T$898,18,FALSE)</f>
        <v>10</v>
      </c>
      <c r="R288">
        <f>VLOOKUP($C288,'[1]PoB AS'!$C$1:$T$898,17,FALSE)</f>
        <v>77</v>
      </c>
      <c r="S288">
        <f>VLOOKUP($C288,'[1]PoB AS'!$C$1:$T$898,18,FALSE)</f>
        <v>271</v>
      </c>
      <c r="T288">
        <f>VLOOKUP($C288,'[1]PoB PI'!$C$1:$T$898,17,FALSE)</f>
        <v>79</v>
      </c>
      <c r="U288">
        <f>VLOOKUP($C288,'[1]PoB PI'!$C$1:$T$898,18,FALSE)</f>
        <v>28</v>
      </c>
      <c r="V288">
        <f>VLOOKUP($C288,'[1]PoB OT'!$C$1:$T$898,17,FALSE)</f>
        <v>197</v>
      </c>
      <c r="W288">
        <f>VLOOKUP($C288,'[1]PoB OT'!$C$1:$T$898,18,FALSE)</f>
        <v>109</v>
      </c>
      <c r="X288">
        <f>VLOOKUP($C288,'[1]PoB 2R'!$C$1:$T$898,17,FALSE)</f>
        <v>534</v>
      </c>
      <c r="Y288">
        <f>VLOOKUP($C288,'[1]PoB 2R'!$C$1:$T$898,18,FALSE)</f>
        <v>69</v>
      </c>
    </row>
    <row r="289" spans="1:25" x14ac:dyDescent="0.25">
      <c r="A289" t="s">
        <v>964</v>
      </c>
      <c r="B289">
        <v>5345865</v>
      </c>
      <c r="C289" t="s">
        <v>965</v>
      </c>
      <c r="D289">
        <f t="shared" si="12"/>
        <v>11444</v>
      </c>
      <c r="E289">
        <f>VLOOKUP($C289,'[1]PoB Totals'!$C$3:$T$898,17,FALSE)</f>
        <v>9449</v>
      </c>
      <c r="F289">
        <f>VLOOKUP($C289,'[1]PoB Totals'!$C$3:$T$898,18,FALSE)</f>
        <v>1995</v>
      </c>
      <c r="G289">
        <f t="shared" si="13"/>
        <v>11444</v>
      </c>
      <c r="H289">
        <f t="shared" si="14"/>
        <v>9449</v>
      </c>
      <c r="I289">
        <f t="shared" si="14"/>
        <v>1995</v>
      </c>
      <c r="J289">
        <f>VLOOKUP($C289,'[1]PoB WN'!$C$1:$T$898,17,FALSE)</f>
        <v>8363</v>
      </c>
      <c r="K289">
        <f>VLOOKUP($C289,'[1]PoB WN'!$C$1:$T$898,18,FALSE)</f>
        <v>902</v>
      </c>
      <c r="L289">
        <f>VLOOKUP($C289,'[1]PoB WH'!$C$1:$T$898,17,FALSE)</f>
        <v>138</v>
      </c>
      <c r="M289">
        <f>VLOOKUP($C289,'[1]PoB WH'!$C$1:$T$898,18,FALSE)</f>
        <v>73</v>
      </c>
      <c r="N289">
        <f>VLOOKUP($C289,'[1]PoB AA'!$C$1:$T$898,17,FALSE)</f>
        <v>115</v>
      </c>
      <c r="O289">
        <f>VLOOKUP($C289,'[1]PoB AA'!$C$1:$T$898,18,FALSE)</f>
        <v>0</v>
      </c>
      <c r="P289">
        <f>VLOOKUP($C289,'[1]PoB AI'!$C$1:$T$898,17,FALSE)</f>
        <v>73</v>
      </c>
      <c r="Q289">
        <f>VLOOKUP($C289,'[1]PoB AI'!$C$1:$T$898,18,FALSE)</f>
        <v>0</v>
      </c>
      <c r="R289">
        <f>VLOOKUP($C289,'[1]PoB AS'!$C$1:$T$898,17,FALSE)</f>
        <v>373</v>
      </c>
      <c r="S289">
        <f>VLOOKUP($C289,'[1]PoB AS'!$C$1:$T$898,18,FALSE)</f>
        <v>814</v>
      </c>
      <c r="T289">
        <f>VLOOKUP($C289,'[1]PoB PI'!$C$1:$T$898,17,FALSE)</f>
        <v>19</v>
      </c>
      <c r="U289">
        <f>VLOOKUP($C289,'[1]PoB PI'!$C$1:$T$898,18,FALSE)</f>
        <v>15</v>
      </c>
      <c r="V289">
        <f>VLOOKUP($C289,'[1]PoB OT'!$C$1:$T$898,17,FALSE)</f>
        <v>85</v>
      </c>
      <c r="W289">
        <f>VLOOKUP($C289,'[1]PoB OT'!$C$1:$T$898,18,FALSE)</f>
        <v>62</v>
      </c>
      <c r="X289">
        <f>VLOOKUP($C289,'[1]PoB 2R'!$C$1:$T$898,17,FALSE)</f>
        <v>283</v>
      </c>
      <c r="Y289">
        <f>VLOOKUP($C289,'[1]PoB 2R'!$C$1:$T$898,18,FALSE)</f>
        <v>129</v>
      </c>
    </row>
    <row r="290" spans="1:25" x14ac:dyDescent="0.25">
      <c r="A290" t="s">
        <v>1553</v>
      </c>
      <c r="B290">
        <v>5345915</v>
      </c>
      <c r="C290" t="s">
        <v>1554</v>
      </c>
      <c r="D290">
        <f t="shared" si="12"/>
        <v>7490</v>
      </c>
      <c r="E290">
        <f>VLOOKUP($C290,'[1]PoB Totals'!$C$3:$T$898,17,FALSE)</f>
        <v>6356</v>
      </c>
      <c r="F290">
        <f>VLOOKUP($C290,'[1]PoB Totals'!$C$3:$T$898,18,FALSE)</f>
        <v>1134</v>
      </c>
      <c r="G290">
        <f t="shared" si="13"/>
        <v>7490</v>
      </c>
      <c r="H290">
        <f t="shared" si="14"/>
        <v>6356</v>
      </c>
      <c r="I290">
        <f t="shared" si="14"/>
        <v>1134</v>
      </c>
      <c r="J290">
        <f>VLOOKUP($C290,'[1]PoB WN'!$C$1:$T$898,17,FALSE)</f>
        <v>5841</v>
      </c>
      <c r="K290">
        <f>VLOOKUP($C290,'[1]PoB WN'!$C$1:$T$898,18,FALSE)</f>
        <v>730</v>
      </c>
      <c r="L290">
        <f>VLOOKUP($C290,'[1]PoB WH'!$C$1:$T$898,17,FALSE)</f>
        <v>65</v>
      </c>
      <c r="M290">
        <f>VLOOKUP($C290,'[1]PoB WH'!$C$1:$T$898,18,FALSE)</f>
        <v>39</v>
      </c>
      <c r="N290">
        <f>VLOOKUP($C290,'[1]PoB AA'!$C$1:$T$898,17,FALSE)</f>
        <v>115</v>
      </c>
      <c r="O290">
        <f>VLOOKUP($C290,'[1]PoB AA'!$C$1:$T$898,18,FALSE)</f>
        <v>20</v>
      </c>
      <c r="P290">
        <f>VLOOKUP($C290,'[1]PoB AI'!$C$1:$T$898,17,FALSE)</f>
        <v>65</v>
      </c>
      <c r="Q290">
        <f>VLOOKUP($C290,'[1]PoB AI'!$C$1:$T$898,18,FALSE)</f>
        <v>0</v>
      </c>
      <c r="R290">
        <f>VLOOKUP($C290,'[1]PoB AS'!$C$1:$T$898,17,FALSE)</f>
        <v>61</v>
      </c>
      <c r="S290">
        <f>VLOOKUP($C290,'[1]PoB AS'!$C$1:$T$898,18,FALSE)</f>
        <v>189</v>
      </c>
      <c r="T290">
        <f>VLOOKUP($C290,'[1]PoB PI'!$C$1:$T$898,17,FALSE)</f>
        <v>0</v>
      </c>
      <c r="U290">
        <f>VLOOKUP($C290,'[1]PoB PI'!$C$1:$T$898,18,FALSE)</f>
        <v>0</v>
      </c>
      <c r="V290">
        <f>VLOOKUP($C290,'[1]PoB OT'!$C$1:$T$898,17,FALSE)</f>
        <v>34</v>
      </c>
      <c r="W290">
        <f>VLOOKUP($C290,'[1]PoB OT'!$C$1:$T$898,18,FALSE)</f>
        <v>141</v>
      </c>
      <c r="X290">
        <f>VLOOKUP($C290,'[1]PoB 2R'!$C$1:$T$898,17,FALSE)</f>
        <v>175</v>
      </c>
      <c r="Y290">
        <f>VLOOKUP($C290,'[1]PoB 2R'!$C$1:$T$898,18,FALSE)</f>
        <v>15</v>
      </c>
    </row>
    <row r="291" spans="1:25" x14ac:dyDescent="0.25">
      <c r="A291" t="s">
        <v>968</v>
      </c>
      <c r="B291">
        <v>5345985</v>
      </c>
      <c r="C291" t="s">
        <v>1555</v>
      </c>
      <c r="D291">
        <f t="shared" si="12"/>
        <v>1649</v>
      </c>
      <c r="E291">
        <f>VLOOKUP($C291,'[1]PoB Totals'!$C$3:$T$898,17,FALSE)</f>
        <v>1596</v>
      </c>
      <c r="F291">
        <f>VLOOKUP($C291,'[1]PoB Totals'!$C$3:$T$898,18,FALSE)</f>
        <v>53</v>
      </c>
      <c r="G291">
        <f t="shared" si="13"/>
        <v>1649</v>
      </c>
      <c r="H291">
        <f t="shared" si="14"/>
        <v>1596</v>
      </c>
      <c r="I291">
        <f t="shared" si="14"/>
        <v>53</v>
      </c>
      <c r="J291">
        <f>VLOOKUP($C291,'[1]PoB WN'!$C$1:$T$898,17,FALSE)</f>
        <v>1538</v>
      </c>
      <c r="K291">
        <f>VLOOKUP($C291,'[1]PoB WN'!$C$1:$T$898,18,FALSE)</f>
        <v>49</v>
      </c>
      <c r="L291">
        <f>VLOOKUP($C291,'[1]PoB WH'!$C$1:$T$898,17,FALSE)</f>
        <v>5</v>
      </c>
      <c r="M291">
        <f>VLOOKUP($C291,'[1]PoB WH'!$C$1:$T$898,18,FALSE)</f>
        <v>0</v>
      </c>
      <c r="N291">
        <f>VLOOKUP($C291,'[1]PoB AA'!$C$1:$T$898,17,FALSE)</f>
        <v>10</v>
      </c>
      <c r="O291">
        <f>VLOOKUP($C291,'[1]PoB AA'!$C$1:$T$898,18,FALSE)</f>
        <v>0</v>
      </c>
      <c r="P291">
        <f>VLOOKUP($C291,'[1]PoB AI'!$C$1:$T$898,17,FALSE)</f>
        <v>9</v>
      </c>
      <c r="Q291">
        <f>VLOOKUP($C291,'[1]PoB AI'!$C$1:$T$898,18,FALSE)</f>
        <v>0</v>
      </c>
      <c r="R291">
        <f>VLOOKUP($C291,'[1]PoB AS'!$C$1:$T$898,17,FALSE)</f>
        <v>3</v>
      </c>
      <c r="S291">
        <f>VLOOKUP($C291,'[1]PoB AS'!$C$1:$T$898,18,FALSE)</f>
        <v>4</v>
      </c>
      <c r="T291">
        <f>VLOOKUP($C291,'[1]PoB PI'!$C$1:$T$898,17,FALSE)</f>
        <v>0</v>
      </c>
      <c r="U291">
        <f>VLOOKUP($C291,'[1]PoB PI'!$C$1:$T$898,18,FALSE)</f>
        <v>0</v>
      </c>
      <c r="V291">
        <f>VLOOKUP($C291,'[1]PoB OT'!$C$1:$T$898,17,FALSE)</f>
        <v>0</v>
      </c>
      <c r="W291">
        <f>VLOOKUP($C291,'[1]PoB OT'!$C$1:$T$898,18,FALSE)</f>
        <v>0</v>
      </c>
      <c r="X291">
        <f>VLOOKUP($C291,'[1]PoB 2R'!$C$1:$T$898,17,FALSE)</f>
        <v>31</v>
      </c>
      <c r="Y291">
        <f>VLOOKUP($C291,'[1]PoB 2R'!$C$1:$T$898,18,FALSE)</f>
        <v>0</v>
      </c>
    </row>
    <row r="292" spans="1:25" x14ac:dyDescent="0.25">
      <c r="A292" t="s">
        <v>970</v>
      </c>
      <c r="B292">
        <v>5346020</v>
      </c>
      <c r="C292" t="s">
        <v>971</v>
      </c>
      <c r="D292">
        <f t="shared" si="12"/>
        <v>5831</v>
      </c>
      <c r="E292">
        <f>VLOOKUP($C292,'[1]PoB Totals'!$C$3:$T$898,17,FALSE)</f>
        <v>5534</v>
      </c>
      <c r="F292">
        <f>VLOOKUP($C292,'[1]PoB Totals'!$C$3:$T$898,18,FALSE)</f>
        <v>297</v>
      </c>
      <c r="G292">
        <f t="shared" si="13"/>
        <v>5831</v>
      </c>
      <c r="H292">
        <f t="shared" si="14"/>
        <v>5534</v>
      </c>
      <c r="I292">
        <f t="shared" si="14"/>
        <v>297</v>
      </c>
      <c r="J292">
        <f>VLOOKUP($C292,'[1]PoB WN'!$C$1:$T$898,17,FALSE)</f>
        <v>4984</v>
      </c>
      <c r="K292">
        <f>VLOOKUP($C292,'[1]PoB WN'!$C$1:$T$898,18,FALSE)</f>
        <v>144</v>
      </c>
      <c r="L292">
        <f>VLOOKUP($C292,'[1]PoB WH'!$C$1:$T$898,17,FALSE)</f>
        <v>68</v>
      </c>
      <c r="M292">
        <f>VLOOKUP($C292,'[1]PoB WH'!$C$1:$T$898,18,FALSE)</f>
        <v>22</v>
      </c>
      <c r="N292">
        <f>VLOOKUP($C292,'[1]PoB AA'!$C$1:$T$898,17,FALSE)</f>
        <v>49</v>
      </c>
      <c r="O292">
        <f>VLOOKUP($C292,'[1]PoB AA'!$C$1:$T$898,18,FALSE)</f>
        <v>5</v>
      </c>
      <c r="P292">
        <f>VLOOKUP($C292,'[1]PoB AI'!$C$1:$T$898,17,FALSE)</f>
        <v>106</v>
      </c>
      <c r="Q292">
        <f>VLOOKUP($C292,'[1]PoB AI'!$C$1:$T$898,18,FALSE)</f>
        <v>0</v>
      </c>
      <c r="R292">
        <f>VLOOKUP($C292,'[1]PoB AS'!$C$1:$T$898,17,FALSE)</f>
        <v>103</v>
      </c>
      <c r="S292">
        <f>VLOOKUP($C292,'[1]PoB AS'!$C$1:$T$898,18,FALSE)</f>
        <v>73</v>
      </c>
      <c r="T292">
        <f>VLOOKUP($C292,'[1]PoB PI'!$C$1:$T$898,17,FALSE)</f>
        <v>12</v>
      </c>
      <c r="U292">
        <f>VLOOKUP($C292,'[1]PoB PI'!$C$1:$T$898,18,FALSE)</f>
        <v>0</v>
      </c>
      <c r="V292">
        <f>VLOOKUP($C292,'[1]PoB OT'!$C$1:$T$898,17,FALSE)</f>
        <v>27</v>
      </c>
      <c r="W292">
        <f>VLOOKUP($C292,'[1]PoB OT'!$C$1:$T$898,18,FALSE)</f>
        <v>34</v>
      </c>
      <c r="X292">
        <f>VLOOKUP($C292,'[1]PoB 2R'!$C$1:$T$898,17,FALSE)</f>
        <v>185</v>
      </c>
      <c r="Y292">
        <f>VLOOKUP($C292,'[1]PoB 2R'!$C$1:$T$898,18,FALSE)</f>
        <v>19</v>
      </c>
    </row>
    <row r="293" spans="1:25" x14ac:dyDescent="0.25">
      <c r="A293" t="s">
        <v>974</v>
      </c>
      <c r="B293">
        <v>5346125</v>
      </c>
      <c r="C293" t="s">
        <v>975</v>
      </c>
      <c r="D293">
        <f t="shared" si="12"/>
        <v>7673</v>
      </c>
      <c r="E293">
        <f>VLOOKUP($C293,'[1]PoB Totals'!$C$3:$T$898,17,FALSE)</f>
        <v>6844</v>
      </c>
      <c r="F293">
        <f>VLOOKUP($C293,'[1]PoB Totals'!$C$3:$T$898,18,FALSE)</f>
        <v>829</v>
      </c>
      <c r="G293">
        <f t="shared" si="13"/>
        <v>7673</v>
      </c>
      <c r="H293">
        <f t="shared" si="14"/>
        <v>6844</v>
      </c>
      <c r="I293">
        <f t="shared" si="14"/>
        <v>829</v>
      </c>
      <c r="J293">
        <f>VLOOKUP($C293,'[1]PoB WN'!$C$1:$T$898,17,FALSE)</f>
        <v>6124</v>
      </c>
      <c r="K293">
        <f>VLOOKUP($C293,'[1]PoB WN'!$C$1:$T$898,18,FALSE)</f>
        <v>504</v>
      </c>
      <c r="L293">
        <f>VLOOKUP($C293,'[1]PoB WH'!$C$1:$T$898,17,FALSE)</f>
        <v>190</v>
      </c>
      <c r="M293">
        <f>VLOOKUP($C293,'[1]PoB WH'!$C$1:$T$898,18,FALSE)</f>
        <v>43</v>
      </c>
      <c r="N293">
        <f>VLOOKUP($C293,'[1]PoB AA'!$C$1:$T$898,17,FALSE)</f>
        <v>87</v>
      </c>
      <c r="O293">
        <f>VLOOKUP($C293,'[1]PoB AA'!$C$1:$T$898,18,FALSE)</f>
        <v>0</v>
      </c>
      <c r="P293">
        <f>VLOOKUP($C293,'[1]PoB AI'!$C$1:$T$898,17,FALSE)</f>
        <v>21</v>
      </c>
      <c r="Q293">
        <f>VLOOKUP($C293,'[1]PoB AI'!$C$1:$T$898,18,FALSE)</f>
        <v>0</v>
      </c>
      <c r="R293">
        <f>VLOOKUP($C293,'[1]PoB AS'!$C$1:$T$898,17,FALSE)</f>
        <v>75</v>
      </c>
      <c r="S293">
        <f>VLOOKUP($C293,'[1]PoB AS'!$C$1:$T$898,18,FALSE)</f>
        <v>154</v>
      </c>
      <c r="T293">
        <f>VLOOKUP($C293,'[1]PoB PI'!$C$1:$T$898,17,FALSE)</f>
        <v>7</v>
      </c>
      <c r="U293">
        <f>VLOOKUP($C293,'[1]PoB PI'!$C$1:$T$898,18,FALSE)</f>
        <v>0</v>
      </c>
      <c r="V293">
        <f>VLOOKUP($C293,'[1]PoB OT'!$C$1:$T$898,17,FALSE)</f>
        <v>86</v>
      </c>
      <c r="W293">
        <f>VLOOKUP($C293,'[1]PoB OT'!$C$1:$T$898,18,FALSE)</f>
        <v>28</v>
      </c>
      <c r="X293">
        <f>VLOOKUP($C293,'[1]PoB 2R'!$C$1:$T$898,17,FALSE)</f>
        <v>254</v>
      </c>
      <c r="Y293">
        <f>VLOOKUP($C293,'[1]PoB 2R'!$C$1:$T$898,18,FALSE)</f>
        <v>100</v>
      </c>
    </row>
    <row r="294" spans="1:25" x14ac:dyDescent="0.25">
      <c r="A294" t="s">
        <v>976</v>
      </c>
      <c r="B294">
        <v>5346215</v>
      </c>
      <c r="C294" t="s">
        <v>977</v>
      </c>
      <c r="D294">
        <f t="shared" si="12"/>
        <v>3807</v>
      </c>
      <c r="E294">
        <f>VLOOKUP($C294,'[1]PoB Totals'!$C$3:$T$898,17,FALSE)</f>
        <v>3510</v>
      </c>
      <c r="F294">
        <f>VLOOKUP($C294,'[1]PoB Totals'!$C$3:$T$898,18,FALSE)</f>
        <v>297</v>
      </c>
      <c r="G294">
        <f t="shared" si="13"/>
        <v>3807</v>
      </c>
      <c r="H294">
        <f t="shared" si="14"/>
        <v>3510</v>
      </c>
      <c r="I294">
        <f t="shared" si="14"/>
        <v>297</v>
      </c>
      <c r="J294">
        <f>VLOOKUP($C294,'[1]PoB WN'!$C$1:$T$898,17,FALSE)</f>
        <v>3205</v>
      </c>
      <c r="K294">
        <f>VLOOKUP($C294,'[1]PoB WN'!$C$1:$T$898,18,FALSE)</f>
        <v>193</v>
      </c>
      <c r="L294">
        <f>VLOOKUP($C294,'[1]PoB WH'!$C$1:$T$898,17,FALSE)</f>
        <v>25</v>
      </c>
      <c r="M294">
        <f>VLOOKUP($C294,'[1]PoB WH'!$C$1:$T$898,18,FALSE)</f>
        <v>6</v>
      </c>
      <c r="N294">
        <f>VLOOKUP($C294,'[1]PoB AA'!$C$1:$T$898,17,FALSE)</f>
        <v>33</v>
      </c>
      <c r="O294">
        <f>VLOOKUP($C294,'[1]PoB AA'!$C$1:$T$898,18,FALSE)</f>
        <v>0</v>
      </c>
      <c r="P294">
        <f>VLOOKUP($C294,'[1]PoB AI'!$C$1:$T$898,17,FALSE)</f>
        <v>22</v>
      </c>
      <c r="Q294">
        <f>VLOOKUP($C294,'[1]PoB AI'!$C$1:$T$898,18,FALSE)</f>
        <v>0</v>
      </c>
      <c r="R294">
        <f>VLOOKUP($C294,'[1]PoB AS'!$C$1:$T$898,17,FALSE)</f>
        <v>16</v>
      </c>
      <c r="S294">
        <f>VLOOKUP($C294,'[1]PoB AS'!$C$1:$T$898,18,FALSE)</f>
        <v>74</v>
      </c>
      <c r="T294">
        <f>VLOOKUP($C294,'[1]PoB PI'!$C$1:$T$898,17,FALSE)</f>
        <v>5</v>
      </c>
      <c r="U294">
        <f>VLOOKUP($C294,'[1]PoB PI'!$C$1:$T$898,18,FALSE)</f>
        <v>5</v>
      </c>
      <c r="V294">
        <f>VLOOKUP($C294,'[1]PoB OT'!$C$1:$T$898,17,FALSE)</f>
        <v>60</v>
      </c>
      <c r="W294">
        <f>VLOOKUP($C294,'[1]PoB OT'!$C$1:$T$898,18,FALSE)</f>
        <v>0</v>
      </c>
      <c r="X294">
        <f>VLOOKUP($C294,'[1]PoB 2R'!$C$1:$T$898,17,FALSE)</f>
        <v>144</v>
      </c>
      <c r="Y294">
        <f>VLOOKUP($C294,'[1]PoB 2R'!$C$1:$T$898,18,FALSE)</f>
        <v>19</v>
      </c>
    </row>
    <row r="295" spans="1:25" x14ac:dyDescent="0.25">
      <c r="A295" t="s">
        <v>978</v>
      </c>
      <c r="B295">
        <v>5346405</v>
      </c>
      <c r="C295" t="s">
        <v>979</v>
      </c>
      <c r="D295">
        <f t="shared" si="12"/>
        <v>598</v>
      </c>
      <c r="E295">
        <f>VLOOKUP($C295,'[1]PoB Totals'!$C$3:$T$898,17,FALSE)</f>
        <v>549</v>
      </c>
      <c r="F295">
        <f>VLOOKUP($C295,'[1]PoB Totals'!$C$3:$T$898,18,FALSE)</f>
        <v>49</v>
      </c>
      <c r="G295">
        <f t="shared" si="13"/>
        <v>598</v>
      </c>
      <c r="H295">
        <f t="shared" si="14"/>
        <v>549</v>
      </c>
      <c r="I295">
        <f t="shared" si="14"/>
        <v>49</v>
      </c>
      <c r="J295">
        <f>VLOOKUP($C295,'[1]PoB WN'!$C$1:$T$898,17,FALSE)</f>
        <v>290</v>
      </c>
      <c r="K295">
        <f>VLOOKUP($C295,'[1]PoB WN'!$C$1:$T$898,18,FALSE)</f>
        <v>0</v>
      </c>
      <c r="L295">
        <f>VLOOKUP($C295,'[1]PoB WH'!$C$1:$T$898,17,FALSE)</f>
        <v>4</v>
      </c>
      <c r="M295">
        <f>VLOOKUP($C295,'[1]PoB WH'!$C$1:$T$898,18,FALSE)</f>
        <v>0</v>
      </c>
      <c r="N295">
        <f>VLOOKUP($C295,'[1]PoB AA'!$C$1:$T$898,17,FALSE)</f>
        <v>0</v>
      </c>
      <c r="O295">
        <f>VLOOKUP($C295,'[1]PoB AA'!$C$1:$T$898,18,FALSE)</f>
        <v>0</v>
      </c>
      <c r="P295">
        <f>VLOOKUP($C295,'[1]PoB AI'!$C$1:$T$898,17,FALSE)</f>
        <v>154</v>
      </c>
      <c r="Q295">
        <f>VLOOKUP($C295,'[1]PoB AI'!$C$1:$T$898,18,FALSE)</f>
        <v>0</v>
      </c>
      <c r="R295">
        <f>VLOOKUP($C295,'[1]PoB AS'!$C$1:$T$898,17,FALSE)</f>
        <v>24</v>
      </c>
      <c r="S295">
        <f>VLOOKUP($C295,'[1]PoB AS'!$C$1:$T$898,18,FALSE)</f>
        <v>0</v>
      </c>
      <c r="T295">
        <f>VLOOKUP($C295,'[1]PoB PI'!$C$1:$T$898,17,FALSE)</f>
        <v>0</v>
      </c>
      <c r="U295">
        <f>VLOOKUP($C295,'[1]PoB PI'!$C$1:$T$898,18,FALSE)</f>
        <v>0</v>
      </c>
      <c r="V295">
        <f>VLOOKUP($C295,'[1]PoB OT'!$C$1:$T$898,17,FALSE)</f>
        <v>24</v>
      </c>
      <c r="W295">
        <f>VLOOKUP($C295,'[1]PoB OT'!$C$1:$T$898,18,FALSE)</f>
        <v>42</v>
      </c>
      <c r="X295">
        <f>VLOOKUP($C295,'[1]PoB 2R'!$C$1:$T$898,17,FALSE)</f>
        <v>53</v>
      </c>
      <c r="Y295">
        <f>VLOOKUP($C295,'[1]PoB 2R'!$C$1:$T$898,18,FALSE)</f>
        <v>7</v>
      </c>
    </row>
    <row r="296" spans="1:25" x14ac:dyDescent="0.25">
      <c r="A296" t="s">
        <v>980</v>
      </c>
      <c r="B296">
        <v>5346685</v>
      </c>
      <c r="C296" t="s">
        <v>981</v>
      </c>
      <c r="D296">
        <f t="shared" si="12"/>
        <v>13462</v>
      </c>
      <c r="E296">
        <f>VLOOKUP($C296,'[1]PoB Totals'!$C$3:$T$898,17,FALSE)</f>
        <v>12139</v>
      </c>
      <c r="F296">
        <f>VLOOKUP($C296,'[1]PoB Totals'!$C$3:$T$898,18,FALSE)</f>
        <v>1323</v>
      </c>
      <c r="G296">
        <f t="shared" si="13"/>
        <v>13462</v>
      </c>
      <c r="H296">
        <f t="shared" si="14"/>
        <v>12139</v>
      </c>
      <c r="I296">
        <f t="shared" si="14"/>
        <v>1323</v>
      </c>
      <c r="J296">
        <f>VLOOKUP($C296,'[1]PoB WN'!$C$1:$T$898,17,FALSE)</f>
        <v>10660</v>
      </c>
      <c r="K296">
        <f>VLOOKUP($C296,'[1]PoB WN'!$C$1:$T$898,18,FALSE)</f>
        <v>297</v>
      </c>
      <c r="L296">
        <f>VLOOKUP($C296,'[1]PoB WH'!$C$1:$T$898,17,FALSE)</f>
        <v>321</v>
      </c>
      <c r="M296">
        <f>VLOOKUP($C296,'[1]PoB WH'!$C$1:$T$898,18,FALSE)</f>
        <v>482</v>
      </c>
      <c r="N296">
        <f>VLOOKUP($C296,'[1]PoB AA'!$C$1:$T$898,17,FALSE)</f>
        <v>449</v>
      </c>
      <c r="O296">
        <f>VLOOKUP($C296,'[1]PoB AA'!$C$1:$T$898,18,FALSE)</f>
        <v>8</v>
      </c>
      <c r="P296">
        <f>VLOOKUP($C296,'[1]PoB AI'!$C$1:$T$898,17,FALSE)</f>
        <v>133</v>
      </c>
      <c r="Q296">
        <f>VLOOKUP($C296,'[1]PoB AI'!$C$1:$T$898,18,FALSE)</f>
        <v>0</v>
      </c>
      <c r="R296">
        <f>VLOOKUP($C296,'[1]PoB AS'!$C$1:$T$898,17,FALSE)</f>
        <v>77</v>
      </c>
      <c r="S296">
        <f>VLOOKUP($C296,'[1]PoB AS'!$C$1:$T$898,18,FALSE)</f>
        <v>198</v>
      </c>
      <c r="T296">
        <f>VLOOKUP($C296,'[1]PoB PI'!$C$1:$T$898,17,FALSE)</f>
        <v>17</v>
      </c>
      <c r="U296">
        <f>VLOOKUP($C296,'[1]PoB PI'!$C$1:$T$898,18,FALSE)</f>
        <v>6</v>
      </c>
      <c r="V296">
        <f>VLOOKUP($C296,'[1]PoB OT'!$C$1:$T$898,17,FALSE)</f>
        <v>231</v>
      </c>
      <c r="W296">
        <f>VLOOKUP($C296,'[1]PoB OT'!$C$1:$T$898,18,FALSE)</f>
        <v>282</v>
      </c>
      <c r="X296">
        <f>VLOOKUP($C296,'[1]PoB 2R'!$C$1:$T$898,17,FALSE)</f>
        <v>251</v>
      </c>
      <c r="Y296">
        <f>VLOOKUP($C296,'[1]PoB 2R'!$C$1:$T$898,18,FALSE)</f>
        <v>50</v>
      </c>
    </row>
    <row r="297" spans="1:25" x14ac:dyDescent="0.25">
      <c r="A297" t="s">
        <v>984</v>
      </c>
      <c r="B297">
        <v>5346895</v>
      </c>
      <c r="C297" t="s">
        <v>985</v>
      </c>
      <c r="D297">
        <f t="shared" si="12"/>
        <v>3384</v>
      </c>
      <c r="E297">
        <f>VLOOKUP($C297,'[1]PoB Totals'!$C$3:$T$898,17,FALSE)</f>
        <v>3247</v>
      </c>
      <c r="F297">
        <f>VLOOKUP($C297,'[1]PoB Totals'!$C$3:$T$898,18,FALSE)</f>
        <v>137</v>
      </c>
      <c r="G297">
        <f t="shared" si="13"/>
        <v>3384</v>
      </c>
      <c r="H297">
        <f t="shared" si="14"/>
        <v>3247</v>
      </c>
      <c r="I297">
        <f t="shared" si="14"/>
        <v>137</v>
      </c>
      <c r="J297">
        <f>VLOOKUP($C297,'[1]PoB WN'!$C$1:$T$898,17,FALSE)</f>
        <v>3029</v>
      </c>
      <c r="K297">
        <f>VLOOKUP($C297,'[1]PoB WN'!$C$1:$T$898,18,FALSE)</f>
        <v>130</v>
      </c>
      <c r="L297">
        <f>VLOOKUP($C297,'[1]PoB WH'!$C$1:$T$898,17,FALSE)</f>
        <v>51</v>
      </c>
      <c r="M297">
        <f>VLOOKUP($C297,'[1]PoB WH'!$C$1:$T$898,18,FALSE)</f>
        <v>0</v>
      </c>
      <c r="N297">
        <f>VLOOKUP($C297,'[1]PoB AA'!$C$1:$T$898,17,FALSE)</f>
        <v>0</v>
      </c>
      <c r="O297">
        <f>VLOOKUP($C297,'[1]PoB AA'!$C$1:$T$898,18,FALSE)</f>
        <v>0</v>
      </c>
      <c r="P297">
        <f>VLOOKUP($C297,'[1]PoB AI'!$C$1:$T$898,17,FALSE)</f>
        <v>95</v>
      </c>
      <c r="Q297">
        <f>VLOOKUP($C297,'[1]PoB AI'!$C$1:$T$898,18,FALSE)</f>
        <v>0</v>
      </c>
      <c r="R297">
        <f>VLOOKUP($C297,'[1]PoB AS'!$C$1:$T$898,17,FALSE)</f>
        <v>0</v>
      </c>
      <c r="S297">
        <f>VLOOKUP($C297,'[1]PoB AS'!$C$1:$T$898,18,FALSE)</f>
        <v>7</v>
      </c>
      <c r="T297">
        <f>VLOOKUP($C297,'[1]PoB PI'!$C$1:$T$898,17,FALSE)</f>
        <v>23</v>
      </c>
      <c r="U297">
        <f>VLOOKUP($C297,'[1]PoB PI'!$C$1:$T$898,18,FALSE)</f>
        <v>0</v>
      </c>
      <c r="V297">
        <f>VLOOKUP($C297,'[1]PoB OT'!$C$1:$T$898,17,FALSE)</f>
        <v>0</v>
      </c>
      <c r="W297">
        <f>VLOOKUP($C297,'[1]PoB OT'!$C$1:$T$898,18,FALSE)</f>
        <v>0</v>
      </c>
      <c r="X297">
        <f>VLOOKUP($C297,'[1]PoB 2R'!$C$1:$T$898,17,FALSE)</f>
        <v>49</v>
      </c>
      <c r="Y297">
        <f>VLOOKUP($C297,'[1]PoB 2R'!$C$1:$T$898,18,FALSE)</f>
        <v>0</v>
      </c>
    </row>
    <row r="298" spans="1:25" x14ac:dyDescent="0.25">
      <c r="A298" t="s">
        <v>986</v>
      </c>
      <c r="B298">
        <v>5347175</v>
      </c>
      <c r="C298" t="s">
        <v>987</v>
      </c>
      <c r="D298">
        <f t="shared" si="12"/>
        <v>1059</v>
      </c>
      <c r="E298">
        <f>VLOOKUP($C298,'[1]PoB Totals'!$C$3:$T$898,17,FALSE)</f>
        <v>1026</v>
      </c>
      <c r="F298">
        <f>VLOOKUP($C298,'[1]PoB Totals'!$C$3:$T$898,18,FALSE)</f>
        <v>33</v>
      </c>
      <c r="G298">
        <f t="shared" si="13"/>
        <v>1059</v>
      </c>
      <c r="H298">
        <f t="shared" si="14"/>
        <v>1026</v>
      </c>
      <c r="I298">
        <f t="shared" si="14"/>
        <v>33</v>
      </c>
      <c r="J298">
        <f>VLOOKUP($C298,'[1]PoB WN'!$C$1:$T$898,17,FALSE)</f>
        <v>983</v>
      </c>
      <c r="K298">
        <f>VLOOKUP($C298,'[1]PoB WN'!$C$1:$T$898,18,FALSE)</f>
        <v>14</v>
      </c>
      <c r="L298">
        <f>VLOOKUP($C298,'[1]PoB WH'!$C$1:$T$898,17,FALSE)</f>
        <v>5</v>
      </c>
      <c r="M298">
        <f>VLOOKUP($C298,'[1]PoB WH'!$C$1:$T$898,18,FALSE)</f>
        <v>1</v>
      </c>
      <c r="N298">
        <f>VLOOKUP($C298,'[1]PoB AA'!$C$1:$T$898,17,FALSE)</f>
        <v>0</v>
      </c>
      <c r="O298">
        <f>VLOOKUP($C298,'[1]PoB AA'!$C$1:$T$898,18,FALSE)</f>
        <v>0</v>
      </c>
      <c r="P298">
        <f>VLOOKUP($C298,'[1]PoB AI'!$C$1:$T$898,17,FALSE)</f>
        <v>12</v>
      </c>
      <c r="Q298">
        <f>VLOOKUP($C298,'[1]PoB AI'!$C$1:$T$898,18,FALSE)</f>
        <v>2</v>
      </c>
      <c r="R298">
        <f>VLOOKUP($C298,'[1]PoB AS'!$C$1:$T$898,17,FALSE)</f>
        <v>0</v>
      </c>
      <c r="S298">
        <f>VLOOKUP($C298,'[1]PoB AS'!$C$1:$T$898,18,FALSE)</f>
        <v>16</v>
      </c>
      <c r="T298">
        <f>VLOOKUP($C298,'[1]PoB PI'!$C$1:$T$898,17,FALSE)</f>
        <v>0</v>
      </c>
      <c r="U298">
        <f>VLOOKUP($C298,'[1]PoB PI'!$C$1:$T$898,18,FALSE)</f>
        <v>0</v>
      </c>
      <c r="V298">
        <f>VLOOKUP($C298,'[1]PoB OT'!$C$1:$T$898,17,FALSE)</f>
        <v>0</v>
      </c>
      <c r="W298">
        <f>VLOOKUP($C298,'[1]PoB OT'!$C$1:$T$898,18,FALSE)</f>
        <v>0</v>
      </c>
      <c r="X298">
        <f>VLOOKUP($C298,'[1]PoB 2R'!$C$1:$T$898,17,FALSE)</f>
        <v>26</v>
      </c>
      <c r="Y298">
        <f>VLOOKUP($C298,'[1]PoB 2R'!$C$1:$T$898,18,FALSE)</f>
        <v>0</v>
      </c>
    </row>
    <row r="299" spans="1:25" x14ac:dyDescent="0.25">
      <c r="A299" t="s">
        <v>988</v>
      </c>
      <c r="B299">
        <v>5347245</v>
      </c>
      <c r="C299" t="s">
        <v>989</v>
      </c>
      <c r="D299">
        <f t="shared" si="12"/>
        <v>14951</v>
      </c>
      <c r="E299">
        <f>VLOOKUP($C299,'[1]PoB Totals'!$C$3:$T$898,17,FALSE)</f>
        <v>13357</v>
      </c>
      <c r="F299">
        <f>VLOOKUP($C299,'[1]PoB Totals'!$C$3:$T$898,18,FALSE)</f>
        <v>1594</v>
      </c>
      <c r="G299">
        <f t="shared" si="13"/>
        <v>14951</v>
      </c>
      <c r="H299">
        <f t="shared" si="14"/>
        <v>13357</v>
      </c>
      <c r="I299">
        <f t="shared" si="14"/>
        <v>1594</v>
      </c>
      <c r="J299">
        <f>VLOOKUP($C299,'[1]PoB WN'!$C$1:$T$898,17,FALSE)</f>
        <v>9811</v>
      </c>
      <c r="K299">
        <f>VLOOKUP($C299,'[1]PoB WN'!$C$1:$T$898,18,FALSE)</f>
        <v>418</v>
      </c>
      <c r="L299">
        <f>VLOOKUP($C299,'[1]PoB WH'!$C$1:$T$898,17,FALSE)</f>
        <v>1026</v>
      </c>
      <c r="M299">
        <f>VLOOKUP($C299,'[1]PoB WH'!$C$1:$T$898,18,FALSE)</f>
        <v>245</v>
      </c>
      <c r="N299">
        <f>VLOOKUP($C299,'[1]PoB AA'!$C$1:$T$898,17,FALSE)</f>
        <v>220</v>
      </c>
      <c r="O299">
        <f>VLOOKUP($C299,'[1]PoB AA'!$C$1:$T$898,18,FALSE)</f>
        <v>36</v>
      </c>
      <c r="P299">
        <f>VLOOKUP($C299,'[1]PoB AI'!$C$1:$T$898,17,FALSE)</f>
        <v>54</v>
      </c>
      <c r="Q299">
        <f>VLOOKUP($C299,'[1]PoB AI'!$C$1:$T$898,18,FALSE)</f>
        <v>0</v>
      </c>
      <c r="R299">
        <f>VLOOKUP($C299,'[1]PoB AS'!$C$1:$T$898,17,FALSE)</f>
        <v>133</v>
      </c>
      <c r="S299">
        <f>VLOOKUP($C299,'[1]PoB AS'!$C$1:$T$898,18,FALSE)</f>
        <v>113</v>
      </c>
      <c r="T299">
        <f>VLOOKUP($C299,'[1]PoB PI'!$C$1:$T$898,17,FALSE)</f>
        <v>0</v>
      </c>
      <c r="U299">
        <f>VLOOKUP($C299,'[1]PoB PI'!$C$1:$T$898,18,FALSE)</f>
        <v>0</v>
      </c>
      <c r="V299">
        <f>VLOOKUP($C299,'[1]PoB OT'!$C$1:$T$898,17,FALSE)</f>
        <v>1601</v>
      </c>
      <c r="W299">
        <f>VLOOKUP($C299,'[1]PoB OT'!$C$1:$T$898,18,FALSE)</f>
        <v>681</v>
      </c>
      <c r="X299">
        <f>VLOOKUP($C299,'[1]PoB 2R'!$C$1:$T$898,17,FALSE)</f>
        <v>512</v>
      </c>
      <c r="Y299">
        <f>VLOOKUP($C299,'[1]PoB 2R'!$C$1:$T$898,18,FALSE)</f>
        <v>101</v>
      </c>
    </row>
    <row r="300" spans="1:25" x14ac:dyDescent="0.25">
      <c r="A300" t="s">
        <v>990</v>
      </c>
      <c r="B300">
        <v>5347280</v>
      </c>
      <c r="C300" t="s">
        <v>991</v>
      </c>
      <c r="D300">
        <f t="shared" si="12"/>
        <v>4217</v>
      </c>
      <c r="E300">
        <f>VLOOKUP($C300,'[1]PoB Totals'!$C$3:$T$898,17,FALSE)</f>
        <v>3688</v>
      </c>
      <c r="F300">
        <f>VLOOKUP($C300,'[1]PoB Totals'!$C$3:$T$898,18,FALSE)</f>
        <v>529</v>
      </c>
      <c r="G300">
        <f t="shared" si="13"/>
        <v>4217</v>
      </c>
      <c r="H300">
        <f t="shared" si="14"/>
        <v>3688</v>
      </c>
      <c r="I300">
        <f t="shared" si="14"/>
        <v>529</v>
      </c>
      <c r="J300">
        <f>VLOOKUP($C300,'[1]PoB WN'!$C$1:$T$898,17,FALSE)</f>
        <v>2416</v>
      </c>
      <c r="K300">
        <f>VLOOKUP($C300,'[1]PoB WN'!$C$1:$T$898,18,FALSE)</f>
        <v>286</v>
      </c>
      <c r="L300">
        <f>VLOOKUP($C300,'[1]PoB WH'!$C$1:$T$898,17,FALSE)</f>
        <v>243</v>
      </c>
      <c r="M300">
        <f>VLOOKUP($C300,'[1]PoB WH'!$C$1:$T$898,18,FALSE)</f>
        <v>61</v>
      </c>
      <c r="N300">
        <f>VLOOKUP($C300,'[1]PoB AA'!$C$1:$T$898,17,FALSE)</f>
        <v>119</v>
      </c>
      <c r="O300">
        <f>VLOOKUP($C300,'[1]PoB AA'!$C$1:$T$898,18,FALSE)</f>
        <v>0</v>
      </c>
      <c r="P300">
        <f>VLOOKUP($C300,'[1]PoB AI'!$C$1:$T$898,17,FALSE)</f>
        <v>196</v>
      </c>
      <c r="Q300">
        <f>VLOOKUP($C300,'[1]PoB AI'!$C$1:$T$898,18,FALSE)</f>
        <v>0</v>
      </c>
      <c r="R300">
        <f>VLOOKUP($C300,'[1]PoB AS'!$C$1:$T$898,17,FALSE)</f>
        <v>7</v>
      </c>
      <c r="S300">
        <f>VLOOKUP($C300,'[1]PoB AS'!$C$1:$T$898,18,FALSE)</f>
        <v>23</v>
      </c>
      <c r="T300">
        <f>VLOOKUP($C300,'[1]PoB PI'!$C$1:$T$898,17,FALSE)</f>
        <v>0</v>
      </c>
      <c r="U300">
        <f>VLOOKUP($C300,'[1]PoB PI'!$C$1:$T$898,18,FALSE)</f>
        <v>0</v>
      </c>
      <c r="V300">
        <f>VLOOKUP($C300,'[1]PoB OT'!$C$1:$T$898,17,FALSE)</f>
        <v>504</v>
      </c>
      <c r="W300">
        <f>VLOOKUP($C300,'[1]PoB OT'!$C$1:$T$898,18,FALSE)</f>
        <v>89</v>
      </c>
      <c r="X300">
        <f>VLOOKUP($C300,'[1]PoB 2R'!$C$1:$T$898,17,FALSE)</f>
        <v>203</v>
      </c>
      <c r="Y300">
        <f>VLOOKUP($C300,'[1]PoB 2R'!$C$1:$T$898,18,FALSE)</f>
        <v>70</v>
      </c>
    </row>
    <row r="301" spans="1:25" x14ac:dyDescent="0.25">
      <c r="A301" t="s">
        <v>992</v>
      </c>
      <c r="B301">
        <v>5347315</v>
      </c>
      <c r="C301" t="s">
        <v>993</v>
      </c>
      <c r="D301">
        <f t="shared" si="12"/>
        <v>463</v>
      </c>
      <c r="E301">
        <f>VLOOKUP($C301,'[1]PoB Totals'!$C$3:$T$898,17,FALSE)</f>
        <v>447</v>
      </c>
      <c r="F301">
        <f>VLOOKUP($C301,'[1]PoB Totals'!$C$3:$T$898,18,FALSE)</f>
        <v>16</v>
      </c>
      <c r="G301">
        <f t="shared" si="13"/>
        <v>463</v>
      </c>
      <c r="H301">
        <f t="shared" si="14"/>
        <v>447</v>
      </c>
      <c r="I301">
        <f t="shared" si="14"/>
        <v>16</v>
      </c>
      <c r="J301">
        <f>VLOOKUP($C301,'[1]PoB WN'!$C$1:$T$898,17,FALSE)</f>
        <v>420</v>
      </c>
      <c r="K301">
        <f>VLOOKUP($C301,'[1]PoB WN'!$C$1:$T$898,18,FALSE)</f>
        <v>3</v>
      </c>
      <c r="L301">
        <f>VLOOKUP($C301,'[1]PoB WH'!$C$1:$T$898,17,FALSE)</f>
        <v>3</v>
      </c>
      <c r="M301">
        <f>VLOOKUP($C301,'[1]PoB WH'!$C$1:$T$898,18,FALSE)</f>
        <v>0</v>
      </c>
      <c r="N301">
        <f>VLOOKUP($C301,'[1]PoB AA'!$C$1:$T$898,17,FALSE)</f>
        <v>0</v>
      </c>
      <c r="O301">
        <f>VLOOKUP($C301,'[1]PoB AA'!$C$1:$T$898,18,FALSE)</f>
        <v>0</v>
      </c>
      <c r="P301">
        <f>VLOOKUP($C301,'[1]PoB AI'!$C$1:$T$898,17,FALSE)</f>
        <v>16</v>
      </c>
      <c r="Q301">
        <f>VLOOKUP($C301,'[1]PoB AI'!$C$1:$T$898,18,FALSE)</f>
        <v>0</v>
      </c>
      <c r="R301">
        <f>VLOOKUP($C301,'[1]PoB AS'!$C$1:$T$898,17,FALSE)</f>
        <v>0</v>
      </c>
      <c r="S301">
        <f>VLOOKUP($C301,'[1]PoB AS'!$C$1:$T$898,18,FALSE)</f>
        <v>0</v>
      </c>
      <c r="T301">
        <f>VLOOKUP($C301,'[1]PoB PI'!$C$1:$T$898,17,FALSE)</f>
        <v>0</v>
      </c>
      <c r="U301">
        <f>VLOOKUP($C301,'[1]PoB PI'!$C$1:$T$898,18,FALSE)</f>
        <v>0</v>
      </c>
      <c r="V301">
        <f>VLOOKUP($C301,'[1]PoB OT'!$C$1:$T$898,17,FALSE)</f>
        <v>5</v>
      </c>
      <c r="W301">
        <f>VLOOKUP($C301,'[1]PoB OT'!$C$1:$T$898,18,FALSE)</f>
        <v>8</v>
      </c>
      <c r="X301">
        <f>VLOOKUP($C301,'[1]PoB 2R'!$C$1:$T$898,17,FALSE)</f>
        <v>3</v>
      </c>
      <c r="Y301">
        <f>VLOOKUP($C301,'[1]PoB 2R'!$C$1:$T$898,18,FALSE)</f>
        <v>5</v>
      </c>
    </row>
    <row r="302" spans="1:25" x14ac:dyDescent="0.25">
      <c r="A302" t="s">
        <v>994</v>
      </c>
      <c r="B302">
        <v>5347490</v>
      </c>
      <c r="C302" t="s">
        <v>995</v>
      </c>
      <c r="D302">
        <f t="shared" si="12"/>
        <v>20300</v>
      </c>
      <c r="E302">
        <f>VLOOKUP($C302,'[1]PoB Totals'!$C$3:$T$898,17,FALSE)</f>
        <v>16441</v>
      </c>
      <c r="F302">
        <f>VLOOKUP($C302,'[1]PoB Totals'!$C$3:$T$898,18,FALSE)</f>
        <v>3859</v>
      </c>
      <c r="G302">
        <f t="shared" si="13"/>
        <v>20300</v>
      </c>
      <c r="H302">
        <f t="shared" si="14"/>
        <v>16441</v>
      </c>
      <c r="I302">
        <f t="shared" si="14"/>
        <v>3859</v>
      </c>
      <c r="J302">
        <f>VLOOKUP($C302,'[1]PoB WN'!$C$1:$T$898,17,FALSE)</f>
        <v>14200</v>
      </c>
      <c r="K302">
        <f>VLOOKUP($C302,'[1]PoB WN'!$C$1:$T$898,18,FALSE)</f>
        <v>1184</v>
      </c>
      <c r="L302">
        <f>VLOOKUP($C302,'[1]PoB WH'!$C$1:$T$898,17,FALSE)</f>
        <v>179</v>
      </c>
      <c r="M302">
        <f>VLOOKUP($C302,'[1]PoB WH'!$C$1:$T$898,18,FALSE)</f>
        <v>161</v>
      </c>
      <c r="N302">
        <f>VLOOKUP($C302,'[1]PoB AA'!$C$1:$T$898,17,FALSE)</f>
        <v>265</v>
      </c>
      <c r="O302">
        <f>VLOOKUP($C302,'[1]PoB AA'!$C$1:$T$898,18,FALSE)</f>
        <v>190</v>
      </c>
      <c r="P302">
        <f>VLOOKUP($C302,'[1]PoB AI'!$C$1:$T$898,17,FALSE)</f>
        <v>196</v>
      </c>
      <c r="Q302">
        <f>VLOOKUP($C302,'[1]PoB AI'!$C$1:$T$898,18,FALSE)</f>
        <v>15</v>
      </c>
      <c r="R302">
        <f>VLOOKUP($C302,'[1]PoB AS'!$C$1:$T$898,17,FALSE)</f>
        <v>574</v>
      </c>
      <c r="S302">
        <f>VLOOKUP($C302,'[1]PoB AS'!$C$1:$T$898,18,FALSE)</f>
        <v>1773</v>
      </c>
      <c r="T302">
        <f>VLOOKUP($C302,'[1]PoB PI'!$C$1:$T$898,17,FALSE)</f>
        <v>24</v>
      </c>
      <c r="U302">
        <f>VLOOKUP($C302,'[1]PoB PI'!$C$1:$T$898,18,FALSE)</f>
        <v>6</v>
      </c>
      <c r="V302">
        <f>VLOOKUP($C302,'[1]PoB OT'!$C$1:$T$898,17,FALSE)</f>
        <v>266</v>
      </c>
      <c r="W302">
        <f>VLOOKUP($C302,'[1]PoB OT'!$C$1:$T$898,18,FALSE)</f>
        <v>231</v>
      </c>
      <c r="X302">
        <f>VLOOKUP($C302,'[1]PoB 2R'!$C$1:$T$898,17,FALSE)</f>
        <v>737</v>
      </c>
      <c r="Y302">
        <f>VLOOKUP($C302,'[1]PoB 2R'!$C$1:$T$898,18,FALSE)</f>
        <v>299</v>
      </c>
    </row>
    <row r="303" spans="1:25" x14ac:dyDescent="0.25">
      <c r="A303" t="s">
        <v>996</v>
      </c>
      <c r="B303">
        <v>5347560</v>
      </c>
      <c r="C303" t="s">
        <v>997</v>
      </c>
      <c r="D303">
        <f t="shared" si="12"/>
        <v>26297</v>
      </c>
      <c r="E303">
        <f>VLOOKUP($C303,'[1]PoB Totals'!$C$3:$T$898,17,FALSE)</f>
        <v>20853</v>
      </c>
      <c r="F303">
        <f>VLOOKUP($C303,'[1]PoB Totals'!$C$3:$T$898,18,FALSE)</f>
        <v>5444</v>
      </c>
      <c r="G303">
        <f t="shared" si="13"/>
        <v>26297</v>
      </c>
      <c r="H303">
        <f t="shared" si="14"/>
        <v>20853</v>
      </c>
      <c r="I303">
        <f t="shared" si="14"/>
        <v>5444</v>
      </c>
      <c r="J303">
        <f>VLOOKUP($C303,'[1]PoB WN'!$C$1:$T$898,17,FALSE)</f>
        <v>16882</v>
      </c>
      <c r="K303">
        <f>VLOOKUP($C303,'[1]PoB WN'!$C$1:$T$898,18,FALSE)</f>
        <v>1100</v>
      </c>
      <c r="L303">
        <f>VLOOKUP($C303,'[1]PoB WH'!$C$1:$T$898,17,FALSE)</f>
        <v>794</v>
      </c>
      <c r="M303">
        <f>VLOOKUP($C303,'[1]PoB WH'!$C$1:$T$898,18,FALSE)</f>
        <v>1156</v>
      </c>
      <c r="N303">
        <f>VLOOKUP($C303,'[1]PoB AA'!$C$1:$T$898,17,FALSE)</f>
        <v>90</v>
      </c>
      <c r="O303">
        <f>VLOOKUP($C303,'[1]PoB AA'!$C$1:$T$898,18,FALSE)</f>
        <v>7</v>
      </c>
      <c r="P303">
        <f>VLOOKUP($C303,'[1]PoB AI'!$C$1:$T$898,17,FALSE)</f>
        <v>359</v>
      </c>
      <c r="Q303">
        <f>VLOOKUP($C303,'[1]PoB AI'!$C$1:$T$898,18,FALSE)</f>
        <v>32</v>
      </c>
      <c r="R303">
        <f>VLOOKUP($C303,'[1]PoB AS'!$C$1:$T$898,17,FALSE)</f>
        <v>109</v>
      </c>
      <c r="S303">
        <f>VLOOKUP($C303,'[1]PoB AS'!$C$1:$T$898,18,FALSE)</f>
        <v>538</v>
      </c>
      <c r="T303">
        <f>VLOOKUP($C303,'[1]PoB PI'!$C$1:$T$898,17,FALSE)</f>
        <v>40</v>
      </c>
      <c r="U303">
        <f>VLOOKUP($C303,'[1]PoB PI'!$C$1:$T$898,18,FALSE)</f>
        <v>0</v>
      </c>
      <c r="V303">
        <f>VLOOKUP($C303,'[1]PoB OT'!$C$1:$T$898,17,FALSE)</f>
        <v>1967</v>
      </c>
      <c r="W303">
        <f>VLOOKUP($C303,'[1]PoB OT'!$C$1:$T$898,18,FALSE)</f>
        <v>2505</v>
      </c>
      <c r="X303">
        <f>VLOOKUP($C303,'[1]PoB 2R'!$C$1:$T$898,17,FALSE)</f>
        <v>612</v>
      </c>
      <c r="Y303">
        <f>VLOOKUP($C303,'[1]PoB 2R'!$C$1:$T$898,18,FALSE)</f>
        <v>106</v>
      </c>
    </row>
    <row r="304" spans="1:25" x14ac:dyDescent="0.25">
      <c r="A304" t="s">
        <v>998</v>
      </c>
      <c r="B304">
        <v>5347630</v>
      </c>
      <c r="C304" t="s">
        <v>999</v>
      </c>
      <c r="D304">
        <f t="shared" si="12"/>
        <v>5800</v>
      </c>
      <c r="E304">
        <f>VLOOKUP($C304,'[1]PoB Totals'!$C$3:$T$898,17,FALSE)</f>
        <v>5462</v>
      </c>
      <c r="F304">
        <f>VLOOKUP($C304,'[1]PoB Totals'!$C$3:$T$898,18,FALSE)</f>
        <v>338</v>
      </c>
      <c r="G304">
        <f t="shared" si="13"/>
        <v>5800</v>
      </c>
      <c r="H304">
        <f t="shared" si="14"/>
        <v>5462</v>
      </c>
      <c r="I304">
        <f t="shared" si="14"/>
        <v>338</v>
      </c>
      <c r="J304">
        <f>VLOOKUP($C304,'[1]PoB WN'!$C$1:$T$898,17,FALSE)</f>
        <v>5036</v>
      </c>
      <c r="K304">
        <f>VLOOKUP($C304,'[1]PoB WN'!$C$1:$T$898,18,FALSE)</f>
        <v>204</v>
      </c>
      <c r="L304">
        <f>VLOOKUP($C304,'[1]PoB WH'!$C$1:$T$898,17,FALSE)</f>
        <v>67</v>
      </c>
      <c r="M304">
        <f>VLOOKUP($C304,'[1]PoB WH'!$C$1:$T$898,18,FALSE)</f>
        <v>10</v>
      </c>
      <c r="N304">
        <f>VLOOKUP($C304,'[1]PoB AA'!$C$1:$T$898,17,FALSE)</f>
        <v>81</v>
      </c>
      <c r="O304">
        <f>VLOOKUP($C304,'[1]PoB AA'!$C$1:$T$898,18,FALSE)</f>
        <v>9</v>
      </c>
      <c r="P304">
        <f>VLOOKUP($C304,'[1]PoB AI'!$C$1:$T$898,17,FALSE)</f>
        <v>49</v>
      </c>
      <c r="Q304">
        <f>VLOOKUP($C304,'[1]PoB AI'!$C$1:$T$898,18,FALSE)</f>
        <v>7</v>
      </c>
      <c r="R304">
        <f>VLOOKUP($C304,'[1]PoB AS'!$C$1:$T$898,17,FALSE)</f>
        <v>58</v>
      </c>
      <c r="S304">
        <f>VLOOKUP($C304,'[1]PoB AS'!$C$1:$T$898,18,FALSE)</f>
        <v>69</v>
      </c>
      <c r="T304">
        <f>VLOOKUP($C304,'[1]PoB PI'!$C$1:$T$898,17,FALSE)</f>
        <v>0</v>
      </c>
      <c r="U304">
        <f>VLOOKUP($C304,'[1]PoB PI'!$C$1:$T$898,18,FALSE)</f>
        <v>13</v>
      </c>
      <c r="V304">
        <f>VLOOKUP($C304,'[1]PoB OT'!$C$1:$T$898,17,FALSE)</f>
        <v>33</v>
      </c>
      <c r="W304">
        <f>VLOOKUP($C304,'[1]PoB OT'!$C$1:$T$898,18,FALSE)</f>
        <v>0</v>
      </c>
      <c r="X304">
        <f>VLOOKUP($C304,'[1]PoB 2R'!$C$1:$T$898,17,FALSE)</f>
        <v>138</v>
      </c>
      <c r="Y304">
        <f>VLOOKUP($C304,'[1]PoB 2R'!$C$1:$T$898,18,FALSE)</f>
        <v>26</v>
      </c>
    </row>
    <row r="305" spans="1:25" x14ac:dyDescent="0.25">
      <c r="A305" t="s">
        <v>1000</v>
      </c>
      <c r="B305">
        <v>5347665</v>
      </c>
      <c r="C305" t="s">
        <v>1001</v>
      </c>
      <c r="D305">
        <f t="shared" si="12"/>
        <v>762</v>
      </c>
      <c r="E305">
        <f>VLOOKUP($C305,'[1]PoB Totals'!$C$3:$T$898,17,FALSE)</f>
        <v>617</v>
      </c>
      <c r="F305">
        <f>VLOOKUP($C305,'[1]PoB Totals'!$C$3:$T$898,18,FALSE)</f>
        <v>145</v>
      </c>
      <c r="G305">
        <f t="shared" si="13"/>
        <v>762</v>
      </c>
      <c r="H305">
        <f t="shared" si="14"/>
        <v>617</v>
      </c>
      <c r="I305">
        <f t="shared" si="14"/>
        <v>145</v>
      </c>
      <c r="J305">
        <f>VLOOKUP($C305,'[1]PoB WN'!$C$1:$T$898,17,FALSE)</f>
        <v>493</v>
      </c>
      <c r="K305">
        <f>VLOOKUP($C305,'[1]PoB WN'!$C$1:$T$898,18,FALSE)</f>
        <v>2</v>
      </c>
      <c r="L305">
        <f>VLOOKUP($C305,'[1]PoB WH'!$C$1:$T$898,17,FALSE)</f>
        <v>24</v>
      </c>
      <c r="M305">
        <f>VLOOKUP($C305,'[1]PoB WH'!$C$1:$T$898,18,FALSE)</f>
        <v>0</v>
      </c>
      <c r="N305">
        <f>VLOOKUP($C305,'[1]PoB AA'!$C$1:$T$898,17,FALSE)</f>
        <v>0</v>
      </c>
      <c r="O305">
        <f>VLOOKUP($C305,'[1]PoB AA'!$C$1:$T$898,18,FALSE)</f>
        <v>0</v>
      </c>
      <c r="P305">
        <f>VLOOKUP($C305,'[1]PoB AI'!$C$1:$T$898,17,FALSE)</f>
        <v>14</v>
      </c>
      <c r="Q305">
        <f>VLOOKUP($C305,'[1]PoB AI'!$C$1:$T$898,18,FALSE)</f>
        <v>0</v>
      </c>
      <c r="R305">
        <f>VLOOKUP($C305,'[1]PoB AS'!$C$1:$T$898,17,FALSE)</f>
        <v>0</v>
      </c>
      <c r="S305">
        <f>VLOOKUP($C305,'[1]PoB AS'!$C$1:$T$898,18,FALSE)</f>
        <v>8</v>
      </c>
      <c r="T305">
        <f>VLOOKUP($C305,'[1]PoB PI'!$C$1:$T$898,17,FALSE)</f>
        <v>0</v>
      </c>
      <c r="U305">
        <f>VLOOKUP($C305,'[1]PoB PI'!$C$1:$T$898,18,FALSE)</f>
        <v>0</v>
      </c>
      <c r="V305">
        <f>VLOOKUP($C305,'[1]PoB OT'!$C$1:$T$898,17,FALSE)</f>
        <v>65</v>
      </c>
      <c r="W305">
        <f>VLOOKUP($C305,'[1]PoB OT'!$C$1:$T$898,18,FALSE)</f>
        <v>131</v>
      </c>
      <c r="X305">
        <f>VLOOKUP($C305,'[1]PoB 2R'!$C$1:$T$898,17,FALSE)</f>
        <v>21</v>
      </c>
      <c r="Y305">
        <f>VLOOKUP($C305,'[1]PoB 2R'!$C$1:$T$898,18,FALSE)</f>
        <v>4</v>
      </c>
    </row>
    <row r="306" spans="1:25" x14ac:dyDescent="0.25">
      <c r="A306" t="s">
        <v>1002</v>
      </c>
      <c r="B306">
        <v>5347735</v>
      </c>
      <c r="C306" t="s">
        <v>1003</v>
      </c>
      <c r="D306">
        <f t="shared" si="12"/>
        <v>18042</v>
      </c>
      <c r="E306">
        <f>VLOOKUP($C306,'[1]PoB Totals'!$C$3:$T$898,17,FALSE)</f>
        <v>15379</v>
      </c>
      <c r="F306">
        <f>VLOOKUP($C306,'[1]PoB Totals'!$C$3:$T$898,18,FALSE)</f>
        <v>2663</v>
      </c>
      <c r="G306">
        <f t="shared" si="13"/>
        <v>18042</v>
      </c>
      <c r="H306">
        <f t="shared" si="14"/>
        <v>15379</v>
      </c>
      <c r="I306">
        <f t="shared" si="14"/>
        <v>2663</v>
      </c>
      <c r="J306">
        <f>VLOOKUP($C306,'[1]PoB WN'!$C$1:$T$898,17,FALSE)</f>
        <v>13386</v>
      </c>
      <c r="K306">
        <f>VLOOKUP($C306,'[1]PoB WN'!$C$1:$T$898,18,FALSE)</f>
        <v>964</v>
      </c>
      <c r="L306">
        <f>VLOOKUP($C306,'[1]PoB WH'!$C$1:$T$898,17,FALSE)</f>
        <v>147</v>
      </c>
      <c r="M306">
        <f>VLOOKUP($C306,'[1]PoB WH'!$C$1:$T$898,18,FALSE)</f>
        <v>43</v>
      </c>
      <c r="N306">
        <f>VLOOKUP($C306,'[1]PoB AA'!$C$1:$T$898,17,FALSE)</f>
        <v>292</v>
      </c>
      <c r="O306">
        <f>VLOOKUP($C306,'[1]PoB AA'!$C$1:$T$898,18,FALSE)</f>
        <v>41</v>
      </c>
      <c r="P306">
        <f>VLOOKUP($C306,'[1]PoB AI'!$C$1:$T$898,17,FALSE)</f>
        <v>15</v>
      </c>
      <c r="Q306">
        <f>VLOOKUP($C306,'[1]PoB AI'!$C$1:$T$898,18,FALSE)</f>
        <v>0</v>
      </c>
      <c r="R306">
        <f>VLOOKUP($C306,'[1]PoB AS'!$C$1:$T$898,17,FALSE)</f>
        <v>642</v>
      </c>
      <c r="S306">
        <f>VLOOKUP($C306,'[1]PoB AS'!$C$1:$T$898,18,FALSE)</f>
        <v>1450</v>
      </c>
      <c r="T306">
        <f>VLOOKUP($C306,'[1]PoB PI'!$C$1:$T$898,17,FALSE)</f>
        <v>31</v>
      </c>
      <c r="U306">
        <f>VLOOKUP($C306,'[1]PoB PI'!$C$1:$T$898,18,FALSE)</f>
        <v>0</v>
      </c>
      <c r="V306">
        <f>VLOOKUP($C306,'[1]PoB OT'!$C$1:$T$898,17,FALSE)</f>
        <v>164</v>
      </c>
      <c r="W306">
        <f>VLOOKUP($C306,'[1]PoB OT'!$C$1:$T$898,18,FALSE)</f>
        <v>78</v>
      </c>
      <c r="X306">
        <f>VLOOKUP($C306,'[1]PoB 2R'!$C$1:$T$898,17,FALSE)</f>
        <v>702</v>
      </c>
      <c r="Y306">
        <f>VLOOKUP($C306,'[1]PoB 2R'!$C$1:$T$898,18,FALSE)</f>
        <v>87</v>
      </c>
    </row>
    <row r="307" spans="1:25" x14ac:dyDescent="0.25">
      <c r="A307" t="s">
        <v>1004</v>
      </c>
      <c r="B307">
        <v>5347805</v>
      </c>
      <c r="C307" t="s">
        <v>1005</v>
      </c>
      <c r="D307">
        <f t="shared" si="12"/>
        <v>663</v>
      </c>
      <c r="E307">
        <f>VLOOKUP($C307,'[1]PoB Totals'!$C$3:$T$898,17,FALSE)</f>
        <v>626</v>
      </c>
      <c r="F307">
        <f>VLOOKUP($C307,'[1]PoB Totals'!$C$3:$T$898,18,FALSE)</f>
        <v>37</v>
      </c>
      <c r="G307">
        <f t="shared" si="13"/>
        <v>663</v>
      </c>
      <c r="H307">
        <f t="shared" si="14"/>
        <v>626</v>
      </c>
      <c r="I307">
        <f t="shared" si="14"/>
        <v>37</v>
      </c>
      <c r="J307">
        <f>VLOOKUP($C307,'[1]PoB WN'!$C$1:$T$898,17,FALSE)</f>
        <v>551</v>
      </c>
      <c r="K307">
        <f>VLOOKUP($C307,'[1]PoB WN'!$C$1:$T$898,18,FALSE)</f>
        <v>10</v>
      </c>
      <c r="L307">
        <f>VLOOKUP($C307,'[1]PoB WH'!$C$1:$T$898,17,FALSE)</f>
        <v>27</v>
      </c>
      <c r="M307">
        <f>VLOOKUP($C307,'[1]PoB WH'!$C$1:$T$898,18,FALSE)</f>
        <v>13</v>
      </c>
      <c r="N307">
        <f>VLOOKUP($C307,'[1]PoB AA'!$C$1:$T$898,17,FALSE)</f>
        <v>0</v>
      </c>
      <c r="O307">
        <f>VLOOKUP($C307,'[1]PoB AA'!$C$1:$T$898,18,FALSE)</f>
        <v>0</v>
      </c>
      <c r="P307">
        <f>VLOOKUP($C307,'[1]PoB AI'!$C$1:$T$898,17,FALSE)</f>
        <v>4</v>
      </c>
      <c r="Q307">
        <f>VLOOKUP($C307,'[1]PoB AI'!$C$1:$T$898,18,FALSE)</f>
        <v>0</v>
      </c>
      <c r="R307">
        <f>VLOOKUP($C307,'[1]PoB AS'!$C$1:$T$898,17,FALSE)</f>
        <v>0</v>
      </c>
      <c r="S307">
        <f>VLOOKUP($C307,'[1]PoB AS'!$C$1:$T$898,18,FALSE)</f>
        <v>2</v>
      </c>
      <c r="T307">
        <f>VLOOKUP($C307,'[1]PoB PI'!$C$1:$T$898,17,FALSE)</f>
        <v>0</v>
      </c>
      <c r="U307">
        <f>VLOOKUP($C307,'[1]PoB PI'!$C$1:$T$898,18,FALSE)</f>
        <v>0</v>
      </c>
      <c r="V307">
        <f>VLOOKUP($C307,'[1]PoB OT'!$C$1:$T$898,17,FALSE)</f>
        <v>30</v>
      </c>
      <c r="W307">
        <f>VLOOKUP($C307,'[1]PoB OT'!$C$1:$T$898,18,FALSE)</f>
        <v>12</v>
      </c>
      <c r="X307">
        <f>VLOOKUP($C307,'[1]PoB 2R'!$C$1:$T$898,17,FALSE)</f>
        <v>14</v>
      </c>
      <c r="Y307">
        <f>VLOOKUP($C307,'[1]PoB 2R'!$C$1:$T$898,18,FALSE)</f>
        <v>0</v>
      </c>
    </row>
    <row r="308" spans="1:25" x14ac:dyDescent="0.25">
      <c r="A308" t="s">
        <v>1006</v>
      </c>
      <c r="B308">
        <v>5347980</v>
      </c>
      <c r="C308" t="s">
        <v>1007</v>
      </c>
      <c r="D308">
        <f t="shared" si="12"/>
        <v>1319</v>
      </c>
      <c r="E308">
        <f>VLOOKUP($C308,'[1]PoB Totals'!$C$3:$T$898,17,FALSE)</f>
        <v>1232</v>
      </c>
      <c r="F308">
        <f>VLOOKUP($C308,'[1]PoB Totals'!$C$3:$T$898,18,FALSE)</f>
        <v>87</v>
      </c>
      <c r="G308">
        <f t="shared" si="13"/>
        <v>1319</v>
      </c>
      <c r="H308">
        <f t="shared" si="14"/>
        <v>1232</v>
      </c>
      <c r="I308">
        <f t="shared" si="14"/>
        <v>87</v>
      </c>
      <c r="J308">
        <f>VLOOKUP($C308,'[1]PoB WN'!$C$1:$T$898,17,FALSE)</f>
        <v>1119</v>
      </c>
      <c r="K308">
        <f>VLOOKUP($C308,'[1]PoB WN'!$C$1:$T$898,18,FALSE)</f>
        <v>46</v>
      </c>
      <c r="L308">
        <f>VLOOKUP($C308,'[1]PoB WH'!$C$1:$T$898,17,FALSE)</f>
        <v>33</v>
      </c>
      <c r="M308">
        <f>VLOOKUP($C308,'[1]PoB WH'!$C$1:$T$898,18,FALSE)</f>
        <v>11</v>
      </c>
      <c r="N308">
        <f>VLOOKUP($C308,'[1]PoB AA'!$C$1:$T$898,17,FALSE)</f>
        <v>2</v>
      </c>
      <c r="O308">
        <f>VLOOKUP($C308,'[1]PoB AA'!$C$1:$T$898,18,FALSE)</f>
        <v>0</v>
      </c>
      <c r="P308">
        <f>VLOOKUP($C308,'[1]PoB AI'!$C$1:$T$898,17,FALSE)</f>
        <v>16</v>
      </c>
      <c r="Q308">
        <f>VLOOKUP($C308,'[1]PoB AI'!$C$1:$T$898,18,FALSE)</f>
        <v>0</v>
      </c>
      <c r="R308">
        <f>VLOOKUP($C308,'[1]PoB AS'!$C$1:$T$898,17,FALSE)</f>
        <v>3</v>
      </c>
      <c r="S308">
        <f>VLOOKUP($C308,'[1]PoB AS'!$C$1:$T$898,18,FALSE)</f>
        <v>1</v>
      </c>
      <c r="T308">
        <f>VLOOKUP($C308,'[1]PoB PI'!$C$1:$T$898,17,FALSE)</f>
        <v>0</v>
      </c>
      <c r="U308">
        <f>VLOOKUP($C308,'[1]PoB PI'!$C$1:$T$898,18,FALSE)</f>
        <v>0</v>
      </c>
      <c r="V308">
        <f>VLOOKUP($C308,'[1]PoB OT'!$C$1:$T$898,17,FALSE)</f>
        <v>40</v>
      </c>
      <c r="W308">
        <f>VLOOKUP($C308,'[1]PoB OT'!$C$1:$T$898,18,FALSE)</f>
        <v>26</v>
      </c>
      <c r="X308">
        <f>VLOOKUP($C308,'[1]PoB 2R'!$C$1:$T$898,17,FALSE)</f>
        <v>19</v>
      </c>
      <c r="Y308">
        <f>VLOOKUP($C308,'[1]PoB 2R'!$C$1:$T$898,18,FALSE)</f>
        <v>3</v>
      </c>
    </row>
    <row r="309" spans="1:25" x14ac:dyDescent="0.25">
      <c r="A309" t="s">
        <v>1008</v>
      </c>
      <c r="B309">
        <v>5348015</v>
      </c>
      <c r="C309" t="s">
        <v>1009</v>
      </c>
      <c r="D309">
        <f t="shared" si="12"/>
        <v>361</v>
      </c>
      <c r="E309">
        <f>VLOOKUP($C309,'[1]PoB Totals'!$C$3:$T$898,17,FALSE)</f>
        <v>340</v>
      </c>
      <c r="F309">
        <f>VLOOKUP($C309,'[1]PoB Totals'!$C$3:$T$898,18,FALSE)</f>
        <v>21</v>
      </c>
      <c r="G309">
        <f t="shared" si="13"/>
        <v>361</v>
      </c>
      <c r="H309">
        <f t="shared" si="14"/>
        <v>340</v>
      </c>
      <c r="I309">
        <f t="shared" si="14"/>
        <v>21</v>
      </c>
      <c r="J309">
        <f>VLOOKUP($C309,'[1]PoB WN'!$C$1:$T$898,17,FALSE)</f>
        <v>311</v>
      </c>
      <c r="K309">
        <f>VLOOKUP($C309,'[1]PoB WN'!$C$1:$T$898,18,FALSE)</f>
        <v>8</v>
      </c>
      <c r="L309">
        <f>VLOOKUP($C309,'[1]PoB WH'!$C$1:$T$898,17,FALSE)</f>
        <v>0</v>
      </c>
      <c r="M309">
        <f>VLOOKUP($C309,'[1]PoB WH'!$C$1:$T$898,18,FALSE)</f>
        <v>3</v>
      </c>
      <c r="N309">
        <f>VLOOKUP($C309,'[1]PoB AA'!$C$1:$T$898,17,FALSE)</f>
        <v>0</v>
      </c>
      <c r="O309">
        <f>VLOOKUP($C309,'[1]PoB AA'!$C$1:$T$898,18,FALSE)</f>
        <v>0</v>
      </c>
      <c r="P309">
        <f>VLOOKUP($C309,'[1]PoB AI'!$C$1:$T$898,17,FALSE)</f>
        <v>15</v>
      </c>
      <c r="Q309">
        <f>VLOOKUP($C309,'[1]PoB AI'!$C$1:$T$898,18,FALSE)</f>
        <v>0</v>
      </c>
      <c r="R309">
        <f>VLOOKUP($C309,'[1]PoB AS'!$C$1:$T$898,17,FALSE)</f>
        <v>0</v>
      </c>
      <c r="S309">
        <f>VLOOKUP($C309,'[1]PoB AS'!$C$1:$T$898,18,FALSE)</f>
        <v>3</v>
      </c>
      <c r="T309">
        <f>VLOOKUP($C309,'[1]PoB PI'!$C$1:$T$898,17,FALSE)</f>
        <v>0</v>
      </c>
      <c r="U309">
        <f>VLOOKUP($C309,'[1]PoB PI'!$C$1:$T$898,18,FALSE)</f>
        <v>0</v>
      </c>
      <c r="V309">
        <f>VLOOKUP($C309,'[1]PoB OT'!$C$1:$T$898,17,FALSE)</f>
        <v>0</v>
      </c>
      <c r="W309">
        <f>VLOOKUP($C309,'[1]PoB OT'!$C$1:$T$898,18,FALSE)</f>
        <v>2</v>
      </c>
      <c r="X309">
        <f>VLOOKUP($C309,'[1]PoB 2R'!$C$1:$T$898,17,FALSE)</f>
        <v>14</v>
      </c>
      <c r="Y309">
        <f>VLOOKUP($C309,'[1]PoB 2R'!$C$1:$T$898,18,FALSE)</f>
        <v>5</v>
      </c>
    </row>
    <row r="310" spans="1:25" x14ac:dyDescent="0.25">
      <c r="A310" t="s">
        <v>1010</v>
      </c>
      <c r="B310">
        <v>5348225</v>
      </c>
      <c r="C310" t="s">
        <v>1011</v>
      </c>
      <c r="D310">
        <f t="shared" si="12"/>
        <v>2685</v>
      </c>
      <c r="E310">
        <f>VLOOKUP($C310,'[1]PoB Totals'!$C$3:$T$898,17,FALSE)</f>
        <v>2406</v>
      </c>
      <c r="F310">
        <f>VLOOKUP($C310,'[1]PoB Totals'!$C$3:$T$898,18,FALSE)</f>
        <v>279</v>
      </c>
      <c r="G310">
        <f t="shared" si="13"/>
        <v>2685</v>
      </c>
      <c r="H310">
        <f t="shared" si="14"/>
        <v>2406</v>
      </c>
      <c r="I310">
        <f t="shared" si="14"/>
        <v>279</v>
      </c>
      <c r="J310">
        <f>VLOOKUP($C310,'[1]PoB WN'!$C$1:$T$898,17,FALSE)</f>
        <v>1813</v>
      </c>
      <c r="K310">
        <f>VLOOKUP($C310,'[1]PoB WN'!$C$1:$T$898,18,FALSE)</f>
        <v>62</v>
      </c>
      <c r="L310">
        <f>VLOOKUP($C310,'[1]PoB WH'!$C$1:$T$898,17,FALSE)</f>
        <v>118</v>
      </c>
      <c r="M310">
        <f>VLOOKUP($C310,'[1]PoB WH'!$C$1:$T$898,18,FALSE)</f>
        <v>24</v>
      </c>
      <c r="N310">
        <f>VLOOKUP($C310,'[1]PoB AA'!$C$1:$T$898,17,FALSE)</f>
        <v>156</v>
      </c>
      <c r="O310">
        <f>VLOOKUP($C310,'[1]PoB AA'!$C$1:$T$898,18,FALSE)</f>
        <v>0</v>
      </c>
      <c r="P310">
        <f>VLOOKUP($C310,'[1]PoB AI'!$C$1:$T$898,17,FALSE)</f>
        <v>0</v>
      </c>
      <c r="Q310">
        <f>VLOOKUP($C310,'[1]PoB AI'!$C$1:$T$898,18,FALSE)</f>
        <v>0</v>
      </c>
      <c r="R310">
        <f>VLOOKUP($C310,'[1]PoB AS'!$C$1:$T$898,17,FALSE)</f>
        <v>0</v>
      </c>
      <c r="S310">
        <f>VLOOKUP($C310,'[1]PoB AS'!$C$1:$T$898,18,FALSE)</f>
        <v>186</v>
      </c>
      <c r="T310">
        <f>VLOOKUP($C310,'[1]PoB PI'!$C$1:$T$898,17,FALSE)</f>
        <v>54</v>
      </c>
      <c r="U310">
        <f>VLOOKUP($C310,'[1]PoB PI'!$C$1:$T$898,18,FALSE)</f>
        <v>0</v>
      </c>
      <c r="V310">
        <f>VLOOKUP($C310,'[1]PoB OT'!$C$1:$T$898,17,FALSE)</f>
        <v>32</v>
      </c>
      <c r="W310">
        <f>VLOOKUP($C310,'[1]PoB OT'!$C$1:$T$898,18,FALSE)</f>
        <v>7</v>
      </c>
      <c r="X310">
        <f>VLOOKUP($C310,'[1]PoB 2R'!$C$1:$T$898,17,FALSE)</f>
        <v>233</v>
      </c>
      <c r="Y310">
        <f>VLOOKUP($C310,'[1]PoB 2R'!$C$1:$T$898,18,FALSE)</f>
        <v>0</v>
      </c>
    </row>
    <row r="311" spans="1:25" x14ac:dyDescent="0.25">
      <c r="A311" t="s">
        <v>1012</v>
      </c>
      <c r="B311">
        <v>5348295</v>
      </c>
      <c r="C311" t="s">
        <v>1013</v>
      </c>
      <c r="D311">
        <f t="shared" si="12"/>
        <v>780</v>
      </c>
      <c r="E311">
        <f>VLOOKUP($C311,'[1]PoB Totals'!$C$3:$T$898,17,FALSE)</f>
        <v>767</v>
      </c>
      <c r="F311">
        <f>VLOOKUP($C311,'[1]PoB Totals'!$C$3:$T$898,18,FALSE)</f>
        <v>13</v>
      </c>
      <c r="G311">
        <f t="shared" si="13"/>
        <v>780</v>
      </c>
      <c r="H311">
        <f t="shared" si="14"/>
        <v>767</v>
      </c>
      <c r="I311">
        <f t="shared" si="14"/>
        <v>13</v>
      </c>
      <c r="J311">
        <f>VLOOKUP($C311,'[1]PoB WN'!$C$1:$T$898,17,FALSE)</f>
        <v>79</v>
      </c>
      <c r="K311">
        <f>VLOOKUP($C311,'[1]PoB WN'!$C$1:$T$898,18,FALSE)</f>
        <v>4</v>
      </c>
      <c r="L311">
        <f>VLOOKUP($C311,'[1]PoB WH'!$C$1:$T$898,17,FALSE)</f>
        <v>0</v>
      </c>
      <c r="M311">
        <f>VLOOKUP($C311,'[1]PoB WH'!$C$1:$T$898,18,FALSE)</f>
        <v>0</v>
      </c>
      <c r="N311">
        <f>VLOOKUP($C311,'[1]PoB AA'!$C$1:$T$898,17,FALSE)</f>
        <v>2</v>
      </c>
      <c r="O311">
        <f>VLOOKUP($C311,'[1]PoB AA'!$C$1:$T$898,18,FALSE)</f>
        <v>0</v>
      </c>
      <c r="P311">
        <f>VLOOKUP($C311,'[1]PoB AI'!$C$1:$T$898,17,FALSE)</f>
        <v>618</v>
      </c>
      <c r="Q311">
        <f>VLOOKUP($C311,'[1]PoB AI'!$C$1:$T$898,18,FALSE)</f>
        <v>3</v>
      </c>
      <c r="R311">
        <f>VLOOKUP($C311,'[1]PoB AS'!$C$1:$T$898,17,FALSE)</f>
        <v>0</v>
      </c>
      <c r="S311">
        <f>VLOOKUP($C311,'[1]PoB AS'!$C$1:$T$898,18,FALSE)</f>
        <v>0</v>
      </c>
      <c r="T311">
        <f>VLOOKUP($C311,'[1]PoB PI'!$C$1:$T$898,17,FALSE)</f>
        <v>7</v>
      </c>
      <c r="U311">
        <f>VLOOKUP($C311,'[1]PoB PI'!$C$1:$T$898,18,FALSE)</f>
        <v>0</v>
      </c>
      <c r="V311">
        <f>VLOOKUP($C311,'[1]PoB OT'!$C$1:$T$898,17,FALSE)</f>
        <v>0</v>
      </c>
      <c r="W311">
        <f>VLOOKUP($C311,'[1]PoB OT'!$C$1:$T$898,18,FALSE)</f>
        <v>4</v>
      </c>
      <c r="X311">
        <f>VLOOKUP($C311,'[1]PoB 2R'!$C$1:$T$898,17,FALSE)</f>
        <v>61</v>
      </c>
      <c r="Y311">
        <f>VLOOKUP($C311,'[1]PoB 2R'!$C$1:$T$898,18,FALSE)</f>
        <v>2</v>
      </c>
    </row>
    <row r="312" spans="1:25" x14ac:dyDescent="0.25">
      <c r="A312" t="s">
        <v>1014</v>
      </c>
      <c r="B312">
        <v>5348330</v>
      </c>
      <c r="C312" t="s">
        <v>1015</v>
      </c>
      <c r="D312">
        <f t="shared" si="12"/>
        <v>344</v>
      </c>
      <c r="E312">
        <f>VLOOKUP($C312,'[1]PoB Totals'!$C$3:$T$898,17,FALSE)</f>
        <v>334</v>
      </c>
      <c r="F312">
        <f>VLOOKUP($C312,'[1]PoB Totals'!$C$3:$T$898,18,FALSE)</f>
        <v>10</v>
      </c>
      <c r="G312">
        <f t="shared" si="13"/>
        <v>344</v>
      </c>
      <c r="H312">
        <f t="shared" si="14"/>
        <v>334</v>
      </c>
      <c r="I312">
        <f t="shared" si="14"/>
        <v>10</v>
      </c>
      <c r="J312">
        <f>VLOOKUP($C312,'[1]PoB WN'!$C$1:$T$898,17,FALSE)</f>
        <v>301</v>
      </c>
      <c r="K312">
        <f>VLOOKUP($C312,'[1]PoB WN'!$C$1:$T$898,18,FALSE)</f>
        <v>6</v>
      </c>
      <c r="L312">
        <f>VLOOKUP($C312,'[1]PoB WH'!$C$1:$T$898,17,FALSE)</f>
        <v>1</v>
      </c>
      <c r="M312">
        <f>VLOOKUP($C312,'[1]PoB WH'!$C$1:$T$898,18,FALSE)</f>
        <v>0</v>
      </c>
      <c r="N312">
        <f>VLOOKUP($C312,'[1]PoB AA'!$C$1:$T$898,17,FALSE)</f>
        <v>0</v>
      </c>
      <c r="O312">
        <f>VLOOKUP($C312,'[1]PoB AA'!$C$1:$T$898,18,FALSE)</f>
        <v>0</v>
      </c>
      <c r="P312">
        <f>VLOOKUP($C312,'[1]PoB AI'!$C$1:$T$898,17,FALSE)</f>
        <v>13</v>
      </c>
      <c r="Q312">
        <f>VLOOKUP($C312,'[1]PoB AI'!$C$1:$T$898,18,FALSE)</f>
        <v>0</v>
      </c>
      <c r="R312">
        <f>VLOOKUP($C312,'[1]PoB AS'!$C$1:$T$898,17,FALSE)</f>
        <v>0</v>
      </c>
      <c r="S312">
        <f>VLOOKUP($C312,'[1]PoB AS'!$C$1:$T$898,18,FALSE)</f>
        <v>0</v>
      </c>
      <c r="T312">
        <f>VLOOKUP($C312,'[1]PoB PI'!$C$1:$T$898,17,FALSE)</f>
        <v>0</v>
      </c>
      <c r="U312">
        <f>VLOOKUP($C312,'[1]PoB PI'!$C$1:$T$898,18,FALSE)</f>
        <v>0</v>
      </c>
      <c r="V312">
        <f>VLOOKUP($C312,'[1]PoB OT'!$C$1:$T$898,17,FALSE)</f>
        <v>11</v>
      </c>
      <c r="W312">
        <f>VLOOKUP($C312,'[1]PoB OT'!$C$1:$T$898,18,FALSE)</f>
        <v>4</v>
      </c>
      <c r="X312">
        <f>VLOOKUP($C312,'[1]PoB 2R'!$C$1:$T$898,17,FALSE)</f>
        <v>8</v>
      </c>
      <c r="Y312">
        <f>VLOOKUP($C312,'[1]PoB 2R'!$C$1:$T$898,18,FALSE)</f>
        <v>0</v>
      </c>
    </row>
    <row r="313" spans="1:25" x14ac:dyDescent="0.25">
      <c r="A313" t="s">
        <v>1016</v>
      </c>
      <c r="B313">
        <v>5348540</v>
      </c>
      <c r="C313" t="s">
        <v>1017</v>
      </c>
      <c r="D313">
        <f t="shared" si="12"/>
        <v>165</v>
      </c>
      <c r="E313">
        <f>VLOOKUP($C313,'[1]PoB Totals'!$C$3:$T$898,17,FALSE)</f>
        <v>163</v>
      </c>
      <c r="F313">
        <f>VLOOKUP($C313,'[1]PoB Totals'!$C$3:$T$898,18,FALSE)</f>
        <v>2</v>
      </c>
      <c r="G313">
        <f t="shared" si="13"/>
        <v>165</v>
      </c>
      <c r="H313">
        <f t="shared" si="14"/>
        <v>163</v>
      </c>
      <c r="I313">
        <f t="shared" si="14"/>
        <v>2</v>
      </c>
      <c r="J313">
        <f>VLOOKUP($C313,'[1]PoB WN'!$C$1:$T$898,17,FALSE)</f>
        <v>21</v>
      </c>
      <c r="K313">
        <f>VLOOKUP($C313,'[1]PoB WN'!$C$1:$T$898,18,FALSE)</f>
        <v>0</v>
      </c>
      <c r="L313">
        <f>VLOOKUP($C313,'[1]PoB WH'!$C$1:$T$898,17,FALSE)</f>
        <v>0</v>
      </c>
      <c r="M313">
        <f>VLOOKUP($C313,'[1]PoB WH'!$C$1:$T$898,18,FALSE)</f>
        <v>0</v>
      </c>
      <c r="N313">
        <f>VLOOKUP($C313,'[1]PoB AA'!$C$1:$T$898,17,FALSE)</f>
        <v>0</v>
      </c>
      <c r="O313">
        <f>VLOOKUP($C313,'[1]PoB AA'!$C$1:$T$898,18,FALSE)</f>
        <v>0</v>
      </c>
      <c r="P313">
        <f>VLOOKUP($C313,'[1]PoB AI'!$C$1:$T$898,17,FALSE)</f>
        <v>135</v>
      </c>
      <c r="Q313">
        <f>VLOOKUP($C313,'[1]PoB AI'!$C$1:$T$898,18,FALSE)</f>
        <v>0</v>
      </c>
      <c r="R313">
        <f>VLOOKUP($C313,'[1]PoB AS'!$C$1:$T$898,17,FALSE)</f>
        <v>0</v>
      </c>
      <c r="S313">
        <f>VLOOKUP($C313,'[1]PoB AS'!$C$1:$T$898,18,FALSE)</f>
        <v>0</v>
      </c>
      <c r="T313">
        <f>VLOOKUP($C313,'[1]PoB PI'!$C$1:$T$898,17,FALSE)</f>
        <v>3</v>
      </c>
      <c r="U313">
        <f>VLOOKUP($C313,'[1]PoB PI'!$C$1:$T$898,18,FALSE)</f>
        <v>0</v>
      </c>
      <c r="V313">
        <f>VLOOKUP($C313,'[1]PoB OT'!$C$1:$T$898,17,FALSE)</f>
        <v>2</v>
      </c>
      <c r="W313">
        <f>VLOOKUP($C313,'[1]PoB OT'!$C$1:$T$898,18,FALSE)</f>
        <v>2</v>
      </c>
      <c r="X313">
        <f>VLOOKUP($C313,'[1]PoB 2R'!$C$1:$T$898,17,FALSE)</f>
        <v>2</v>
      </c>
      <c r="Y313">
        <f>VLOOKUP($C313,'[1]PoB 2R'!$C$1:$T$898,18,FALSE)</f>
        <v>0</v>
      </c>
    </row>
    <row r="314" spans="1:25" x14ac:dyDescent="0.25">
      <c r="A314" t="s">
        <v>1018</v>
      </c>
      <c r="B314">
        <v>5348550</v>
      </c>
      <c r="C314" t="s">
        <v>1019</v>
      </c>
      <c r="D314">
        <f t="shared" si="12"/>
        <v>269</v>
      </c>
      <c r="E314">
        <f>VLOOKUP($C314,'[1]PoB Totals'!$C$3:$T$898,17,FALSE)</f>
        <v>266</v>
      </c>
      <c r="F314">
        <f>VLOOKUP($C314,'[1]PoB Totals'!$C$3:$T$898,18,FALSE)</f>
        <v>3</v>
      </c>
      <c r="G314">
        <f t="shared" si="13"/>
        <v>269</v>
      </c>
      <c r="H314">
        <f t="shared" si="14"/>
        <v>266</v>
      </c>
      <c r="I314">
        <f t="shared" si="14"/>
        <v>3</v>
      </c>
      <c r="J314">
        <f>VLOOKUP($C314,'[1]PoB WN'!$C$1:$T$898,17,FALSE)</f>
        <v>18</v>
      </c>
      <c r="K314">
        <f>VLOOKUP($C314,'[1]PoB WN'!$C$1:$T$898,18,FALSE)</f>
        <v>2</v>
      </c>
      <c r="L314">
        <f>VLOOKUP($C314,'[1]PoB WH'!$C$1:$T$898,17,FALSE)</f>
        <v>0</v>
      </c>
      <c r="M314">
        <f>VLOOKUP($C314,'[1]PoB WH'!$C$1:$T$898,18,FALSE)</f>
        <v>0</v>
      </c>
      <c r="N314">
        <f>VLOOKUP($C314,'[1]PoB AA'!$C$1:$T$898,17,FALSE)</f>
        <v>0</v>
      </c>
      <c r="O314">
        <f>VLOOKUP($C314,'[1]PoB AA'!$C$1:$T$898,18,FALSE)</f>
        <v>0</v>
      </c>
      <c r="P314">
        <f>VLOOKUP($C314,'[1]PoB AI'!$C$1:$T$898,17,FALSE)</f>
        <v>242</v>
      </c>
      <c r="Q314">
        <f>VLOOKUP($C314,'[1]PoB AI'!$C$1:$T$898,18,FALSE)</f>
        <v>1</v>
      </c>
      <c r="R314">
        <f>VLOOKUP($C314,'[1]PoB AS'!$C$1:$T$898,17,FALSE)</f>
        <v>0</v>
      </c>
      <c r="S314">
        <f>VLOOKUP($C314,'[1]PoB AS'!$C$1:$T$898,18,FALSE)</f>
        <v>0</v>
      </c>
      <c r="T314">
        <f>VLOOKUP($C314,'[1]PoB PI'!$C$1:$T$898,17,FALSE)</f>
        <v>0</v>
      </c>
      <c r="U314">
        <f>VLOOKUP($C314,'[1]PoB PI'!$C$1:$T$898,18,FALSE)</f>
        <v>0</v>
      </c>
      <c r="V314">
        <f>VLOOKUP($C314,'[1]PoB OT'!$C$1:$T$898,17,FALSE)</f>
        <v>0</v>
      </c>
      <c r="W314">
        <f>VLOOKUP($C314,'[1]PoB OT'!$C$1:$T$898,18,FALSE)</f>
        <v>0</v>
      </c>
      <c r="X314">
        <f>VLOOKUP($C314,'[1]PoB 2R'!$C$1:$T$898,17,FALSE)</f>
        <v>6</v>
      </c>
      <c r="Y314">
        <f>VLOOKUP($C314,'[1]PoB 2R'!$C$1:$T$898,18,FALSE)</f>
        <v>0</v>
      </c>
    </row>
    <row r="315" spans="1:25" x14ac:dyDescent="0.25">
      <c r="A315" t="s">
        <v>1020</v>
      </c>
      <c r="B315">
        <v>5348645</v>
      </c>
      <c r="C315" t="s">
        <v>1021</v>
      </c>
      <c r="D315">
        <f t="shared" si="12"/>
        <v>8038</v>
      </c>
      <c r="E315">
        <f>VLOOKUP($C315,'[1]PoB Totals'!$C$3:$T$898,17,FALSE)</f>
        <v>6191</v>
      </c>
      <c r="F315">
        <f>VLOOKUP($C315,'[1]PoB Totals'!$C$3:$T$898,18,FALSE)</f>
        <v>1847</v>
      </c>
      <c r="G315">
        <f t="shared" si="13"/>
        <v>8038</v>
      </c>
      <c r="H315">
        <f t="shared" si="14"/>
        <v>6191</v>
      </c>
      <c r="I315">
        <f t="shared" si="14"/>
        <v>1847</v>
      </c>
      <c r="J315">
        <f>VLOOKUP($C315,'[1]PoB WN'!$C$1:$T$898,17,FALSE)</f>
        <v>5188</v>
      </c>
      <c r="K315">
        <f>VLOOKUP($C315,'[1]PoB WN'!$C$1:$T$898,18,FALSE)</f>
        <v>606</v>
      </c>
      <c r="L315">
        <f>VLOOKUP($C315,'[1]PoB WH'!$C$1:$T$898,17,FALSE)</f>
        <v>81</v>
      </c>
      <c r="M315">
        <f>VLOOKUP($C315,'[1]PoB WH'!$C$1:$T$898,18,FALSE)</f>
        <v>44</v>
      </c>
      <c r="N315">
        <f>VLOOKUP($C315,'[1]PoB AA'!$C$1:$T$898,17,FALSE)</f>
        <v>65</v>
      </c>
      <c r="O315">
        <f>VLOOKUP($C315,'[1]PoB AA'!$C$1:$T$898,18,FALSE)</f>
        <v>7</v>
      </c>
      <c r="P315">
        <f>VLOOKUP($C315,'[1]PoB AI'!$C$1:$T$898,17,FALSE)</f>
        <v>30</v>
      </c>
      <c r="Q315">
        <f>VLOOKUP($C315,'[1]PoB AI'!$C$1:$T$898,18,FALSE)</f>
        <v>0</v>
      </c>
      <c r="R315">
        <f>VLOOKUP($C315,'[1]PoB AS'!$C$1:$T$898,17,FALSE)</f>
        <v>511</v>
      </c>
      <c r="S315">
        <f>VLOOKUP($C315,'[1]PoB AS'!$C$1:$T$898,18,FALSE)</f>
        <v>998</v>
      </c>
      <c r="T315">
        <f>VLOOKUP($C315,'[1]PoB PI'!$C$1:$T$898,17,FALSE)</f>
        <v>0</v>
      </c>
      <c r="U315">
        <f>VLOOKUP($C315,'[1]PoB PI'!$C$1:$T$898,18,FALSE)</f>
        <v>0</v>
      </c>
      <c r="V315">
        <f>VLOOKUP($C315,'[1]PoB OT'!$C$1:$T$898,17,FALSE)</f>
        <v>77</v>
      </c>
      <c r="W315">
        <f>VLOOKUP($C315,'[1]PoB OT'!$C$1:$T$898,18,FALSE)</f>
        <v>135</v>
      </c>
      <c r="X315">
        <f>VLOOKUP($C315,'[1]PoB 2R'!$C$1:$T$898,17,FALSE)</f>
        <v>239</v>
      </c>
      <c r="Y315">
        <f>VLOOKUP($C315,'[1]PoB 2R'!$C$1:$T$898,18,FALSE)</f>
        <v>57</v>
      </c>
    </row>
    <row r="316" spans="1:25" x14ac:dyDescent="0.25">
      <c r="A316" t="s">
        <v>1022</v>
      </c>
      <c r="B316">
        <v>5348820</v>
      </c>
      <c r="C316" t="s">
        <v>1023</v>
      </c>
      <c r="D316">
        <f t="shared" si="12"/>
        <v>1888</v>
      </c>
      <c r="E316">
        <f>VLOOKUP($C316,'[1]PoB Totals'!$C$3:$T$898,17,FALSE)</f>
        <v>1848</v>
      </c>
      <c r="F316">
        <f>VLOOKUP($C316,'[1]PoB Totals'!$C$3:$T$898,18,FALSE)</f>
        <v>40</v>
      </c>
      <c r="G316">
        <f t="shared" si="13"/>
        <v>1888</v>
      </c>
      <c r="H316">
        <f t="shared" si="14"/>
        <v>1848</v>
      </c>
      <c r="I316">
        <f t="shared" si="14"/>
        <v>40</v>
      </c>
      <c r="J316">
        <f>VLOOKUP($C316,'[1]PoB WN'!$C$1:$T$898,17,FALSE)</f>
        <v>1722</v>
      </c>
      <c r="K316">
        <f>VLOOKUP($C316,'[1]PoB WN'!$C$1:$T$898,18,FALSE)</f>
        <v>32</v>
      </c>
      <c r="L316">
        <f>VLOOKUP($C316,'[1]PoB WH'!$C$1:$T$898,17,FALSE)</f>
        <v>19</v>
      </c>
      <c r="M316">
        <f>VLOOKUP($C316,'[1]PoB WH'!$C$1:$T$898,18,FALSE)</f>
        <v>0</v>
      </c>
      <c r="N316">
        <f>VLOOKUP($C316,'[1]PoB AA'!$C$1:$T$898,17,FALSE)</f>
        <v>0</v>
      </c>
      <c r="O316">
        <f>VLOOKUP($C316,'[1]PoB AA'!$C$1:$T$898,18,FALSE)</f>
        <v>0</v>
      </c>
      <c r="P316">
        <f>VLOOKUP($C316,'[1]PoB AI'!$C$1:$T$898,17,FALSE)</f>
        <v>26</v>
      </c>
      <c r="Q316">
        <f>VLOOKUP($C316,'[1]PoB AI'!$C$1:$T$898,18,FALSE)</f>
        <v>0</v>
      </c>
      <c r="R316">
        <f>VLOOKUP($C316,'[1]PoB AS'!$C$1:$T$898,17,FALSE)</f>
        <v>6</v>
      </c>
      <c r="S316">
        <f>VLOOKUP($C316,'[1]PoB AS'!$C$1:$T$898,18,FALSE)</f>
        <v>6</v>
      </c>
      <c r="T316">
        <f>VLOOKUP($C316,'[1]PoB PI'!$C$1:$T$898,17,FALSE)</f>
        <v>7</v>
      </c>
      <c r="U316">
        <f>VLOOKUP($C316,'[1]PoB PI'!$C$1:$T$898,18,FALSE)</f>
        <v>0</v>
      </c>
      <c r="V316">
        <f>VLOOKUP($C316,'[1]PoB OT'!$C$1:$T$898,17,FALSE)</f>
        <v>17</v>
      </c>
      <c r="W316">
        <f>VLOOKUP($C316,'[1]PoB OT'!$C$1:$T$898,18,FALSE)</f>
        <v>1</v>
      </c>
      <c r="X316">
        <f>VLOOKUP($C316,'[1]PoB 2R'!$C$1:$T$898,17,FALSE)</f>
        <v>51</v>
      </c>
      <c r="Y316">
        <f>VLOOKUP($C316,'[1]PoB 2R'!$C$1:$T$898,18,FALSE)</f>
        <v>1</v>
      </c>
    </row>
    <row r="317" spans="1:25" x14ac:dyDescent="0.25">
      <c r="A317" t="s">
        <v>1026</v>
      </c>
      <c r="B317">
        <v>5349193</v>
      </c>
      <c r="C317" t="s">
        <v>1027</v>
      </c>
      <c r="D317">
        <f t="shared" si="12"/>
        <v>591</v>
      </c>
      <c r="E317">
        <f>VLOOKUP($C317,'[1]PoB Totals'!$C$3:$T$898,17,FALSE)</f>
        <v>550</v>
      </c>
      <c r="F317">
        <f>VLOOKUP($C317,'[1]PoB Totals'!$C$3:$T$898,18,FALSE)</f>
        <v>41</v>
      </c>
      <c r="G317">
        <f t="shared" si="13"/>
        <v>591</v>
      </c>
      <c r="H317">
        <f t="shared" si="14"/>
        <v>550</v>
      </c>
      <c r="I317">
        <f t="shared" si="14"/>
        <v>41</v>
      </c>
      <c r="J317">
        <f>VLOOKUP($C317,'[1]PoB WN'!$C$1:$T$898,17,FALSE)</f>
        <v>140</v>
      </c>
      <c r="K317">
        <f>VLOOKUP($C317,'[1]PoB WN'!$C$1:$T$898,18,FALSE)</f>
        <v>7</v>
      </c>
      <c r="L317">
        <f>VLOOKUP($C317,'[1]PoB WH'!$C$1:$T$898,17,FALSE)</f>
        <v>5</v>
      </c>
      <c r="M317">
        <f>VLOOKUP($C317,'[1]PoB WH'!$C$1:$T$898,18,FALSE)</f>
        <v>0</v>
      </c>
      <c r="N317">
        <f>VLOOKUP($C317,'[1]PoB AA'!$C$1:$T$898,17,FALSE)</f>
        <v>5</v>
      </c>
      <c r="O317">
        <f>VLOOKUP($C317,'[1]PoB AA'!$C$1:$T$898,18,FALSE)</f>
        <v>0</v>
      </c>
      <c r="P317">
        <f>VLOOKUP($C317,'[1]PoB AI'!$C$1:$T$898,17,FALSE)</f>
        <v>308</v>
      </c>
      <c r="Q317">
        <f>VLOOKUP($C317,'[1]PoB AI'!$C$1:$T$898,18,FALSE)</f>
        <v>6</v>
      </c>
      <c r="R317">
        <f>VLOOKUP($C317,'[1]PoB AS'!$C$1:$T$898,17,FALSE)</f>
        <v>6</v>
      </c>
      <c r="S317">
        <f>VLOOKUP($C317,'[1]PoB AS'!$C$1:$T$898,18,FALSE)</f>
        <v>13</v>
      </c>
      <c r="T317">
        <f>VLOOKUP($C317,'[1]PoB PI'!$C$1:$T$898,17,FALSE)</f>
        <v>14</v>
      </c>
      <c r="U317">
        <f>VLOOKUP($C317,'[1]PoB PI'!$C$1:$T$898,18,FALSE)</f>
        <v>4</v>
      </c>
      <c r="V317">
        <f>VLOOKUP($C317,'[1]PoB OT'!$C$1:$T$898,17,FALSE)</f>
        <v>8</v>
      </c>
      <c r="W317">
        <f>VLOOKUP($C317,'[1]PoB OT'!$C$1:$T$898,18,FALSE)</f>
        <v>6</v>
      </c>
      <c r="X317">
        <f>VLOOKUP($C317,'[1]PoB 2R'!$C$1:$T$898,17,FALSE)</f>
        <v>64</v>
      </c>
      <c r="Y317">
        <f>VLOOKUP($C317,'[1]PoB 2R'!$C$1:$T$898,18,FALSE)</f>
        <v>5</v>
      </c>
    </row>
    <row r="318" spans="1:25" x14ac:dyDescent="0.25">
      <c r="A318" t="s">
        <v>1028</v>
      </c>
      <c r="B318">
        <v>5349275</v>
      </c>
      <c r="C318" t="s">
        <v>1029</v>
      </c>
      <c r="D318">
        <f t="shared" si="12"/>
        <v>841</v>
      </c>
      <c r="E318">
        <f>VLOOKUP($C318,'[1]PoB Totals'!$C$3:$T$898,17,FALSE)</f>
        <v>733</v>
      </c>
      <c r="F318">
        <f>VLOOKUP($C318,'[1]PoB Totals'!$C$3:$T$898,18,FALSE)</f>
        <v>108</v>
      </c>
      <c r="G318">
        <f t="shared" si="13"/>
        <v>841</v>
      </c>
      <c r="H318">
        <f t="shared" si="14"/>
        <v>733</v>
      </c>
      <c r="I318">
        <f t="shared" si="14"/>
        <v>108</v>
      </c>
      <c r="J318">
        <f>VLOOKUP($C318,'[1]PoB WN'!$C$1:$T$898,17,FALSE)</f>
        <v>631</v>
      </c>
      <c r="K318">
        <f>VLOOKUP($C318,'[1]PoB WN'!$C$1:$T$898,18,FALSE)</f>
        <v>67</v>
      </c>
      <c r="L318">
        <f>VLOOKUP($C318,'[1]PoB WH'!$C$1:$T$898,17,FALSE)</f>
        <v>24</v>
      </c>
      <c r="M318">
        <f>VLOOKUP($C318,'[1]PoB WH'!$C$1:$T$898,18,FALSE)</f>
        <v>2</v>
      </c>
      <c r="N318">
        <f>VLOOKUP($C318,'[1]PoB AA'!$C$1:$T$898,17,FALSE)</f>
        <v>3</v>
      </c>
      <c r="O318">
        <f>VLOOKUP($C318,'[1]PoB AA'!$C$1:$T$898,18,FALSE)</f>
        <v>0</v>
      </c>
      <c r="P318">
        <f>VLOOKUP($C318,'[1]PoB AI'!$C$1:$T$898,17,FALSE)</f>
        <v>9</v>
      </c>
      <c r="Q318">
        <f>VLOOKUP($C318,'[1]PoB AI'!$C$1:$T$898,18,FALSE)</f>
        <v>5</v>
      </c>
      <c r="R318">
        <f>VLOOKUP($C318,'[1]PoB AS'!$C$1:$T$898,17,FALSE)</f>
        <v>2</v>
      </c>
      <c r="S318">
        <f>VLOOKUP($C318,'[1]PoB AS'!$C$1:$T$898,18,FALSE)</f>
        <v>9</v>
      </c>
      <c r="T318">
        <f>VLOOKUP($C318,'[1]PoB PI'!$C$1:$T$898,17,FALSE)</f>
        <v>0</v>
      </c>
      <c r="U318">
        <f>VLOOKUP($C318,'[1]PoB PI'!$C$1:$T$898,18,FALSE)</f>
        <v>0</v>
      </c>
      <c r="V318">
        <f>VLOOKUP($C318,'[1]PoB OT'!$C$1:$T$898,17,FALSE)</f>
        <v>43</v>
      </c>
      <c r="W318">
        <f>VLOOKUP($C318,'[1]PoB OT'!$C$1:$T$898,18,FALSE)</f>
        <v>23</v>
      </c>
      <c r="X318">
        <f>VLOOKUP($C318,'[1]PoB 2R'!$C$1:$T$898,17,FALSE)</f>
        <v>21</v>
      </c>
      <c r="Y318">
        <f>VLOOKUP($C318,'[1]PoB 2R'!$C$1:$T$898,18,FALSE)</f>
        <v>2</v>
      </c>
    </row>
    <row r="319" spans="1:25" x14ac:dyDescent="0.25">
      <c r="A319" t="s">
        <v>1030</v>
      </c>
      <c r="B319">
        <v>5349415</v>
      </c>
      <c r="C319" t="s">
        <v>1031</v>
      </c>
      <c r="D319">
        <f t="shared" si="12"/>
        <v>6403</v>
      </c>
      <c r="E319">
        <f>VLOOKUP($C319,'[1]PoB Totals'!$C$3:$T$898,17,FALSE)</f>
        <v>5633</v>
      </c>
      <c r="F319">
        <f>VLOOKUP($C319,'[1]PoB Totals'!$C$3:$T$898,18,FALSE)</f>
        <v>770</v>
      </c>
      <c r="G319">
        <f t="shared" si="13"/>
        <v>6403</v>
      </c>
      <c r="H319">
        <f t="shared" si="14"/>
        <v>5633</v>
      </c>
      <c r="I319">
        <f t="shared" si="14"/>
        <v>770</v>
      </c>
      <c r="J319">
        <f>VLOOKUP($C319,'[1]PoB WN'!$C$1:$T$898,17,FALSE)</f>
        <v>5120</v>
      </c>
      <c r="K319">
        <f>VLOOKUP($C319,'[1]PoB WN'!$C$1:$T$898,18,FALSE)</f>
        <v>455</v>
      </c>
      <c r="L319">
        <f>VLOOKUP($C319,'[1]PoB WH'!$C$1:$T$898,17,FALSE)</f>
        <v>94</v>
      </c>
      <c r="M319">
        <f>VLOOKUP($C319,'[1]PoB WH'!$C$1:$T$898,18,FALSE)</f>
        <v>6</v>
      </c>
      <c r="N319">
        <f>VLOOKUP($C319,'[1]PoB AA'!$C$1:$T$898,17,FALSE)</f>
        <v>53</v>
      </c>
      <c r="O319">
        <f>VLOOKUP($C319,'[1]PoB AA'!$C$1:$T$898,18,FALSE)</f>
        <v>0</v>
      </c>
      <c r="P319">
        <f>VLOOKUP($C319,'[1]PoB AI'!$C$1:$T$898,17,FALSE)</f>
        <v>19</v>
      </c>
      <c r="Q319">
        <f>VLOOKUP($C319,'[1]PoB AI'!$C$1:$T$898,18,FALSE)</f>
        <v>0</v>
      </c>
      <c r="R319">
        <f>VLOOKUP($C319,'[1]PoB AS'!$C$1:$T$898,17,FALSE)</f>
        <v>129</v>
      </c>
      <c r="S319">
        <f>VLOOKUP($C319,'[1]PoB AS'!$C$1:$T$898,18,FALSE)</f>
        <v>283</v>
      </c>
      <c r="T319">
        <f>VLOOKUP($C319,'[1]PoB PI'!$C$1:$T$898,17,FALSE)</f>
        <v>16</v>
      </c>
      <c r="U319">
        <f>VLOOKUP($C319,'[1]PoB PI'!$C$1:$T$898,18,FALSE)</f>
        <v>0</v>
      </c>
      <c r="V319">
        <f>VLOOKUP($C319,'[1]PoB OT'!$C$1:$T$898,17,FALSE)</f>
        <v>80</v>
      </c>
      <c r="W319">
        <f>VLOOKUP($C319,'[1]PoB OT'!$C$1:$T$898,18,FALSE)</f>
        <v>0</v>
      </c>
      <c r="X319">
        <f>VLOOKUP($C319,'[1]PoB 2R'!$C$1:$T$898,17,FALSE)</f>
        <v>122</v>
      </c>
      <c r="Y319">
        <f>VLOOKUP($C319,'[1]PoB 2R'!$C$1:$T$898,18,FALSE)</f>
        <v>26</v>
      </c>
    </row>
    <row r="320" spans="1:25" x14ac:dyDescent="0.25">
      <c r="A320" t="s">
        <v>1032</v>
      </c>
      <c r="B320">
        <v>5349485</v>
      </c>
      <c r="C320" t="s">
        <v>1033</v>
      </c>
      <c r="D320">
        <f t="shared" si="12"/>
        <v>4893</v>
      </c>
      <c r="E320">
        <f>VLOOKUP($C320,'[1]PoB Totals'!$C$3:$T$898,17,FALSE)</f>
        <v>4514</v>
      </c>
      <c r="F320">
        <f>VLOOKUP($C320,'[1]PoB Totals'!$C$3:$T$898,18,FALSE)</f>
        <v>379</v>
      </c>
      <c r="G320">
        <f t="shared" si="13"/>
        <v>4893</v>
      </c>
      <c r="H320">
        <f t="shared" si="14"/>
        <v>4514</v>
      </c>
      <c r="I320">
        <f t="shared" si="14"/>
        <v>379</v>
      </c>
      <c r="J320">
        <f>VLOOKUP($C320,'[1]PoB WN'!$C$1:$T$898,17,FALSE)</f>
        <v>4187</v>
      </c>
      <c r="K320">
        <f>VLOOKUP($C320,'[1]PoB WN'!$C$1:$T$898,18,FALSE)</f>
        <v>181</v>
      </c>
      <c r="L320">
        <f>VLOOKUP($C320,'[1]PoB WH'!$C$1:$T$898,17,FALSE)</f>
        <v>38</v>
      </c>
      <c r="M320">
        <f>VLOOKUP($C320,'[1]PoB WH'!$C$1:$T$898,18,FALSE)</f>
        <v>40</v>
      </c>
      <c r="N320">
        <f>VLOOKUP($C320,'[1]PoB AA'!$C$1:$T$898,17,FALSE)</f>
        <v>27</v>
      </c>
      <c r="O320">
        <f>VLOOKUP($C320,'[1]PoB AA'!$C$1:$T$898,18,FALSE)</f>
        <v>9</v>
      </c>
      <c r="P320">
        <f>VLOOKUP($C320,'[1]PoB AI'!$C$1:$T$898,17,FALSE)</f>
        <v>20</v>
      </c>
      <c r="Q320">
        <f>VLOOKUP($C320,'[1]PoB AI'!$C$1:$T$898,18,FALSE)</f>
        <v>0</v>
      </c>
      <c r="R320">
        <f>VLOOKUP($C320,'[1]PoB AS'!$C$1:$T$898,17,FALSE)</f>
        <v>43</v>
      </c>
      <c r="S320">
        <f>VLOOKUP($C320,'[1]PoB AS'!$C$1:$T$898,18,FALSE)</f>
        <v>92</v>
      </c>
      <c r="T320">
        <f>VLOOKUP($C320,'[1]PoB PI'!$C$1:$T$898,17,FALSE)</f>
        <v>0</v>
      </c>
      <c r="U320">
        <f>VLOOKUP($C320,'[1]PoB PI'!$C$1:$T$898,18,FALSE)</f>
        <v>0</v>
      </c>
      <c r="V320">
        <f>VLOOKUP($C320,'[1]PoB OT'!$C$1:$T$898,17,FALSE)</f>
        <v>75</v>
      </c>
      <c r="W320">
        <f>VLOOKUP($C320,'[1]PoB OT'!$C$1:$T$898,18,FALSE)</f>
        <v>38</v>
      </c>
      <c r="X320">
        <f>VLOOKUP($C320,'[1]PoB 2R'!$C$1:$T$898,17,FALSE)</f>
        <v>124</v>
      </c>
      <c r="Y320">
        <f>VLOOKUP($C320,'[1]PoB 2R'!$C$1:$T$898,18,FALSE)</f>
        <v>19</v>
      </c>
    </row>
    <row r="321" spans="1:25" x14ac:dyDescent="0.25">
      <c r="A321" t="s">
        <v>1034</v>
      </c>
      <c r="B321">
        <v>5349555</v>
      </c>
      <c r="C321" t="s">
        <v>1035</v>
      </c>
      <c r="D321">
        <f t="shared" si="12"/>
        <v>659</v>
      </c>
      <c r="E321">
        <f>VLOOKUP($C321,'[1]PoB Totals'!$C$3:$T$898,17,FALSE)</f>
        <v>629</v>
      </c>
      <c r="F321">
        <f>VLOOKUP($C321,'[1]PoB Totals'!$C$3:$T$898,18,FALSE)</f>
        <v>30</v>
      </c>
      <c r="G321">
        <f t="shared" si="13"/>
        <v>659</v>
      </c>
      <c r="H321">
        <f t="shared" si="14"/>
        <v>629</v>
      </c>
      <c r="I321">
        <f t="shared" si="14"/>
        <v>30</v>
      </c>
      <c r="J321">
        <f>VLOOKUP($C321,'[1]PoB WN'!$C$1:$T$898,17,FALSE)</f>
        <v>598</v>
      </c>
      <c r="K321">
        <f>VLOOKUP($C321,'[1]PoB WN'!$C$1:$T$898,18,FALSE)</f>
        <v>8</v>
      </c>
      <c r="L321">
        <f>VLOOKUP($C321,'[1]PoB WH'!$C$1:$T$898,17,FALSE)</f>
        <v>4</v>
      </c>
      <c r="M321">
        <f>VLOOKUP($C321,'[1]PoB WH'!$C$1:$T$898,18,FALSE)</f>
        <v>2</v>
      </c>
      <c r="N321">
        <f>VLOOKUP($C321,'[1]PoB AA'!$C$1:$T$898,17,FALSE)</f>
        <v>5</v>
      </c>
      <c r="O321">
        <f>VLOOKUP($C321,'[1]PoB AA'!$C$1:$T$898,18,FALSE)</f>
        <v>0</v>
      </c>
      <c r="P321">
        <f>VLOOKUP($C321,'[1]PoB AI'!$C$1:$T$898,17,FALSE)</f>
        <v>14</v>
      </c>
      <c r="Q321">
        <f>VLOOKUP($C321,'[1]PoB AI'!$C$1:$T$898,18,FALSE)</f>
        <v>0</v>
      </c>
      <c r="R321">
        <f>VLOOKUP($C321,'[1]PoB AS'!$C$1:$T$898,17,FALSE)</f>
        <v>4</v>
      </c>
      <c r="S321">
        <f>VLOOKUP($C321,'[1]PoB AS'!$C$1:$T$898,18,FALSE)</f>
        <v>8</v>
      </c>
      <c r="T321">
        <f>VLOOKUP($C321,'[1]PoB PI'!$C$1:$T$898,17,FALSE)</f>
        <v>0</v>
      </c>
      <c r="U321">
        <f>VLOOKUP($C321,'[1]PoB PI'!$C$1:$T$898,18,FALSE)</f>
        <v>0</v>
      </c>
      <c r="V321">
        <f>VLOOKUP($C321,'[1]PoB OT'!$C$1:$T$898,17,FALSE)</f>
        <v>0</v>
      </c>
      <c r="W321">
        <f>VLOOKUP($C321,'[1]PoB OT'!$C$1:$T$898,18,FALSE)</f>
        <v>12</v>
      </c>
      <c r="X321">
        <f>VLOOKUP($C321,'[1]PoB 2R'!$C$1:$T$898,17,FALSE)</f>
        <v>4</v>
      </c>
      <c r="Y321">
        <f>VLOOKUP($C321,'[1]PoB 2R'!$C$1:$T$898,18,FALSE)</f>
        <v>0</v>
      </c>
    </row>
    <row r="322" spans="1:25" x14ac:dyDescent="0.25">
      <c r="A322" t="s">
        <v>1556</v>
      </c>
      <c r="B322">
        <v>5349665</v>
      </c>
      <c r="C322" t="s">
        <v>1557</v>
      </c>
      <c r="D322">
        <f t="shared" si="12"/>
        <v>25979</v>
      </c>
      <c r="E322">
        <f>VLOOKUP($C322,'[1]PoB Totals'!$C$3:$T$898,17,FALSE)</f>
        <v>23555</v>
      </c>
      <c r="F322">
        <f>VLOOKUP($C322,'[1]PoB Totals'!$C$3:$T$898,18,FALSE)</f>
        <v>2424</v>
      </c>
      <c r="G322">
        <f t="shared" si="13"/>
        <v>25979</v>
      </c>
      <c r="H322">
        <f t="shared" si="14"/>
        <v>23555</v>
      </c>
      <c r="I322">
        <f t="shared" si="14"/>
        <v>2424</v>
      </c>
      <c r="J322">
        <f>VLOOKUP($C322,'[1]PoB WN'!$C$1:$T$898,17,FALSE)</f>
        <v>21222</v>
      </c>
      <c r="K322">
        <f>VLOOKUP($C322,'[1]PoB WN'!$C$1:$T$898,18,FALSE)</f>
        <v>1002</v>
      </c>
      <c r="L322">
        <f>VLOOKUP($C322,'[1]PoB WH'!$C$1:$T$898,17,FALSE)</f>
        <v>491</v>
      </c>
      <c r="M322">
        <f>VLOOKUP($C322,'[1]PoB WH'!$C$1:$T$898,18,FALSE)</f>
        <v>103</v>
      </c>
      <c r="N322">
        <f>VLOOKUP($C322,'[1]PoB AA'!$C$1:$T$898,17,FALSE)</f>
        <v>178</v>
      </c>
      <c r="O322">
        <f>VLOOKUP($C322,'[1]PoB AA'!$C$1:$T$898,18,FALSE)</f>
        <v>73</v>
      </c>
      <c r="P322">
        <f>VLOOKUP($C322,'[1]PoB AI'!$C$1:$T$898,17,FALSE)</f>
        <v>130</v>
      </c>
      <c r="Q322">
        <f>VLOOKUP($C322,'[1]PoB AI'!$C$1:$T$898,18,FALSE)</f>
        <v>9</v>
      </c>
      <c r="R322">
        <f>VLOOKUP($C322,'[1]PoB AS'!$C$1:$T$898,17,FALSE)</f>
        <v>570</v>
      </c>
      <c r="S322">
        <f>VLOOKUP($C322,'[1]PoB AS'!$C$1:$T$898,18,FALSE)</f>
        <v>967</v>
      </c>
      <c r="T322">
        <f>VLOOKUP($C322,'[1]PoB PI'!$C$1:$T$898,17,FALSE)</f>
        <v>0</v>
      </c>
      <c r="U322">
        <f>VLOOKUP($C322,'[1]PoB PI'!$C$1:$T$898,18,FALSE)</f>
        <v>0</v>
      </c>
      <c r="V322">
        <f>VLOOKUP($C322,'[1]PoB OT'!$C$1:$T$898,17,FALSE)</f>
        <v>153</v>
      </c>
      <c r="W322">
        <f>VLOOKUP($C322,'[1]PoB OT'!$C$1:$T$898,18,FALSE)</f>
        <v>210</v>
      </c>
      <c r="X322">
        <f>VLOOKUP($C322,'[1]PoB 2R'!$C$1:$T$898,17,FALSE)</f>
        <v>811</v>
      </c>
      <c r="Y322">
        <f>VLOOKUP($C322,'[1]PoB 2R'!$C$1:$T$898,18,FALSE)</f>
        <v>60</v>
      </c>
    </row>
    <row r="323" spans="1:25" x14ac:dyDescent="0.25">
      <c r="A323" t="s">
        <v>1040</v>
      </c>
      <c r="B323">
        <v>5349992</v>
      </c>
      <c r="C323" t="s">
        <v>1041</v>
      </c>
      <c r="D323">
        <f t="shared" ref="D323:D386" si="15">SUM(E323,F323)</f>
        <v>21319</v>
      </c>
      <c r="E323">
        <f>VLOOKUP($C323,'[1]PoB Totals'!$C$3:$T$898,17,FALSE)</f>
        <v>19845</v>
      </c>
      <c r="F323">
        <f>VLOOKUP($C323,'[1]PoB Totals'!$C$3:$T$898,18,FALSE)</f>
        <v>1474</v>
      </c>
      <c r="G323">
        <f t="shared" ref="G323:G386" si="16">H323+I323</f>
        <v>21319</v>
      </c>
      <c r="H323">
        <f t="shared" ref="H323:I386" si="17">SUM(J323,L323,N323,P323,R323,T323,V323,X323)</f>
        <v>19845</v>
      </c>
      <c r="I323">
        <f t="shared" si="17"/>
        <v>1474</v>
      </c>
      <c r="J323">
        <f>VLOOKUP($C323,'[1]PoB WN'!$C$1:$T$898,17,FALSE)</f>
        <v>18014</v>
      </c>
      <c r="K323">
        <f>VLOOKUP($C323,'[1]PoB WN'!$C$1:$T$898,18,FALSE)</f>
        <v>747</v>
      </c>
      <c r="L323">
        <f>VLOOKUP($C323,'[1]PoB WH'!$C$1:$T$898,17,FALSE)</f>
        <v>344</v>
      </c>
      <c r="M323">
        <f>VLOOKUP($C323,'[1]PoB WH'!$C$1:$T$898,18,FALSE)</f>
        <v>87</v>
      </c>
      <c r="N323">
        <f>VLOOKUP($C323,'[1]PoB AA'!$C$1:$T$898,17,FALSE)</f>
        <v>149</v>
      </c>
      <c r="O323">
        <f>VLOOKUP($C323,'[1]PoB AA'!$C$1:$T$898,18,FALSE)</f>
        <v>14</v>
      </c>
      <c r="P323">
        <f>VLOOKUP($C323,'[1]PoB AI'!$C$1:$T$898,17,FALSE)</f>
        <v>159</v>
      </c>
      <c r="Q323">
        <f>VLOOKUP($C323,'[1]PoB AI'!$C$1:$T$898,18,FALSE)</f>
        <v>7</v>
      </c>
      <c r="R323">
        <f>VLOOKUP($C323,'[1]PoB AS'!$C$1:$T$898,17,FALSE)</f>
        <v>303</v>
      </c>
      <c r="S323">
        <f>VLOOKUP($C323,'[1]PoB AS'!$C$1:$T$898,18,FALSE)</f>
        <v>411</v>
      </c>
      <c r="T323">
        <f>VLOOKUP($C323,'[1]PoB PI'!$C$1:$T$898,17,FALSE)</f>
        <v>23</v>
      </c>
      <c r="U323">
        <f>VLOOKUP($C323,'[1]PoB PI'!$C$1:$T$898,18,FALSE)</f>
        <v>0</v>
      </c>
      <c r="V323">
        <f>VLOOKUP($C323,'[1]PoB OT'!$C$1:$T$898,17,FALSE)</f>
        <v>338</v>
      </c>
      <c r="W323">
        <f>VLOOKUP($C323,'[1]PoB OT'!$C$1:$T$898,18,FALSE)</f>
        <v>145</v>
      </c>
      <c r="X323">
        <f>VLOOKUP($C323,'[1]PoB 2R'!$C$1:$T$898,17,FALSE)</f>
        <v>515</v>
      </c>
      <c r="Y323">
        <f>VLOOKUP($C323,'[1]PoB 2R'!$C$1:$T$898,18,FALSE)</f>
        <v>63</v>
      </c>
    </row>
    <row r="324" spans="1:25" x14ac:dyDescent="0.25">
      <c r="A324" t="s">
        <v>1042</v>
      </c>
      <c r="B324">
        <v>5350007</v>
      </c>
      <c r="C324" t="s">
        <v>1043</v>
      </c>
      <c r="D324">
        <f t="shared" si="15"/>
        <v>795</v>
      </c>
      <c r="E324">
        <f>VLOOKUP($C324,'[1]PoB Totals'!$C$3:$T$898,17,FALSE)</f>
        <v>702</v>
      </c>
      <c r="F324">
        <f>VLOOKUP($C324,'[1]PoB Totals'!$C$3:$T$898,18,FALSE)</f>
        <v>93</v>
      </c>
      <c r="G324">
        <f t="shared" si="16"/>
        <v>795</v>
      </c>
      <c r="H324">
        <f t="shared" si="17"/>
        <v>702</v>
      </c>
      <c r="I324">
        <f t="shared" si="17"/>
        <v>93</v>
      </c>
      <c r="J324">
        <f>VLOOKUP($C324,'[1]PoB WN'!$C$1:$T$898,17,FALSE)</f>
        <v>58</v>
      </c>
      <c r="K324">
        <f>VLOOKUP($C324,'[1]PoB WN'!$C$1:$T$898,18,FALSE)</f>
        <v>0</v>
      </c>
      <c r="L324">
        <f>VLOOKUP($C324,'[1]PoB WH'!$C$1:$T$898,17,FALSE)</f>
        <v>0</v>
      </c>
      <c r="M324">
        <f>VLOOKUP($C324,'[1]PoB WH'!$C$1:$T$898,18,FALSE)</f>
        <v>0</v>
      </c>
      <c r="N324">
        <f>VLOOKUP($C324,'[1]PoB AA'!$C$1:$T$898,17,FALSE)</f>
        <v>0</v>
      </c>
      <c r="O324">
        <f>VLOOKUP($C324,'[1]PoB AA'!$C$1:$T$898,18,FALSE)</f>
        <v>0</v>
      </c>
      <c r="P324">
        <f>VLOOKUP($C324,'[1]PoB AI'!$C$1:$T$898,17,FALSE)</f>
        <v>585</v>
      </c>
      <c r="Q324">
        <f>VLOOKUP($C324,'[1]PoB AI'!$C$1:$T$898,18,FALSE)</f>
        <v>15</v>
      </c>
      <c r="R324">
        <f>VLOOKUP($C324,'[1]PoB AS'!$C$1:$T$898,17,FALSE)</f>
        <v>0</v>
      </c>
      <c r="S324">
        <f>VLOOKUP($C324,'[1]PoB AS'!$C$1:$T$898,18,FALSE)</f>
        <v>0</v>
      </c>
      <c r="T324">
        <f>VLOOKUP($C324,'[1]PoB PI'!$C$1:$T$898,17,FALSE)</f>
        <v>0</v>
      </c>
      <c r="U324">
        <f>VLOOKUP($C324,'[1]PoB PI'!$C$1:$T$898,18,FALSE)</f>
        <v>0</v>
      </c>
      <c r="V324">
        <f>VLOOKUP($C324,'[1]PoB OT'!$C$1:$T$898,17,FALSE)</f>
        <v>36</v>
      </c>
      <c r="W324">
        <f>VLOOKUP($C324,'[1]PoB OT'!$C$1:$T$898,18,FALSE)</f>
        <v>78</v>
      </c>
      <c r="X324">
        <f>VLOOKUP($C324,'[1]PoB 2R'!$C$1:$T$898,17,FALSE)</f>
        <v>23</v>
      </c>
      <c r="Y324">
        <f>VLOOKUP($C324,'[1]PoB 2R'!$C$1:$T$898,18,FALSE)</f>
        <v>0</v>
      </c>
    </row>
    <row r="325" spans="1:25" x14ac:dyDescent="0.25">
      <c r="A325" t="s">
        <v>1044</v>
      </c>
      <c r="B325">
        <v>5350045</v>
      </c>
      <c r="C325" t="s">
        <v>1045</v>
      </c>
      <c r="D325">
        <f t="shared" si="15"/>
        <v>343</v>
      </c>
      <c r="E325">
        <f>VLOOKUP($C325,'[1]PoB Totals'!$C$3:$T$898,17,FALSE)</f>
        <v>327</v>
      </c>
      <c r="F325">
        <f>VLOOKUP($C325,'[1]PoB Totals'!$C$3:$T$898,18,FALSE)</f>
        <v>16</v>
      </c>
      <c r="G325">
        <f t="shared" si="16"/>
        <v>343</v>
      </c>
      <c r="H325">
        <f t="shared" si="17"/>
        <v>327</v>
      </c>
      <c r="I325">
        <f t="shared" si="17"/>
        <v>16</v>
      </c>
      <c r="J325">
        <f>VLOOKUP($C325,'[1]PoB WN'!$C$1:$T$898,17,FALSE)</f>
        <v>293</v>
      </c>
      <c r="K325">
        <f>VLOOKUP($C325,'[1]PoB WN'!$C$1:$T$898,18,FALSE)</f>
        <v>16</v>
      </c>
      <c r="L325">
        <f>VLOOKUP($C325,'[1]PoB WH'!$C$1:$T$898,17,FALSE)</f>
        <v>6</v>
      </c>
      <c r="M325">
        <f>VLOOKUP($C325,'[1]PoB WH'!$C$1:$T$898,18,FALSE)</f>
        <v>0</v>
      </c>
      <c r="N325">
        <f>VLOOKUP($C325,'[1]PoB AA'!$C$1:$T$898,17,FALSE)</f>
        <v>0</v>
      </c>
      <c r="O325">
        <f>VLOOKUP($C325,'[1]PoB AA'!$C$1:$T$898,18,FALSE)</f>
        <v>0</v>
      </c>
      <c r="P325">
        <f>VLOOKUP($C325,'[1]PoB AI'!$C$1:$T$898,17,FALSE)</f>
        <v>2</v>
      </c>
      <c r="Q325">
        <f>VLOOKUP($C325,'[1]PoB AI'!$C$1:$T$898,18,FALSE)</f>
        <v>0</v>
      </c>
      <c r="R325">
        <f>VLOOKUP($C325,'[1]PoB AS'!$C$1:$T$898,17,FALSE)</f>
        <v>0</v>
      </c>
      <c r="S325">
        <f>VLOOKUP($C325,'[1]PoB AS'!$C$1:$T$898,18,FALSE)</f>
        <v>0</v>
      </c>
      <c r="T325">
        <f>VLOOKUP($C325,'[1]PoB PI'!$C$1:$T$898,17,FALSE)</f>
        <v>0</v>
      </c>
      <c r="U325">
        <f>VLOOKUP($C325,'[1]PoB PI'!$C$1:$T$898,18,FALSE)</f>
        <v>0</v>
      </c>
      <c r="V325">
        <f>VLOOKUP($C325,'[1]PoB OT'!$C$1:$T$898,17,FALSE)</f>
        <v>23</v>
      </c>
      <c r="W325">
        <f>VLOOKUP($C325,'[1]PoB OT'!$C$1:$T$898,18,FALSE)</f>
        <v>0</v>
      </c>
      <c r="X325">
        <f>VLOOKUP($C325,'[1]PoB 2R'!$C$1:$T$898,17,FALSE)</f>
        <v>3</v>
      </c>
      <c r="Y325">
        <f>VLOOKUP($C325,'[1]PoB 2R'!$C$1:$T$898,18,FALSE)</f>
        <v>0</v>
      </c>
    </row>
    <row r="326" spans="1:25" x14ac:dyDescent="0.25">
      <c r="A326" t="s">
        <v>1558</v>
      </c>
      <c r="B326">
        <v>5350175</v>
      </c>
      <c r="C326" t="s">
        <v>1559</v>
      </c>
      <c r="D326">
        <f t="shared" si="15"/>
        <v>426</v>
      </c>
      <c r="E326">
        <f>VLOOKUP($C326,'[1]PoB Totals'!$C$3:$T$898,17,FALSE)</f>
        <v>418</v>
      </c>
      <c r="F326">
        <f>VLOOKUP($C326,'[1]PoB Totals'!$C$3:$T$898,18,FALSE)</f>
        <v>8</v>
      </c>
      <c r="G326">
        <f t="shared" si="16"/>
        <v>426</v>
      </c>
      <c r="H326">
        <f t="shared" si="17"/>
        <v>418</v>
      </c>
      <c r="I326">
        <f t="shared" si="17"/>
        <v>8</v>
      </c>
      <c r="J326">
        <f>VLOOKUP($C326,'[1]PoB WN'!$C$1:$T$898,17,FALSE)</f>
        <v>392</v>
      </c>
      <c r="K326">
        <f>VLOOKUP($C326,'[1]PoB WN'!$C$1:$T$898,18,FALSE)</f>
        <v>8</v>
      </c>
      <c r="L326">
        <f>VLOOKUP($C326,'[1]PoB WH'!$C$1:$T$898,17,FALSE)</f>
        <v>0</v>
      </c>
      <c r="M326">
        <f>VLOOKUP($C326,'[1]PoB WH'!$C$1:$T$898,18,FALSE)</f>
        <v>0</v>
      </c>
      <c r="N326">
        <f>VLOOKUP($C326,'[1]PoB AA'!$C$1:$T$898,17,FALSE)</f>
        <v>0</v>
      </c>
      <c r="O326">
        <f>VLOOKUP($C326,'[1]PoB AA'!$C$1:$T$898,18,FALSE)</f>
        <v>0</v>
      </c>
      <c r="P326">
        <f>VLOOKUP($C326,'[1]PoB AI'!$C$1:$T$898,17,FALSE)</f>
        <v>19</v>
      </c>
      <c r="Q326">
        <f>VLOOKUP($C326,'[1]PoB AI'!$C$1:$T$898,18,FALSE)</f>
        <v>0</v>
      </c>
      <c r="R326">
        <f>VLOOKUP($C326,'[1]PoB AS'!$C$1:$T$898,17,FALSE)</f>
        <v>0</v>
      </c>
      <c r="S326">
        <f>VLOOKUP($C326,'[1]PoB AS'!$C$1:$T$898,18,FALSE)</f>
        <v>0</v>
      </c>
      <c r="T326">
        <f>VLOOKUP($C326,'[1]PoB PI'!$C$1:$T$898,17,FALSE)</f>
        <v>0</v>
      </c>
      <c r="U326">
        <f>VLOOKUP($C326,'[1]PoB PI'!$C$1:$T$898,18,FALSE)</f>
        <v>0</v>
      </c>
      <c r="V326">
        <f>VLOOKUP($C326,'[1]PoB OT'!$C$1:$T$898,17,FALSE)</f>
        <v>0</v>
      </c>
      <c r="W326">
        <f>VLOOKUP($C326,'[1]PoB OT'!$C$1:$T$898,18,FALSE)</f>
        <v>0</v>
      </c>
      <c r="X326">
        <f>VLOOKUP($C326,'[1]PoB 2R'!$C$1:$T$898,17,FALSE)</f>
        <v>7</v>
      </c>
      <c r="Y326">
        <f>VLOOKUP($C326,'[1]PoB 2R'!$C$1:$T$898,18,FALSE)</f>
        <v>0</v>
      </c>
    </row>
    <row r="327" spans="1:25" x14ac:dyDescent="0.25">
      <c r="A327" t="s">
        <v>1048</v>
      </c>
      <c r="B327">
        <v>5350183</v>
      </c>
      <c r="C327" t="s">
        <v>1049</v>
      </c>
      <c r="D327">
        <f t="shared" si="15"/>
        <v>391</v>
      </c>
      <c r="E327">
        <f>VLOOKUP($C327,'[1]PoB Totals'!$C$3:$T$898,17,FALSE)</f>
        <v>391</v>
      </c>
      <c r="F327">
        <f>VLOOKUP($C327,'[1]PoB Totals'!$C$3:$T$898,18,FALSE)</f>
        <v>0</v>
      </c>
      <c r="G327">
        <f t="shared" si="16"/>
        <v>391</v>
      </c>
      <c r="H327">
        <f t="shared" si="17"/>
        <v>391</v>
      </c>
      <c r="I327">
        <f t="shared" si="17"/>
        <v>0</v>
      </c>
      <c r="J327">
        <f>VLOOKUP($C327,'[1]PoB WN'!$C$1:$T$898,17,FALSE)</f>
        <v>391</v>
      </c>
      <c r="K327">
        <f>VLOOKUP($C327,'[1]PoB WN'!$C$1:$T$898,18,FALSE)</f>
        <v>0</v>
      </c>
      <c r="L327">
        <f>VLOOKUP($C327,'[1]PoB WH'!$C$1:$T$898,17,FALSE)</f>
        <v>0</v>
      </c>
      <c r="M327">
        <f>VLOOKUP($C327,'[1]PoB WH'!$C$1:$T$898,18,FALSE)</f>
        <v>0</v>
      </c>
      <c r="N327">
        <f>VLOOKUP($C327,'[1]PoB AA'!$C$1:$T$898,17,FALSE)</f>
        <v>0</v>
      </c>
      <c r="O327">
        <f>VLOOKUP($C327,'[1]PoB AA'!$C$1:$T$898,18,FALSE)</f>
        <v>0</v>
      </c>
      <c r="P327">
        <f>VLOOKUP($C327,'[1]PoB AI'!$C$1:$T$898,17,FALSE)</f>
        <v>0</v>
      </c>
      <c r="Q327">
        <f>VLOOKUP($C327,'[1]PoB AI'!$C$1:$T$898,18,FALSE)</f>
        <v>0</v>
      </c>
      <c r="R327">
        <f>VLOOKUP($C327,'[1]PoB AS'!$C$1:$T$898,17,FALSE)</f>
        <v>0</v>
      </c>
      <c r="S327">
        <f>VLOOKUP($C327,'[1]PoB AS'!$C$1:$T$898,18,FALSE)</f>
        <v>0</v>
      </c>
      <c r="T327">
        <f>VLOOKUP($C327,'[1]PoB PI'!$C$1:$T$898,17,FALSE)</f>
        <v>0</v>
      </c>
      <c r="U327">
        <f>VLOOKUP($C327,'[1]PoB PI'!$C$1:$T$898,18,FALSE)</f>
        <v>0</v>
      </c>
      <c r="V327">
        <f>VLOOKUP($C327,'[1]PoB OT'!$C$1:$T$898,17,FALSE)</f>
        <v>0</v>
      </c>
      <c r="W327">
        <f>VLOOKUP($C327,'[1]PoB OT'!$C$1:$T$898,18,FALSE)</f>
        <v>0</v>
      </c>
      <c r="X327">
        <f>VLOOKUP($C327,'[1]PoB 2R'!$C$1:$T$898,17,FALSE)</f>
        <v>0</v>
      </c>
      <c r="Y327">
        <f>VLOOKUP($C327,'[1]PoB 2R'!$C$1:$T$898,18,FALSE)</f>
        <v>0</v>
      </c>
    </row>
    <row r="328" spans="1:25" x14ac:dyDescent="0.25">
      <c r="A328" t="s">
        <v>1560</v>
      </c>
      <c r="B328">
        <v>5350191</v>
      </c>
      <c r="C328" t="s">
        <v>1561</v>
      </c>
      <c r="D328">
        <f t="shared" si="15"/>
        <v>2128</v>
      </c>
      <c r="E328">
        <f>VLOOKUP($C328,'[1]PoB Totals'!$C$3:$T$898,17,FALSE)</f>
        <v>2060</v>
      </c>
      <c r="F328">
        <f>VLOOKUP($C328,'[1]PoB Totals'!$C$3:$T$898,18,FALSE)</f>
        <v>68</v>
      </c>
      <c r="G328">
        <f t="shared" si="16"/>
        <v>2128</v>
      </c>
      <c r="H328">
        <f t="shared" si="17"/>
        <v>2060</v>
      </c>
      <c r="I328">
        <f t="shared" si="17"/>
        <v>68</v>
      </c>
      <c r="J328">
        <f>VLOOKUP($C328,'[1]PoB WN'!$C$1:$T$898,17,FALSE)</f>
        <v>1917</v>
      </c>
      <c r="K328">
        <f>VLOOKUP($C328,'[1]PoB WN'!$C$1:$T$898,18,FALSE)</f>
        <v>37</v>
      </c>
      <c r="L328">
        <f>VLOOKUP($C328,'[1]PoB WH'!$C$1:$T$898,17,FALSE)</f>
        <v>25</v>
      </c>
      <c r="M328">
        <f>VLOOKUP($C328,'[1]PoB WH'!$C$1:$T$898,18,FALSE)</f>
        <v>8</v>
      </c>
      <c r="N328">
        <f>VLOOKUP($C328,'[1]PoB AA'!$C$1:$T$898,17,FALSE)</f>
        <v>0</v>
      </c>
      <c r="O328">
        <f>VLOOKUP($C328,'[1]PoB AA'!$C$1:$T$898,18,FALSE)</f>
        <v>0</v>
      </c>
      <c r="P328">
        <f>VLOOKUP($C328,'[1]PoB AI'!$C$1:$T$898,17,FALSE)</f>
        <v>32</v>
      </c>
      <c r="Q328">
        <f>VLOOKUP($C328,'[1]PoB AI'!$C$1:$T$898,18,FALSE)</f>
        <v>0</v>
      </c>
      <c r="R328">
        <f>VLOOKUP($C328,'[1]PoB AS'!$C$1:$T$898,17,FALSE)</f>
        <v>11</v>
      </c>
      <c r="S328">
        <f>VLOOKUP($C328,'[1]PoB AS'!$C$1:$T$898,18,FALSE)</f>
        <v>16</v>
      </c>
      <c r="T328">
        <f>VLOOKUP($C328,'[1]PoB PI'!$C$1:$T$898,17,FALSE)</f>
        <v>0</v>
      </c>
      <c r="U328">
        <f>VLOOKUP($C328,'[1]PoB PI'!$C$1:$T$898,18,FALSE)</f>
        <v>0</v>
      </c>
      <c r="V328">
        <f>VLOOKUP($C328,'[1]PoB OT'!$C$1:$T$898,17,FALSE)</f>
        <v>9</v>
      </c>
      <c r="W328">
        <f>VLOOKUP($C328,'[1]PoB OT'!$C$1:$T$898,18,FALSE)</f>
        <v>0</v>
      </c>
      <c r="X328">
        <f>VLOOKUP($C328,'[1]PoB 2R'!$C$1:$T$898,17,FALSE)</f>
        <v>66</v>
      </c>
      <c r="Y328">
        <f>VLOOKUP($C328,'[1]PoB 2R'!$C$1:$T$898,18,FALSE)</f>
        <v>7</v>
      </c>
    </row>
    <row r="329" spans="1:25" x14ac:dyDescent="0.25">
      <c r="A329" t="s">
        <v>1052</v>
      </c>
      <c r="B329">
        <v>5350210</v>
      </c>
      <c r="C329" t="s">
        <v>1053</v>
      </c>
      <c r="D329">
        <f t="shared" si="15"/>
        <v>2855</v>
      </c>
      <c r="E329">
        <f>VLOOKUP($C329,'[1]PoB Totals'!$C$3:$T$898,17,FALSE)</f>
        <v>2619</v>
      </c>
      <c r="F329">
        <f>VLOOKUP($C329,'[1]PoB Totals'!$C$3:$T$898,18,FALSE)</f>
        <v>236</v>
      </c>
      <c r="G329">
        <f t="shared" si="16"/>
        <v>2855</v>
      </c>
      <c r="H329">
        <f t="shared" si="17"/>
        <v>2619</v>
      </c>
      <c r="I329">
        <f t="shared" si="17"/>
        <v>236</v>
      </c>
      <c r="J329">
        <f>VLOOKUP($C329,'[1]PoB WN'!$C$1:$T$898,17,FALSE)</f>
        <v>2353</v>
      </c>
      <c r="K329">
        <f>VLOOKUP($C329,'[1]PoB WN'!$C$1:$T$898,18,FALSE)</f>
        <v>106</v>
      </c>
      <c r="L329">
        <f>VLOOKUP($C329,'[1]PoB WH'!$C$1:$T$898,17,FALSE)</f>
        <v>33</v>
      </c>
      <c r="M329">
        <f>VLOOKUP($C329,'[1]PoB WH'!$C$1:$T$898,18,FALSE)</f>
        <v>0</v>
      </c>
      <c r="N329">
        <f>VLOOKUP($C329,'[1]PoB AA'!$C$1:$T$898,17,FALSE)</f>
        <v>22</v>
      </c>
      <c r="O329">
        <f>VLOOKUP($C329,'[1]PoB AA'!$C$1:$T$898,18,FALSE)</f>
        <v>0</v>
      </c>
      <c r="P329">
        <f>VLOOKUP($C329,'[1]PoB AI'!$C$1:$T$898,17,FALSE)</f>
        <v>26</v>
      </c>
      <c r="Q329">
        <f>VLOOKUP($C329,'[1]PoB AI'!$C$1:$T$898,18,FALSE)</f>
        <v>0</v>
      </c>
      <c r="R329">
        <f>VLOOKUP($C329,'[1]PoB AS'!$C$1:$T$898,17,FALSE)</f>
        <v>10</v>
      </c>
      <c r="S329">
        <f>VLOOKUP($C329,'[1]PoB AS'!$C$1:$T$898,18,FALSE)</f>
        <v>7</v>
      </c>
      <c r="T329">
        <f>VLOOKUP($C329,'[1]PoB PI'!$C$1:$T$898,17,FALSE)</f>
        <v>11</v>
      </c>
      <c r="U329">
        <f>VLOOKUP($C329,'[1]PoB PI'!$C$1:$T$898,18,FALSE)</f>
        <v>60</v>
      </c>
      <c r="V329">
        <f>VLOOKUP($C329,'[1]PoB OT'!$C$1:$T$898,17,FALSE)</f>
        <v>18</v>
      </c>
      <c r="W329">
        <f>VLOOKUP($C329,'[1]PoB OT'!$C$1:$T$898,18,FALSE)</f>
        <v>45</v>
      </c>
      <c r="X329">
        <f>VLOOKUP($C329,'[1]PoB 2R'!$C$1:$T$898,17,FALSE)</f>
        <v>146</v>
      </c>
      <c r="Y329">
        <f>VLOOKUP($C329,'[1]PoB 2R'!$C$1:$T$898,18,FALSE)</f>
        <v>18</v>
      </c>
    </row>
    <row r="330" spans="1:25" x14ac:dyDescent="0.25">
      <c r="A330" t="s">
        <v>1054</v>
      </c>
      <c r="B330">
        <v>5350325</v>
      </c>
      <c r="C330" t="s">
        <v>1055</v>
      </c>
      <c r="D330">
        <f t="shared" si="15"/>
        <v>418</v>
      </c>
      <c r="E330">
        <f>VLOOKUP($C330,'[1]PoB Totals'!$C$3:$T$898,17,FALSE)</f>
        <v>418</v>
      </c>
      <c r="F330">
        <f>VLOOKUP($C330,'[1]PoB Totals'!$C$3:$T$898,18,FALSE)</f>
        <v>0</v>
      </c>
      <c r="G330">
        <f t="shared" si="16"/>
        <v>418</v>
      </c>
      <c r="H330">
        <f t="shared" si="17"/>
        <v>418</v>
      </c>
      <c r="I330">
        <f t="shared" si="17"/>
        <v>0</v>
      </c>
      <c r="J330">
        <f>VLOOKUP($C330,'[1]PoB WN'!$C$1:$T$898,17,FALSE)</f>
        <v>405</v>
      </c>
      <c r="K330">
        <f>VLOOKUP($C330,'[1]PoB WN'!$C$1:$T$898,18,FALSE)</f>
        <v>0</v>
      </c>
      <c r="L330">
        <f>VLOOKUP($C330,'[1]PoB WH'!$C$1:$T$898,17,FALSE)</f>
        <v>0</v>
      </c>
      <c r="M330">
        <f>VLOOKUP($C330,'[1]PoB WH'!$C$1:$T$898,18,FALSE)</f>
        <v>0</v>
      </c>
      <c r="N330">
        <f>VLOOKUP($C330,'[1]PoB AA'!$C$1:$T$898,17,FALSE)</f>
        <v>0</v>
      </c>
      <c r="O330">
        <f>VLOOKUP($C330,'[1]PoB AA'!$C$1:$T$898,18,FALSE)</f>
        <v>0</v>
      </c>
      <c r="P330">
        <f>VLOOKUP($C330,'[1]PoB AI'!$C$1:$T$898,17,FALSE)</f>
        <v>0</v>
      </c>
      <c r="Q330">
        <f>VLOOKUP($C330,'[1]PoB AI'!$C$1:$T$898,18,FALSE)</f>
        <v>0</v>
      </c>
      <c r="R330">
        <f>VLOOKUP($C330,'[1]PoB AS'!$C$1:$T$898,17,FALSE)</f>
        <v>2</v>
      </c>
      <c r="S330">
        <f>VLOOKUP($C330,'[1]PoB AS'!$C$1:$T$898,18,FALSE)</f>
        <v>0</v>
      </c>
      <c r="T330">
        <f>VLOOKUP($C330,'[1]PoB PI'!$C$1:$T$898,17,FALSE)</f>
        <v>0</v>
      </c>
      <c r="U330">
        <f>VLOOKUP($C330,'[1]PoB PI'!$C$1:$T$898,18,FALSE)</f>
        <v>0</v>
      </c>
      <c r="V330">
        <f>VLOOKUP($C330,'[1]PoB OT'!$C$1:$T$898,17,FALSE)</f>
        <v>0</v>
      </c>
      <c r="W330">
        <f>VLOOKUP($C330,'[1]PoB OT'!$C$1:$T$898,18,FALSE)</f>
        <v>0</v>
      </c>
      <c r="X330">
        <f>VLOOKUP($C330,'[1]PoB 2R'!$C$1:$T$898,17,FALSE)</f>
        <v>11</v>
      </c>
      <c r="Y330">
        <f>VLOOKUP($C330,'[1]PoB 2R'!$C$1:$T$898,18,FALSE)</f>
        <v>0</v>
      </c>
    </row>
    <row r="331" spans="1:25" x14ac:dyDescent="0.25">
      <c r="A331" t="s">
        <v>1056</v>
      </c>
      <c r="B331">
        <v>5350360</v>
      </c>
      <c r="C331" t="s">
        <v>1057</v>
      </c>
      <c r="D331">
        <f t="shared" si="15"/>
        <v>19905</v>
      </c>
      <c r="E331">
        <f>VLOOKUP($C331,'[1]PoB Totals'!$C$3:$T$898,17,FALSE)</f>
        <v>17116</v>
      </c>
      <c r="F331">
        <f>VLOOKUP($C331,'[1]PoB Totals'!$C$3:$T$898,18,FALSE)</f>
        <v>2789</v>
      </c>
      <c r="G331">
        <f t="shared" si="16"/>
        <v>19905</v>
      </c>
      <c r="H331">
        <f t="shared" si="17"/>
        <v>17116</v>
      </c>
      <c r="I331">
        <f t="shared" si="17"/>
        <v>2789</v>
      </c>
      <c r="J331">
        <f>VLOOKUP($C331,'[1]PoB WN'!$C$1:$T$898,17,FALSE)</f>
        <v>13283</v>
      </c>
      <c r="K331">
        <f>VLOOKUP($C331,'[1]PoB WN'!$C$1:$T$898,18,FALSE)</f>
        <v>900</v>
      </c>
      <c r="L331">
        <f>VLOOKUP($C331,'[1]PoB WH'!$C$1:$T$898,17,FALSE)</f>
        <v>424</v>
      </c>
      <c r="M331">
        <f>VLOOKUP($C331,'[1]PoB WH'!$C$1:$T$898,18,FALSE)</f>
        <v>48</v>
      </c>
      <c r="N331">
        <f>VLOOKUP($C331,'[1]PoB AA'!$C$1:$T$898,17,FALSE)</f>
        <v>1155</v>
      </c>
      <c r="O331">
        <f>VLOOKUP($C331,'[1]PoB AA'!$C$1:$T$898,18,FALSE)</f>
        <v>46</v>
      </c>
      <c r="P331">
        <f>VLOOKUP($C331,'[1]PoB AI'!$C$1:$T$898,17,FALSE)</f>
        <v>255</v>
      </c>
      <c r="Q331">
        <f>VLOOKUP($C331,'[1]PoB AI'!$C$1:$T$898,18,FALSE)</f>
        <v>6</v>
      </c>
      <c r="R331">
        <f>VLOOKUP($C331,'[1]PoB AS'!$C$1:$T$898,17,FALSE)</f>
        <v>432</v>
      </c>
      <c r="S331">
        <f>VLOOKUP($C331,'[1]PoB AS'!$C$1:$T$898,18,FALSE)</f>
        <v>1307</v>
      </c>
      <c r="T331">
        <f>VLOOKUP($C331,'[1]PoB PI'!$C$1:$T$898,17,FALSE)</f>
        <v>89</v>
      </c>
      <c r="U331">
        <f>VLOOKUP($C331,'[1]PoB PI'!$C$1:$T$898,18,FALSE)</f>
        <v>56</v>
      </c>
      <c r="V331">
        <f>VLOOKUP($C331,'[1]PoB OT'!$C$1:$T$898,17,FALSE)</f>
        <v>399</v>
      </c>
      <c r="W331">
        <f>VLOOKUP($C331,'[1]PoB OT'!$C$1:$T$898,18,FALSE)</f>
        <v>147</v>
      </c>
      <c r="X331">
        <f>VLOOKUP($C331,'[1]PoB 2R'!$C$1:$T$898,17,FALSE)</f>
        <v>1079</v>
      </c>
      <c r="Y331">
        <f>VLOOKUP($C331,'[1]PoB 2R'!$C$1:$T$898,18,FALSE)</f>
        <v>279</v>
      </c>
    </row>
    <row r="332" spans="1:25" x14ac:dyDescent="0.25">
      <c r="A332" t="s">
        <v>1058</v>
      </c>
      <c r="B332">
        <v>5350430</v>
      </c>
      <c r="C332" t="s">
        <v>1059</v>
      </c>
      <c r="D332">
        <f t="shared" si="15"/>
        <v>640</v>
      </c>
      <c r="E332">
        <f>VLOOKUP($C332,'[1]PoB Totals'!$C$3:$T$898,17,FALSE)</f>
        <v>616</v>
      </c>
      <c r="F332">
        <f>VLOOKUP($C332,'[1]PoB Totals'!$C$3:$T$898,18,FALSE)</f>
        <v>24</v>
      </c>
      <c r="G332">
        <f t="shared" si="16"/>
        <v>640</v>
      </c>
      <c r="H332">
        <f t="shared" si="17"/>
        <v>616</v>
      </c>
      <c r="I332">
        <f t="shared" si="17"/>
        <v>24</v>
      </c>
      <c r="J332">
        <f>VLOOKUP($C332,'[1]PoB WN'!$C$1:$T$898,17,FALSE)</f>
        <v>464</v>
      </c>
      <c r="K332">
        <f>VLOOKUP($C332,'[1]PoB WN'!$C$1:$T$898,18,FALSE)</f>
        <v>9</v>
      </c>
      <c r="L332">
        <f>VLOOKUP($C332,'[1]PoB WH'!$C$1:$T$898,17,FALSE)</f>
        <v>17</v>
      </c>
      <c r="M332">
        <f>VLOOKUP($C332,'[1]PoB WH'!$C$1:$T$898,18,FALSE)</f>
        <v>7</v>
      </c>
      <c r="N332">
        <f>VLOOKUP($C332,'[1]PoB AA'!$C$1:$T$898,17,FALSE)</f>
        <v>0</v>
      </c>
      <c r="O332">
        <f>VLOOKUP($C332,'[1]PoB AA'!$C$1:$T$898,18,FALSE)</f>
        <v>0</v>
      </c>
      <c r="P332">
        <f>VLOOKUP($C332,'[1]PoB AI'!$C$1:$T$898,17,FALSE)</f>
        <v>40</v>
      </c>
      <c r="Q332">
        <f>VLOOKUP($C332,'[1]PoB AI'!$C$1:$T$898,18,FALSE)</f>
        <v>0</v>
      </c>
      <c r="R332">
        <f>VLOOKUP($C332,'[1]PoB AS'!$C$1:$T$898,17,FALSE)</f>
        <v>2</v>
      </c>
      <c r="S332">
        <f>VLOOKUP($C332,'[1]PoB AS'!$C$1:$T$898,18,FALSE)</f>
        <v>0</v>
      </c>
      <c r="T332">
        <f>VLOOKUP($C332,'[1]PoB PI'!$C$1:$T$898,17,FALSE)</f>
        <v>5</v>
      </c>
      <c r="U332">
        <f>VLOOKUP($C332,'[1]PoB PI'!$C$1:$T$898,18,FALSE)</f>
        <v>2</v>
      </c>
      <c r="V332">
        <f>VLOOKUP($C332,'[1]PoB OT'!$C$1:$T$898,17,FALSE)</f>
        <v>15</v>
      </c>
      <c r="W332">
        <f>VLOOKUP($C332,'[1]PoB OT'!$C$1:$T$898,18,FALSE)</f>
        <v>2</v>
      </c>
      <c r="X332">
        <f>VLOOKUP($C332,'[1]PoB 2R'!$C$1:$T$898,17,FALSE)</f>
        <v>73</v>
      </c>
      <c r="Y332">
        <f>VLOOKUP($C332,'[1]PoB 2R'!$C$1:$T$898,18,FALSE)</f>
        <v>4</v>
      </c>
    </row>
    <row r="333" spans="1:25" x14ac:dyDescent="0.25">
      <c r="A333" t="s">
        <v>1060</v>
      </c>
      <c r="B333">
        <v>5350500</v>
      </c>
      <c r="C333" t="s">
        <v>1061</v>
      </c>
      <c r="D333">
        <f t="shared" si="15"/>
        <v>179</v>
      </c>
      <c r="E333">
        <f>VLOOKUP($C333,'[1]PoB Totals'!$C$3:$T$898,17,FALSE)</f>
        <v>179</v>
      </c>
      <c r="F333">
        <f>VLOOKUP($C333,'[1]PoB Totals'!$C$3:$T$898,18,FALSE)</f>
        <v>0</v>
      </c>
      <c r="G333">
        <f t="shared" si="16"/>
        <v>179</v>
      </c>
      <c r="H333">
        <f t="shared" si="17"/>
        <v>179</v>
      </c>
      <c r="I333">
        <f t="shared" si="17"/>
        <v>0</v>
      </c>
      <c r="J333">
        <f>VLOOKUP($C333,'[1]PoB WN'!$C$1:$T$898,17,FALSE)</f>
        <v>175</v>
      </c>
      <c r="K333">
        <f>VLOOKUP($C333,'[1]PoB WN'!$C$1:$T$898,18,FALSE)</f>
        <v>0</v>
      </c>
      <c r="L333">
        <f>VLOOKUP($C333,'[1]PoB WH'!$C$1:$T$898,17,FALSE)</f>
        <v>0</v>
      </c>
      <c r="M333">
        <f>VLOOKUP($C333,'[1]PoB WH'!$C$1:$T$898,18,FALSE)</f>
        <v>0</v>
      </c>
      <c r="N333">
        <f>VLOOKUP($C333,'[1]PoB AA'!$C$1:$T$898,17,FALSE)</f>
        <v>0</v>
      </c>
      <c r="O333">
        <f>VLOOKUP($C333,'[1]PoB AA'!$C$1:$T$898,18,FALSE)</f>
        <v>0</v>
      </c>
      <c r="P333">
        <f>VLOOKUP($C333,'[1]PoB AI'!$C$1:$T$898,17,FALSE)</f>
        <v>0</v>
      </c>
      <c r="Q333">
        <f>VLOOKUP($C333,'[1]PoB AI'!$C$1:$T$898,18,FALSE)</f>
        <v>0</v>
      </c>
      <c r="R333">
        <f>VLOOKUP($C333,'[1]PoB AS'!$C$1:$T$898,17,FALSE)</f>
        <v>0</v>
      </c>
      <c r="S333">
        <f>VLOOKUP($C333,'[1]PoB AS'!$C$1:$T$898,18,FALSE)</f>
        <v>0</v>
      </c>
      <c r="T333">
        <f>VLOOKUP($C333,'[1]PoB PI'!$C$1:$T$898,17,FALSE)</f>
        <v>0</v>
      </c>
      <c r="U333">
        <f>VLOOKUP($C333,'[1]PoB PI'!$C$1:$T$898,18,FALSE)</f>
        <v>0</v>
      </c>
      <c r="V333">
        <f>VLOOKUP($C333,'[1]PoB OT'!$C$1:$T$898,17,FALSE)</f>
        <v>0</v>
      </c>
      <c r="W333">
        <f>VLOOKUP($C333,'[1]PoB OT'!$C$1:$T$898,18,FALSE)</f>
        <v>0</v>
      </c>
      <c r="X333">
        <f>VLOOKUP($C333,'[1]PoB 2R'!$C$1:$T$898,17,FALSE)</f>
        <v>4</v>
      </c>
      <c r="Y333">
        <f>VLOOKUP($C333,'[1]PoB 2R'!$C$1:$T$898,18,FALSE)</f>
        <v>0</v>
      </c>
    </row>
    <row r="334" spans="1:25" x14ac:dyDescent="0.25">
      <c r="A334" t="s">
        <v>1062</v>
      </c>
      <c r="B334">
        <v>5350535</v>
      </c>
      <c r="C334" t="s">
        <v>1063</v>
      </c>
      <c r="D334">
        <f t="shared" si="15"/>
        <v>1405</v>
      </c>
      <c r="E334">
        <f>VLOOKUP($C334,'[1]PoB Totals'!$C$3:$T$898,17,FALSE)</f>
        <v>1354</v>
      </c>
      <c r="F334">
        <f>VLOOKUP($C334,'[1]PoB Totals'!$C$3:$T$898,18,FALSE)</f>
        <v>51</v>
      </c>
      <c r="G334">
        <f t="shared" si="16"/>
        <v>1405</v>
      </c>
      <c r="H334">
        <f t="shared" si="17"/>
        <v>1354</v>
      </c>
      <c r="I334">
        <f t="shared" si="17"/>
        <v>51</v>
      </c>
      <c r="J334">
        <f>VLOOKUP($C334,'[1]PoB WN'!$C$1:$T$898,17,FALSE)</f>
        <v>1315</v>
      </c>
      <c r="K334">
        <f>VLOOKUP($C334,'[1]PoB WN'!$C$1:$T$898,18,FALSE)</f>
        <v>24</v>
      </c>
      <c r="L334">
        <f>VLOOKUP($C334,'[1]PoB WH'!$C$1:$T$898,17,FALSE)</f>
        <v>8</v>
      </c>
      <c r="M334">
        <f>VLOOKUP($C334,'[1]PoB WH'!$C$1:$T$898,18,FALSE)</f>
        <v>0</v>
      </c>
      <c r="N334">
        <f>VLOOKUP($C334,'[1]PoB AA'!$C$1:$T$898,17,FALSE)</f>
        <v>0</v>
      </c>
      <c r="O334">
        <f>VLOOKUP($C334,'[1]PoB AA'!$C$1:$T$898,18,FALSE)</f>
        <v>0</v>
      </c>
      <c r="P334">
        <f>VLOOKUP($C334,'[1]PoB AI'!$C$1:$T$898,17,FALSE)</f>
        <v>20</v>
      </c>
      <c r="Q334">
        <f>VLOOKUP($C334,'[1]PoB AI'!$C$1:$T$898,18,FALSE)</f>
        <v>0</v>
      </c>
      <c r="R334">
        <f>VLOOKUP($C334,'[1]PoB AS'!$C$1:$T$898,17,FALSE)</f>
        <v>0</v>
      </c>
      <c r="S334">
        <f>VLOOKUP($C334,'[1]PoB AS'!$C$1:$T$898,18,FALSE)</f>
        <v>0</v>
      </c>
      <c r="T334">
        <f>VLOOKUP($C334,'[1]PoB PI'!$C$1:$T$898,17,FALSE)</f>
        <v>0</v>
      </c>
      <c r="U334">
        <f>VLOOKUP($C334,'[1]PoB PI'!$C$1:$T$898,18,FALSE)</f>
        <v>0</v>
      </c>
      <c r="V334">
        <f>VLOOKUP($C334,'[1]PoB OT'!$C$1:$T$898,17,FALSE)</f>
        <v>11</v>
      </c>
      <c r="W334">
        <f>VLOOKUP($C334,'[1]PoB OT'!$C$1:$T$898,18,FALSE)</f>
        <v>27</v>
      </c>
      <c r="X334">
        <f>VLOOKUP($C334,'[1]PoB 2R'!$C$1:$T$898,17,FALSE)</f>
        <v>0</v>
      </c>
      <c r="Y334">
        <f>VLOOKUP($C334,'[1]PoB 2R'!$C$1:$T$898,18,FALSE)</f>
        <v>0</v>
      </c>
    </row>
    <row r="335" spans="1:25" x14ac:dyDescent="0.25">
      <c r="A335" t="s">
        <v>1064</v>
      </c>
      <c r="B335">
        <v>5350570</v>
      </c>
      <c r="C335" t="s">
        <v>1065</v>
      </c>
      <c r="D335">
        <f t="shared" si="15"/>
        <v>3795</v>
      </c>
      <c r="E335">
        <f>VLOOKUP($C335,'[1]PoB Totals'!$C$3:$T$898,17,FALSE)</f>
        <v>3614</v>
      </c>
      <c r="F335">
        <f>VLOOKUP($C335,'[1]PoB Totals'!$C$3:$T$898,18,FALSE)</f>
        <v>181</v>
      </c>
      <c r="G335">
        <f t="shared" si="16"/>
        <v>3795</v>
      </c>
      <c r="H335">
        <f t="shared" si="17"/>
        <v>3614</v>
      </c>
      <c r="I335">
        <f t="shared" si="17"/>
        <v>181</v>
      </c>
      <c r="J335">
        <f>VLOOKUP($C335,'[1]PoB WN'!$C$1:$T$898,17,FALSE)</f>
        <v>3401</v>
      </c>
      <c r="K335">
        <f>VLOOKUP($C335,'[1]PoB WN'!$C$1:$T$898,18,FALSE)</f>
        <v>102</v>
      </c>
      <c r="L335">
        <f>VLOOKUP($C335,'[1]PoB WH'!$C$1:$T$898,17,FALSE)</f>
        <v>33</v>
      </c>
      <c r="M335">
        <f>VLOOKUP($C335,'[1]PoB WH'!$C$1:$T$898,18,FALSE)</f>
        <v>6</v>
      </c>
      <c r="N335">
        <f>VLOOKUP($C335,'[1]PoB AA'!$C$1:$T$898,17,FALSE)</f>
        <v>23</v>
      </c>
      <c r="O335">
        <f>VLOOKUP($C335,'[1]PoB AA'!$C$1:$T$898,18,FALSE)</f>
        <v>0</v>
      </c>
      <c r="P335">
        <f>VLOOKUP($C335,'[1]PoB AI'!$C$1:$T$898,17,FALSE)</f>
        <v>42</v>
      </c>
      <c r="Q335">
        <f>VLOOKUP($C335,'[1]PoB AI'!$C$1:$T$898,18,FALSE)</f>
        <v>0</v>
      </c>
      <c r="R335">
        <f>VLOOKUP($C335,'[1]PoB AS'!$C$1:$T$898,17,FALSE)</f>
        <v>0</v>
      </c>
      <c r="S335">
        <f>VLOOKUP($C335,'[1]PoB AS'!$C$1:$T$898,18,FALSE)</f>
        <v>67</v>
      </c>
      <c r="T335">
        <f>VLOOKUP($C335,'[1]PoB PI'!$C$1:$T$898,17,FALSE)</f>
        <v>0</v>
      </c>
      <c r="U335">
        <f>VLOOKUP($C335,'[1]PoB PI'!$C$1:$T$898,18,FALSE)</f>
        <v>0</v>
      </c>
      <c r="V335">
        <f>VLOOKUP($C335,'[1]PoB OT'!$C$1:$T$898,17,FALSE)</f>
        <v>21</v>
      </c>
      <c r="W335">
        <f>VLOOKUP($C335,'[1]PoB OT'!$C$1:$T$898,18,FALSE)</f>
        <v>6</v>
      </c>
      <c r="X335">
        <f>VLOOKUP($C335,'[1]PoB 2R'!$C$1:$T$898,17,FALSE)</f>
        <v>94</v>
      </c>
      <c r="Y335">
        <f>VLOOKUP($C335,'[1]PoB 2R'!$C$1:$T$898,18,FALSE)</f>
        <v>0</v>
      </c>
    </row>
    <row r="336" spans="1:25" x14ac:dyDescent="0.25">
      <c r="A336" t="s">
        <v>1066</v>
      </c>
      <c r="B336">
        <v>5350745</v>
      </c>
      <c r="C336" t="s">
        <v>1067</v>
      </c>
      <c r="D336">
        <f t="shared" si="15"/>
        <v>969</v>
      </c>
      <c r="E336">
        <f>VLOOKUP($C336,'[1]PoB Totals'!$C$3:$T$898,17,FALSE)</f>
        <v>954</v>
      </c>
      <c r="F336">
        <f>VLOOKUP($C336,'[1]PoB Totals'!$C$3:$T$898,18,FALSE)</f>
        <v>15</v>
      </c>
      <c r="G336">
        <f t="shared" si="16"/>
        <v>969</v>
      </c>
      <c r="H336">
        <f t="shared" si="17"/>
        <v>954</v>
      </c>
      <c r="I336">
        <f t="shared" si="17"/>
        <v>15</v>
      </c>
      <c r="J336">
        <f>VLOOKUP($C336,'[1]PoB WN'!$C$1:$T$898,17,FALSE)</f>
        <v>916</v>
      </c>
      <c r="K336">
        <f>VLOOKUP($C336,'[1]PoB WN'!$C$1:$T$898,18,FALSE)</f>
        <v>15</v>
      </c>
      <c r="L336">
        <f>VLOOKUP($C336,'[1]PoB WH'!$C$1:$T$898,17,FALSE)</f>
        <v>4</v>
      </c>
      <c r="M336">
        <f>VLOOKUP($C336,'[1]PoB WH'!$C$1:$T$898,18,FALSE)</f>
        <v>0</v>
      </c>
      <c r="N336">
        <f>VLOOKUP($C336,'[1]PoB AA'!$C$1:$T$898,17,FALSE)</f>
        <v>0</v>
      </c>
      <c r="O336">
        <f>VLOOKUP($C336,'[1]PoB AA'!$C$1:$T$898,18,FALSE)</f>
        <v>0</v>
      </c>
      <c r="P336">
        <f>VLOOKUP($C336,'[1]PoB AI'!$C$1:$T$898,17,FALSE)</f>
        <v>10</v>
      </c>
      <c r="Q336">
        <f>VLOOKUP($C336,'[1]PoB AI'!$C$1:$T$898,18,FALSE)</f>
        <v>0</v>
      </c>
      <c r="R336">
        <f>VLOOKUP($C336,'[1]PoB AS'!$C$1:$T$898,17,FALSE)</f>
        <v>0</v>
      </c>
      <c r="S336">
        <f>VLOOKUP($C336,'[1]PoB AS'!$C$1:$T$898,18,FALSE)</f>
        <v>0</v>
      </c>
      <c r="T336">
        <f>VLOOKUP($C336,'[1]PoB PI'!$C$1:$T$898,17,FALSE)</f>
        <v>0</v>
      </c>
      <c r="U336">
        <f>VLOOKUP($C336,'[1]PoB PI'!$C$1:$T$898,18,FALSE)</f>
        <v>0</v>
      </c>
      <c r="V336">
        <f>VLOOKUP($C336,'[1]PoB OT'!$C$1:$T$898,17,FALSE)</f>
        <v>14</v>
      </c>
      <c r="W336">
        <f>VLOOKUP($C336,'[1]PoB OT'!$C$1:$T$898,18,FALSE)</f>
        <v>0</v>
      </c>
      <c r="X336">
        <f>VLOOKUP($C336,'[1]PoB 2R'!$C$1:$T$898,17,FALSE)</f>
        <v>10</v>
      </c>
      <c r="Y336">
        <f>VLOOKUP($C336,'[1]PoB 2R'!$C$1:$T$898,18,FALSE)</f>
        <v>0</v>
      </c>
    </row>
    <row r="337" spans="1:25" x14ac:dyDescent="0.25">
      <c r="A337" t="s">
        <v>1068</v>
      </c>
      <c r="B337">
        <v>5350920</v>
      </c>
      <c r="C337" t="s">
        <v>1069</v>
      </c>
      <c r="D337">
        <f t="shared" si="15"/>
        <v>2498</v>
      </c>
      <c r="E337">
        <f>VLOOKUP($C337,'[1]PoB Totals'!$C$3:$T$898,17,FALSE)</f>
        <v>2351</v>
      </c>
      <c r="F337">
        <f>VLOOKUP($C337,'[1]PoB Totals'!$C$3:$T$898,18,FALSE)</f>
        <v>147</v>
      </c>
      <c r="G337">
        <f t="shared" si="16"/>
        <v>2498</v>
      </c>
      <c r="H337">
        <f t="shared" si="17"/>
        <v>2351</v>
      </c>
      <c r="I337">
        <f t="shared" si="17"/>
        <v>147</v>
      </c>
      <c r="J337">
        <f>VLOOKUP($C337,'[1]PoB WN'!$C$1:$T$898,17,FALSE)</f>
        <v>1916</v>
      </c>
      <c r="K337">
        <f>VLOOKUP($C337,'[1]PoB WN'!$C$1:$T$898,18,FALSE)</f>
        <v>43</v>
      </c>
      <c r="L337">
        <f>VLOOKUP($C337,'[1]PoB WH'!$C$1:$T$898,17,FALSE)</f>
        <v>25</v>
      </c>
      <c r="M337">
        <f>VLOOKUP($C337,'[1]PoB WH'!$C$1:$T$898,18,FALSE)</f>
        <v>15</v>
      </c>
      <c r="N337">
        <f>VLOOKUP($C337,'[1]PoB AA'!$C$1:$T$898,17,FALSE)</f>
        <v>9</v>
      </c>
      <c r="O337">
        <f>VLOOKUP($C337,'[1]PoB AA'!$C$1:$T$898,18,FALSE)</f>
        <v>0</v>
      </c>
      <c r="P337">
        <f>VLOOKUP($C337,'[1]PoB AI'!$C$1:$T$898,17,FALSE)</f>
        <v>249</v>
      </c>
      <c r="Q337">
        <f>VLOOKUP($C337,'[1]PoB AI'!$C$1:$T$898,18,FALSE)</f>
        <v>6</v>
      </c>
      <c r="R337">
        <f>VLOOKUP($C337,'[1]PoB AS'!$C$1:$T$898,17,FALSE)</f>
        <v>0</v>
      </c>
      <c r="S337">
        <f>VLOOKUP($C337,'[1]PoB AS'!$C$1:$T$898,18,FALSE)</f>
        <v>0</v>
      </c>
      <c r="T337">
        <f>VLOOKUP($C337,'[1]PoB PI'!$C$1:$T$898,17,FALSE)</f>
        <v>0</v>
      </c>
      <c r="U337">
        <f>VLOOKUP($C337,'[1]PoB PI'!$C$1:$T$898,18,FALSE)</f>
        <v>0</v>
      </c>
      <c r="V337">
        <f>VLOOKUP($C337,'[1]PoB OT'!$C$1:$T$898,17,FALSE)</f>
        <v>90</v>
      </c>
      <c r="W337">
        <f>VLOOKUP($C337,'[1]PoB OT'!$C$1:$T$898,18,FALSE)</f>
        <v>83</v>
      </c>
      <c r="X337">
        <f>VLOOKUP($C337,'[1]PoB 2R'!$C$1:$T$898,17,FALSE)</f>
        <v>62</v>
      </c>
      <c r="Y337">
        <f>VLOOKUP($C337,'[1]PoB 2R'!$C$1:$T$898,18,FALSE)</f>
        <v>0</v>
      </c>
    </row>
    <row r="338" spans="1:25" x14ac:dyDescent="0.25">
      <c r="A338" t="s">
        <v>1070</v>
      </c>
      <c r="B338">
        <v>5351300</v>
      </c>
      <c r="C338" t="s">
        <v>1071</v>
      </c>
      <c r="D338">
        <f t="shared" si="15"/>
        <v>42345</v>
      </c>
      <c r="E338">
        <f>VLOOKUP($C338,'[1]PoB Totals'!$C$3:$T$898,17,FALSE)</f>
        <v>38687</v>
      </c>
      <c r="F338">
        <f>VLOOKUP($C338,'[1]PoB Totals'!$C$3:$T$898,18,FALSE)</f>
        <v>3658</v>
      </c>
      <c r="G338">
        <f t="shared" si="16"/>
        <v>42345</v>
      </c>
      <c r="H338">
        <f t="shared" si="17"/>
        <v>38687</v>
      </c>
      <c r="I338">
        <f t="shared" si="17"/>
        <v>3658</v>
      </c>
      <c r="J338">
        <f>VLOOKUP($C338,'[1]PoB WN'!$C$1:$T$898,17,FALSE)</f>
        <v>33703</v>
      </c>
      <c r="K338">
        <f>VLOOKUP($C338,'[1]PoB WN'!$C$1:$T$898,18,FALSE)</f>
        <v>1309</v>
      </c>
      <c r="L338">
        <f>VLOOKUP($C338,'[1]PoB WH'!$C$1:$T$898,17,FALSE)</f>
        <v>752</v>
      </c>
      <c r="M338">
        <f>VLOOKUP($C338,'[1]PoB WH'!$C$1:$T$898,18,FALSE)</f>
        <v>145</v>
      </c>
      <c r="N338">
        <f>VLOOKUP($C338,'[1]PoB AA'!$C$1:$T$898,17,FALSE)</f>
        <v>746</v>
      </c>
      <c r="O338">
        <f>VLOOKUP($C338,'[1]PoB AA'!$C$1:$T$898,18,FALSE)</f>
        <v>65</v>
      </c>
      <c r="P338">
        <f>VLOOKUP($C338,'[1]PoB AI'!$C$1:$T$898,17,FALSE)</f>
        <v>539</v>
      </c>
      <c r="Q338">
        <f>VLOOKUP($C338,'[1]PoB AI'!$C$1:$T$898,18,FALSE)</f>
        <v>30</v>
      </c>
      <c r="R338">
        <f>VLOOKUP($C338,'[1]PoB AS'!$C$1:$T$898,17,FALSE)</f>
        <v>661</v>
      </c>
      <c r="S338">
        <f>VLOOKUP($C338,'[1]PoB AS'!$C$1:$T$898,18,FALSE)</f>
        <v>1665</v>
      </c>
      <c r="T338">
        <f>VLOOKUP($C338,'[1]PoB PI'!$C$1:$T$898,17,FALSE)</f>
        <v>76</v>
      </c>
      <c r="U338">
        <f>VLOOKUP($C338,'[1]PoB PI'!$C$1:$T$898,18,FALSE)</f>
        <v>21</v>
      </c>
      <c r="V338">
        <f>VLOOKUP($C338,'[1]PoB OT'!$C$1:$T$898,17,FALSE)</f>
        <v>546</v>
      </c>
      <c r="W338">
        <f>VLOOKUP($C338,'[1]PoB OT'!$C$1:$T$898,18,FALSE)</f>
        <v>182</v>
      </c>
      <c r="X338">
        <f>VLOOKUP($C338,'[1]PoB 2R'!$C$1:$T$898,17,FALSE)</f>
        <v>1664</v>
      </c>
      <c r="Y338">
        <f>VLOOKUP($C338,'[1]PoB 2R'!$C$1:$T$898,18,FALSE)</f>
        <v>241</v>
      </c>
    </row>
    <row r="339" spans="1:25" x14ac:dyDescent="0.25">
      <c r="A339" t="s">
        <v>1072</v>
      </c>
      <c r="B339">
        <v>5351340</v>
      </c>
      <c r="C339" t="s">
        <v>1073</v>
      </c>
      <c r="D339">
        <f t="shared" si="15"/>
        <v>4600</v>
      </c>
      <c r="E339">
        <f>VLOOKUP($C339,'[1]PoB Totals'!$C$3:$T$898,17,FALSE)</f>
        <v>4198</v>
      </c>
      <c r="F339">
        <f>VLOOKUP($C339,'[1]PoB Totals'!$C$3:$T$898,18,FALSE)</f>
        <v>402</v>
      </c>
      <c r="G339">
        <f t="shared" si="16"/>
        <v>4600</v>
      </c>
      <c r="H339">
        <f t="shared" si="17"/>
        <v>4198</v>
      </c>
      <c r="I339">
        <f t="shared" si="17"/>
        <v>402</v>
      </c>
      <c r="J339">
        <f>VLOOKUP($C339,'[1]PoB WN'!$C$1:$T$898,17,FALSE)</f>
        <v>3086</v>
      </c>
      <c r="K339">
        <f>VLOOKUP($C339,'[1]PoB WN'!$C$1:$T$898,18,FALSE)</f>
        <v>59</v>
      </c>
      <c r="L339">
        <f>VLOOKUP($C339,'[1]PoB WH'!$C$1:$T$898,17,FALSE)</f>
        <v>66</v>
      </c>
      <c r="M339">
        <f>VLOOKUP($C339,'[1]PoB WH'!$C$1:$T$898,18,FALSE)</f>
        <v>19</v>
      </c>
      <c r="N339">
        <f>VLOOKUP($C339,'[1]PoB AA'!$C$1:$T$898,17,FALSE)</f>
        <v>0</v>
      </c>
      <c r="O339">
        <f>VLOOKUP($C339,'[1]PoB AA'!$C$1:$T$898,18,FALSE)</f>
        <v>0</v>
      </c>
      <c r="P339">
        <f>VLOOKUP($C339,'[1]PoB AI'!$C$1:$T$898,17,FALSE)</f>
        <v>627</v>
      </c>
      <c r="Q339">
        <f>VLOOKUP($C339,'[1]PoB AI'!$C$1:$T$898,18,FALSE)</f>
        <v>22</v>
      </c>
      <c r="R339">
        <f>VLOOKUP($C339,'[1]PoB AS'!$C$1:$T$898,17,FALSE)</f>
        <v>0</v>
      </c>
      <c r="S339">
        <f>VLOOKUP($C339,'[1]PoB AS'!$C$1:$T$898,18,FALSE)</f>
        <v>46</v>
      </c>
      <c r="T339">
        <f>VLOOKUP($C339,'[1]PoB PI'!$C$1:$T$898,17,FALSE)</f>
        <v>0</v>
      </c>
      <c r="U339">
        <f>VLOOKUP($C339,'[1]PoB PI'!$C$1:$T$898,18,FALSE)</f>
        <v>0</v>
      </c>
      <c r="V339">
        <f>VLOOKUP($C339,'[1]PoB OT'!$C$1:$T$898,17,FALSE)</f>
        <v>305</v>
      </c>
      <c r="W339">
        <f>VLOOKUP($C339,'[1]PoB OT'!$C$1:$T$898,18,FALSE)</f>
        <v>229</v>
      </c>
      <c r="X339">
        <f>VLOOKUP($C339,'[1]PoB 2R'!$C$1:$T$898,17,FALSE)</f>
        <v>114</v>
      </c>
      <c r="Y339">
        <f>VLOOKUP($C339,'[1]PoB 2R'!$C$1:$T$898,18,FALSE)</f>
        <v>27</v>
      </c>
    </row>
    <row r="340" spans="1:25" x14ac:dyDescent="0.25">
      <c r="A340" t="s">
        <v>1562</v>
      </c>
      <c r="B340">
        <v>5351515</v>
      </c>
      <c r="C340" t="s">
        <v>1563</v>
      </c>
      <c r="D340">
        <f t="shared" si="15"/>
        <v>25046</v>
      </c>
      <c r="E340">
        <f>VLOOKUP($C340,'[1]PoB Totals'!$C$3:$T$898,17,FALSE)</f>
        <v>23931</v>
      </c>
      <c r="F340">
        <f>VLOOKUP($C340,'[1]PoB Totals'!$C$3:$T$898,18,FALSE)</f>
        <v>1115</v>
      </c>
      <c r="G340">
        <f t="shared" si="16"/>
        <v>25046</v>
      </c>
      <c r="H340">
        <f t="shared" si="17"/>
        <v>23931</v>
      </c>
      <c r="I340">
        <f t="shared" si="17"/>
        <v>1115</v>
      </c>
      <c r="J340">
        <f>VLOOKUP($C340,'[1]PoB WN'!$C$1:$T$898,17,FALSE)</f>
        <v>22352</v>
      </c>
      <c r="K340">
        <f>VLOOKUP($C340,'[1]PoB WN'!$C$1:$T$898,18,FALSE)</f>
        <v>677</v>
      </c>
      <c r="L340">
        <f>VLOOKUP($C340,'[1]PoB WH'!$C$1:$T$898,17,FALSE)</f>
        <v>249</v>
      </c>
      <c r="M340">
        <f>VLOOKUP($C340,'[1]PoB WH'!$C$1:$T$898,18,FALSE)</f>
        <v>54</v>
      </c>
      <c r="N340">
        <f>VLOOKUP($C340,'[1]PoB AA'!$C$1:$T$898,17,FALSE)</f>
        <v>239</v>
      </c>
      <c r="O340">
        <f>VLOOKUP($C340,'[1]PoB AA'!$C$1:$T$898,18,FALSE)</f>
        <v>6</v>
      </c>
      <c r="P340">
        <f>VLOOKUP($C340,'[1]PoB AI'!$C$1:$T$898,17,FALSE)</f>
        <v>290</v>
      </c>
      <c r="Q340">
        <f>VLOOKUP($C340,'[1]PoB AI'!$C$1:$T$898,18,FALSE)</f>
        <v>0</v>
      </c>
      <c r="R340">
        <f>VLOOKUP($C340,'[1]PoB AS'!$C$1:$T$898,17,FALSE)</f>
        <v>71</v>
      </c>
      <c r="S340">
        <f>VLOOKUP($C340,'[1]PoB AS'!$C$1:$T$898,18,FALSE)</f>
        <v>230</v>
      </c>
      <c r="T340">
        <f>VLOOKUP($C340,'[1]PoB PI'!$C$1:$T$898,17,FALSE)</f>
        <v>32</v>
      </c>
      <c r="U340">
        <f>VLOOKUP($C340,'[1]PoB PI'!$C$1:$T$898,18,FALSE)</f>
        <v>33</v>
      </c>
      <c r="V340">
        <f>VLOOKUP($C340,'[1]PoB OT'!$C$1:$T$898,17,FALSE)</f>
        <v>110</v>
      </c>
      <c r="W340">
        <f>VLOOKUP($C340,'[1]PoB OT'!$C$1:$T$898,18,FALSE)</f>
        <v>36</v>
      </c>
      <c r="X340">
        <f>VLOOKUP($C340,'[1]PoB 2R'!$C$1:$T$898,17,FALSE)</f>
        <v>588</v>
      </c>
      <c r="Y340">
        <f>VLOOKUP($C340,'[1]PoB 2R'!$C$1:$T$898,18,FALSE)</f>
        <v>79</v>
      </c>
    </row>
    <row r="341" spans="1:25" x14ac:dyDescent="0.25">
      <c r="A341" t="s">
        <v>1076</v>
      </c>
      <c r="B341">
        <v>5351795</v>
      </c>
      <c r="C341" t="s">
        <v>1077</v>
      </c>
      <c r="D341">
        <f t="shared" si="15"/>
        <v>17924</v>
      </c>
      <c r="E341">
        <f>VLOOKUP($C341,'[1]PoB Totals'!$C$3:$T$898,17,FALSE)</f>
        <v>16155</v>
      </c>
      <c r="F341">
        <f>VLOOKUP($C341,'[1]PoB Totals'!$C$3:$T$898,18,FALSE)</f>
        <v>1769</v>
      </c>
      <c r="G341">
        <f t="shared" si="16"/>
        <v>17924</v>
      </c>
      <c r="H341">
        <f t="shared" si="17"/>
        <v>16155</v>
      </c>
      <c r="I341">
        <f t="shared" si="17"/>
        <v>1769</v>
      </c>
      <c r="J341">
        <f>VLOOKUP($C341,'[1]PoB WN'!$C$1:$T$898,17,FALSE)</f>
        <v>14322</v>
      </c>
      <c r="K341">
        <f>VLOOKUP($C341,'[1]PoB WN'!$C$1:$T$898,18,FALSE)</f>
        <v>937</v>
      </c>
      <c r="L341">
        <f>VLOOKUP($C341,'[1]PoB WH'!$C$1:$T$898,17,FALSE)</f>
        <v>405</v>
      </c>
      <c r="M341">
        <f>VLOOKUP($C341,'[1]PoB WH'!$C$1:$T$898,18,FALSE)</f>
        <v>92</v>
      </c>
      <c r="N341">
        <f>VLOOKUP($C341,'[1]PoB AA'!$C$1:$T$898,17,FALSE)</f>
        <v>112</v>
      </c>
      <c r="O341">
        <f>VLOOKUP($C341,'[1]PoB AA'!$C$1:$T$898,18,FALSE)</f>
        <v>11</v>
      </c>
      <c r="P341">
        <f>VLOOKUP($C341,'[1]PoB AI'!$C$1:$T$898,17,FALSE)</f>
        <v>183</v>
      </c>
      <c r="Q341">
        <f>VLOOKUP($C341,'[1]PoB AI'!$C$1:$T$898,18,FALSE)</f>
        <v>7</v>
      </c>
      <c r="R341">
        <f>VLOOKUP($C341,'[1]PoB AS'!$C$1:$T$898,17,FALSE)</f>
        <v>285</v>
      </c>
      <c r="S341">
        <f>VLOOKUP($C341,'[1]PoB AS'!$C$1:$T$898,18,FALSE)</f>
        <v>483</v>
      </c>
      <c r="T341">
        <f>VLOOKUP($C341,'[1]PoB PI'!$C$1:$T$898,17,FALSE)</f>
        <v>44</v>
      </c>
      <c r="U341">
        <f>VLOOKUP($C341,'[1]PoB PI'!$C$1:$T$898,18,FALSE)</f>
        <v>13</v>
      </c>
      <c r="V341">
        <f>VLOOKUP($C341,'[1]PoB OT'!$C$1:$T$898,17,FALSE)</f>
        <v>220</v>
      </c>
      <c r="W341">
        <f>VLOOKUP($C341,'[1]PoB OT'!$C$1:$T$898,18,FALSE)</f>
        <v>64</v>
      </c>
      <c r="X341">
        <f>VLOOKUP($C341,'[1]PoB 2R'!$C$1:$T$898,17,FALSE)</f>
        <v>584</v>
      </c>
      <c r="Y341">
        <f>VLOOKUP($C341,'[1]PoB 2R'!$C$1:$T$898,18,FALSE)</f>
        <v>162</v>
      </c>
    </row>
    <row r="342" spans="1:25" x14ac:dyDescent="0.25">
      <c r="A342" t="s">
        <v>1080</v>
      </c>
      <c r="B342">
        <v>5351970</v>
      </c>
      <c r="C342" t="s">
        <v>1081</v>
      </c>
      <c r="D342">
        <f t="shared" si="15"/>
        <v>1638</v>
      </c>
      <c r="E342">
        <f>VLOOKUP($C342,'[1]PoB Totals'!$C$3:$T$898,17,FALSE)</f>
        <v>1415</v>
      </c>
      <c r="F342">
        <f>VLOOKUP($C342,'[1]PoB Totals'!$C$3:$T$898,18,FALSE)</f>
        <v>223</v>
      </c>
      <c r="G342">
        <f t="shared" si="16"/>
        <v>1638</v>
      </c>
      <c r="H342">
        <f t="shared" si="17"/>
        <v>1415</v>
      </c>
      <c r="I342">
        <f t="shared" si="17"/>
        <v>223</v>
      </c>
      <c r="J342">
        <f>VLOOKUP($C342,'[1]PoB WN'!$C$1:$T$898,17,FALSE)</f>
        <v>1175</v>
      </c>
      <c r="K342">
        <f>VLOOKUP($C342,'[1]PoB WN'!$C$1:$T$898,18,FALSE)</f>
        <v>48</v>
      </c>
      <c r="L342">
        <f>VLOOKUP($C342,'[1]PoB WH'!$C$1:$T$898,17,FALSE)</f>
        <v>85</v>
      </c>
      <c r="M342">
        <f>VLOOKUP($C342,'[1]PoB WH'!$C$1:$T$898,18,FALSE)</f>
        <v>96</v>
      </c>
      <c r="N342">
        <f>VLOOKUP($C342,'[1]PoB AA'!$C$1:$T$898,17,FALSE)</f>
        <v>3</v>
      </c>
      <c r="O342">
        <f>VLOOKUP($C342,'[1]PoB AA'!$C$1:$T$898,18,FALSE)</f>
        <v>1</v>
      </c>
      <c r="P342">
        <f>VLOOKUP($C342,'[1]PoB AI'!$C$1:$T$898,17,FALSE)</f>
        <v>47</v>
      </c>
      <c r="Q342">
        <f>VLOOKUP($C342,'[1]PoB AI'!$C$1:$T$898,18,FALSE)</f>
        <v>20</v>
      </c>
      <c r="R342">
        <f>VLOOKUP($C342,'[1]PoB AS'!$C$1:$T$898,17,FALSE)</f>
        <v>2</v>
      </c>
      <c r="S342">
        <f>VLOOKUP($C342,'[1]PoB AS'!$C$1:$T$898,18,FALSE)</f>
        <v>4</v>
      </c>
      <c r="T342">
        <f>VLOOKUP($C342,'[1]PoB PI'!$C$1:$T$898,17,FALSE)</f>
        <v>13</v>
      </c>
      <c r="U342">
        <f>VLOOKUP($C342,'[1]PoB PI'!$C$1:$T$898,18,FALSE)</f>
        <v>0</v>
      </c>
      <c r="V342">
        <f>VLOOKUP($C342,'[1]PoB OT'!$C$1:$T$898,17,FALSE)</f>
        <v>44</v>
      </c>
      <c r="W342">
        <f>VLOOKUP($C342,'[1]PoB OT'!$C$1:$T$898,18,FALSE)</f>
        <v>49</v>
      </c>
      <c r="X342">
        <f>VLOOKUP($C342,'[1]PoB 2R'!$C$1:$T$898,17,FALSE)</f>
        <v>46</v>
      </c>
      <c r="Y342">
        <f>VLOOKUP($C342,'[1]PoB 2R'!$C$1:$T$898,18,FALSE)</f>
        <v>5</v>
      </c>
    </row>
    <row r="343" spans="1:25" x14ac:dyDescent="0.25">
      <c r="A343" t="s">
        <v>1082</v>
      </c>
      <c r="B343">
        <v>5352005</v>
      </c>
      <c r="C343" t="s">
        <v>1083</v>
      </c>
      <c r="D343">
        <f t="shared" si="15"/>
        <v>3776</v>
      </c>
      <c r="E343">
        <f>VLOOKUP($C343,'[1]PoB Totals'!$C$3:$T$898,17,FALSE)</f>
        <v>3536</v>
      </c>
      <c r="F343">
        <f>VLOOKUP($C343,'[1]PoB Totals'!$C$3:$T$898,18,FALSE)</f>
        <v>240</v>
      </c>
      <c r="G343">
        <f t="shared" si="16"/>
        <v>3776</v>
      </c>
      <c r="H343">
        <f t="shared" si="17"/>
        <v>3536</v>
      </c>
      <c r="I343">
        <f t="shared" si="17"/>
        <v>240</v>
      </c>
      <c r="J343">
        <f>VLOOKUP($C343,'[1]PoB WN'!$C$1:$T$898,17,FALSE)</f>
        <v>3195</v>
      </c>
      <c r="K343">
        <f>VLOOKUP($C343,'[1]PoB WN'!$C$1:$T$898,18,FALSE)</f>
        <v>171</v>
      </c>
      <c r="L343">
        <f>VLOOKUP($C343,'[1]PoB WH'!$C$1:$T$898,17,FALSE)</f>
        <v>69</v>
      </c>
      <c r="M343">
        <f>VLOOKUP($C343,'[1]PoB WH'!$C$1:$T$898,18,FALSE)</f>
        <v>10</v>
      </c>
      <c r="N343">
        <f>VLOOKUP($C343,'[1]PoB AA'!$C$1:$T$898,17,FALSE)</f>
        <v>16</v>
      </c>
      <c r="O343">
        <f>VLOOKUP($C343,'[1]PoB AA'!$C$1:$T$898,18,FALSE)</f>
        <v>0</v>
      </c>
      <c r="P343">
        <f>VLOOKUP($C343,'[1]PoB AI'!$C$1:$T$898,17,FALSE)</f>
        <v>78</v>
      </c>
      <c r="Q343">
        <f>VLOOKUP($C343,'[1]PoB AI'!$C$1:$T$898,18,FALSE)</f>
        <v>0</v>
      </c>
      <c r="R343">
        <f>VLOOKUP($C343,'[1]PoB AS'!$C$1:$T$898,17,FALSE)</f>
        <v>21</v>
      </c>
      <c r="S343">
        <f>VLOOKUP($C343,'[1]PoB AS'!$C$1:$T$898,18,FALSE)</f>
        <v>27</v>
      </c>
      <c r="T343">
        <f>VLOOKUP($C343,'[1]PoB PI'!$C$1:$T$898,17,FALSE)</f>
        <v>0</v>
      </c>
      <c r="U343">
        <f>VLOOKUP($C343,'[1]PoB PI'!$C$1:$T$898,18,FALSE)</f>
        <v>0</v>
      </c>
      <c r="V343">
        <f>VLOOKUP($C343,'[1]PoB OT'!$C$1:$T$898,17,FALSE)</f>
        <v>10</v>
      </c>
      <c r="W343">
        <f>VLOOKUP($C343,'[1]PoB OT'!$C$1:$T$898,18,FALSE)</f>
        <v>5</v>
      </c>
      <c r="X343">
        <f>VLOOKUP($C343,'[1]PoB 2R'!$C$1:$T$898,17,FALSE)</f>
        <v>147</v>
      </c>
      <c r="Y343">
        <f>VLOOKUP($C343,'[1]PoB 2R'!$C$1:$T$898,18,FALSE)</f>
        <v>27</v>
      </c>
    </row>
    <row r="344" spans="1:25" x14ac:dyDescent="0.25">
      <c r="A344" t="s">
        <v>1084</v>
      </c>
      <c r="B344">
        <v>5352110</v>
      </c>
      <c r="C344" t="s">
        <v>1085</v>
      </c>
      <c r="D344">
        <f t="shared" si="15"/>
        <v>206</v>
      </c>
      <c r="E344">
        <f>VLOOKUP($C344,'[1]PoB Totals'!$C$3:$T$898,17,FALSE)</f>
        <v>206</v>
      </c>
      <c r="F344">
        <f>VLOOKUP($C344,'[1]PoB Totals'!$C$3:$T$898,18,FALSE)</f>
        <v>0</v>
      </c>
      <c r="G344">
        <f t="shared" si="16"/>
        <v>206</v>
      </c>
      <c r="H344">
        <f t="shared" si="17"/>
        <v>206</v>
      </c>
      <c r="I344">
        <f t="shared" si="17"/>
        <v>0</v>
      </c>
      <c r="J344">
        <f>VLOOKUP($C344,'[1]PoB WN'!$C$1:$T$898,17,FALSE)</f>
        <v>206</v>
      </c>
      <c r="K344">
        <f>VLOOKUP($C344,'[1]PoB WN'!$C$1:$T$898,18,FALSE)</f>
        <v>0</v>
      </c>
      <c r="L344">
        <f>VLOOKUP($C344,'[1]PoB WH'!$C$1:$T$898,17,FALSE)</f>
        <v>0</v>
      </c>
      <c r="M344">
        <f>VLOOKUP($C344,'[1]PoB WH'!$C$1:$T$898,18,FALSE)</f>
        <v>0</v>
      </c>
      <c r="N344">
        <f>VLOOKUP($C344,'[1]PoB AA'!$C$1:$T$898,17,FALSE)</f>
        <v>0</v>
      </c>
      <c r="O344">
        <f>VLOOKUP($C344,'[1]PoB AA'!$C$1:$T$898,18,FALSE)</f>
        <v>0</v>
      </c>
      <c r="P344">
        <f>VLOOKUP($C344,'[1]PoB AI'!$C$1:$T$898,17,FALSE)</f>
        <v>0</v>
      </c>
      <c r="Q344">
        <f>VLOOKUP($C344,'[1]PoB AI'!$C$1:$T$898,18,FALSE)</f>
        <v>0</v>
      </c>
      <c r="R344">
        <f>VLOOKUP($C344,'[1]PoB AS'!$C$1:$T$898,17,FALSE)</f>
        <v>0</v>
      </c>
      <c r="S344">
        <f>VLOOKUP($C344,'[1]PoB AS'!$C$1:$T$898,18,FALSE)</f>
        <v>0</v>
      </c>
      <c r="T344">
        <f>VLOOKUP($C344,'[1]PoB PI'!$C$1:$T$898,17,FALSE)</f>
        <v>0</v>
      </c>
      <c r="U344">
        <f>VLOOKUP($C344,'[1]PoB PI'!$C$1:$T$898,18,FALSE)</f>
        <v>0</v>
      </c>
      <c r="V344">
        <f>VLOOKUP($C344,'[1]PoB OT'!$C$1:$T$898,17,FALSE)</f>
        <v>0</v>
      </c>
      <c r="W344">
        <f>VLOOKUP($C344,'[1]PoB OT'!$C$1:$T$898,18,FALSE)</f>
        <v>0</v>
      </c>
      <c r="X344">
        <f>VLOOKUP($C344,'[1]PoB 2R'!$C$1:$T$898,17,FALSE)</f>
        <v>0</v>
      </c>
      <c r="Y344">
        <f>VLOOKUP($C344,'[1]PoB 2R'!$C$1:$T$898,18,FALSE)</f>
        <v>0</v>
      </c>
    </row>
    <row r="345" spans="1:25" x14ac:dyDescent="0.25">
      <c r="A345" t="s">
        <v>1086</v>
      </c>
      <c r="B345">
        <v>5352215</v>
      </c>
      <c r="C345" t="s">
        <v>1087</v>
      </c>
      <c r="D345">
        <f t="shared" si="15"/>
        <v>5750</v>
      </c>
      <c r="E345">
        <f>VLOOKUP($C345,'[1]PoB Totals'!$C$3:$T$898,17,FALSE)</f>
        <v>4025</v>
      </c>
      <c r="F345">
        <f>VLOOKUP($C345,'[1]PoB Totals'!$C$3:$T$898,18,FALSE)</f>
        <v>1725</v>
      </c>
      <c r="G345">
        <f t="shared" si="16"/>
        <v>5750</v>
      </c>
      <c r="H345">
        <f t="shared" si="17"/>
        <v>4025</v>
      </c>
      <c r="I345">
        <f t="shared" si="17"/>
        <v>1725</v>
      </c>
      <c r="J345">
        <f>VLOOKUP($C345,'[1]PoB WN'!$C$1:$T$898,17,FALSE)</f>
        <v>1959</v>
      </c>
      <c r="K345">
        <f>VLOOKUP($C345,'[1]PoB WN'!$C$1:$T$898,18,FALSE)</f>
        <v>45</v>
      </c>
      <c r="L345">
        <f>VLOOKUP($C345,'[1]PoB WH'!$C$1:$T$898,17,FALSE)</f>
        <v>693</v>
      </c>
      <c r="M345">
        <f>VLOOKUP($C345,'[1]PoB WH'!$C$1:$T$898,18,FALSE)</f>
        <v>475</v>
      </c>
      <c r="N345">
        <f>VLOOKUP($C345,'[1]PoB AA'!$C$1:$T$898,17,FALSE)</f>
        <v>8</v>
      </c>
      <c r="O345">
        <f>VLOOKUP($C345,'[1]PoB AA'!$C$1:$T$898,18,FALSE)</f>
        <v>35</v>
      </c>
      <c r="P345">
        <f>VLOOKUP($C345,'[1]PoB AI'!$C$1:$T$898,17,FALSE)</f>
        <v>6</v>
      </c>
      <c r="Q345">
        <f>VLOOKUP($C345,'[1]PoB AI'!$C$1:$T$898,18,FALSE)</f>
        <v>0</v>
      </c>
      <c r="R345">
        <f>VLOOKUP($C345,'[1]PoB AS'!$C$1:$T$898,17,FALSE)</f>
        <v>49</v>
      </c>
      <c r="S345">
        <f>VLOOKUP($C345,'[1]PoB AS'!$C$1:$T$898,18,FALSE)</f>
        <v>35</v>
      </c>
      <c r="T345">
        <f>VLOOKUP($C345,'[1]PoB PI'!$C$1:$T$898,17,FALSE)</f>
        <v>0</v>
      </c>
      <c r="U345">
        <f>VLOOKUP($C345,'[1]PoB PI'!$C$1:$T$898,18,FALSE)</f>
        <v>0</v>
      </c>
      <c r="V345">
        <f>VLOOKUP($C345,'[1]PoB OT'!$C$1:$T$898,17,FALSE)</f>
        <v>1151</v>
      </c>
      <c r="W345">
        <f>VLOOKUP($C345,'[1]PoB OT'!$C$1:$T$898,18,FALSE)</f>
        <v>1071</v>
      </c>
      <c r="X345">
        <f>VLOOKUP($C345,'[1]PoB 2R'!$C$1:$T$898,17,FALSE)</f>
        <v>159</v>
      </c>
      <c r="Y345">
        <f>VLOOKUP($C345,'[1]PoB 2R'!$C$1:$T$898,18,FALSE)</f>
        <v>64</v>
      </c>
    </row>
    <row r="346" spans="1:25" x14ac:dyDescent="0.25">
      <c r="A346" t="s">
        <v>1088</v>
      </c>
      <c r="B346">
        <v>5352267</v>
      </c>
      <c r="C346" t="s">
        <v>1089</v>
      </c>
      <c r="D346">
        <f t="shared" si="15"/>
        <v>6328</v>
      </c>
      <c r="E346">
        <f>VLOOKUP($C346,'[1]PoB Totals'!$C$3:$T$898,17,FALSE)</f>
        <v>6186</v>
      </c>
      <c r="F346">
        <f>VLOOKUP($C346,'[1]PoB Totals'!$C$3:$T$898,18,FALSE)</f>
        <v>142</v>
      </c>
      <c r="G346">
        <f t="shared" si="16"/>
        <v>6328</v>
      </c>
      <c r="H346">
        <f t="shared" si="17"/>
        <v>6186</v>
      </c>
      <c r="I346">
        <f t="shared" si="17"/>
        <v>142</v>
      </c>
      <c r="J346">
        <f>VLOOKUP($C346,'[1]PoB WN'!$C$1:$T$898,17,FALSE)</f>
        <v>5889</v>
      </c>
      <c r="K346">
        <f>VLOOKUP($C346,'[1]PoB WN'!$C$1:$T$898,18,FALSE)</f>
        <v>134</v>
      </c>
      <c r="L346">
        <f>VLOOKUP($C346,'[1]PoB WH'!$C$1:$T$898,17,FALSE)</f>
        <v>86</v>
      </c>
      <c r="M346">
        <f>VLOOKUP($C346,'[1]PoB WH'!$C$1:$T$898,18,FALSE)</f>
        <v>0</v>
      </c>
      <c r="N346">
        <f>VLOOKUP($C346,'[1]PoB AA'!$C$1:$T$898,17,FALSE)</f>
        <v>25</v>
      </c>
      <c r="O346">
        <f>VLOOKUP($C346,'[1]PoB AA'!$C$1:$T$898,18,FALSE)</f>
        <v>0</v>
      </c>
      <c r="P346">
        <f>VLOOKUP($C346,'[1]PoB AI'!$C$1:$T$898,17,FALSE)</f>
        <v>34</v>
      </c>
      <c r="Q346">
        <f>VLOOKUP($C346,'[1]PoB AI'!$C$1:$T$898,18,FALSE)</f>
        <v>0</v>
      </c>
      <c r="R346">
        <f>VLOOKUP($C346,'[1]PoB AS'!$C$1:$T$898,17,FALSE)</f>
        <v>8</v>
      </c>
      <c r="S346">
        <f>VLOOKUP($C346,'[1]PoB AS'!$C$1:$T$898,18,FALSE)</f>
        <v>8</v>
      </c>
      <c r="T346">
        <f>VLOOKUP($C346,'[1]PoB PI'!$C$1:$T$898,17,FALSE)</f>
        <v>0</v>
      </c>
      <c r="U346">
        <f>VLOOKUP($C346,'[1]PoB PI'!$C$1:$T$898,18,FALSE)</f>
        <v>0</v>
      </c>
      <c r="V346">
        <f>VLOOKUP($C346,'[1]PoB OT'!$C$1:$T$898,17,FALSE)</f>
        <v>32</v>
      </c>
      <c r="W346">
        <f>VLOOKUP($C346,'[1]PoB OT'!$C$1:$T$898,18,FALSE)</f>
        <v>0</v>
      </c>
      <c r="X346">
        <f>VLOOKUP($C346,'[1]PoB 2R'!$C$1:$T$898,17,FALSE)</f>
        <v>112</v>
      </c>
      <c r="Y346">
        <f>VLOOKUP($C346,'[1]PoB 2R'!$C$1:$T$898,18,FALSE)</f>
        <v>0</v>
      </c>
    </row>
    <row r="347" spans="1:25" x14ac:dyDescent="0.25">
      <c r="A347" t="s">
        <v>1564</v>
      </c>
      <c r="B347">
        <v>5352380</v>
      </c>
      <c r="C347" t="s">
        <v>1565</v>
      </c>
      <c r="D347">
        <f t="shared" si="15"/>
        <v>206</v>
      </c>
      <c r="E347">
        <f>VLOOKUP($C347,'[1]PoB Totals'!$C$3:$T$898,17,FALSE)</f>
        <v>189</v>
      </c>
      <c r="F347">
        <f>VLOOKUP($C347,'[1]PoB Totals'!$C$3:$T$898,18,FALSE)</f>
        <v>17</v>
      </c>
      <c r="G347">
        <f t="shared" si="16"/>
        <v>206</v>
      </c>
      <c r="H347">
        <f t="shared" si="17"/>
        <v>189</v>
      </c>
      <c r="I347">
        <f t="shared" si="17"/>
        <v>17</v>
      </c>
      <c r="J347">
        <f>VLOOKUP($C347,'[1]PoB WN'!$C$1:$T$898,17,FALSE)</f>
        <v>182</v>
      </c>
      <c r="K347">
        <f>VLOOKUP($C347,'[1]PoB WN'!$C$1:$T$898,18,FALSE)</f>
        <v>17</v>
      </c>
      <c r="L347">
        <f>VLOOKUP($C347,'[1]PoB WH'!$C$1:$T$898,17,FALSE)</f>
        <v>0</v>
      </c>
      <c r="M347">
        <f>VLOOKUP($C347,'[1]PoB WH'!$C$1:$T$898,18,FALSE)</f>
        <v>0</v>
      </c>
      <c r="N347">
        <f>VLOOKUP($C347,'[1]PoB AA'!$C$1:$T$898,17,FALSE)</f>
        <v>0</v>
      </c>
      <c r="O347">
        <f>VLOOKUP($C347,'[1]PoB AA'!$C$1:$T$898,18,FALSE)</f>
        <v>0</v>
      </c>
      <c r="P347">
        <f>VLOOKUP($C347,'[1]PoB AI'!$C$1:$T$898,17,FALSE)</f>
        <v>0</v>
      </c>
      <c r="Q347">
        <f>VLOOKUP($C347,'[1]PoB AI'!$C$1:$T$898,18,FALSE)</f>
        <v>0</v>
      </c>
      <c r="R347">
        <f>VLOOKUP($C347,'[1]PoB AS'!$C$1:$T$898,17,FALSE)</f>
        <v>0</v>
      </c>
      <c r="S347">
        <f>VLOOKUP($C347,'[1]PoB AS'!$C$1:$T$898,18,FALSE)</f>
        <v>0</v>
      </c>
      <c r="T347">
        <f>VLOOKUP($C347,'[1]PoB PI'!$C$1:$T$898,17,FALSE)</f>
        <v>0</v>
      </c>
      <c r="U347">
        <f>VLOOKUP($C347,'[1]PoB PI'!$C$1:$T$898,18,FALSE)</f>
        <v>0</v>
      </c>
      <c r="V347">
        <f>VLOOKUP($C347,'[1]PoB OT'!$C$1:$T$898,17,FALSE)</f>
        <v>0</v>
      </c>
      <c r="W347">
        <f>VLOOKUP($C347,'[1]PoB OT'!$C$1:$T$898,18,FALSE)</f>
        <v>0</v>
      </c>
      <c r="X347">
        <f>VLOOKUP($C347,'[1]PoB 2R'!$C$1:$T$898,17,FALSE)</f>
        <v>7</v>
      </c>
      <c r="Y347">
        <f>VLOOKUP($C347,'[1]PoB 2R'!$C$1:$T$898,18,FALSE)</f>
        <v>0</v>
      </c>
    </row>
    <row r="348" spans="1:25" x14ac:dyDescent="0.25">
      <c r="A348" t="s">
        <v>1094</v>
      </c>
      <c r="B348">
        <v>5352495</v>
      </c>
      <c r="C348" t="s">
        <v>1095</v>
      </c>
      <c r="D348">
        <f t="shared" si="15"/>
        <v>5482</v>
      </c>
      <c r="E348">
        <f>VLOOKUP($C348,'[1]PoB Totals'!$C$3:$T$898,17,FALSE)</f>
        <v>5094</v>
      </c>
      <c r="F348">
        <f>VLOOKUP($C348,'[1]PoB Totals'!$C$3:$T$898,18,FALSE)</f>
        <v>388</v>
      </c>
      <c r="G348">
        <f t="shared" si="16"/>
        <v>5482</v>
      </c>
      <c r="H348">
        <f t="shared" si="17"/>
        <v>5094</v>
      </c>
      <c r="I348">
        <f t="shared" si="17"/>
        <v>388</v>
      </c>
      <c r="J348">
        <f>VLOOKUP($C348,'[1]PoB WN'!$C$1:$T$898,17,FALSE)</f>
        <v>4457</v>
      </c>
      <c r="K348">
        <f>VLOOKUP($C348,'[1]PoB WN'!$C$1:$T$898,18,FALSE)</f>
        <v>149</v>
      </c>
      <c r="L348">
        <f>VLOOKUP($C348,'[1]PoB WH'!$C$1:$T$898,17,FALSE)</f>
        <v>110</v>
      </c>
      <c r="M348">
        <f>VLOOKUP($C348,'[1]PoB WH'!$C$1:$T$898,18,FALSE)</f>
        <v>38</v>
      </c>
      <c r="N348">
        <f>VLOOKUP($C348,'[1]PoB AA'!$C$1:$T$898,17,FALSE)</f>
        <v>43</v>
      </c>
      <c r="O348">
        <f>VLOOKUP($C348,'[1]PoB AA'!$C$1:$T$898,18,FALSE)</f>
        <v>0</v>
      </c>
      <c r="P348">
        <f>VLOOKUP($C348,'[1]PoB AI'!$C$1:$T$898,17,FALSE)</f>
        <v>119</v>
      </c>
      <c r="Q348">
        <f>VLOOKUP($C348,'[1]PoB AI'!$C$1:$T$898,18,FALSE)</f>
        <v>0</v>
      </c>
      <c r="R348">
        <f>VLOOKUP($C348,'[1]PoB AS'!$C$1:$T$898,17,FALSE)</f>
        <v>35</v>
      </c>
      <c r="S348">
        <f>VLOOKUP($C348,'[1]PoB AS'!$C$1:$T$898,18,FALSE)</f>
        <v>164</v>
      </c>
      <c r="T348">
        <f>VLOOKUP($C348,'[1]PoB PI'!$C$1:$T$898,17,FALSE)</f>
        <v>0</v>
      </c>
      <c r="U348">
        <f>VLOOKUP($C348,'[1]PoB PI'!$C$1:$T$898,18,FALSE)</f>
        <v>0</v>
      </c>
      <c r="V348">
        <f>VLOOKUP($C348,'[1]PoB OT'!$C$1:$T$898,17,FALSE)</f>
        <v>97</v>
      </c>
      <c r="W348">
        <f>VLOOKUP($C348,'[1]PoB OT'!$C$1:$T$898,18,FALSE)</f>
        <v>23</v>
      </c>
      <c r="X348">
        <f>VLOOKUP($C348,'[1]PoB 2R'!$C$1:$T$898,17,FALSE)</f>
        <v>233</v>
      </c>
      <c r="Y348">
        <f>VLOOKUP($C348,'[1]PoB 2R'!$C$1:$T$898,18,FALSE)</f>
        <v>14</v>
      </c>
    </row>
    <row r="349" spans="1:25" x14ac:dyDescent="0.25">
      <c r="A349" t="s">
        <v>1566</v>
      </c>
      <c r="B349">
        <v>5352765</v>
      </c>
      <c r="C349" t="s">
        <v>1567</v>
      </c>
      <c r="D349">
        <f t="shared" si="15"/>
        <v>24249</v>
      </c>
      <c r="E349">
        <f>VLOOKUP($C349,'[1]PoB Totals'!$C$3:$T$898,17,FALSE)</f>
        <v>20690</v>
      </c>
      <c r="F349">
        <f>VLOOKUP($C349,'[1]PoB Totals'!$C$3:$T$898,18,FALSE)</f>
        <v>3559</v>
      </c>
      <c r="G349">
        <f t="shared" si="16"/>
        <v>24249</v>
      </c>
      <c r="H349">
        <f t="shared" si="17"/>
        <v>20690</v>
      </c>
      <c r="I349">
        <f t="shared" si="17"/>
        <v>3559</v>
      </c>
      <c r="J349">
        <f>VLOOKUP($C349,'[1]PoB WN'!$C$1:$T$898,17,FALSE)</f>
        <v>16707</v>
      </c>
      <c r="K349">
        <f>VLOOKUP($C349,'[1]PoB WN'!$C$1:$T$898,18,FALSE)</f>
        <v>1447</v>
      </c>
      <c r="L349">
        <f>VLOOKUP($C349,'[1]PoB WH'!$C$1:$T$898,17,FALSE)</f>
        <v>612</v>
      </c>
      <c r="M349">
        <f>VLOOKUP($C349,'[1]PoB WH'!$C$1:$T$898,18,FALSE)</f>
        <v>214</v>
      </c>
      <c r="N349">
        <f>VLOOKUP($C349,'[1]PoB AA'!$C$1:$T$898,17,FALSE)</f>
        <v>806</v>
      </c>
      <c r="O349">
        <f>VLOOKUP($C349,'[1]PoB AA'!$C$1:$T$898,18,FALSE)</f>
        <v>124</v>
      </c>
      <c r="P349">
        <f>VLOOKUP($C349,'[1]PoB AI'!$C$1:$T$898,17,FALSE)</f>
        <v>320</v>
      </c>
      <c r="Q349">
        <f>VLOOKUP($C349,'[1]PoB AI'!$C$1:$T$898,18,FALSE)</f>
        <v>16</v>
      </c>
      <c r="R349">
        <f>VLOOKUP($C349,'[1]PoB AS'!$C$1:$T$898,17,FALSE)</f>
        <v>486</v>
      </c>
      <c r="S349">
        <f>VLOOKUP($C349,'[1]PoB AS'!$C$1:$T$898,18,FALSE)</f>
        <v>1086</v>
      </c>
      <c r="T349">
        <f>VLOOKUP($C349,'[1]PoB PI'!$C$1:$T$898,17,FALSE)</f>
        <v>101</v>
      </c>
      <c r="U349">
        <f>VLOOKUP($C349,'[1]PoB PI'!$C$1:$T$898,18,FALSE)</f>
        <v>27</v>
      </c>
      <c r="V349">
        <f>VLOOKUP($C349,'[1]PoB OT'!$C$1:$T$898,17,FALSE)</f>
        <v>449</v>
      </c>
      <c r="W349">
        <f>VLOOKUP($C349,'[1]PoB OT'!$C$1:$T$898,18,FALSE)</f>
        <v>468</v>
      </c>
      <c r="X349">
        <f>VLOOKUP($C349,'[1]PoB 2R'!$C$1:$T$898,17,FALSE)</f>
        <v>1209</v>
      </c>
      <c r="Y349">
        <f>VLOOKUP($C349,'[1]PoB 2R'!$C$1:$T$898,18,FALSE)</f>
        <v>177</v>
      </c>
    </row>
    <row r="350" spans="1:25" x14ac:dyDescent="0.25">
      <c r="A350" t="s">
        <v>1100</v>
      </c>
      <c r="B350">
        <v>5352950</v>
      </c>
      <c r="C350" t="s">
        <v>1101</v>
      </c>
      <c r="D350">
        <f t="shared" si="15"/>
        <v>1026</v>
      </c>
      <c r="E350">
        <f>VLOOKUP($C350,'[1]PoB Totals'!$C$3:$T$898,17,FALSE)</f>
        <v>1005</v>
      </c>
      <c r="F350">
        <f>VLOOKUP($C350,'[1]PoB Totals'!$C$3:$T$898,18,FALSE)</f>
        <v>21</v>
      </c>
      <c r="G350">
        <f t="shared" si="16"/>
        <v>1026</v>
      </c>
      <c r="H350">
        <f t="shared" si="17"/>
        <v>1005</v>
      </c>
      <c r="I350">
        <f t="shared" si="17"/>
        <v>21</v>
      </c>
      <c r="J350">
        <f>VLOOKUP($C350,'[1]PoB WN'!$C$1:$T$898,17,FALSE)</f>
        <v>937</v>
      </c>
      <c r="K350">
        <f>VLOOKUP($C350,'[1]PoB WN'!$C$1:$T$898,18,FALSE)</f>
        <v>11</v>
      </c>
      <c r="L350">
        <f>VLOOKUP($C350,'[1]PoB WH'!$C$1:$T$898,17,FALSE)</f>
        <v>5</v>
      </c>
      <c r="M350">
        <f>VLOOKUP($C350,'[1]PoB WH'!$C$1:$T$898,18,FALSE)</f>
        <v>5</v>
      </c>
      <c r="N350">
        <f>VLOOKUP($C350,'[1]PoB AA'!$C$1:$T$898,17,FALSE)</f>
        <v>0</v>
      </c>
      <c r="O350">
        <f>VLOOKUP($C350,'[1]PoB AA'!$C$1:$T$898,18,FALSE)</f>
        <v>0</v>
      </c>
      <c r="P350">
        <f>VLOOKUP($C350,'[1]PoB AI'!$C$1:$T$898,17,FALSE)</f>
        <v>17</v>
      </c>
      <c r="Q350">
        <f>VLOOKUP($C350,'[1]PoB AI'!$C$1:$T$898,18,FALSE)</f>
        <v>0</v>
      </c>
      <c r="R350">
        <f>VLOOKUP($C350,'[1]PoB AS'!$C$1:$T$898,17,FALSE)</f>
        <v>2</v>
      </c>
      <c r="S350">
        <f>VLOOKUP($C350,'[1]PoB AS'!$C$1:$T$898,18,FALSE)</f>
        <v>5</v>
      </c>
      <c r="T350">
        <f>VLOOKUP($C350,'[1]PoB PI'!$C$1:$T$898,17,FALSE)</f>
        <v>0</v>
      </c>
      <c r="U350">
        <f>VLOOKUP($C350,'[1]PoB PI'!$C$1:$T$898,18,FALSE)</f>
        <v>0</v>
      </c>
      <c r="V350">
        <f>VLOOKUP($C350,'[1]PoB OT'!$C$1:$T$898,17,FALSE)</f>
        <v>23</v>
      </c>
      <c r="W350">
        <f>VLOOKUP($C350,'[1]PoB OT'!$C$1:$T$898,18,FALSE)</f>
        <v>0</v>
      </c>
      <c r="X350">
        <f>VLOOKUP($C350,'[1]PoB 2R'!$C$1:$T$898,17,FALSE)</f>
        <v>21</v>
      </c>
      <c r="Y350">
        <f>VLOOKUP($C350,'[1]PoB 2R'!$C$1:$T$898,18,FALSE)</f>
        <v>0</v>
      </c>
    </row>
    <row r="351" spans="1:25" x14ac:dyDescent="0.25">
      <c r="A351" t="s">
        <v>1104</v>
      </c>
      <c r="B351">
        <v>5353335</v>
      </c>
      <c r="C351" t="s">
        <v>1105</v>
      </c>
      <c r="D351">
        <f t="shared" si="15"/>
        <v>23908</v>
      </c>
      <c r="E351">
        <f>VLOOKUP($C351,'[1]PoB Totals'!$C$3:$T$898,17,FALSE)</f>
        <v>20840</v>
      </c>
      <c r="F351">
        <f>VLOOKUP($C351,'[1]PoB Totals'!$C$3:$T$898,18,FALSE)</f>
        <v>3068</v>
      </c>
      <c r="G351">
        <f t="shared" si="16"/>
        <v>23908</v>
      </c>
      <c r="H351">
        <f t="shared" si="17"/>
        <v>20840</v>
      </c>
      <c r="I351">
        <f t="shared" si="17"/>
        <v>3068</v>
      </c>
      <c r="J351">
        <f>VLOOKUP($C351,'[1]PoB WN'!$C$1:$T$898,17,FALSE)</f>
        <v>16238</v>
      </c>
      <c r="K351">
        <f>VLOOKUP($C351,'[1]PoB WN'!$C$1:$T$898,18,FALSE)</f>
        <v>869</v>
      </c>
      <c r="L351">
        <f>VLOOKUP($C351,'[1]PoB WH'!$C$1:$T$898,17,FALSE)</f>
        <v>312</v>
      </c>
      <c r="M351">
        <f>VLOOKUP($C351,'[1]PoB WH'!$C$1:$T$898,18,FALSE)</f>
        <v>73</v>
      </c>
      <c r="N351">
        <f>VLOOKUP($C351,'[1]PoB AA'!$C$1:$T$898,17,FALSE)</f>
        <v>1532</v>
      </c>
      <c r="O351">
        <f>VLOOKUP($C351,'[1]PoB AA'!$C$1:$T$898,18,FALSE)</f>
        <v>160</v>
      </c>
      <c r="P351">
        <f>VLOOKUP($C351,'[1]PoB AI'!$C$1:$T$898,17,FALSE)</f>
        <v>216</v>
      </c>
      <c r="Q351">
        <f>VLOOKUP($C351,'[1]PoB AI'!$C$1:$T$898,18,FALSE)</f>
        <v>0</v>
      </c>
      <c r="R351">
        <f>VLOOKUP($C351,'[1]PoB AS'!$C$1:$T$898,17,FALSE)</f>
        <v>354</v>
      </c>
      <c r="S351">
        <f>VLOOKUP($C351,'[1]PoB AS'!$C$1:$T$898,18,FALSE)</f>
        <v>1235</v>
      </c>
      <c r="T351">
        <f>VLOOKUP($C351,'[1]PoB PI'!$C$1:$T$898,17,FALSE)</f>
        <v>247</v>
      </c>
      <c r="U351">
        <f>VLOOKUP($C351,'[1]PoB PI'!$C$1:$T$898,18,FALSE)</f>
        <v>168</v>
      </c>
      <c r="V351">
        <f>VLOOKUP($C351,'[1]PoB OT'!$C$1:$T$898,17,FALSE)</f>
        <v>390</v>
      </c>
      <c r="W351">
        <f>VLOOKUP($C351,'[1]PoB OT'!$C$1:$T$898,18,FALSE)</f>
        <v>265</v>
      </c>
      <c r="X351">
        <f>VLOOKUP($C351,'[1]PoB 2R'!$C$1:$T$898,17,FALSE)</f>
        <v>1551</v>
      </c>
      <c r="Y351">
        <f>VLOOKUP($C351,'[1]PoB 2R'!$C$1:$T$898,18,FALSE)</f>
        <v>298</v>
      </c>
    </row>
    <row r="352" spans="1:25" x14ac:dyDescent="0.25">
      <c r="A352" t="s">
        <v>1106</v>
      </c>
      <c r="B352">
        <v>5353440</v>
      </c>
      <c r="C352" t="s">
        <v>1107</v>
      </c>
      <c r="D352">
        <f t="shared" si="15"/>
        <v>7238</v>
      </c>
      <c r="E352">
        <f>VLOOKUP($C352,'[1]PoB Totals'!$C$3:$T$898,17,FALSE)</f>
        <v>6730</v>
      </c>
      <c r="F352">
        <f>VLOOKUP($C352,'[1]PoB Totals'!$C$3:$T$898,18,FALSE)</f>
        <v>508</v>
      </c>
      <c r="G352">
        <f t="shared" si="16"/>
        <v>7238</v>
      </c>
      <c r="H352">
        <f t="shared" si="17"/>
        <v>6730</v>
      </c>
      <c r="I352">
        <f t="shared" si="17"/>
        <v>508</v>
      </c>
      <c r="J352">
        <f>VLOOKUP($C352,'[1]PoB WN'!$C$1:$T$898,17,FALSE)</f>
        <v>5738</v>
      </c>
      <c r="K352">
        <f>VLOOKUP($C352,'[1]PoB WN'!$C$1:$T$898,18,FALSE)</f>
        <v>174</v>
      </c>
      <c r="L352">
        <f>VLOOKUP($C352,'[1]PoB WH'!$C$1:$T$898,17,FALSE)</f>
        <v>205</v>
      </c>
      <c r="M352">
        <f>VLOOKUP($C352,'[1]PoB WH'!$C$1:$T$898,18,FALSE)</f>
        <v>7</v>
      </c>
      <c r="N352">
        <f>VLOOKUP($C352,'[1]PoB AA'!$C$1:$T$898,17,FALSE)</f>
        <v>73</v>
      </c>
      <c r="O352">
        <f>VLOOKUP($C352,'[1]PoB AA'!$C$1:$T$898,18,FALSE)</f>
        <v>11</v>
      </c>
      <c r="P352">
        <f>VLOOKUP($C352,'[1]PoB AI'!$C$1:$T$898,17,FALSE)</f>
        <v>85</v>
      </c>
      <c r="Q352">
        <f>VLOOKUP($C352,'[1]PoB AI'!$C$1:$T$898,18,FALSE)</f>
        <v>0</v>
      </c>
      <c r="R352">
        <f>VLOOKUP($C352,'[1]PoB AS'!$C$1:$T$898,17,FALSE)</f>
        <v>87</v>
      </c>
      <c r="S352">
        <f>VLOOKUP($C352,'[1]PoB AS'!$C$1:$T$898,18,FALSE)</f>
        <v>271</v>
      </c>
      <c r="T352">
        <f>VLOOKUP($C352,'[1]PoB PI'!$C$1:$T$898,17,FALSE)</f>
        <v>7</v>
      </c>
      <c r="U352">
        <f>VLOOKUP($C352,'[1]PoB PI'!$C$1:$T$898,18,FALSE)</f>
        <v>7</v>
      </c>
      <c r="V352">
        <f>VLOOKUP($C352,'[1]PoB OT'!$C$1:$T$898,17,FALSE)</f>
        <v>52</v>
      </c>
      <c r="W352">
        <f>VLOOKUP($C352,'[1]PoB OT'!$C$1:$T$898,18,FALSE)</f>
        <v>23</v>
      </c>
      <c r="X352">
        <f>VLOOKUP($C352,'[1]PoB 2R'!$C$1:$T$898,17,FALSE)</f>
        <v>483</v>
      </c>
      <c r="Y352">
        <f>VLOOKUP($C352,'[1]PoB 2R'!$C$1:$T$898,18,FALSE)</f>
        <v>15</v>
      </c>
    </row>
    <row r="353" spans="1:25" x14ac:dyDescent="0.25">
      <c r="A353" t="s">
        <v>1108</v>
      </c>
      <c r="B353">
        <v>5353545</v>
      </c>
      <c r="C353" t="s">
        <v>1109</v>
      </c>
      <c r="D353">
        <f t="shared" si="15"/>
        <v>31976</v>
      </c>
      <c r="E353">
        <f>VLOOKUP($C353,'[1]PoB Totals'!$C$3:$T$898,17,FALSE)</f>
        <v>21997</v>
      </c>
      <c r="F353">
        <f>VLOOKUP($C353,'[1]PoB Totals'!$C$3:$T$898,18,FALSE)</f>
        <v>9979</v>
      </c>
      <c r="G353">
        <f t="shared" si="16"/>
        <v>31976</v>
      </c>
      <c r="H353">
        <f t="shared" si="17"/>
        <v>21997</v>
      </c>
      <c r="I353">
        <f t="shared" si="17"/>
        <v>9979</v>
      </c>
      <c r="J353">
        <f>VLOOKUP($C353,'[1]PoB WN'!$C$1:$T$898,17,FALSE)</f>
        <v>11040</v>
      </c>
      <c r="K353">
        <f>VLOOKUP($C353,'[1]PoB WN'!$C$1:$T$898,18,FALSE)</f>
        <v>714</v>
      </c>
      <c r="L353">
        <f>VLOOKUP($C353,'[1]PoB WH'!$C$1:$T$898,17,FALSE)</f>
        <v>2427</v>
      </c>
      <c r="M353">
        <f>VLOOKUP($C353,'[1]PoB WH'!$C$1:$T$898,18,FALSE)</f>
        <v>2443</v>
      </c>
      <c r="N353">
        <f>VLOOKUP($C353,'[1]PoB AA'!$C$1:$T$898,17,FALSE)</f>
        <v>872</v>
      </c>
      <c r="O353">
        <f>VLOOKUP($C353,'[1]PoB AA'!$C$1:$T$898,18,FALSE)</f>
        <v>15</v>
      </c>
      <c r="P353">
        <f>VLOOKUP($C353,'[1]PoB AI'!$C$1:$T$898,17,FALSE)</f>
        <v>154</v>
      </c>
      <c r="Q353">
        <f>VLOOKUP($C353,'[1]PoB AI'!$C$1:$T$898,18,FALSE)</f>
        <v>68</v>
      </c>
      <c r="R353">
        <f>VLOOKUP($C353,'[1]PoB AS'!$C$1:$T$898,17,FALSE)</f>
        <v>233</v>
      </c>
      <c r="S353">
        <f>VLOOKUP($C353,'[1]PoB AS'!$C$1:$T$898,18,FALSE)</f>
        <v>481</v>
      </c>
      <c r="T353">
        <f>VLOOKUP($C353,'[1]PoB PI'!$C$1:$T$898,17,FALSE)</f>
        <v>18</v>
      </c>
      <c r="U353">
        <f>VLOOKUP($C353,'[1]PoB PI'!$C$1:$T$898,18,FALSE)</f>
        <v>0</v>
      </c>
      <c r="V353">
        <f>VLOOKUP($C353,'[1]PoB OT'!$C$1:$T$898,17,FALSE)</f>
        <v>6224</v>
      </c>
      <c r="W353">
        <f>VLOOKUP($C353,'[1]PoB OT'!$C$1:$T$898,18,FALSE)</f>
        <v>5921</v>
      </c>
      <c r="X353">
        <f>VLOOKUP($C353,'[1]PoB 2R'!$C$1:$T$898,17,FALSE)</f>
        <v>1029</v>
      </c>
      <c r="Y353">
        <f>VLOOKUP($C353,'[1]PoB 2R'!$C$1:$T$898,18,FALSE)</f>
        <v>337</v>
      </c>
    </row>
    <row r="354" spans="1:25" x14ac:dyDescent="0.25">
      <c r="A354" t="s">
        <v>1110</v>
      </c>
      <c r="B354">
        <v>5353720</v>
      </c>
      <c r="C354" t="s">
        <v>1111</v>
      </c>
      <c r="D354">
        <f t="shared" si="15"/>
        <v>659</v>
      </c>
      <c r="E354">
        <f>VLOOKUP($C354,'[1]PoB Totals'!$C$3:$T$898,17,FALSE)</f>
        <v>482</v>
      </c>
      <c r="F354">
        <f>VLOOKUP($C354,'[1]PoB Totals'!$C$3:$T$898,18,FALSE)</f>
        <v>177</v>
      </c>
      <c r="G354">
        <f t="shared" si="16"/>
        <v>659</v>
      </c>
      <c r="H354">
        <f t="shared" si="17"/>
        <v>482</v>
      </c>
      <c r="I354">
        <f t="shared" si="17"/>
        <v>177</v>
      </c>
      <c r="J354">
        <f>VLOOKUP($C354,'[1]PoB WN'!$C$1:$T$898,17,FALSE)</f>
        <v>399</v>
      </c>
      <c r="K354">
        <f>VLOOKUP($C354,'[1]PoB WN'!$C$1:$T$898,18,FALSE)</f>
        <v>9</v>
      </c>
      <c r="L354">
        <f>VLOOKUP($C354,'[1]PoB WH'!$C$1:$T$898,17,FALSE)</f>
        <v>20</v>
      </c>
      <c r="M354">
        <f>VLOOKUP($C354,'[1]PoB WH'!$C$1:$T$898,18,FALSE)</f>
        <v>32</v>
      </c>
      <c r="N354">
        <f>VLOOKUP($C354,'[1]PoB AA'!$C$1:$T$898,17,FALSE)</f>
        <v>0</v>
      </c>
      <c r="O354">
        <f>VLOOKUP($C354,'[1]PoB AA'!$C$1:$T$898,18,FALSE)</f>
        <v>0</v>
      </c>
      <c r="P354">
        <f>VLOOKUP($C354,'[1]PoB AI'!$C$1:$T$898,17,FALSE)</f>
        <v>6</v>
      </c>
      <c r="Q354">
        <f>VLOOKUP($C354,'[1]PoB AI'!$C$1:$T$898,18,FALSE)</f>
        <v>2</v>
      </c>
      <c r="R354">
        <f>VLOOKUP($C354,'[1]PoB AS'!$C$1:$T$898,17,FALSE)</f>
        <v>0</v>
      </c>
      <c r="S354">
        <f>VLOOKUP($C354,'[1]PoB AS'!$C$1:$T$898,18,FALSE)</f>
        <v>7</v>
      </c>
      <c r="T354">
        <f>VLOOKUP($C354,'[1]PoB PI'!$C$1:$T$898,17,FALSE)</f>
        <v>0</v>
      </c>
      <c r="U354">
        <f>VLOOKUP($C354,'[1]PoB PI'!$C$1:$T$898,18,FALSE)</f>
        <v>0</v>
      </c>
      <c r="V354">
        <f>VLOOKUP($C354,'[1]PoB OT'!$C$1:$T$898,17,FALSE)</f>
        <v>41</v>
      </c>
      <c r="W354">
        <f>VLOOKUP($C354,'[1]PoB OT'!$C$1:$T$898,18,FALSE)</f>
        <v>123</v>
      </c>
      <c r="X354">
        <f>VLOOKUP($C354,'[1]PoB 2R'!$C$1:$T$898,17,FALSE)</f>
        <v>16</v>
      </c>
      <c r="Y354">
        <f>VLOOKUP($C354,'[1]PoB 2R'!$C$1:$T$898,18,FALSE)</f>
        <v>4</v>
      </c>
    </row>
    <row r="355" spans="1:25" x14ac:dyDescent="0.25">
      <c r="A355" t="s">
        <v>1112</v>
      </c>
      <c r="B355">
        <v>5353800</v>
      </c>
      <c r="C355" t="s">
        <v>1113</v>
      </c>
      <c r="D355">
        <f t="shared" si="15"/>
        <v>2579</v>
      </c>
      <c r="E355">
        <f>VLOOKUP($C355,'[1]PoB Totals'!$C$3:$T$898,17,FALSE)</f>
        <v>1849</v>
      </c>
      <c r="F355">
        <f>VLOOKUP($C355,'[1]PoB Totals'!$C$3:$T$898,18,FALSE)</f>
        <v>730</v>
      </c>
      <c r="G355">
        <f t="shared" si="16"/>
        <v>2579</v>
      </c>
      <c r="H355">
        <f t="shared" si="17"/>
        <v>1849</v>
      </c>
      <c r="I355">
        <f t="shared" si="17"/>
        <v>730</v>
      </c>
      <c r="J355">
        <f>VLOOKUP($C355,'[1]PoB WN'!$C$1:$T$898,17,FALSE)</f>
        <v>1609</v>
      </c>
      <c r="K355">
        <f>VLOOKUP($C355,'[1]PoB WN'!$C$1:$T$898,18,FALSE)</f>
        <v>714</v>
      </c>
      <c r="L355">
        <f>VLOOKUP($C355,'[1]PoB WH'!$C$1:$T$898,17,FALSE)</f>
        <v>51</v>
      </c>
      <c r="M355">
        <f>VLOOKUP($C355,'[1]PoB WH'!$C$1:$T$898,18,FALSE)</f>
        <v>3</v>
      </c>
      <c r="N355">
        <f>VLOOKUP($C355,'[1]PoB AA'!$C$1:$T$898,17,FALSE)</f>
        <v>7</v>
      </c>
      <c r="O355">
        <f>VLOOKUP($C355,'[1]PoB AA'!$C$1:$T$898,18,FALSE)</f>
        <v>0</v>
      </c>
      <c r="P355">
        <f>VLOOKUP($C355,'[1]PoB AI'!$C$1:$T$898,17,FALSE)</f>
        <v>61</v>
      </c>
      <c r="Q355">
        <f>VLOOKUP($C355,'[1]PoB AI'!$C$1:$T$898,18,FALSE)</f>
        <v>0</v>
      </c>
      <c r="R355">
        <f>VLOOKUP($C355,'[1]PoB AS'!$C$1:$T$898,17,FALSE)</f>
        <v>0</v>
      </c>
      <c r="S355">
        <f>VLOOKUP($C355,'[1]PoB AS'!$C$1:$T$898,18,FALSE)</f>
        <v>0</v>
      </c>
      <c r="T355">
        <f>VLOOKUP($C355,'[1]PoB PI'!$C$1:$T$898,17,FALSE)</f>
        <v>0</v>
      </c>
      <c r="U355">
        <f>VLOOKUP($C355,'[1]PoB PI'!$C$1:$T$898,18,FALSE)</f>
        <v>0</v>
      </c>
      <c r="V355">
        <f>VLOOKUP($C355,'[1]PoB OT'!$C$1:$T$898,17,FALSE)</f>
        <v>32</v>
      </c>
      <c r="W355">
        <f>VLOOKUP($C355,'[1]PoB OT'!$C$1:$T$898,18,FALSE)</f>
        <v>6</v>
      </c>
      <c r="X355">
        <f>VLOOKUP($C355,'[1]PoB 2R'!$C$1:$T$898,17,FALSE)</f>
        <v>89</v>
      </c>
      <c r="Y355">
        <f>VLOOKUP($C355,'[1]PoB 2R'!$C$1:$T$898,18,FALSE)</f>
        <v>7</v>
      </c>
    </row>
    <row r="356" spans="1:25" x14ac:dyDescent="0.25">
      <c r="A356" t="s">
        <v>1114</v>
      </c>
      <c r="B356">
        <v>5353930</v>
      </c>
      <c r="C356" t="s">
        <v>1115</v>
      </c>
      <c r="D356">
        <f t="shared" si="15"/>
        <v>688</v>
      </c>
      <c r="E356">
        <f>VLOOKUP($C356,'[1]PoB Totals'!$C$3:$T$898,17,FALSE)</f>
        <v>666</v>
      </c>
      <c r="F356">
        <f>VLOOKUP($C356,'[1]PoB Totals'!$C$3:$T$898,18,FALSE)</f>
        <v>22</v>
      </c>
      <c r="G356">
        <f t="shared" si="16"/>
        <v>688</v>
      </c>
      <c r="H356">
        <f t="shared" si="17"/>
        <v>666</v>
      </c>
      <c r="I356">
        <f t="shared" si="17"/>
        <v>22</v>
      </c>
      <c r="J356">
        <f>VLOOKUP($C356,'[1]PoB WN'!$C$1:$T$898,17,FALSE)</f>
        <v>612</v>
      </c>
      <c r="K356">
        <f>VLOOKUP($C356,'[1]PoB WN'!$C$1:$T$898,18,FALSE)</f>
        <v>16</v>
      </c>
      <c r="L356">
        <f>VLOOKUP($C356,'[1]PoB WH'!$C$1:$T$898,17,FALSE)</f>
        <v>0</v>
      </c>
      <c r="M356">
        <f>VLOOKUP($C356,'[1]PoB WH'!$C$1:$T$898,18,FALSE)</f>
        <v>0</v>
      </c>
      <c r="N356">
        <f>VLOOKUP($C356,'[1]PoB AA'!$C$1:$T$898,17,FALSE)</f>
        <v>4</v>
      </c>
      <c r="O356">
        <f>VLOOKUP($C356,'[1]PoB AA'!$C$1:$T$898,18,FALSE)</f>
        <v>0</v>
      </c>
      <c r="P356">
        <f>VLOOKUP($C356,'[1]PoB AI'!$C$1:$T$898,17,FALSE)</f>
        <v>22</v>
      </c>
      <c r="Q356">
        <f>VLOOKUP($C356,'[1]PoB AI'!$C$1:$T$898,18,FALSE)</f>
        <v>4</v>
      </c>
      <c r="R356">
        <f>VLOOKUP($C356,'[1]PoB AS'!$C$1:$T$898,17,FALSE)</f>
        <v>10</v>
      </c>
      <c r="S356">
        <f>VLOOKUP($C356,'[1]PoB AS'!$C$1:$T$898,18,FALSE)</f>
        <v>2</v>
      </c>
      <c r="T356">
        <f>VLOOKUP($C356,'[1]PoB PI'!$C$1:$T$898,17,FALSE)</f>
        <v>0</v>
      </c>
      <c r="U356">
        <f>VLOOKUP($C356,'[1]PoB PI'!$C$1:$T$898,18,FALSE)</f>
        <v>0</v>
      </c>
      <c r="V356">
        <f>VLOOKUP($C356,'[1]PoB OT'!$C$1:$T$898,17,FALSE)</f>
        <v>0</v>
      </c>
      <c r="W356">
        <f>VLOOKUP($C356,'[1]PoB OT'!$C$1:$T$898,18,FALSE)</f>
        <v>0</v>
      </c>
      <c r="X356">
        <f>VLOOKUP($C356,'[1]PoB 2R'!$C$1:$T$898,17,FALSE)</f>
        <v>18</v>
      </c>
      <c r="Y356">
        <f>VLOOKUP($C356,'[1]PoB 2R'!$C$1:$T$898,18,FALSE)</f>
        <v>0</v>
      </c>
    </row>
    <row r="357" spans="1:25" x14ac:dyDescent="0.25">
      <c r="A357" t="s">
        <v>1568</v>
      </c>
      <c r="B357">
        <v>5354215</v>
      </c>
      <c r="C357" t="s">
        <v>1569</v>
      </c>
      <c r="D357">
        <f t="shared" si="15"/>
        <v>22824</v>
      </c>
      <c r="E357">
        <f>VLOOKUP($C357,'[1]PoB Totals'!$C$3:$T$898,17,FALSE)</f>
        <v>18874</v>
      </c>
      <c r="F357">
        <f>VLOOKUP($C357,'[1]PoB Totals'!$C$3:$T$898,18,FALSE)</f>
        <v>3950</v>
      </c>
      <c r="G357">
        <f t="shared" si="16"/>
        <v>22824</v>
      </c>
      <c r="H357">
        <f t="shared" si="17"/>
        <v>18874</v>
      </c>
      <c r="I357">
        <f t="shared" si="17"/>
        <v>3950</v>
      </c>
      <c r="J357">
        <f>VLOOKUP($C357,'[1]PoB WN'!$C$1:$T$898,17,FALSE)</f>
        <v>16181</v>
      </c>
      <c r="K357">
        <f>VLOOKUP($C357,'[1]PoB WN'!$C$1:$T$898,18,FALSE)</f>
        <v>1275</v>
      </c>
      <c r="L357">
        <f>VLOOKUP($C357,'[1]PoB WH'!$C$1:$T$898,17,FALSE)</f>
        <v>281</v>
      </c>
      <c r="M357">
        <f>VLOOKUP($C357,'[1]PoB WH'!$C$1:$T$898,18,FALSE)</f>
        <v>89</v>
      </c>
      <c r="N357">
        <f>VLOOKUP($C357,'[1]PoB AA'!$C$1:$T$898,17,FALSE)</f>
        <v>393</v>
      </c>
      <c r="O357">
        <f>VLOOKUP($C357,'[1]PoB AA'!$C$1:$T$898,18,FALSE)</f>
        <v>78</v>
      </c>
      <c r="P357">
        <f>VLOOKUP($C357,'[1]PoB AI'!$C$1:$T$898,17,FALSE)</f>
        <v>183</v>
      </c>
      <c r="Q357">
        <f>VLOOKUP($C357,'[1]PoB AI'!$C$1:$T$898,18,FALSE)</f>
        <v>0</v>
      </c>
      <c r="R357">
        <f>VLOOKUP($C357,'[1]PoB AS'!$C$1:$T$898,17,FALSE)</f>
        <v>575</v>
      </c>
      <c r="S357">
        <f>VLOOKUP($C357,'[1]PoB AS'!$C$1:$T$898,18,FALSE)</f>
        <v>1907</v>
      </c>
      <c r="T357">
        <f>VLOOKUP($C357,'[1]PoB PI'!$C$1:$T$898,17,FALSE)</f>
        <v>44</v>
      </c>
      <c r="U357">
        <f>VLOOKUP($C357,'[1]PoB PI'!$C$1:$T$898,18,FALSE)</f>
        <v>21</v>
      </c>
      <c r="V357">
        <f>VLOOKUP($C357,'[1]PoB OT'!$C$1:$T$898,17,FALSE)</f>
        <v>280</v>
      </c>
      <c r="W357">
        <f>VLOOKUP($C357,'[1]PoB OT'!$C$1:$T$898,18,FALSE)</f>
        <v>358</v>
      </c>
      <c r="X357">
        <f>VLOOKUP($C357,'[1]PoB 2R'!$C$1:$T$898,17,FALSE)</f>
        <v>937</v>
      </c>
      <c r="Y357">
        <f>VLOOKUP($C357,'[1]PoB 2R'!$C$1:$T$898,18,FALSE)</f>
        <v>222</v>
      </c>
    </row>
    <row r="358" spans="1:25" x14ac:dyDescent="0.25">
      <c r="A358" t="s">
        <v>1122</v>
      </c>
      <c r="B358">
        <v>5355120</v>
      </c>
      <c r="C358" t="s">
        <v>1123</v>
      </c>
      <c r="D358">
        <f t="shared" si="15"/>
        <v>1514</v>
      </c>
      <c r="E358">
        <f>VLOOKUP($C358,'[1]PoB Totals'!$C$3:$T$898,17,FALSE)</f>
        <v>1485</v>
      </c>
      <c r="F358">
        <f>VLOOKUP($C358,'[1]PoB Totals'!$C$3:$T$898,18,FALSE)</f>
        <v>29</v>
      </c>
      <c r="G358">
        <f t="shared" si="16"/>
        <v>1514</v>
      </c>
      <c r="H358">
        <f t="shared" si="17"/>
        <v>1485</v>
      </c>
      <c r="I358">
        <f t="shared" si="17"/>
        <v>29</v>
      </c>
      <c r="J358">
        <f>VLOOKUP($C358,'[1]PoB WN'!$C$1:$T$898,17,FALSE)</f>
        <v>1450</v>
      </c>
      <c r="K358">
        <f>VLOOKUP($C358,'[1]PoB WN'!$C$1:$T$898,18,FALSE)</f>
        <v>16</v>
      </c>
      <c r="L358">
        <f>VLOOKUP($C358,'[1]PoB WH'!$C$1:$T$898,17,FALSE)</f>
        <v>0</v>
      </c>
      <c r="M358">
        <f>VLOOKUP($C358,'[1]PoB WH'!$C$1:$T$898,18,FALSE)</f>
        <v>3</v>
      </c>
      <c r="N358">
        <f>VLOOKUP($C358,'[1]PoB AA'!$C$1:$T$898,17,FALSE)</f>
        <v>0</v>
      </c>
      <c r="O358">
        <f>VLOOKUP($C358,'[1]PoB AA'!$C$1:$T$898,18,FALSE)</f>
        <v>0</v>
      </c>
      <c r="P358">
        <f>VLOOKUP($C358,'[1]PoB AI'!$C$1:$T$898,17,FALSE)</f>
        <v>3</v>
      </c>
      <c r="Q358">
        <f>VLOOKUP($C358,'[1]PoB AI'!$C$1:$T$898,18,FALSE)</f>
        <v>0</v>
      </c>
      <c r="R358">
        <f>VLOOKUP($C358,'[1]PoB AS'!$C$1:$T$898,17,FALSE)</f>
        <v>0</v>
      </c>
      <c r="S358">
        <f>VLOOKUP($C358,'[1]PoB AS'!$C$1:$T$898,18,FALSE)</f>
        <v>5</v>
      </c>
      <c r="T358">
        <f>VLOOKUP($C358,'[1]PoB PI'!$C$1:$T$898,17,FALSE)</f>
        <v>2</v>
      </c>
      <c r="U358">
        <f>VLOOKUP($C358,'[1]PoB PI'!$C$1:$T$898,18,FALSE)</f>
        <v>0</v>
      </c>
      <c r="V358">
        <f>VLOOKUP($C358,'[1]PoB OT'!$C$1:$T$898,17,FALSE)</f>
        <v>3</v>
      </c>
      <c r="W358">
        <f>VLOOKUP($C358,'[1]PoB OT'!$C$1:$T$898,18,FALSE)</f>
        <v>5</v>
      </c>
      <c r="X358">
        <f>VLOOKUP($C358,'[1]PoB 2R'!$C$1:$T$898,17,FALSE)</f>
        <v>27</v>
      </c>
      <c r="Y358">
        <f>VLOOKUP($C358,'[1]PoB 2R'!$C$1:$T$898,18,FALSE)</f>
        <v>0</v>
      </c>
    </row>
    <row r="359" spans="1:25" x14ac:dyDescent="0.25">
      <c r="A359" t="s">
        <v>1124</v>
      </c>
      <c r="B359">
        <v>5355365</v>
      </c>
      <c r="C359" t="s">
        <v>1125</v>
      </c>
      <c r="D359">
        <f t="shared" si="15"/>
        <v>18472</v>
      </c>
      <c r="E359">
        <f>VLOOKUP($C359,'[1]PoB Totals'!$C$3:$T$898,17,FALSE)</f>
        <v>17677</v>
      </c>
      <c r="F359">
        <f>VLOOKUP($C359,'[1]PoB Totals'!$C$3:$T$898,18,FALSE)</f>
        <v>795</v>
      </c>
      <c r="G359">
        <f t="shared" si="16"/>
        <v>18472</v>
      </c>
      <c r="H359">
        <f t="shared" si="17"/>
        <v>17677</v>
      </c>
      <c r="I359">
        <f t="shared" si="17"/>
        <v>795</v>
      </c>
      <c r="J359">
        <f>VLOOKUP($C359,'[1]PoB WN'!$C$1:$T$898,17,FALSE)</f>
        <v>16175</v>
      </c>
      <c r="K359">
        <f>VLOOKUP($C359,'[1]PoB WN'!$C$1:$T$898,18,FALSE)</f>
        <v>470</v>
      </c>
      <c r="L359">
        <f>VLOOKUP($C359,'[1]PoB WH'!$C$1:$T$898,17,FALSE)</f>
        <v>346</v>
      </c>
      <c r="M359">
        <f>VLOOKUP($C359,'[1]PoB WH'!$C$1:$T$898,18,FALSE)</f>
        <v>14</v>
      </c>
      <c r="N359">
        <f>VLOOKUP($C359,'[1]PoB AA'!$C$1:$T$898,17,FALSE)</f>
        <v>99</v>
      </c>
      <c r="O359">
        <f>VLOOKUP($C359,'[1]PoB AA'!$C$1:$T$898,18,FALSE)</f>
        <v>5</v>
      </c>
      <c r="P359">
        <f>VLOOKUP($C359,'[1]PoB AI'!$C$1:$T$898,17,FALSE)</f>
        <v>453</v>
      </c>
      <c r="Q359">
        <f>VLOOKUP($C359,'[1]PoB AI'!$C$1:$T$898,18,FALSE)</f>
        <v>7</v>
      </c>
      <c r="R359">
        <f>VLOOKUP($C359,'[1]PoB AS'!$C$1:$T$898,17,FALSE)</f>
        <v>59</v>
      </c>
      <c r="S359">
        <f>VLOOKUP($C359,'[1]PoB AS'!$C$1:$T$898,18,FALSE)</f>
        <v>192</v>
      </c>
      <c r="T359">
        <f>VLOOKUP($C359,'[1]PoB PI'!$C$1:$T$898,17,FALSE)</f>
        <v>3</v>
      </c>
      <c r="U359">
        <f>VLOOKUP($C359,'[1]PoB PI'!$C$1:$T$898,18,FALSE)</f>
        <v>18</v>
      </c>
      <c r="V359">
        <f>VLOOKUP($C359,'[1]PoB OT'!$C$1:$T$898,17,FALSE)</f>
        <v>48</v>
      </c>
      <c r="W359">
        <f>VLOOKUP($C359,'[1]PoB OT'!$C$1:$T$898,18,FALSE)</f>
        <v>21</v>
      </c>
      <c r="X359">
        <f>VLOOKUP($C359,'[1]PoB 2R'!$C$1:$T$898,17,FALSE)</f>
        <v>494</v>
      </c>
      <c r="Y359">
        <f>VLOOKUP($C359,'[1]PoB 2R'!$C$1:$T$898,18,FALSE)</f>
        <v>68</v>
      </c>
    </row>
    <row r="360" spans="1:25" x14ac:dyDescent="0.25">
      <c r="A360" t="s">
        <v>1126</v>
      </c>
      <c r="B360">
        <v>5355400</v>
      </c>
      <c r="C360" t="s">
        <v>1127</v>
      </c>
      <c r="D360">
        <f t="shared" si="15"/>
        <v>3050</v>
      </c>
      <c r="E360">
        <f>VLOOKUP($C360,'[1]PoB Totals'!$C$3:$T$898,17,FALSE)</f>
        <v>2898</v>
      </c>
      <c r="F360">
        <f>VLOOKUP($C360,'[1]PoB Totals'!$C$3:$T$898,18,FALSE)</f>
        <v>152</v>
      </c>
      <c r="G360">
        <f t="shared" si="16"/>
        <v>3050</v>
      </c>
      <c r="H360">
        <f t="shared" si="17"/>
        <v>2898</v>
      </c>
      <c r="I360">
        <f t="shared" si="17"/>
        <v>152</v>
      </c>
      <c r="J360">
        <f>VLOOKUP($C360,'[1]PoB WN'!$C$1:$T$898,17,FALSE)</f>
        <v>2741</v>
      </c>
      <c r="K360">
        <f>VLOOKUP($C360,'[1]PoB WN'!$C$1:$T$898,18,FALSE)</f>
        <v>88</v>
      </c>
      <c r="L360">
        <f>VLOOKUP($C360,'[1]PoB WH'!$C$1:$T$898,17,FALSE)</f>
        <v>24</v>
      </c>
      <c r="M360">
        <f>VLOOKUP($C360,'[1]PoB WH'!$C$1:$T$898,18,FALSE)</f>
        <v>7</v>
      </c>
      <c r="N360">
        <f>VLOOKUP($C360,'[1]PoB AA'!$C$1:$T$898,17,FALSE)</f>
        <v>0</v>
      </c>
      <c r="O360">
        <f>VLOOKUP($C360,'[1]PoB AA'!$C$1:$T$898,18,FALSE)</f>
        <v>0</v>
      </c>
      <c r="P360">
        <f>VLOOKUP($C360,'[1]PoB AI'!$C$1:$T$898,17,FALSE)</f>
        <v>92</v>
      </c>
      <c r="Q360">
        <f>VLOOKUP($C360,'[1]PoB AI'!$C$1:$T$898,18,FALSE)</f>
        <v>9</v>
      </c>
      <c r="R360">
        <f>VLOOKUP($C360,'[1]PoB AS'!$C$1:$T$898,17,FALSE)</f>
        <v>8</v>
      </c>
      <c r="S360">
        <f>VLOOKUP($C360,'[1]PoB AS'!$C$1:$T$898,18,FALSE)</f>
        <v>43</v>
      </c>
      <c r="T360">
        <f>VLOOKUP($C360,'[1]PoB PI'!$C$1:$T$898,17,FALSE)</f>
        <v>0</v>
      </c>
      <c r="U360">
        <f>VLOOKUP($C360,'[1]PoB PI'!$C$1:$T$898,18,FALSE)</f>
        <v>0</v>
      </c>
      <c r="V360">
        <f>VLOOKUP($C360,'[1]PoB OT'!$C$1:$T$898,17,FALSE)</f>
        <v>6</v>
      </c>
      <c r="W360">
        <f>VLOOKUP($C360,'[1]PoB OT'!$C$1:$T$898,18,FALSE)</f>
        <v>5</v>
      </c>
      <c r="X360">
        <f>VLOOKUP($C360,'[1]PoB 2R'!$C$1:$T$898,17,FALSE)</f>
        <v>27</v>
      </c>
      <c r="Y360">
        <f>VLOOKUP($C360,'[1]PoB 2R'!$C$1:$T$898,18,FALSE)</f>
        <v>0</v>
      </c>
    </row>
    <row r="361" spans="1:25" x14ac:dyDescent="0.25">
      <c r="A361" t="s">
        <v>1132</v>
      </c>
      <c r="B361">
        <v>5355620</v>
      </c>
      <c r="C361" t="s">
        <v>1133</v>
      </c>
      <c r="D361">
        <f t="shared" si="15"/>
        <v>3467</v>
      </c>
      <c r="E361">
        <f>VLOOKUP($C361,'[1]PoB Totals'!$C$3:$T$898,17,FALSE)</f>
        <v>3253</v>
      </c>
      <c r="F361">
        <f>VLOOKUP($C361,'[1]PoB Totals'!$C$3:$T$898,18,FALSE)</f>
        <v>214</v>
      </c>
      <c r="G361">
        <f t="shared" si="16"/>
        <v>3467</v>
      </c>
      <c r="H361">
        <f t="shared" si="17"/>
        <v>3253</v>
      </c>
      <c r="I361">
        <f t="shared" si="17"/>
        <v>214</v>
      </c>
      <c r="J361">
        <f>VLOOKUP($C361,'[1]PoB WN'!$C$1:$T$898,17,FALSE)</f>
        <v>2928</v>
      </c>
      <c r="K361">
        <f>VLOOKUP($C361,'[1]PoB WN'!$C$1:$T$898,18,FALSE)</f>
        <v>158</v>
      </c>
      <c r="L361">
        <f>VLOOKUP($C361,'[1]PoB WH'!$C$1:$T$898,17,FALSE)</f>
        <v>28</v>
      </c>
      <c r="M361">
        <f>VLOOKUP($C361,'[1]PoB WH'!$C$1:$T$898,18,FALSE)</f>
        <v>0</v>
      </c>
      <c r="N361">
        <f>VLOOKUP($C361,'[1]PoB AA'!$C$1:$T$898,17,FALSE)</f>
        <v>6</v>
      </c>
      <c r="O361">
        <f>VLOOKUP($C361,'[1]PoB AA'!$C$1:$T$898,18,FALSE)</f>
        <v>0</v>
      </c>
      <c r="P361">
        <f>VLOOKUP($C361,'[1]PoB AI'!$C$1:$T$898,17,FALSE)</f>
        <v>69</v>
      </c>
      <c r="Q361">
        <f>VLOOKUP($C361,'[1]PoB AI'!$C$1:$T$898,18,FALSE)</f>
        <v>0</v>
      </c>
      <c r="R361">
        <f>VLOOKUP($C361,'[1]PoB AS'!$C$1:$T$898,17,FALSE)</f>
        <v>24</v>
      </c>
      <c r="S361">
        <f>VLOOKUP($C361,'[1]PoB AS'!$C$1:$T$898,18,FALSE)</f>
        <v>51</v>
      </c>
      <c r="T361">
        <f>VLOOKUP($C361,'[1]PoB PI'!$C$1:$T$898,17,FALSE)</f>
        <v>5</v>
      </c>
      <c r="U361">
        <f>VLOOKUP($C361,'[1]PoB PI'!$C$1:$T$898,18,FALSE)</f>
        <v>0</v>
      </c>
      <c r="V361">
        <f>VLOOKUP($C361,'[1]PoB OT'!$C$1:$T$898,17,FALSE)</f>
        <v>19</v>
      </c>
      <c r="W361">
        <f>VLOOKUP($C361,'[1]PoB OT'!$C$1:$T$898,18,FALSE)</f>
        <v>0</v>
      </c>
      <c r="X361">
        <f>VLOOKUP($C361,'[1]PoB 2R'!$C$1:$T$898,17,FALSE)</f>
        <v>174</v>
      </c>
      <c r="Y361">
        <f>VLOOKUP($C361,'[1]PoB 2R'!$C$1:$T$898,18,FALSE)</f>
        <v>5</v>
      </c>
    </row>
    <row r="362" spans="1:25" x14ac:dyDescent="0.25">
      <c r="A362" t="s">
        <v>1134</v>
      </c>
      <c r="B362">
        <v>5355645</v>
      </c>
      <c r="C362" t="s">
        <v>1135</v>
      </c>
      <c r="D362">
        <f t="shared" si="15"/>
        <v>1953</v>
      </c>
      <c r="E362">
        <f>VLOOKUP($C362,'[1]PoB Totals'!$C$3:$T$898,17,FALSE)</f>
        <v>1807</v>
      </c>
      <c r="F362">
        <f>VLOOKUP($C362,'[1]PoB Totals'!$C$3:$T$898,18,FALSE)</f>
        <v>146</v>
      </c>
      <c r="G362">
        <f t="shared" si="16"/>
        <v>1953</v>
      </c>
      <c r="H362">
        <f t="shared" si="17"/>
        <v>1807</v>
      </c>
      <c r="I362">
        <f t="shared" si="17"/>
        <v>146</v>
      </c>
      <c r="J362">
        <f>VLOOKUP($C362,'[1]PoB WN'!$C$1:$T$898,17,FALSE)</f>
        <v>1717</v>
      </c>
      <c r="K362">
        <f>VLOOKUP($C362,'[1]PoB WN'!$C$1:$T$898,18,FALSE)</f>
        <v>146</v>
      </c>
      <c r="L362">
        <f>VLOOKUP($C362,'[1]PoB WH'!$C$1:$T$898,17,FALSE)</f>
        <v>65</v>
      </c>
      <c r="M362">
        <f>VLOOKUP($C362,'[1]PoB WH'!$C$1:$T$898,18,FALSE)</f>
        <v>0</v>
      </c>
      <c r="N362">
        <f>VLOOKUP($C362,'[1]PoB AA'!$C$1:$T$898,17,FALSE)</f>
        <v>0</v>
      </c>
      <c r="O362">
        <f>VLOOKUP($C362,'[1]PoB AA'!$C$1:$T$898,18,FALSE)</f>
        <v>0</v>
      </c>
      <c r="P362">
        <f>VLOOKUP($C362,'[1]PoB AI'!$C$1:$T$898,17,FALSE)</f>
        <v>25</v>
      </c>
      <c r="Q362">
        <f>VLOOKUP($C362,'[1]PoB AI'!$C$1:$T$898,18,FALSE)</f>
        <v>0</v>
      </c>
      <c r="R362">
        <f>VLOOKUP($C362,'[1]PoB AS'!$C$1:$T$898,17,FALSE)</f>
        <v>0</v>
      </c>
      <c r="S362">
        <f>VLOOKUP($C362,'[1]PoB AS'!$C$1:$T$898,18,FALSE)</f>
        <v>0</v>
      </c>
      <c r="T362">
        <f>VLOOKUP($C362,'[1]PoB PI'!$C$1:$T$898,17,FALSE)</f>
        <v>0</v>
      </c>
      <c r="U362">
        <f>VLOOKUP($C362,'[1]PoB PI'!$C$1:$T$898,18,FALSE)</f>
        <v>0</v>
      </c>
      <c r="V362">
        <f>VLOOKUP($C362,'[1]PoB OT'!$C$1:$T$898,17,FALSE)</f>
        <v>0</v>
      </c>
      <c r="W362">
        <f>VLOOKUP($C362,'[1]PoB OT'!$C$1:$T$898,18,FALSE)</f>
        <v>0</v>
      </c>
      <c r="X362">
        <f>VLOOKUP($C362,'[1]PoB 2R'!$C$1:$T$898,17,FALSE)</f>
        <v>0</v>
      </c>
      <c r="Y362">
        <f>VLOOKUP($C362,'[1]PoB 2R'!$C$1:$T$898,18,FALSE)</f>
        <v>0</v>
      </c>
    </row>
    <row r="363" spans="1:25" x14ac:dyDescent="0.25">
      <c r="A363" t="s">
        <v>1136</v>
      </c>
      <c r="B363">
        <v>5355785</v>
      </c>
      <c r="C363" t="s">
        <v>1137</v>
      </c>
      <c r="D363">
        <f t="shared" si="15"/>
        <v>7756</v>
      </c>
      <c r="E363">
        <f>VLOOKUP($C363,'[1]PoB Totals'!$C$3:$T$898,17,FALSE)</f>
        <v>7125</v>
      </c>
      <c r="F363">
        <f>VLOOKUP($C363,'[1]PoB Totals'!$C$3:$T$898,18,FALSE)</f>
        <v>631</v>
      </c>
      <c r="G363">
        <f t="shared" si="16"/>
        <v>7756</v>
      </c>
      <c r="H363">
        <f t="shared" si="17"/>
        <v>7125</v>
      </c>
      <c r="I363">
        <f t="shared" si="17"/>
        <v>631</v>
      </c>
      <c r="J363">
        <f>VLOOKUP($C363,'[1]PoB WN'!$C$1:$T$898,17,FALSE)</f>
        <v>5907</v>
      </c>
      <c r="K363">
        <f>VLOOKUP($C363,'[1]PoB WN'!$C$1:$T$898,18,FALSE)</f>
        <v>294</v>
      </c>
      <c r="L363">
        <f>VLOOKUP($C363,'[1]PoB WH'!$C$1:$T$898,17,FALSE)</f>
        <v>172</v>
      </c>
      <c r="M363">
        <f>VLOOKUP($C363,'[1]PoB WH'!$C$1:$T$898,18,FALSE)</f>
        <v>49</v>
      </c>
      <c r="N363">
        <f>VLOOKUP($C363,'[1]PoB AA'!$C$1:$T$898,17,FALSE)</f>
        <v>336</v>
      </c>
      <c r="O363">
        <f>VLOOKUP($C363,'[1]PoB AA'!$C$1:$T$898,18,FALSE)</f>
        <v>0</v>
      </c>
      <c r="P363">
        <f>VLOOKUP($C363,'[1]PoB AI'!$C$1:$T$898,17,FALSE)</f>
        <v>29</v>
      </c>
      <c r="Q363">
        <f>VLOOKUP($C363,'[1]PoB AI'!$C$1:$T$898,18,FALSE)</f>
        <v>0</v>
      </c>
      <c r="R363">
        <f>VLOOKUP($C363,'[1]PoB AS'!$C$1:$T$898,17,FALSE)</f>
        <v>87</v>
      </c>
      <c r="S363">
        <f>VLOOKUP($C363,'[1]PoB AS'!$C$1:$T$898,18,FALSE)</f>
        <v>219</v>
      </c>
      <c r="T363">
        <f>VLOOKUP($C363,'[1]PoB PI'!$C$1:$T$898,17,FALSE)</f>
        <v>11</v>
      </c>
      <c r="U363">
        <f>VLOOKUP($C363,'[1]PoB PI'!$C$1:$T$898,18,FALSE)</f>
        <v>18</v>
      </c>
      <c r="V363">
        <f>VLOOKUP($C363,'[1]PoB OT'!$C$1:$T$898,17,FALSE)</f>
        <v>68</v>
      </c>
      <c r="W363">
        <f>VLOOKUP($C363,'[1]PoB OT'!$C$1:$T$898,18,FALSE)</f>
        <v>14</v>
      </c>
      <c r="X363">
        <f>VLOOKUP($C363,'[1]PoB 2R'!$C$1:$T$898,17,FALSE)</f>
        <v>515</v>
      </c>
      <c r="Y363">
        <f>VLOOKUP($C363,'[1]PoB 2R'!$C$1:$T$898,18,FALSE)</f>
        <v>37</v>
      </c>
    </row>
    <row r="364" spans="1:25" x14ac:dyDescent="0.25">
      <c r="A364" t="s">
        <v>1138</v>
      </c>
      <c r="B364">
        <v>5355855</v>
      </c>
      <c r="C364" t="s">
        <v>1139</v>
      </c>
      <c r="D364">
        <f t="shared" si="15"/>
        <v>8325</v>
      </c>
      <c r="E364">
        <f>VLOOKUP($C364,'[1]PoB Totals'!$C$3:$T$898,17,FALSE)</f>
        <v>7894</v>
      </c>
      <c r="F364">
        <f>VLOOKUP($C364,'[1]PoB Totals'!$C$3:$T$898,18,FALSE)</f>
        <v>431</v>
      </c>
      <c r="G364">
        <f t="shared" si="16"/>
        <v>8325</v>
      </c>
      <c r="H364">
        <f t="shared" si="17"/>
        <v>7894</v>
      </c>
      <c r="I364">
        <f t="shared" si="17"/>
        <v>431</v>
      </c>
      <c r="J364">
        <f>VLOOKUP($C364,'[1]PoB WN'!$C$1:$T$898,17,FALSE)</f>
        <v>7327</v>
      </c>
      <c r="K364">
        <f>VLOOKUP($C364,'[1]PoB WN'!$C$1:$T$898,18,FALSE)</f>
        <v>313</v>
      </c>
      <c r="L364">
        <f>VLOOKUP($C364,'[1]PoB WH'!$C$1:$T$898,17,FALSE)</f>
        <v>117</v>
      </c>
      <c r="M364">
        <f>VLOOKUP($C364,'[1]PoB WH'!$C$1:$T$898,18,FALSE)</f>
        <v>25</v>
      </c>
      <c r="N364">
        <f>VLOOKUP($C364,'[1]PoB AA'!$C$1:$T$898,17,FALSE)</f>
        <v>39</v>
      </c>
      <c r="O364">
        <f>VLOOKUP($C364,'[1]PoB AA'!$C$1:$T$898,18,FALSE)</f>
        <v>0</v>
      </c>
      <c r="P364">
        <f>VLOOKUP($C364,'[1]PoB AI'!$C$1:$T$898,17,FALSE)</f>
        <v>100</v>
      </c>
      <c r="Q364">
        <f>VLOOKUP($C364,'[1]PoB AI'!$C$1:$T$898,18,FALSE)</f>
        <v>0</v>
      </c>
      <c r="R364">
        <f>VLOOKUP($C364,'[1]PoB AS'!$C$1:$T$898,17,FALSE)</f>
        <v>51</v>
      </c>
      <c r="S364">
        <f>VLOOKUP($C364,'[1]PoB AS'!$C$1:$T$898,18,FALSE)</f>
        <v>69</v>
      </c>
      <c r="T364">
        <f>VLOOKUP($C364,'[1]PoB PI'!$C$1:$T$898,17,FALSE)</f>
        <v>0</v>
      </c>
      <c r="U364">
        <f>VLOOKUP($C364,'[1]PoB PI'!$C$1:$T$898,18,FALSE)</f>
        <v>0</v>
      </c>
      <c r="V364">
        <f>VLOOKUP($C364,'[1]PoB OT'!$C$1:$T$898,17,FALSE)</f>
        <v>13</v>
      </c>
      <c r="W364">
        <f>VLOOKUP($C364,'[1]PoB OT'!$C$1:$T$898,18,FALSE)</f>
        <v>15</v>
      </c>
      <c r="X364">
        <f>VLOOKUP($C364,'[1]PoB 2R'!$C$1:$T$898,17,FALSE)</f>
        <v>247</v>
      </c>
      <c r="Y364">
        <f>VLOOKUP($C364,'[1]PoB 2R'!$C$1:$T$898,18,FALSE)</f>
        <v>9</v>
      </c>
    </row>
    <row r="365" spans="1:25" x14ac:dyDescent="0.25">
      <c r="A365" t="s">
        <v>1140</v>
      </c>
      <c r="B365">
        <v>5355995</v>
      </c>
      <c r="C365" t="s">
        <v>1141</v>
      </c>
      <c r="D365">
        <f t="shared" si="15"/>
        <v>6902</v>
      </c>
      <c r="E365">
        <f>VLOOKUP($C365,'[1]PoB Totals'!$C$3:$T$898,17,FALSE)</f>
        <v>6304</v>
      </c>
      <c r="F365">
        <f>VLOOKUP($C365,'[1]PoB Totals'!$C$3:$T$898,18,FALSE)</f>
        <v>598</v>
      </c>
      <c r="G365">
        <f t="shared" si="16"/>
        <v>6902</v>
      </c>
      <c r="H365">
        <f t="shared" si="17"/>
        <v>6304</v>
      </c>
      <c r="I365">
        <f t="shared" si="17"/>
        <v>598</v>
      </c>
      <c r="J365">
        <f>VLOOKUP($C365,'[1]PoB WN'!$C$1:$T$898,17,FALSE)</f>
        <v>5573</v>
      </c>
      <c r="K365">
        <f>VLOOKUP($C365,'[1]PoB WN'!$C$1:$T$898,18,FALSE)</f>
        <v>290</v>
      </c>
      <c r="L365">
        <f>VLOOKUP($C365,'[1]PoB WH'!$C$1:$T$898,17,FALSE)</f>
        <v>143</v>
      </c>
      <c r="M365">
        <f>VLOOKUP($C365,'[1]PoB WH'!$C$1:$T$898,18,FALSE)</f>
        <v>44</v>
      </c>
      <c r="N365">
        <f>VLOOKUP($C365,'[1]PoB AA'!$C$1:$T$898,17,FALSE)</f>
        <v>22</v>
      </c>
      <c r="O365">
        <f>VLOOKUP($C365,'[1]PoB AA'!$C$1:$T$898,18,FALSE)</f>
        <v>0</v>
      </c>
      <c r="P365">
        <f>VLOOKUP($C365,'[1]PoB AI'!$C$1:$T$898,17,FALSE)</f>
        <v>49</v>
      </c>
      <c r="Q365">
        <f>VLOOKUP($C365,'[1]PoB AI'!$C$1:$T$898,18,FALSE)</f>
        <v>0</v>
      </c>
      <c r="R365">
        <f>VLOOKUP($C365,'[1]PoB AS'!$C$1:$T$898,17,FALSE)</f>
        <v>92</v>
      </c>
      <c r="S365">
        <f>VLOOKUP($C365,'[1]PoB AS'!$C$1:$T$898,18,FALSE)</f>
        <v>131</v>
      </c>
      <c r="T365">
        <f>VLOOKUP($C365,'[1]PoB PI'!$C$1:$T$898,17,FALSE)</f>
        <v>53</v>
      </c>
      <c r="U365">
        <f>VLOOKUP($C365,'[1]PoB PI'!$C$1:$T$898,18,FALSE)</f>
        <v>28</v>
      </c>
      <c r="V365">
        <f>VLOOKUP($C365,'[1]PoB OT'!$C$1:$T$898,17,FALSE)</f>
        <v>61</v>
      </c>
      <c r="W365">
        <f>VLOOKUP($C365,'[1]PoB OT'!$C$1:$T$898,18,FALSE)</f>
        <v>66</v>
      </c>
      <c r="X365">
        <f>VLOOKUP($C365,'[1]PoB 2R'!$C$1:$T$898,17,FALSE)</f>
        <v>311</v>
      </c>
      <c r="Y365">
        <f>VLOOKUP($C365,'[1]PoB 2R'!$C$1:$T$898,18,FALSE)</f>
        <v>39</v>
      </c>
    </row>
    <row r="366" spans="1:25" x14ac:dyDescent="0.25">
      <c r="A366" t="s">
        <v>1144</v>
      </c>
      <c r="B366">
        <v>5356170</v>
      </c>
      <c r="C366" t="s">
        <v>1145</v>
      </c>
      <c r="D366">
        <f t="shared" si="15"/>
        <v>11509</v>
      </c>
      <c r="E366">
        <f>VLOOKUP($C366,'[1]PoB Totals'!$C$3:$T$898,17,FALSE)</f>
        <v>11060</v>
      </c>
      <c r="F366">
        <f>VLOOKUP($C366,'[1]PoB Totals'!$C$3:$T$898,18,FALSE)</f>
        <v>449</v>
      </c>
      <c r="G366">
        <f t="shared" si="16"/>
        <v>11509</v>
      </c>
      <c r="H366">
        <f t="shared" si="17"/>
        <v>11060</v>
      </c>
      <c r="I366">
        <f t="shared" si="17"/>
        <v>449</v>
      </c>
      <c r="J366">
        <f>VLOOKUP($C366,'[1]PoB WN'!$C$1:$T$898,17,FALSE)</f>
        <v>10286</v>
      </c>
      <c r="K366">
        <f>VLOOKUP($C366,'[1]PoB WN'!$C$1:$T$898,18,FALSE)</f>
        <v>220</v>
      </c>
      <c r="L366">
        <f>VLOOKUP($C366,'[1]PoB WH'!$C$1:$T$898,17,FALSE)</f>
        <v>198</v>
      </c>
      <c r="M366">
        <f>VLOOKUP($C366,'[1]PoB WH'!$C$1:$T$898,18,FALSE)</f>
        <v>79</v>
      </c>
      <c r="N366">
        <f>VLOOKUP($C366,'[1]PoB AA'!$C$1:$T$898,17,FALSE)</f>
        <v>73</v>
      </c>
      <c r="O366">
        <f>VLOOKUP($C366,'[1]PoB AA'!$C$1:$T$898,18,FALSE)</f>
        <v>0</v>
      </c>
      <c r="P366">
        <f>VLOOKUP($C366,'[1]PoB AI'!$C$1:$T$898,17,FALSE)</f>
        <v>86</v>
      </c>
      <c r="Q366">
        <f>VLOOKUP($C366,'[1]PoB AI'!$C$1:$T$898,18,FALSE)</f>
        <v>0</v>
      </c>
      <c r="R366">
        <f>VLOOKUP($C366,'[1]PoB AS'!$C$1:$T$898,17,FALSE)</f>
        <v>27</v>
      </c>
      <c r="S366">
        <f>VLOOKUP($C366,'[1]PoB AS'!$C$1:$T$898,18,FALSE)</f>
        <v>81</v>
      </c>
      <c r="T366">
        <f>VLOOKUP($C366,'[1]PoB PI'!$C$1:$T$898,17,FALSE)</f>
        <v>10</v>
      </c>
      <c r="U366">
        <f>VLOOKUP($C366,'[1]PoB PI'!$C$1:$T$898,18,FALSE)</f>
        <v>0</v>
      </c>
      <c r="V366">
        <f>VLOOKUP($C366,'[1]PoB OT'!$C$1:$T$898,17,FALSE)</f>
        <v>81</v>
      </c>
      <c r="W366">
        <f>VLOOKUP($C366,'[1]PoB OT'!$C$1:$T$898,18,FALSE)</f>
        <v>26</v>
      </c>
      <c r="X366">
        <f>VLOOKUP($C366,'[1]PoB 2R'!$C$1:$T$898,17,FALSE)</f>
        <v>299</v>
      </c>
      <c r="Y366">
        <f>VLOOKUP($C366,'[1]PoB 2R'!$C$1:$T$898,18,FALSE)</f>
        <v>43</v>
      </c>
    </row>
    <row r="367" spans="1:25" x14ac:dyDescent="0.25">
      <c r="A367" t="s">
        <v>1146</v>
      </c>
      <c r="B367">
        <v>5356240</v>
      </c>
      <c r="C367" t="s">
        <v>1570</v>
      </c>
      <c r="D367">
        <f t="shared" si="15"/>
        <v>294</v>
      </c>
      <c r="E367">
        <f>VLOOKUP($C367,'[1]PoB Totals'!$C$3:$T$898,17,FALSE)</f>
        <v>282</v>
      </c>
      <c r="F367">
        <f>VLOOKUP($C367,'[1]PoB Totals'!$C$3:$T$898,18,FALSE)</f>
        <v>12</v>
      </c>
      <c r="G367">
        <f t="shared" si="16"/>
        <v>294</v>
      </c>
      <c r="H367">
        <f t="shared" si="17"/>
        <v>282</v>
      </c>
      <c r="I367">
        <f t="shared" si="17"/>
        <v>12</v>
      </c>
      <c r="J367">
        <f>VLOOKUP($C367,'[1]PoB WN'!$C$1:$T$898,17,FALSE)</f>
        <v>265</v>
      </c>
      <c r="K367">
        <f>VLOOKUP($C367,'[1]PoB WN'!$C$1:$T$898,18,FALSE)</f>
        <v>6</v>
      </c>
      <c r="L367">
        <f>VLOOKUP($C367,'[1]PoB WH'!$C$1:$T$898,17,FALSE)</f>
        <v>3</v>
      </c>
      <c r="M367">
        <f>VLOOKUP($C367,'[1]PoB WH'!$C$1:$T$898,18,FALSE)</f>
        <v>6</v>
      </c>
      <c r="N367">
        <f>VLOOKUP($C367,'[1]PoB AA'!$C$1:$T$898,17,FALSE)</f>
        <v>0</v>
      </c>
      <c r="O367">
        <f>VLOOKUP($C367,'[1]PoB AA'!$C$1:$T$898,18,FALSE)</f>
        <v>0</v>
      </c>
      <c r="P367">
        <f>VLOOKUP($C367,'[1]PoB AI'!$C$1:$T$898,17,FALSE)</f>
        <v>0</v>
      </c>
      <c r="Q367">
        <f>VLOOKUP($C367,'[1]PoB AI'!$C$1:$T$898,18,FALSE)</f>
        <v>0</v>
      </c>
      <c r="R367">
        <f>VLOOKUP($C367,'[1]PoB AS'!$C$1:$T$898,17,FALSE)</f>
        <v>0</v>
      </c>
      <c r="S367">
        <f>VLOOKUP($C367,'[1]PoB AS'!$C$1:$T$898,18,FALSE)</f>
        <v>0</v>
      </c>
      <c r="T367">
        <f>VLOOKUP($C367,'[1]PoB PI'!$C$1:$T$898,17,FALSE)</f>
        <v>0</v>
      </c>
      <c r="U367">
        <f>VLOOKUP($C367,'[1]PoB PI'!$C$1:$T$898,18,FALSE)</f>
        <v>0</v>
      </c>
      <c r="V367">
        <f>VLOOKUP($C367,'[1]PoB OT'!$C$1:$T$898,17,FALSE)</f>
        <v>12</v>
      </c>
      <c r="W367">
        <f>VLOOKUP($C367,'[1]PoB OT'!$C$1:$T$898,18,FALSE)</f>
        <v>0</v>
      </c>
      <c r="X367">
        <f>VLOOKUP($C367,'[1]PoB 2R'!$C$1:$T$898,17,FALSE)</f>
        <v>2</v>
      </c>
      <c r="Y367">
        <f>VLOOKUP($C367,'[1]PoB 2R'!$C$1:$T$898,18,FALSE)</f>
        <v>0</v>
      </c>
    </row>
    <row r="368" spans="1:25" x14ac:dyDescent="0.25">
      <c r="A368" t="s">
        <v>1571</v>
      </c>
      <c r="B368">
        <v>5356304</v>
      </c>
      <c r="C368" t="s">
        <v>1572</v>
      </c>
      <c r="D368">
        <f t="shared" si="15"/>
        <v>774</v>
      </c>
      <c r="E368">
        <f>VLOOKUP($C368,'[1]PoB Totals'!$C$3:$T$898,17,FALSE)</f>
        <v>735</v>
      </c>
      <c r="F368">
        <f>VLOOKUP($C368,'[1]PoB Totals'!$C$3:$T$898,18,FALSE)</f>
        <v>39</v>
      </c>
      <c r="G368">
        <f t="shared" si="16"/>
        <v>774</v>
      </c>
      <c r="H368">
        <f t="shared" si="17"/>
        <v>735</v>
      </c>
      <c r="I368">
        <f t="shared" si="17"/>
        <v>39</v>
      </c>
      <c r="J368">
        <f>VLOOKUP($C368,'[1]PoB WN'!$C$1:$T$898,17,FALSE)</f>
        <v>604</v>
      </c>
      <c r="K368">
        <f>VLOOKUP($C368,'[1]PoB WN'!$C$1:$T$898,18,FALSE)</f>
        <v>15</v>
      </c>
      <c r="L368">
        <f>VLOOKUP($C368,'[1]PoB WH'!$C$1:$T$898,17,FALSE)</f>
        <v>4</v>
      </c>
      <c r="M368">
        <f>VLOOKUP($C368,'[1]PoB WH'!$C$1:$T$898,18,FALSE)</f>
        <v>5</v>
      </c>
      <c r="N368">
        <f>VLOOKUP($C368,'[1]PoB AA'!$C$1:$T$898,17,FALSE)</f>
        <v>5</v>
      </c>
      <c r="O368">
        <f>VLOOKUP($C368,'[1]PoB AA'!$C$1:$T$898,18,FALSE)</f>
        <v>0</v>
      </c>
      <c r="P368">
        <f>VLOOKUP($C368,'[1]PoB AI'!$C$1:$T$898,17,FALSE)</f>
        <v>76</v>
      </c>
      <c r="Q368">
        <f>VLOOKUP($C368,'[1]PoB AI'!$C$1:$T$898,18,FALSE)</f>
        <v>14</v>
      </c>
      <c r="R368">
        <f>VLOOKUP($C368,'[1]PoB AS'!$C$1:$T$898,17,FALSE)</f>
        <v>0</v>
      </c>
      <c r="S368">
        <f>VLOOKUP($C368,'[1]PoB AS'!$C$1:$T$898,18,FALSE)</f>
        <v>5</v>
      </c>
      <c r="T368">
        <f>VLOOKUP($C368,'[1]PoB PI'!$C$1:$T$898,17,FALSE)</f>
        <v>0</v>
      </c>
      <c r="U368">
        <f>VLOOKUP($C368,'[1]PoB PI'!$C$1:$T$898,18,FALSE)</f>
        <v>0</v>
      </c>
      <c r="V368">
        <f>VLOOKUP($C368,'[1]PoB OT'!$C$1:$T$898,17,FALSE)</f>
        <v>0</v>
      </c>
      <c r="W368">
        <f>VLOOKUP($C368,'[1]PoB OT'!$C$1:$T$898,18,FALSE)</f>
        <v>0</v>
      </c>
      <c r="X368">
        <f>VLOOKUP($C368,'[1]PoB 2R'!$C$1:$T$898,17,FALSE)</f>
        <v>46</v>
      </c>
      <c r="Y368">
        <f>VLOOKUP($C368,'[1]PoB 2R'!$C$1:$T$898,18,FALSE)</f>
        <v>0</v>
      </c>
    </row>
    <row r="369" spans="1:25" x14ac:dyDescent="0.25">
      <c r="A369" t="s">
        <v>1148</v>
      </c>
      <c r="B369">
        <v>5356450</v>
      </c>
      <c r="C369" t="s">
        <v>1149</v>
      </c>
      <c r="D369">
        <f t="shared" si="15"/>
        <v>4599</v>
      </c>
      <c r="E369">
        <f>VLOOKUP($C369,'[1]PoB Totals'!$C$3:$T$898,17,FALSE)</f>
        <v>3992</v>
      </c>
      <c r="F369">
        <f>VLOOKUP($C369,'[1]PoB Totals'!$C$3:$T$898,18,FALSE)</f>
        <v>607</v>
      </c>
      <c r="G369">
        <f t="shared" si="16"/>
        <v>4599</v>
      </c>
      <c r="H369">
        <f t="shared" si="17"/>
        <v>3992</v>
      </c>
      <c r="I369">
        <f t="shared" si="17"/>
        <v>607</v>
      </c>
      <c r="J369">
        <f>VLOOKUP($C369,'[1]PoB WN'!$C$1:$T$898,17,FALSE)</f>
        <v>3086</v>
      </c>
      <c r="K369">
        <f>VLOOKUP($C369,'[1]PoB WN'!$C$1:$T$898,18,FALSE)</f>
        <v>52</v>
      </c>
      <c r="L369">
        <f>VLOOKUP($C369,'[1]PoB WH'!$C$1:$T$898,17,FALSE)</f>
        <v>262</v>
      </c>
      <c r="M369">
        <f>VLOOKUP($C369,'[1]PoB WH'!$C$1:$T$898,18,FALSE)</f>
        <v>260</v>
      </c>
      <c r="N369">
        <f>VLOOKUP($C369,'[1]PoB AA'!$C$1:$T$898,17,FALSE)</f>
        <v>31</v>
      </c>
      <c r="O369">
        <f>VLOOKUP($C369,'[1]PoB AA'!$C$1:$T$898,18,FALSE)</f>
        <v>0</v>
      </c>
      <c r="P369">
        <f>VLOOKUP($C369,'[1]PoB AI'!$C$1:$T$898,17,FALSE)</f>
        <v>18</v>
      </c>
      <c r="Q369">
        <f>VLOOKUP($C369,'[1]PoB AI'!$C$1:$T$898,18,FALSE)</f>
        <v>0</v>
      </c>
      <c r="R369">
        <f>VLOOKUP($C369,'[1]PoB AS'!$C$1:$T$898,17,FALSE)</f>
        <v>0</v>
      </c>
      <c r="S369">
        <f>VLOOKUP($C369,'[1]PoB AS'!$C$1:$T$898,18,FALSE)</f>
        <v>17</v>
      </c>
      <c r="T369">
        <f>VLOOKUP($C369,'[1]PoB PI'!$C$1:$T$898,17,FALSE)</f>
        <v>0</v>
      </c>
      <c r="U369">
        <f>VLOOKUP($C369,'[1]PoB PI'!$C$1:$T$898,18,FALSE)</f>
        <v>0</v>
      </c>
      <c r="V369">
        <f>VLOOKUP($C369,'[1]PoB OT'!$C$1:$T$898,17,FALSE)</f>
        <v>501</v>
      </c>
      <c r="W369">
        <f>VLOOKUP($C369,'[1]PoB OT'!$C$1:$T$898,18,FALSE)</f>
        <v>278</v>
      </c>
      <c r="X369">
        <f>VLOOKUP($C369,'[1]PoB 2R'!$C$1:$T$898,17,FALSE)</f>
        <v>94</v>
      </c>
      <c r="Y369">
        <f>VLOOKUP($C369,'[1]PoB 2R'!$C$1:$T$898,18,FALSE)</f>
        <v>0</v>
      </c>
    </row>
    <row r="370" spans="1:25" x14ac:dyDescent="0.25">
      <c r="A370" t="s">
        <v>1152</v>
      </c>
      <c r="B370">
        <v>5356625</v>
      </c>
      <c r="C370" t="s">
        <v>1153</v>
      </c>
      <c r="D370">
        <f t="shared" si="15"/>
        <v>24740</v>
      </c>
      <c r="E370">
        <f>VLOOKUP($C370,'[1]PoB Totals'!$C$3:$T$898,17,FALSE)</f>
        <v>21456</v>
      </c>
      <c r="F370">
        <f>VLOOKUP($C370,'[1]PoB Totals'!$C$3:$T$898,18,FALSE)</f>
        <v>3284</v>
      </c>
      <c r="G370">
        <f t="shared" si="16"/>
        <v>24740</v>
      </c>
      <c r="H370">
        <f t="shared" si="17"/>
        <v>21456</v>
      </c>
      <c r="I370">
        <f t="shared" si="17"/>
        <v>3284</v>
      </c>
      <c r="J370">
        <f>VLOOKUP($C370,'[1]PoB WN'!$C$1:$T$898,17,FALSE)</f>
        <v>19179</v>
      </c>
      <c r="K370">
        <f>VLOOKUP($C370,'[1]PoB WN'!$C$1:$T$898,18,FALSE)</f>
        <v>1037</v>
      </c>
      <c r="L370">
        <f>VLOOKUP($C370,'[1]PoB WH'!$C$1:$T$898,17,FALSE)</f>
        <v>358</v>
      </c>
      <c r="M370">
        <f>VLOOKUP($C370,'[1]PoB WH'!$C$1:$T$898,18,FALSE)</f>
        <v>182</v>
      </c>
      <c r="N370">
        <f>VLOOKUP($C370,'[1]PoB AA'!$C$1:$T$898,17,FALSE)</f>
        <v>449</v>
      </c>
      <c r="O370">
        <f>VLOOKUP($C370,'[1]PoB AA'!$C$1:$T$898,18,FALSE)</f>
        <v>158</v>
      </c>
      <c r="P370">
        <f>VLOOKUP($C370,'[1]PoB AI'!$C$1:$T$898,17,FALSE)</f>
        <v>58</v>
      </c>
      <c r="Q370">
        <f>VLOOKUP($C370,'[1]PoB AI'!$C$1:$T$898,18,FALSE)</f>
        <v>0</v>
      </c>
      <c r="R370">
        <f>VLOOKUP($C370,'[1]PoB AS'!$C$1:$T$898,17,FALSE)</f>
        <v>462</v>
      </c>
      <c r="S370">
        <f>VLOOKUP($C370,'[1]PoB AS'!$C$1:$T$898,18,FALSE)</f>
        <v>1530</v>
      </c>
      <c r="T370">
        <f>VLOOKUP($C370,'[1]PoB PI'!$C$1:$T$898,17,FALSE)</f>
        <v>72</v>
      </c>
      <c r="U370">
        <f>VLOOKUP($C370,'[1]PoB PI'!$C$1:$T$898,18,FALSE)</f>
        <v>29</v>
      </c>
      <c r="V370">
        <f>VLOOKUP($C370,'[1]PoB OT'!$C$1:$T$898,17,FALSE)</f>
        <v>211</v>
      </c>
      <c r="W370">
        <f>VLOOKUP($C370,'[1]PoB OT'!$C$1:$T$898,18,FALSE)</f>
        <v>125</v>
      </c>
      <c r="X370">
        <f>VLOOKUP($C370,'[1]PoB 2R'!$C$1:$T$898,17,FALSE)</f>
        <v>667</v>
      </c>
      <c r="Y370">
        <f>VLOOKUP($C370,'[1]PoB 2R'!$C$1:$T$898,18,FALSE)</f>
        <v>223</v>
      </c>
    </row>
    <row r="371" spans="1:25" x14ac:dyDescent="0.25">
      <c r="A371" t="s">
        <v>1156</v>
      </c>
      <c r="B371">
        <v>5356695</v>
      </c>
      <c r="C371" t="s">
        <v>1157</v>
      </c>
      <c r="D371">
        <f t="shared" si="15"/>
        <v>32682</v>
      </c>
      <c r="E371">
        <f>VLOOKUP($C371,'[1]PoB Totals'!$C$3:$T$898,17,FALSE)</f>
        <v>30570</v>
      </c>
      <c r="F371">
        <f>VLOOKUP($C371,'[1]PoB Totals'!$C$3:$T$898,18,FALSE)</f>
        <v>2112</v>
      </c>
      <c r="G371">
        <f t="shared" si="16"/>
        <v>32682</v>
      </c>
      <c r="H371">
        <f t="shared" si="17"/>
        <v>30570</v>
      </c>
      <c r="I371">
        <f t="shared" si="17"/>
        <v>2112</v>
      </c>
      <c r="J371">
        <f>VLOOKUP($C371,'[1]PoB WN'!$C$1:$T$898,17,FALSE)</f>
        <v>26989</v>
      </c>
      <c r="K371">
        <f>VLOOKUP($C371,'[1]PoB WN'!$C$1:$T$898,18,FALSE)</f>
        <v>779</v>
      </c>
      <c r="L371">
        <f>VLOOKUP($C371,'[1]PoB WH'!$C$1:$T$898,17,FALSE)</f>
        <v>645</v>
      </c>
      <c r="M371">
        <f>VLOOKUP($C371,'[1]PoB WH'!$C$1:$T$898,18,FALSE)</f>
        <v>183</v>
      </c>
      <c r="N371">
        <f>VLOOKUP($C371,'[1]PoB AA'!$C$1:$T$898,17,FALSE)</f>
        <v>405</v>
      </c>
      <c r="O371">
        <f>VLOOKUP($C371,'[1]PoB AA'!$C$1:$T$898,18,FALSE)</f>
        <v>22</v>
      </c>
      <c r="P371">
        <f>VLOOKUP($C371,'[1]PoB AI'!$C$1:$T$898,17,FALSE)</f>
        <v>229</v>
      </c>
      <c r="Q371">
        <f>VLOOKUP($C371,'[1]PoB AI'!$C$1:$T$898,18,FALSE)</f>
        <v>5</v>
      </c>
      <c r="R371">
        <f>VLOOKUP($C371,'[1]PoB AS'!$C$1:$T$898,17,FALSE)</f>
        <v>416</v>
      </c>
      <c r="S371">
        <f>VLOOKUP($C371,'[1]PoB AS'!$C$1:$T$898,18,FALSE)</f>
        <v>641</v>
      </c>
      <c r="T371">
        <f>VLOOKUP($C371,'[1]PoB PI'!$C$1:$T$898,17,FALSE)</f>
        <v>91</v>
      </c>
      <c r="U371">
        <f>VLOOKUP($C371,'[1]PoB PI'!$C$1:$T$898,18,FALSE)</f>
        <v>95</v>
      </c>
      <c r="V371">
        <f>VLOOKUP($C371,'[1]PoB OT'!$C$1:$T$898,17,FALSE)</f>
        <v>445</v>
      </c>
      <c r="W371">
        <f>VLOOKUP($C371,'[1]PoB OT'!$C$1:$T$898,18,FALSE)</f>
        <v>177</v>
      </c>
      <c r="X371">
        <f>VLOOKUP($C371,'[1]PoB 2R'!$C$1:$T$898,17,FALSE)</f>
        <v>1350</v>
      </c>
      <c r="Y371">
        <f>VLOOKUP($C371,'[1]PoB 2R'!$C$1:$T$898,18,FALSE)</f>
        <v>210</v>
      </c>
    </row>
    <row r="372" spans="1:25" x14ac:dyDescent="0.25">
      <c r="A372" t="s">
        <v>1160</v>
      </c>
      <c r="B372">
        <v>5356975</v>
      </c>
      <c r="C372" t="s">
        <v>1161</v>
      </c>
      <c r="D372">
        <f t="shared" si="15"/>
        <v>632</v>
      </c>
      <c r="E372">
        <f>VLOOKUP($C372,'[1]PoB Totals'!$C$3:$T$898,17,FALSE)</f>
        <v>611</v>
      </c>
      <c r="F372">
        <f>VLOOKUP($C372,'[1]PoB Totals'!$C$3:$T$898,18,FALSE)</f>
        <v>21</v>
      </c>
      <c r="G372">
        <f t="shared" si="16"/>
        <v>632</v>
      </c>
      <c r="H372">
        <f t="shared" si="17"/>
        <v>611</v>
      </c>
      <c r="I372">
        <f t="shared" si="17"/>
        <v>21</v>
      </c>
      <c r="J372">
        <f>VLOOKUP($C372,'[1]PoB WN'!$C$1:$T$898,17,FALSE)</f>
        <v>528</v>
      </c>
      <c r="K372">
        <f>VLOOKUP($C372,'[1]PoB WN'!$C$1:$T$898,18,FALSE)</f>
        <v>2</v>
      </c>
      <c r="L372">
        <f>VLOOKUP($C372,'[1]PoB WH'!$C$1:$T$898,17,FALSE)</f>
        <v>3</v>
      </c>
      <c r="M372">
        <f>VLOOKUP($C372,'[1]PoB WH'!$C$1:$T$898,18,FALSE)</f>
        <v>0</v>
      </c>
      <c r="N372">
        <f>VLOOKUP($C372,'[1]PoB AA'!$C$1:$T$898,17,FALSE)</f>
        <v>5</v>
      </c>
      <c r="O372">
        <f>VLOOKUP($C372,'[1]PoB AA'!$C$1:$T$898,18,FALSE)</f>
        <v>0</v>
      </c>
      <c r="P372">
        <f>VLOOKUP($C372,'[1]PoB AI'!$C$1:$T$898,17,FALSE)</f>
        <v>17</v>
      </c>
      <c r="Q372">
        <f>VLOOKUP($C372,'[1]PoB AI'!$C$1:$T$898,18,FALSE)</f>
        <v>0</v>
      </c>
      <c r="R372">
        <f>VLOOKUP($C372,'[1]PoB AS'!$C$1:$T$898,17,FALSE)</f>
        <v>2</v>
      </c>
      <c r="S372">
        <f>VLOOKUP($C372,'[1]PoB AS'!$C$1:$T$898,18,FALSE)</f>
        <v>0</v>
      </c>
      <c r="T372">
        <f>VLOOKUP($C372,'[1]PoB PI'!$C$1:$T$898,17,FALSE)</f>
        <v>4</v>
      </c>
      <c r="U372">
        <f>VLOOKUP($C372,'[1]PoB PI'!$C$1:$T$898,18,FALSE)</f>
        <v>0</v>
      </c>
      <c r="V372">
        <f>VLOOKUP($C372,'[1]PoB OT'!$C$1:$T$898,17,FALSE)</f>
        <v>7</v>
      </c>
      <c r="W372">
        <f>VLOOKUP($C372,'[1]PoB OT'!$C$1:$T$898,18,FALSE)</f>
        <v>7</v>
      </c>
      <c r="X372">
        <f>VLOOKUP($C372,'[1]PoB 2R'!$C$1:$T$898,17,FALSE)</f>
        <v>45</v>
      </c>
      <c r="Y372">
        <f>VLOOKUP($C372,'[1]PoB 2R'!$C$1:$T$898,18,FALSE)</f>
        <v>12</v>
      </c>
    </row>
    <row r="373" spans="1:25" x14ac:dyDescent="0.25">
      <c r="A373" t="s">
        <v>1164</v>
      </c>
      <c r="B373">
        <v>5357115</v>
      </c>
      <c r="C373" t="s">
        <v>1165</v>
      </c>
      <c r="D373">
        <f t="shared" si="15"/>
        <v>5196</v>
      </c>
      <c r="E373">
        <f>VLOOKUP($C373,'[1]PoB Totals'!$C$3:$T$898,17,FALSE)</f>
        <v>3358</v>
      </c>
      <c r="F373">
        <f>VLOOKUP($C373,'[1]PoB Totals'!$C$3:$T$898,18,FALSE)</f>
        <v>1838</v>
      </c>
      <c r="G373">
        <f t="shared" si="16"/>
        <v>5196</v>
      </c>
      <c r="H373">
        <f t="shared" si="17"/>
        <v>3358</v>
      </c>
      <c r="I373">
        <f t="shared" si="17"/>
        <v>1838</v>
      </c>
      <c r="J373">
        <f>VLOOKUP($C373,'[1]PoB WN'!$C$1:$T$898,17,FALSE)</f>
        <v>1680</v>
      </c>
      <c r="K373">
        <f>VLOOKUP($C373,'[1]PoB WN'!$C$1:$T$898,18,FALSE)</f>
        <v>41</v>
      </c>
      <c r="L373">
        <f>VLOOKUP($C373,'[1]PoB WH'!$C$1:$T$898,17,FALSE)</f>
        <v>820</v>
      </c>
      <c r="M373">
        <f>VLOOKUP($C373,'[1]PoB WH'!$C$1:$T$898,18,FALSE)</f>
        <v>795</v>
      </c>
      <c r="N373">
        <f>VLOOKUP($C373,'[1]PoB AA'!$C$1:$T$898,17,FALSE)</f>
        <v>14</v>
      </c>
      <c r="O373">
        <f>VLOOKUP($C373,'[1]PoB AA'!$C$1:$T$898,18,FALSE)</f>
        <v>4</v>
      </c>
      <c r="P373">
        <f>VLOOKUP($C373,'[1]PoB AI'!$C$1:$T$898,17,FALSE)</f>
        <v>39</v>
      </c>
      <c r="Q373">
        <f>VLOOKUP($C373,'[1]PoB AI'!$C$1:$T$898,18,FALSE)</f>
        <v>0</v>
      </c>
      <c r="R373">
        <f>VLOOKUP($C373,'[1]PoB AS'!$C$1:$T$898,17,FALSE)</f>
        <v>22</v>
      </c>
      <c r="S373">
        <f>VLOOKUP($C373,'[1]PoB AS'!$C$1:$T$898,18,FALSE)</f>
        <v>0</v>
      </c>
      <c r="T373">
        <f>VLOOKUP($C373,'[1]PoB PI'!$C$1:$T$898,17,FALSE)</f>
        <v>0</v>
      </c>
      <c r="U373">
        <f>VLOOKUP($C373,'[1]PoB PI'!$C$1:$T$898,18,FALSE)</f>
        <v>0</v>
      </c>
      <c r="V373">
        <f>VLOOKUP($C373,'[1]PoB OT'!$C$1:$T$898,17,FALSE)</f>
        <v>711</v>
      </c>
      <c r="W373">
        <f>VLOOKUP($C373,'[1]PoB OT'!$C$1:$T$898,18,FALSE)</f>
        <v>920</v>
      </c>
      <c r="X373">
        <f>VLOOKUP($C373,'[1]PoB 2R'!$C$1:$T$898,17,FALSE)</f>
        <v>72</v>
      </c>
      <c r="Y373">
        <f>VLOOKUP($C373,'[1]PoB 2R'!$C$1:$T$898,18,FALSE)</f>
        <v>78</v>
      </c>
    </row>
    <row r="374" spans="1:25" x14ac:dyDescent="0.25">
      <c r="A374" t="s">
        <v>1168</v>
      </c>
      <c r="B374">
        <v>5357220</v>
      </c>
      <c r="C374" t="s">
        <v>1573</v>
      </c>
      <c r="D374">
        <f t="shared" si="15"/>
        <v>1483</v>
      </c>
      <c r="E374">
        <f>VLOOKUP($C374,'[1]PoB Totals'!$C$3:$T$898,17,FALSE)</f>
        <v>1412</v>
      </c>
      <c r="F374">
        <f>VLOOKUP($C374,'[1]PoB Totals'!$C$3:$T$898,18,FALSE)</f>
        <v>71</v>
      </c>
      <c r="G374">
        <f t="shared" si="16"/>
        <v>1483</v>
      </c>
      <c r="H374">
        <f t="shared" si="17"/>
        <v>1412</v>
      </c>
      <c r="I374">
        <f t="shared" si="17"/>
        <v>71</v>
      </c>
      <c r="J374">
        <f>VLOOKUP($C374,'[1]PoB WN'!$C$1:$T$898,17,FALSE)</f>
        <v>1269</v>
      </c>
      <c r="K374">
        <f>VLOOKUP($C374,'[1]PoB WN'!$C$1:$T$898,18,FALSE)</f>
        <v>49</v>
      </c>
      <c r="L374">
        <f>VLOOKUP($C374,'[1]PoB WH'!$C$1:$T$898,17,FALSE)</f>
        <v>33</v>
      </c>
      <c r="M374">
        <f>VLOOKUP($C374,'[1]PoB WH'!$C$1:$T$898,18,FALSE)</f>
        <v>2</v>
      </c>
      <c r="N374">
        <f>VLOOKUP($C374,'[1]PoB AA'!$C$1:$T$898,17,FALSE)</f>
        <v>10</v>
      </c>
      <c r="O374">
        <f>VLOOKUP($C374,'[1]PoB AA'!$C$1:$T$898,18,FALSE)</f>
        <v>0</v>
      </c>
      <c r="P374">
        <f>VLOOKUP($C374,'[1]PoB AI'!$C$1:$T$898,17,FALSE)</f>
        <v>11</v>
      </c>
      <c r="Q374">
        <f>VLOOKUP($C374,'[1]PoB AI'!$C$1:$T$898,18,FALSE)</f>
        <v>0</v>
      </c>
      <c r="R374">
        <f>VLOOKUP($C374,'[1]PoB AS'!$C$1:$T$898,17,FALSE)</f>
        <v>6</v>
      </c>
      <c r="S374">
        <f>VLOOKUP($C374,'[1]PoB AS'!$C$1:$T$898,18,FALSE)</f>
        <v>18</v>
      </c>
      <c r="T374">
        <f>VLOOKUP($C374,'[1]PoB PI'!$C$1:$T$898,17,FALSE)</f>
        <v>10</v>
      </c>
      <c r="U374">
        <f>VLOOKUP($C374,'[1]PoB PI'!$C$1:$T$898,18,FALSE)</f>
        <v>0</v>
      </c>
      <c r="V374">
        <f>VLOOKUP($C374,'[1]PoB OT'!$C$1:$T$898,17,FALSE)</f>
        <v>8</v>
      </c>
      <c r="W374">
        <f>VLOOKUP($C374,'[1]PoB OT'!$C$1:$T$898,18,FALSE)</f>
        <v>0</v>
      </c>
      <c r="X374">
        <f>VLOOKUP($C374,'[1]PoB 2R'!$C$1:$T$898,17,FALSE)</f>
        <v>65</v>
      </c>
      <c r="Y374">
        <f>VLOOKUP($C374,'[1]PoB 2R'!$C$1:$T$898,18,FALSE)</f>
        <v>2</v>
      </c>
    </row>
    <row r="375" spans="1:25" x14ac:dyDescent="0.25">
      <c r="A375" t="s">
        <v>1170</v>
      </c>
      <c r="B375">
        <v>5357395</v>
      </c>
      <c r="C375" t="s">
        <v>1171</v>
      </c>
      <c r="D375">
        <f t="shared" si="15"/>
        <v>761</v>
      </c>
      <c r="E375">
        <f>VLOOKUP($C375,'[1]PoB Totals'!$C$3:$T$898,17,FALSE)</f>
        <v>726</v>
      </c>
      <c r="F375">
        <f>VLOOKUP($C375,'[1]PoB Totals'!$C$3:$T$898,18,FALSE)</f>
        <v>35</v>
      </c>
      <c r="G375">
        <f t="shared" si="16"/>
        <v>761</v>
      </c>
      <c r="H375">
        <f t="shared" si="17"/>
        <v>726</v>
      </c>
      <c r="I375">
        <f t="shared" si="17"/>
        <v>35</v>
      </c>
      <c r="J375">
        <f>VLOOKUP($C375,'[1]PoB WN'!$C$1:$T$898,17,FALSE)</f>
        <v>720</v>
      </c>
      <c r="K375">
        <f>VLOOKUP($C375,'[1]PoB WN'!$C$1:$T$898,18,FALSE)</f>
        <v>6</v>
      </c>
      <c r="L375">
        <f>VLOOKUP($C375,'[1]PoB WH'!$C$1:$T$898,17,FALSE)</f>
        <v>6</v>
      </c>
      <c r="M375">
        <f>VLOOKUP($C375,'[1]PoB WH'!$C$1:$T$898,18,FALSE)</f>
        <v>0</v>
      </c>
      <c r="N375">
        <f>VLOOKUP($C375,'[1]PoB AA'!$C$1:$T$898,17,FALSE)</f>
        <v>0</v>
      </c>
      <c r="O375">
        <f>VLOOKUP($C375,'[1]PoB AA'!$C$1:$T$898,18,FALSE)</f>
        <v>0</v>
      </c>
      <c r="P375">
        <f>VLOOKUP($C375,'[1]PoB AI'!$C$1:$T$898,17,FALSE)</f>
        <v>0</v>
      </c>
      <c r="Q375">
        <f>VLOOKUP($C375,'[1]PoB AI'!$C$1:$T$898,18,FALSE)</f>
        <v>0</v>
      </c>
      <c r="R375">
        <f>VLOOKUP($C375,'[1]PoB AS'!$C$1:$T$898,17,FALSE)</f>
        <v>0</v>
      </c>
      <c r="S375">
        <f>VLOOKUP($C375,'[1]PoB AS'!$C$1:$T$898,18,FALSE)</f>
        <v>29</v>
      </c>
      <c r="T375">
        <f>VLOOKUP($C375,'[1]PoB PI'!$C$1:$T$898,17,FALSE)</f>
        <v>0</v>
      </c>
      <c r="U375">
        <f>VLOOKUP($C375,'[1]PoB PI'!$C$1:$T$898,18,FALSE)</f>
        <v>0</v>
      </c>
      <c r="V375">
        <f>VLOOKUP($C375,'[1]PoB OT'!$C$1:$T$898,17,FALSE)</f>
        <v>0</v>
      </c>
      <c r="W375">
        <f>VLOOKUP($C375,'[1]PoB OT'!$C$1:$T$898,18,FALSE)</f>
        <v>0</v>
      </c>
      <c r="X375">
        <f>VLOOKUP($C375,'[1]PoB 2R'!$C$1:$T$898,17,FALSE)</f>
        <v>0</v>
      </c>
      <c r="Y375">
        <f>VLOOKUP($C375,'[1]PoB 2R'!$C$1:$T$898,18,FALSE)</f>
        <v>0</v>
      </c>
    </row>
    <row r="376" spans="1:25" x14ac:dyDescent="0.25">
      <c r="A376" t="s">
        <v>1172</v>
      </c>
      <c r="B376">
        <v>5357430</v>
      </c>
      <c r="C376" t="s">
        <v>1173</v>
      </c>
      <c r="D376">
        <f t="shared" si="15"/>
        <v>2820</v>
      </c>
      <c r="E376">
        <f>VLOOKUP($C376,'[1]PoB Totals'!$C$3:$T$898,17,FALSE)</f>
        <v>2428</v>
      </c>
      <c r="F376">
        <f>VLOOKUP($C376,'[1]PoB Totals'!$C$3:$T$898,18,FALSE)</f>
        <v>392</v>
      </c>
      <c r="G376">
        <f t="shared" si="16"/>
        <v>2820</v>
      </c>
      <c r="H376">
        <f t="shared" si="17"/>
        <v>2428</v>
      </c>
      <c r="I376">
        <f t="shared" si="17"/>
        <v>392</v>
      </c>
      <c r="J376">
        <f>VLOOKUP($C376,'[1]PoB WN'!$C$1:$T$898,17,FALSE)</f>
        <v>2157</v>
      </c>
      <c r="K376">
        <f>VLOOKUP($C376,'[1]PoB WN'!$C$1:$T$898,18,FALSE)</f>
        <v>85</v>
      </c>
      <c r="L376">
        <f>VLOOKUP($C376,'[1]PoB WH'!$C$1:$T$898,17,FALSE)</f>
        <v>71</v>
      </c>
      <c r="M376">
        <f>VLOOKUP($C376,'[1]PoB WH'!$C$1:$T$898,18,FALSE)</f>
        <v>11</v>
      </c>
      <c r="N376">
        <f>VLOOKUP($C376,'[1]PoB AA'!$C$1:$T$898,17,FALSE)</f>
        <v>0</v>
      </c>
      <c r="O376">
        <f>VLOOKUP($C376,'[1]PoB AA'!$C$1:$T$898,18,FALSE)</f>
        <v>0</v>
      </c>
      <c r="P376">
        <f>VLOOKUP($C376,'[1]PoB AI'!$C$1:$T$898,17,FALSE)</f>
        <v>31</v>
      </c>
      <c r="Q376">
        <f>VLOOKUP($C376,'[1]PoB AI'!$C$1:$T$898,18,FALSE)</f>
        <v>0</v>
      </c>
      <c r="R376">
        <f>VLOOKUP($C376,'[1]PoB AS'!$C$1:$T$898,17,FALSE)</f>
        <v>84</v>
      </c>
      <c r="S376">
        <f>VLOOKUP($C376,'[1]PoB AS'!$C$1:$T$898,18,FALSE)</f>
        <v>204</v>
      </c>
      <c r="T376">
        <f>VLOOKUP($C376,'[1]PoB PI'!$C$1:$T$898,17,FALSE)</f>
        <v>0</v>
      </c>
      <c r="U376">
        <f>VLOOKUP($C376,'[1]PoB PI'!$C$1:$T$898,18,FALSE)</f>
        <v>0</v>
      </c>
      <c r="V376">
        <f>VLOOKUP($C376,'[1]PoB OT'!$C$1:$T$898,17,FALSE)</f>
        <v>27</v>
      </c>
      <c r="W376">
        <f>VLOOKUP($C376,'[1]PoB OT'!$C$1:$T$898,18,FALSE)</f>
        <v>84</v>
      </c>
      <c r="X376">
        <f>VLOOKUP($C376,'[1]PoB 2R'!$C$1:$T$898,17,FALSE)</f>
        <v>58</v>
      </c>
      <c r="Y376">
        <f>VLOOKUP($C376,'[1]PoB 2R'!$C$1:$T$898,18,FALSE)</f>
        <v>8</v>
      </c>
    </row>
    <row r="377" spans="1:25" x14ac:dyDescent="0.25">
      <c r="A377" t="s">
        <v>1174</v>
      </c>
      <c r="B377">
        <v>5357465</v>
      </c>
      <c r="C377" t="s">
        <v>1175</v>
      </c>
      <c r="D377">
        <f t="shared" si="15"/>
        <v>624</v>
      </c>
      <c r="E377">
        <f>VLOOKUP($C377,'[1]PoB Totals'!$C$3:$T$898,17,FALSE)</f>
        <v>597</v>
      </c>
      <c r="F377">
        <f>VLOOKUP($C377,'[1]PoB Totals'!$C$3:$T$898,18,FALSE)</f>
        <v>27</v>
      </c>
      <c r="G377">
        <f t="shared" si="16"/>
        <v>624</v>
      </c>
      <c r="H377">
        <f t="shared" si="17"/>
        <v>597</v>
      </c>
      <c r="I377">
        <f t="shared" si="17"/>
        <v>27</v>
      </c>
      <c r="J377">
        <f>VLOOKUP($C377,'[1]PoB WN'!$C$1:$T$898,17,FALSE)</f>
        <v>542</v>
      </c>
      <c r="K377">
        <f>VLOOKUP($C377,'[1]PoB WN'!$C$1:$T$898,18,FALSE)</f>
        <v>24</v>
      </c>
      <c r="L377">
        <f>VLOOKUP($C377,'[1]PoB WH'!$C$1:$T$898,17,FALSE)</f>
        <v>12</v>
      </c>
      <c r="M377">
        <f>VLOOKUP($C377,'[1]PoB WH'!$C$1:$T$898,18,FALSE)</f>
        <v>0</v>
      </c>
      <c r="N377">
        <f>VLOOKUP($C377,'[1]PoB AA'!$C$1:$T$898,17,FALSE)</f>
        <v>0</v>
      </c>
      <c r="O377">
        <f>VLOOKUP($C377,'[1]PoB AA'!$C$1:$T$898,18,FALSE)</f>
        <v>0</v>
      </c>
      <c r="P377">
        <f>VLOOKUP($C377,'[1]PoB AI'!$C$1:$T$898,17,FALSE)</f>
        <v>21</v>
      </c>
      <c r="Q377">
        <f>VLOOKUP($C377,'[1]PoB AI'!$C$1:$T$898,18,FALSE)</f>
        <v>0</v>
      </c>
      <c r="R377">
        <f>VLOOKUP($C377,'[1]PoB AS'!$C$1:$T$898,17,FALSE)</f>
        <v>0</v>
      </c>
      <c r="S377">
        <f>VLOOKUP($C377,'[1]PoB AS'!$C$1:$T$898,18,FALSE)</f>
        <v>0</v>
      </c>
      <c r="T377">
        <f>VLOOKUP($C377,'[1]PoB PI'!$C$1:$T$898,17,FALSE)</f>
        <v>7</v>
      </c>
      <c r="U377">
        <f>VLOOKUP($C377,'[1]PoB PI'!$C$1:$T$898,18,FALSE)</f>
        <v>3</v>
      </c>
      <c r="V377">
        <f>VLOOKUP($C377,'[1]PoB OT'!$C$1:$T$898,17,FALSE)</f>
        <v>0</v>
      </c>
      <c r="W377">
        <f>VLOOKUP($C377,'[1]PoB OT'!$C$1:$T$898,18,FALSE)</f>
        <v>0</v>
      </c>
      <c r="X377">
        <f>VLOOKUP($C377,'[1]PoB 2R'!$C$1:$T$898,17,FALSE)</f>
        <v>15</v>
      </c>
      <c r="Y377">
        <f>VLOOKUP($C377,'[1]PoB 2R'!$C$1:$T$898,18,FALSE)</f>
        <v>0</v>
      </c>
    </row>
    <row r="378" spans="1:25" x14ac:dyDescent="0.25">
      <c r="A378" t="s">
        <v>1176</v>
      </c>
      <c r="B378">
        <v>5357535</v>
      </c>
      <c r="C378" t="s">
        <v>1177</v>
      </c>
      <c r="D378">
        <f t="shared" si="15"/>
        <v>45389</v>
      </c>
      <c r="E378">
        <f>VLOOKUP($C378,'[1]PoB Totals'!$C$3:$T$898,17,FALSE)</f>
        <v>35402</v>
      </c>
      <c r="F378">
        <f>VLOOKUP($C378,'[1]PoB Totals'!$C$3:$T$898,18,FALSE)</f>
        <v>9987</v>
      </c>
      <c r="G378">
        <f t="shared" si="16"/>
        <v>45389</v>
      </c>
      <c r="H378">
        <f t="shared" si="17"/>
        <v>35402</v>
      </c>
      <c r="I378">
        <f t="shared" si="17"/>
        <v>9987</v>
      </c>
      <c r="J378">
        <f>VLOOKUP($C378,'[1]PoB WN'!$C$1:$T$898,17,FALSE)</f>
        <v>30922</v>
      </c>
      <c r="K378">
        <f>VLOOKUP($C378,'[1]PoB WN'!$C$1:$T$898,18,FALSE)</f>
        <v>3829</v>
      </c>
      <c r="L378">
        <f>VLOOKUP($C378,'[1]PoB WH'!$C$1:$T$898,17,FALSE)</f>
        <v>469</v>
      </c>
      <c r="M378">
        <f>VLOOKUP($C378,'[1]PoB WH'!$C$1:$T$898,18,FALSE)</f>
        <v>722</v>
      </c>
      <c r="N378">
        <f>VLOOKUP($C378,'[1]PoB AA'!$C$1:$T$898,17,FALSE)</f>
        <v>498</v>
      </c>
      <c r="O378">
        <f>VLOOKUP($C378,'[1]PoB AA'!$C$1:$T$898,18,FALSE)</f>
        <v>57</v>
      </c>
      <c r="P378">
        <f>VLOOKUP($C378,'[1]PoB AI'!$C$1:$T$898,17,FALSE)</f>
        <v>190</v>
      </c>
      <c r="Q378">
        <f>VLOOKUP($C378,'[1]PoB AI'!$C$1:$T$898,18,FALSE)</f>
        <v>14</v>
      </c>
      <c r="R378">
        <f>VLOOKUP($C378,'[1]PoB AS'!$C$1:$T$898,17,FALSE)</f>
        <v>1613</v>
      </c>
      <c r="S378">
        <f>VLOOKUP($C378,'[1]PoB AS'!$C$1:$T$898,18,FALSE)</f>
        <v>4415</v>
      </c>
      <c r="T378">
        <f>VLOOKUP($C378,'[1]PoB PI'!$C$1:$T$898,17,FALSE)</f>
        <v>86</v>
      </c>
      <c r="U378">
        <f>VLOOKUP($C378,'[1]PoB PI'!$C$1:$T$898,18,FALSE)</f>
        <v>15</v>
      </c>
      <c r="V378">
        <f>VLOOKUP($C378,'[1]PoB OT'!$C$1:$T$898,17,FALSE)</f>
        <v>340</v>
      </c>
      <c r="W378">
        <f>VLOOKUP($C378,'[1]PoB OT'!$C$1:$T$898,18,FALSE)</f>
        <v>648</v>
      </c>
      <c r="X378">
        <f>VLOOKUP($C378,'[1]PoB 2R'!$C$1:$T$898,17,FALSE)</f>
        <v>1284</v>
      </c>
      <c r="Y378">
        <f>VLOOKUP($C378,'[1]PoB 2R'!$C$1:$T$898,18,FALSE)</f>
        <v>287</v>
      </c>
    </row>
    <row r="379" spans="1:25" x14ac:dyDescent="0.25">
      <c r="A379" t="s">
        <v>1178</v>
      </c>
      <c r="B379">
        <v>5357745</v>
      </c>
      <c r="C379" t="s">
        <v>1179</v>
      </c>
      <c r="D379">
        <f t="shared" si="15"/>
        <v>49894</v>
      </c>
      <c r="E379">
        <f>VLOOKUP($C379,'[1]PoB Totals'!$C$3:$T$898,17,FALSE)</f>
        <v>39659</v>
      </c>
      <c r="F379">
        <f>VLOOKUP($C379,'[1]PoB Totals'!$C$3:$T$898,18,FALSE)</f>
        <v>10235</v>
      </c>
      <c r="G379">
        <f t="shared" si="16"/>
        <v>49894</v>
      </c>
      <c r="H379">
        <f t="shared" si="17"/>
        <v>39659</v>
      </c>
      <c r="I379">
        <f t="shared" si="17"/>
        <v>10235</v>
      </c>
      <c r="J379">
        <f>VLOOKUP($C379,'[1]PoB WN'!$C$1:$T$898,17,FALSE)</f>
        <v>29867</v>
      </c>
      <c r="K379">
        <f>VLOOKUP($C379,'[1]PoB WN'!$C$1:$T$898,18,FALSE)</f>
        <v>2888</v>
      </c>
      <c r="L379">
        <f>VLOOKUP($C379,'[1]PoB WH'!$C$1:$T$898,17,FALSE)</f>
        <v>753</v>
      </c>
      <c r="M379">
        <f>VLOOKUP($C379,'[1]PoB WH'!$C$1:$T$898,18,FALSE)</f>
        <v>588</v>
      </c>
      <c r="N379">
        <f>VLOOKUP($C379,'[1]PoB AA'!$C$1:$T$898,17,FALSE)</f>
        <v>3618</v>
      </c>
      <c r="O379">
        <f>VLOOKUP($C379,'[1]PoB AA'!$C$1:$T$898,18,FALSE)</f>
        <v>400</v>
      </c>
      <c r="P379">
        <f>VLOOKUP($C379,'[1]PoB AI'!$C$1:$T$898,17,FALSE)</f>
        <v>243</v>
      </c>
      <c r="Q379">
        <f>VLOOKUP($C379,'[1]PoB AI'!$C$1:$T$898,18,FALSE)</f>
        <v>23</v>
      </c>
      <c r="R379">
        <f>VLOOKUP($C379,'[1]PoB AS'!$C$1:$T$898,17,FALSE)</f>
        <v>2097</v>
      </c>
      <c r="S379">
        <f>VLOOKUP($C379,'[1]PoB AS'!$C$1:$T$898,18,FALSE)</f>
        <v>4551</v>
      </c>
      <c r="T379">
        <f>VLOOKUP($C379,'[1]PoB PI'!$C$1:$T$898,17,FALSE)</f>
        <v>109</v>
      </c>
      <c r="U379">
        <f>VLOOKUP($C379,'[1]PoB PI'!$C$1:$T$898,18,FALSE)</f>
        <v>70</v>
      </c>
      <c r="V379">
        <f>VLOOKUP($C379,'[1]PoB OT'!$C$1:$T$898,17,FALSE)</f>
        <v>880</v>
      </c>
      <c r="W379">
        <f>VLOOKUP($C379,'[1]PoB OT'!$C$1:$T$898,18,FALSE)</f>
        <v>1161</v>
      </c>
      <c r="X379">
        <f>VLOOKUP($C379,'[1]PoB 2R'!$C$1:$T$898,17,FALSE)</f>
        <v>2092</v>
      </c>
      <c r="Y379">
        <f>VLOOKUP($C379,'[1]PoB 2R'!$C$1:$T$898,18,FALSE)</f>
        <v>554</v>
      </c>
    </row>
    <row r="380" spans="1:25" x14ac:dyDescent="0.25">
      <c r="A380" t="s">
        <v>1180</v>
      </c>
      <c r="B380">
        <v>5357850</v>
      </c>
      <c r="C380" t="s">
        <v>1181</v>
      </c>
      <c r="D380">
        <f t="shared" si="15"/>
        <v>1009</v>
      </c>
      <c r="E380">
        <f>VLOOKUP($C380,'[1]PoB Totals'!$C$3:$T$898,17,FALSE)</f>
        <v>981</v>
      </c>
      <c r="F380">
        <f>VLOOKUP($C380,'[1]PoB Totals'!$C$3:$T$898,18,FALSE)</f>
        <v>28</v>
      </c>
      <c r="G380">
        <f t="shared" si="16"/>
        <v>1009</v>
      </c>
      <c r="H380">
        <f t="shared" si="17"/>
        <v>981</v>
      </c>
      <c r="I380">
        <f t="shared" si="17"/>
        <v>28</v>
      </c>
      <c r="J380">
        <f>VLOOKUP($C380,'[1]PoB WN'!$C$1:$T$898,17,FALSE)</f>
        <v>898</v>
      </c>
      <c r="K380">
        <f>VLOOKUP($C380,'[1]PoB WN'!$C$1:$T$898,18,FALSE)</f>
        <v>17</v>
      </c>
      <c r="L380">
        <f>VLOOKUP($C380,'[1]PoB WH'!$C$1:$T$898,17,FALSE)</f>
        <v>2</v>
      </c>
      <c r="M380">
        <f>VLOOKUP($C380,'[1]PoB WH'!$C$1:$T$898,18,FALSE)</f>
        <v>3</v>
      </c>
      <c r="N380">
        <f>VLOOKUP($C380,'[1]PoB AA'!$C$1:$T$898,17,FALSE)</f>
        <v>25</v>
      </c>
      <c r="O380">
        <f>VLOOKUP($C380,'[1]PoB AA'!$C$1:$T$898,18,FALSE)</f>
        <v>0</v>
      </c>
      <c r="P380">
        <f>VLOOKUP($C380,'[1]PoB AI'!$C$1:$T$898,17,FALSE)</f>
        <v>29</v>
      </c>
      <c r="Q380">
        <f>VLOOKUP($C380,'[1]PoB AI'!$C$1:$T$898,18,FALSE)</f>
        <v>5</v>
      </c>
      <c r="R380">
        <f>VLOOKUP($C380,'[1]PoB AS'!$C$1:$T$898,17,FALSE)</f>
        <v>0</v>
      </c>
      <c r="S380">
        <f>VLOOKUP($C380,'[1]PoB AS'!$C$1:$T$898,18,FALSE)</f>
        <v>0</v>
      </c>
      <c r="T380">
        <f>VLOOKUP($C380,'[1]PoB PI'!$C$1:$T$898,17,FALSE)</f>
        <v>0</v>
      </c>
      <c r="U380">
        <f>VLOOKUP($C380,'[1]PoB PI'!$C$1:$T$898,18,FALSE)</f>
        <v>0</v>
      </c>
      <c r="V380">
        <f>VLOOKUP($C380,'[1]PoB OT'!$C$1:$T$898,17,FALSE)</f>
        <v>0</v>
      </c>
      <c r="W380">
        <f>VLOOKUP($C380,'[1]PoB OT'!$C$1:$T$898,18,FALSE)</f>
        <v>3</v>
      </c>
      <c r="X380">
        <f>VLOOKUP($C380,'[1]PoB 2R'!$C$1:$T$898,17,FALSE)</f>
        <v>27</v>
      </c>
      <c r="Y380">
        <f>VLOOKUP($C380,'[1]PoB 2R'!$C$1:$T$898,18,FALSE)</f>
        <v>0</v>
      </c>
    </row>
    <row r="381" spans="1:25" x14ac:dyDescent="0.25">
      <c r="A381" t="s">
        <v>1182</v>
      </c>
      <c r="B381">
        <v>5358235</v>
      </c>
      <c r="C381" t="s">
        <v>1183</v>
      </c>
      <c r="D381">
        <f t="shared" si="15"/>
        <v>38653</v>
      </c>
      <c r="E381">
        <f>VLOOKUP($C381,'[1]PoB Totals'!$C$3:$T$898,17,FALSE)</f>
        <v>35588</v>
      </c>
      <c r="F381">
        <f>VLOOKUP($C381,'[1]PoB Totals'!$C$3:$T$898,18,FALSE)</f>
        <v>3065</v>
      </c>
      <c r="G381">
        <f t="shared" si="16"/>
        <v>38653</v>
      </c>
      <c r="H381">
        <f t="shared" si="17"/>
        <v>35588</v>
      </c>
      <c r="I381">
        <f t="shared" si="17"/>
        <v>3065</v>
      </c>
      <c r="J381">
        <f>VLOOKUP($C381,'[1]PoB WN'!$C$1:$T$898,17,FALSE)</f>
        <v>32155</v>
      </c>
      <c r="K381">
        <f>VLOOKUP($C381,'[1]PoB WN'!$C$1:$T$898,18,FALSE)</f>
        <v>1410</v>
      </c>
      <c r="L381">
        <f>VLOOKUP($C381,'[1]PoB WH'!$C$1:$T$898,17,FALSE)</f>
        <v>764</v>
      </c>
      <c r="M381">
        <f>VLOOKUP($C381,'[1]PoB WH'!$C$1:$T$898,18,FALSE)</f>
        <v>121</v>
      </c>
      <c r="N381">
        <f>VLOOKUP($C381,'[1]PoB AA'!$C$1:$T$898,17,FALSE)</f>
        <v>414</v>
      </c>
      <c r="O381">
        <f>VLOOKUP($C381,'[1]PoB AA'!$C$1:$T$898,18,FALSE)</f>
        <v>16</v>
      </c>
      <c r="P381">
        <f>VLOOKUP($C381,'[1]PoB AI'!$C$1:$T$898,17,FALSE)</f>
        <v>179</v>
      </c>
      <c r="Q381">
        <f>VLOOKUP($C381,'[1]PoB AI'!$C$1:$T$898,18,FALSE)</f>
        <v>0</v>
      </c>
      <c r="R381">
        <f>VLOOKUP($C381,'[1]PoB AS'!$C$1:$T$898,17,FALSE)</f>
        <v>458</v>
      </c>
      <c r="S381">
        <f>VLOOKUP($C381,'[1]PoB AS'!$C$1:$T$898,18,FALSE)</f>
        <v>1108</v>
      </c>
      <c r="T381">
        <f>VLOOKUP($C381,'[1]PoB PI'!$C$1:$T$898,17,FALSE)</f>
        <v>25</v>
      </c>
      <c r="U381">
        <f>VLOOKUP($C381,'[1]PoB PI'!$C$1:$T$898,18,FALSE)</f>
        <v>0</v>
      </c>
      <c r="V381">
        <f>VLOOKUP($C381,'[1]PoB OT'!$C$1:$T$898,17,FALSE)</f>
        <v>563</v>
      </c>
      <c r="W381">
        <f>VLOOKUP($C381,'[1]PoB OT'!$C$1:$T$898,18,FALSE)</f>
        <v>223</v>
      </c>
      <c r="X381">
        <f>VLOOKUP($C381,'[1]PoB 2R'!$C$1:$T$898,17,FALSE)</f>
        <v>1030</v>
      </c>
      <c r="Y381">
        <f>VLOOKUP($C381,'[1]PoB 2R'!$C$1:$T$898,18,FALSE)</f>
        <v>187</v>
      </c>
    </row>
    <row r="382" spans="1:25" x14ac:dyDescent="0.25">
      <c r="A382" t="s">
        <v>1184</v>
      </c>
      <c r="B382">
        <v>5358410</v>
      </c>
      <c r="C382" t="s">
        <v>1185</v>
      </c>
      <c r="D382">
        <f t="shared" si="15"/>
        <v>2209</v>
      </c>
      <c r="E382">
        <f>VLOOKUP($C382,'[1]PoB Totals'!$C$3:$T$898,17,FALSE)</f>
        <v>2129</v>
      </c>
      <c r="F382">
        <f>VLOOKUP($C382,'[1]PoB Totals'!$C$3:$T$898,18,FALSE)</f>
        <v>80</v>
      </c>
      <c r="G382">
        <f t="shared" si="16"/>
        <v>2209</v>
      </c>
      <c r="H382">
        <f t="shared" si="17"/>
        <v>2129</v>
      </c>
      <c r="I382">
        <f t="shared" si="17"/>
        <v>80</v>
      </c>
      <c r="J382">
        <f>VLOOKUP($C382,'[1]PoB WN'!$C$1:$T$898,17,FALSE)</f>
        <v>2001</v>
      </c>
      <c r="K382">
        <f>VLOOKUP($C382,'[1]PoB WN'!$C$1:$T$898,18,FALSE)</f>
        <v>48</v>
      </c>
      <c r="L382">
        <f>VLOOKUP($C382,'[1]PoB WH'!$C$1:$T$898,17,FALSE)</f>
        <v>14</v>
      </c>
      <c r="M382">
        <f>VLOOKUP($C382,'[1]PoB WH'!$C$1:$T$898,18,FALSE)</f>
        <v>10</v>
      </c>
      <c r="N382">
        <f>VLOOKUP($C382,'[1]PoB AA'!$C$1:$T$898,17,FALSE)</f>
        <v>10</v>
      </c>
      <c r="O382">
        <f>VLOOKUP($C382,'[1]PoB AA'!$C$1:$T$898,18,FALSE)</f>
        <v>8</v>
      </c>
      <c r="P382">
        <f>VLOOKUP($C382,'[1]PoB AI'!$C$1:$T$898,17,FALSE)</f>
        <v>29</v>
      </c>
      <c r="Q382">
        <f>VLOOKUP($C382,'[1]PoB AI'!$C$1:$T$898,18,FALSE)</f>
        <v>0</v>
      </c>
      <c r="R382">
        <f>VLOOKUP($C382,'[1]PoB AS'!$C$1:$T$898,17,FALSE)</f>
        <v>6</v>
      </c>
      <c r="S382">
        <f>VLOOKUP($C382,'[1]PoB AS'!$C$1:$T$898,18,FALSE)</f>
        <v>10</v>
      </c>
      <c r="T382">
        <f>VLOOKUP($C382,'[1]PoB PI'!$C$1:$T$898,17,FALSE)</f>
        <v>9</v>
      </c>
      <c r="U382">
        <f>VLOOKUP($C382,'[1]PoB PI'!$C$1:$T$898,18,FALSE)</f>
        <v>2</v>
      </c>
      <c r="V382">
        <f>VLOOKUP($C382,'[1]PoB OT'!$C$1:$T$898,17,FALSE)</f>
        <v>0</v>
      </c>
      <c r="W382">
        <f>VLOOKUP($C382,'[1]PoB OT'!$C$1:$T$898,18,FALSE)</f>
        <v>0</v>
      </c>
      <c r="X382">
        <f>VLOOKUP($C382,'[1]PoB 2R'!$C$1:$T$898,17,FALSE)</f>
        <v>60</v>
      </c>
      <c r="Y382">
        <f>VLOOKUP($C382,'[1]PoB 2R'!$C$1:$T$898,18,FALSE)</f>
        <v>2</v>
      </c>
    </row>
    <row r="383" spans="1:25" x14ac:dyDescent="0.25">
      <c r="A383" t="s">
        <v>1186</v>
      </c>
      <c r="B383">
        <v>5358725</v>
      </c>
      <c r="C383" t="s">
        <v>1187</v>
      </c>
      <c r="D383">
        <f t="shared" si="15"/>
        <v>1758</v>
      </c>
      <c r="E383">
        <f>VLOOKUP($C383,'[1]PoB Totals'!$C$3:$T$898,17,FALSE)</f>
        <v>1695</v>
      </c>
      <c r="F383">
        <f>VLOOKUP($C383,'[1]PoB Totals'!$C$3:$T$898,18,FALSE)</f>
        <v>63</v>
      </c>
      <c r="G383">
        <f t="shared" si="16"/>
        <v>1758</v>
      </c>
      <c r="H383">
        <f t="shared" si="17"/>
        <v>1695</v>
      </c>
      <c r="I383">
        <f t="shared" si="17"/>
        <v>63</v>
      </c>
      <c r="J383">
        <f>VLOOKUP($C383,'[1]PoB WN'!$C$1:$T$898,17,FALSE)</f>
        <v>1620</v>
      </c>
      <c r="K383">
        <f>VLOOKUP($C383,'[1]PoB WN'!$C$1:$T$898,18,FALSE)</f>
        <v>32</v>
      </c>
      <c r="L383">
        <f>VLOOKUP($C383,'[1]PoB WH'!$C$1:$T$898,17,FALSE)</f>
        <v>20</v>
      </c>
      <c r="M383">
        <f>VLOOKUP($C383,'[1]PoB WH'!$C$1:$T$898,18,FALSE)</f>
        <v>10</v>
      </c>
      <c r="N383">
        <f>VLOOKUP($C383,'[1]PoB AA'!$C$1:$T$898,17,FALSE)</f>
        <v>3</v>
      </c>
      <c r="O383">
        <f>VLOOKUP($C383,'[1]PoB AA'!$C$1:$T$898,18,FALSE)</f>
        <v>0</v>
      </c>
      <c r="P383">
        <f>VLOOKUP($C383,'[1]PoB AI'!$C$1:$T$898,17,FALSE)</f>
        <v>9</v>
      </c>
      <c r="Q383">
        <f>VLOOKUP($C383,'[1]PoB AI'!$C$1:$T$898,18,FALSE)</f>
        <v>0</v>
      </c>
      <c r="R383">
        <f>VLOOKUP($C383,'[1]PoB AS'!$C$1:$T$898,17,FALSE)</f>
        <v>4</v>
      </c>
      <c r="S383">
        <f>VLOOKUP($C383,'[1]PoB AS'!$C$1:$T$898,18,FALSE)</f>
        <v>5</v>
      </c>
      <c r="T383">
        <f>VLOOKUP($C383,'[1]PoB PI'!$C$1:$T$898,17,FALSE)</f>
        <v>0</v>
      </c>
      <c r="U383">
        <f>VLOOKUP($C383,'[1]PoB PI'!$C$1:$T$898,18,FALSE)</f>
        <v>0</v>
      </c>
      <c r="V383">
        <f>VLOOKUP($C383,'[1]PoB OT'!$C$1:$T$898,17,FALSE)</f>
        <v>9</v>
      </c>
      <c r="W383">
        <f>VLOOKUP($C383,'[1]PoB OT'!$C$1:$T$898,18,FALSE)</f>
        <v>12</v>
      </c>
      <c r="X383">
        <f>VLOOKUP($C383,'[1]PoB 2R'!$C$1:$T$898,17,FALSE)</f>
        <v>30</v>
      </c>
      <c r="Y383">
        <f>VLOOKUP($C383,'[1]PoB 2R'!$C$1:$T$898,18,FALSE)</f>
        <v>4</v>
      </c>
    </row>
    <row r="384" spans="1:25" x14ac:dyDescent="0.25">
      <c r="A384" t="s">
        <v>1188</v>
      </c>
      <c r="B384">
        <v>5358742</v>
      </c>
      <c r="C384" t="s">
        <v>1189</v>
      </c>
      <c r="D384">
        <f t="shared" si="15"/>
        <v>2247</v>
      </c>
      <c r="E384">
        <f>VLOOKUP($C384,'[1]PoB Totals'!$C$3:$T$898,17,FALSE)</f>
        <v>2138</v>
      </c>
      <c r="F384">
        <f>VLOOKUP($C384,'[1]PoB Totals'!$C$3:$T$898,18,FALSE)</f>
        <v>109</v>
      </c>
      <c r="G384">
        <f t="shared" si="16"/>
        <v>2247</v>
      </c>
      <c r="H384">
        <f t="shared" si="17"/>
        <v>2138</v>
      </c>
      <c r="I384">
        <f t="shared" si="17"/>
        <v>109</v>
      </c>
      <c r="J384">
        <f>VLOOKUP($C384,'[1]PoB WN'!$C$1:$T$898,17,FALSE)</f>
        <v>2066</v>
      </c>
      <c r="K384">
        <f>VLOOKUP($C384,'[1]PoB WN'!$C$1:$T$898,18,FALSE)</f>
        <v>49</v>
      </c>
      <c r="L384">
        <f>VLOOKUP($C384,'[1]PoB WH'!$C$1:$T$898,17,FALSE)</f>
        <v>22</v>
      </c>
      <c r="M384">
        <f>VLOOKUP($C384,'[1]PoB WH'!$C$1:$T$898,18,FALSE)</f>
        <v>16</v>
      </c>
      <c r="N384">
        <f>VLOOKUP($C384,'[1]PoB AA'!$C$1:$T$898,17,FALSE)</f>
        <v>12</v>
      </c>
      <c r="O384">
        <f>VLOOKUP($C384,'[1]PoB AA'!$C$1:$T$898,18,FALSE)</f>
        <v>0</v>
      </c>
      <c r="P384">
        <f>VLOOKUP($C384,'[1]PoB AI'!$C$1:$T$898,17,FALSE)</f>
        <v>7</v>
      </c>
      <c r="Q384">
        <f>VLOOKUP($C384,'[1]PoB AI'!$C$1:$T$898,18,FALSE)</f>
        <v>0</v>
      </c>
      <c r="R384">
        <f>VLOOKUP($C384,'[1]PoB AS'!$C$1:$T$898,17,FALSE)</f>
        <v>0</v>
      </c>
      <c r="S384">
        <f>VLOOKUP($C384,'[1]PoB AS'!$C$1:$T$898,18,FALSE)</f>
        <v>35</v>
      </c>
      <c r="T384">
        <f>VLOOKUP($C384,'[1]PoB PI'!$C$1:$T$898,17,FALSE)</f>
        <v>0</v>
      </c>
      <c r="U384">
        <f>VLOOKUP($C384,'[1]PoB PI'!$C$1:$T$898,18,FALSE)</f>
        <v>0</v>
      </c>
      <c r="V384">
        <f>VLOOKUP($C384,'[1]PoB OT'!$C$1:$T$898,17,FALSE)</f>
        <v>15</v>
      </c>
      <c r="W384">
        <f>VLOOKUP($C384,'[1]PoB OT'!$C$1:$T$898,18,FALSE)</f>
        <v>0</v>
      </c>
      <c r="X384">
        <f>VLOOKUP($C384,'[1]PoB 2R'!$C$1:$T$898,17,FALSE)</f>
        <v>16</v>
      </c>
      <c r="Y384">
        <f>VLOOKUP($C384,'[1]PoB 2R'!$C$1:$T$898,18,FALSE)</f>
        <v>9</v>
      </c>
    </row>
    <row r="385" spans="1:25" x14ac:dyDescent="0.25">
      <c r="A385" t="s">
        <v>1190</v>
      </c>
      <c r="B385">
        <v>5358777</v>
      </c>
      <c r="C385" t="s">
        <v>1191</v>
      </c>
      <c r="D385">
        <f t="shared" si="15"/>
        <v>350</v>
      </c>
      <c r="E385">
        <f>VLOOKUP($C385,'[1]PoB Totals'!$C$3:$T$898,17,FALSE)</f>
        <v>341</v>
      </c>
      <c r="F385">
        <f>VLOOKUP($C385,'[1]PoB Totals'!$C$3:$T$898,18,FALSE)</f>
        <v>9</v>
      </c>
      <c r="G385">
        <f t="shared" si="16"/>
        <v>350</v>
      </c>
      <c r="H385">
        <f t="shared" si="17"/>
        <v>341</v>
      </c>
      <c r="I385">
        <f t="shared" si="17"/>
        <v>9</v>
      </c>
      <c r="J385">
        <f>VLOOKUP($C385,'[1]PoB WN'!$C$1:$T$898,17,FALSE)</f>
        <v>300</v>
      </c>
      <c r="K385">
        <f>VLOOKUP($C385,'[1]PoB WN'!$C$1:$T$898,18,FALSE)</f>
        <v>9</v>
      </c>
      <c r="L385">
        <f>VLOOKUP($C385,'[1]PoB WH'!$C$1:$T$898,17,FALSE)</f>
        <v>0</v>
      </c>
      <c r="M385">
        <f>VLOOKUP($C385,'[1]PoB WH'!$C$1:$T$898,18,FALSE)</f>
        <v>0</v>
      </c>
      <c r="N385">
        <f>VLOOKUP($C385,'[1]PoB AA'!$C$1:$T$898,17,FALSE)</f>
        <v>0</v>
      </c>
      <c r="O385">
        <f>VLOOKUP($C385,'[1]PoB AA'!$C$1:$T$898,18,FALSE)</f>
        <v>0</v>
      </c>
      <c r="P385">
        <f>VLOOKUP($C385,'[1]PoB AI'!$C$1:$T$898,17,FALSE)</f>
        <v>7</v>
      </c>
      <c r="Q385">
        <f>VLOOKUP($C385,'[1]PoB AI'!$C$1:$T$898,18,FALSE)</f>
        <v>0</v>
      </c>
      <c r="R385">
        <f>VLOOKUP($C385,'[1]PoB AS'!$C$1:$T$898,17,FALSE)</f>
        <v>0</v>
      </c>
      <c r="S385">
        <f>VLOOKUP($C385,'[1]PoB AS'!$C$1:$T$898,18,FALSE)</f>
        <v>0</v>
      </c>
      <c r="T385">
        <f>VLOOKUP($C385,'[1]PoB PI'!$C$1:$T$898,17,FALSE)</f>
        <v>0</v>
      </c>
      <c r="U385">
        <f>VLOOKUP($C385,'[1]PoB PI'!$C$1:$T$898,18,FALSE)</f>
        <v>0</v>
      </c>
      <c r="V385">
        <f>VLOOKUP($C385,'[1]PoB OT'!$C$1:$T$898,17,FALSE)</f>
        <v>0</v>
      </c>
      <c r="W385">
        <f>VLOOKUP($C385,'[1]PoB OT'!$C$1:$T$898,18,FALSE)</f>
        <v>0</v>
      </c>
      <c r="X385">
        <f>VLOOKUP($C385,'[1]PoB 2R'!$C$1:$T$898,17,FALSE)</f>
        <v>34</v>
      </c>
      <c r="Y385">
        <f>VLOOKUP($C385,'[1]PoB 2R'!$C$1:$T$898,18,FALSE)</f>
        <v>0</v>
      </c>
    </row>
    <row r="386" spans="1:25" x14ac:dyDescent="0.25">
      <c r="A386" t="s">
        <v>1192</v>
      </c>
      <c r="B386">
        <v>5358795</v>
      </c>
      <c r="C386" t="s">
        <v>1193</v>
      </c>
      <c r="D386">
        <f t="shared" si="15"/>
        <v>349</v>
      </c>
      <c r="E386">
        <f>VLOOKUP($C386,'[1]PoB Totals'!$C$3:$T$898,17,FALSE)</f>
        <v>337</v>
      </c>
      <c r="F386">
        <f>VLOOKUP($C386,'[1]PoB Totals'!$C$3:$T$898,18,FALSE)</f>
        <v>12</v>
      </c>
      <c r="G386">
        <f t="shared" si="16"/>
        <v>349</v>
      </c>
      <c r="H386">
        <f t="shared" si="17"/>
        <v>337</v>
      </c>
      <c r="I386">
        <f t="shared" si="17"/>
        <v>12</v>
      </c>
      <c r="J386">
        <f>VLOOKUP($C386,'[1]PoB WN'!$C$1:$T$898,17,FALSE)</f>
        <v>296</v>
      </c>
      <c r="K386">
        <f>VLOOKUP($C386,'[1]PoB WN'!$C$1:$T$898,18,FALSE)</f>
        <v>7</v>
      </c>
      <c r="L386">
        <f>VLOOKUP($C386,'[1]PoB WH'!$C$1:$T$898,17,FALSE)</f>
        <v>1</v>
      </c>
      <c r="M386">
        <f>VLOOKUP($C386,'[1]PoB WH'!$C$1:$T$898,18,FALSE)</f>
        <v>0</v>
      </c>
      <c r="N386">
        <f>VLOOKUP($C386,'[1]PoB AA'!$C$1:$T$898,17,FALSE)</f>
        <v>0</v>
      </c>
      <c r="O386">
        <f>VLOOKUP($C386,'[1]PoB AA'!$C$1:$T$898,18,FALSE)</f>
        <v>0</v>
      </c>
      <c r="P386">
        <f>VLOOKUP($C386,'[1]PoB AI'!$C$1:$T$898,17,FALSE)</f>
        <v>18</v>
      </c>
      <c r="Q386">
        <f>VLOOKUP($C386,'[1]PoB AI'!$C$1:$T$898,18,FALSE)</f>
        <v>0</v>
      </c>
      <c r="R386">
        <f>VLOOKUP($C386,'[1]PoB AS'!$C$1:$T$898,17,FALSE)</f>
        <v>2</v>
      </c>
      <c r="S386">
        <f>VLOOKUP($C386,'[1]PoB AS'!$C$1:$T$898,18,FALSE)</f>
        <v>4</v>
      </c>
      <c r="T386">
        <f>VLOOKUP($C386,'[1]PoB PI'!$C$1:$T$898,17,FALSE)</f>
        <v>0</v>
      </c>
      <c r="U386">
        <f>VLOOKUP($C386,'[1]PoB PI'!$C$1:$T$898,18,FALSE)</f>
        <v>0</v>
      </c>
      <c r="V386">
        <f>VLOOKUP($C386,'[1]PoB OT'!$C$1:$T$898,17,FALSE)</f>
        <v>9</v>
      </c>
      <c r="W386">
        <f>VLOOKUP($C386,'[1]PoB OT'!$C$1:$T$898,18,FALSE)</f>
        <v>1</v>
      </c>
      <c r="X386">
        <f>VLOOKUP($C386,'[1]PoB 2R'!$C$1:$T$898,17,FALSE)</f>
        <v>11</v>
      </c>
      <c r="Y386">
        <f>VLOOKUP($C386,'[1]PoB 2R'!$C$1:$T$898,18,FALSE)</f>
        <v>0</v>
      </c>
    </row>
    <row r="387" spans="1:25" x14ac:dyDescent="0.25">
      <c r="A387" t="s">
        <v>1574</v>
      </c>
      <c r="B387">
        <v>5358878</v>
      </c>
      <c r="C387" t="s">
        <v>1575</v>
      </c>
      <c r="D387">
        <f t="shared" ref="D387:D450" si="18">SUM(E387,F387)</f>
        <v>11389</v>
      </c>
      <c r="E387">
        <f>VLOOKUP($C387,'[1]PoB Totals'!$C$3:$T$898,17,FALSE)</f>
        <v>8809</v>
      </c>
      <c r="F387">
        <f>VLOOKUP($C387,'[1]PoB Totals'!$C$3:$T$898,18,FALSE)</f>
        <v>2580</v>
      </c>
      <c r="G387">
        <f t="shared" ref="G387:G450" si="19">H387+I387</f>
        <v>11389</v>
      </c>
      <c r="H387">
        <f t="shared" ref="H387:I450" si="20">SUM(J387,L387,N387,P387,R387,T387,V387,X387)</f>
        <v>8809</v>
      </c>
      <c r="I387">
        <f t="shared" si="20"/>
        <v>2580</v>
      </c>
      <c r="J387">
        <f>VLOOKUP($C387,'[1]PoB WN'!$C$1:$T$898,17,FALSE)</f>
        <v>6066</v>
      </c>
      <c r="K387">
        <f>VLOOKUP($C387,'[1]PoB WN'!$C$1:$T$898,18,FALSE)</f>
        <v>330</v>
      </c>
      <c r="L387">
        <f>VLOOKUP($C387,'[1]PoB WH'!$C$1:$T$898,17,FALSE)</f>
        <v>177</v>
      </c>
      <c r="M387">
        <f>VLOOKUP($C387,'[1]PoB WH'!$C$1:$T$898,18,FALSE)</f>
        <v>298</v>
      </c>
      <c r="N387">
        <f>VLOOKUP($C387,'[1]PoB AA'!$C$1:$T$898,17,FALSE)</f>
        <v>708</v>
      </c>
      <c r="O387">
        <f>VLOOKUP($C387,'[1]PoB AA'!$C$1:$T$898,18,FALSE)</f>
        <v>137</v>
      </c>
      <c r="P387">
        <f>VLOOKUP($C387,'[1]PoB AI'!$C$1:$T$898,17,FALSE)</f>
        <v>21</v>
      </c>
      <c r="Q387">
        <f>VLOOKUP($C387,'[1]PoB AI'!$C$1:$T$898,18,FALSE)</f>
        <v>0</v>
      </c>
      <c r="R387">
        <f>VLOOKUP($C387,'[1]PoB AS'!$C$1:$T$898,17,FALSE)</f>
        <v>514</v>
      </c>
      <c r="S387">
        <f>VLOOKUP($C387,'[1]PoB AS'!$C$1:$T$898,18,FALSE)</f>
        <v>1010</v>
      </c>
      <c r="T387">
        <f>VLOOKUP($C387,'[1]PoB PI'!$C$1:$T$898,17,FALSE)</f>
        <v>78</v>
      </c>
      <c r="U387">
        <f>VLOOKUP($C387,'[1]PoB PI'!$C$1:$T$898,18,FALSE)</f>
        <v>37</v>
      </c>
      <c r="V387">
        <f>VLOOKUP($C387,'[1]PoB OT'!$C$1:$T$898,17,FALSE)</f>
        <v>595</v>
      </c>
      <c r="W387">
        <f>VLOOKUP($C387,'[1]PoB OT'!$C$1:$T$898,18,FALSE)</f>
        <v>602</v>
      </c>
      <c r="X387">
        <f>VLOOKUP($C387,'[1]PoB 2R'!$C$1:$T$898,17,FALSE)</f>
        <v>650</v>
      </c>
      <c r="Y387">
        <f>VLOOKUP($C387,'[1]PoB 2R'!$C$1:$T$898,18,FALSE)</f>
        <v>166</v>
      </c>
    </row>
    <row r="388" spans="1:25" x14ac:dyDescent="0.25">
      <c r="A388" t="s">
        <v>1194</v>
      </c>
      <c r="B388">
        <v>5359110</v>
      </c>
      <c r="C388" t="s">
        <v>1195</v>
      </c>
      <c r="D388">
        <f t="shared" si="18"/>
        <v>1991</v>
      </c>
      <c r="E388">
        <f>VLOOKUP($C388,'[1]PoB Totals'!$C$3:$T$898,17,FALSE)</f>
        <v>1817</v>
      </c>
      <c r="F388">
        <f>VLOOKUP($C388,'[1]PoB Totals'!$C$3:$T$898,18,FALSE)</f>
        <v>174</v>
      </c>
      <c r="G388">
        <f t="shared" si="19"/>
        <v>1991</v>
      </c>
      <c r="H388">
        <f t="shared" si="20"/>
        <v>1817</v>
      </c>
      <c r="I388">
        <f t="shared" si="20"/>
        <v>174</v>
      </c>
      <c r="J388">
        <f>VLOOKUP($C388,'[1]PoB WN'!$C$1:$T$898,17,FALSE)</f>
        <v>1565</v>
      </c>
      <c r="K388">
        <f>VLOOKUP($C388,'[1]PoB WN'!$C$1:$T$898,18,FALSE)</f>
        <v>18</v>
      </c>
      <c r="L388">
        <f>VLOOKUP($C388,'[1]PoB WH'!$C$1:$T$898,17,FALSE)</f>
        <v>41</v>
      </c>
      <c r="M388">
        <f>VLOOKUP($C388,'[1]PoB WH'!$C$1:$T$898,18,FALSE)</f>
        <v>45</v>
      </c>
      <c r="N388">
        <f>VLOOKUP($C388,'[1]PoB AA'!$C$1:$T$898,17,FALSE)</f>
        <v>0</v>
      </c>
      <c r="O388">
        <f>VLOOKUP($C388,'[1]PoB AA'!$C$1:$T$898,18,FALSE)</f>
        <v>0</v>
      </c>
      <c r="P388">
        <f>VLOOKUP($C388,'[1]PoB AI'!$C$1:$T$898,17,FALSE)</f>
        <v>13</v>
      </c>
      <c r="Q388">
        <f>VLOOKUP($C388,'[1]PoB AI'!$C$1:$T$898,18,FALSE)</f>
        <v>0</v>
      </c>
      <c r="R388">
        <f>VLOOKUP($C388,'[1]PoB AS'!$C$1:$T$898,17,FALSE)</f>
        <v>0</v>
      </c>
      <c r="S388">
        <f>VLOOKUP($C388,'[1]PoB AS'!$C$1:$T$898,18,FALSE)</f>
        <v>13</v>
      </c>
      <c r="T388">
        <f>VLOOKUP($C388,'[1]PoB PI'!$C$1:$T$898,17,FALSE)</f>
        <v>10</v>
      </c>
      <c r="U388">
        <f>VLOOKUP($C388,'[1]PoB PI'!$C$1:$T$898,18,FALSE)</f>
        <v>0</v>
      </c>
      <c r="V388">
        <f>VLOOKUP($C388,'[1]PoB OT'!$C$1:$T$898,17,FALSE)</f>
        <v>78</v>
      </c>
      <c r="W388">
        <f>VLOOKUP($C388,'[1]PoB OT'!$C$1:$T$898,18,FALSE)</f>
        <v>98</v>
      </c>
      <c r="X388">
        <f>VLOOKUP($C388,'[1]PoB 2R'!$C$1:$T$898,17,FALSE)</f>
        <v>110</v>
      </c>
      <c r="Y388">
        <f>VLOOKUP($C388,'[1]PoB 2R'!$C$1:$T$898,18,FALSE)</f>
        <v>0</v>
      </c>
    </row>
    <row r="389" spans="1:25" x14ac:dyDescent="0.25">
      <c r="A389" t="s">
        <v>1196</v>
      </c>
      <c r="B389">
        <v>5359145</v>
      </c>
      <c r="C389" t="s">
        <v>1197</v>
      </c>
      <c r="D389">
        <f t="shared" si="18"/>
        <v>412</v>
      </c>
      <c r="E389">
        <f>VLOOKUP($C389,'[1]PoB Totals'!$C$3:$T$898,17,FALSE)</f>
        <v>410</v>
      </c>
      <c r="F389">
        <f>VLOOKUP($C389,'[1]PoB Totals'!$C$3:$T$898,18,FALSE)</f>
        <v>2</v>
      </c>
      <c r="G389">
        <f t="shared" si="19"/>
        <v>412</v>
      </c>
      <c r="H389">
        <f t="shared" si="20"/>
        <v>410</v>
      </c>
      <c r="I389">
        <f t="shared" si="20"/>
        <v>2</v>
      </c>
      <c r="J389">
        <f>VLOOKUP($C389,'[1]PoB WN'!$C$1:$T$898,17,FALSE)</f>
        <v>398</v>
      </c>
      <c r="K389">
        <f>VLOOKUP($C389,'[1]PoB WN'!$C$1:$T$898,18,FALSE)</f>
        <v>2</v>
      </c>
      <c r="L389">
        <f>VLOOKUP($C389,'[1]PoB WH'!$C$1:$T$898,17,FALSE)</f>
        <v>2</v>
      </c>
      <c r="M389">
        <f>VLOOKUP($C389,'[1]PoB WH'!$C$1:$T$898,18,FALSE)</f>
        <v>0</v>
      </c>
      <c r="N389">
        <f>VLOOKUP($C389,'[1]PoB AA'!$C$1:$T$898,17,FALSE)</f>
        <v>0</v>
      </c>
      <c r="O389">
        <f>VLOOKUP($C389,'[1]PoB AA'!$C$1:$T$898,18,FALSE)</f>
        <v>0</v>
      </c>
      <c r="P389">
        <f>VLOOKUP($C389,'[1]PoB AI'!$C$1:$T$898,17,FALSE)</f>
        <v>2</v>
      </c>
      <c r="Q389">
        <f>VLOOKUP($C389,'[1]PoB AI'!$C$1:$T$898,18,FALSE)</f>
        <v>0</v>
      </c>
      <c r="R389">
        <f>VLOOKUP($C389,'[1]PoB AS'!$C$1:$T$898,17,FALSE)</f>
        <v>0</v>
      </c>
      <c r="S389">
        <f>VLOOKUP($C389,'[1]PoB AS'!$C$1:$T$898,18,FALSE)</f>
        <v>0</v>
      </c>
      <c r="T389">
        <f>VLOOKUP($C389,'[1]PoB PI'!$C$1:$T$898,17,FALSE)</f>
        <v>0</v>
      </c>
      <c r="U389">
        <f>VLOOKUP($C389,'[1]PoB PI'!$C$1:$T$898,18,FALSE)</f>
        <v>0</v>
      </c>
      <c r="V389">
        <f>VLOOKUP($C389,'[1]PoB OT'!$C$1:$T$898,17,FALSE)</f>
        <v>0</v>
      </c>
      <c r="W389">
        <f>VLOOKUP($C389,'[1]PoB OT'!$C$1:$T$898,18,FALSE)</f>
        <v>0</v>
      </c>
      <c r="X389">
        <f>VLOOKUP($C389,'[1]PoB 2R'!$C$1:$T$898,17,FALSE)</f>
        <v>8</v>
      </c>
      <c r="Y389">
        <f>VLOOKUP($C389,'[1]PoB 2R'!$C$1:$T$898,18,FALSE)</f>
        <v>0</v>
      </c>
    </row>
    <row r="390" spans="1:25" x14ac:dyDescent="0.25">
      <c r="A390" t="s">
        <v>1198</v>
      </c>
      <c r="B390">
        <v>5359180</v>
      </c>
      <c r="C390" t="s">
        <v>1199</v>
      </c>
      <c r="D390">
        <f t="shared" si="18"/>
        <v>883</v>
      </c>
      <c r="E390">
        <f>VLOOKUP($C390,'[1]PoB Totals'!$C$3:$T$898,17,FALSE)</f>
        <v>725</v>
      </c>
      <c r="F390">
        <f>VLOOKUP($C390,'[1]PoB Totals'!$C$3:$T$898,18,FALSE)</f>
        <v>158</v>
      </c>
      <c r="G390">
        <f t="shared" si="19"/>
        <v>883</v>
      </c>
      <c r="H390">
        <f t="shared" si="20"/>
        <v>725</v>
      </c>
      <c r="I390">
        <f t="shared" si="20"/>
        <v>158</v>
      </c>
      <c r="J390">
        <f>VLOOKUP($C390,'[1]PoB WN'!$C$1:$T$898,17,FALSE)</f>
        <v>567</v>
      </c>
      <c r="K390">
        <f>VLOOKUP($C390,'[1]PoB WN'!$C$1:$T$898,18,FALSE)</f>
        <v>5</v>
      </c>
      <c r="L390">
        <f>VLOOKUP($C390,'[1]PoB WH'!$C$1:$T$898,17,FALSE)</f>
        <v>38</v>
      </c>
      <c r="M390">
        <f>VLOOKUP($C390,'[1]PoB WH'!$C$1:$T$898,18,FALSE)</f>
        <v>33</v>
      </c>
      <c r="N390">
        <f>VLOOKUP($C390,'[1]PoB AA'!$C$1:$T$898,17,FALSE)</f>
        <v>0</v>
      </c>
      <c r="O390">
        <f>VLOOKUP($C390,'[1]PoB AA'!$C$1:$T$898,18,FALSE)</f>
        <v>0</v>
      </c>
      <c r="P390">
        <f>VLOOKUP($C390,'[1]PoB AI'!$C$1:$T$898,17,FALSE)</f>
        <v>8</v>
      </c>
      <c r="Q390">
        <f>VLOOKUP($C390,'[1]PoB AI'!$C$1:$T$898,18,FALSE)</f>
        <v>5</v>
      </c>
      <c r="R390">
        <f>VLOOKUP($C390,'[1]PoB AS'!$C$1:$T$898,17,FALSE)</f>
        <v>5</v>
      </c>
      <c r="S390">
        <f>VLOOKUP($C390,'[1]PoB AS'!$C$1:$T$898,18,FALSE)</f>
        <v>0</v>
      </c>
      <c r="T390">
        <f>VLOOKUP($C390,'[1]PoB PI'!$C$1:$T$898,17,FALSE)</f>
        <v>0</v>
      </c>
      <c r="U390">
        <f>VLOOKUP($C390,'[1]PoB PI'!$C$1:$T$898,18,FALSE)</f>
        <v>0</v>
      </c>
      <c r="V390">
        <f>VLOOKUP($C390,'[1]PoB OT'!$C$1:$T$898,17,FALSE)</f>
        <v>101</v>
      </c>
      <c r="W390">
        <f>VLOOKUP($C390,'[1]PoB OT'!$C$1:$T$898,18,FALSE)</f>
        <v>112</v>
      </c>
      <c r="X390">
        <f>VLOOKUP($C390,'[1]PoB 2R'!$C$1:$T$898,17,FALSE)</f>
        <v>6</v>
      </c>
      <c r="Y390">
        <f>VLOOKUP($C390,'[1]PoB 2R'!$C$1:$T$898,18,FALSE)</f>
        <v>3</v>
      </c>
    </row>
    <row r="391" spans="1:25" x14ac:dyDescent="0.25">
      <c r="A391" t="s">
        <v>1200</v>
      </c>
      <c r="B391">
        <v>5359250</v>
      </c>
      <c r="C391" t="s">
        <v>1201</v>
      </c>
      <c r="D391">
        <f t="shared" si="18"/>
        <v>53</v>
      </c>
      <c r="E391">
        <f>VLOOKUP($C391,'[1]PoB Totals'!$C$3:$T$898,17,FALSE)</f>
        <v>53</v>
      </c>
      <c r="F391">
        <f>VLOOKUP($C391,'[1]PoB Totals'!$C$3:$T$898,18,FALSE)</f>
        <v>0</v>
      </c>
      <c r="G391">
        <f t="shared" si="19"/>
        <v>53</v>
      </c>
      <c r="H391">
        <f t="shared" si="20"/>
        <v>53</v>
      </c>
      <c r="I391">
        <f t="shared" si="20"/>
        <v>0</v>
      </c>
      <c r="J391">
        <f>VLOOKUP($C391,'[1]PoB WN'!$C$1:$T$898,17,FALSE)</f>
        <v>45</v>
      </c>
      <c r="K391">
        <f>VLOOKUP($C391,'[1]PoB WN'!$C$1:$T$898,18,FALSE)</f>
        <v>0</v>
      </c>
      <c r="L391">
        <f>VLOOKUP($C391,'[1]PoB WH'!$C$1:$T$898,17,FALSE)</f>
        <v>0</v>
      </c>
      <c r="M391">
        <f>VLOOKUP($C391,'[1]PoB WH'!$C$1:$T$898,18,FALSE)</f>
        <v>0</v>
      </c>
      <c r="N391">
        <f>VLOOKUP($C391,'[1]PoB AA'!$C$1:$T$898,17,FALSE)</f>
        <v>0</v>
      </c>
      <c r="O391">
        <f>VLOOKUP($C391,'[1]PoB AA'!$C$1:$T$898,18,FALSE)</f>
        <v>0</v>
      </c>
      <c r="P391">
        <f>VLOOKUP($C391,'[1]PoB AI'!$C$1:$T$898,17,FALSE)</f>
        <v>8</v>
      </c>
      <c r="Q391">
        <f>VLOOKUP($C391,'[1]PoB AI'!$C$1:$T$898,18,FALSE)</f>
        <v>0</v>
      </c>
      <c r="R391">
        <f>VLOOKUP($C391,'[1]PoB AS'!$C$1:$T$898,17,FALSE)</f>
        <v>0</v>
      </c>
      <c r="S391">
        <f>VLOOKUP($C391,'[1]PoB AS'!$C$1:$T$898,18,FALSE)</f>
        <v>0</v>
      </c>
      <c r="T391">
        <f>VLOOKUP($C391,'[1]PoB PI'!$C$1:$T$898,17,FALSE)</f>
        <v>0</v>
      </c>
      <c r="U391">
        <f>VLOOKUP($C391,'[1]PoB PI'!$C$1:$T$898,18,FALSE)</f>
        <v>0</v>
      </c>
      <c r="V391">
        <f>VLOOKUP($C391,'[1]PoB OT'!$C$1:$T$898,17,FALSE)</f>
        <v>0</v>
      </c>
      <c r="W391">
        <f>VLOOKUP($C391,'[1]PoB OT'!$C$1:$T$898,18,FALSE)</f>
        <v>0</v>
      </c>
      <c r="X391">
        <f>VLOOKUP($C391,'[1]PoB 2R'!$C$1:$T$898,17,FALSE)</f>
        <v>0</v>
      </c>
      <c r="Y391">
        <f>VLOOKUP($C391,'[1]PoB 2R'!$C$1:$T$898,18,FALSE)</f>
        <v>0</v>
      </c>
    </row>
    <row r="392" spans="1:25" x14ac:dyDescent="0.25">
      <c r="A392" t="s">
        <v>1204</v>
      </c>
      <c r="B392">
        <v>5359635</v>
      </c>
      <c r="C392" t="s">
        <v>1205</v>
      </c>
      <c r="D392">
        <f t="shared" si="18"/>
        <v>177</v>
      </c>
      <c r="E392">
        <f>VLOOKUP($C392,'[1]PoB Totals'!$C$3:$T$898,17,FALSE)</f>
        <v>164</v>
      </c>
      <c r="F392">
        <f>VLOOKUP($C392,'[1]PoB Totals'!$C$3:$T$898,18,FALSE)</f>
        <v>13</v>
      </c>
      <c r="G392">
        <f t="shared" si="19"/>
        <v>177</v>
      </c>
      <c r="H392">
        <f t="shared" si="20"/>
        <v>164</v>
      </c>
      <c r="I392">
        <f t="shared" si="20"/>
        <v>13</v>
      </c>
      <c r="J392">
        <f>VLOOKUP($C392,'[1]PoB WN'!$C$1:$T$898,17,FALSE)</f>
        <v>164</v>
      </c>
      <c r="K392">
        <f>VLOOKUP($C392,'[1]PoB WN'!$C$1:$T$898,18,FALSE)</f>
        <v>13</v>
      </c>
      <c r="L392">
        <f>VLOOKUP($C392,'[1]PoB WH'!$C$1:$T$898,17,FALSE)</f>
        <v>0</v>
      </c>
      <c r="M392">
        <f>VLOOKUP($C392,'[1]PoB WH'!$C$1:$T$898,18,FALSE)</f>
        <v>0</v>
      </c>
      <c r="N392">
        <f>VLOOKUP($C392,'[1]PoB AA'!$C$1:$T$898,17,FALSE)</f>
        <v>0</v>
      </c>
      <c r="O392">
        <f>VLOOKUP($C392,'[1]PoB AA'!$C$1:$T$898,18,FALSE)</f>
        <v>0</v>
      </c>
      <c r="P392">
        <f>VLOOKUP($C392,'[1]PoB AI'!$C$1:$T$898,17,FALSE)</f>
        <v>0</v>
      </c>
      <c r="Q392">
        <f>VLOOKUP($C392,'[1]PoB AI'!$C$1:$T$898,18,FALSE)</f>
        <v>0</v>
      </c>
      <c r="R392">
        <f>VLOOKUP($C392,'[1]PoB AS'!$C$1:$T$898,17,FALSE)</f>
        <v>0</v>
      </c>
      <c r="S392">
        <f>VLOOKUP($C392,'[1]PoB AS'!$C$1:$T$898,18,FALSE)</f>
        <v>0</v>
      </c>
      <c r="T392">
        <f>VLOOKUP($C392,'[1]PoB PI'!$C$1:$T$898,17,FALSE)</f>
        <v>0</v>
      </c>
      <c r="U392">
        <f>VLOOKUP($C392,'[1]PoB PI'!$C$1:$T$898,18,FALSE)</f>
        <v>0</v>
      </c>
      <c r="V392">
        <f>VLOOKUP($C392,'[1]PoB OT'!$C$1:$T$898,17,FALSE)</f>
        <v>0</v>
      </c>
      <c r="W392">
        <f>VLOOKUP($C392,'[1]PoB OT'!$C$1:$T$898,18,FALSE)</f>
        <v>0</v>
      </c>
      <c r="X392">
        <f>VLOOKUP($C392,'[1]PoB 2R'!$C$1:$T$898,17,FALSE)</f>
        <v>0</v>
      </c>
      <c r="Y392">
        <f>VLOOKUP($C392,'[1]PoB 2R'!$C$1:$T$898,18,FALSE)</f>
        <v>0</v>
      </c>
    </row>
    <row r="393" spans="1:25" x14ac:dyDescent="0.25">
      <c r="A393" t="s">
        <v>1206</v>
      </c>
      <c r="B393">
        <v>5359705</v>
      </c>
      <c r="C393" t="s">
        <v>1207</v>
      </c>
      <c r="D393">
        <f t="shared" si="18"/>
        <v>116</v>
      </c>
      <c r="E393">
        <f>VLOOKUP($C393,'[1]PoB Totals'!$C$3:$T$898,17,FALSE)</f>
        <v>97</v>
      </c>
      <c r="F393">
        <f>VLOOKUP($C393,'[1]PoB Totals'!$C$3:$T$898,18,FALSE)</f>
        <v>19</v>
      </c>
      <c r="G393">
        <f t="shared" si="19"/>
        <v>116</v>
      </c>
      <c r="H393">
        <f t="shared" si="20"/>
        <v>97</v>
      </c>
      <c r="I393">
        <f t="shared" si="20"/>
        <v>19</v>
      </c>
      <c r="J393">
        <f>VLOOKUP($C393,'[1]PoB WN'!$C$1:$T$898,17,FALSE)</f>
        <v>76</v>
      </c>
      <c r="K393">
        <f>VLOOKUP($C393,'[1]PoB WN'!$C$1:$T$898,18,FALSE)</f>
        <v>0</v>
      </c>
      <c r="L393">
        <f>VLOOKUP($C393,'[1]PoB WH'!$C$1:$T$898,17,FALSE)</f>
        <v>0</v>
      </c>
      <c r="M393">
        <f>VLOOKUP($C393,'[1]PoB WH'!$C$1:$T$898,18,FALSE)</f>
        <v>0</v>
      </c>
      <c r="N393">
        <f>VLOOKUP($C393,'[1]PoB AA'!$C$1:$T$898,17,FALSE)</f>
        <v>0</v>
      </c>
      <c r="O393">
        <f>VLOOKUP($C393,'[1]PoB AA'!$C$1:$T$898,18,FALSE)</f>
        <v>0</v>
      </c>
      <c r="P393">
        <f>VLOOKUP($C393,'[1]PoB AI'!$C$1:$T$898,17,FALSE)</f>
        <v>0</v>
      </c>
      <c r="Q393">
        <f>VLOOKUP($C393,'[1]PoB AI'!$C$1:$T$898,18,FALSE)</f>
        <v>0</v>
      </c>
      <c r="R393">
        <f>VLOOKUP($C393,'[1]PoB AS'!$C$1:$T$898,17,FALSE)</f>
        <v>0</v>
      </c>
      <c r="S393">
        <f>VLOOKUP($C393,'[1]PoB AS'!$C$1:$T$898,18,FALSE)</f>
        <v>0</v>
      </c>
      <c r="T393">
        <f>VLOOKUP($C393,'[1]PoB PI'!$C$1:$T$898,17,FALSE)</f>
        <v>0</v>
      </c>
      <c r="U393">
        <f>VLOOKUP($C393,'[1]PoB PI'!$C$1:$T$898,18,FALSE)</f>
        <v>0</v>
      </c>
      <c r="V393">
        <f>VLOOKUP($C393,'[1]PoB OT'!$C$1:$T$898,17,FALSE)</f>
        <v>8</v>
      </c>
      <c r="W393">
        <f>VLOOKUP($C393,'[1]PoB OT'!$C$1:$T$898,18,FALSE)</f>
        <v>19</v>
      </c>
      <c r="X393">
        <f>VLOOKUP($C393,'[1]PoB 2R'!$C$1:$T$898,17,FALSE)</f>
        <v>13</v>
      </c>
      <c r="Y393">
        <f>VLOOKUP($C393,'[1]PoB 2R'!$C$1:$T$898,18,FALSE)</f>
        <v>0</v>
      </c>
    </row>
    <row r="394" spans="1:25" x14ac:dyDescent="0.25">
      <c r="A394" t="s">
        <v>1208</v>
      </c>
      <c r="B394">
        <v>5359775</v>
      </c>
      <c r="C394" t="s">
        <v>1209</v>
      </c>
      <c r="D394">
        <f t="shared" si="18"/>
        <v>649</v>
      </c>
      <c r="E394">
        <f>VLOOKUP($C394,'[1]PoB Totals'!$C$3:$T$898,17,FALSE)</f>
        <v>639</v>
      </c>
      <c r="F394">
        <f>VLOOKUP($C394,'[1]PoB Totals'!$C$3:$T$898,18,FALSE)</f>
        <v>10</v>
      </c>
      <c r="G394">
        <f t="shared" si="19"/>
        <v>649</v>
      </c>
      <c r="H394">
        <f t="shared" si="20"/>
        <v>639</v>
      </c>
      <c r="I394">
        <f t="shared" si="20"/>
        <v>10</v>
      </c>
      <c r="J394">
        <f>VLOOKUP($C394,'[1]PoB WN'!$C$1:$T$898,17,FALSE)</f>
        <v>607</v>
      </c>
      <c r="K394">
        <f>VLOOKUP($C394,'[1]PoB WN'!$C$1:$T$898,18,FALSE)</f>
        <v>8</v>
      </c>
      <c r="L394">
        <f>VLOOKUP($C394,'[1]PoB WH'!$C$1:$T$898,17,FALSE)</f>
        <v>2</v>
      </c>
      <c r="M394">
        <f>VLOOKUP($C394,'[1]PoB WH'!$C$1:$T$898,18,FALSE)</f>
        <v>0</v>
      </c>
      <c r="N394">
        <f>VLOOKUP($C394,'[1]PoB AA'!$C$1:$T$898,17,FALSE)</f>
        <v>4</v>
      </c>
      <c r="O394">
        <f>VLOOKUP($C394,'[1]PoB AA'!$C$1:$T$898,18,FALSE)</f>
        <v>0</v>
      </c>
      <c r="P394">
        <f>VLOOKUP($C394,'[1]PoB AI'!$C$1:$T$898,17,FALSE)</f>
        <v>7</v>
      </c>
      <c r="Q394">
        <f>VLOOKUP($C394,'[1]PoB AI'!$C$1:$T$898,18,FALSE)</f>
        <v>0</v>
      </c>
      <c r="R394">
        <f>VLOOKUP($C394,'[1]PoB AS'!$C$1:$T$898,17,FALSE)</f>
        <v>6</v>
      </c>
      <c r="S394">
        <f>VLOOKUP($C394,'[1]PoB AS'!$C$1:$T$898,18,FALSE)</f>
        <v>2</v>
      </c>
      <c r="T394">
        <f>VLOOKUP($C394,'[1]PoB PI'!$C$1:$T$898,17,FALSE)</f>
        <v>0</v>
      </c>
      <c r="U394">
        <f>VLOOKUP($C394,'[1]PoB PI'!$C$1:$T$898,18,FALSE)</f>
        <v>0</v>
      </c>
      <c r="V394">
        <f>VLOOKUP($C394,'[1]PoB OT'!$C$1:$T$898,17,FALSE)</f>
        <v>0</v>
      </c>
      <c r="W394">
        <f>VLOOKUP($C394,'[1]PoB OT'!$C$1:$T$898,18,FALSE)</f>
        <v>0</v>
      </c>
      <c r="X394">
        <f>VLOOKUP($C394,'[1]PoB 2R'!$C$1:$T$898,17,FALSE)</f>
        <v>13</v>
      </c>
      <c r="Y394">
        <f>VLOOKUP($C394,'[1]PoB 2R'!$C$1:$T$898,18,FALSE)</f>
        <v>0</v>
      </c>
    </row>
    <row r="395" spans="1:25" x14ac:dyDescent="0.25">
      <c r="A395" t="s">
        <v>1214</v>
      </c>
      <c r="B395">
        <v>5360055</v>
      </c>
      <c r="C395" t="s">
        <v>1215</v>
      </c>
      <c r="D395">
        <f t="shared" si="18"/>
        <v>1014</v>
      </c>
      <c r="E395">
        <f>VLOOKUP($C395,'[1]PoB Totals'!$C$3:$T$898,17,FALSE)</f>
        <v>981</v>
      </c>
      <c r="F395">
        <f>VLOOKUP($C395,'[1]PoB Totals'!$C$3:$T$898,18,FALSE)</f>
        <v>33</v>
      </c>
      <c r="G395">
        <f t="shared" si="19"/>
        <v>1014</v>
      </c>
      <c r="H395">
        <f t="shared" si="20"/>
        <v>981</v>
      </c>
      <c r="I395">
        <f t="shared" si="20"/>
        <v>33</v>
      </c>
      <c r="J395">
        <f>VLOOKUP($C395,'[1]PoB WN'!$C$1:$T$898,17,FALSE)</f>
        <v>917</v>
      </c>
      <c r="K395">
        <f>VLOOKUP($C395,'[1]PoB WN'!$C$1:$T$898,18,FALSE)</f>
        <v>31</v>
      </c>
      <c r="L395">
        <f>VLOOKUP($C395,'[1]PoB WH'!$C$1:$T$898,17,FALSE)</f>
        <v>1</v>
      </c>
      <c r="M395">
        <f>VLOOKUP($C395,'[1]PoB WH'!$C$1:$T$898,18,FALSE)</f>
        <v>2</v>
      </c>
      <c r="N395">
        <f>VLOOKUP($C395,'[1]PoB AA'!$C$1:$T$898,17,FALSE)</f>
        <v>21</v>
      </c>
      <c r="O395">
        <f>VLOOKUP($C395,'[1]PoB AA'!$C$1:$T$898,18,FALSE)</f>
        <v>0</v>
      </c>
      <c r="P395">
        <f>VLOOKUP($C395,'[1]PoB AI'!$C$1:$T$898,17,FALSE)</f>
        <v>18</v>
      </c>
      <c r="Q395">
        <f>VLOOKUP($C395,'[1]PoB AI'!$C$1:$T$898,18,FALSE)</f>
        <v>0</v>
      </c>
      <c r="R395">
        <f>VLOOKUP($C395,'[1]PoB AS'!$C$1:$T$898,17,FALSE)</f>
        <v>0</v>
      </c>
      <c r="S395">
        <f>VLOOKUP($C395,'[1]PoB AS'!$C$1:$T$898,18,FALSE)</f>
        <v>0</v>
      </c>
      <c r="T395">
        <f>VLOOKUP($C395,'[1]PoB PI'!$C$1:$T$898,17,FALSE)</f>
        <v>0</v>
      </c>
      <c r="U395">
        <f>VLOOKUP($C395,'[1]PoB PI'!$C$1:$T$898,18,FALSE)</f>
        <v>0</v>
      </c>
      <c r="V395">
        <f>VLOOKUP($C395,'[1]PoB OT'!$C$1:$T$898,17,FALSE)</f>
        <v>0</v>
      </c>
      <c r="W395">
        <f>VLOOKUP($C395,'[1]PoB OT'!$C$1:$T$898,18,FALSE)</f>
        <v>0</v>
      </c>
      <c r="X395">
        <f>VLOOKUP($C395,'[1]PoB 2R'!$C$1:$T$898,17,FALSE)</f>
        <v>24</v>
      </c>
      <c r="Y395">
        <f>VLOOKUP($C395,'[1]PoB 2R'!$C$1:$T$898,18,FALSE)</f>
        <v>0</v>
      </c>
    </row>
    <row r="396" spans="1:25" x14ac:dyDescent="0.25">
      <c r="A396" t="s">
        <v>1216</v>
      </c>
      <c r="B396">
        <v>5360160</v>
      </c>
      <c r="C396" t="s">
        <v>1217</v>
      </c>
      <c r="D396">
        <f t="shared" si="18"/>
        <v>259</v>
      </c>
      <c r="E396">
        <f>VLOOKUP($C396,'[1]PoB Totals'!$C$3:$T$898,17,FALSE)</f>
        <v>247</v>
      </c>
      <c r="F396">
        <f>VLOOKUP($C396,'[1]PoB Totals'!$C$3:$T$898,18,FALSE)</f>
        <v>12</v>
      </c>
      <c r="G396">
        <f t="shared" si="19"/>
        <v>259</v>
      </c>
      <c r="H396">
        <f t="shared" si="20"/>
        <v>247</v>
      </c>
      <c r="I396">
        <f t="shared" si="20"/>
        <v>12</v>
      </c>
      <c r="J396">
        <f>VLOOKUP($C396,'[1]PoB WN'!$C$1:$T$898,17,FALSE)</f>
        <v>188</v>
      </c>
      <c r="K396">
        <f>VLOOKUP($C396,'[1]PoB WN'!$C$1:$T$898,18,FALSE)</f>
        <v>8</v>
      </c>
      <c r="L396">
        <f>VLOOKUP($C396,'[1]PoB WH'!$C$1:$T$898,17,FALSE)</f>
        <v>5</v>
      </c>
      <c r="M396">
        <f>VLOOKUP($C396,'[1]PoB WH'!$C$1:$T$898,18,FALSE)</f>
        <v>0</v>
      </c>
      <c r="N396">
        <f>VLOOKUP($C396,'[1]PoB AA'!$C$1:$T$898,17,FALSE)</f>
        <v>0</v>
      </c>
      <c r="O396">
        <f>VLOOKUP($C396,'[1]PoB AA'!$C$1:$T$898,18,FALSE)</f>
        <v>0</v>
      </c>
      <c r="P396">
        <f>VLOOKUP($C396,'[1]PoB AI'!$C$1:$T$898,17,FALSE)</f>
        <v>9</v>
      </c>
      <c r="Q396">
        <f>VLOOKUP($C396,'[1]PoB AI'!$C$1:$T$898,18,FALSE)</f>
        <v>0</v>
      </c>
      <c r="R396">
        <f>VLOOKUP($C396,'[1]PoB AS'!$C$1:$T$898,17,FALSE)</f>
        <v>0</v>
      </c>
      <c r="S396">
        <f>VLOOKUP($C396,'[1]PoB AS'!$C$1:$T$898,18,FALSE)</f>
        <v>4</v>
      </c>
      <c r="T396">
        <f>VLOOKUP($C396,'[1]PoB PI'!$C$1:$T$898,17,FALSE)</f>
        <v>0</v>
      </c>
      <c r="U396">
        <f>VLOOKUP($C396,'[1]PoB PI'!$C$1:$T$898,18,FALSE)</f>
        <v>0</v>
      </c>
      <c r="V396">
        <f>VLOOKUP($C396,'[1]PoB OT'!$C$1:$T$898,17,FALSE)</f>
        <v>10</v>
      </c>
      <c r="W396">
        <f>VLOOKUP($C396,'[1]PoB OT'!$C$1:$T$898,18,FALSE)</f>
        <v>0</v>
      </c>
      <c r="X396">
        <f>VLOOKUP($C396,'[1]PoB 2R'!$C$1:$T$898,17,FALSE)</f>
        <v>35</v>
      </c>
      <c r="Y396">
        <f>VLOOKUP($C396,'[1]PoB 2R'!$C$1:$T$898,18,FALSE)</f>
        <v>0</v>
      </c>
    </row>
    <row r="397" spans="1:25" x14ac:dyDescent="0.25">
      <c r="A397" t="s">
        <v>1218</v>
      </c>
      <c r="B397">
        <v>5360230</v>
      </c>
      <c r="C397" t="s">
        <v>1219</v>
      </c>
      <c r="D397">
        <f t="shared" si="18"/>
        <v>1840</v>
      </c>
      <c r="E397">
        <f>VLOOKUP($C397,'[1]PoB Totals'!$C$3:$T$898,17,FALSE)</f>
        <v>875</v>
      </c>
      <c r="F397">
        <f>VLOOKUP($C397,'[1]PoB Totals'!$C$3:$T$898,18,FALSE)</f>
        <v>965</v>
      </c>
      <c r="G397">
        <f t="shared" si="19"/>
        <v>1840</v>
      </c>
      <c r="H397">
        <f t="shared" si="20"/>
        <v>875</v>
      </c>
      <c r="I397">
        <f t="shared" si="20"/>
        <v>965</v>
      </c>
      <c r="J397">
        <f>VLOOKUP($C397,'[1]PoB WN'!$C$1:$T$898,17,FALSE)</f>
        <v>352</v>
      </c>
      <c r="K397">
        <f>VLOOKUP($C397,'[1]PoB WN'!$C$1:$T$898,18,FALSE)</f>
        <v>5</v>
      </c>
      <c r="L397">
        <f>VLOOKUP($C397,'[1]PoB WH'!$C$1:$T$898,17,FALSE)</f>
        <v>279</v>
      </c>
      <c r="M397">
        <f>VLOOKUP($C397,'[1]PoB WH'!$C$1:$T$898,18,FALSE)</f>
        <v>618</v>
      </c>
      <c r="N397">
        <f>VLOOKUP($C397,'[1]PoB AA'!$C$1:$T$898,17,FALSE)</f>
        <v>0</v>
      </c>
      <c r="O397">
        <f>VLOOKUP($C397,'[1]PoB AA'!$C$1:$T$898,18,FALSE)</f>
        <v>4</v>
      </c>
      <c r="P397">
        <f>VLOOKUP($C397,'[1]PoB AI'!$C$1:$T$898,17,FALSE)</f>
        <v>15</v>
      </c>
      <c r="Q397">
        <f>VLOOKUP($C397,'[1]PoB AI'!$C$1:$T$898,18,FALSE)</f>
        <v>5</v>
      </c>
      <c r="R397">
        <f>VLOOKUP($C397,'[1]PoB AS'!$C$1:$T$898,17,FALSE)</f>
        <v>0</v>
      </c>
      <c r="S397">
        <f>VLOOKUP($C397,'[1]PoB AS'!$C$1:$T$898,18,FALSE)</f>
        <v>0</v>
      </c>
      <c r="T397">
        <f>VLOOKUP($C397,'[1]PoB PI'!$C$1:$T$898,17,FALSE)</f>
        <v>0</v>
      </c>
      <c r="U397">
        <f>VLOOKUP($C397,'[1]PoB PI'!$C$1:$T$898,18,FALSE)</f>
        <v>0</v>
      </c>
      <c r="V397">
        <f>VLOOKUP($C397,'[1]PoB OT'!$C$1:$T$898,17,FALSE)</f>
        <v>222</v>
      </c>
      <c r="W397">
        <f>VLOOKUP($C397,'[1]PoB OT'!$C$1:$T$898,18,FALSE)</f>
        <v>330</v>
      </c>
      <c r="X397">
        <f>VLOOKUP($C397,'[1]PoB 2R'!$C$1:$T$898,17,FALSE)</f>
        <v>7</v>
      </c>
      <c r="Y397">
        <f>VLOOKUP($C397,'[1]PoB 2R'!$C$1:$T$898,18,FALSE)</f>
        <v>3</v>
      </c>
    </row>
    <row r="398" spans="1:25" x14ac:dyDescent="0.25">
      <c r="A398" t="s">
        <v>1220</v>
      </c>
      <c r="B398">
        <v>5360510</v>
      </c>
      <c r="C398" t="s">
        <v>1221</v>
      </c>
      <c r="D398">
        <f t="shared" si="18"/>
        <v>742</v>
      </c>
      <c r="E398">
        <f>VLOOKUP($C398,'[1]PoB Totals'!$C$3:$T$898,17,FALSE)</f>
        <v>676</v>
      </c>
      <c r="F398">
        <f>VLOOKUP($C398,'[1]PoB Totals'!$C$3:$T$898,18,FALSE)</f>
        <v>66</v>
      </c>
      <c r="G398">
        <f t="shared" si="19"/>
        <v>742</v>
      </c>
      <c r="H398">
        <f t="shared" si="20"/>
        <v>676</v>
      </c>
      <c r="I398">
        <f t="shared" si="20"/>
        <v>66</v>
      </c>
      <c r="J398">
        <f>VLOOKUP($C398,'[1]PoB WN'!$C$1:$T$898,17,FALSE)</f>
        <v>574</v>
      </c>
      <c r="K398">
        <f>VLOOKUP($C398,'[1]PoB WN'!$C$1:$T$898,18,FALSE)</f>
        <v>40</v>
      </c>
      <c r="L398">
        <f>VLOOKUP($C398,'[1]PoB WH'!$C$1:$T$898,17,FALSE)</f>
        <v>21</v>
      </c>
      <c r="M398">
        <f>VLOOKUP($C398,'[1]PoB WH'!$C$1:$T$898,18,FALSE)</f>
        <v>0</v>
      </c>
      <c r="N398">
        <f>VLOOKUP($C398,'[1]PoB AA'!$C$1:$T$898,17,FALSE)</f>
        <v>15</v>
      </c>
      <c r="O398">
        <f>VLOOKUP($C398,'[1]PoB AA'!$C$1:$T$898,18,FALSE)</f>
        <v>0</v>
      </c>
      <c r="P398">
        <f>VLOOKUP($C398,'[1]PoB AI'!$C$1:$T$898,17,FALSE)</f>
        <v>13</v>
      </c>
      <c r="Q398">
        <f>VLOOKUP($C398,'[1]PoB AI'!$C$1:$T$898,18,FALSE)</f>
        <v>0</v>
      </c>
      <c r="R398">
        <f>VLOOKUP($C398,'[1]PoB AS'!$C$1:$T$898,17,FALSE)</f>
        <v>19</v>
      </c>
      <c r="S398">
        <f>VLOOKUP($C398,'[1]PoB AS'!$C$1:$T$898,18,FALSE)</f>
        <v>21</v>
      </c>
      <c r="T398">
        <f>VLOOKUP($C398,'[1]PoB PI'!$C$1:$T$898,17,FALSE)</f>
        <v>0</v>
      </c>
      <c r="U398">
        <f>VLOOKUP($C398,'[1]PoB PI'!$C$1:$T$898,18,FALSE)</f>
        <v>0</v>
      </c>
      <c r="V398">
        <f>VLOOKUP($C398,'[1]PoB OT'!$C$1:$T$898,17,FALSE)</f>
        <v>5</v>
      </c>
      <c r="W398">
        <f>VLOOKUP($C398,'[1]PoB OT'!$C$1:$T$898,18,FALSE)</f>
        <v>0</v>
      </c>
      <c r="X398">
        <f>VLOOKUP($C398,'[1]PoB 2R'!$C$1:$T$898,17,FALSE)</f>
        <v>29</v>
      </c>
      <c r="Y398">
        <f>VLOOKUP($C398,'[1]PoB 2R'!$C$1:$T$898,18,FALSE)</f>
        <v>5</v>
      </c>
    </row>
    <row r="399" spans="1:25" x14ac:dyDescent="0.25">
      <c r="A399" t="s">
        <v>1224</v>
      </c>
      <c r="B399">
        <v>5360860</v>
      </c>
      <c r="C399" t="s">
        <v>1225</v>
      </c>
      <c r="D399">
        <f t="shared" si="18"/>
        <v>568</v>
      </c>
      <c r="E399">
        <f>VLOOKUP($C399,'[1]PoB Totals'!$C$3:$T$898,17,FALSE)</f>
        <v>556</v>
      </c>
      <c r="F399">
        <f>VLOOKUP($C399,'[1]PoB Totals'!$C$3:$T$898,18,FALSE)</f>
        <v>12</v>
      </c>
      <c r="G399">
        <f t="shared" si="19"/>
        <v>568</v>
      </c>
      <c r="H399">
        <f t="shared" si="20"/>
        <v>556</v>
      </c>
      <c r="I399">
        <f t="shared" si="20"/>
        <v>12</v>
      </c>
      <c r="J399">
        <f>VLOOKUP($C399,'[1]PoB WN'!$C$1:$T$898,17,FALSE)</f>
        <v>533</v>
      </c>
      <c r="K399">
        <f>VLOOKUP($C399,'[1]PoB WN'!$C$1:$T$898,18,FALSE)</f>
        <v>6</v>
      </c>
      <c r="L399">
        <f>VLOOKUP($C399,'[1]PoB WH'!$C$1:$T$898,17,FALSE)</f>
        <v>16</v>
      </c>
      <c r="M399">
        <f>VLOOKUP($C399,'[1]PoB WH'!$C$1:$T$898,18,FALSE)</f>
        <v>0</v>
      </c>
      <c r="N399">
        <f>VLOOKUP($C399,'[1]PoB AA'!$C$1:$T$898,17,FALSE)</f>
        <v>0</v>
      </c>
      <c r="O399">
        <f>VLOOKUP($C399,'[1]PoB AA'!$C$1:$T$898,18,FALSE)</f>
        <v>0</v>
      </c>
      <c r="P399">
        <f>VLOOKUP($C399,'[1]PoB AI'!$C$1:$T$898,17,FALSE)</f>
        <v>0</v>
      </c>
      <c r="Q399">
        <f>VLOOKUP($C399,'[1]PoB AI'!$C$1:$T$898,18,FALSE)</f>
        <v>0</v>
      </c>
      <c r="R399">
        <f>VLOOKUP($C399,'[1]PoB AS'!$C$1:$T$898,17,FALSE)</f>
        <v>0</v>
      </c>
      <c r="S399">
        <f>VLOOKUP($C399,'[1]PoB AS'!$C$1:$T$898,18,FALSE)</f>
        <v>6</v>
      </c>
      <c r="T399">
        <f>VLOOKUP($C399,'[1]PoB PI'!$C$1:$T$898,17,FALSE)</f>
        <v>0</v>
      </c>
      <c r="U399">
        <f>VLOOKUP($C399,'[1]PoB PI'!$C$1:$T$898,18,FALSE)</f>
        <v>0</v>
      </c>
      <c r="V399">
        <f>VLOOKUP($C399,'[1]PoB OT'!$C$1:$T$898,17,FALSE)</f>
        <v>0</v>
      </c>
      <c r="W399">
        <f>VLOOKUP($C399,'[1]PoB OT'!$C$1:$T$898,18,FALSE)</f>
        <v>0</v>
      </c>
      <c r="X399">
        <f>VLOOKUP($C399,'[1]PoB 2R'!$C$1:$T$898,17,FALSE)</f>
        <v>7</v>
      </c>
      <c r="Y399">
        <f>VLOOKUP($C399,'[1]PoB 2R'!$C$1:$T$898,18,FALSE)</f>
        <v>0</v>
      </c>
    </row>
    <row r="400" spans="1:25" x14ac:dyDescent="0.25">
      <c r="A400" t="s">
        <v>1226</v>
      </c>
      <c r="B400">
        <v>5361000</v>
      </c>
      <c r="C400" t="s">
        <v>1227</v>
      </c>
      <c r="D400">
        <f t="shared" si="18"/>
        <v>16730</v>
      </c>
      <c r="E400">
        <f>VLOOKUP($C400,'[1]PoB Totals'!$C$3:$T$898,17,FALSE)</f>
        <v>15522</v>
      </c>
      <c r="F400">
        <f>VLOOKUP($C400,'[1]PoB Totals'!$C$3:$T$898,18,FALSE)</f>
        <v>1208</v>
      </c>
      <c r="G400">
        <f t="shared" si="19"/>
        <v>16730</v>
      </c>
      <c r="H400">
        <f t="shared" si="20"/>
        <v>15522</v>
      </c>
      <c r="I400">
        <f t="shared" si="20"/>
        <v>1208</v>
      </c>
      <c r="J400">
        <f>VLOOKUP($C400,'[1]PoB WN'!$C$1:$T$898,17,FALSE)</f>
        <v>14397</v>
      </c>
      <c r="K400">
        <f>VLOOKUP($C400,'[1]PoB WN'!$C$1:$T$898,18,FALSE)</f>
        <v>412</v>
      </c>
      <c r="L400">
        <f>VLOOKUP($C400,'[1]PoB WH'!$C$1:$T$898,17,FALSE)</f>
        <v>316</v>
      </c>
      <c r="M400">
        <f>VLOOKUP($C400,'[1]PoB WH'!$C$1:$T$898,18,FALSE)</f>
        <v>240</v>
      </c>
      <c r="N400">
        <f>VLOOKUP($C400,'[1]PoB AA'!$C$1:$T$898,17,FALSE)</f>
        <v>185</v>
      </c>
      <c r="O400">
        <f>VLOOKUP($C400,'[1]PoB AA'!$C$1:$T$898,18,FALSE)</f>
        <v>30</v>
      </c>
      <c r="P400">
        <f>VLOOKUP($C400,'[1]PoB AI'!$C$1:$T$898,17,FALSE)</f>
        <v>65</v>
      </c>
      <c r="Q400">
        <f>VLOOKUP($C400,'[1]PoB AI'!$C$1:$T$898,18,FALSE)</f>
        <v>42</v>
      </c>
      <c r="R400">
        <f>VLOOKUP($C400,'[1]PoB AS'!$C$1:$T$898,17,FALSE)</f>
        <v>101</v>
      </c>
      <c r="S400">
        <f>VLOOKUP($C400,'[1]PoB AS'!$C$1:$T$898,18,FALSE)</f>
        <v>377</v>
      </c>
      <c r="T400">
        <f>VLOOKUP($C400,'[1]PoB PI'!$C$1:$T$898,17,FALSE)</f>
        <v>27</v>
      </c>
      <c r="U400">
        <f>VLOOKUP($C400,'[1]PoB PI'!$C$1:$T$898,18,FALSE)</f>
        <v>0</v>
      </c>
      <c r="V400">
        <f>VLOOKUP($C400,'[1]PoB OT'!$C$1:$T$898,17,FALSE)</f>
        <v>68</v>
      </c>
      <c r="W400">
        <f>VLOOKUP($C400,'[1]PoB OT'!$C$1:$T$898,18,FALSE)</f>
        <v>34</v>
      </c>
      <c r="X400">
        <f>VLOOKUP($C400,'[1]PoB 2R'!$C$1:$T$898,17,FALSE)</f>
        <v>363</v>
      </c>
      <c r="Y400">
        <f>VLOOKUP($C400,'[1]PoB 2R'!$C$1:$T$898,18,FALSE)</f>
        <v>73</v>
      </c>
    </row>
    <row r="401" spans="1:25" x14ac:dyDescent="0.25">
      <c r="A401" t="s">
        <v>1228</v>
      </c>
      <c r="B401">
        <v>5361115</v>
      </c>
      <c r="C401" t="s">
        <v>1229</v>
      </c>
      <c r="D401">
        <f t="shared" si="18"/>
        <v>34119</v>
      </c>
      <c r="E401">
        <f>VLOOKUP($C401,'[1]PoB Totals'!$C$3:$T$898,17,FALSE)</f>
        <v>30279</v>
      </c>
      <c r="F401">
        <f>VLOOKUP($C401,'[1]PoB Totals'!$C$3:$T$898,18,FALSE)</f>
        <v>3840</v>
      </c>
      <c r="G401">
        <f t="shared" si="19"/>
        <v>34119</v>
      </c>
      <c r="H401">
        <f t="shared" si="20"/>
        <v>30279</v>
      </c>
      <c r="I401">
        <f t="shared" si="20"/>
        <v>3840</v>
      </c>
      <c r="J401">
        <f>VLOOKUP($C401,'[1]PoB WN'!$C$1:$T$898,17,FALSE)</f>
        <v>27472</v>
      </c>
      <c r="K401">
        <f>VLOOKUP($C401,'[1]PoB WN'!$C$1:$T$898,18,FALSE)</f>
        <v>1825</v>
      </c>
      <c r="L401">
        <f>VLOOKUP($C401,'[1]PoB WH'!$C$1:$T$898,17,FALSE)</f>
        <v>442</v>
      </c>
      <c r="M401">
        <f>VLOOKUP($C401,'[1]PoB WH'!$C$1:$T$898,18,FALSE)</f>
        <v>71</v>
      </c>
      <c r="N401">
        <f>VLOOKUP($C401,'[1]PoB AA'!$C$1:$T$898,17,FALSE)</f>
        <v>173</v>
      </c>
      <c r="O401">
        <f>VLOOKUP($C401,'[1]PoB AA'!$C$1:$T$898,18,FALSE)</f>
        <v>21</v>
      </c>
      <c r="P401">
        <f>VLOOKUP($C401,'[1]PoB AI'!$C$1:$T$898,17,FALSE)</f>
        <v>135</v>
      </c>
      <c r="Q401">
        <f>VLOOKUP($C401,'[1]PoB AI'!$C$1:$T$898,18,FALSE)</f>
        <v>10</v>
      </c>
      <c r="R401">
        <f>VLOOKUP($C401,'[1]PoB AS'!$C$1:$T$898,17,FALSE)</f>
        <v>924</v>
      </c>
      <c r="S401">
        <f>VLOOKUP($C401,'[1]PoB AS'!$C$1:$T$898,18,FALSE)</f>
        <v>1606</v>
      </c>
      <c r="T401">
        <f>VLOOKUP($C401,'[1]PoB PI'!$C$1:$T$898,17,FALSE)</f>
        <v>38</v>
      </c>
      <c r="U401">
        <f>VLOOKUP($C401,'[1]PoB PI'!$C$1:$T$898,18,FALSE)</f>
        <v>20</v>
      </c>
      <c r="V401">
        <f>VLOOKUP($C401,'[1]PoB OT'!$C$1:$T$898,17,FALSE)</f>
        <v>198</v>
      </c>
      <c r="W401">
        <f>VLOOKUP($C401,'[1]PoB OT'!$C$1:$T$898,18,FALSE)</f>
        <v>57</v>
      </c>
      <c r="X401">
        <f>VLOOKUP($C401,'[1]PoB 2R'!$C$1:$T$898,17,FALSE)</f>
        <v>897</v>
      </c>
      <c r="Y401">
        <f>VLOOKUP($C401,'[1]PoB 2R'!$C$1:$T$898,18,FALSE)</f>
        <v>230</v>
      </c>
    </row>
    <row r="402" spans="1:25" x14ac:dyDescent="0.25">
      <c r="A402" t="s">
        <v>1232</v>
      </c>
      <c r="B402">
        <v>5361350</v>
      </c>
      <c r="C402" t="s">
        <v>1233</v>
      </c>
      <c r="D402">
        <f t="shared" si="18"/>
        <v>648</v>
      </c>
      <c r="E402">
        <f>VLOOKUP($C402,'[1]PoB Totals'!$C$3:$T$898,17,FALSE)</f>
        <v>645</v>
      </c>
      <c r="F402">
        <f>VLOOKUP($C402,'[1]PoB Totals'!$C$3:$T$898,18,FALSE)</f>
        <v>3</v>
      </c>
      <c r="G402">
        <f t="shared" si="19"/>
        <v>648</v>
      </c>
      <c r="H402">
        <f t="shared" si="20"/>
        <v>645</v>
      </c>
      <c r="I402">
        <f t="shared" si="20"/>
        <v>3</v>
      </c>
      <c r="J402">
        <f>VLOOKUP($C402,'[1]PoB WN'!$C$1:$T$898,17,FALSE)</f>
        <v>632</v>
      </c>
      <c r="K402">
        <f>VLOOKUP($C402,'[1]PoB WN'!$C$1:$T$898,18,FALSE)</f>
        <v>2</v>
      </c>
      <c r="L402">
        <f>VLOOKUP($C402,'[1]PoB WH'!$C$1:$T$898,17,FALSE)</f>
        <v>3</v>
      </c>
      <c r="M402">
        <f>VLOOKUP($C402,'[1]PoB WH'!$C$1:$T$898,18,FALSE)</f>
        <v>0</v>
      </c>
      <c r="N402">
        <f>VLOOKUP($C402,'[1]PoB AA'!$C$1:$T$898,17,FALSE)</f>
        <v>0</v>
      </c>
      <c r="O402">
        <f>VLOOKUP($C402,'[1]PoB AA'!$C$1:$T$898,18,FALSE)</f>
        <v>0</v>
      </c>
      <c r="P402">
        <f>VLOOKUP($C402,'[1]PoB AI'!$C$1:$T$898,17,FALSE)</f>
        <v>7</v>
      </c>
      <c r="Q402">
        <f>VLOOKUP($C402,'[1]PoB AI'!$C$1:$T$898,18,FALSE)</f>
        <v>0</v>
      </c>
      <c r="R402">
        <f>VLOOKUP($C402,'[1]PoB AS'!$C$1:$T$898,17,FALSE)</f>
        <v>0</v>
      </c>
      <c r="S402">
        <f>VLOOKUP($C402,'[1]PoB AS'!$C$1:$T$898,18,FALSE)</f>
        <v>1</v>
      </c>
      <c r="T402">
        <f>VLOOKUP($C402,'[1]PoB PI'!$C$1:$T$898,17,FALSE)</f>
        <v>0</v>
      </c>
      <c r="U402">
        <f>VLOOKUP($C402,'[1]PoB PI'!$C$1:$T$898,18,FALSE)</f>
        <v>0</v>
      </c>
      <c r="V402">
        <f>VLOOKUP($C402,'[1]PoB OT'!$C$1:$T$898,17,FALSE)</f>
        <v>0</v>
      </c>
      <c r="W402">
        <f>VLOOKUP($C402,'[1]PoB OT'!$C$1:$T$898,18,FALSE)</f>
        <v>0</v>
      </c>
      <c r="X402">
        <f>VLOOKUP($C402,'[1]PoB 2R'!$C$1:$T$898,17,FALSE)</f>
        <v>3</v>
      </c>
      <c r="Y402">
        <f>VLOOKUP($C402,'[1]PoB 2R'!$C$1:$T$898,18,FALSE)</f>
        <v>0</v>
      </c>
    </row>
    <row r="403" spans="1:25" x14ac:dyDescent="0.25">
      <c r="A403" t="s">
        <v>1576</v>
      </c>
      <c r="B403">
        <v>5361385</v>
      </c>
      <c r="C403" t="s">
        <v>1577</v>
      </c>
      <c r="D403">
        <f t="shared" si="18"/>
        <v>744</v>
      </c>
      <c r="E403">
        <f>VLOOKUP($C403,'[1]PoB Totals'!$C$3:$T$898,17,FALSE)</f>
        <v>671</v>
      </c>
      <c r="F403">
        <f>VLOOKUP($C403,'[1]PoB Totals'!$C$3:$T$898,18,FALSE)</f>
        <v>73</v>
      </c>
      <c r="G403">
        <f t="shared" si="19"/>
        <v>744</v>
      </c>
      <c r="H403">
        <f t="shared" si="20"/>
        <v>671</v>
      </c>
      <c r="I403">
        <f t="shared" si="20"/>
        <v>73</v>
      </c>
      <c r="J403">
        <f>VLOOKUP($C403,'[1]PoB WN'!$C$1:$T$898,17,FALSE)</f>
        <v>244</v>
      </c>
      <c r="K403">
        <f>VLOOKUP($C403,'[1]PoB WN'!$C$1:$T$898,18,FALSE)</f>
        <v>0</v>
      </c>
      <c r="L403">
        <f>VLOOKUP($C403,'[1]PoB WH'!$C$1:$T$898,17,FALSE)</f>
        <v>4</v>
      </c>
      <c r="M403">
        <f>VLOOKUP($C403,'[1]PoB WH'!$C$1:$T$898,18,FALSE)</f>
        <v>0</v>
      </c>
      <c r="N403">
        <f>VLOOKUP($C403,'[1]PoB AA'!$C$1:$T$898,17,FALSE)</f>
        <v>0</v>
      </c>
      <c r="O403">
        <f>VLOOKUP($C403,'[1]PoB AA'!$C$1:$T$898,18,FALSE)</f>
        <v>0</v>
      </c>
      <c r="P403">
        <f>VLOOKUP($C403,'[1]PoB AI'!$C$1:$T$898,17,FALSE)</f>
        <v>266</v>
      </c>
      <c r="Q403">
        <f>VLOOKUP($C403,'[1]PoB AI'!$C$1:$T$898,18,FALSE)</f>
        <v>0</v>
      </c>
      <c r="R403">
        <f>VLOOKUP($C403,'[1]PoB AS'!$C$1:$T$898,17,FALSE)</f>
        <v>0</v>
      </c>
      <c r="S403">
        <f>VLOOKUP($C403,'[1]PoB AS'!$C$1:$T$898,18,FALSE)</f>
        <v>0</v>
      </c>
      <c r="T403">
        <f>VLOOKUP($C403,'[1]PoB PI'!$C$1:$T$898,17,FALSE)</f>
        <v>0</v>
      </c>
      <c r="U403">
        <f>VLOOKUP($C403,'[1]PoB PI'!$C$1:$T$898,18,FALSE)</f>
        <v>0</v>
      </c>
      <c r="V403">
        <f>VLOOKUP($C403,'[1]PoB OT'!$C$1:$T$898,17,FALSE)</f>
        <v>138</v>
      </c>
      <c r="W403">
        <f>VLOOKUP($C403,'[1]PoB OT'!$C$1:$T$898,18,FALSE)</f>
        <v>73</v>
      </c>
      <c r="X403">
        <f>VLOOKUP($C403,'[1]PoB 2R'!$C$1:$T$898,17,FALSE)</f>
        <v>19</v>
      </c>
      <c r="Y403">
        <f>VLOOKUP($C403,'[1]PoB 2R'!$C$1:$T$898,18,FALSE)</f>
        <v>0</v>
      </c>
    </row>
    <row r="404" spans="1:25" x14ac:dyDescent="0.25">
      <c r="A404" t="s">
        <v>1236</v>
      </c>
      <c r="B404">
        <v>5362288</v>
      </c>
      <c r="C404" t="s">
        <v>1237</v>
      </c>
      <c r="D404">
        <f t="shared" si="18"/>
        <v>25523</v>
      </c>
      <c r="E404">
        <f>VLOOKUP($C404,'[1]PoB Totals'!$C$3:$T$898,17,FALSE)</f>
        <v>19278</v>
      </c>
      <c r="F404">
        <f>VLOOKUP($C404,'[1]PoB Totals'!$C$3:$T$898,18,FALSE)</f>
        <v>6245</v>
      </c>
      <c r="G404">
        <f t="shared" si="19"/>
        <v>25523</v>
      </c>
      <c r="H404">
        <f t="shared" si="20"/>
        <v>19278</v>
      </c>
      <c r="I404">
        <f t="shared" si="20"/>
        <v>6245</v>
      </c>
      <c r="J404">
        <f>VLOOKUP($C404,'[1]PoB WN'!$C$1:$T$898,17,FALSE)</f>
        <v>13584</v>
      </c>
      <c r="K404">
        <f>VLOOKUP($C404,'[1]PoB WN'!$C$1:$T$898,18,FALSE)</f>
        <v>826</v>
      </c>
      <c r="L404">
        <f>VLOOKUP($C404,'[1]PoB WH'!$C$1:$T$898,17,FALSE)</f>
        <v>789</v>
      </c>
      <c r="M404">
        <f>VLOOKUP($C404,'[1]PoB WH'!$C$1:$T$898,18,FALSE)</f>
        <v>689</v>
      </c>
      <c r="N404">
        <f>VLOOKUP($C404,'[1]PoB AA'!$C$1:$T$898,17,FALSE)</f>
        <v>1639</v>
      </c>
      <c r="O404">
        <f>VLOOKUP($C404,'[1]PoB AA'!$C$1:$T$898,18,FALSE)</f>
        <v>749</v>
      </c>
      <c r="P404">
        <f>VLOOKUP($C404,'[1]PoB AI'!$C$1:$T$898,17,FALSE)</f>
        <v>316</v>
      </c>
      <c r="Q404">
        <f>VLOOKUP($C404,'[1]PoB AI'!$C$1:$T$898,18,FALSE)</f>
        <v>20</v>
      </c>
      <c r="R404">
        <f>VLOOKUP($C404,'[1]PoB AS'!$C$1:$T$898,17,FALSE)</f>
        <v>818</v>
      </c>
      <c r="S404">
        <f>VLOOKUP($C404,'[1]PoB AS'!$C$1:$T$898,18,FALSE)</f>
        <v>2127</v>
      </c>
      <c r="T404">
        <f>VLOOKUP($C404,'[1]PoB PI'!$C$1:$T$898,17,FALSE)</f>
        <v>218</v>
      </c>
      <c r="U404">
        <f>VLOOKUP($C404,'[1]PoB PI'!$C$1:$T$898,18,FALSE)</f>
        <v>396</v>
      </c>
      <c r="V404">
        <f>VLOOKUP($C404,'[1]PoB OT'!$C$1:$T$898,17,FALSE)</f>
        <v>644</v>
      </c>
      <c r="W404">
        <f>VLOOKUP($C404,'[1]PoB OT'!$C$1:$T$898,18,FALSE)</f>
        <v>1081</v>
      </c>
      <c r="X404">
        <f>VLOOKUP($C404,'[1]PoB 2R'!$C$1:$T$898,17,FALSE)</f>
        <v>1270</v>
      </c>
      <c r="Y404">
        <f>VLOOKUP($C404,'[1]PoB 2R'!$C$1:$T$898,18,FALSE)</f>
        <v>357</v>
      </c>
    </row>
    <row r="405" spans="1:25" x14ac:dyDescent="0.25">
      <c r="A405" t="s">
        <v>1238</v>
      </c>
      <c r="B405">
        <v>5363000</v>
      </c>
      <c r="C405" t="s">
        <v>1239</v>
      </c>
      <c r="D405">
        <f t="shared" si="18"/>
        <v>563375</v>
      </c>
      <c r="E405">
        <f>VLOOKUP($C405,'[1]PoB Totals'!$C$3:$T$898,17,FALSE)</f>
        <v>458764</v>
      </c>
      <c r="F405">
        <f>VLOOKUP($C405,'[1]PoB Totals'!$C$3:$T$898,18,FALSE)</f>
        <v>104611</v>
      </c>
      <c r="G405">
        <f t="shared" si="19"/>
        <v>563375</v>
      </c>
      <c r="H405">
        <f t="shared" si="20"/>
        <v>458764</v>
      </c>
      <c r="I405">
        <f t="shared" si="20"/>
        <v>104611</v>
      </c>
      <c r="J405">
        <f>VLOOKUP($C405,'[1]PoB WN'!$C$1:$T$898,17,FALSE)</f>
        <v>353925</v>
      </c>
      <c r="K405">
        <f>VLOOKUP($C405,'[1]PoB WN'!$C$1:$T$898,18,FALSE)</f>
        <v>28245</v>
      </c>
      <c r="L405">
        <f>VLOOKUP($C405,'[1]PoB WH'!$C$1:$T$898,17,FALSE)</f>
        <v>7262</v>
      </c>
      <c r="M405">
        <f>VLOOKUP($C405,'[1]PoB WH'!$C$1:$T$898,18,FALSE)</f>
        <v>5086</v>
      </c>
      <c r="N405">
        <f>VLOOKUP($C405,'[1]PoB AA'!$C$1:$T$898,17,FALSE)</f>
        <v>40512</v>
      </c>
      <c r="O405">
        <f>VLOOKUP($C405,'[1]PoB AA'!$C$1:$T$898,18,FALSE)</f>
        <v>6204</v>
      </c>
      <c r="P405">
        <f>VLOOKUP($C405,'[1]PoB AI'!$C$1:$T$898,17,FALSE)</f>
        <v>5129</v>
      </c>
      <c r="Q405">
        <f>VLOOKUP($C405,'[1]PoB AI'!$C$1:$T$898,18,FALSE)</f>
        <v>516</v>
      </c>
      <c r="R405">
        <f>VLOOKUP($C405,'[1]PoB AS'!$C$1:$T$898,17,FALSE)</f>
        <v>23103</v>
      </c>
      <c r="S405">
        <f>VLOOKUP($C405,'[1]PoB AS'!$C$1:$T$898,18,FALSE)</f>
        <v>50746</v>
      </c>
      <c r="T405">
        <f>VLOOKUP($C405,'[1]PoB PI'!$C$1:$T$898,17,FALSE)</f>
        <v>1456</v>
      </c>
      <c r="U405">
        <f>VLOOKUP($C405,'[1]PoB PI'!$C$1:$T$898,18,FALSE)</f>
        <v>1058</v>
      </c>
      <c r="V405">
        <f>VLOOKUP($C405,'[1]PoB OT'!$C$1:$T$898,17,FALSE)</f>
        <v>6748</v>
      </c>
      <c r="W405">
        <f>VLOOKUP($C405,'[1]PoB OT'!$C$1:$T$898,18,FALSE)</f>
        <v>6248</v>
      </c>
      <c r="X405">
        <f>VLOOKUP($C405,'[1]PoB 2R'!$C$1:$T$898,17,FALSE)</f>
        <v>20629</v>
      </c>
      <c r="Y405">
        <f>VLOOKUP($C405,'[1]PoB 2R'!$C$1:$T$898,18,FALSE)</f>
        <v>6508</v>
      </c>
    </row>
    <row r="406" spans="1:25" x14ac:dyDescent="0.25">
      <c r="A406" t="s">
        <v>1578</v>
      </c>
      <c r="B406">
        <v>5363052</v>
      </c>
      <c r="C406" t="s">
        <v>1579</v>
      </c>
      <c r="D406">
        <f t="shared" si="18"/>
        <v>35551</v>
      </c>
      <c r="E406">
        <f>VLOOKUP($C406,'[1]PoB Totals'!$C$3:$T$898,17,FALSE)</f>
        <v>31754</v>
      </c>
      <c r="F406">
        <f>VLOOKUP($C406,'[1]PoB Totals'!$C$3:$T$898,18,FALSE)</f>
        <v>3797</v>
      </c>
      <c r="G406">
        <f t="shared" si="19"/>
        <v>35551</v>
      </c>
      <c r="H406">
        <f t="shared" si="20"/>
        <v>31754</v>
      </c>
      <c r="I406">
        <f t="shared" si="20"/>
        <v>3797</v>
      </c>
      <c r="J406">
        <f>VLOOKUP($C406,'[1]PoB WN'!$C$1:$T$898,17,FALSE)</f>
        <v>28466</v>
      </c>
      <c r="K406">
        <f>VLOOKUP($C406,'[1]PoB WN'!$C$1:$T$898,18,FALSE)</f>
        <v>1390</v>
      </c>
      <c r="L406">
        <f>VLOOKUP($C406,'[1]PoB WH'!$C$1:$T$898,17,FALSE)</f>
        <v>432</v>
      </c>
      <c r="M406">
        <f>VLOOKUP($C406,'[1]PoB WH'!$C$1:$T$898,18,FALSE)</f>
        <v>98</v>
      </c>
      <c r="N406">
        <f>VLOOKUP($C406,'[1]PoB AA'!$C$1:$T$898,17,FALSE)</f>
        <v>256</v>
      </c>
      <c r="O406">
        <f>VLOOKUP($C406,'[1]PoB AA'!$C$1:$T$898,18,FALSE)</f>
        <v>54</v>
      </c>
      <c r="P406">
        <f>VLOOKUP($C406,'[1]PoB AI'!$C$1:$T$898,17,FALSE)</f>
        <v>265</v>
      </c>
      <c r="Q406">
        <f>VLOOKUP($C406,'[1]PoB AI'!$C$1:$T$898,18,FALSE)</f>
        <v>30</v>
      </c>
      <c r="R406">
        <f>VLOOKUP($C406,'[1]PoB AS'!$C$1:$T$898,17,FALSE)</f>
        <v>975</v>
      </c>
      <c r="S406">
        <f>VLOOKUP($C406,'[1]PoB AS'!$C$1:$T$898,18,FALSE)</f>
        <v>1780</v>
      </c>
      <c r="T406">
        <f>VLOOKUP($C406,'[1]PoB PI'!$C$1:$T$898,17,FALSE)</f>
        <v>0</v>
      </c>
      <c r="U406">
        <f>VLOOKUP($C406,'[1]PoB PI'!$C$1:$T$898,18,FALSE)</f>
        <v>15</v>
      </c>
      <c r="V406">
        <f>VLOOKUP($C406,'[1]PoB OT'!$C$1:$T$898,17,FALSE)</f>
        <v>276</v>
      </c>
      <c r="W406">
        <f>VLOOKUP($C406,'[1]PoB OT'!$C$1:$T$898,18,FALSE)</f>
        <v>141</v>
      </c>
      <c r="X406">
        <f>VLOOKUP($C406,'[1]PoB 2R'!$C$1:$T$898,17,FALSE)</f>
        <v>1084</v>
      </c>
      <c r="Y406">
        <f>VLOOKUP($C406,'[1]PoB 2R'!$C$1:$T$898,18,FALSE)</f>
        <v>289</v>
      </c>
    </row>
    <row r="407" spans="1:25" x14ac:dyDescent="0.25">
      <c r="A407" t="s">
        <v>1240</v>
      </c>
      <c r="B407">
        <v>5363210</v>
      </c>
      <c r="C407" t="s">
        <v>1241</v>
      </c>
      <c r="D407">
        <f t="shared" si="18"/>
        <v>8698</v>
      </c>
      <c r="E407">
        <f>VLOOKUP($C407,'[1]PoB Totals'!$C$3:$T$898,17,FALSE)</f>
        <v>8257</v>
      </c>
      <c r="F407">
        <f>VLOOKUP($C407,'[1]PoB Totals'!$C$3:$T$898,18,FALSE)</f>
        <v>441</v>
      </c>
      <c r="G407">
        <f t="shared" si="19"/>
        <v>8698</v>
      </c>
      <c r="H407">
        <f t="shared" si="20"/>
        <v>8257</v>
      </c>
      <c r="I407">
        <f t="shared" si="20"/>
        <v>441</v>
      </c>
      <c r="J407">
        <f>VLOOKUP($C407,'[1]PoB WN'!$C$1:$T$898,17,FALSE)</f>
        <v>7678</v>
      </c>
      <c r="K407">
        <f>VLOOKUP($C407,'[1]PoB WN'!$C$1:$T$898,18,FALSE)</f>
        <v>186</v>
      </c>
      <c r="L407">
        <f>VLOOKUP($C407,'[1]PoB WH'!$C$1:$T$898,17,FALSE)</f>
        <v>295</v>
      </c>
      <c r="M407">
        <f>VLOOKUP($C407,'[1]PoB WH'!$C$1:$T$898,18,FALSE)</f>
        <v>51</v>
      </c>
      <c r="N407">
        <f>VLOOKUP($C407,'[1]PoB AA'!$C$1:$T$898,17,FALSE)</f>
        <v>17</v>
      </c>
      <c r="O407">
        <f>VLOOKUP($C407,'[1]PoB AA'!$C$1:$T$898,18,FALSE)</f>
        <v>0</v>
      </c>
      <c r="P407">
        <f>VLOOKUP($C407,'[1]PoB AI'!$C$1:$T$898,17,FALSE)</f>
        <v>21</v>
      </c>
      <c r="Q407">
        <f>VLOOKUP($C407,'[1]PoB AI'!$C$1:$T$898,18,FALSE)</f>
        <v>0</v>
      </c>
      <c r="R407">
        <f>VLOOKUP($C407,'[1]PoB AS'!$C$1:$T$898,17,FALSE)</f>
        <v>7</v>
      </c>
      <c r="S407">
        <f>VLOOKUP($C407,'[1]PoB AS'!$C$1:$T$898,18,FALSE)</f>
        <v>39</v>
      </c>
      <c r="T407">
        <f>VLOOKUP($C407,'[1]PoB PI'!$C$1:$T$898,17,FALSE)</f>
        <v>0</v>
      </c>
      <c r="U407">
        <f>VLOOKUP($C407,'[1]PoB PI'!$C$1:$T$898,18,FALSE)</f>
        <v>0</v>
      </c>
      <c r="V407">
        <f>VLOOKUP($C407,'[1]PoB OT'!$C$1:$T$898,17,FALSE)</f>
        <v>97</v>
      </c>
      <c r="W407">
        <f>VLOOKUP($C407,'[1]PoB OT'!$C$1:$T$898,18,FALSE)</f>
        <v>155</v>
      </c>
      <c r="X407">
        <f>VLOOKUP($C407,'[1]PoB 2R'!$C$1:$T$898,17,FALSE)</f>
        <v>142</v>
      </c>
      <c r="Y407">
        <f>VLOOKUP($C407,'[1]PoB 2R'!$C$1:$T$898,18,FALSE)</f>
        <v>10</v>
      </c>
    </row>
    <row r="408" spans="1:25" x14ac:dyDescent="0.25">
      <c r="A408" t="s">
        <v>1244</v>
      </c>
      <c r="B408">
        <v>5363280</v>
      </c>
      <c r="C408" t="s">
        <v>1245</v>
      </c>
      <c r="D408">
        <f t="shared" si="18"/>
        <v>6413</v>
      </c>
      <c r="E408">
        <f>VLOOKUP($C408,'[1]PoB Totals'!$C$3:$T$898,17,FALSE)</f>
        <v>6105</v>
      </c>
      <c r="F408">
        <f>VLOOKUP($C408,'[1]PoB Totals'!$C$3:$T$898,18,FALSE)</f>
        <v>308</v>
      </c>
      <c r="G408">
        <f t="shared" si="19"/>
        <v>6413</v>
      </c>
      <c r="H408">
        <f t="shared" si="20"/>
        <v>6105</v>
      </c>
      <c r="I408">
        <f t="shared" si="20"/>
        <v>308</v>
      </c>
      <c r="J408">
        <f>VLOOKUP($C408,'[1]PoB WN'!$C$1:$T$898,17,FALSE)</f>
        <v>5379</v>
      </c>
      <c r="K408">
        <f>VLOOKUP($C408,'[1]PoB WN'!$C$1:$T$898,18,FALSE)</f>
        <v>76</v>
      </c>
      <c r="L408">
        <f>VLOOKUP($C408,'[1]PoB WH'!$C$1:$T$898,17,FALSE)</f>
        <v>181</v>
      </c>
      <c r="M408">
        <f>VLOOKUP($C408,'[1]PoB WH'!$C$1:$T$898,18,FALSE)</f>
        <v>48</v>
      </c>
      <c r="N408">
        <f>VLOOKUP($C408,'[1]PoB AA'!$C$1:$T$898,17,FALSE)</f>
        <v>15</v>
      </c>
      <c r="O408">
        <f>VLOOKUP($C408,'[1]PoB AA'!$C$1:$T$898,18,FALSE)</f>
        <v>12</v>
      </c>
      <c r="P408">
        <f>VLOOKUP($C408,'[1]PoB AI'!$C$1:$T$898,17,FALSE)</f>
        <v>7</v>
      </c>
      <c r="Q408">
        <f>VLOOKUP($C408,'[1]PoB AI'!$C$1:$T$898,18,FALSE)</f>
        <v>0</v>
      </c>
      <c r="R408">
        <f>VLOOKUP($C408,'[1]PoB AS'!$C$1:$T$898,17,FALSE)</f>
        <v>0</v>
      </c>
      <c r="S408">
        <f>VLOOKUP($C408,'[1]PoB AS'!$C$1:$T$898,18,FALSE)</f>
        <v>0</v>
      </c>
      <c r="T408">
        <f>VLOOKUP($C408,'[1]PoB PI'!$C$1:$T$898,17,FALSE)</f>
        <v>0</v>
      </c>
      <c r="U408">
        <f>VLOOKUP($C408,'[1]PoB PI'!$C$1:$T$898,18,FALSE)</f>
        <v>0</v>
      </c>
      <c r="V408">
        <f>VLOOKUP($C408,'[1]PoB OT'!$C$1:$T$898,17,FALSE)</f>
        <v>225</v>
      </c>
      <c r="W408">
        <f>VLOOKUP($C408,'[1]PoB OT'!$C$1:$T$898,18,FALSE)</f>
        <v>172</v>
      </c>
      <c r="X408">
        <f>VLOOKUP($C408,'[1]PoB 2R'!$C$1:$T$898,17,FALSE)</f>
        <v>298</v>
      </c>
      <c r="Y408">
        <f>VLOOKUP($C408,'[1]PoB 2R'!$C$1:$T$898,18,FALSE)</f>
        <v>0</v>
      </c>
    </row>
    <row r="409" spans="1:25" x14ac:dyDescent="0.25">
      <c r="A409" t="s">
        <v>1246</v>
      </c>
      <c r="B409">
        <v>5363385</v>
      </c>
      <c r="C409" t="s">
        <v>1247</v>
      </c>
      <c r="D409">
        <f t="shared" si="18"/>
        <v>4323</v>
      </c>
      <c r="E409">
        <f>VLOOKUP($C409,'[1]PoB Totals'!$C$3:$T$898,17,FALSE)</f>
        <v>3929</v>
      </c>
      <c r="F409">
        <f>VLOOKUP($C409,'[1]PoB Totals'!$C$3:$T$898,18,FALSE)</f>
        <v>394</v>
      </c>
      <c r="G409">
        <f t="shared" si="19"/>
        <v>4323</v>
      </c>
      <c r="H409">
        <f t="shared" si="20"/>
        <v>3929</v>
      </c>
      <c r="I409">
        <f t="shared" si="20"/>
        <v>394</v>
      </c>
      <c r="J409">
        <f>VLOOKUP($C409,'[1]PoB WN'!$C$1:$T$898,17,FALSE)</f>
        <v>3664</v>
      </c>
      <c r="K409">
        <f>VLOOKUP($C409,'[1]PoB WN'!$C$1:$T$898,18,FALSE)</f>
        <v>285</v>
      </c>
      <c r="L409">
        <f>VLOOKUP($C409,'[1]PoB WH'!$C$1:$T$898,17,FALSE)</f>
        <v>77</v>
      </c>
      <c r="M409">
        <f>VLOOKUP($C409,'[1]PoB WH'!$C$1:$T$898,18,FALSE)</f>
        <v>15</v>
      </c>
      <c r="N409">
        <f>VLOOKUP($C409,'[1]PoB AA'!$C$1:$T$898,17,FALSE)</f>
        <v>0</v>
      </c>
      <c r="O409">
        <f>VLOOKUP($C409,'[1]PoB AA'!$C$1:$T$898,18,FALSE)</f>
        <v>0</v>
      </c>
      <c r="P409">
        <f>VLOOKUP($C409,'[1]PoB AI'!$C$1:$T$898,17,FALSE)</f>
        <v>44</v>
      </c>
      <c r="Q409">
        <f>VLOOKUP($C409,'[1]PoB AI'!$C$1:$T$898,18,FALSE)</f>
        <v>0</v>
      </c>
      <c r="R409">
        <f>VLOOKUP($C409,'[1]PoB AS'!$C$1:$T$898,17,FALSE)</f>
        <v>47</v>
      </c>
      <c r="S409">
        <f>VLOOKUP($C409,'[1]PoB AS'!$C$1:$T$898,18,FALSE)</f>
        <v>63</v>
      </c>
      <c r="T409">
        <f>VLOOKUP($C409,'[1]PoB PI'!$C$1:$T$898,17,FALSE)</f>
        <v>0</v>
      </c>
      <c r="U409">
        <f>VLOOKUP($C409,'[1]PoB PI'!$C$1:$T$898,18,FALSE)</f>
        <v>0</v>
      </c>
      <c r="V409">
        <f>VLOOKUP($C409,'[1]PoB OT'!$C$1:$T$898,17,FALSE)</f>
        <v>41</v>
      </c>
      <c r="W409">
        <f>VLOOKUP($C409,'[1]PoB OT'!$C$1:$T$898,18,FALSE)</f>
        <v>31</v>
      </c>
      <c r="X409">
        <f>VLOOKUP($C409,'[1]PoB 2R'!$C$1:$T$898,17,FALSE)</f>
        <v>56</v>
      </c>
      <c r="Y409">
        <f>VLOOKUP($C409,'[1]PoB 2R'!$C$1:$T$898,18,FALSE)</f>
        <v>0</v>
      </c>
    </row>
    <row r="410" spans="1:25" x14ac:dyDescent="0.25">
      <c r="A410" t="s">
        <v>1580</v>
      </c>
      <c r="B410">
        <v>5363550</v>
      </c>
      <c r="C410" t="s">
        <v>1581</v>
      </c>
      <c r="D410">
        <f t="shared" si="18"/>
        <v>709</v>
      </c>
      <c r="E410">
        <f>VLOOKUP($C410,'[1]PoB Totals'!$C$3:$T$898,17,FALSE)</f>
        <v>677</v>
      </c>
      <c r="F410">
        <f>VLOOKUP($C410,'[1]PoB Totals'!$C$3:$T$898,18,FALSE)</f>
        <v>32</v>
      </c>
      <c r="G410">
        <f t="shared" si="19"/>
        <v>709</v>
      </c>
      <c r="H410">
        <f t="shared" si="20"/>
        <v>677</v>
      </c>
      <c r="I410">
        <f t="shared" si="20"/>
        <v>32</v>
      </c>
      <c r="J410">
        <f>VLOOKUP($C410,'[1]PoB WN'!$C$1:$T$898,17,FALSE)</f>
        <v>385</v>
      </c>
      <c r="K410">
        <f>VLOOKUP($C410,'[1]PoB WN'!$C$1:$T$898,18,FALSE)</f>
        <v>10</v>
      </c>
      <c r="L410">
        <f>VLOOKUP($C410,'[1]PoB WH'!$C$1:$T$898,17,FALSE)</f>
        <v>17</v>
      </c>
      <c r="M410">
        <f>VLOOKUP($C410,'[1]PoB WH'!$C$1:$T$898,18,FALSE)</f>
        <v>6</v>
      </c>
      <c r="N410">
        <f>VLOOKUP($C410,'[1]PoB AA'!$C$1:$T$898,17,FALSE)</f>
        <v>0</v>
      </c>
      <c r="O410">
        <f>VLOOKUP($C410,'[1]PoB AA'!$C$1:$T$898,18,FALSE)</f>
        <v>0</v>
      </c>
      <c r="P410">
        <f>VLOOKUP($C410,'[1]PoB AI'!$C$1:$T$898,17,FALSE)</f>
        <v>228</v>
      </c>
      <c r="Q410">
        <f>VLOOKUP($C410,'[1]PoB AI'!$C$1:$T$898,18,FALSE)</f>
        <v>11</v>
      </c>
      <c r="R410">
        <f>VLOOKUP($C410,'[1]PoB AS'!$C$1:$T$898,17,FALSE)</f>
        <v>15</v>
      </c>
      <c r="S410">
        <f>VLOOKUP($C410,'[1]PoB AS'!$C$1:$T$898,18,FALSE)</f>
        <v>5</v>
      </c>
      <c r="T410">
        <f>VLOOKUP($C410,'[1]PoB PI'!$C$1:$T$898,17,FALSE)</f>
        <v>0</v>
      </c>
      <c r="U410">
        <f>VLOOKUP($C410,'[1]PoB PI'!$C$1:$T$898,18,FALSE)</f>
        <v>0</v>
      </c>
      <c r="V410">
        <f>VLOOKUP($C410,'[1]PoB OT'!$C$1:$T$898,17,FALSE)</f>
        <v>0</v>
      </c>
      <c r="W410">
        <f>VLOOKUP($C410,'[1]PoB OT'!$C$1:$T$898,18,FALSE)</f>
        <v>0</v>
      </c>
      <c r="X410">
        <f>VLOOKUP($C410,'[1]PoB 2R'!$C$1:$T$898,17,FALSE)</f>
        <v>32</v>
      </c>
      <c r="Y410">
        <f>VLOOKUP($C410,'[1]PoB 2R'!$C$1:$T$898,18,FALSE)</f>
        <v>0</v>
      </c>
    </row>
    <row r="411" spans="1:25" x14ac:dyDescent="0.25">
      <c r="A411" t="s">
        <v>1250</v>
      </c>
      <c r="B411">
        <v>5363735</v>
      </c>
      <c r="C411" t="s">
        <v>1251</v>
      </c>
      <c r="D411">
        <f t="shared" si="18"/>
        <v>8422</v>
      </c>
      <c r="E411">
        <f>VLOOKUP($C411,'[1]PoB Totals'!$C$3:$T$898,17,FALSE)</f>
        <v>7582</v>
      </c>
      <c r="F411">
        <f>VLOOKUP($C411,'[1]PoB Totals'!$C$3:$T$898,18,FALSE)</f>
        <v>840</v>
      </c>
      <c r="G411">
        <f t="shared" si="19"/>
        <v>8422</v>
      </c>
      <c r="H411">
        <f t="shared" si="20"/>
        <v>7582</v>
      </c>
      <c r="I411">
        <f t="shared" si="20"/>
        <v>840</v>
      </c>
      <c r="J411">
        <f>VLOOKUP($C411,'[1]PoB WN'!$C$1:$T$898,17,FALSE)</f>
        <v>6616</v>
      </c>
      <c r="K411">
        <f>VLOOKUP($C411,'[1]PoB WN'!$C$1:$T$898,18,FALSE)</f>
        <v>182</v>
      </c>
      <c r="L411">
        <f>VLOOKUP($C411,'[1]PoB WH'!$C$1:$T$898,17,FALSE)</f>
        <v>196</v>
      </c>
      <c r="M411">
        <f>VLOOKUP($C411,'[1]PoB WH'!$C$1:$T$898,18,FALSE)</f>
        <v>204</v>
      </c>
      <c r="N411">
        <f>VLOOKUP($C411,'[1]PoB AA'!$C$1:$T$898,17,FALSE)</f>
        <v>8</v>
      </c>
      <c r="O411">
        <f>VLOOKUP($C411,'[1]PoB AA'!$C$1:$T$898,18,FALSE)</f>
        <v>6</v>
      </c>
      <c r="P411">
        <f>VLOOKUP($C411,'[1]PoB AI'!$C$1:$T$898,17,FALSE)</f>
        <v>183</v>
      </c>
      <c r="Q411">
        <f>VLOOKUP($C411,'[1]PoB AI'!$C$1:$T$898,18,FALSE)</f>
        <v>0</v>
      </c>
      <c r="R411">
        <f>VLOOKUP($C411,'[1]PoB AS'!$C$1:$T$898,17,FALSE)</f>
        <v>39</v>
      </c>
      <c r="S411">
        <f>VLOOKUP($C411,'[1]PoB AS'!$C$1:$T$898,18,FALSE)</f>
        <v>53</v>
      </c>
      <c r="T411">
        <f>VLOOKUP($C411,'[1]PoB PI'!$C$1:$T$898,17,FALSE)</f>
        <v>66</v>
      </c>
      <c r="U411">
        <f>VLOOKUP($C411,'[1]PoB PI'!$C$1:$T$898,18,FALSE)</f>
        <v>15</v>
      </c>
      <c r="V411">
        <f>VLOOKUP($C411,'[1]PoB OT'!$C$1:$T$898,17,FALSE)</f>
        <v>194</v>
      </c>
      <c r="W411">
        <f>VLOOKUP($C411,'[1]PoB OT'!$C$1:$T$898,18,FALSE)</f>
        <v>320</v>
      </c>
      <c r="X411">
        <f>VLOOKUP($C411,'[1]PoB 2R'!$C$1:$T$898,17,FALSE)</f>
        <v>280</v>
      </c>
      <c r="Y411">
        <f>VLOOKUP($C411,'[1]PoB 2R'!$C$1:$T$898,18,FALSE)</f>
        <v>60</v>
      </c>
    </row>
    <row r="412" spans="1:25" x14ac:dyDescent="0.25">
      <c r="A412" t="s">
        <v>1252</v>
      </c>
      <c r="B412">
        <v>5363960</v>
      </c>
      <c r="C412" t="s">
        <v>1253</v>
      </c>
      <c r="D412">
        <f t="shared" si="18"/>
        <v>52954</v>
      </c>
      <c r="E412">
        <f>VLOOKUP($C412,'[1]PoB Totals'!$C$3:$T$898,17,FALSE)</f>
        <v>43331</v>
      </c>
      <c r="F412">
        <f>VLOOKUP($C412,'[1]PoB Totals'!$C$3:$T$898,18,FALSE)</f>
        <v>9623</v>
      </c>
      <c r="G412">
        <f t="shared" si="19"/>
        <v>52954</v>
      </c>
      <c r="H412">
        <f t="shared" si="20"/>
        <v>43331</v>
      </c>
      <c r="I412">
        <f t="shared" si="20"/>
        <v>9623</v>
      </c>
      <c r="J412">
        <f>VLOOKUP($C412,'[1]PoB WN'!$C$1:$T$898,17,FALSE)</f>
        <v>36920</v>
      </c>
      <c r="K412">
        <f>VLOOKUP($C412,'[1]PoB WN'!$C$1:$T$898,18,FALSE)</f>
        <v>3021</v>
      </c>
      <c r="L412">
        <f>VLOOKUP($C412,'[1]PoB WH'!$C$1:$T$898,17,FALSE)</f>
        <v>476</v>
      </c>
      <c r="M412">
        <f>VLOOKUP($C412,'[1]PoB WH'!$C$1:$T$898,18,FALSE)</f>
        <v>209</v>
      </c>
      <c r="N412">
        <f>VLOOKUP($C412,'[1]PoB AA'!$C$1:$T$898,17,FALSE)</f>
        <v>1103</v>
      </c>
      <c r="O412">
        <f>VLOOKUP($C412,'[1]PoB AA'!$C$1:$T$898,18,FALSE)</f>
        <v>341</v>
      </c>
      <c r="P412">
        <f>VLOOKUP($C412,'[1]PoB AI'!$C$1:$T$898,17,FALSE)</f>
        <v>517</v>
      </c>
      <c r="Q412">
        <f>VLOOKUP($C412,'[1]PoB AI'!$C$1:$T$898,18,FALSE)</f>
        <v>35</v>
      </c>
      <c r="R412">
        <f>VLOOKUP($C412,'[1]PoB AS'!$C$1:$T$898,17,FALSE)</f>
        <v>1697</v>
      </c>
      <c r="S412">
        <f>VLOOKUP($C412,'[1]PoB AS'!$C$1:$T$898,18,FALSE)</f>
        <v>4916</v>
      </c>
      <c r="T412">
        <f>VLOOKUP($C412,'[1]PoB PI'!$C$1:$T$898,17,FALSE)</f>
        <v>49</v>
      </c>
      <c r="U412">
        <f>VLOOKUP($C412,'[1]PoB PI'!$C$1:$T$898,18,FALSE)</f>
        <v>154</v>
      </c>
      <c r="V412">
        <f>VLOOKUP($C412,'[1]PoB OT'!$C$1:$T$898,17,FALSE)</f>
        <v>457</v>
      </c>
      <c r="W412">
        <f>VLOOKUP($C412,'[1]PoB OT'!$C$1:$T$898,18,FALSE)</f>
        <v>539</v>
      </c>
      <c r="X412">
        <f>VLOOKUP($C412,'[1]PoB 2R'!$C$1:$T$898,17,FALSE)</f>
        <v>2112</v>
      </c>
      <c r="Y412">
        <f>VLOOKUP($C412,'[1]PoB 2R'!$C$1:$T$898,18,FALSE)</f>
        <v>408</v>
      </c>
    </row>
    <row r="413" spans="1:25" x14ac:dyDescent="0.25">
      <c r="A413" t="s">
        <v>1254</v>
      </c>
      <c r="B413">
        <v>5364190</v>
      </c>
      <c r="C413" t="s">
        <v>1255</v>
      </c>
      <c r="D413">
        <f t="shared" si="18"/>
        <v>96</v>
      </c>
      <c r="E413">
        <f>VLOOKUP($C413,'[1]PoB Totals'!$C$3:$T$898,17,FALSE)</f>
        <v>96</v>
      </c>
      <c r="F413">
        <f>VLOOKUP($C413,'[1]PoB Totals'!$C$3:$T$898,18,FALSE)</f>
        <v>0</v>
      </c>
      <c r="G413">
        <f t="shared" si="19"/>
        <v>96</v>
      </c>
      <c r="H413">
        <f t="shared" si="20"/>
        <v>96</v>
      </c>
      <c r="I413">
        <f t="shared" si="20"/>
        <v>0</v>
      </c>
      <c r="J413">
        <f>VLOOKUP($C413,'[1]PoB WN'!$C$1:$T$898,17,FALSE)</f>
        <v>51</v>
      </c>
      <c r="K413">
        <f>VLOOKUP($C413,'[1]PoB WN'!$C$1:$T$898,18,FALSE)</f>
        <v>0</v>
      </c>
      <c r="L413">
        <f>VLOOKUP($C413,'[1]PoB WH'!$C$1:$T$898,17,FALSE)</f>
        <v>0</v>
      </c>
      <c r="M413">
        <f>VLOOKUP($C413,'[1]PoB WH'!$C$1:$T$898,18,FALSE)</f>
        <v>0</v>
      </c>
      <c r="N413">
        <f>VLOOKUP($C413,'[1]PoB AA'!$C$1:$T$898,17,FALSE)</f>
        <v>0</v>
      </c>
      <c r="O413">
        <f>VLOOKUP($C413,'[1]PoB AA'!$C$1:$T$898,18,FALSE)</f>
        <v>0</v>
      </c>
      <c r="P413">
        <f>VLOOKUP($C413,'[1]PoB AI'!$C$1:$T$898,17,FALSE)</f>
        <v>45</v>
      </c>
      <c r="Q413">
        <f>VLOOKUP($C413,'[1]PoB AI'!$C$1:$T$898,18,FALSE)</f>
        <v>0</v>
      </c>
      <c r="R413">
        <f>VLOOKUP($C413,'[1]PoB AS'!$C$1:$T$898,17,FALSE)</f>
        <v>0</v>
      </c>
      <c r="S413">
        <f>VLOOKUP($C413,'[1]PoB AS'!$C$1:$T$898,18,FALSE)</f>
        <v>0</v>
      </c>
      <c r="T413">
        <f>VLOOKUP($C413,'[1]PoB PI'!$C$1:$T$898,17,FALSE)</f>
        <v>0</v>
      </c>
      <c r="U413">
        <f>VLOOKUP($C413,'[1]PoB PI'!$C$1:$T$898,18,FALSE)</f>
        <v>0</v>
      </c>
      <c r="V413">
        <f>VLOOKUP($C413,'[1]PoB OT'!$C$1:$T$898,17,FALSE)</f>
        <v>0</v>
      </c>
      <c r="W413">
        <f>VLOOKUP($C413,'[1]PoB OT'!$C$1:$T$898,18,FALSE)</f>
        <v>0</v>
      </c>
      <c r="X413">
        <f>VLOOKUP($C413,'[1]PoB 2R'!$C$1:$T$898,17,FALSE)</f>
        <v>0</v>
      </c>
      <c r="Y413">
        <f>VLOOKUP($C413,'[1]PoB 2R'!$C$1:$T$898,18,FALSE)</f>
        <v>0</v>
      </c>
    </row>
    <row r="414" spans="1:25" x14ac:dyDescent="0.25">
      <c r="A414" t="s">
        <v>1256</v>
      </c>
      <c r="B414">
        <v>5364365</v>
      </c>
      <c r="C414" t="s">
        <v>1257</v>
      </c>
      <c r="D414">
        <f t="shared" si="18"/>
        <v>15768</v>
      </c>
      <c r="E414">
        <f>VLOOKUP($C414,'[1]PoB Totals'!$C$3:$T$898,17,FALSE)</f>
        <v>13509</v>
      </c>
      <c r="F414">
        <f>VLOOKUP($C414,'[1]PoB Totals'!$C$3:$T$898,18,FALSE)</f>
        <v>2259</v>
      </c>
      <c r="G414">
        <f t="shared" si="19"/>
        <v>15768</v>
      </c>
      <c r="H414">
        <f t="shared" si="20"/>
        <v>13509</v>
      </c>
      <c r="I414">
        <f t="shared" si="20"/>
        <v>2259</v>
      </c>
      <c r="J414">
        <f>VLOOKUP($C414,'[1]PoB WN'!$C$1:$T$898,17,FALSE)</f>
        <v>11371</v>
      </c>
      <c r="K414">
        <f>VLOOKUP($C414,'[1]PoB WN'!$C$1:$T$898,18,FALSE)</f>
        <v>530</v>
      </c>
      <c r="L414">
        <f>VLOOKUP($C414,'[1]PoB WH'!$C$1:$T$898,17,FALSE)</f>
        <v>225</v>
      </c>
      <c r="M414">
        <f>VLOOKUP($C414,'[1]PoB WH'!$C$1:$T$898,18,FALSE)</f>
        <v>52</v>
      </c>
      <c r="N414">
        <f>VLOOKUP($C414,'[1]PoB AA'!$C$1:$T$898,17,FALSE)</f>
        <v>476</v>
      </c>
      <c r="O414">
        <f>VLOOKUP($C414,'[1]PoB AA'!$C$1:$T$898,18,FALSE)</f>
        <v>47</v>
      </c>
      <c r="P414">
        <f>VLOOKUP($C414,'[1]PoB AI'!$C$1:$T$898,17,FALSE)</f>
        <v>85</v>
      </c>
      <c r="Q414">
        <f>VLOOKUP($C414,'[1]PoB AI'!$C$1:$T$898,18,FALSE)</f>
        <v>4</v>
      </c>
      <c r="R414">
        <f>VLOOKUP($C414,'[1]PoB AS'!$C$1:$T$898,17,FALSE)</f>
        <v>497</v>
      </c>
      <c r="S414">
        <f>VLOOKUP($C414,'[1]PoB AS'!$C$1:$T$898,18,FALSE)</f>
        <v>1254</v>
      </c>
      <c r="T414">
        <f>VLOOKUP($C414,'[1]PoB PI'!$C$1:$T$898,17,FALSE)</f>
        <v>53</v>
      </c>
      <c r="U414">
        <f>VLOOKUP($C414,'[1]PoB PI'!$C$1:$T$898,18,FALSE)</f>
        <v>109</v>
      </c>
      <c r="V414">
        <f>VLOOKUP($C414,'[1]PoB OT'!$C$1:$T$898,17,FALSE)</f>
        <v>186</v>
      </c>
      <c r="W414">
        <f>VLOOKUP($C414,'[1]PoB OT'!$C$1:$T$898,18,FALSE)</f>
        <v>81</v>
      </c>
      <c r="X414">
        <f>VLOOKUP($C414,'[1]PoB 2R'!$C$1:$T$898,17,FALSE)</f>
        <v>616</v>
      </c>
      <c r="Y414">
        <f>VLOOKUP($C414,'[1]PoB 2R'!$C$1:$T$898,18,FALSE)</f>
        <v>182</v>
      </c>
    </row>
    <row r="415" spans="1:25" x14ac:dyDescent="0.25">
      <c r="A415" t="s">
        <v>1264</v>
      </c>
      <c r="B415">
        <v>5364775</v>
      </c>
      <c r="C415" t="s">
        <v>1265</v>
      </c>
      <c r="D415">
        <f t="shared" si="18"/>
        <v>648</v>
      </c>
      <c r="E415">
        <f>VLOOKUP($C415,'[1]PoB Totals'!$C$3:$T$898,17,FALSE)</f>
        <v>644</v>
      </c>
      <c r="F415">
        <f>VLOOKUP($C415,'[1]PoB Totals'!$C$3:$T$898,18,FALSE)</f>
        <v>4</v>
      </c>
      <c r="G415">
        <f t="shared" si="19"/>
        <v>648</v>
      </c>
      <c r="H415">
        <f t="shared" si="20"/>
        <v>644</v>
      </c>
      <c r="I415">
        <f t="shared" si="20"/>
        <v>4</v>
      </c>
      <c r="J415">
        <f>VLOOKUP($C415,'[1]PoB WN'!$C$1:$T$898,17,FALSE)</f>
        <v>122</v>
      </c>
      <c r="K415">
        <f>VLOOKUP($C415,'[1]PoB WN'!$C$1:$T$898,18,FALSE)</f>
        <v>0</v>
      </c>
      <c r="L415">
        <f>VLOOKUP($C415,'[1]PoB WH'!$C$1:$T$898,17,FALSE)</f>
        <v>4</v>
      </c>
      <c r="M415">
        <f>VLOOKUP($C415,'[1]PoB WH'!$C$1:$T$898,18,FALSE)</f>
        <v>0</v>
      </c>
      <c r="N415">
        <f>VLOOKUP($C415,'[1]PoB AA'!$C$1:$T$898,17,FALSE)</f>
        <v>0</v>
      </c>
      <c r="O415">
        <f>VLOOKUP($C415,'[1]PoB AA'!$C$1:$T$898,18,FALSE)</f>
        <v>0</v>
      </c>
      <c r="P415">
        <f>VLOOKUP($C415,'[1]PoB AI'!$C$1:$T$898,17,FALSE)</f>
        <v>507</v>
      </c>
      <c r="Q415">
        <f>VLOOKUP($C415,'[1]PoB AI'!$C$1:$T$898,18,FALSE)</f>
        <v>1</v>
      </c>
      <c r="R415">
        <f>VLOOKUP($C415,'[1]PoB AS'!$C$1:$T$898,17,FALSE)</f>
        <v>0</v>
      </c>
      <c r="S415">
        <f>VLOOKUP($C415,'[1]PoB AS'!$C$1:$T$898,18,FALSE)</f>
        <v>0</v>
      </c>
      <c r="T415">
        <f>VLOOKUP($C415,'[1]PoB PI'!$C$1:$T$898,17,FALSE)</f>
        <v>0</v>
      </c>
      <c r="U415">
        <f>VLOOKUP($C415,'[1]PoB PI'!$C$1:$T$898,18,FALSE)</f>
        <v>3</v>
      </c>
      <c r="V415">
        <f>VLOOKUP($C415,'[1]PoB OT'!$C$1:$T$898,17,FALSE)</f>
        <v>0</v>
      </c>
      <c r="W415">
        <f>VLOOKUP($C415,'[1]PoB OT'!$C$1:$T$898,18,FALSE)</f>
        <v>0</v>
      </c>
      <c r="X415">
        <f>VLOOKUP($C415,'[1]PoB 2R'!$C$1:$T$898,17,FALSE)</f>
        <v>11</v>
      </c>
      <c r="Y415">
        <f>VLOOKUP($C415,'[1]PoB 2R'!$C$1:$T$898,18,FALSE)</f>
        <v>0</v>
      </c>
    </row>
    <row r="416" spans="1:25" x14ac:dyDescent="0.25">
      <c r="A416" t="s">
        <v>1266</v>
      </c>
      <c r="B416">
        <v>5364855</v>
      </c>
      <c r="C416" t="s">
        <v>1267</v>
      </c>
      <c r="D416">
        <f t="shared" si="18"/>
        <v>212</v>
      </c>
      <c r="E416">
        <f>VLOOKUP($C416,'[1]PoB Totals'!$C$3:$T$898,17,FALSE)</f>
        <v>204</v>
      </c>
      <c r="F416">
        <f>VLOOKUP($C416,'[1]PoB Totals'!$C$3:$T$898,18,FALSE)</f>
        <v>8</v>
      </c>
      <c r="G416">
        <f t="shared" si="19"/>
        <v>212</v>
      </c>
      <c r="H416">
        <f t="shared" si="20"/>
        <v>204</v>
      </c>
      <c r="I416">
        <f t="shared" si="20"/>
        <v>8</v>
      </c>
      <c r="J416">
        <f>VLOOKUP($C416,'[1]PoB WN'!$C$1:$T$898,17,FALSE)</f>
        <v>202</v>
      </c>
      <c r="K416">
        <f>VLOOKUP($C416,'[1]PoB WN'!$C$1:$T$898,18,FALSE)</f>
        <v>8</v>
      </c>
      <c r="L416">
        <f>VLOOKUP($C416,'[1]PoB WH'!$C$1:$T$898,17,FALSE)</f>
        <v>0</v>
      </c>
      <c r="M416">
        <f>VLOOKUP($C416,'[1]PoB WH'!$C$1:$T$898,18,FALSE)</f>
        <v>0</v>
      </c>
      <c r="N416">
        <f>VLOOKUP($C416,'[1]PoB AA'!$C$1:$T$898,17,FALSE)</f>
        <v>0</v>
      </c>
      <c r="O416">
        <f>VLOOKUP($C416,'[1]PoB AA'!$C$1:$T$898,18,FALSE)</f>
        <v>0</v>
      </c>
      <c r="P416">
        <f>VLOOKUP($C416,'[1]PoB AI'!$C$1:$T$898,17,FALSE)</f>
        <v>0</v>
      </c>
      <c r="Q416">
        <f>VLOOKUP($C416,'[1]PoB AI'!$C$1:$T$898,18,FALSE)</f>
        <v>0</v>
      </c>
      <c r="R416">
        <f>VLOOKUP($C416,'[1]PoB AS'!$C$1:$T$898,17,FALSE)</f>
        <v>0</v>
      </c>
      <c r="S416">
        <f>VLOOKUP($C416,'[1]PoB AS'!$C$1:$T$898,18,FALSE)</f>
        <v>0</v>
      </c>
      <c r="T416">
        <f>VLOOKUP($C416,'[1]PoB PI'!$C$1:$T$898,17,FALSE)</f>
        <v>0</v>
      </c>
      <c r="U416">
        <f>VLOOKUP($C416,'[1]PoB PI'!$C$1:$T$898,18,FALSE)</f>
        <v>0</v>
      </c>
      <c r="V416">
        <f>VLOOKUP($C416,'[1]PoB OT'!$C$1:$T$898,17,FALSE)</f>
        <v>0</v>
      </c>
      <c r="W416">
        <f>VLOOKUP($C416,'[1]PoB OT'!$C$1:$T$898,18,FALSE)</f>
        <v>0</v>
      </c>
      <c r="X416">
        <f>VLOOKUP($C416,'[1]PoB 2R'!$C$1:$T$898,17,FALSE)</f>
        <v>2</v>
      </c>
      <c r="Y416">
        <f>VLOOKUP($C416,'[1]PoB 2R'!$C$1:$T$898,18,FALSE)</f>
        <v>0</v>
      </c>
    </row>
    <row r="417" spans="1:25" x14ac:dyDescent="0.25">
      <c r="A417" t="s">
        <v>1582</v>
      </c>
      <c r="B417">
        <v>5364995</v>
      </c>
      <c r="C417" t="s">
        <v>1583</v>
      </c>
      <c r="D417">
        <f t="shared" si="18"/>
        <v>1547</v>
      </c>
      <c r="E417">
        <f>VLOOKUP($C417,'[1]PoB Totals'!$C$3:$T$898,17,FALSE)</f>
        <v>1448</v>
      </c>
      <c r="F417">
        <f>VLOOKUP($C417,'[1]PoB Totals'!$C$3:$T$898,18,FALSE)</f>
        <v>99</v>
      </c>
      <c r="G417">
        <f t="shared" si="19"/>
        <v>1547</v>
      </c>
      <c r="H417">
        <f t="shared" si="20"/>
        <v>1448</v>
      </c>
      <c r="I417">
        <f t="shared" si="20"/>
        <v>99</v>
      </c>
      <c r="J417">
        <f>VLOOKUP($C417,'[1]PoB WN'!$C$1:$T$898,17,FALSE)</f>
        <v>1345</v>
      </c>
      <c r="K417">
        <f>VLOOKUP($C417,'[1]PoB WN'!$C$1:$T$898,18,FALSE)</f>
        <v>41</v>
      </c>
      <c r="L417">
        <f>VLOOKUP($C417,'[1]PoB WH'!$C$1:$T$898,17,FALSE)</f>
        <v>0</v>
      </c>
      <c r="M417">
        <f>VLOOKUP($C417,'[1]PoB WH'!$C$1:$T$898,18,FALSE)</f>
        <v>0</v>
      </c>
      <c r="N417">
        <f>VLOOKUP($C417,'[1]PoB AA'!$C$1:$T$898,17,FALSE)</f>
        <v>0</v>
      </c>
      <c r="O417">
        <f>VLOOKUP($C417,'[1]PoB AA'!$C$1:$T$898,18,FALSE)</f>
        <v>0</v>
      </c>
      <c r="P417">
        <f>VLOOKUP($C417,'[1]PoB AI'!$C$1:$T$898,17,FALSE)</f>
        <v>0</v>
      </c>
      <c r="Q417">
        <f>VLOOKUP($C417,'[1]PoB AI'!$C$1:$T$898,18,FALSE)</f>
        <v>0</v>
      </c>
      <c r="R417">
        <f>VLOOKUP($C417,'[1]PoB AS'!$C$1:$T$898,17,FALSE)</f>
        <v>24</v>
      </c>
      <c r="S417">
        <f>VLOOKUP($C417,'[1]PoB AS'!$C$1:$T$898,18,FALSE)</f>
        <v>44</v>
      </c>
      <c r="T417">
        <f>VLOOKUP($C417,'[1]PoB PI'!$C$1:$T$898,17,FALSE)</f>
        <v>35</v>
      </c>
      <c r="U417">
        <f>VLOOKUP($C417,'[1]PoB PI'!$C$1:$T$898,18,FALSE)</f>
        <v>0</v>
      </c>
      <c r="V417">
        <f>VLOOKUP($C417,'[1]PoB OT'!$C$1:$T$898,17,FALSE)</f>
        <v>23</v>
      </c>
      <c r="W417">
        <f>VLOOKUP($C417,'[1]PoB OT'!$C$1:$T$898,18,FALSE)</f>
        <v>14</v>
      </c>
      <c r="X417">
        <f>VLOOKUP($C417,'[1]PoB 2R'!$C$1:$T$898,17,FALSE)</f>
        <v>21</v>
      </c>
      <c r="Y417">
        <f>VLOOKUP($C417,'[1]PoB 2R'!$C$1:$T$898,18,FALSE)</f>
        <v>0</v>
      </c>
    </row>
    <row r="418" spans="1:25" x14ac:dyDescent="0.25">
      <c r="A418" t="s">
        <v>1268</v>
      </c>
      <c r="B418">
        <v>5365170</v>
      </c>
      <c r="C418" t="s">
        <v>1269</v>
      </c>
      <c r="D418">
        <f t="shared" si="18"/>
        <v>8454</v>
      </c>
      <c r="E418">
        <f>VLOOKUP($C418,'[1]PoB Totals'!$C$3:$T$898,17,FALSE)</f>
        <v>7967</v>
      </c>
      <c r="F418">
        <f>VLOOKUP($C418,'[1]PoB Totals'!$C$3:$T$898,18,FALSE)</f>
        <v>487</v>
      </c>
      <c r="G418">
        <f t="shared" si="19"/>
        <v>8454</v>
      </c>
      <c r="H418">
        <f t="shared" si="20"/>
        <v>7967</v>
      </c>
      <c r="I418">
        <f t="shared" si="20"/>
        <v>487</v>
      </c>
      <c r="J418">
        <f>VLOOKUP($C418,'[1]PoB WN'!$C$1:$T$898,17,FALSE)</f>
        <v>7450</v>
      </c>
      <c r="K418">
        <f>VLOOKUP($C418,'[1]PoB WN'!$C$1:$T$898,18,FALSE)</f>
        <v>190</v>
      </c>
      <c r="L418">
        <f>VLOOKUP($C418,'[1]PoB WH'!$C$1:$T$898,17,FALSE)</f>
        <v>95</v>
      </c>
      <c r="M418">
        <f>VLOOKUP($C418,'[1]PoB WH'!$C$1:$T$898,18,FALSE)</f>
        <v>140</v>
      </c>
      <c r="N418">
        <f>VLOOKUP($C418,'[1]PoB AA'!$C$1:$T$898,17,FALSE)</f>
        <v>23</v>
      </c>
      <c r="O418">
        <f>VLOOKUP($C418,'[1]PoB AA'!$C$1:$T$898,18,FALSE)</f>
        <v>5</v>
      </c>
      <c r="P418">
        <f>VLOOKUP($C418,'[1]PoB AI'!$C$1:$T$898,17,FALSE)</f>
        <v>59</v>
      </c>
      <c r="Q418">
        <f>VLOOKUP($C418,'[1]PoB AI'!$C$1:$T$898,18,FALSE)</f>
        <v>0</v>
      </c>
      <c r="R418">
        <f>VLOOKUP($C418,'[1]PoB AS'!$C$1:$T$898,17,FALSE)</f>
        <v>11</v>
      </c>
      <c r="S418">
        <f>VLOOKUP($C418,'[1]PoB AS'!$C$1:$T$898,18,FALSE)</f>
        <v>89</v>
      </c>
      <c r="T418">
        <f>VLOOKUP($C418,'[1]PoB PI'!$C$1:$T$898,17,FALSE)</f>
        <v>0</v>
      </c>
      <c r="U418">
        <f>VLOOKUP($C418,'[1]PoB PI'!$C$1:$T$898,18,FALSE)</f>
        <v>0</v>
      </c>
      <c r="V418">
        <f>VLOOKUP($C418,'[1]PoB OT'!$C$1:$T$898,17,FALSE)</f>
        <v>74</v>
      </c>
      <c r="W418">
        <f>VLOOKUP($C418,'[1]PoB OT'!$C$1:$T$898,18,FALSE)</f>
        <v>38</v>
      </c>
      <c r="X418">
        <f>VLOOKUP($C418,'[1]PoB 2R'!$C$1:$T$898,17,FALSE)</f>
        <v>255</v>
      </c>
      <c r="Y418">
        <f>VLOOKUP($C418,'[1]PoB 2R'!$C$1:$T$898,18,FALSE)</f>
        <v>25</v>
      </c>
    </row>
    <row r="419" spans="1:25" x14ac:dyDescent="0.25">
      <c r="A419" t="s">
        <v>1270</v>
      </c>
      <c r="B419">
        <v>5365205</v>
      </c>
      <c r="C419" t="s">
        <v>1271</v>
      </c>
      <c r="D419">
        <f t="shared" si="18"/>
        <v>1659</v>
      </c>
      <c r="E419">
        <f>VLOOKUP($C419,'[1]PoB Totals'!$C$3:$T$898,17,FALSE)</f>
        <v>1553</v>
      </c>
      <c r="F419">
        <f>VLOOKUP($C419,'[1]PoB Totals'!$C$3:$T$898,18,FALSE)</f>
        <v>106</v>
      </c>
      <c r="G419">
        <f t="shared" si="19"/>
        <v>1659</v>
      </c>
      <c r="H419">
        <f t="shared" si="20"/>
        <v>1553</v>
      </c>
      <c r="I419">
        <f t="shared" si="20"/>
        <v>106</v>
      </c>
      <c r="J419">
        <f>VLOOKUP($C419,'[1]PoB WN'!$C$1:$T$898,17,FALSE)</f>
        <v>1356</v>
      </c>
      <c r="K419">
        <f>VLOOKUP($C419,'[1]PoB WN'!$C$1:$T$898,18,FALSE)</f>
        <v>50</v>
      </c>
      <c r="L419">
        <f>VLOOKUP($C419,'[1]PoB WH'!$C$1:$T$898,17,FALSE)</f>
        <v>40</v>
      </c>
      <c r="M419">
        <f>VLOOKUP($C419,'[1]PoB WH'!$C$1:$T$898,18,FALSE)</f>
        <v>0</v>
      </c>
      <c r="N419">
        <f>VLOOKUP($C419,'[1]PoB AA'!$C$1:$T$898,17,FALSE)</f>
        <v>0</v>
      </c>
      <c r="O419">
        <f>VLOOKUP($C419,'[1]PoB AA'!$C$1:$T$898,18,FALSE)</f>
        <v>0</v>
      </c>
      <c r="P419">
        <f>VLOOKUP($C419,'[1]PoB AI'!$C$1:$T$898,17,FALSE)</f>
        <v>67</v>
      </c>
      <c r="Q419">
        <f>VLOOKUP($C419,'[1]PoB AI'!$C$1:$T$898,18,FALSE)</f>
        <v>0</v>
      </c>
      <c r="R419">
        <f>VLOOKUP($C419,'[1]PoB AS'!$C$1:$T$898,17,FALSE)</f>
        <v>12</v>
      </c>
      <c r="S419">
        <f>VLOOKUP($C419,'[1]PoB AS'!$C$1:$T$898,18,FALSE)</f>
        <v>36</v>
      </c>
      <c r="T419">
        <f>VLOOKUP($C419,'[1]PoB PI'!$C$1:$T$898,17,FALSE)</f>
        <v>17</v>
      </c>
      <c r="U419">
        <f>VLOOKUP($C419,'[1]PoB PI'!$C$1:$T$898,18,FALSE)</f>
        <v>3</v>
      </c>
      <c r="V419">
        <f>VLOOKUP($C419,'[1]PoB OT'!$C$1:$T$898,17,FALSE)</f>
        <v>6</v>
      </c>
      <c r="W419">
        <f>VLOOKUP($C419,'[1]PoB OT'!$C$1:$T$898,18,FALSE)</f>
        <v>17</v>
      </c>
      <c r="X419">
        <f>VLOOKUP($C419,'[1]PoB 2R'!$C$1:$T$898,17,FALSE)</f>
        <v>55</v>
      </c>
      <c r="Y419">
        <f>VLOOKUP($C419,'[1]PoB 2R'!$C$1:$T$898,18,FALSE)</f>
        <v>0</v>
      </c>
    </row>
    <row r="420" spans="1:25" x14ac:dyDescent="0.25">
      <c r="A420" t="s">
        <v>1272</v>
      </c>
      <c r="B420">
        <v>5365275</v>
      </c>
      <c r="C420" t="s">
        <v>1273</v>
      </c>
      <c r="D420">
        <f t="shared" si="18"/>
        <v>212</v>
      </c>
      <c r="E420">
        <f>VLOOKUP($C420,'[1]PoB Totals'!$C$3:$T$898,17,FALSE)</f>
        <v>200</v>
      </c>
      <c r="F420">
        <f>VLOOKUP($C420,'[1]PoB Totals'!$C$3:$T$898,18,FALSE)</f>
        <v>12</v>
      </c>
      <c r="G420">
        <f t="shared" si="19"/>
        <v>212</v>
      </c>
      <c r="H420">
        <f t="shared" si="20"/>
        <v>200</v>
      </c>
      <c r="I420">
        <f t="shared" si="20"/>
        <v>12</v>
      </c>
      <c r="J420">
        <f>VLOOKUP($C420,'[1]PoB WN'!$C$1:$T$898,17,FALSE)</f>
        <v>167</v>
      </c>
      <c r="K420">
        <f>VLOOKUP($C420,'[1]PoB WN'!$C$1:$T$898,18,FALSE)</f>
        <v>10</v>
      </c>
      <c r="L420">
        <f>VLOOKUP($C420,'[1]PoB WH'!$C$1:$T$898,17,FALSE)</f>
        <v>2</v>
      </c>
      <c r="M420">
        <f>VLOOKUP($C420,'[1]PoB WH'!$C$1:$T$898,18,FALSE)</f>
        <v>0</v>
      </c>
      <c r="N420">
        <f>VLOOKUP($C420,'[1]PoB AA'!$C$1:$T$898,17,FALSE)</f>
        <v>0</v>
      </c>
      <c r="O420">
        <f>VLOOKUP($C420,'[1]PoB AA'!$C$1:$T$898,18,FALSE)</f>
        <v>0</v>
      </c>
      <c r="P420">
        <f>VLOOKUP($C420,'[1]PoB AI'!$C$1:$T$898,17,FALSE)</f>
        <v>0</v>
      </c>
      <c r="Q420">
        <f>VLOOKUP($C420,'[1]PoB AI'!$C$1:$T$898,18,FALSE)</f>
        <v>0</v>
      </c>
      <c r="R420">
        <f>VLOOKUP($C420,'[1]PoB AS'!$C$1:$T$898,17,FALSE)</f>
        <v>3</v>
      </c>
      <c r="S420">
        <f>VLOOKUP($C420,'[1]PoB AS'!$C$1:$T$898,18,FALSE)</f>
        <v>0</v>
      </c>
      <c r="T420">
        <f>VLOOKUP($C420,'[1]PoB PI'!$C$1:$T$898,17,FALSE)</f>
        <v>3</v>
      </c>
      <c r="U420">
        <f>VLOOKUP($C420,'[1]PoB PI'!$C$1:$T$898,18,FALSE)</f>
        <v>2</v>
      </c>
      <c r="V420">
        <f>VLOOKUP($C420,'[1]PoB OT'!$C$1:$T$898,17,FALSE)</f>
        <v>2</v>
      </c>
      <c r="W420">
        <f>VLOOKUP($C420,'[1]PoB OT'!$C$1:$T$898,18,FALSE)</f>
        <v>0</v>
      </c>
      <c r="X420">
        <f>VLOOKUP($C420,'[1]PoB 2R'!$C$1:$T$898,17,FALSE)</f>
        <v>23</v>
      </c>
      <c r="Y420">
        <f>VLOOKUP($C420,'[1]PoB 2R'!$C$1:$T$898,18,FALSE)</f>
        <v>0</v>
      </c>
    </row>
    <row r="421" spans="1:25" x14ac:dyDescent="0.25">
      <c r="A421" t="s">
        <v>1274</v>
      </c>
      <c r="B421">
        <v>5365345</v>
      </c>
      <c r="C421" t="s">
        <v>1275</v>
      </c>
      <c r="D421">
        <f t="shared" si="18"/>
        <v>1741</v>
      </c>
      <c r="E421">
        <f>VLOOKUP($C421,'[1]PoB Totals'!$C$3:$T$898,17,FALSE)</f>
        <v>1426</v>
      </c>
      <c r="F421">
        <f>VLOOKUP($C421,'[1]PoB Totals'!$C$3:$T$898,18,FALSE)</f>
        <v>315</v>
      </c>
      <c r="G421">
        <f t="shared" si="19"/>
        <v>1741</v>
      </c>
      <c r="H421">
        <f t="shared" si="20"/>
        <v>1426</v>
      </c>
      <c r="I421">
        <f t="shared" si="20"/>
        <v>315</v>
      </c>
      <c r="J421">
        <f>VLOOKUP($C421,'[1]PoB WN'!$C$1:$T$898,17,FALSE)</f>
        <v>1231</v>
      </c>
      <c r="K421">
        <f>VLOOKUP($C421,'[1]PoB WN'!$C$1:$T$898,18,FALSE)</f>
        <v>198</v>
      </c>
      <c r="L421">
        <f>VLOOKUP($C421,'[1]PoB WH'!$C$1:$T$898,17,FALSE)</f>
        <v>49</v>
      </c>
      <c r="M421">
        <f>VLOOKUP($C421,'[1]PoB WH'!$C$1:$T$898,18,FALSE)</f>
        <v>18</v>
      </c>
      <c r="N421">
        <f>VLOOKUP($C421,'[1]PoB AA'!$C$1:$T$898,17,FALSE)</f>
        <v>2</v>
      </c>
      <c r="O421">
        <f>VLOOKUP($C421,'[1]PoB AA'!$C$1:$T$898,18,FALSE)</f>
        <v>13</v>
      </c>
      <c r="P421">
        <f>VLOOKUP($C421,'[1]PoB AI'!$C$1:$T$898,17,FALSE)</f>
        <v>24</v>
      </c>
      <c r="Q421">
        <f>VLOOKUP($C421,'[1]PoB AI'!$C$1:$T$898,18,FALSE)</f>
        <v>2</v>
      </c>
      <c r="R421">
        <f>VLOOKUP($C421,'[1]PoB AS'!$C$1:$T$898,17,FALSE)</f>
        <v>2</v>
      </c>
      <c r="S421">
        <f>VLOOKUP($C421,'[1]PoB AS'!$C$1:$T$898,18,FALSE)</f>
        <v>0</v>
      </c>
      <c r="T421">
        <f>VLOOKUP($C421,'[1]PoB PI'!$C$1:$T$898,17,FALSE)</f>
        <v>0</v>
      </c>
      <c r="U421">
        <f>VLOOKUP($C421,'[1]PoB PI'!$C$1:$T$898,18,FALSE)</f>
        <v>0</v>
      </c>
      <c r="V421">
        <f>VLOOKUP($C421,'[1]PoB OT'!$C$1:$T$898,17,FALSE)</f>
        <v>61</v>
      </c>
      <c r="W421">
        <f>VLOOKUP($C421,'[1]PoB OT'!$C$1:$T$898,18,FALSE)</f>
        <v>49</v>
      </c>
      <c r="X421">
        <f>VLOOKUP($C421,'[1]PoB 2R'!$C$1:$T$898,17,FALSE)</f>
        <v>57</v>
      </c>
      <c r="Y421">
        <f>VLOOKUP($C421,'[1]PoB 2R'!$C$1:$T$898,18,FALSE)</f>
        <v>35</v>
      </c>
    </row>
    <row r="422" spans="1:25" x14ac:dyDescent="0.25">
      <c r="A422" t="s">
        <v>1276</v>
      </c>
      <c r="B422">
        <v>5365625</v>
      </c>
      <c r="C422" t="s">
        <v>1277</v>
      </c>
      <c r="D422">
        <f t="shared" si="18"/>
        <v>1873</v>
      </c>
      <c r="E422">
        <f>VLOOKUP($C422,'[1]PoB Totals'!$C$3:$T$898,17,FALSE)</f>
        <v>1683</v>
      </c>
      <c r="F422">
        <f>VLOOKUP($C422,'[1]PoB Totals'!$C$3:$T$898,18,FALSE)</f>
        <v>190</v>
      </c>
      <c r="G422">
        <f t="shared" si="19"/>
        <v>1873</v>
      </c>
      <c r="H422">
        <f t="shared" si="20"/>
        <v>1683</v>
      </c>
      <c r="I422">
        <f t="shared" si="20"/>
        <v>190</v>
      </c>
      <c r="J422">
        <f>VLOOKUP($C422,'[1]PoB WN'!$C$1:$T$898,17,FALSE)</f>
        <v>1409</v>
      </c>
      <c r="K422">
        <f>VLOOKUP($C422,'[1]PoB WN'!$C$1:$T$898,18,FALSE)</f>
        <v>38</v>
      </c>
      <c r="L422">
        <f>VLOOKUP($C422,'[1]PoB WH'!$C$1:$T$898,17,FALSE)</f>
        <v>50</v>
      </c>
      <c r="M422">
        <f>VLOOKUP($C422,'[1]PoB WH'!$C$1:$T$898,18,FALSE)</f>
        <v>49</v>
      </c>
      <c r="N422">
        <f>VLOOKUP($C422,'[1]PoB AA'!$C$1:$T$898,17,FALSE)</f>
        <v>3</v>
      </c>
      <c r="O422">
        <f>VLOOKUP($C422,'[1]PoB AA'!$C$1:$T$898,18,FALSE)</f>
        <v>3</v>
      </c>
      <c r="P422">
        <f>VLOOKUP($C422,'[1]PoB AI'!$C$1:$T$898,17,FALSE)</f>
        <v>80</v>
      </c>
      <c r="Q422">
        <f>VLOOKUP($C422,'[1]PoB AI'!$C$1:$T$898,18,FALSE)</f>
        <v>0</v>
      </c>
      <c r="R422">
        <f>VLOOKUP($C422,'[1]PoB AS'!$C$1:$T$898,17,FALSE)</f>
        <v>27</v>
      </c>
      <c r="S422">
        <f>VLOOKUP($C422,'[1]PoB AS'!$C$1:$T$898,18,FALSE)</f>
        <v>57</v>
      </c>
      <c r="T422">
        <f>VLOOKUP($C422,'[1]PoB PI'!$C$1:$T$898,17,FALSE)</f>
        <v>0</v>
      </c>
      <c r="U422">
        <f>VLOOKUP($C422,'[1]PoB PI'!$C$1:$T$898,18,FALSE)</f>
        <v>0</v>
      </c>
      <c r="V422">
        <f>VLOOKUP($C422,'[1]PoB OT'!$C$1:$T$898,17,FALSE)</f>
        <v>34</v>
      </c>
      <c r="W422">
        <f>VLOOKUP($C422,'[1]PoB OT'!$C$1:$T$898,18,FALSE)</f>
        <v>34</v>
      </c>
      <c r="X422">
        <f>VLOOKUP($C422,'[1]PoB 2R'!$C$1:$T$898,17,FALSE)</f>
        <v>80</v>
      </c>
      <c r="Y422">
        <f>VLOOKUP($C422,'[1]PoB 2R'!$C$1:$T$898,18,FALSE)</f>
        <v>9</v>
      </c>
    </row>
    <row r="423" spans="1:25" x14ac:dyDescent="0.25">
      <c r="A423" t="s">
        <v>1278</v>
      </c>
      <c r="B423">
        <v>5365765</v>
      </c>
      <c r="C423" t="s">
        <v>1279</v>
      </c>
      <c r="D423">
        <f t="shared" si="18"/>
        <v>460</v>
      </c>
      <c r="E423">
        <f>VLOOKUP($C423,'[1]PoB Totals'!$C$3:$T$898,17,FALSE)</f>
        <v>454</v>
      </c>
      <c r="F423">
        <f>VLOOKUP($C423,'[1]PoB Totals'!$C$3:$T$898,18,FALSE)</f>
        <v>6</v>
      </c>
      <c r="G423">
        <f t="shared" si="19"/>
        <v>460</v>
      </c>
      <c r="H423">
        <f t="shared" si="20"/>
        <v>454</v>
      </c>
      <c r="I423">
        <f t="shared" si="20"/>
        <v>6</v>
      </c>
      <c r="J423">
        <f>VLOOKUP($C423,'[1]PoB WN'!$C$1:$T$898,17,FALSE)</f>
        <v>427</v>
      </c>
      <c r="K423">
        <f>VLOOKUP($C423,'[1]PoB WN'!$C$1:$T$898,18,FALSE)</f>
        <v>1</v>
      </c>
      <c r="L423">
        <f>VLOOKUP($C423,'[1]PoB WH'!$C$1:$T$898,17,FALSE)</f>
        <v>14</v>
      </c>
      <c r="M423">
        <f>VLOOKUP($C423,'[1]PoB WH'!$C$1:$T$898,18,FALSE)</f>
        <v>0</v>
      </c>
      <c r="N423">
        <f>VLOOKUP($C423,'[1]PoB AA'!$C$1:$T$898,17,FALSE)</f>
        <v>0</v>
      </c>
      <c r="O423">
        <f>VLOOKUP($C423,'[1]PoB AA'!$C$1:$T$898,18,FALSE)</f>
        <v>0</v>
      </c>
      <c r="P423">
        <f>VLOOKUP($C423,'[1]PoB AI'!$C$1:$T$898,17,FALSE)</f>
        <v>3</v>
      </c>
      <c r="Q423">
        <f>VLOOKUP($C423,'[1]PoB AI'!$C$1:$T$898,18,FALSE)</f>
        <v>0</v>
      </c>
      <c r="R423">
        <f>VLOOKUP($C423,'[1]PoB AS'!$C$1:$T$898,17,FALSE)</f>
        <v>5</v>
      </c>
      <c r="S423">
        <f>VLOOKUP($C423,'[1]PoB AS'!$C$1:$T$898,18,FALSE)</f>
        <v>5</v>
      </c>
      <c r="T423">
        <f>VLOOKUP($C423,'[1]PoB PI'!$C$1:$T$898,17,FALSE)</f>
        <v>0</v>
      </c>
      <c r="U423">
        <f>VLOOKUP($C423,'[1]PoB PI'!$C$1:$T$898,18,FALSE)</f>
        <v>0</v>
      </c>
      <c r="V423">
        <f>VLOOKUP($C423,'[1]PoB OT'!$C$1:$T$898,17,FALSE)</f>
        <v>0</v>
      </c>
      <c r="W423">
        <f>VLOOKUP($C423,'[1]PoB OT'!$C$1:$T$898,18,FALSE)</f>
        <v>0</v>
      </c>
      <c r="X423">
        <f>VLOOKUP($C423,'[1]PoB 2R'!$C$1:$T$898,17,FALSE)</f>
        <v>5</v>
      </c>
      <c r="Y423">
        <f>VLOOKUP($C423,'[1]PoB 2R'!$C$1:$T$898,18,FALSE)</f>
        <v>0</v>
      </c>
    </row>
    <row r="424" spans="1:25" x14ac:dyDescent="0.25">
      <c r="A424" t="s">
        <v>1282</v>
      </c>
      <c r="B424">
        <v>5365922</v>
      </c>
      <c r="C424" t="s">
        <v>1283</v>
      </c>
      <c r="D424">
        <f t="shared" si="18"/>
        <v>31831</v>
      </c>
      <c r="E424">
        <f>VLOOKUP($C424,'[1]PoB Totals'!$C$3:$T$898,17,FALSE)</f>
        <v>29741</v>
      </c>
      <c r="F424">
        <f>VLOOKUP($C424,'[1]PoB Totals'!$C$3:$T$898,18,FALSE)</f>
        <v>2090</v>
      </c>
      <c r="G424">
        <f t="shared" si="19"/>
        <v>31831</v>
      </c>
      <c r="H424">
        <f t="shared" si="20"/>
        <v>29741</v>
      </c>
      <c r="I424">
        <f t="shared" si="20"/>
        <v>2090</v>
      </c>
      <c r="J424">
        <f>VLOOKUP($C424,'[1]PoB WN'!$C$1:$T$898,17,FALSE)</f>
        <v>26060</v>
      </c>
      <c r="K424">
        <f>VLOOKUP($C424,'[1]PoB WN'!$C$1:$T$898,18,FALSE)</f>
        <v>959</v>
      </c>
      <c r="L424">
        <f>VLOOKUP($C424,'[1]PoB WH'!$C$1:$T$898,17,FALSE)</f>
        <v>534</v>
      </c>
      <c r="M424">
        <f>VLOOKUP($C424,'[1]PoB WH'!$C$1:$T$898,18,FALSE)</f>
        <v>89</v>
      </c>
      <c r="N424">
        <f>VLOOKUP($C424,'[1]PoB AA'!$C$1:$T$898,17,FALSE)</f>
        <v>675</v>
      </c>
      <c r="O424">
        <f>VLOOKUP($C424,'[1]PoB AA'!$C$1:$T$898,18,FALSE)</f>
        <v>69</v>
      </c>
      <c r="P424">
        <f>VLOOKUP($C424,'[1]PoB AI'!$C$1:$T$898,17,FALSE)</f>
        <v>287</v>
      </c>
      <c r="Q424">
        <f>VLOOKUP($C424,'[1]PoB AI'!$C$1:$T$898,18,FALSE)</f>
        <v>0</v>
      </c>
      <c r="R424">
        <f>VLOOKUP($C424,'[1]PoB AS'!$C$1:$T$898,17,FALSE)</f>
        <v>312</v>
      </c>
      <c r="S424">
        <f>VLOOKUP($C424,'[1]PoB AS'!$C$1:$T$898,18,FALSE)</f>
        <v>651</v>
      </c>
      <c r="T424">
        <f>VLOOKUP($C424,'[1]PoB PI'!$C$1:$T$898,17,FALSE)</f>
        <v>37</v>
      </c>
      <c r="U424">
        <f>VLOOKUP($C424,'[1]PoB PI'!$C$1:$T$898,18,FALSE)</f>
        <v>14</v>
      </c>
      <c r="V424">
        <f>VLOOKUP($C424,'[1]PoB OT'!$C$1:$T$898,17,FALSE)</f>
        <v>298</v>
      </c>
      <c r="W424">
        <f>VLOOKUP($C424,'[1]PoB OT'!$C$1:$T$898,18,FALSE)</f>
        <v>195</v>
      </c>
      <c r="X424">
        <f>VLOOKUP($C424,'[1]PoB 2R'!$C$1:$T$898,17,FALSE)</f>
        <v>1538</v>
      </c>
      <c r="Y424">
        <f>VLOOKUP($C424,'[1]PoB 2R'!$C$1:$T$898,18,FALSE)</f>
        <v>113</v>
      </c>
    </row>
    <row r="425" spans="1:25" x14ac:dyDescent="0.25">
      <c r="A425" t="s">
        <v>1284</v>
      </c>
      <c r="B425">
        <v>5366045</v>
      </c>
      <c r="C425" t="s">
        <v>1285</v>
      </c>
      <c r="D425">
        <f t="shared" si="18"/>
        <v>452</v>
      </c>
      <c r="E425">
        <f>VLOOKUP($C425,'[1]PoB Totals'!$C$3:$T$898,17,FALSE)</f>
        <v>432</v>
      </c>
      <c r="F425">
        <f>VLOOKUP($C425,'[1]PoB Totals'!$C$3:$T$898,18,FALSE)</f>
        <v>20</v>
      </c>
      <c r="G425">
        <f t="shared" si="19"/>
        <v>452</v>
      </c>
      <c r="H425">
        <f t="shared" si="20"/>
        <v>432</v>
      </c>
      <c r="I425">
        <f t="shared" si="20"/>
        <v>20</v>
      </c>
      <c r="J425">
        <f>VLOOKUP($C425,'[1]PoB WN'!$C$1:$T$898,17,FALSE)</f>
        <v>415</v>
      </c>
      <c r="K425">
        <f>VLOOKUP($C425,'[1]PoB WN'!$C$1:$T$898,18,FALSE)</f>
        <v>14</v>
      </c>
      <c r="L425">
        <f>VLOOKUP($C425,'[1]PoB WH'!$C$1:$T$898,17,FALSE)</f>
        <v>2</v>
      </c>
      <c r="M425">
        <f>VLOOKUP($C425,'[1]PoB WH'!$C$1:$T$898,18,FALSE)</f>
        <v>0</v>
      </c>
      <c r="N425">
        <f>VLOOKUP($C425,'[1]PoB AA'!$C$1:$T$898,17,FALSE)</f>
        <v>2</v>
      </c>
      <c r="O425">
        <f>VLOOKUP($C425,'[1]PoB AA'!$C$1:$T$898,18,FALSE)</f>
        <v>0</v>
      </c>
      <c r="P425">
        <f>VLOOKUP($C425,'[1]PoB AI'!$C$1:$T$898,17,FALSE)</f>
        <v>5</v>
      </c>
      <c r="Q425">
        <f>VLOOKUP($C425,'[1]PoB AI'!$C$1:$T$898,18,FALSE)</f>
        <v>0</v>
      </c>
      <c r="R425">
        <f>VLOOKUP($C425,'[1]PoB AS'!$C$1:$T$898,17,FALSE)</f>
        <v>7</v>
      </c>
      <c r="S425">
        <f>VLOOKUP($C425,'[1]PoB AS'!$C$1:$T$898,18,FALSE)</f>
        <v>6</v>
      </c>
      <c r="T425">
        <f>VLOOKUP($C425,'[1]PoB PI'!$C$1:$T$898,17,FALSE)</f>
        <v>0</v>
      </c>
      <c r="U425">
        <f>VLOOKUP($C425,'[1]PoB PI'!$C$1:$T$898,18,FALSE)</f>
        <v>0</v>
      </c>
      <c r="V425">
        <f>VLOOKUP($C425,'[1]PoB OT'!$C$1:$T$898,17,FALSE)</f>
        <v>0</v>
      </c>
      <c r="W425">
        <f>VLOOKUP($C425,'[1]PoB OT'!$C$1:$T$898,18,FALSE)</f>
        <v>0</v>
      </c>
      <c r="X425">
        <f>VLOOKUP($C425,'[1]PoB 2R'!$C$1:$T$898,17,FALSE)</f>
        <v>1</v>
      </c>
      <c r="Y425">
        <f>VLOOKUP($C425,'[1]PoB 2R'!$C$1:$T$898,18,FALSE)</f>
        <v>0</v>
      </c>
    </row>
    <row r="426" spans="1:25" x14ac:dyDescent="0.25">
      <c r="A426" t="s">
        <v>1286</v>
      </c>
      <c r="B426">
        <v>5366185</v>
      </c>
      <c r="C426" t="s">
        <v>1287</v>
      </c>
      <c r="D426">
        <f t="shared" si="18"/>
        <v>2047</v>
      </c>
      <c r="E426">
        <f>VLOOKUP($C426,'[1]PoB Totals'!$C$3:$T$898,17,FALSE)</f>
        <v>1524</v>
      </c>
      <c r="F426">
        <f>VLOOKUP($C426,'[1]PoB Totals'!$C$3:$T$898,18,FALSE)</f>
        <v>523</v>
      </c>
      <c r="G426">
        <f t="shared" si="19"/>
        <v>2047</v>
      </c>
      <c r="H426">
        <f t="shared" si="20"/>
        <v>1524</v>
      </c>
      <c r="I426">
        <f t="shared" si="20"/>
        <v>523</v>
      </c>
      <c r="J426">
        <f>VLOOKUP($C426,'[1]PoB WN'!$C$1:$T$898,17,FALSE)</f>
        <v>1167</v>
      </c>
      <c r="K426">
        <f>VLOOKUP($C426,'[1]PoB WN'!$C$1:$T$898,18,FALSE)</f>
        <v>26</v>
      </c>
      <c r="L426">
        <f>VLOOKUP($C426,'[1]PoB WH'!$C$1:$T$898,17,FALSE)</f>
        <v>130</v>
      </c>
      <c r="M426">
        <f>VLOOKUP($C426,'[1]PoB WH'!$C$1:$T$898,18,FALSE)</f>
        <v>82</v>
      </c>
      <c r="N426">
        <f>VLOOKUP($C426,'[1]PoB AA'!$C$1:$T$898,17,FALSE)</f>
        <v>0</v>
      </c>
      <c r="O426">
        <f>VLOOKUP($C426,'[1]PoB AA'!$C$1:$T$898,18,FALSE)</f>
        <v>0</v>
      </c>
      <c r="P426">
        <f>VLOOKUP($C426,'[1]PoB AI'!$C$1:$T$898,17,FALSE)</f>
        <v>10</v>
      </c>
      <c r="Q426">
        <f>VLOOKUP($C426,'[1]PoB AI'!$C$1:$T$898,18,FALSE)</f>
        <v>0</v>
      </c>
      <c r="R426">
        <f>VLOOKUP($C426,'[1]PoB AS'!$C$1:$T$898,17,FALSE)</f>
        <v>6</v>
      </c>
      <c r="S426">
        <f>VLOOKUP($C426,'[1]PoB AS'!$C$1:$T$898,18,FALSE)</f>
        <v>0</v>
      </c>
      <c r="T426">
        <f>VLOOKUP($C426,'[1]PoB PI'!$C$1:$T$898,17,FALSE)</f>
        <v>0</v>
      </c>
      <c r="U426">
        <f>VLOOKUP($C426,'[1]PoB PI'!$C$1:$T$898,18,FALSE)</f>
        <v>0</v>
      </c>
      <c r="V426">
        <f>VLOOKUP($C426,'[1]PoB OT'!$C$1:$T$898,17,FALSE)</f>
        <v>195</v>
      </c>
      <c r="W426">
        <f>VLOOKUP($C426,'[1]PoB OT'!$C$1:$T$898,18,FALSE)</f>
        <v>367</v>
      </c>
      <c r="X426">
        <f>VLOOKUP($C426,'[1]PoB 2R'!$C$1:$T$898,17,FALSE)</f>
        <v>16</v>
      </c>
      <c r="Y426">
        <f>VLOOKUP($C426,'[1]PoB 2R'!$C$1:$T$898,18,FALSE)</f>
        <v>48</v>
      </c>
    </row>
    <row r="427" spans="1:25" x14ac:dyDescent="0.25">
      <c r="A427" t="s">
        <v>1290</v>
      </c>
      <c r="B427">
        <v>5366255</v>
      </c>
      <c r="C427" t="s">
        <v>1291</v>
      </c>
      <c r="D427">
        <f t="shared" si="18"/>
        <v>21447</v>
      </c>
      <c r="E427">
        <f>VLOOKUP($C427,'[1]PoB Totals'!$C$3:$T$898,17,FALSE)</f>
        <v>18447</v>
      </c>
      <c r="F427">
        <f>VLOOKUP($C427,'[1]PoB Totals'!$C$3:$T$898,18,FALSE)</f>
        <v>3000</v>
      </c>
      <c r="G427">
        <f t="shared" si="19"/>
        <v>21447</v>
      </c>
      <c r="H427">
        <f t="shared" si="20"/>
        <v>18447</v>
      </c>
      <c r="I427">
        <f t="shared" si="20"/>
        <v>3000</v>
      </c>
      <c r="J427">
        <f>VLOOKUP($C427,'[1]PoB WN'!$C$1:$T$898,17,FALSE)</f>
        <v>13644</v>
      </c>
      <c r="K427">
        <f>VLOOKUP($C427,'[1]PoB WN'!$C$1:$T$898,18,FALSE)</f>
        <v>894</v>
      </c>
      <c r="L427">
        <f>VLOOKUP($C427,'[1]PoB WH'!$C$1:$T$898,17,FALSE)</f>
        <v>283</v>
      </c>
      <c r="M427">
        <f>VLOOKUP($C427,'[1]PoB WH'!$C$1:$T$898,18,FALSE)</f>
        <v>145</v>
      </c>
      <c r="N427">
        <f>VLOOKUP($C427,'[1]PoB AA'!$C$1:$T$898,17,FALSE)</f>
        <v>2003</v>
      </c>
      <c r="O427">
        <f>VLOOKUP($C427,'[1]PoB AA'!$C$1:$T$898,18,FALSE)</f>
        <v>96</v>
      </c>
      <c r="P427">
        <f>VLOOKUP($C427,'[1]PoB AI'!$C$1:$T$898,17,FALSE)</f>
        <v>232</v>
      </c>
      <c r="Q427">
        <f>VLOOKUP($C427,'[1]PoB AI'!$C$1:$T$898,18,FALSE)</f>
        <v>14</v>
      </c>
      <c r="R427">
        <f>VLOOKUP($C427,'[1]PoB AS'!$C$1:$T$898,17,FALSE)</f>
        <v>229</v>
      </c>
      <c r="S427">
        <f>VLOOKUP($C427,'[1]PoB AS'!$C$1:$T$898,18,FALSE)</f>
        <v>1046</v>
      </c>
      <c r="T427">
        <f>VLOOKUP($C427,'[1]PoB PI'!$C$1:$T$898,17,FALSE)</f>
        <v>239</v>
      </c>
      <c r="U427">
        <f>VLOOKUP($C427,'[1]PoB PI'!$C$1:$T$898,18,FALSE)</f>
        <v>339</v>
      </c>
      <c r="V427">
        <f>VLOOKUP($C427,'[1]PoB OT'!$C$1:$T$898,17,FALSE)</f>
        <v>383</v>
      </c>
      <c r="W427">
        <f>VLOOKUP($C427,'[1]PoB OT'!$C$1:$T$898,18,FALSE)</f>
        <v>169</v>
      </c>
      <c r="X427">
        <f>VLOOKUP($C427,'[1]PoB 2R'!$C$1:$T$898,17,FALSE)</f>
        <v>1434</v>
      </c>
      <c r="Y427">
        <f>VLOOKUP($C427,'[1]PoB 2R'!$C$1:$T$898,18,FALSE)</f>
        <v>297</v>
      </c>
    </row>
    <row r="428" spans="1:25" x14ac:dyDescent="0.25">
      <c r="A428" t="s">
        <v>1292</v>
      </c>
      <c r="B428">
        <v>5366290</v>
      </c>
      <c r="C428" t="s">
        <v>1584</v>
      </c>
      <c r="D428">
        <f t="shared" si="18"/>
        <v>223</v>
      </c>
      <c r="E428">
        <f>VLOOKUP($C428,'[1]PoB Totals'!$C$3:$T$898,17,FALSE)</f>
        <v>216</v>
      </c>
      <c r="F428">
        <f>VLOOKUP($C428,'[1]PoB Totals'!$C$3:$T$898,18,FALSE)</f>
        <v>7</v>
      </c>
      <c r="G428">
        <f t="shared" si="19"/>
        <v>223</v>
      </c>
      <c r="H428">
        <f t="shared" si="20"/>
        <v>216</v>
      </c>
      <c r="I428">
        <f t="shared" si="20"/>
        <v>7</v>
      </c>
      <c r="J428">
        <f>VLOOKUP($C428,'[1]PoB WN'!$C$1:$T$898,17,FALSE)</f>
        <v>201</v>
      </c>
      <c r="K428">
        <f>VLOOKUP($C428,'[1]PoB WN'!$C$1:$T$898,18,FALSE)</f>
        <v>4</v>
      </c>
      <c r="L428">
        <f>VLOOKUP($C428,'[1]PoB WH'!$C$1:$T$898,17,FALSE)</f>
        <v>1</v>
      </c>
      <c r="M428">
        <f>VLOOKUP($C428,'[1]PoB WH'!$C$1:$T$898,18,FALSE)</f>
        <v>0</v>
      </c>
      <c r="N428">
        <f>VLOOKUP($C428,'[1]PoB AA'!$C$1:$T$898,17,FALSE)</f>
        <v>0</v>
      </c>
      <c r="O428">
        <f>VLOOKUP($C428,'[1]PoB AA'!$C$1:$T$898,18,FALSE)</f>
        <v>3</v>
      </c>
      <c r="P428">
        <f>VLOOKUP($C428,'[1]PoB AI'!$C$1:$T$898,17,FALSE)</f>
        <v>6</v>
      </c>
      <c r="Q428">
        <f>VLOOKUP($C428,'[1]PoB AI'!$C$1:$T$898,18,FALSE)</f>
        <v>0</v>
      </c>
      <c r="R428">
        <f>VLOOKUP($C428,'[1]PoB AS'!$C$1:$T$898,17,FALSE)</f>
        <v>0</v>
      </c>
      <c r="S428">
        <f>VLOOKUP($C428,'[1]PoB AS'!$C$1:$T$898,18,FALSE)</f>
        <v>0</v>
      </c>
      <c r="T428">
        <f>VLOOKUP($C428,'[1]PoB PI'!$C$1:$T$898,17,FALSE)</f>
        <v>0</v>
      </c>
      <c r="U428">
        <f>VLOOKUP($C428,'[1]PoB PI'!$C$1:$T$898,18,FALSE)</f>
        <v>0</v>
      </c>
      <c r="V428">
        <f>VLOOKUP($C428,'[1]PoB OT'!$C$1:$T$898,17,FALSE)</f>
        <v>3</v>
      </c>
      <c r="W428">
        <f>VLOOKUP($C428,'[1]PoB OT'!$C$1:$T$898,18,FALSE)</f>
        <v>0</v>
      </c>
      <c r="X428">
        <f>VLOOKUP($C428,'[1]PoB 2R'!$C$1:$T$898,17,FALSE)</f>
        <v>5</v>
      </c>
      <c r="Y428">
        <f>VLOOKUP($C428,'[1]PoB 2R'!$C$1:$T$898,18,FALSE)</f>
        <v>0</v>
      </c>
    </row>
    <row r="429" spans="1:25" x14ac:dyDescent="0.25">
      <c r="A429" t="s">
        <v>1294</v>
      </c>
      <c r="B429">
        <v>5367000</v>
      </c>
      <c r="C429" t="s">
        <v>1295</v>
      </c>
      <c r="D429">
        <f t="shared" si="18"/>
        <v>196143</v>
      </c>
      <c r="E429">
        <f>VLOOKUP($C429,'[1]PoB Totals'!$C$3:$T$898,17,FALSE)</f>
        <v>182431</v>
      </c>
      <c r="F429">
        <f>VLOOKUP($C429,'[1]PoB Totals'!$C$3:$T$898,18,FALSE)</f>
        <v>13712</v>
      </c>
      <c r="G429">
        <f t="shared" si="19"/>
        <v>196143</v>
      </c>
      <c r="H429">
        <f t="shared" si="20"/>
        <v>182431</v>
      </c>
      <c r="I429">
        <f t="shared" si="20"/>
        <v>13712</v>
      </c>
      <c r="J429">
        <f>VLOOKUP($C429,'[1]PoB WN'!$C$1:$T$898,17,FALSE)</f>
        <v>163204</v>
      </c>
      <c r="K429">
        <f>VLOOKUP($C429,'[1]PoB WN'!$C$1:$T$898,18,FALSE)</f>
        <v>8333</v>
      </c>
      <c r="L429">
        <f>VLOOKUP($C429,'[1]PoB WH'!$C$1:$T$898,17,FALSE)</f>
        <v>2881</v>
      </c>
      <c r="M429">
        <f>VLOOKUP($C429,'[1]PoB WH'!$C$1:$T$898,18,FALSE)</f>
        <v>415</v>
      </c>
      <c r="N429">
        <f>VLOOKUP($C429,'[1]PoB AA'!$C$1:$T$898,17,FALSE)</f>
        <v>3654</v>
      </c>
      <c r="O429">
        <f>VLOOKUP($C429,'[1]PoB AA'!$C$1:$T$898,18,FALSE)</f>
        <v>223</v>
      </c>
      <c r="P429">
        <f>VLOOKUP($C429,'[1]PoB AI'!$C$1:$T$898,17,FALSE)</f>
        <v>3418</v>
      </c>
      <c r="Q429">
        <f>VLOOKUP($C429,'[1]PoB AI'!$C$1:$T$898,18,FALSE)</f>
        <v>77</v>
      </c>
      <c r="R429">
        <f>VLOOKUP($C429,'[1]PoB AS'!$C$1:$T$898,17,FALSE)</f>
        <v>1508</v>
      </c>
      <c r="S429">
        <f>VLOOKUP($C429,'[1]PoB AS'!$C$1:$T$898,18,FALSE)</f>
        <v>2871</v>
      </c>
      <c r="T429">
        <f>VLOOKUP($C429,'[1]PoB PI'!$C$1:$T$898,17,FALSE)</f>
        <v>260</v>
      </c>
      <c r="U429">
        <f>VLOOKUP($C429,'[1]PoB PI'!$C$1:$T$898,18,FALSE)</f>
        <v>162</v>
      </c>
      <c r="V429">
        <f>VLOOKUP($C429,'[1]PoB OT'!$C$1:$T$898,17,FALSE)</f>
        <v>1190</v>
      </c>
      <c r="W429">
        <f>VLOOKUP($C429,'[1]PoB OT'!$C$1:$T$898,18,FALSE)</f>
        <v>312</v>
      </c>
      <c r="X429">
        <f>VLOOKUP($C429,'[1]PoB 2R'!$C$1:$T$898,17,FALSE)</f>
        <v>6316</v>
      </c>
      <c r="Y429">
        <f>VLOOKUP($C429,'[1]PoB 2R'!$C$1:$T$898,18,FALSE)</f>
        <v>1319</v>
      </c>
    </row>
    <row r="430" spans="1:25" x14ac:dyDescent="0.25">
      <c r="A430" t="s">
        <v>1298</v>
      </c>
      <c r="B430">
        <v>5367175</v>
      </c>
      <c r="C430" t="s">
        <v>1299</v>
      </c>
      <c r="D430">
        <f t="shared" si="18"/>
        <v>478</v>
      </c>
      <c r="E430">
        <f>VLOOKUP($C430,'[1]PoB Totals'!$C$3:$T$898,17,FALSE)</f>
        <v>453</v>
      </c>
      <c r="F430">
        <f>VLOOKUP($C430,'[1]PoB Totals'!$C$3:$T$898,18,FALSE)</f>
        <v>25</v>
      </c>
      <c r="G430">
        <f t="shared" si="19"/>
        <v>478</v>
      </c>
      <c r="H430">
        <f t="shared" si="20"/>
        <v>453</v>
      </c>
      <c r="I430">
        <f t="shared" si="20"/>
        <v>25</v>
      </c>
      <c r="J430">
        <f>VLOOKUP($C430,'[1]PoB WN'!$C$1:$T$898,17,FALSE)</f>
        <v>418</v>
      </c>
      <c r="K430">
        <f>VLOOKUP($C430,'[1]PoB WN'!$C$1:$T$898,18,FALSE)</f>
        <v>17</v>
      </c>
      <c r="L430">
        <f>VLOOKUP($C430,'[1]PoB WH'!$C$1:$T$898,17,FALSE)</f>
        <v>10</v>
      </c>
      <c r="M430">
        <f>VLOOKUP($C430,'[1]PoB WH'!$C$1:$T$898,18,FALSE)</f>
        <v>1</v>
      </c>
      <c r="N430">
        <f>VLOOKUP($C430,'[1]PoB AA'!$C$1:$T$898,17,FALSE)</f>
        <v>1</v>
      </c>
      <c r="O430">
        <f>VLOOKUP($C430,'[1]PoB AA'!$C$1:$T$898,18,FALSE)</f>
        <v>0</v>
      </c>
      <c r="P430">
        <f>VLOOKUP($C430,'[1]PoB AI'!$C$1:$T$898,17,FALSE)</f>
        <v>16</v>
      </c>
      <c r="Q430">
        <f>VLOOKUP($C430,'[1]PoB AI'!$C$1:$T$898,18,FALSE)</f>
        <v>0</v>
      </c>
      <c r="R430">
        <f>VLOOKUP($C430,'[1]PoB AS'!$C$1:$T$898,17,FALSE)</f>
        <v>2</v>
      </c>
      <c r="S430">
        <f>VLOOKUP($C430,'[1]PoB AS'!$C$1:$T$898,18,FALSE)</f>
        <v>2</v>
      </c>
      <c r="T430">
        <f>VLOOKUP($C430,'[1]PoB PI'!$C$1:$T$898,17,FALSE)</f>
        <v>0</v>
      </c>
      <c r="U430">
        <f>VLOOKUP($C430,'[1]PoB PI'!$C$1:$T$898,18,FALSE)</f>
        <v>0</v>
      </c>
      <c r="V430">
        <f>VLOOKUP($C430,'[1]PoB OT'!$C$1:$T$898,17,FALSE)</f>
        <v>4</v>
      </c>
      <c r="W430">
        <f>VLOOKUP($C430,'[1]PoB OT'!$C$1:$T$898,18,FALSE)</f>
        <v>5</v>
      </c>
      <c r="X430">
        <f>VLOOKUP($C430,'[1]PoB 2R'!$C$1:$T$898,17,FALSE)</f>
        <v>2</v>
      </c>
      <c r="Y430">
        <f>VLOOKUP($C430,'[1]PoB 2R'!$C$1:$T$898,18,FALSE)</f>
        <v>0</v>
      </c>
    </row>
    <row r="431" spans="1:25" x14ac:dyDescent="0.25">
      <c r="A431" t="s">
        <v>1300</v>
      </c>
      <c r="B431">
        <v>5367210</v>
      </c>
      <c r="C431" t="s">
        <v>1301</v>
      </c>
      <c r="D431">
        <f t="shared" si="18"/>
        <v>323</v>
      </c>
      <c r="E431">
        <f>VLOOKUP($C431,'[1]PoB Totals'!$C$3:$T$898,17,FALSE)</f>
        <v>316</v>
      </c>
      <c r="F431">
        <f>VLOOKUP($C431,'[1]PoB Totals'!$C$3:$T$898,18,FALSE)</f>
        <v>7</v>
      </c>
      <c r="G431">
        <f t="shared" si="19"/>
        <v>323</v>
      </c>
      <c r="H431">
        <f t="shared" si="20"/>
        <v>316</v>
      </c>
      <c r="I431">
        <f t="shared" si="20"/>
        <v>7</v>
      </c>
      <c r="J431">
        <f>VLOOKUP($C431,'[1]PoB WN'!$C$1:$T$898,17,FALSE)</f>
        <v>278</v>
      </c>
      <c r="K431">
        <f>VLOOKUP($C431,'[1]PoB WN'!$C$1:$T$898,18,FALSE)</f>
        <v>5</v>
      </c>
      <c r="L431">
        <f>VLOOKUP($C431,'[1]PoB WH'!$C$1:$T$898,17,FALSE)</f>
        <v>2</v>
      </c>
      <c r="M431">
        <f>VLOOKUP($C431,'[1]PoB WH'!$C$1:$T$898,18,FALSE)</f>
        <v>0</v>
      </c>
      <c r="N431">
        <f>VLOOKUP($C431,'[1]PoB AA'!$C$1:$T$898,17,FALSE)</f>
        <v>0</v>
      </c>
      <c r="O431">
        <f>VLOOKUP($C431,'[1]PoB AA'!$C$1:$T$898,18,FALSE)</f>
        <v>0</v>
      </c>
      <c r="P431">
        <f>VLOOKUP($C431,'[1]PoB AI'!$C$1:$T$898,17,FALSE)</f>
        <v>2</v>
      </c>
      <c r="Q431">
        <f>VLOOKUP($C431,'[1]PoB AI'!$C$1:$T$898,18,FALSE)</f>
        <v>0</v>
      </c>
      <c r="R431">
        <f>VLOOKUP($C431,'[1]PoB AS'!$C$1:$T$898,17,FALSE)</f>
        <v>0</v>
      </c>
      <c r="S431">
        <f>VLOOKUP($C431,'[1]PoB AS'!$C$1:$T$898,18,FALSE)</f>
        <v>0</v>
      </c>
      <c r="T431">
        <f>VLOOKUP($C431,'[1]PoB PI'!$C$1:$T$898,17,FALSE)</f>
        <v>5</v>
      </c>
      <c r="U431">
        <f>VLOOKUP($C431,'[1]PoB PI'!$C$1:$T$898,18,FALSE)</f>
        <v>0</v>
      </c>
      <c r="V431">
        <f>VLOOKUP($C431,'[1]PoB OT'!$C$1:$T$898,17,FALSE)</f>
        <v>0</v>
      </c>
      <c r="W431">
        <f>VLOOKUP($C431,'[1]PoB OT'!$C$1:$T$898,18,FALSE)</f>
        <v>2</v>
      </c>
      <c r="X431">
        <f>VLOOKUP($C431,'[1]PoB 2R'!$C$1:$T$898,17,FALSE)</f>
        <v>29</v>
      </c>
      <c r="Y431">
        <f>VLOOKUP($C431,'[1]PoB 2R'!$C$1:$T$898,18,FALSE)</f>
        <v>0</v>
      </c>
    </row>
    <row r="432" spans="1:25" x14ac:dyDescent="0.25">
      <c r="A432" t="s">
        <v>1304</v>
      </c>
      <c r="B432">
        <v>5367455</v>
      </c>
      <c r="C432" t="s">
        <v>1305</v>
      </c>
      <c r="D432">
        <f t="shared" si="18"/>
        <v>3858</v>
      </c>
      <c r="E432">
        <f>VLOOKUP($C432,'[1]PoB Totals'!$C$3:$T$898,17,FALSE)</f>
        <v>3645</v>
      </c>
      <c r="F432">
        <f>VLOOKUP($C432,'[1]PoB Totals'!$C$3:$T$898,18,FALSE)</f>
        <v>213</v>
      </c>
      <c r="G432">
        <f t="shared" si="19"/>
        <v>3858</v>
      </c>
      <c r="H432">
        <f t="shared" si="20"/>
        <v>3645</v>
      </c>
      <c r="I432">
        <f t="shared" si="20"/>
        <v>213</v>
      </c>
      <c r="J432">
        <f>VLOOKUP($C432,'[1]PoB WN'!$C$1:$T$898,17,FALSE)</f>
        <v>3261</v>
      </c>
      <c r="K432">
        <f>VLOOKUP($C432,'[1]PoB WN'!$C$1:$T$898,18,FALSE)</f>
        <v>53</v>
      </c>
      <c r="L432">
        <f>VLOOKUP($C432,'[1]PoB WH'!$C$1:$T$898,17,FALSE)</f>
        <v>9</v>
      </c>
      <c r="M432">
        <f>VLOOKUP($C432,'[1]PoB WH'!$C$1:$T$898,18,FALSE)</f>
        <v>41</v>
      </c>
      <c r="N432">
        <f>VLOOKUP($C432,'[1]PoB AA'!$C$1:$T$898,17,FALSE)</f>
        <v>20</v>
      </c>
      <c r="O432">
        <f>VLOOKUP($C432,'[1]PoB AA'!$C$1:$T$898,18,FALSE)</f>
        <v>0</v>
      </c>
      <c r="P432">
        <f>VLOOKUP($C432,'[1]PoB AI'!$C$1:$T$898,17,FALSE)</f>
        <v>44</v>
      </c>
      <c r="Q432">
        <f>VLOOKUP($C432,'[1]PoB AI'!$C$1:$T$898,18,FALSE)</f>
        <v>0</v>
      </c>
      <c r="R432">
        <f>VLOOKUP($C432,'[1]PoB AS'!$C$1:$T$898,17,FALSE)</f>
        <v>16</v>
      </c>
      <c r="S432">
        <f>VLOOKUP($C432,'[1]PoB AS'!$C$1:$T$898,18,FALSE)</f>
        <v>52</v>
      </c>
      <c r="T432">
        <f>VLOOKUP($C432,'[1]PoB PI'!$C$1:$T$898,17,FALSE)</f>
        <v>0</v>
      </c>
      <c r="U432">
        <f>VLOOKUP($C432,'[1]PoB PI'!$C$1:$T$898,18,FALSE)</f>
        <v>0</v>
      </c>
      <c r="V432">
        <f>VLOOKUP($C432,'[1]PoB OT'!$C$1:$T$898,17,FALSE)</f>
        <v>91</v>
      </c>
      <c r="W432">
        <f>VLOOKUP($C432,'[1]PoB OT'!$C$1:$T$898,18,FALSE)</f>
        <v>54</v>
      </c>
      <c r="X432">
        <f>VLOOKUP($C432,'[1]PoB 2R'!$C$1:$T$898,17,FALSE)</f>
        <v>204</v>
      </c>
      <c r="Y432">
        <f>VLOOKUP($C432,'[1]PoB 2R'!$C$1:$T$898,18,FALSE)</f>
        <v>13</v>
      </c>
    </row>
    <row r="433" spans="1:25" x14ac:dyDescent="0.25">
      <c r="A433" t="s">
        <v>1306</v>
      </c>
      <c r="B433">
        <v>5367490</v>
      </c>
      <c r="C433" t="s">
        <v>1307</v>
      </c>
      <c r="D433">
        <f t="shared" si="18"/>
        <v>115</v>
      </c>
      <c r="E433">
        <f>VLOOKUP($C433,'[1]PoB Totals'!$C$3:$T$898,17,FALSE)</f>
        <v>115</v>
      </c>
      <c r="F433">
        <f>VLOOKUP($C433,'[1]PoB Totals'!$C$3:$T$898,18,FALSE)</f>
        <v>0</v>
      </c>
      <c r="G433">
        <f t="shared" si="19"/>
        <v>115</v>
      </c>
      <c r="H433">
        <f t="shared" si="20"/>
        <v>115</v>
      </c>
      <c r="I433">
        <f t="shared" si="20"/>
        <v>0</v>
      </c>
      <c r="J433">
        <f>VLOOKUP($C433,'[1]PoB WN'!$C$1:$T$898,17,FALSE)</f>
        <v>112</v>
      </c>
      <c r="K433">
        <f>VLOOKUP($C433,'[1]PoB WN'!$C$1:$T$898,18,FALSE)</f>
        <v>0</v>
      </c>
      <c r="L433">
        <f>VLOOKUP($C433,'[1]PoB WH'!$C$1:$T$898,17,FALSE)</f>
        <v>3</v>
      </c>
      <c r="M433">
        <f>VLOOKUP($C433,'[1]PoB WH'!$C$1:$T$898,18,FALSE)</f>
        <v>0</v>
      </c>
      <c r="N433">
        <f>VLOOKUP($C433,'[1]PoB AA'!$C$1:$T$898,17,FALSE)</f>
        <v>0</v>
      </c>
      <c r="O433">
        <f>VLOOKUP($C433,'[1]PoB AA'!$C$1:$T$898,18,FALSE)</f>
        <v>0</v>
      </c>
      <c r="P433">
        <f>VLOOKUP($C433,'[1]PoB AI'!$C$1:$T$898,17,FALSE)</f>
        <v>0</v>
      </c>
      <c r="Q433">
        <f>VLOOKUP($C433,'[1]PoB AI'!$C$1:$T$898,18,FALSE)</f>
        <v>0</v>
      </c>
      <c r="R433">
        <f>VLOOKUP($C433,'[1]PoB AS'!$C$1:$T$898,17,FALSE)</f>
        <v>0</v>
      </c>
      <c r="S433">
        <f>VLOOKUP($C433,'[1]PoB AS'!$C$1:$T$898,18,FALSE)</f>
        <v>0</v>
      </c>
      <c r="T433">
        <f>VLOOKUP($C433,'[1]PoB PI'!$C$1:$T$898,17,FALSE)</f>
        <v>0</v>
      </c>
      <c r="U433">
        <f>VLOOKUP($C433,'[1]PoB PI'!$C$1:$T$898,18,FALSE)</f>
        <v>0</v>
      </c>
      <c r="V433">
        <f>VLOOKUP($C433,'[1]PoB OT'!$C$1:$T$898,17,FALSE)</f>
        <v>0</v>
      </c>
      <c r="W433">
        <f>VLOOKUP($C433,'[1]PoB OT'!$C$1:$T$898,18,FALSE)</f>
        <v>0</v>
      </c>
      <c r="X433">
        <f>VLOOKUP($C433,'[1]PoB 2R'!$C$1:$T$898,17,FALSE)</f>
        <v>0</v>
      </c>
      <c r="Y433">
        <f>VLOOKUP($C433,'[1]PoB 2R'!$C$1:$T$898,18,FALSE)</f>
        <v>0</v>
      </c>
    </row>
    <row r="434" spans="1:25" x14ac:dyDescent="0.25">
      <c r="A434" t="s">
        <v>1308</v>
      </c>
      <c r="B434">
        <v>5367595</v>
      </c>
      <c r="C434" t="s">
        <v>1309</v>
      </c>
      <c r="D434">
        <f t="shared" si="18"/>
        <v>785</v>
      </c>
      <c r="E434">
        <f>VLOOKUP($C434,'[1]PoB Totals'!$C$3:$T$898,17,FALSE)</f>
        <v>740</v>
      </c>
      <c r="F434">
        <f>VLOOKUP($C434,'[1]PoB Totals'!$C$3:$T$898,18,FALSE)</f>
        <v>45</v>
      </c>
      <c r="G434">
        <f t="shared" si="19"/>
        <v>785</v>
      </c>
      <c r="H434">
        <f t="shared" si="20"/>
        <v>740</v>
      </c>
      <c r="I434">
        <f t="shared" si="20"/>
        <v>45</v>
      </c>
      <c r="J434">
        <f>VLOOKUP($C434,'[1]PoB WN'!$C$1:$T$898,17,FALSE)</f>
        <v>659</v>
      </c>
      <c r="K434">
        <f>VLOOKUP($C434,'[1]PoB WN'!$C$1:$T$898,18,FALSE)</f>
        <v>6</v>
      </c>
      <c r="L434">
        <f>VLOOKUP($C434,'[1]PoB WH'!$C$1:$T$898,17,FALSE)</f>
        <v>0</v>
      </c>
      <c r="M434">
        <f>VLOOKUP($C434,'[1]PoB WH'!$C$1:$T$898,18,FALSE)</f>
        <v>0</v>
      </c>
      <c r="N434">
        <f>VLOOKUP($C434,'[1]PoB AA'!$C$1:$T$898,17,FALSE)</f>
        <v>8</v>
      </c>
      <c r="O434">
        <f>VLOOKUP($C434,'[1]PoB AA'!$C$1:$T$898,18,FALSE)</f>
        <v>0</v>
      </c>
      <c r="P434">
        <f>VLOOKUP($C434,'[1]PoB AI'!$C$1:$T$898,17,FALSE)</f>
        <v>0</v>
      </c>
      <c r="Q434">
        <f>VLOOKUP($C434,'[1]PoB AI'!$C$1:$T$898,18,FALSE)</f>
        <v>0</v>
      </c>
      <c r="R434">
        <f>VLOOKUP($C434,'[1]PoB AS'!$C$1:$T$898,17,FALSE)</f>
        <v>36</v>
      </c>
      <c r="S434">
        <f>VLOOKUP($C434,'[1]PoB AS'!$C$1:$T$898,18,FALSE)</f>
        <v>39</v>
      </c>
      <c r="T434">
        <f>VLOOKUP($C434,'[1]PoB PI'!$C$1:$T$898,17,FALSE)</f>
        <v>9</v>
      </c>
      <c r="U434">
        <f>VLOOKUP($C434,'[1]PoB PI'!$C$1:$T$898,18,FALSE)</f>
        <v>0</v>
      </c>
      <c r="V434">
        <f>VLOOKUP($C434,'[1]PoB OT'!$C$1:$T$898,17,FALSE)</f>
        <v>3</v>
      </c>
      <c r="W434">
        <f>VLOOKUP($C434,'[1]PoB OT'!$C$1:$T$898,18,FALSE)</f>
        <v>0</v>
      </c>
      <c r="X434">
        <f>VLOOKUP($C434,'[1]PoB 2R'!$C$1:$T$898,17,FALSE)</f>
        <v>25</v>
      </c>
      <c r="Y434">
        <f>VLOOKUP($C434,'[1]PoB 2R'!$C$1:$T$898,18,FALSE)</f>
        <v>0</v>
      </c>
    </row>
    <row r="435" spans="1:25" x14ac:dyDescent="0.25">
      <c r="A435" t="s">
        <v>1310</v>
      </c>
      <c r="B435">
        <v>5367770</v>
      </c>
      <c r="C435" t="s">
        <v>1311</v>
      </c>
      <c r="D435">
        <f t="shared" si="18"/>
        <v>5980</v>
      </c>
      <c r="E435">
        <f>VLOOKUP($C435,'[1]PoB Totals'!$C$3:$T$898,17,FALSE)</f>
        <v>5100</v>
      </c>
      <c r="F435">
        <f>VLOOKUP($C435,'[1]PoB Totals'!$C$3:$T$898,18,FALSE)</f>
        <v>880</v>
      </c>
      <c r="G435">
        <f t="shared" si="19"/>
        <v>5980</v>
      </c>
      <c r="H435">
        <f t="shared" si="20"/>
        <v>5100</v>
      </c>
      <c r="I435">
        <f t="shared" si="20"/>
        <v>880</v>
      </c>
      <c r="J435">
        <f>VLOOKUP($C435,'[1]PoB WN'!$C$1:$T$898,17,FALSE)</f>
        <v>4221</v>
      </c>
      <c r="K435">
        <f>VLOOKUP($C435,'[1]PoB WN'!$C$1:$T$898,18,FALSE)</f>
        <v>399</v>
      </c>
      <c r="L435">
        <f>VLOOKUP($C435,'[1]PoB WH'!$C$1:$T$898,17,FALSE)</f>
        <v>108</v>
      </c>
      <c r="M435">
        <f>VLOOKUP($C435,'[1]PoB WH'!$C$1:$T$898,18,FALSE)</f>
        <v>56</v>
      </c>
      <c r="N435">
        <f>VLOOKUP($C435,'[1]PoB AA'!$C$1:$T$898,17,FALSE)</f>
        <v>324</v>
      </c>
      <c r="O435">
        <f>VLOOKUP($C435,'[1]PoB AA'!$C$1:$T$898,18,FALSE)</f>
        <v>29</v>
      </c>
      <c r="P435">
        <f>VLOOKUP($C435,'[1]PoB AI'!$C$1:$T$898,17,FALSE)</f>
        <v>71</v>
      </c>
      <c r="Q435">
        <f>VLOOKUP($C435,'[1]PoB AI'!$C$1:$T$898,18,FALSE)</f>
        <v>0</v>
      </c>
      <c r="R435">
        <f>VLOOKUP($C435,'[1]PoB AS'!$C$1:$T$898,17,FALSE)</f>
        <v>82</v>
      </c>
      <c r="S435">
        <f>VLOOKUP($C435,'[1]PoB AS'!$C$1:$T$898,18,FALSE)</f>
        <v>334</v>
      </c>
      <c r="T435">
        <f>VLOOKUP($C435,'[1]PoB PI'!$C$1:$T$898,17,FALSE)</f>
        <v>0</v>
      </c>
      <c r="U435">
        <f>VLOOKUP($C435,'[1]PoB PI'!$C$1:$T$898,18,FALSE)</f>
        <v>0</v>
      </c>
      <c r="V435">
        <f>VLOOKUP($C435,'[1]PoB OT'!$C$1:$T$898,17,FALSE)</f>
        <v>118</v>
      </c>
      <c r="W435">
        <f>VLOOKUP($C435,'[1]PoB OT'!$C$1:$T$898,18,FALSE)</f>
        <v>28</v>
      </c>
      <c r="X435">
        <f>VLOOKUP($C435,'[1]PoB 2R'!$C$1:$T$898,17,FALSE)</f>
        <v>176</v>
      </c>
      <c r="Y435">
        <f>VLOOKUP($C435,'[1]PoB 2R'!$C$1:$T$898,18,FALSE)</f>
        <v>34</v>
      </c>
    </row>
    <row r="436" spans="1:25" x14ac:dyDescent="0.25">
      <c r="A436" t="s">
        <v>1314</v>
      </c>
      <c r="B436">
        <v>5367875</v>
      </c>
      <c r="C436" t="s">
        <v>1315</v>
      </c>
      <c r="D436">
        <f t="shared" si="18"/>
        <v>1211</v>
      </c>
      <c r="E436">
        <f>VLOOKUP($C436,'[1]PoB Totals'!$C$3:$T$898,17,FALSE)</f>
        <v>1182</v>
      </c>
      <c r="F436">
        <f>VLOOKUP($C436,'[1]PoB Totals'!$C$3:$T$898,18,FALSE)</f>
        <v>29</v>
      </c>
      <c r="G436">
        <f t="shared" si="19"/>
        <v>1211</v>
      </c>
      <c r="H436">
        <f t="shared" si="20"/>
        <v>1182</v>
      </c>
      <c r="I436">
        <f t="shared" si="20"/>
        <v>29</v>
      </c>
      <c r="J436">
        <f>VLOOKUP($C436,'[1]PoB WN'!$C$1:$T$898,17,FALSE)</f>
        <v>1081</v>
      </c>
      <c r="K436">
        <f>VLOOKUP($C436,'[1]PoB WN'!$C$1:$T$898,18,FALSE)</f>
        <v>23</v>
      </c>
      <c r="L436">
        <f>VLOOKUP($C436,'[1]PoB WH'!$C$1:$T$898,17,FALSE)</f>
        <v>12</v>
      </c>
      <c r="M436">
        <f>VLOOKUP($C436,'[1]PoB WH'!$C$1:$T$898,18,FALSE)</f>
        <v>0</v>
      </c>
      <c r="N436">
        <f>VLOOKUP($C436,'[1]PoB AA'!$C$1:$T$898,17,FALSE)</f>
        <v>2</v>
      </c>
      <c r="O436">
        <f>VLOOKUP($C436,'[1]PoB AA'!$C$1:$T$898,18,FALSE)</f>
        <v>0</v>
      </c>
      <c r="P436">
        <f>VLOOKUP($C436,'[1]PoB AI'!$C$1:$T$898,17,FALSE)</f>
        <v>37</v>
      </c>
      <c r="Q436">
        <f>VLOOKUP($C436,'[1]PoB AI'!$C$1:$T$898,18,FALSE)</f>
        <v>0</v>
      </c>
      <c r="R436">
        <f>VLOOKUP($C436,'[1]PoB AS'!$C$1:$T$898,17,FALSE)</f>
        <v>0</v>
      </c>
      <c r="S436">
        <f>VLOOKUP($C436,'[1]PoB AS'!$C$1:$T$898,18,FALSE)</f>
        <v>4</v>
      </c>
      <c r="T436">
        <f>VLOOKUP($C436,'[1]PoB PI'!$C$1:$T$898,17,FALSE)</f>
        <v>0</v>
      </c>
      <c r="U436">
        <f>VLOOKUP($C436,'[1]PoB PI'!$C$1:$T$898,18,FALSE)</f>
        <v>0</v>
      </c>
      <c r="V436">
        <f>VLOOKUP($C436,'[1]PoB OT'!$C$1:$T$898,17,FALSE)</f>
        <v>12</v>
      </c>
      <c r="W436">
        <f>VLOOKUP($C436,'[1]PoB OT'!$C$1:$T$898,18,FALSE)</f>
        <v>0</v>
      </c>
      <c r="X436">
        <f>VLOOKUP($C436,'[1]PoB 2R'!$C$1:$T$898,17,FALSE)</f>
        <v>38</v>
      </c>
      <c r="Y436">
        <f>VLOOKUP($C436,'[1]PoB 2R'!$C$1:$T$898,18,FALSE)</f>
        <v>2</v>
      </c>
    </row>
    <row r="437" spans="1:25" x14ac:dyDescent="0.25">
      <c r="A437" t="s">
        <v>1585</v>
      </c>
      <c r="B437">
        <v>5368025</v>
      </c>
      <c r="C437" t="s">
        <v>1586</v>
      </c>
      <c r="D437">
        <f t="shared" si="18"/>
        <v>811</v>
      </c>
      <c r="E437">
        <f>VLOOKUP($C437,'[1]PoB Totals'!$C$3:$T$898,17,FALSE)</f>
        <v>780</v>
      </c>
      <c r="F437">
        <f>VLOOKUP($C437,'[1]PoB Totals'!$C$3:$T$898,18,FALSE)</f>
        <v>31</v>
      </c>
      <c r="G437">
        <f t="shared" si="19"/>
        <v>811</v>
      </c>
      <c r="H437">
        <f t="shared" si="20"/>
        <v>780</v>
      </c>
      <c r="I437">
        <f t="shared" si="20"/>
        <v>31</v>
      </c>
      <c r="J437">
        <f>VLOOKUP($C437,'[1]PoB WN'!$C$1:$T$898,17,FALSE)</f>
        <v>724</v>
      </c>
      <c r="K437">
        <f>VLOOKUP($C437,'[1]PoB WN'!$C$1:$T$898,18,FALSE)</f>
        <v>19</v>
      </c>
      <c r="L437">
        <f>VLOOKUP($C437,'[1]PoB WH'!$C$1:$T$898,17,FALSE)</f>
        <v>9</v>
      </c>
      <c r="M437">
        <f>VLOOKUP($C437,'[1]PoB WH'!$C$1:$T$898,18,FALSE)</f>
        <v>0</v>
      </c>
      <c r="N437">
        <f>VLOOKUP($C437,'[1]PoB AA'!$C$1:$T$898,17,FALSE)</f>
        <v>9</v>
      </c>
      <c r="O437">
        <f>VLOOKUP($C437,'[1]PoB AA'!$C$1:$T$898,18,FALSE)</f>
        <v>0</v>
      </c>
      <c r="P437">
        <f>VLOOKUP($C437,'[1]PoB AI'!$C$1:$T$898,17,FALSE)</f>
        <v>9</v>
      </c>
      <c r="Q437">
        <f>VLOOKUP($C437,'[1]PoB AI'!$C$1:$T$898,18,FALSE)</f>
        <v>0</v>
      </c>
      <c r="R437">
        <f>VLOOKUP($C437,'[1]PoB AS'!$C$1:$T$898,17,FALSE)</f>
        <v>0</v>
      </c>
      <c r="S437">
        <f>VLOOKUP($C437,'[1]PoB AS'!$C$1:$T$898,18,FALSE)</f>
        <v>12</v>
      </c>
      <c r="T437">
        <f>VLOOKUP($C437,'[1]PoB PI'!$C$1:$T$898,17,FALSE)</f>
        <v>0</v>
      </c>
      <c r="U437">
        <f>VLOOKUP($C437,'[1]PoB PI'!$C$1:$T$898,18,FALSE)</f>
        <v>0</v>
      </c>
      <c r="V437">
        <f>VLOOKUP($C437,'[1]PoB OT'!$C$1:$T$898,17,FALSE)</f>
        <v>0</v>
      </c>
      <c r="W437">
        <f>VLOOKUP($C437,'[1]PoB OT'!$C$1:$T$898,18,FALSE)</f>
        <v>0</v>
      </c>
      <c r="X437">
        <f>VLOOKUP($C437,'[1]PoB 2R'!$C$1:$T$898,17,FALSE)</f>
        <v>29</v>
      </c>
      <c r="Y437">
        <f>VLOOKUP($C437,'[1]PoB 2R'!$C$1:$T$898,18,FALSE)</f>
        <v>0</v>
      </c>
    </row>
    <row r="438" spans="1:25" x14ac:dyDescent="0.25">
      <c r="A438" t="s">
        <v>1316</v>
      </c>
      <c r="B438">
        <v>5368200</v>
      </c>
      <c r="C438" t="s">
        <v>1317</v>
      </c>
      <c r="D438">
        <f t="shared" si="18"/>
        <v>4175</v>
      </c>
      <c r="E438">
        <f>VLOOKUP($C438,'[1]PoB Totals'!$C$3:$T$898,17,FALSE)</f>
        <v>3780</v>
      </c>
      <c r="F438">
        <f>VLOOKUP($C438,'[1]PoB Totals'!$C$3:$T$898,18,FALSE)</f>
        <v>395</v>
      </c>
      <c r="G438">
        <f t="shared" si="19"/>
        <v>4175</v>
      </c>
      <c r="H438">
        <f t="shared" si="20"/>
        <v>3780</v>
      </c>
      <c r="I438">
        <f t="shared" si="20"/>
        <v>395</v>
      </c>
      <c r="J438">
        <f>VLOOKUP($C438,'[1]PoB WN'!$C$1:$T$898,17,FALSE)</f>
        <v>3480</v>
      </c>
      <c r="K438">
        <f>VLOOKUP($C438,'[1]PoB WN'!$C$1:$T$898,18,FALSE)</f>
        <v>356</v>
      </c>
      <c r="L438">
        <f>VLOOKUP($C438,'[1]PoB WH'!$C$1:$T$898,17,FALSE)</f>
        <v>45</v>
      </c>
      <c r="M438">
        <f>VLOOKUP($C438,'[1]PoB WH'!$C$1:$T$898,18,FALSE)</f>
        <v>9</v>
      </c>
      <c r="N438">
        <f>VLOOKUP($C438,'[1]PoB AA'!$C$1:$T$898,17,FALSE)</f>
        <v>82</v>
      </c>
      <c r="O438">
        <f>VLOOKUP($C438,'[1]PoB AA'!$C$1:$T$898,18,FALSE)</f>
        <v>0</v>
      </c>
      <c r="P438">
        <f>VLOOKUP($C438,'[1]PoB AI'!$C$1:$T$898,17,FALSE)</f>
        <v>43</v>
      </c>
      <c r="Q438">
        <f>VLOOKUP($C438,'[1]PoB AI'!$C$1:$T$898,18,FALSE)</f>
        <v>0</v>
      </c>
      <c r="R438">
        <f>VLOOKUP($C438,'[1]PoB AS'!$C$1:$T$898,17,FALSE)</f>
        <v>14</v>
      </c>
      <c r="S438">
        <f>VLOOKUP($C438,'[1]PoB AS'!$C$1:$T$898,18,FALSE)</f>
        <v>15</v>
      </c>
      <c r="T438">
        <f>VLOOKUP($C438,'[1]PoB PI'!$C$1:$T$898,17,FALSE)</f>
        <v>0</v>
      </c>
      <c r="U438">
        <f>VLOOKUP($C438,'[1]PoB PI'!$C$1:$T$898,18,FALSE)</f>
        <v>0</v>
      </c>
      <c r="V438">
        <f>VLOOKUP($C438,'[1]PoB OT'!$C$1:$T$898,17,FALSE)</f>
        <v>10</v>
      </c>
      <c r="W438">
        <f>VLOOKUP($C438,'[1]PoB OT'!$C$1:$T$898,18,FALSE)</f>
        <v>0</v>
      </c>
      <c r="X438">
        <f>VLOOKUP($C438,'[1]PoB 2R'!$C$1:$T$898,17,FALSE)</f>
        <v>106</v>
      </c>
      <c r="Y438">
        <f>VLOOKUP($C438,'[1]PoB 2R'!$C$1:$T$898,18,FALSE)</f>
        <v>15</v>
      </c>
    </row>
    <row r="439" spans="1:25" x14ac:dyDescent="0.25">
      <c r="A439" t="s">
        <v>1318</v>
      </c>
      <c r="B439">
        <v>5368260</v>
      </c>
      <c r="C439" t="s">
        <v>1319</v>
      </c>
      <c r="D439">
        <f t="shared" si="18"/>
        <v>3372</v>
      </c>
      <c r="E439">
        <f>VLOOKUP($C439,'[1]PoB Totals'!$C$3:$T$898,17,FALSE)</f>
        <v>3150</v>
      </c>
      <c r="F439">
        <f>VLOOKUP($C439,'[1]PoB Totals'!$C$3:$T$898,18,FALSE)</f>
        <v>222</v>
      </c>
      <c r="G439">
        <f t="shared" si="19"/>
        <v>3372</v>
      </c>
      <c r="H439">
        <f t="shared" si="20"/>
        <v>3150</v>
      </c>
      <c r="I439">
        <f t="shared" si="20"/>
        <v>222</v>
      </c>
      <c r="J439">
        <f>VLOOKUP($C439,'[1]PoB WN'!$C$1:$T$898,17,FALSE)</f>
        <v>2886</v>
      </c>
      <c r="K439">
        <f>VLOOKUP($C439,'[1]PoB WN'!$C$1:$T$898,18,FALSE)</f>
        <v>129</v>
      </c>
      <c r="L439">
        <f>VLOOKUP($C439,'[1]PoB WH'!$C$1:$T$898,17,FALSE)</f>
        <v>5</v>
      </c>
      <c r="M439">
        <f>VLOOKUP($C439,'[1]PoB WH'!$C$1:$T$898,18,FALSE)</f>
        <v>0</v>
      </c>
      <c r="N439">
        <f>VLOOKUP($C439,'[1]PoB AA'!$C$1:$T$898,17,FALSE)</f>
        <v>0</v>
      </c>
      <c r="O439">
        <f>VLOOKUP($C439,'[1]PoB AA'!$C$1:$T$898,18,FALSE)</f>
        <v>0</v>
      </c>
      <c r="P439">
        <f>VLOOKUP($C439,'[1]PoB AI'!$C$1:$T$898,17,FALSE)</f>
        <v>44</v>
      </c>
      <c r="Q439">
        <f>VLOOKUP($C439,'[1]PoB AI'!$C$1:$T$898,18,FALSE)</f>
        <v>0</v>
      </c>
      <c r="R439">
        <f>VLOOKUP($C439,'[1]PoB AS'!$C$1:$T$898,17,FALSE)</f>
        <v>42</v>
      </c>
      <c r="S439">
        <f>VLOOKUP($C439,'[1]PoB AS'!$C$1:$T$898,18,FALSE)</f>
        <v>93</v>
      </c>
      <c r="T439">
        <f>VLOOKUP($C439,'[1]PoB PI'!$C$1:$T$898,17,FALSE)</f>
        <v>5</v>
      </c>
      <c r="U439">
        <f>VLOOKUP($C439,'[1]PoB PI'!$C$1:$T$898,18,FALSE)</f>
        <v>0</v>
      </c>
      <c r="V439">
        <f>VLOOKUP($C439,'[1]PoB OT'!$C$1:$T$898,17,FALSE)</f>
        <v>0</v>
      </c>
      <c r="W439">
        <f>VLOOKUP($C439,'[1]PoB OT'!$C$1:$T$898,18,FALSE)</f>
        <v>0</v>
      </c>
      <c r="X439">
        <f>VLOOKUP($C439,'[1]PoB 2R'!$C$1:$T$898,17,FALSE)</f>
        <v>168</v>
      </c>
      <c r="Y439">
        <f>VLOOKUP($C439,'[1]PoB 2R'!$C$1:$T$898,18,FALSE)</f>
        <v>0</v>
      </c>
    </row>
    <row r="440" spans="1:25" x14ac:dyDescent="0.25">
      <c r="A440" t="s">
        <v>1320</v>
      </c>
      <c r="B440">
        <v>5368330</v>
      </c>
      <c r="C440" t="s">
        <v>1321</v>
      </c>
      <c r="D440">
        <f t="shared" si="18"/>
        <v>965</v>
      </c>
      <c r="E440">
        <f>VLOOKUP($C440,'[1]PoB Totals'!$C$3:$T$898,17,FALSE)</f>
        <v>810</v>
      </c>
      <c r="F440">
        <f>VLOOKUP($C440,'[1]PoB Totals'!$C$3:$T$898,18,FALSE)</f>
        <v>155</v>
      </c>
      <c r="G440">
        <f t="shared" si="19"/>
        <v>965</v>
      </c>
      <c r="H440">
        <f t="shared" si="20"/>
        <v>810</v>
      </c>
      <c r="I440">
        <f t="shared" si="20"/>
        <v>155</v>
      </c>
      <c r="J440">
        <f>VLOOKUP($C440,'[1]PoB WN'!$C$1:$T$898,17,FALSE)</f>
        <v>715</v>
      </c>
      <c r="K440">
        <f>VLOOKUP($C440,'[1]PoB WN'!$C$1:$T$898,18,FALSE)</f>
        <v>93</v>
      </c>
      <c r="L440">
        <f>VLOOKUP($C440,'[1]PoB WH'!$C$1:$T$898,17,FALSE)</f>
        <v>11</v>
      </c>
      <c r="M440">
        <f>VLOOKUP($C440,'[1]PoB WH'!$C$1:$T$898,18,FALSE)</f>
        <v>2</v>
      </c>
      <c r="N440">
        <f>VLOOKUP($C440,'[1]PoB AA'!$C$1:$T$898,17,FALSE)</f>
        <v>0</v>
      </c>
      <c r="O440">
        <f>VLOOKUP($C440,'[1]PoB AA'!$C$1:$T$898,18,FALSE)</f>
        <v>0</v>
      </c>
      <c r="P440">
        <f>VLOOKUP($C440,'[1]PoB AI'!$C$1:$T$898,17,FALSE)</f>
        <v>32</v>
      </c>
      <c r="Q440">
        <f>VLOOKUP($C440,'[1]PoB AI'!$C$1:$T$898,18,FALSE)</f>
        <v>2</v>
      </c>
      <c r="R440">
        <f>VLOOKUP($C440,'[1]PoB AS'!$C$1:$T$898,17,FALSE)</f>
        <v>24</v>
      </c>
      <c r="S440">
        <f>VLOOKUP($C440,'[1]PoB AS'!$C$1:$T$898,18,FALSE)</f>
        <v>47</v>
      </c>
      <c r="T440">
        <f>VLOOKUP($C440,'[1]PoB PI'!$C$1:$T$898,17,FALSE)</f>
        <v>0</v>
      </c>
      <c r="U440">
        <f>VLOOKUP($C440,'[1]PoB PI'!$C$1:$T$898,18,FALSE)</f>
        <v>0</v>
      </c>
      <c r="V440">
        <f>VLOOKUP($C440,'[1]PoB OT'!$C$1:$T$898,17,FALSE)</f>
        <v>21</v>
      </c>
      <c r="W440">
        <f>VLOOKUP($C440,'[1]PoB OT'!$C$1:$T$898,18,FALSE)</f>
        <v>11</v>
      </c>
      <c r="X440">
        <f>VLOOKUP($C440,'[1]PoB 2R'!$C$1:$T$898,17,FALSE)</f>
        <v>7</v>
      </c>
      <c r="Y440">
        <f>VLOOKUP($C440,'[1]PoB 2R'!$C$1:$T$898,18,FALSE)</f>
        <v>0</v>
      </c>
    </row>
    <row r="441" spans="1:25" x14ac:dyDescent="0.25">
      <c r="A441" t="s">
        <v>1322</v>
      </c>
      <c r="B441">
        <v>5368365</v>
      </c>
      <c r="C441" t="s">
        <v>1323</v>
      </c>
      <c r="D441">
        <f t="shared" si="18"/>
        <v>8125</v>
      </c>
      <c r="E441">
        <f>VLOOKUP($C441,'[1]PoB Totals'!$C$3:$T$898,17,FALSE)</f>
        <v>7637</v>
      </c>
      <c r="F441">
        <f>VLOOKUP($C441,'[1]PoB Totals'!$C$3:$T$898,18,FALSE)</f>
        <v>488</v>
      </c>
      <c r="G441">
        <f t="shared" si="19"/>
        <v>8125</v>
      </c>
      <c r="H441">
        <f t="shared" si="20"/>
        <v>7637</v>
      </c>
      <c r="I441">
        <f t="shared" si="20"/>
        <v>488</v>
      </c>
      <c r="J441">
        <f>VLOOKUP($C441,'[1]PoB WN'!$C$1:$T$898,17,FALSE)</f>
        <v>6785</v>
      </c>
      <c r="K441">
        <f>VLOOKUP($C441,'[1]PoB WN'!$C$1:$T$898,18,FALSE)</f>
        <v>174</v>
      </c>
      <c r="L441">
        <f>VLOOKUP($C441,'[1]PoB WH'!$C$1:$T$898,17,FALSE)</f>
        <v>29</v>
      </c>
      <c r="M441">
        <f>VLOOKUP($C441,'[1]PoB WH'!$C$1:$T$898,18,FALSE)</f>
        <v>32</v>
      </c>
      <c r="N441">
        <f>VLOOKUP($C441,'[1]PoB AA'!$C$1:$T$898,17,FALSE)</f>
        <v>181</v>
      </c>
      <c r="O441">
        <f>VLOOKUP($C441,'[1]PoB AA'!$C$1:$T$898,18,FALSE)</f>
        <v>38</v>
      </c>
      <c r="P441">
        <f>VLOOKUP($C441,'[1]PoB AI'!$C$1:$T$898,17,FALSE)</f>
        <v>113</v>
      </c>
      <c r="Q441">
        <f>VLOOKUP($C441,'[1]PoB AI'!$C$1:$T$898,18,FALSE)</f>
        <v>0</v>
      </c>
      <c r="R441">
        <f>VLOOKUP($C441,'[1]PoB AS'!$C$1:$T$898,17,FALSE)</f>
        <v>64</v>
      </c>
      <c r="S441">
        <f>VLOOKUP($C441,'[1]PoB AS'!$C$1:$T$898,18,FALSE)</f>
        <v>115</v>
      </c>
      <c r="T441">
        <f>VLOOKUP($C441,'[1]PoB PI'!$C$1:$T$898,17,FALSE)</f>
        <v>27</v>
      </c>
      <c r="U441">
        <f>VLOOKUP($C441,'[1]PoB PI'!$C$1:$T$898,18,FALSE)</f>
        <v>0</v>
      </c>
      <c r="V441">
        <f>VLOOKUP($C441,'[1]PoB OT'!$C$1:$T$898,17,FALSE)</f>
        <v>59</v>
      </c>
      <c r="W441">
        <f>VLOOKUP($C441,'[1]PoB OT'!$C$1:$T$898,18,FALSE)</f>
        <v>37</v>
      </c>
      <c r="X441">
        <f>VLOOKUP($C441,'[1]PoB 2R'!$C$1:$T$898,17,FALSE)</f>
        <v>379</v>
      </c>
      <c r="Y441">
        <f>VLOOKUP($C441,'[1]PoB 2R'!$C$1:$T$898,18,FALSE)</f>
        <v>92</v>
      </c>
    </row>
    <row r="442" spans="1:25" x14ac:dyDescent="0.25">
      <c r="A442" t="s">
        <v>1326</v>
      </c>
      <c r="B442">
        <v>5368417</v>
      </c>
      <c r="C442" t="s">
        <v>1327</v>
      </c>
      <c r="D442">
        <f t="shared" si="18"/>
        <v>793</v>
      </c>
      <c r="E442">
        <f>VLOOKUP($C442,'[1]PoB Totals'!$C$3:$T$898,17,FALSE)</f>
        <v>782</v>
      </c>
      <c r="F442">
        <f>VLOOKUP($C442,'[1]PoB Totals'!$C$3:$T$898,18,FALSE)</f>
        <v>11</v>
      </c>
      <c r="G442">
        <f t="shared" si="19"/>
        <v>793</v>
      </c>
      <c r="H442">
        <f t="shared" si="20"/>
        <v>782</v>
      </c>
      <c r="I442">
        <f t="shared" si="20"/>
        <v>11</v>
      </c>
      <c r="J442">
        <f>VLOOKUP($C442,'[1]PoB WN'!$C$1:$T$898,17,FALSE)</f>
        <v>735</v>
      </c>
      <c r="K442">
        <f>VLOOKUP($C442,'[1]PoB WN'!$C$1:$T$898,18,FALSE)</f>
        <v>0</v>
      </c>
      <c r="L442">
        <f>VLOOKUP($C442,'[1]PoB WH'!$C$1:$T$898,17,FALSE)</f>
        <v>8</v>
      </c>
      <c r="M442">
        <f>VLOOKUP($C442,'[1]PoB WH'!$C$1:$T$898,18,FALSE)</f>
        <v>0</v>
      </c>
      <c r="N442">
        <f>VLOOKUP($C442,'[1]PoB AA'!$C$1:$T$898,17,FALSE)</f>
        <v>0</v>
      </c>
      <c r="O442">
        <f>VLOOKUP($C442,'[1]PoB AA'!$C$1:$T$898,18,FALSE)</f>
        <v>0</v>
      </c>
      <c r="P442">
        <f>VLOOKUP($C442,'[1]PoB AI'!$C$1:$T$898,17,FALSE)</f>
        <v>27</v>
      </c>
      <c r="Q442">
        <f>VLOOKUP($C442,'[1]PoB AI'!$C$1:$T$898,18,FALSE)</f>
        <v>0</v>
      </c>
      <c r="R442">
        <f>VLOOKUP($C442,'[1]PoB AS'!$C$1:$T$898,17,FALSE)</f>
        <v>0</v>
      </c>
      <c r="S442">
        <f>VLOOKUP($C442,'[1]PoB AS'!$C$1:$T$898,18,FALSE)</f>
        <v>0</v>
      </c>
      <c r="T442">
        <f>VLOOKUP($C442,'[1]PoB PI'!$C$1:$T$898,17,FALSE)</f>
        <v>0</v>
      </c>
      <c r="U442">
        <f>VLOOKUP($C442,'[1]PoB PI'!$C$1:$T$898,18,FALSE)</f>
        <v>0</v>
      </c>
      <c r="V442">
        <f>VLOOKUP($C442,'[1]PoB OT'!$C$1:$T$898,17,FALSE)</f>
        <v>12</v>
      </c>
      <c r="W442">
        <f>VLOOKUP($C442,'[1]PoB OT'!$C$1:$T$898,18,FALSE)</f>
        <v>11</v>
      </c>
      <c r="X442">
        <f>VLOOKUP($C442,'[1]PoB 2R'!$C$1:$T$898,17,FALSE)</f>
        <v>0</v>
      </c>
      <c r="Y442">
        <f>VLOOKUP($C442,'[1]PoB 2R'!$C$1:$T$898,18,FALSE)</f>
        <v>0</v>
      </c>
    </row>
    <row r="443" spans="1:25" x14ac:dyDescent="0.25">
      <c r="A443" t="s">
        <v>1328</v>
      </c>
      <c r="B443">
        <v>5368435</v>
      </c>
      <c r="C443" t="s">
        <v>1329</v>
      </c>
      <c r="D443">
        <f t="shared" si="18"/>
        <v>8443</v>
      </c>
      <c r="E443">
        <f>VLOOKUP($C443,'[1]PoB Totals'!$C$3:$T$898,17,FALSE)</f>
        <v>7936</v>
      </c>
      <c r="F443">
        <f>VLOOKUP($C443,'[1]PoB Totals'!$C$3:$T$898,18,FALSE)</f>
        <v>507</v>
      </c>
      <c r="G443">
        <f t="shared" si="19"/>
        <v>8443</v>
      </c>
      <c r="H443">
        <f t="shared" si="20"/>
        <v>7936</v>
      </c>
      <c r="I443">
        <f t="shared" si="20"/>
        <v>507</v>
      </c>
      <c r="J443">
        <f>VLOOKUP($C443,'[1]PoB WN'!$C$1:$T$898,17,FALSE)</f>
        <v>7212</v>
      </c>
      <c r="K443">
        <f>VLOOKUP($C443,'[1]PoB WN'!$C$1:$T$898,18,FALSE)</f>
        <v>269</v>
      </c>
      <c r="L443">
        <f>VLOOKUP($C443,'[1]PoB WH'!$C$1:$T$898,17,FALSE)</f>
        <v>180</v>
      </c>
      <c r="M443">
        <f>VLOOKUP($C443,'[1]PoB WH'!$C$1:$T$898,18,FALSE)</f>
        <v>34</v>
      </c>
      <c r="N443">
        <f>VLOOKUP($C443,'[1]PoB AA'!$C$1:$T$898,17,FALSE)</f>
        <v>83</v>
      </c>
      <c r="O443">
        <f>VLOOKUP($C443,'[1]PoB AA'!$C$1:$T$898,18,FALSE)</f>
        <v>6</v>
      </c>
      <c r="P443">
        <f>VLOOKUP($C443,'[1]PoB AI'!$C$1:$T$898,17,FALSE)</f>
        <v>116</v>
      </c>
      <c r="Q443">
        <f>VLOOKUP($C443,'[1]PoB AI'!$C$1:$T$898,18,FALSE)</f>
        <v>12</v>
      </c>
      <c r="R443">
        <f>VLOOKUP($C443,'[1]PoB AS'!$C$1:$T$898,17,FALSE)</f>
        <v>33</v>
      </c>
      <c r="S443">
        <f>VLOOKUP($C443,'[1]PoB AS'!$C$1:$T$898,18,FALSE)</f>
        <v>51</v>
      </c>
      <c r="T443">
        <f>VLOOKUP($C443,'[1]PoB PI'!$C$1:$T$898,17,FALSE)</f>
        <v>25</v>
      </c>
      <c r="U443">
        <f>VLOOKUP($C443,'[1]PoB PI'!$C$1:$T$898,18,FALSE)</f>
        <v>4</v>
      </c>
      <c r="V443">
        <f>VLOOKUP($C443,'[1]PoB OT'!$C$1:$T$898,17,FALSE)</f>
        <v>52</v>
      </c>
      <c r="W443">
        <f>VLOOKUP($C443,'[1]PoB OT'!$C$1:$T$898,18,FALSE)</f>
        <v>110</v>
      </c>
      <c r="X443">
        <f>VLOOKUP($C443,'[1]PoB 2R'!$C$1:$T$898,17,FALSE)</f>
        <v>235</v>
      </c>
      <c r="Y443">
        <f>VLOOKUP($C443,'[1]PoB 2R'!$C$1:$T$898,18,FALSE)</f>
        <v>21</v>
      </c>
    </row>
    <row r="444" spans="1:25" x14ac:dyDescent="0.25">
      <c r="A444" t="s">
        <v>1332</v>
      </c>
      <c r="B444">
        <v>5368750</v>
      </c>
      <c r="C444" t="s">
        <v>1333</v>
      </c>
      <c r="D444">
        <f t="shared" si="18"/>
        <v>14072</v>
      </c>
      <c r="E444">
        <f>VLOOKUP($C444,'[1]PoB Totals'!$C$3:$T$898,17,FALSE)</f>
        <v>9050</v>
      </c>
      <c r="F444">
        <f>VLOOKUP($C444,'[1]PoB Totals'!$C$3:$T$898,18,FALSE)</f>
        <v>5022</v>
      </c>
      <c r="G444">
        <f t="shared" si="19"/>
        <v>14072</v>
      </c>
      <c r="H444">
        <f t="shared" si="20"/>
        <v>9050</v>
      </c>
      <c r="I444">
        <f t="shared" si="20"/>
        <v>5022</v>
      </c>
      <c r="J444">
        <f>VLOOKUP($C444,'[1]PoB WN'!$C$1:$T$898,17,FALSE)</f>
        <v>3416</v>
      </c>
      <c r="K444">
        <f>VLOOKUP($C444,'[1]PoB WN'!$C$1:$T$898,18,FALSE)</f>
        <v>179</v>
      </c>
      <c r="L444">
        <f>VLOOKUP($C444,'[1]PoB WH'!$C$1:$T$898,17,FALSE)</f>
        <v>1205</v>
      </c>
      <c r="M444">
        <f>VLOOKUP($C444,'[1]PoB WH'!$C$1:$T$898,18,FALSE)</f>
        <v>1254</v>
      </c>
      <c r="N444">
        <f>VLOOKUP($C444,'[1]PoB AA'!$C$1:$T$898,17,FALSE)</f>
        <v>56</v>
      </c>
      <c r="O444">
        <f>VLOOKUP($C444,'[1]PoB AA'!$C$1:$T$898,18,FALSE)</f>
        <v>0</v>
      </c>
      <c r="P444">
        <f>VLOOKUP($C444,'[1]PoB AI'!$C$1:$T$898,17,FALSE)</f>
        <v>90</v>
      </c>
      <c r="Q444">
        <f>VLOOKUP($C444,'[1]PoB AI'!$C$1:$T$898,18,FALSE)</f>
        <v>0</v>
      </c>
      <c r="R444">
        <f>VLOOKUP($C444,'[1]PoB AS'!$C$1:$T$898,17,FALSE)</f>
        <v>28</v>
      </c>
      <c r="S444">
        <f>VLOOKUP($C444,'[1]PoB AS'!$C$1:$T$898,18,FALSE)</f>
        <v>43</v>
      </c>
      <c r="T444">
        <f>VLOOKUP($C444,'[1]PoB PI'!$C$1:$T$898,17,FALSE)</f>
        <v>40</v>
      </c>
      <c r="U444">
        <f>VLOOKUP($C444,'[1]PoB PI'!$C$1:$T$898,18,FALSE)</f>
        <v>18</v>
      </c>
      <c r="V444">
        <f>VLOOKUP($C444,'[1]PoB OT'!$C$1:$T$898,17,FALSE)</f>
        <v>3931</v>
      </c>
      <c r="W444">
        <f>VLOOKUP($C444,'[1]PoB OT'!$C$1:$T$898,18,FALSE)</f>
        <v>3407</v>
      </c>
      <c r="X444">
        <f>VLOOKUP($C444,'[1]PoB 2R'!$C$1:$T$898,17,FALSE)</f>
        <v>284</v>
      </c>
      <c r="Y444">
        <f>VLOOKUP($C444,'[1]PoB 2R'!$C$1:$T$898,18,FALSE)</f>
        <v>121</v>
      </c>
    </row>
    <row r="445" spans="1:25" x14ac:dyDescent="0.25">
      <c r="A445" t="s">
        <v>1334</v>
      </c>
      <c r="B445">
        <v>5368785</v>
      </c>
      <c r="C445" t="s">
        <v>1335</v>
      </c>
      <c r="D445">
        <f t="shared" si="18"/>
        <v>2481</v>
      </c>
      <c r="E445">
        <f>VLOOKUP($C445,'[1]PoB Totals'!$C$3:$T$898,17,FALSE)</f>
        <v>2318</v>
      </c>
      <c r="F445">
        <f>VLOOKUP($C445,'[1]PoB Totals'!$C$3:$T$898,18,FALSE)</f>
        <v>163</v>
      </c>
      <c r="G445">
        <f t="shared" si="19"/>
        <v>2481</v>
      </c>
      <c r="H445">
        <f t="shared" si="20"/>
        <v>2318</v>
      </c>
      <c r="I445">
        <f t="shared" si="20"/>
        <v>163</v>
      </c>
      <c r="J445">
        <f>VLOOKUP($C445,'[1]PoB WN'!$C$1:$T$898,17,FALSE)</f>
        <v>2084</v>
      </c>
      <c r="K445">
        <f>VLOOKUP($C445,'[1]PoB WN'!$C$1:$T$898,18,FALSE)</f>
        <v>59</v>
      </c>
      <c r="L445">
        <f>VLOOKUP($C445,'[1]PoB WH'!$C$1:$T$898,17,FALSE)</f>
        <v>61</v>
      </c>
      <c r="M445">
        <f>VLOOKUP($C445,'[1]PoB WH'!$C$1:$T$898,18,FALSE)</f>
        <v>56</v>
      </c>
      <c r="N445">
        <f>VLOOKUP($C445,'[1]PoB AA'!$C$1:$T$898,17,FALSE)</f>
        <v>0</v>
      </c>
      <c r="O445">
        <f>VLOOKUP($C445,'[1]PoB AA'!$C$1:$T$898,18,FALSE)</f>
        <v>0</v>
      </c>
      <c r="P445">
        <f>VLOOKUP($C445,'[1]PoB AI'!$C$1:$T$898,17,FALSE)</f>
        <v>14</v>
      </c>
      <c r="Q445">
        <f>VLOOKUP($C445,'[1]PoB AI'!$C$1:$T$898,18,FALSE)</f>
        <v>0</v>
      </c>
      <c r="R445">
        <f>VLOOKUP($C445,'[1]PoB AS'!$C$1:$T$898,17,FALSE)</f>
        <v>0</v>
      </c>
      <c r="S445">
        <f>VLOOKUP($C445,'[1]PoB AS'!$C$1:$T$898,18,FALSE)</f>
        <v>12</v>
      </c>
      <c r="T445">
        <f>VLOOKUP($C445,'[1]PoB PI'!$C$1:$T$898,17,FALSE)</f>
        <v>0</v>
      </c>
      <c r="U445">
        <f>VLOOKUP($C445,'[1]PoB PI'!$C$1:$T$898,18,FALSE)</f>
        <v>0</v>
      </c>
      <c r="V445">
        <f>VLOOKUP($C445,'[1]PoB OT'!$C$1:$T$898,17,FALSE)</f>
        <v>109</v>
      </c>
      <c r="W445">
        <f>VLOOKUP($C445,'[1]PoB OT'!$C$1:$T$898,18,FALSE)</f>
        <v>36</v>
      </c>
      <c r="X445">
        <f>VLOOKUP($C445,'[1]PoB 2R'!$C$1:$T$898,17,FALSE)</f>
        <v>50</v>
      </c>
      <c r="Y445">
        <f>VLOOKUP($C445,'[1]PoB 2R'!$C$1:$T$898,18,FALSE)</f>
        <v>0</v>
      </c>
    </row>
    <row r="446" spans="1:25" x14ac:dyDescent="0.25">
      <c r="A446" t="s">
        <v>1336</v>
      </c>
      <c r="B446">
        <v>5369170</v>
      </c>
      <c r="C446" t="s">
        <v>1337</v>
      </c>
      <c r="D446">
        <f t="shared" si="18"/>
        <v>3511</v>
      </c>
      <c r="E446">
        <f>VLOOKUP($C446,'[1]PoB Totals'!$C$3:$T$898,17,FALSE)</f>
        <v>3303</v>
      </c>
      <c r="F446">
        <f>VLOOKUP($C446,'[1]PoB Totals'!$C$3:$T$898,18,FALSE)</f>
        <v>208</v>
      </c>
      <c r="G446">
        <f t="shared" si="19"/>
        <v>3511</v>
      </c>
      <c r="H446">
        <f t="shared" si="20"/>
        <v>3303</v>
      </c>
      <c r="I446">
        <f t="shared" si="20"/>
        <v>208</v>
      </c>
      <c r="J446">
        <f>VLOOKUP($C446,'[1]PoB WN'!$C$1:$T$898,17,FALSE)</f>
        <v>2693</v>
      </c>
      <c r="K446">
        <f>VLOOKUP($C446,'[1]PoB WN'!$C$1:$T$898,18,FALSE)</f>
        <v>111</v>
      </c>
      <c r="L446">
        <f>VLOOKUP($C446,'[1]PoB WH'!$C$1:$T$898,17,FALSE)</f>
        <v>40</v>
      </c>
      <c r="M446">
        <f>VLOOKUP($C446,'[1]PoB WH'!$C$1:$T$898,18,FALSE)</f>
        <v>5</v>
      </c>
      <c r="N446">
        <f>VLOOKUP($C446,'[1]PoB AA'!$C$1:$T$898,17,FALSE)</f>
        <v>7</v>
      </c>
      <c r="O446">
        <f>VLOOKUP($C446,'[1]PoB AA'!$C$1:$T$898,18,FALSE)</f>
        <v>0</v>
      </c>
      <c r="P446">
        <f>VLOOKUP($C446,'[1]PoB AI'!$C$1:$T$898,17,FALSE)</f>
        <v>352</v>
      </c>
      <c r="Q446">
        <f>VLOOKUP($C446,'[1]PoB AI'!$C$1:$T$898,18,FALSE)</f>
        <v>4</v>
      </c>
      <c r="R446">
        <f>VLOOKUP($C446,'[1]PoB AS'!$C$1:$T$898,17,FALSE)</f>
        <v>31</v>
      </c>
      <c r="S446">
        <f>VLOOKUP($C446,'[1]PoB AS'!$C$1:$T$898,18,FALSE)</f>
        <v>64</v>
      </c>
      <c r="T446">
        <f>VLOOKUP($C446,'[1]PoB PI'!$C$1:$T$898,17,FALSE)</f>
        <v>0</v>
      </c>
      <c r="U446">
        <f>VLOOKUP($C446,'[1]PoB PI'!$C$1:$T$898,18,FALSE)</f>
        <v>0</v>
      </c>
      <c r="V446">
        <f>VLOOKUP($C446,'[1]PoB OT'!$C$1:$T$898,17,FALSE)</f>
        <v>43</v>
      </c>
      <c r="W446">
        <f>VLOOKUP($C446,'[1]PoB OT'!$C$1:$T$898,18,FALSE)</f>
        <v>7</v>
      </c>
      <c r="X446">
        <f>VLOOKUP($C446,'[1]PoB 2R'!$C$1:$T$898,17,FALSE)</f>
        <v>137</v>
      </c>
      <c r="Y446">
        <f>VLOOKUP($C446,'[1]PoB 2R'!$C$1:$T$898,18,FALSE)</f>
        <v>17</v>
      </c>
    </row>
    <row r="447" spans="1:25" x14ac:dyDescent="0.25">
      <c r="A447" t="s">
        <v>1340</v>
      </c>
      <c r="B447">
        <v>5370000</v>
      </c>
      <c r="C447" t="s">
        <v>1341</v>
      </c>
      <c r="D447">
        <f t="shared" si="18"/>
        <v>193177</v>
      </c>
      <c r="E447">
        <f>VLOOKUP($C447,'[1]PoB Totals'!$C$3:$T$898,17,FALSE)</f>
        <v>165716</v>
      </c>
      <c r="F447">
        <f>VLOOKUP($C447,'[1]PoB Totals'!$C$3:$T$898,18,FALSE)</f>
        <v>27461</v>
      </c>
      <c r="G447">
        <f t="shared" si="19"/>
        <v>193177</v>
      </c>
      <c r="H447">
        <f t="shared" si="20"/>
        <v>165716</v>
      </c>
      <c r="I447">
        <f t="shared" si="20"/>
        <v>27461</v>
      </c>
      <c r="J447">
        <f>VLOOKUP($C447,'[1]PoB WN'!$C$1:$T$898,17,FALSE)</f>
        <v>119662</v>
      </c>
      <c r="K447">
        <f>VLOOKUP($C447,'[1]PoB WN'!$C$1:$T$898,18,FALSE)</f>
        <v>8856</v>
      </c>
      <c r="L447">
        <f>VLOOKUP($C447,'[1]PoB WH'!$C$1:$T$898,17,FALSE)</f>
        <v>3412</v>
      </c>
      <c r="M447">
        <f>VLOOKUP($C447,'[1]PoB WH'!$C$1:$T$898,18,FALSE)</f>
        <v>1851</v>
      </c>
      <c r="N447">
        <f>VLOOKUP($C447,'[1]PoB AA'!$C$1:$T$898,17,FALSE)</f>
        <v>20486</v>
      </c>
      <c r="O447">
        <f>VLOOKUP($C447,'[1]PoB AA'!$C$1:$T$898,18,FALSE)</f>
        <v>1181</v>
      </c>
      <c r="P447">
        <f>VLOOKUP($C447,'[1]PoB AI'!$C$1:$T$898,17,FALSE)</f>
        <v>3638</v>
      </c>
      <c r="Q447">
        <f>VLOOKUP($C447,'[1]PoB AI'!$C$1:$T$898,18,FALSE)</f>
        <v>101</v>
      </c>
      <c r="R447">
        <f>VLOOKUP($C447,'[1]PoB AS'!$C$1:$T$898,17,FALSE)</f>
        <v>4026</v>
      </c>
      <c r="S447">
        <f>VLOOKUP($C447,'[1]PoB AS'!$C$1:$T$898,18,FALSE)</f>
        <v>10310</v>
      </c>
      <c r="T447">
        <f>VLOOKUP($C447,'[1]PoB PI'!$C$1:$T$898,17,FALSE)</f>
        <v>719</v>
      </c>
      <c r="U447">
        <f>VLOOKUP($C447,'[1]PoB PI'!$C$1:$T$898,18,FALSE)</f>
        <v>628</v>
      </c>
      <c r="V447">
        <f>VLOOKUP($C447,'[1]PoB OT'!$C$1:$T$898,17,FALSE)</f>
        <v>2584</v>
      </c>
      <c r="W447">
        <f>VLOOKUP($C447,'[1]PoB OT'!$C$1:$T$898,18,FALSE)</f>
        <v>2618</v>
      </c>
      <c r="X447">
        <f>VLOOKUP($C447,'[1]PoB 2R'!$C$1:$T$898,17,FALSE)</f>
        <v>11189</v>
      </c>
      <c r="Y447">
        <f>VLOOKUP($C447,'[1]PoB 2R'!$C$1:$T$898,18,FALSE)</f>
        <v>1916</v>
      </c>
    </row>
    <row r="448" spans="1:25" x14ac:dyDescent="0.25">
      <c r="A448" t="s">
        <v>1342</v>
      </c>
      <c r="B448">
        <v>5370175</v>
      </c>
      <c r="C448" t="s">
        <v>1343</v>
      </c>
      <c r="D448">
        <f t="shared" si="18"/>
        <v>786</v>
      </c>
      <c r="E448">
        <f>VLOOKUP($C448,'[1]PoB Totals'!$C$3:$T$898,17,FALSE)</f>
        <v>765</v>
      </c>
      <c r="F448">
        <f>VLOOKUP($C448,'[1]PoB Totals'!$C$3:$T$898,18,FALSE)</f>
        <v>21</v>
      </c>
      <c r="G448">
        <f t="shared" si="19"/>
        <v>786</v>
      </c>
      <c r="H448">
        <f t="shared" si="20"/>
        <v>765</v>
      </c>
      <c r="I448">
        <f t="shared" si="20"/>
        <v>21</v>
      </c>
      <c r="J448">
        <f>VLOOKUP($C448,'[1]PoB WN'!$C$1:$T$898,17,FALSE)</f>
        <v>34</v>
      </c>
      <c r="K448">
        <f>VLOOKUP($C448,'[1]PoB WN'!$C$1:$T$898,18,FALSE)</f>
        <v>0</v>
      </c>
      <c r="L448">
        <f>VLOOKUP($C448,'[1]PoB WH'!$C$1:$T$898,17,FALSE)</f>
        <v>3</v>
      </c>
      <c r="M448">
        <f>VLOOKUP($C448,'[1]PoB WH'!$C$1:$T$898,18,FALSE)</f>
        <v>0</v>
      </c>
      <c r="N448">
        <f>VLOOKUP($C448,'[1]PoB AA'!$C$1:$T$898,17,FALSE)</f>
        <v>0</v>
      </c>
      <c r="O448">
        <f>VLOOKUP($C448,'[1]PoB AA'!$C$1:$T$898,18,FALSE)</f>
        <v>0</v>
      </c>
      <c r="P448">
        <f>VLOOKUP($C448,'[1]PoB AI'!$C$1:$T$898,17,FALSE)</f>
        <v>708</v>
      </c>
      <c r="Q448">
        <f>VLOOKUP($C448,'[1]PoB AI'!$C$1:$T$898,18,FALSE)</f>
        <v>13</v>
      </c>
      <c r="R448">
        <f>VLOOKUP($C448,'[1]PoB AS'!$C$1:$T$898,17,FALSE)</f>
        <v>2</v>
      </c>
      <c r="S448">
        <f>VLOOKUP($C448,'[1]PoB AS'!$C$1:$T$898,18,FALSE)</f>
        <v>6</v>
      </c>
      <c r="T448">
        <f>VLOOKUP($C448,'[1]PoB PI'!$C$1:$T$898,17,FALSE)</f>
        <v>0</v>
      </c>
      <c r="U448">
        <f>VLOOKUP($C448,'[1]PoB PI'!$C$1:$T$898,18,FALSE)</f>
        <v>0</v>
      </c>
      <c r="V448">
        <f>VLOOKUP($C448,'[1]PoB OT'!$C$1:$T$898,17,FALSE)</f>
        <v>2</v>
      </c>
      <c r="W448">
        <f>VLOOKUP($C448,'[1]PoB OT'!$C$1:$T$898,18,FALSE)</f>
        <v>0</v>
      </c>
      <c r="X448">
        <f>VLOOKUP($C448,'[1]PoB 2R'!$C$1:$T$898,17,FALSE)</f>
        <v>16</v>
      </c>
      <c r="Y448">
        <f>VLOOKUP($C448,'[1]PoB 2R'!$C$1:$T$898,18,FALSE)</f>
        <v>2</v>
      </c>
    </row>
    <row r="449" spans="1:25" x14ac:dyDescent="0.25">
      <c r="A449" t="s">
        <v>1587</v>
      </c>
      <c r="B449">
        <v>5370297</v>
      </c>
      <c r="C449" t="s">
        <v>1588</v>
      </c>
      <c r="D449">
        <f t="shared" si="18"/>
        <v>5716</v>
      </c>
      <c r="E449">
        <f>VLOOKUP($C449,'[1]PoB Totals'!$C$3:$T$898,17,FALSE)</f>
        <v>4817</v>
      </c>
      <c r="F449">
        <f>VLOOKUP($C449,'[1]PoB Totals'!$C$3:$T$898,18,FALSE)</f>
        <v>899</v>
      </c>
      <c r="G449">
        <f t="shared" si="19"/>
        <v>5716</v>
      </c>
      <c r="H449">
        <f t="shared" si="20"/>
        <v>4817</v>
      </c>
      <c r="I449">
        <f t="shared" si="20"/>
        <v>899</v>
      </c>
      <c r="J449">
        <f>VLOOKUP($C449,'[1]PoB WN'!$C$1:$T$898,17,FALSE)</f>
        <v>3675</v>
      </c>
      <c r="K449">
        <f>VLOOKUP($C449,'[1]PoB WN'!$C$1:$T$898,18,FALSE)</f>
        <v>217</v>
      </c>
      <c r="L449">
        <f>VLOOKUP($C449,'[1]PoB WH'!$C$1:$T$898,17,FALSE)</f>
        <v>182</v>
      </c>
      <c r="M449">
        <f>VLOOKUP($C449,'[1]PoB WH'!$C$1:$T$898,18,FALSE)</f>
        <v>110</v>
      </c>
      <c r="N449">
        <f>VLOOKUP($C449,'[1]PoB AA'!$C$1:$T$898,17,FALSE)</f>
        <v>345</v>
      </c>
      <c r="O449">
        <f>VLOOKUP($C449,'[1]PoB AA'!$C$1:$T$898,18,FALSE)</f>
        <v>50</v>
      </c>
      <c r="P449">
        <f>VLOOKUP($C449,'[1]PoB AI'!$C$1:$T$898,17,FALSE)</f>
        <v>137</v>
      </c>
      <c r="Q449">
        <f>VLOOKUP($C449,'[1]PoB AI'!$C$1:$T$898,18,FALSE)</f>
        <v>0</v>
      </c>
      <c r="R449">
        <f>VLOOKUP($C449,'[1]PoB AS'!$C$1:$T$898,17,FALSE)</f>
        <v>60</v>
      </c>
      <c r="S449">
        <f>VLOOKUP($C449,'[1]PoB AS'!$C$1:$T$898,18,FALSE)</f>
        <v>302</v>
      </c>
      <c r="T449">
        <f>VLOOKUP($C449,'[1]PoB PI'!$C$1:$T$898,17,FALSE)</f>
        <v>14</v>
      </c>
      <c r="U449">
        <f>VLOOKUP($C449,'[1]PoB PI'!$C$1:$T$898,18,FALSE)</f>
        <v>51</v>
      </c>
      <c r="V449">
        <f>VLOOKUP($C449,'[1]PoB OT'!$C$1:$T$898,17,FALSE)</f>
        <v>167</v>
      </c>
      <c r="W449">
        <f>VLOOKUP($C449,'[1]PoB OT'!$C$1:$T$898,18,FALSE)</f>
        <v>80</v>
      </c>
      <c r="X449">
        <f>VLOOKUP($C449,'[1]PoB 2R'!$C$1:$T$898,17,FALSE)</f>
        <v>237</v>
      </c>
      <c r="Y449">
        <f>VLOOKUP($C449,'[1]PoB 2R'!$C$1:$T$898,18,FALSE)</f>
        <v>89</v>
      </c>
    </row>
    <row r="450" spans="1:25" x14ac:dyDescent="0.25">
      <c r="A450" t="s">
        <v>1348</v>
      </c>
      <c r="B450">
        <v>5370315</v>
      </c>
      <c r="C450" t="s">
        <v>1349</v>
      </c>
      <c r="D450">
        <f t="shared" si="18"/>
        <v>2961</v>
      </c>
      <c r="E450">
        <f>VLOOKUP($C450,'[1]PoB Totals'!$C$3:$T$898,17,FALSE)</f>
        <v>2800</v>
      </c>
      <c r="F450">
        <f>VLOOKUP($C450,'[1]PoB Totals'!$C$3:$T$898,18,FALSE)</f>
        <v>161</v>
      </c>
      <c r="G450">
        <f t="shared" si="19"/>
        <v>2961</v>
      </c>
      <c r="H450">
        <f t="shared" si="20"/>
        <v>2800</v>
      </c>
      <c r="I450">
        <f t="shared" si="20"/>
        <v>161</v>
      </c>
      <c r="J450">
        <f>VLOOKUP($C450,'[1]PoB WN'!$C$1:$T$898,17,FALSE)</f>
        <v>2611</v>
      </c>
      <c r="K450">
        <f>VLOOKUP($C450,'[1]PoB WN'!$C$1:$T$898,18,FALSE)</f>
        <v>144</v>
      </c>
      <c r="L450">
        <f>VLOOKUP($C450,'[1]PoB WH'!$C$1:$T$898,17,FALSE)</f>
        <v>0</v>
      </c>
      <c r="M450">
        <f>VLOOKUP($C450,'[1]PoB WH'!$C$1:$T$898,18,FALSE)</f>
        <v>0</v>
      </c>
      <c r="N450">
        <f>VLOOKUP($C450,'[1]PoB AA'!$C$1:$T$898,17,FALSE)</f>
        <v>21</v>
      </c>
      <c r="O450">
        <f>VLOOKUP($C450,'[1]PoB AA'!$C$1:$T$898,18,FALSE)</f>
        <v>0</v>
      </c>
      <c r="P450">
        <f>VLOOKUP($C450,'[1]PoB AI'!$C$1:$T$898,17,FALSE)</f>
        <v>71</v>
      </c>
      <c r="Q450">
        <f>VLOOKUP($C450,'[1]PoB AI'!$C$1:$T$898,18,FALSE)</f>
        <v>0</v>
      </c>
      <c r="R450">
        <f>VLOOKUP($C450,'[1]PoB AS'!$C$1:$T$898,17,FALSE)</f>
        <v>8</v>
      </c>
      <c r="S450">
        <f>VLOOKUP($C450,'[1]PoB AS'!$C$1:$T$898,18,FALSE)</f>
        <v>9</v>
      </c>
      <c r="T450">
        <f>VLOOKUP($C450,'[1]PoB PI'!$C$1:$T$898,17,FALSE)</f>
        <v>0</v>
      </c>
      <c r="U450">
        <f>VLOOKUP($C450,'[1]PoB PI'!$C$1:$T$898,18,FALSE)</f>
        <v>0</v>
      </c>
      <c r="V450">
        <f>VLOOKUP($C450,'[1]PoB OT'!$C$1:$T$898,17,FALSE)</f>
        <v>9</v>
      </c>
      <c r="W450">
        <f>VLOOKUP($C450,'[1]PoB OT'!$C$1:$T$898,18,FALSE)</f>
        <v>8</v>
      </c>
      <c r="X450">
        <f>VLOOKUP($C450,'[1]PoB 2R'!$C$1:$T$898,17,FALSE)</f>
        <v>80</v>
      </c>
      <c r="Y450">
        <f>VLOOKUP($C450,'[1]PoB 2R'!$C$1:$T$898,18,FALSE)</f>
        <v>0</v>
      </c>
    </row>
    <row r="451" spans="1:25" x14ac:dyDescent="0.25">
      <c r="A451" t="s">
        <v>1350</v>
      </c>
      <c r="B451">
        <v>5370560</v>
      </c>
      <c r="C451" t="s">
        <v>1351</v>
      </c>
      <c r="D451">
        <f t="shared" ref="D451:D514" si="21">SUM(E451,F451)</f>
        <v>830</v>
      </c>
      <c r="E451">
        <f>VLOOKUP($C451,'[1]PoB Totals'!$C$3:$T$898,17,FALSE)</f>
        <v>815</v>
      </c>
      <c r="F451">
        <f>VLOOKUP($C451,'[1]PoB Totals'!$C$3:$T$898,18,FALSE)</f>
        <v>15</v>
      </c>
      <c r="G451">
        <f t="shared" ref="G451:G514" si="22">H451+I451</f>
        <v>830</v>
      </c>
      <c r="H451">
        <f t="shared" ref="H451:I514" si="23">SUM(J451,L451,N451,P451,R451,T451,V451,X451)</f>
        <v>815</v>
      </c>
      <c r="I451">
        <f t="shared" si="23"/>
        <v>15</v>
      </c>
      <c r="J451">
        <f>VLOOKUP($C451,'[1]PoB WN'!$C$1:$T$898,17,FALSE)</f>
        <v>772</v>
      </c>
      <c r="K451">
        <f>VLOOKUP($C451,'[1]PoB WN'!$C$1:$T$898,18,FALSE)</f>
        <v>6</v>
      </c>
      <c r="L451">
        <f>VLOOKUP($C451,'[1]PoB WH'!$C$1:$T$898,17,FALSE)</f>
        <v>11</v>
      </c>
      <c r="M451">
        <f>VLOOKUP($C451,'[1]PoB WH'!$C$1:$T$898,18,FALSE)</f>
        <v>5</v>
      </c>
      <c r="N451">
        <f>VLOOKUP($C451,'[1]PoB AA'!$C$1:$T$898,17,FALSE)</f>
        <v>2</v>
      </c>
      <c r="O451">
        <f>VLOOKUP($C451,'[1]PoB AA'!$C$1:$T$898,18,FALSE)</f>
        <v>0</v>
      </c>
      <c r="P451">
        <f>VLOOKUP($C451,'[1]PoB AI'!$C$1:$T$898,17,FALSE)</f>
        <v>8</v>
      </c>
      <c r="Q451">
        <f>VLOOKUP($C451,'[1]PoB AI'!$C$1:$T$898,18,FALSE)</f>
        <v>0</v>
      </c>
      <c r="R451">
        <f>VLOOKUP($C451,'[1]PoB AS'!$C$1:$T$898,17,FALSE)</f>
        <v>0</v>
      </c>
      <c r="S451">
        <f>VLOOKUP($C451,'[1]PoB AS'!$C$1:$T$898,18,FALSE)</f>
        <v>4</v>
      </c>
      <c r="T451">
        <f>VLOOKUP($C451,'[1]PoB PI'!$C$1:$T$898,17,FALSE)</f>
        <v>0</v>
      </c>
      <c r="U451">
        <f>VLOOKUP($C451,'[1]PoB PI'!$C$1:$T$898,18,FALSE)</f>
        <v>0</v>
      </c>
      <c r="V451">
        <f>VLOOKUP($C451,'[1]PoB OT'!$C$1:$T$898,17,FALSE)</f>
        <v>2</v>
      </c>
      <c r="W451">
        <f>VLOOKUP($C451,'[1]PoB OT'!$C$1:$T$898,18,FALSE)</f>
        <v>0</v>
      </c>
      <c r="X451">
        <f>VLOOKUP($C451,'[1]PoB 2R'!$C$1:$T$898,17,FALSE)</f>
        <v>20</v>
      </c>
      <c r="Y451">
        <f>VLOOKUP($C451,'[1]PoB 2R'!$C$1:$T$898,18,FALSE)</f>
        <v>0</v>
      </c>
    </row>
    <row r="452" spans="1:25" x14ac:dyDescent="0.25">
      <c r="A452" t="s">
        <v>1352</v>
      </c>
      <c r="B452">
        <v>5370630</v>
      </c>
      <c r="C452" t="s">
        <v>1353</v>
      </c>
      <c r="D452">
        <f t="shared" si="21"/>
        <v>1448</v>
      </c>
      <c r="E452">
        <f>VLOOKUP($C452,'[1]PoB Totals'!$C$3:$T$898,17,FALSE)</f>
        <v>1359</v>
      </c>
      <c r="F452">
        <f>VLOOKUP($C452,'[1]PoB Totals'!$C$3:$T$898,18,FALSE)</f>
        <v>89</v>
      </c>
      <c r="G452">
        <f t="shared" si="22"/>
        <v>1448</v>
      </c>
      <c r="H452">
        <f t="shared" si="23"/>
        <v>1359</v>
      </c>
      <c r="I452">
        <f t="shared" si="23"/>
        <v>89</v>
      </c>
      <c r="J452">
        <f>VLOOKUP($C452,'[1]PoB WN'!$C$1:$T$898,17,FALSE)</f>
        <v>1245</v>
      </c>
      <c r="K452">
        <f>VLOOKUP($C452,'[1]PoB WN'!$C$1:$T$898,18,FALSE)</f>
        <v>23</v>
      </c>
      <c r="L452">
        <f>VLOOKUP($C452,'[1]PoB WH'!$C$1:$T$898,17,FALSE)</f>
        <v>15</v>
      </c>
      <c r="M452">
        <f>VLOOKUP($C452,'[1]PoB WH'!$C$1:$T$898,18,FALSE)</f>
        <v>10</v>
      </c>
      <c r="N452">
        <f>VLOOKUP($C452,'[1]PoB AA'!$C$1:$T$898,17,FALSE)</f>
        <v>8</v>
      </c>
      <c r="O452">
        <f>VLOOKUP($C452,'[1]PoB AA'!$C$1:$T$898,18,FALSE)</f>
        <v>1</v>
      </c>
      <c r="P452">
        <f>VLOOKUP($C452,'[1]PoB AI'!$C$1:$T$898,17,FALSE)</f>
        <v>9</v>
      </c>
      <c r="Q452">
        <f>VLOOKUP($C452,'[1]PoB AI'!$C$1:$T$898,18,FALSE)</f>
        <v>0</v>
      </c>
      <c r="R452">
        <f>VLOOKUP($C452,'[1]PoB AS'!$C$1:$T$898,17,FALSE)</f>
        <v>41</v>
      </c>
      <c r="S452">
        <f>VLOOKUP($C452,'[1]PoB AS'!$C$1:$T$898,18,FALSE)</f>
        <v>51</v>
      </c>
      <c r="T452">
        <f>VLOOKUP($C452,'[1]PoB PI'!$C$1:$T$898,17,FALSE)</f>
        <v>0</v>
      </c>
      <c r="U452">
        <f>VLOOKUP($C452,'[1]PoB PI'!$C$1:$T$898,18,FALSE)</f>
        <v>0</v>
      </c>
      <c r="V452">
        <f>VLOOKUP($C452,'[1]PoB OT'!$C$1:$T$898,17,FALSE)</f>
        <v>5</v>
      </c>
      <c r="W452">
        <f>VLOOKUP($C452,'[1]PoB OT'!$C$1:$T$898,18,FALSE)</f>
        <v>2</v>
      </c>
      <c r="X452">
        <f>VLOOKUP($C452,'[1]PoB 2R'!$C$1:$T$898,17,FALSE)</f>
        <v>36</v>
      </c>
      <c r="Y452">
        <f>VLOOKUP($C452,'[1]PoB 2R'!$C$1:$T$898,18,FALSE)</f>
        <v>2</v>
      </c>
    </row>
    <row r="453" spans="1:25" x14ac:dyDescent="0.25">
      <c r="A453" t="s">
        <v>1354</v>
      </c>
      <c r="B453">
        <v>5370805</v>
      </c>
      <c r="C453" t="s">
        <v>1355</v>
      </c>
      <c r="D453">
        <f t="shared" si="21"/>
        <v>6541</v>
      </c>
      <c r="E453">
        <f>VLOOKUP($C453,'[1]PoB Totals'!$C$3:$T$898,17,FALSE)</f>
        <v>6136</v>
      </c>
      <c r="F453">
        <f>VLOOKUP($C453,'[1]PoB Totals'!$C$3:$T$898,18,FALSE)</f>
        <v>405</v>
      </c>
      <c r="G453">
        <f t="shared" si="22"/>
        <v>6541</v>
      </c>
      <c r="H453">
        <f t="shared" si="23"/>
        <v>6136</v>
      </c>
      <c r="I453">
        <f t="shared" si="23"/>
        <v>405</v>
      </c>
      <c r="J453">
        <f>VLOOKUP($C453,'[1]PoB WN'!$C$1:$T$898,17,FALSE)</f>
        <v>5423</v>
      </c>
      <c r="K453">
        <f>VLOOKUP($C453,'[1]PoB WN'!$C$1:$T$898,18,FALSE)</f>
        <v>155</v>
      </c>
      <c r="L453">
        <f>VLOOKUP($C453,'[1]PoB WH'!$C$1:$T$898,17,FALSE)</f>
        <v>158</v>
      </c>
      <c r="M453">
        <f>VLOOKUP($C453,'[1]PoB WH'!$C$1:$T$898,18,FALSE)</f>
        <v>66</v>
      </c>
      <c r="N453">
        <f>VLOOKUP($C453,'[1]PoB AA'!$C$1:$T$898,17,FALSE)</f>
        <v>148</v>
      </c>
      <c r="O453">
        <f>VLOOKUP($C453,'[1]PoB AA'!$C$1:$T$898,18,FALSE)</f>
        <v>0</v>
      </c>
      <c r="P453">
        <f>VLOOKUP($C453,'[1]PoB AI'!$C$1:$T$898,17,FALSE)</f>
        <v>29</v>
      </c>
      <c r="Q453">
        <f>VLOOKUP($C453,'[1]PoB AI'!$C$1:$T$898,18,FALSE)</f>
        <v>2</v>
      </c>
      <c r="R453">
        <f>VLOOKUP($C453,'[1]PoB AS'!$C$1:$T$898,17,FALSE)</f>
        <v>0</v>
      </c>
      <c r="S453">
        <f>VLOOKUP($C453,'[1]PoB AS'!$C$1:$T$898,18,FALSE)</f>
        <v>5</v>
      </c>
      <c r="T453">
        <f>VLOOKUP($C453,'[1]PoB PI'!$C$1:$T$898,17,FALSE)</f>
        <v>0</v>
      </c>
      <c r="U453">
        <f>VLOOKUP($C453,'[1]PoB PI'!$C$1:$T$898,18,FALSE)</f>
        <v>0</v>
      </c>
      <c r="V453">
        <f>VLOOKUP($C453,'[1]PoB OT'!$C$1:$T$898,17,FALSE)</f>
        <v>172</v>
      </c>
      <c r="W453">
        <f>VLOOKUP($C453,'[1]PoB OT'!$C$1:$T$898,18,FALSE)</f>
        <v>164</v>
      </c>
      <c r="X453">
        <f>VLOOKUP($C453,'[1]PoB 2R'!$C$1:$T$898,17,FALSE)</f>
        <v>206</v>
      </c>
      <c r="Y453">
        <f>VLOOKUP($C453,'[1]PoB 2R'!$C$1:$T$898,18,FALSE)</f>
        <v>13</v>
      </c>
    </row>
    <row r="454" spans="1:25" x14ac:dyDescent="0.25">
      <c r="A454" t="s">
        <v>1356</v>
      </c>
      <c r="B454">
        <v>5371225</v>
      </c>
      <c r="C454" t="s">
        <v>1357</v>
      </c>
      <c r="D454">
        <f t="shared" si="21"/>
        <v>289</v>
      </c>
      <c r="E454">
        <f>VLOOKUP($C454,'[1]PoB Totals'!$C$3:$T$898,17,FALSE)</f>
        <v>279</v>
      </c>
      <c r="F454">
        <f>VLOOKUP($C454,'[1]PoB Totals'!$C$3:$T$898,18,FALSE)</f>
        <v>10</v>
      </c>
      <c r="G454">
        <f t="shared" si="22"/>
        <v>289</v>
      </c>
      <c r="H454">
        <f t="shared" si="23"/>
        <v>279</v>
      </c>
      <c r="I454">
        <f t="shared" si="23"/>
        <v>10</v>
      </c>
      <c r="J454">
        <f>VLOOKUP($C454,'[1]PoB WN'!$C$1:$T$898,17,FALSE)</f>
        <v>272</v>
      </c>
      <c r="K454">
        <f>VLOOKUP($C454,'[1]PoB WN'!$C$1:$T$898,18,FALSE)</f>
        <v>0</v>
      </c>
      <c r="L454">
        <f>VLOOKUP($C454,'[1]PoB WH'!$C$1:$T$898,17,FALSE)</f>
        <v>2</v>
      </c>
      <c r="M454">
        <f>VLOOKUP($C454,'[1]PoB WH'!$C$1:$T$898,18,FALSE)</f>
        <v>2</v>
      </c>
      <c r="N454">
        <f>VLOOKUP($C454,'[1]PoB AA'!$C$1:$T$898,17,FALSE)</f>
        <v>0</v>
      </c>
      <c r="O454">
        <f>VLOOKUP($C454,'[1]PoB AA'!$C$1:$T$898,18,FALSE)</f>
        <v>0</v>
      </c>
      <c r="P454">
        <f>VLOOKUP($C454,'[1]PoB AI'!$C$1:$T$898,17,FALSE)</f>
        <v>2</v>
      </c>
      <c r="Q454">
        <f>VLOOKUP($C454,'[1]PoB AI'!$C$1:$T$898,18,FALSE)</f>
        <v>0</v>
      </c>
      <c r="R454">
        <f>VLOOKUP($C454,'[1]PoB AS'!$C$1:$T$898,17,FALSE)</f>
        <v>0</v>
      </c>
      <c r="S454">
        <f>VLOOKUP($C454,'[1]PoB AS'!$C$1:$T$898,18,FALSE)</f>
        <v>0</v>
      </c>
      <c r="T454">
        <f>VLOOKUP($C454,'[1]PoB PI'!$C$1:$T$898,17,FALSE)</f>
        <v>0</v>
      </c>
      <c r="U454">
        <f>VLOOKUP($C454,'[1]PoB PI'!$C$1:$T$898,18,FALSE)</f>
        <v>0</v>
      </c>
      <c r="V454">
        <f>VLOOKUP($C454,'[1]PoB OT'!$C$1:$T$898,17,FALSE)</f>
        <v>0</v>
      </c>
      <c r="W454">
        <f>VLOOKUP($C454,'[1]PoB OT'!$C$1:$T$898,18,FALSE)</f>
        <v>8</v>
      </c>
      <c r="X454">
        <f>VLOOKUP($C454,'[1]PoB 2R'!$C$1:$T$898,17,FALSE)</f>
        <v>3</v>
      </c>
      <c r="Y454">
        <f>VLOOKUP($C454,'[1]PoB 2R'!$C$1:$T$898,18,FALSE)</f>
        <v>0</v>
      </c>
    </row>
    <row r="455" spans="1:25" x14ac:dyDescent="0.25">
      <c r="A455" t="s">
        <v>1358</v>
      </c>
      <c r="B455">
        <v>5371330</v>
      </c>
      <c r="C455" t="s">
        <v>1359</v>
      </c>
      <c r="D455">
        <f t="shared" si="21"/>
        <v>2499</v>
      </c>
      <c r="E455">
        <f>VLOOKUP($C455,'[1]PoB Totals'!$C$3:$T$898,17,FALSE)</f>
        <v>2406</v>
      </c>
      <c r="F455">
        <f>VLOOKUP($C455,'[1]PoB Totals'!$C$3:$T$898,18,FALSE)</f>
        <v>93</v>
      </c>
      <c r="G455">
        <f t="shared" si="22"/>
        <v>2499</v>
      </c>
      <c r="H455">
        <f t="shared" si="23"/>
        <v>2406</v>
      </c>
      <c r="I455">
        <f t="shared" si="23"/>
        <v>93</v>
      </c>
      <c r="J455">
        <f>VLOOKUP($C455,'[1]PoB WN'!$C$1:$T$898,17,FALSE)</f>
        <v>2324</v>
      </c>
      <c r="K455">
        <f>VLOOKUP($C455,'[1]PoB WN'!$C$1:$T$898,18,FALSE)</f>
        <v>93</v>
      </c>
      <c r="L455">
        <f>VLOOKUP($C455,'[1]PoB WH'!$C$1:$T$898,17,FALSE)</f>
        <v>0</v>
      </c>
      <c r="M455">
        <f>VLOOKUP($C455,'[1]PoB WH'!$C$1:$T$898,18,FALSE)</f>
        <v>0</v>
      </c>
      <c r="N455">
        <f>VLOOKUP($C455,'[1]PoB AA'!$C$1:$T$898,17,FALSE)</f>
        <v>5</v>
      </c>
      <c r="O455">
        <f>VLOOKUP($C455,'[1]PoB AA'!$C$1:$T$898,18,FALSE)</f>
        <v>0</v>
      </c>
      <c r="P455">
        <f>VLOOKUP($C455,'[1]PoB AI'!$C$1:$T$898,17,FALSE)</f>
        <v>0</v>
      </c>
      <c r="Q455">
        <f>VLOOKUP($C455,'[1]PoB AI'!$C$1:$T$898,18,FALSE)</f>
        <v>0</v>
      </c>
      <c r="R455">
        <f>VLOOKUP($C455,'[1]PoB AS'!$C$1:$T$898,17,FALSE)</f>
        <v>0</v>
      </c>
      <c r="S455">
        <f>VLOOKUP($C455,'[1]PoB AS'!$C$1:$T$898,18,FALSE)</f>
        <v>0</v>
      </c>
      <c r="T455">
        <f>VLOOKUP($C455,'[1]PoB PI'!$C$1:$T$898,17,FALSE)</f>
        <v>0</v>
      </c>
      <c r="U455">
        <f>VLOOKUP($C455,'[1]PoB PI'!$C$1:$T$898,18,FALSE)</f>
        <v>0</v>
      </c>
      <c r="V455">
        <f>VLOOKUP($C455,'[1]PoB OT'!$C$1:$T$898,17,FALSE)</f>
        <v>8</v>
      </c>
      <c r="W455">
        <f>VLOOKUP($C455,'[1]PoB OT'!$C$1:$T$898,18,FALSE)</f>
        <v>0</v>
      </c>
      <c r="X455">
        <f>VLOOKUP($C455,'[1]PoB 2R'!$C$1:$T$898,17,FALSE)</f>
        <v>69</v>
      </c>
      <c r="Y455">
        <f>VLOOKUP($C455,'[1]PoB 2R'!$C$1:$T$898,18,FALSE)</f>
        <v>0</v>
      </c>
    </row>
    <row r="456" spans="1:25" x14ac:dyDescent="0.25">
      <c r="A456" t="s">
        <v>1360</v>
      </c>
      <c r="B456">
        <v>5371400</v>
      </c>
      <c r="C456" t="s">
        <v>1589</v>
      </c>
      <c r="D456">
        <f t="shared" si="21"/>
        <v>1131</v>
      </c>
      <c r="E456">
        <f>VLOOKUP($C456,'[1]PoB Totals'!$C$3:$T$898,17,FALSE)</f>
        <v>777</v>
      </c>
      <c r="F456">
        <f>VLOOKUP($C456,'[1]PoB Totals'!$C$3:$T$898,18,FALSE)</f>
        <v>354</v>
      </c>
      <c r="G456">
        <f t="shared" si="22"/>
        <v>1131</v>
      </c>
      <c r="H456">
        <f t="shared" si="23"/>
        <v>777</v>
      </c>
      <c r="I456">
        <f t="shared" si="23"/>
        <v>354</v>
      </c>
      <c r="J456">
        <f>VLOOKUP($C456,'[1]PoB WN'!$C$1:$T$898,17,FALSE)</f>
        <v>521</v>
      </c>
      <c r="K456">
        <f>VLOOKUP($C456,'[1]PoB WN'!$C$1:$T$898,18,FALSE)</f>
        <v>8</v>
      </c>
      <c r="L456">
        <f>VLOOKUP($C456,'[1]PoB WH'!$C$1:$T$898,17,FALSE)</f>
        <v>13</v>
      </c>
      <c r="M456">
        <f>VLOOKUP($C456,'[1]PoB WH'!$C$1:$T$898,18,FALSE)</f>
        <v>57</v>
      </c>
      <c r="N456">
        <f>VLOOKUP($C456,'[1]PoB AA'!$C$1:$T$898,17,FALSE)</f>
        <v>0</v>
      </c>
      <c r="O456">
        <f>VLOOKUP($C456,'[1]PoB AA'!$C$1:$T$898,18,FALSE)</f>
        <v>0</v>
      </c>
      <c r="P456">
        <f>VLOOKUP($C456,'[1]PoB AI'!$C$1:$T$898,17,FALSE)</f>
        <v>22</v>
      </c>
      <c r="Q456">
        <f>VLOOKUP($C456,'[1]PoB AI'!$C$1:$T$898,18,FALSE)</f>
        <v>2</v>
      </c>
      <c r="R456">
        <f>VLOOKUP($C456,'[1]PoB AS'!$C$1:$T$898,17,FALSE)</f>
        <v>10</v>
      </c>
      <c r="S456">
        <f>VLOOKUP($C456,'[1]PoB AS'!$C$1:$T$898,18,FALSE)</f>
        <v>15</v>
      </c>
      <c r="T456">
        <f>VLOOKUP($C456,'[1]PoB PI'!$C$1:$T$898,17,FALSE)</f>
        <v>0</v>
      </c>
      <c r="U456">
        <f>VLOOKUP($C456,'[1]PoB PI'!$C$1:$T$898,18,FALSE)</f>
        <v>0</v>
      </c>
      <c r="V456">
        <f>VLOOKUP($C456,'[1]PoB OT'!$C$1:$T$898,17,FALSE)</f>
        <v>198</v>
      </c>
      <c r="W456">
        <f>VLOOKUP($C456,'[1]PoB OT'!$C$1:$T$898,18,FALSE)</f>
        <v>258</v>
      </c>
      <c r="X456">
        <f>VLOOKUP($C456,'[1]PoB 2R'!$C$1:$T$898,17,FALSE)</f>
        <v>13</v>
      </c>
      <c r="Y456">
        <f>VLOOKUP($C456,'[1]PoB 2R'!$C$1:$T$898,18,FALSE)</f>
        <v>14</v>
      </c>
    </row>
    <row r="457" spans="1:25" x14ac:dyDescent="0.25">
      <c r="A457" t="s">
        <v>1362</v>
      </c>
      <c r="B457">
        <v>5371680</v>
      </c>
      <c r="C457" t="s">
        <v>1363</v>
      </c>
      <c r="D457">
        <f t="shared" si="21"/>
        <v>275</v>
      </c>
      <c r="E457">
        <f>VLOOKUP($C457,'[1]PoB Totals'!$C$3:$T$898,17,FALSE)</f>
        <v>264</v>
      </c>
      <c r="F457">
        <f>VLOOKUP($C457,'[1]PoB Totals'!$C$3:$T$898,18,FALSE)</f>
        <v>11</v>
      </c>
      <c r="G457">
        <f t="shared" si="22"/>
        <v>275</v>
      </c>
      <c r="H457">
        <f t="shared" si="23"/>
        <v>264</v>
      </c>
      <c r="I457">
        <f t="shared" si="23"/>
        <v>11</v>
      </c>
      <c r="J457">
        <f>VLOOKUP($C457,'[1]PoB WN'!$C$1:$T$898,17,FALSE)</f>
        <v>248</v>
      </c>
      <c r="K457">
        <f>VLOOKUP($C457,'[1]PoB WN'!$C$1:$T$898,18,FALSE)</f>
        <v>6</v>
      </c>
      <c r="L457">
        <f>VLOOKUP($C457,'[1]PoB WH'!$C$1:$T$898,17,FALSE)</f>
        <v>0</v>
      </c>
      <c r="M457">
        <f>VLOOKUP($C457,'[1]PoB WH'!$C$1:$T$898,18,FALSE)</f>
        <v>0</v>
      </c>
      <c r="N457">
        <f>VLOOKUP($C457,'[1]PoB AA'!$C$1:$T$898,17,FALSE)</f>
        <v>0</v>
      </c>
      <c r="O457">
        <f>VLOOKUP($C457,'[1]PoB AA'!$C$1:$T$898,18,FALSE)</f>
        <v>0</v>
      </c>
      <c r="P457">
        <f>VLOOKUP($C457,'[1]PoB AI'!$C$1:$T$898,17,FALSE)</f>
        <v>16</v>
      </c>
      <c r="Q457">
        <f>VLOOKUP($C457,'[1]PoB AI'!$C$1:$T$898,18,FALSE)</f>
        <v>0</v>
      </c>
      <c r="R457">
        <f>VLOOKUP($C457,'[1]PoB AS'!$C$1:$T$898,17,FALSE)</f>
        <v>0</v>
      </c>
      <c r="S457">
        <f>VLOOKUP($C457,'[1]PoB AS'!$C$1:$T$898,18,FALSE)</f>
        <v>5</v>
      </c>
      <c r="T457">
        <f>VLOOKUP($C457,'[1]PoB PI'!$C$1:$T$898,17,FALSE)</f>
        <v>0</v>
      </c>
      <c r="U457">
        <f>VLOOKUP($C457,'[1]PoB PI'!$C$1:$T$898,18,FALSE)</f>
        <v>0</v>
      </c>
      <c r="V457">
        <f>VLOOKUP($C457,'[1]PoB OT'!$C$1:$T$898,17,FALSE)</f>
        <v>0</v>
      </c>
      <c r="W457">
        <f>VLOOKUP($C457,'[1]PoB OT'!$C$1:$T$898,18,FALSE)</f>
        <v>0</v>
      </c>
      <c r="X457">
        <f>VLOOKUP($C457,'[1]PoB 2R'!$C$1:$T$898,17,FALSE)</f>
        <v>0</v>
      </c>
      <c r="Y457">
        <f>VLOOKUP($C457,'[1]PoB 2R'!$C$1:$T$898,18,FALSE)</f>
        <v>0</v>
      </c>
    </row>
    <row r="458" spans="1:25" x14ac:dyDescent="0.25">
      <c r="A458" t="s">
        <v>1364</v>
      </c>
      <c r="B458">
        <v>5371785</v>
      </c>
      <c r="C458" t="s">
        <v>1365</v>
      </c>
      <c r="D458">
        <f t="shared" si="21"/>
        <v>612</v>
      </c>
      <c r="E458">
        <f>VLOOKUP($C458,'[1]PoB Totals'!$C$3:$T$898,17,FALSE)</f>
        <v>586</v>
      </c>
      <c r="F458">
        <f>VLOOKUP($C458,'[1]PoB Totals'!$C$3:$T$898,18,FALSE)</f>
        <v>26</v>
      </c>
      <c r="G458">
        <f t="shared" si="22"/>
        <v>612</v>
      </c>
      <c r="H458">
        <f t="shared" si="23"/>
        <v>586</v>
      </c>
      <c r="I458">
        <f t="shared" si="23"/>
        <v>26</v>
      </c>
      <c r="J458">
        <f>VLOOKUP($C458,'[1]PoB WN'!$C$1:$T$898,17,FALSE)</f>
        <v>551</v>
      </c>
      <c r="K458">
        <f>VLOOKUP($C458,'[1]PoB WN'!$C$1:$T$898,18,FALSE)</f>
        <v>10</v>
      </c>
      <c r="L458">
        <f>VLOOKUP($C458,'[1]PoB WH'!$C$1:$T$898,17,FALSE)</f>
        <v>3</v>
      </c>
      <c r="M458">
        <f>VLOOKUP($C458,'[1]PoB WH'!$C$1:$T$898,18,FALSE)</f>
        <v>6</v>
      </c>
      <c r="N458">
        <f>VLOOKUP($C458,'[1]PoB AA'!$C$1:$T$898,17,FALSE)</f>
        <v>7</v>
      </c>
      <c r="O458">
        <f>VLOOKUP($C458,'[1]PoB AA'!$C$1:$T$898,18,FALSE)</f>
        <v>2</v>
      </c>
      <c r="P458">
        <f>VLOOKUP($C458,'[1]PoB AI'!$C$1:$T$898,17,FALSE)</f>
        <v>14</v>
      </c>
      <c r="Q458">
        <f>VLOOKUP($C458,'[1]PoB AI'!$C$1:$T$898,18,FALSE)</f>
        <v>0</v>
      </c>
      <c r="R458">
        <f>VLOOKUP($C458,'[1]PoB AS'!$C$1:$T$898,17,FALSE)</f>
        <v>0</v>
      </c>
      <c r="S458">
        <f>VLOOKUP($C458,'[1]PoB AS'!$C$1:$T$898,18,FALSE)</f>
        <v>4</v>
      </c>
      <c r="T458">
        <f>VLOOKUP($C458,'[1]PoB PI'!$C$1:$T$898,17,FALSE)</f>
        <v>0</v>
      </c>
      <c r="U458">
        <f>VLOOKUP($C458,'[1]PoB PI'!$C$1:$T$898,18,FALSE)</f>
        <v>0</v>
      </c>
      <c r="V458">
        <f>VLOOKUP($C458,'[1]PoB OT'!$C$1:$T$898,17,FALSE)</f>
        <v>2</v>
      </c>
      <c r="W458">
        <f>VLOOKUP($C458,'[1]PoB OT'!$C$1:$T$898,18,FALSE)</f>
        <v>4</v>
      </c>
      <c r="X458">
        <f>VLOOKUP($C458,'[1]PoB 2R'!$C$1:$T$898,17,FALSE)</f>
        <v>9</v>
      </c>
      <c r="Y458">
        <f>VLOOKUP($C458,'[1]PoB 2R'!$C$1:$T$898,18,FALSE)</f>
        <v>0</v>
      </c>
    </row>
    <row r="459" spans="1:25" x14ac:dyDescent="0.25">
      <c r="A459" t="s">
        <v>1366</v>
      </c>
      <c r="B459">
        <v>5371890</v>
      </c>
      <c r="C459" t="s">
        <v>1367</v>
      </c>
      <c r="D459">
        <f t="shared" si="21"/>
        <v>986</v>
      </c>
      <c r="E459">
        <f>VLOOKUP($C459,'[1]PoB Totals'!$C$3:$T$898,17,FALSE)</f>
        <v>915</v>
      </c>
      <c r="F459">
        <f>VLOOKUP($C459,'[1]PoB Totals'!$C$3:$T$898,18,FALSE)</f>
        <v>71</v>
      </c>
      <c r="G459">
        <f t="shared" si="22"/>
        <v>986</v>
      </c>
      <c r="H459">
        <f t="shared" si="23"/>
        <v>915</v>
      </c>
      <c r="I459">
        <f t="shared" si="23"/>
        <v>71</v>
      </c>
      <c r="J459">
        <f>VLOOKUP($C459,'[1]PoB WN'!$C$1:$T$898,17,FALSE)</f>
        <v>866</v>
      </c>
      <c r="K459">
        <f>VLOOKUP($C459,'[1]PoB WN'!$C$1:$T$898,18,FALSE)</f>
        <v>21</v>
      </c>
      <c r="L459">
        <f>VLOOKUP($C459,'[1]PoB WH'!$C$1:$T$898,17,FALSE)</f>
        <v>3</v>
      </c>
      <c r="M459">
        <f>VLOOKUP($C459,'[1]PoB WH'!$C$1:$T$898,18,FALSE)</f>
        <v>4</v>
      </c>
      <c r="N459">
        <f>VLOOKUP($C459,'[1]PoB AA'!$C$1:$T$898,17,FALSE)</f>
        <v>0</v>
      </c>
      <c r="O459">
        <f>VLOOKUP($C459,'[1]PoB AA'!$C$1:$T$898,18,FALSE)</f>
        <v>0</v>
      </c>
      <c r="P459">
        <f>VLOOKUP($C459,'[1]PoB AI'!$C$1:$T$898,17,FALSE)</f>
        <v>19</v>
      </c>
      <c r="Q459">
        <f>VLOOKUP($C459,'[1]PoB AI'!$C$1:$T$898,18,FALSE)</f>
        <v>4</v>
      </c>
      <c r="R459">
        <f>VLOOKUP($C459,'[1]PoB AS'!$C$1:$T$898,17,FALSE)</f>
        <v>0</v>
      </c>
      <c r="S459">
        <f>VLOOKUP($C459,'[1]PoB AS'!$C$1:$T$898,18,FALSE)</f>
        <v>0</v>
      </c>
      <c r="T459">
        <f>VLOOKUP($C459,'[1]PoB PI'!$C$1:$T$898,17,FALSE)</f>
        <v>0</v>
      </c>
      <c r="U459">
        <f>VLOOKUP($C459,'[1]PoB PI'!$C$1:$T$898,18,FALSE)</f>
        <v>0</v>
      </c>
      <c r="V459">
        <f>VLOOKUP($C459,'[1]PoB OT'!$C$1:$T$898,17,FALSE)</f>
        <v>21</v>
      </c>
      <c r="W459">
        <f>VLOOKUP($C459,'[1]PoB OT'!$C$1:$T$898,18,FALSE)</f>
        <v>38</v>
      </c>
      <c r="X459">
        <f>VLOOKUP($C459,'[1]PoB 2R'!$C$1:$T$898,17,FALSE)</f>
        <v>6</v>
      </c>
      <c r="Y459">
        <f>VLOOKUP($C459,'[1]PoB 2R'!$C$1:$T$898,18,FALSE)</f>
        <v>4</v>
      </c>
    </row>
    <row r="460" spans="1:25" x14ac:dyDescent="0.25">
      <c r="A460" t="s">
        <v>1368</v>
      </c>
      <c r="B460">
        <v>5371960</v>
      </c>
      <c r="C460" t="s">
        <v>1369</v>
      </c>
      <c r="D460">
        <f t="shared" si="21"/>
        <v>8912</v>
      </c>
      <c r="E460">
        <f>VLOOKUP($C460,'[1]PoB Totals'!$C$3:$T$898,17,FALSE)</f>
        <v>5998</v>
      </c>
      <c r="F460">
        <f>VLOOKUP($C460,'[1]PoB Totals'!$C$3:$T$898,18,FALSE)</f>
        <v>2914</v>
      </c>
      <c r="G460">
        <f t="shared" si="22"/>
        <v>8912</v>
      </c>
      <c r="H460">
        <f t="shared" si="23"/>
        <v>5998</v>
      </c>
      <c r="I460">
        <f t="shared" si="23"/>
        <v>2914</v>
      </c>
      <c r="J460">
        <f>VLOOKUP($C460,'[1]PoB WN'!$C$1:$T$898,17,FALSE)</f>
        <v>1348</v>
      </c>
      <c r="K460">
        <f>VLOOKUP($C460,'[1]PoB WN'!$C$1:$T$898,18,FALSE)</f>
        <v>34</v>
      </c>
      <c r="L460">
        <f>VLOOKUP($C460,'[1]PoB WH'!$C$1:$T$898,17,FALSE)</f>
        <v>845</v>
      </c>
      <c r="M460">
        <f>VLOOKUP($C460,'[1]PoB WH'!$C$1:$T$898,18,FALSE)</f>
        <v>550</v>
      </c>
      <c r="N460">
        <f>VLOOKUP($C460,'[1]PoB AA'!$C$1:$T$898,17,FALSE)</f>
        <v>44</v>
      </c>
      <c r="O460">
        <f>VLOOKUP($C460,'[1]PoB AA'!$C$1:$T$898,18,FALSE)</f>
        <v>0</v>
      </c>
      <c r="P460">
        <f>VLOOKUP($C460,'[1]PoB AI'!$C$1:$T$898,17,FALSE)</f>
        <v>620</v>
      </c>
      <c r="Q460">
        <f>VLOOKUP($C460,'[1]PoB AI'!$C$1:$T$898,18,FALSE)</f>
        <v>15</v>
      </c>
      <c r="R460">
        <f>VLOOKUP($C460,'[1]PoB AS'!$C$1:$T$898,17,FALSE)</f>
        <v>0</v>
      </c>
      <c r="S460">
        <f>VLOOKUP($C460,'[1]PoB AS'!$C$1:$T$898,18,FALSE)</f>
        <v>0</v>
      </c>
      <c r="T460">
        <f>VLOOKUP($C460,'[1]PoB PI'!$C$1:$T$898,17,FALSE)</f>
        <v>0</v>
      </c>
      <c r="U460">
        <f>VLOOKUP($C460,'[1]PoB PI'!$C$1:$T$898,18,FALSE)</f>
        <v>0</v>
      </c>
      <c r="V460">
        <f>VLOOKUP($C460,'[1]PoB OT'!$C$1:$T$898,17,FALSE)</f>
        <v>2879</v>
      </c>
      <c r="W460">
        <f>VLOOKUP($C460,'[1]PoB OT'!$C$1:$T$898,18,FALSE)</f>
        <v>2248</v>
      </c>
      <c r="X460">
        <f>VLOOKUP($C460,'[1]PoB 2R'!$C$1:$T$898,17,FALSE)</f>
        <v>262</v>
      </c>
      <c r="Y460">
        <f>VLOOKUP($C460,'[1]PoB 2R'!$C$1:$T$898,18,FALSE)</f>
        <v>67</v>
      </c>
    </row>
    <row r="461" spans="1:25" x14ac:dyDescent="0.25">
      <c r="A461" t="s">
        <v>1372</v>
      </c>
      <c r="B461">
        <v>5372030</v>
      </c>
      <c r="C461" t="s">
        <v>1373</v>
      </c>
      <c r="D461">
        <f t="shared" si="21"/>
        <v>388</v>
      </c>
      <c r="E461">
        <f>VLOOKUP($C461,'[1]PoB Totals'!$C$3:$T$898,17,FALSE)</f>
        <v>344</v>
      </c>
      <c r="F461">
        <f>VLOOKUP($C461,'[1]PoB Totals'!$C$3:$T$898,18,FALSE)</f>
        <v>44</v>
      </c>
      <c r="G461">
        <f t="shared" si="22"/>
        <v>388</v>
      </c>
      <c r="H461">
        <f t="shared" si="23"/>
        <v>344</v>
      </c>
      <c r="I461">
        <f t="shared" si="23"/>
        <v>44</v>
      </c>
      <c r="J461">
        <f>VLOOKUP($C461,'[1]PoB WN'!$C$1:$T$898,17,FALSE)</f>
        <v>296</v>
      </c>
      <c r="K461">
        <f>VLOOKUP($C461,'[1]PoB WN'!$C$1:$T$898,18,FALSE)</f>
        <v>3</v>
      </c>
      <c r="L461">
        <f>VLOOKUP($C461,'[1]PoB WH'!$C$1:$T$898,17,FALSE)</f>
        <v>31</v>
      </c>
      <c r="M461">
        <f>VLOOKUP($C461,'[1]PoB WH'!$C$1:$T$898,18,FALSE)</f>
        <v>15</v>
      </c>
      <c r="N461">
        <f>VLOOKUP($C461,'[1]PoB AA'!$C$1:$T$898,17,FALSE)</f>
        <v>0</v>
      </c>
      <c r="O461">
        <f>VLOOKUP($C461,'[1]PoB AA'!$C$1:$T$898,18,FALSE)</f>
        <v>0</v>
      </c>
      <c r="P461">
        <f>VLOOKUP($C461,'[1]PoB AI'!$C$1:$T$898,17,FALSE)</f>
        <v>0</v>
      </c>
      <c r="Q461">
        <f>VLOOKUP($C461,'[1]PoB AI'!$C$1:$T$898,18,FALSE)</f>
        <v>0</v>
      </c>
      <c r="R461">
        <f>VLOOKUP($C461,'[1]PoB AS'!$C$1:$T$898,17,FALSE)</f>
        <v>2</v>
      </c>
      <c r="S461">
        <f>VLOOKUP($C461,'[1]PoB AS'!$C$1:$T$898,18,FALSE)</f>
        <v>5</v>
      </c>
      <c r="T461">
        <f>VLOOKUP($C461,'[1]PoB PI'!$C$1:$T$898,17,FALSE)</f>
        <v>0</v>
      </c>
      <c r="U461">
        <f>VLOOKUP($C461,'[1]PoB PI'!$C$1:$T$898,18,FALSE)</f>
        <v>0</v>
      </c>
      <c r="V461">
        <f>VLOOKUP($C461,'[1]PoB OT'!$C$1:$T$898,17,FALSE)</f>
        <v>10</v>
      </c>
      <c r="W461">
        <f>VLOOKUP($C461,'[1]PoB OT'!$C$1:$T$898,18,FALSE)</f>
        <v>19</v>
      </c>
      <c r="X461">
        <f>VLOOKUP($C461,'[1]PoB 2R'!$C$1:$T$898,17,FALSE)</f>
        <v>5</v>
      </c>
      <c r="Y461">
        <f>VLOOKUP($C461,'[1]PoB 2R'!$C$1:$T$898,18,FALSE)</f>
        <v>2</v>
      </c>
    </row>
    <row r="462" spans="1:25" x14ac:dyDescent="0.25">
      <c r="A462" t="s">
        <v>1374</v>
      </c>
      <c r="B462">
        <v>5372170</v>
      </c>
      <c r="C462" t="s">
        <v>1375</v>
      </c>
      <c r="D462">
        <f t="shared" si="21"/>
        <v>4417</v>
      </c>
      <c r="E462">
        <f>VLOOKUP($C462,'[1]PoB Totals'!$C$3:$T$898,17,FALSE)</f>
        <v>4201</v>
      </c>
      <c r="F462">
        <f>VLOOKUP($C462,'[1]PoB Totals'!$C$3:$T$898,18,FALSE)</f>
        <v>216</v>
      </c>
      <c r="G462">
        <f t="shared" si="22"/>
        <v>4417</v>
      </c>
      <c r="H462">
        <f t="shared" si="23"/>
        <v>4201</v>
      </c>
      <c r="I462">
        <f t="shared" si="23"/>
        <v>216</v>
      </c>
      <c r="J462">
        <f>VLOOKUP($C462,'[1]PoB WN'!$C$1:$T$898,17,FALSE)</f>
        <v>3946</v>
      </c>
      <c r="K462">
        <f>VLOOKUP($C462,'[1]PoB WN'!$C$1:$T$898,18,FALSE)</f>
        <v>141</v>
      </c>
      <c r="L462">
        <f>VLOOKUP($C462,'[1]PoB WH'!$C$1:$T$898,17,FALSE)</f>
        <v>37</v>
      </c>
      <c r="M462">
        <f>VLOOKUP($C462,'[1]PoB WH'!$C$1:$T$898,18,FALSE)</f>
        <v>14</v>
      </c>
      <c r="N462">
        <f>VLOOKUP($C462,'[1]PoB AA'!$C$1:$T$898,17,FALSE)</f>
        <v>21</v>
      </c>
      <c r="O462">
        <f>VLOOKUP($C462,'[1]PoB AA'!$C$1:$T$898,18,FALSE)</f>
        <v>0</v>
      </c>
      <c r="P462">
        <f>VLOOKUP($C462,'[1]PoB AI'!$C$1:$T$898,17,FALSE)</f>
        <v>49</v>
      </c>
      <c r="Q462">
        <f>VLOOKUP($C462,'[1]PoB AI'!$C$1:$T$898,18,FALSE)</f>
        <v>0</v>
      </c>
      <c r="R462">
        <f>VLOOKUP($C462,'[1]PoB AS'!$C$1:$T$898,17,FALSE)</f>
        <v>0</v>
      </c>
      <c r="S462">
        <f>VLOOKUP($C462,'[1]PoB AS'!$C$1:$T$898,18,FALSE)</f>
        <v>4</v>
      </c>
      <c r="T462">
        <f>VLOOKUP($C462,'[1]PoB PI'!$C$1:$T$898,17,FALSE)</f>
        <v>0</v>
      </c>
      <c r="U462">
        <f>VLOOKUP($C462,'[1]PoB PI'!$C$1:$T$898,18,FALSE)</f>
        <v>0</v>
      </c>
      <c r="V462">
        <f>VLOOKUP($C462,'[1]PoB OT'!$C$1:$T$898,17,FALSE)</f>
        <v>53</v>
      </c>
      <c r="W462">
        <f>VLOOKUP($C462,'[1]PoB OT'!$C$1:$T$898,18,FALSE)</f>
        <v>45</v>
      </c>
      <c r="X462">
        <f>VLOOKUP($C462,'[1]PoB 2R'!$C$1:$T$898,17,FALSE)</f>
        <v>95</v>
      </c>
      <c r="Y462">
        <f>VLOOKUP($C462,'[1]PoB 2R'!$C$1:$T$898,18,FALSE)</f>
        <v>12</v>
      </c>
    </row>
    <row r="463" spans="1:25" x14ac:dyDescent="0.25">
      <c r="A463" t="s">
        <v>1376</v>
      </c>
      <c r="B463">
        <v>5372205</v>
      </c>
      <c r="C463" t="s">
        <v>1377</v>
      </c>
      <c r="D463">
        <f t="shared" si="21"/>
        <v>3267</v>
      </c>
      <c r="E463">
        <f>VLOOKUP($C463,'[1]PoB Totals'!$C$3:$T$898,17,FALSE)</f>
        <v>2975</v>
      </c>
      <c r="F463">
        <f>VLOOKUP($C463,'[1]PoB Totals'!$C$3:$T$898,18,FALSE)</f>
        <v>292</v>
      </c>
      <c r="G463">
        <f t="shared" si="22"/>
        <v>3267</v>
      </c>
      <c r="H463">
        <f t="shared" si="23"/>
        <v>2975</v>
      </c>
      <c r="I463">
        <f t="shared" si="23"/>
        <v>292</v>
      </c>
      <c r="J463">
        <f>VLOOKUP($C463,'[1]PoB WN'!$C$1:$T$898,17,FALSE)</f>
        <v>2517</v>
      </c>
      <c r="K463">
        <f>VLOOKUP($C463,'[1]PoB WN'!$C$1:$T$898,18,FALSE)</f>
        <v>87</v>
      </c>
      <c r="L463">
        <f>VLOOKUP($C463,'[1]PoB WH'!$C$1:$T$898,17,FALSE)</f>
        <v>20</v>
      </c>
      <c r="M463">
        <f>VLOOKUP($C463,'[1]PoB WH'!$C$1:$T$898,18,FALSE)</f>
        <v>0</v>
      </c>
      <c r="N463">
        <f>VLOOKUP($C463,'[1]PoB AA'!$C$1:$T$898,17,FALSE)</f>
        <v>111</v>
      </c>
      <c r="O463">
        <f>VLOOKUP($C463,'[1]PoB AA'!$C$1:$T$898,18,FALSE)</f>
        <v>25</v>
      </c>
      <c r="P463">
        <f>VLOOKUP($C463,'[1]PoB AI'!$C$1:$T$898,17,FALSE)</f>
        <v>6</v>
      </c>
      <c r="Q463">
        <f>VLOOKUP($C463,'[1]PoB AI'!$C$1:$T$898,18,FALSE)</f>
        <v>0</v>
      </c>
      <c r="R463">
        <f>VLOOKUP($C463,'[1]PoB AS'!$C$1:$T$898,17,FALSE)</f>
        <v>46</v>
      </c>
      <c r="S463">
        <f>VLOOKUP($C463,'[1]PoB AS'!$C$1:$T$898,18,FALSE)</f>
        <v>112</v>
      </c>
      <c r="T463">
        <f>VLOOKUP($C463,'[1]PoB PI'!$C$1:$T$898,17,FALSE)</f>
        <v>6</v>
      </c>
      <c r="U463">
        <f>VLOOKUP($C463,'[1]PoB PI'!$C$1:$T$898,18,FALSE)</f>
        <v>29</v>
      </c>
      <c r="V463">
        <f>VLOOKUP($C463,'[1]PoB OT'!$C$1:$T$898,17,FALSE)</f>
        <v>95</v>
      </c>
      <c r="W463">
        <f>VLOOKUP($C463,'[1]PoB OT'!$C$1:$T$898,18,FALSE)</f>
        <v>29</v>
      </c>
      <c r="X463">
        <f>VLOOKUP($C463,'[1]PoB 2R'!$C$1:$T$898,17,FALSE)</f>
        <v>174</v>
      </c>
      <c r="Y463">
        <f>VLOOKUP($C463,'[1]PoB 2R'!$C$1:$T$898,18,FALSE)</f>
        <v>10</v>
      </c>
    </row>
    <row r="464" spans="1:25" x14ac:dyDescent="0.25">
      <c r="A464" t="s">
        <v>1590</v>
      </c>
      <c r="B464">
        <v>5372310</v>
      </c>
      <c r="C464" t="s">
        <v>1591</v>
      </c>
      <c r="D464">
        <f t="shared" si="21"/>
        <v>4395</v>
      </c>
      <c r="E464">
        <f>VLOOKUP($C464,'[1]PoB Totals'!$C$3:$T$898,17,FALSE)</f>
        <v>4164</v>
      </c>
      <c r="F464">
        <f>VLOOKUP($C464,'[1]PoB Totals'!$C$3:$T$898,18,FALSE)</f>
        <v>231</v>
      </c>
      <c r="G464">
        <f t="shared" si="22"/>
        <v>4395</v>
      </c>
      <c r="H464">
        <f t="shared" si="23"/>
        <v>4164</v>
      </c>
      <c r="I464">
        <f t="shared" si="23"/>
        <v>231</v>
      </c>
      <c r="J464">
        <f>VLOOKUP($C464,'[1]PoB WN'!$C$1:$T$898,17,FALSE)</f>
        <v>3885</v>
      </c>
      <c r="K464">
        <f>VLOOKUP($C464,'[1]PoB WN'!$C$1:$T$898,18,FALSE)</f>
        <v>81</v>
      </c>
      <c r="L464">
        <f>VLOOKUP($C464,'[1]PoB WH'!$C$1:$T$898,17,FALSE)</f>
        <v>96</v>
      </c>
      <c r="M464">
        <f>VLOOKUP($C464,'[1]PoB WH'!$C$1:$T$898,18,FALSE)</f>
        <v>12</v>
      </c>
      <c r="N464">
        <f>VLOOKUP($C464,'[1]PoB AA'!$C$1:$T$898,17,FALSE)</f>
        <v>23</v>
      </c>
      <c r="O464">
        <f>VLOOKUP($C464,'[1]PoB AA'!$C$1:$T$898,18,FALSE)</f>
        <v>4</v>
      </c>
      <c r="P464">
        <f>VLOOKUP($C464,'[1]PoB AI'!$C$1:$T$898,17,FALSE)</f>
        <v>95</v>
      </c>
      <c r="Q464">
        <f>VLOOKUP($C464,'[1]PoB AI'!$C$1:$T$898,18,FALSE)</f>
        <v>0</v>
      </c>
      <c r="R464">
        <f>VLOOKUP($C464,'[1]PoB AS'!$C$1:$T$898,17,FALSE)</f>
        <v>14</v>
      </c>
      <c r="S464">
        <f>VLOOKUP($C464,'[1]PoB AS'!$C$1:$T$898,18,FALSE)</f>
        <v>102</v>
      </c>
      <c r="T464">
        <f>VLOOKUP($C464,'[1]PoB PI'!$C$1:$T$898,17,FALSE)</f>
        <v>0</v>
      </c>
      <c r="U464">
        <f>VLOOKUP($C464,'[1]PoB PI'!$C$1:$T$898,18,FALSE)</f>
        <v>0</v>
      </c>
      <c r="V464">
        <f>VLOOKUP($C464,'[1]PoB OT'!$C$1:$T$898,17,FALSE)</f>
        <v>21</v>
      </c>
      <c r="W464">
        <f>VLOOKUP($C464,'[1]PoB OT'!$C$1:$T$898,18,FALSE)</f>
        <v>0</v>
      </c>
      <c r="X464">
        <f>VLOOKUP($C464,'[1]PoB 2R'!$C$1:$T$898,17,FALSE)</f>
        <v>30</v>
      </c>
      <c r="Y464">
        <f>VLOOKUP($C464,'[1]PoB 2R'!$C$1:$T$898,18,FALSE)</f>
        <v>32</v>
      </c>
    </row>
    <row r="465" spans="1:25" x14ac:dyDescent="0.25">
      <c r="A465" t="s">
        <v>1378</v>
      </c>
      <c r="B465">
        <v>5372450</v>
      </c>
      <c r="C465" t="s">
        <v>1379</v>
      </c>
      <c r="D465">
        <f t="shared" si="21"/>
        <v>453</v>
      </c>
      <c r="E465">
        <f>VLOOKUP($C465,'[1]PoB Totals'!$C$3:$T$898,17,FALSE)</f>
        <v>436</v>
      </c>
      <c r="F465">
        <f>VLOOKUP($C465,'[1]PoB Totals'!$C$3:$T$898,18,FALSE)</f>
        <v>17</v>
      </c>
      <c r="G465">
        <f t="shared" si="22"/>
        <v>453</v>
      </c>
      <c r="H465">
        <f t="shared" si="23"/>
        <v>436</v>
      </c>
      <c r="I465">
        <f t="shared" si="23"/>
        <v>17</v>
      </c>
      <c r="J465">
        <f>VLOOKUP($C465,'[1]PoB WN'!$C$1:$T$898,17,FALSE)</f>
        <v>376</v>
      </c>
      <c r="K465">
        <f>VLOOKUP($C465,'[1]PoB WN'!$C$1:$T$898,18,FALSE)</f>
        <v>7</v>
      </c>
      <c r="L465">
        <f>VLOOKUP($C465,'[1]PoB WH'!$C$1:$T$898,17,FALSE)</f>
        <v>36</v>
      </c>
      <c r="M465">
        <f>VLOOKUP($C465,'[1]PoB WH'!$C$1:$T$898,18,FALSE)</f>
        <v>0</v>
      </c>
      <c r="N465">
        <f>VLOOKUP($C465,'[1]PoB AA'!$C$1:$T$898,17,FALSE)</f>
        <v>0</v>
      </c>
      <c r="O465">
        <f>VLOOKUP($C465,'[1]PoB AA'!$C$1:$T$898,18,FALSE)</f>
        <v>0</v>
      </c>
      <c r="P465">
        <f>VLOOKUP($C465,'[1]PoB AI'!$C$1:$T$898,17,FALSE)</f>
        <v>3</v>
      </c>
      <c r="Q465">
        <f>VLOOKUP($C465,'[1]PoB AI'!$C$1:$T$898,18,FALSE)</f>
        <v>0</v>
      </c>
      <c r="R465">
        <f>VLOOKUP($C465,'[1]PoB AS'!$C$1:$T$898,17,FALSE)</f>
        <v>13</v>
      </c>
      <c r="S465">
        <f>VLOOKUP($C465,'[1]PoB AS'!$C$1:$T$898,18,FALSE)</f>
        <v>0</v>
      </c>
      <c r="T465">
        <f>VLOOKUP($C465,'[1]PoB PI'!$C$1:$T$898,17,FALSE)</f>
        <v>0</v>
      </c>
      <c r="U465">
        <f>VLOOKUP($C465,'[1]PoB PI'!$C$1:$T$898,18,FALSE)</f>
        <v>0</v>
      </c>
      <c r="V465">
        <f>VLOOKUP($C465,'[1]PoB OT'!$C$1:$T$898,17,FALSE)</f>
        <v>0</v>
      </c>
      <c r="W465">
        <f>VLOOKUP($C465,'[1]PoB OT'!$C$1:$T$898,18,FALSE)</f>
        <v>10</v>
      </c>
      <c r="X465">
        <f>VLOOKUP($C465,'[1]PoB 2R'!$C$1:$T$898,17,FALSE)</f>
        <v>8</v>
      </c>
      <c r="Y465">
        <f>VLOOKUP($C465,'[1]PoB 2R'!$C$1:$T$898,18,FALSE)</f>
        <v>0</v>
      </c>
    </row>
    <row r="466" spans="1:25" x14ac:dyDescent="0.25">
      <c r="A466" t="s">
        <v>1380</v>
      </c>
      <c r="B466">
        <v>5372625</v>
      </c>
      <c r="C466" t="s">
        <v>1381</v>
      </c>
      <c r="D466">
        <f t="shared" si="21"/>
        <v>17204</v>
      </c>
      <c r="E466">
        <f>VLOOKUP($C466,'[1]PoB Totals'!$C$3:$T$898,17,FALSE)</f>
        <v>12449</v>
      </c>
      <c r="F466">
        <f>VLOOKUP($C466,'[1]PoB Totals'!$C$3:$T$898,18,FALSE)</f>
        <v>4755</v>
      </c>
      <c r="G466">
        <f t="shared" si="22"/>
        <v>17204</v>
      </c>
      <c r="H466">
        <f t="shared" si="23"/>
        <v>12449</v>
      </c>
      <c r="I466">
        <f t="shared" si="23"/>
        <v>4755</v>
      </c>
      <c r="J466">
        <f>VLOOKUP($C466,'[1]PoB WN'!$C$1:$T$898,17,FALSE)</f>
        <v>8027</v>
      </c>
      <c r="K466">
        <f>VLOOKUP($C466,'[1]PoB WN'!$C$1:$T$898,18,FALSE)</f>
        <v>1185</v>
      </c>
      <c r="L466">
        <f>VLOOKUP($C466,'[1]PoB WH'!$C$1:$T$898,17,FALSE)</f>
        <v>420</v>
      </c>
      <c r="M466">
        <f>VLOOKUP($C466,'[1]PoB WH'!$C$1:$T$898,18,FALSE)</f>
        <v>400</v>
      </c>
      <c r="N466">
        <f>VLOOKUP($C466,'[1]PoB AA'!$C$1:$T$898,17,FALSE)</f>
        <v>1881</v>
      </c>
      <c r="O466">
        <f>VLOOKUP($C466,'[1]PoB AA'!$C$1:$T$898,18,FALSE)</f>
        <v>429</v>
      </c>
      <c r="P466">
        <f>VLOOKUP($C466,'[1]PoB AI'!$C$1:$T$898,17,FALSE)</f>
        <v>144</v>
      </c>
      <c r="Q466">
        <f>VLOOKUP($C466,'[1]PoB AI'!$C$1:$T$898,18,FALSE)</f>
        <v>52</v>
      </c>
      <c r="R466">
        <f>VLOOKUP($C466,'[1]PoB AS'!$C$1:$T$898,17,FALSE)</f>
        <v>507</v>
      </c>
      <c r="S466">
        <f>VLOOKUP($C466,'[1]PoB AS'!$C$1:$T$898,18,FALSE)</f>
        <v>1281</v>
      </c>
      <c r="T466">
        <f>VLOOKUP($C466,'[1]PoB PI'!$C$1:$T$898,17,FALSE)</f>
        <v>131</v>
      </c>
      <c r="U466">
        <f>VLOOKUP($C466,'[1]PoB PI'!$C$1:$T$898,18,FALSE)</f>
        <v>201</v>
      </c>
      <c r="V466">
        <f>VLOOKUP($C466,'[1]PoB OT'!$C$1:$T$898,17,FALSE)</f>
        <v>436</v>
      </c>
      <c r="W466">
        <f>VLOOKUP($C466,'[1]PoB OT'!$C$1:$T$898,18,FALSE)</f>
        <v>912</v>
      </c>
      <c r="X466">
        <f>VLOOKUP($C466,'[1]PoB 2R'!$C$1:$T$898,17,FALSE)</f>
        <v>903</v>
      </c>
      <c r="Y466">
        <f>VLOOKUP($C466,'[1]PoB 2R'!$C$1:$T$898,18,FALSE)</f>
        <v>295</v>
      </c>
    </row>
    <row r="467" spans="1:25" x14ac:dyDescent="0.25">
      <c r="A467" t="s">
        <v>1592</v>
      </c>
      <c r="B467">
        <v>5372705</v>
      </c>
      <c r="C467" t="s">
        <v>1593</v>
      </c>
      <c r="D467">
        <f t="shared" si="21"/>
        <v>1555</v>
      </c>
      <c r="E467">
        <f>VLOOKUP($C467,'[1]PoB Totals'!$C$3:$T$898,17,FALSE)</f>
        <v>1483</v>
      </c>
      <c r="F467">
        <f>VLOOKUP($C467,'[1]PoB Totals'!$C$3:$T$898,18,FALSE)</f>
        <v>72</v>
      </c>
      <c r="G467">
        <f t="shared" si="22"/>
        <v>1555</v>
      </c>
      <c r="H467">
        <f t="shared" si="23"/>
        <v>1483</v>
      </c>
      <c r="I467">
        <f t="shared" si="23"/>
        <v>72</v>
      </c>
      <c r="J467">
        <f>VLOOKUP($C467,'[1]PoB WN'!$C$1:$T$898,17,FALSE)</f>
        <v>836</v>
      </c>
      <c r="K467">
        <f>VLOOKUP($C467,'[1]PoB WN'!$C$1:$T$898,18,FALSE)</f>
        <v>18</v>
      </c>
      <c r="L467">
        <f>VLOOKUP($C467,'[1]PoB WH'!$C$1:$T$898,17,FALSE)</f>
        <v>39</v>
      </c>
      <c r="M467">
        <f>VLOOKUP($C467,'[1]PoB WH'!$C$1:$T$898,18,FALSE)</f>
        <v>12</v>
      </c>
      <c r="N467">
        <f>VLOOKUP($C467,'[1]PoB AA'!$C$1:$T$898,17,FALSE)</f>
        <v>0</v>
      </c>
      <c r="O467">
        <f>VLOOKUP($C467,'[1]PoB AA'!$C$1:$T$898,18,FALSE)</f>
        <v>0</v>
      </c>
      <c r="P467">
        <f>VLOOKUP($C467,'[1]PoB AI'!$C$1:$T$898,17,FALSE)</f>
        <v>534</v>
      </c>
      <c r="Q467">
        <f>VLOOKUP($C467,'[1]PoB AI'!$C$1:$T$898,18,FALSE)</f>
        <v>9</v>
      </c>
      <c r="R467">
        <f>VLOOKUP($C467,'[1]PoB AS'!$C$1:$T$898,17,FALSE)</f>
        <v>9</v>
      </c>
      <c r="S467">
        <f>VLOOKUP($C467,'[1]PoB AS'!$C$1:$T$898,18,FALSE)</f>
        <v>28</v>
      </c>
      <c r="T467">
        <f>VLOOKUP($C467,'[1]PoB PI'!$C$1:$T$898,17,FALSE)</f>
        <v>0</v>
      </c>
      <c r="U467">
        <f>VLOOKUP($C467,'[1]PoB PI'!$C$1:$T$898,18,FALSE)</f>
        <v>0</v>
      </c>
      <c r="V467">
        <f>VLOOKUP($C467,'[1]PoB OT'!$C$1:$T$898,17,FALSE)</f>
        <v>5</v>
      </c>
      <c r="W467">
        <f>VLOOKUP($C467,'[1]PoB OT'!$C$1:$T$898,18,FALSE)</f>
        <v>3</v>
      </c>
      <c r="X467">
        <f>VLOOKUP($C467,'[1]PoB 2R'!$C$1:$T$898,17,FALSE)</f>
        <v>60</v>
      </c>
      <c r="Y467">
        <f>VLOOKUP($C467,'[1]PoB 2R'!$C$1:$T$898,18,FALSE)</f>
        <v>2</v>
      </c>
    </row>
    <row r="468" spans="1:25" x14ac:dyDescent="0.25">
      <c r="A468" t="s">
        <v>1382</v>
      </c>
      <c r="B468">
        <v>5372905</v>
      </c>
      <c r="C468" t="s">
        <v>1383</v>
      </c>
      <c r="D468">
        <f t="shared" si="21"/>
        <v>12646</v>
      </c>
      <c r="E468">
        <f>VLOOKUP($C468,'[1]PoB Totals'!$C$3:$T$898,17,FALSE)</f>
        <v>11621</v>
      </c>
      <c r="F468">
        <f>VLOOKUP($C468,'[1]PoB Totals'!$C$3:$T$898,18,FALSE)</f>
        <v>1025</v>
      </c>
      <c r="G468">
        <f t="shared" si="22"/>
        <v>12646</v>
      </c>
      <c r="H468">
        <f t="shared" si="23"/>
        <v>11621</v>
      </c>
      <c r="I468">
        <f t="shared" si="23"/>
        <v>1025</v>
      </c>
      <c r="J468">
        <f>VLOOKUP($C468,'[1]PoB WN'!$C$1:$T$898,17,FALSE)</f>
        <v>10515</v>
      </c>
      <c r="K468">
        <f>VLOOKUP($C468,'[1]PoB WN'!$C$1:$T$898,18,FALSE)</f>
        <v>453</v>
      </c>
      <c r="L468">
        <f>VLOOKUP($C468,'[1]PoB WH'!$C$1:$T$898,17,FALSE)</f>
        <v>139</v>
      </c>
      <c r="M468">
        <f>VLOOKUP($C468,'[1]PoB WH'!$C$1:$T$898,18,FALSE)</f>
        <v>77</v>
      </c>
      <c r="N468">
        <f>VLOOKUP($C468,'[1]PoB AA'!$C$1:$T$898,17,FALSE)</f>
        <v>95</v>
      </c>
      <c r="O468">
        <f>VLOOKUP($C468,'[1]PoB AA'!$C$1:$T$898,18,FALSE)</f>
        <v>9</v>
      </c>
      <c r="P468">
        <f>VLOOKUP($C468,'[1]PoB AI'!$C$1:$T$898,17,FALSE)</f>
        <v>290</v>
      </c>
      <c r="Q468">
        <f>VLOOKUP($C468,'[1]PoB AI'!$C$1:$T$898,18,FALSE)</f>
        <v>14</v>
      </c>
      <c r="R468">
        <f>VLOOKUP($C468,'[1]PoB AS'!$C$1:$T$898,17,FALSE)</f>
        <v>128</v>
      </c>
      <c r="S468">
        <f>VLOOKUP($C468,'[1]PoB AS'!$C$1:$T$898,18,FALSE)</f>
        <v>351</v>
      </c>
      <c r="T468">
        <f>VLOOKUP($C468,'[1]PoB PI'!$C$1:$T$898,17,FALSE)</f>
        <v>39</v>
      </c>
      <c r="U468">
        <f>VLOOKUP($C468,'[1]PoB PI'!$C$1:$T$898,18,FALSE)</f>
        <v>43</v>
      </c>
      <c r="V468">
        <f>VLOOKUP($C468,'[1]PoB OT'!$C$1:$T$898,17,FALSE)</f>
        <v>103</v>
      </c>
      <c r="W468">
        <f>VLOOKUP($C468,'[1]PoB OT'!$C$1:$T$898,18,FALSE)</f>
        <v>35</v>
      </c>
      <c r="X468">
        <f>VLOOKUP($C468,'[1]PoB 2R'!$C$1:$T$898,17,FALSE)</f>
        <v>312</v>
      </c>
      <c r="Y468">
        <f>VLOOKUP($C468,'[1]PoB 2R'!$C$1:$T$898,18,FALSE)</f>
        <v>43</v>
      </c>
    </row>
    <row r="469" spans="1:25" x14ac:dyDescent="0.25">
      <c r="A469" t="s">
        <v>1386</v>
      </c>
      <c r="B469">
        <v>5373080</v>
      </c>
      <c r="C469" t="s">
        <v>1387</v>
      </c>
      <c r="D469">
        <f t="shared" si="21"/>
        <v>952</v>
      </c>
      <c r="E469">
        <f>VLOOKUP($C469,'[1]PoB Totals'!$C$3:$T$898,17,FALSE)</f>
        <v>893</v>
      </c>
      <c r="F469">
        <f>VLOOKUP($C469,'[1]PoB Totals'!$C$3:$T$898,18,FALSE)</f>
        <v>59</v>
      </c>
      <c r="G469">
        <f t="shared" si="22"/>
        <v>952</v>
      </c>
      <c r="H469">
        <f t="shared" si="23"/>
        <v>893</v>
      </c>
      <c r="I469">
        <f t="shared" si="23"/>
        <v>59</v>
      </c>
      <c r="J469">
        <f>VLOOKUP($C469,'[1]PoB WN'!$C$1:$T$898,17,FALSE)</f>
        <v>842</v>
      </c>
      <c r="K469">
        <f>VLOOKUP($C469,'[1]PoB WN'!$C$1:$T$898,18,FALSE)</f>
        <v>27</v>
      </c>
      <c r="L469">
        <f>VLOOKUP($C469,'[1]PoB WH'!$C$1:$T$898,17,FALSE)</f>
        <v>9</v>
      </c>
      <c r="M469">
        <f>VLOOKUP($C469,'[1]PoB WH'!$C$1:$T$898,18,FALSE)</f>
        <v>11</v>
      </c>
      <c r="N469">
        <f>VLOOKUP($C469,'[1]PoB AA'!$C$1:$T$898,17,FALSE)</f>
        <v>0</v>
      </c>
      <c r="O469">
        <f>VLOOKUP($C469,'[1]PoB AA'!$C$1:$T$898,18,FALSE)</f>
        <v>0</v>
      </c>
      <c r="P469">
        <f>VLOOKUP($C469,'[1]PoB AI'!$C$1:$T$898,17,FALSE)</f>
        <v>10</v>
      </c>
      <c r="Q469">
        <f>VLOOKUP($C469,'[1]PoB AI'!$C$1:$T$898,18,FALSE)</f>
        <v>0</v>
      </c>
      <c r="R469">
        <f>VLOOKUP($C469,'[1]PoB AS'!$C$1:$T$898,17,FALSE)</f>
        <v>8</v>
      </c>
      <c r="S469">
        <f>VLOOKUP($C469,'[1]PoB AS'!$C$1:$T$898,18,FALSE)</f>
        <v>2</v>
      </c>
      <c r="T469">
        <f>VLOOKUP($C469,'[1]PoB PI'!$C$1:$T$898,17,FALSE)</f>
        <v>2</v>
      </c>
      <c r="U469">
        <f>VLOOKUP($C469,'[1]PoB PI'!$C$1:$T$898,18,FALSE)</f>
        <v>0</v>
      </c>
      <c r="V469">
        <f>VLOOKUP($C469,'[1]PoB OT'!$C$1:$T$898,17,FALSE)</f>
        <v>3</v>
      </c>
      <c r="W469">
        <f>VLOOKUP($C469,'[1]PoB OT'!$C$1:$T$898,18,FALSE)</f>
        <v>16</v>
      </c>
      <c r="X469">
        <f>VLOOKUP($C469,'[1]PoB 2R'!$C$1:$T$898,17,FALSE)</f>
        <v>19</v>
      </c>
      <c r="Y469">
        <f>VLOOKUP($C469,'[1]PoB 2R'!$C$1:$T$898,18,FALSE)</f>
        <v>3</v>
      </c>
    </row>
    <row r="470" spans="1:25" x14ac:dyDescent="0.25">
      <c r="A470" t="s">
        <v>1390</v>
      </c>
      <c r="B470">
        <v>5373290</v>
      </c>
      <c r="C470" t="s">
        <v>1391</v>
      </c>
      <c r="D470">
        <f t="shared" si="21"/>
        <v>5582</v>
      </c>
      <c r="E470">
        <f>VLOOKUP($C470,'[1]PoB Totals'!$C$3:$T$898,17,FALSE)</f>
        <v>4729</v>
      </c>
      <c r="F470">
        <f>VLOOKUP($C470,'[1]PoB Totals'!$C$3:$T$898,18,FALSE)</f>
        <v>853</v>
      </c>
      <c r="G470">
        <f t="shared" si="22"/>
        <v>5582</v>
      </c>
      <c r="H470">
        <f t="shared" si="23"/>
        <v>4729</v>
      </c>
      <c r="I470">
        <f t="shared" si="23"/>
        <v>853</v>
      </c>
      <c r="J470">
        <f>VLOOKUP($C470,'[1]PoB WN'!$C$1:$T$898,17,FALSE)</f>
        <v>3509</v>
      </c>
      <c r="K470">
        <f>VLOOKUP($C470,'[1]PoB WN'!$C$1:$T$898,18,FALSE)</f>
        <v>41</v>
      </c>
      <c r="L470">
        <f>VLOOKUP($C470,'[1]PoB WH'!$C$1:$T$898,17,FALSE)</f>
        <v>257</v>
      </c>
      <c r="M470">
        <f>VLOOKUP($C470,'[1]PoB WH'!$C$1:$T$898,18,FALSE)</f>
        <v>151</v>
      </c>
      <c r="N470">
        <f>VLOOKUP($C470,'[1]PoB AA'!$C$1:$T$898,17,FALSE)</f>
        <v>28</v>
      </c>
      <c r="O470">
        <f>VLOOKUP($C470,'[1]PoB AA'!$C$1:$T$898,18,FALSE)</f>
        <v>0</v>
      </c>
      <c r="P470">
        <f>VLOOKUP($C470,'[1]PoB AI'!$C$1:$T$898,17,FALSE)</f>
        <v>115</v>
      </c>
      <c r="Q470">
        <f>VLOOKUP($C470,'[1]PoB AI'!$C$1:$T$898,18,FALSE)</f>
        <v>7</v>
      </c>
      <c r="R470">
        <f>VLOOKUP($C470,'[1]PoB AS'!$C$1:$T$898,17,FALSE)</f>
        <v>14</v>
      </c>
      <c r="S470">
        <f>VLOOKUP($C470,'[1]PoB AS'!$C$1:$T$898,18,FALSE)</f>
        <v>24</v>
      </c>
      <c r="T470">
        <f>VLOOKUP($C470,'[1]PoB PI'!$C$1:$T$898,17,FALSE)</f>
        <v>0</v>
      </c>
      <c r="U470">
        <f>VLOOKUP($C470,'[1]PoB PI'!$C$1:$T$898,18,FALSE)</f>
        <v>0</v>
      </c>
      <c r="V470">
        <f>VLOOKUP($C470,'[1]PoB OT'!$C$1:$T$898,17,FALSE)</f>
        <v>600</v>
      </c>
      <c r="W470">
        <f>VLOOKUP($C470,'[1]PoB OT'!$C$1:$T$898,18,FALSE)</f>
        <v>584</v>
      </c>
      <c r="X470">
        <f>VLOOKUP($C470,'[1]PoB 2R'!$C$1:$T$898,17,FALSE)</f>
        <v>206</v>
      </c>
      <c r="Y470">
        <f>VLOOKUP($C470,'[1]PoB 2R'!$C$1:$T$898,18,FALSE)</f>
        <v>46</v>
      </c>
    </row>
    <row r="471" spans="1:25" x14ac:dyDescent="0.25">
      <c r="A471" t="s">
        <v>1392</v>
      </c>
      <c r="B471">
        <v>5373307</v>
      </c>
      <c r="C471" t="s">
        <v>1393</v>
      </c>
      <c r="D471">
        <f t="shared" si="21"/>
        <v>11179</v>
      </c>
      <c r="E471">
        <f>VLOOKUP($C471,'[1]PoB Totals'!$C$3:$T$898,17,FALSE)</f>
        <v>9896</v>
      </c>
      <c r="F471">
        <f>VLOOKUP($C471,'[1]PoB Totals'!$C$3:$T$898,18,FALSE)</f>
        <v>1283</v>
      </c>
      <c r="G471">
        <f t="shared" si="22"/>
        <v>11179</v>
      </c>
      <c r="H471">
        <f t="shared" si="23"/>
        <v>9896</v>
      </c>
      <c r="I471">
        <f t="shared" si="23"/>
        <v>1283</v>
      </c>
      <c r="J471">
        <f>VLOOKUP($C471,'[1]PoB WN'!$C$1:$T$898,17,FALSE)</f>
        <v>9165</v>
      </c>
      <c r="K471">
        <f>VLOOKUP($C471,'[1]PoB WN'!$C$1:$T$898,18,FALSE)</f>
        <v>750</v>
      </c>
      <c r="L471">
        <f>VLOOKUP($C471,'[1]PoB WH'!$C$1:$T$898,17,FALSE)</f>
        <v>104</v>
      </c>
      <c r="M471">
        <f>VLOOKUP($C471,'[1]PoB WH'!$C$1:$T$898,18,FALSE)</f>
        <v>49</v>
      </c>
      <c r="N471">
        <f>VLOOKUP($C471,'[1]PoB AA'!$C$1:$T$898,17,FALSE)</f>
        <v>115</v>
      </c>
      <c r="O471">
        <f>VLOOKUP($C471,'[1]PoB AA'!$C$1:$T$898,18,FALSE)</f>
        <v>12</v>
      </c>
      <c r="P471">
        <f>VLOOKUP($C471,'[1]PoB AI'!$C$1:$T$898,17,FALSE)</f>
        <v>7</v>
      </c>
      <c r="Q471">
        <f>VLOOKUP($C471,'[1]PoB AI'!$C$1:$T$898,18,FALSE)</f>
        <v>0</v>
      </c>
      <c r="R471">
        <f>VLOOKUP($C471,'[1]PoB AS'!$C$1:$T$898,17,FALSE)</f>
        <v>202</v>
      </c>
      <c r="S471">
        <f>VLOOKUP($C471,'[1]PoB AS'!$C$1:$T$898,18,FALSE)</f>
        <v>326</v>
      </c>
      <c r="T471">
        <f>VLOOKUP($C471,'[1]PoB PI'!$C$1:$T$898,17,FALSE)</f>
        <v>0</v>
      </c>
      <c r="U471">
        <f>VLOOKUP($C471,'[1]PoB PI'!$C$1:$T$898,18,FALSE)</f>
        <v>0</v>
      </c>
      <c r="V471">
        <f>VLOOKUP($C471,'[1]PoB OT'!$C$1:$T$898,17,FALSE)</f>
        <v>61</v>
      </c>
      <c r="W471">
        <f>VLOOKUP($C471,'[1]PoB OT'!$C$1:$T$898,18,FALSE)</f>
        <v>116</v>
      </c>
      <c r="X471">
        <f>VLOOKUP($C471,'[1]PoB 2R'!$C$1:$T$898,17,FALSE)</f>
        <v>242</v>
      </c>
      <c r="Y471">
        <f>VLOOKUP($C471,'[1]PoB 2R'!$C$1:$T$898,18,FALSE)</f>
        <v>30</v>
      </c>
    </row>
    <row r="472" spans="1:25" x14ac:dyDescent="0.25">
      <c r="A472" t="s">
        <v>1394</v>
      </c>
      <c r="B472">
        <v>5373360</v>
      </c>
      <c r="C472" t="s">
        <v>1395</v>
      </c>
      <c r="D472">
        <f t="shared" si="21"/>
        <v>355</v>
      </c>
      <c r="E472">
        <f>VLOOKUP($C472,'[1]PoB Totals'!$C$3:$T$898,17,FALSE)</f>
        <v>349</v>
      </c>
      <c r="F472">
        <f>VLOOKUP($C472,'[1]PoB Totals'!$C$3:$T$898,18,FALSE)</f>
        <v>6</v>
      </c>
      <c r="G472">
        <f t="shared" si="22"/>
        <v>355</v>
      </c>
      <c r="H472">
        <f t="shared" si="23"/>
        <v>349</v>
      </c>
      <c r="I472">
        <f t="shared" si="23"/>
        <v>6</v>
      </c>
      <c r="J472">
        <f>VLOOKUP($C472,'[1]PoB WN'!$C$1:$T$898,17,FALSE)</f>
        <v>345</v>
      </c>
      <c r="K472">
        <f>VLOOKUP($C472,'[1]PoB WN'!$C$1:$T$898,18,FALSE)</f>
        <v>4</v>
      </c>
      <c r="L472">
        <f>VLOOKUP($C472,'[1]PoB WH'!$C$1:$T$898,17,FALSE)</f>
        <v>2</v>
      </c>
      <c r="M472">
        <f>VLOOKUP($C472,'[1]PoB WH'!$C$1:$T$898,18,FALSE)</f>
        <v>0</v>
      </c>
      <c r="N472">
        <f>VLOOKUP($C472,'[1]PoB AA'!$C$1:$T$898,17,FALSE)</f>
        <v>0</v>
      </c>
      <c r="O472">
        <f>VLOOKUP($C472,'[1]PoB AA'!$C$1:$T$898,18,FALSE)</f>
        <v>0</v>
      </c>
      <c r="P472">
        <f>VLOOKUP($C472,'[1]PoB AI'!$C$1:$T$898,17,FALSE)</f>
        <v>0</v>
      </c>
      <c r="Q472">
        <f>VLOOKUP($C472,'[1]PoB AI'!$C$1:$T$898,18,FALSE)</f>
        <v>0</v>
      </c>
      <c r="R472">
        <f>VLOOKUP($C472,'[1]PoB AS'!$C$1:$T$898,17,FALSE)</f>
        <v>0</v>
      </c>
      <c r="S472">
        <f>VLOOKUP($C472,'[1]PoB AS'!$C$1:$T$898,18,FALSE)</f>
        <v>0</v>
      </c>
      <c r="T472">
        <f>VLOOKUP($C472,'[1]PoB PI'!$C$1:$T$898,17,FALSE)</f>
        <v>0</v>
      </c>
      <c r="U472">
        <f>VLOOKUP($C472,'[1]PoB PI'!$C$1:$T$898,18,FALSE)</f>
        <v>0</v>
      </c>
      <c r="V472">
        <f>VLOOKUP($C472,'[1]PoB OT'!$C$1:$T$898,17,FALSE)</f>
        <v>0</v>
      </c>
      <c r="W472">
        <f>VLOOKUP($C472,'[1]PoB OT'!$C$1:$T$898,18,FALSE)</f>
        <v>2</v>
      </c>
      <c r="X472">
        <f>VLOOKUP($C472,'[1]PoB 2R'!$C$1:$T$898,17,FALSE)</f>
        <v>2</v>
      </c>
      <c r="Y472">
        <f>VLOOKUP($C472,'[1]PoB 2R'!$C$1:$T$898,18,FALSE)</f>
        <v>0</v>
      </c>
    </row>
    <row r="473" spans="1:25" x14ac:dyDescent="0.25">
      <c r="A473" t="s">
        <v>1396</v>
      </c>
      <c r="B473">
        <v>5373465</v>
      </c>
      <c r="C473" t="s">
        <v>1397</v>
      </c>
      <c r="D473">
        <f t="shared" si="21"/>
        <v>30120</v>
      </c>
      <c r="E473">
        <f>VLOOKUP($C473,'[1]PoB Totals'!$C$3:$T$898,17,FALSE)</f>
        <v>26479</v>
      </c>
      <c r="F473">
        <f>VLOOKUP($C473,'[1]PoB Totals'!$C$3:$T$898,18,FALSE)</f>
        <v>3641</v>
      </c>
      <c r="G473">
        <f t="shared" si="22"/>
        <v>30120</v>
      </c>
      <c r="H473">
        <f t="shared" si="23"/>
        <v>26479</v>
      </c>
      <c r="I473">
        <f t="shared" si="23"/>
        <v>3641</v>
      </c>
      <c r="J473">
        <f>VLOOKUP($C473,'[1]PoB WN'!$C$1:$T$898,17,FALSE)</f>
        <v>21217</v>
      </c>
      <c r="K473">
        <f>VLOOKUP($C473,'[1]PoB WN'!$C$1:$T$898,18,FALSE)</f>
        <v>1187</v>
      </c>
      <c r="L473">
        <f>VLOOKUP($C473,'[1]PoB WH'!$C$1:$T$898,17,FALSE)</f>
        <v>391</v>
      </c>
      <c r="M473">
        <f>VLOOKUP($C473,'[1]PoB WH'!$C$1:$T$898,18,FALSE)</f>
        <v>96</v>
      </c>
      <c r="N473">
        <f>VLOOKUP($C473,'[1]PoB AA'!$C$1:$T$898,17,FALSE)</f>
        <v>2459</v>
      </c>
      <c r="O473">
        <f>VLOOKUP($C473,'[1]PoB AA'!$C$1:$T$898,18,FALSE)</f>
        <v>138</v>
      </c>
      <c r="P473">
        <f>VLOOKUP($C473,'[1]PoB AI'!$C$1:$T$898,17,FALSE)</f>
        <v>232</v>
      </c>
      <c r="Q473">
        <f>VLOOKUP($C473,'[1]PoB AI'!$C$1:$T$898,18,FALSE)</f>
        <v>9</v>
      </c>
      <c r="R473">
        <f>VLOOKUP($C473,'[1]PoB AS'!$C$1:$T$898,17,FALSE)</f>
        <v>565</v>
      </c>
      <c r="S473">
        <f>VLOOKUP($C473,'[1]PoB AS'!$C$1:$T$898,18,FALSE)</f>
        <v>1746</v>
      </c>
      <c r="T473">
        <f>VLOOKUP($C473,'[1]PoB PI'!$C$1:$T$898,17,FALSE)</f>
        <v>74</v>
      </c>
      <c r="U473">
        <f>VLOOKUP($C473,'[1]PoB PI'!$C$1:$T$898,18,FALSE)</f>
        <v>96</v>
      </c>
      <c r="V473">
        <f>VLOOKUP($C473,'[1]PoB OT'!$C$1:$T$898,17,FALSE)</f>
        <v>226</v>
      </c>
      <c r="W473">
        <f>VLOOKUP($C473,'[1]PoB OT'!$C$1:$T$898,18,FALSE)</f>
        <v>116</v>
      </c>
      <c r="X473">
        <f>VLOOKUP($C473,'[1]PoB 2R'!$C$1:$T$898,17,FALSE)</f>
        <v>1315</v>
      </c>
      <c r="Y473">
        <f>VLOOKUP($C473,'[1]PoB 2R'!$C$1:$T$898,18,FALSE)</f>
        <v>253</v>
      </c>
    </row>
    <row r="474" spans="1:25" x14ac:dyDescent="0.25">
      <c r="A474" t="s">
        <v>1400</v>
      </c>
      <c r="B474">
        <v>5373780</v>
      </c>
      <c r="C474" t="s">
        <v>1401</v>
      </c>
      <c r="D474">
        <f t="shared" si="21"/>
        <v>617</v>
      </c>
      <c r="E474">
        <f>VLOOKUP($C474,'[1]PoB Totals'!$C$3:$T$898,17,FALSE)</f>
        <v>578</v>
      </c>
      <c r="F474">
        <f>VLOOKUP($C474,'[1]PoB Totals'!$C$3:$T$898,18,FALSE)</f>
        <v>39</v>
      </c>
      <c r="G474">
        <f t="shared" si="22"/>
        <v>617</v>
      </c>
      <c r="H474">
        <f t="shared" si="23"/>
        <v>578</v>
      </c>
      <c r="I474">
        <f t="shared" si="23"/>
        <v>39</v>
      </c>
      <c r="J474">
        <f>VLOOKUP($C474,'[1]PoB WN'!$C$1:$T$898,17,FALSE)</f>
        <v>529</v>
      </c>
      <c r="K474">
        <f>VLOOKUP($C474,'[1]PoB WN'!$C$1:$T$898,18,FALSE)</f>
        <v>11</v>
      </c>
      <c r="L474">
        <f>VLOOKUP($C474,'[1]PoB WH'!$C$1:$T$898,17,FALSE)</f>
        <v>24</v>
      </c>
      <c r="M474">
        <f>VLOOKUP($C474,'[1]PoB WH'!$C$1:$T$898,18,FALSE)</f>
        <v>17</v>
      </c>
      <c r="N474">
        <f>VLOOKUP($C474,'[1]PoB AA'!$C$1:$T$898,17,FALSE)</f>
        <v>0</v>
      </c>
      <c r="O474">
        <f>VLOOKUP($C474,'[1]PoB AA'!$C$1:$T$898,18,FALSE)</f>
        <v>0</v>
      </c>
      <c r="P474">
        <f>VLOOKUP($C474,'[1]PoB AI'!$C$1:$T$898,17,FALSE)</f>
        <v>4</v>
      </c>
      <c r="Q474">
        <f>VLOOKUP($C474,'[1]PoB AI'!$C$1:$T$898,18,FALSE)</f>
        <v>0</v>
      </c>
      <c r="R474">
        <f>VLOOKUP($C474,'[1]PoB AS'!$C$1:$T$898,17,FALSE)</f>
        <v>0</v>
      </c>
      <c r="S474">
        <f>VLOOKUP($C474,'[1]PoB AS'!$C$1:$T$898,18,FALSE)</f>
        <v>2</v>
      </c>
      <c r="T474">
        <f>VLOOKUP($C474,'[1]PoB PI'!$C$1:$T$898,17,FALSE)</f>
        <v>0</v>
      </c>
      <c r="U474">
        <f>VLOOKUP($C474,'[1]PoB PI'!$C$1:$T$898,18,FALSE)</f>
        <v>0</v>
      </c>
      <c r="V474">
        <f>VLOOKUP($C474,'[1]PoB OT'!$C$1:$T$898,17,FALSE)</f>
        <v>9</v>
      </c>
      <c r="W474">
        <f>VLOOKUP($C474,'[1]PoB OT'!$C$1:$T$898,18,FALSE)</f>
        <v>0</v>
      </c>
      <c r="X474">
        <f>VLOOKUP($C474,'[1]PoB 2R'!$C$1:$T$898,17,FALSE)</f>
        <v>12</v>
      </c>
      <c r="Y474">
        <f>VLOOKUP($C474,'[1]PoB 2R'!$C$1:$T$898,18,FALSE)</f>
        <v>9</v>
      </c>
    </row>
    <row r="475" spans="1:25" x14ac:dyDescent="0.25">
      <c r="A475" t="s">
        <v>1404</v>
      </c>
      <c r="B475">
        <v>5374060</v>
      </c>
      <c r="C475" t="s">
        <v>1405</v>
      </c>
      <c r="D475">
        <f t="shared" si="21"/>
        <v>143226</v>
      </c>
      <c r="E475">
        <f>VLOOKUP($C475,'[1]PoB Totals'!$C$3:$T$898,17,FALSE)</f>
        <v>124147</v>
      </c>
      <c r="F475">
        <f>VLOOKUP($C475,'[1]PoB Totals'!$C$3:$T$898,18,FALSE)</f>
        <v>19079</v>
      </c>
      <c r="G475">
        <f t="shared" si="22"/>
        <v>143226</v>
      </c>
      <c r="H475">
        <f t="shared" si="23"/>
        <v>124147</v>
      </c>
      <c r="I475">
        <f t="shared" si="23"/>
        <v>19079</v>
      </c>
      <c r="J475">
        <f>VLOOKUP($C475,'[1]PoB WN'!$C$1:$T$898,17,FALSE)</f>
        <v>107526</v>
      </c>
      <c r="K475">
        <f>VLOOKUP($C475,'[1]PoB WN'!$C$1:$T$898,18,FALSE)</f>
        <v>9516</v>
      </c>
      <c r="L475">
        <f>VLOOKUP($C475,'[1]PoB WH'!$C$1:$T$898,17,FALSE)</f>
        <v>2453</v>
      </c>
      <c r="M475">
        <f>VLOOKUP($C475,'[1]PoB WH'!$C$1:$T$898,18,FALSE)</f>
        <v>1054</v>
      </c>
      <c r="N475">
        <f>VLOOKUP($C475,'[1]PoB AA'!$C$1:$T$898,17,FALSE)</f>
        <v>2969</v>
      </c>
      <c r="O475">
        <f>VLOOKUP($C475,'[1]PoB AA'!$C$1:$T$898,18,FALSE)</f>
        <v>303</v>
      </c>
      <c r="P475">
        <f>VLOOKUP($C475,'[1]PoB AI'!$C$1:$T$898,17,FALSE)</f>
        <v>1479</v>
      </c>
      <c r="Q475">
        <f>VLOOKUP($C475,'[1]PoB AI'!$C$1:$T$898,18,FALSE)</f>
        <v>23</v>
      </c>
      <c r="R475">
        <f>VLOOKUP($C475,'[1]PoB AS'!$C$1:$T$898,17,FALSE)</f>
        <v>1796</v>
      </c>
      <c r="S475">
        <f>VLOOKUP($C475,'[1]PoB AS'!$C$1:$T$898,18,FALSE)</f>
        <v>4359</v>
      </c>
      <c r="T475">
        <f>VLOOKUP($C475,'[1]PoB PI'!$C$1:$T$898,17,FALSE)</f>
        <v>609</v>
      </c>
      <c r="U475">
        <f>VLOOKUP($C475,'[1]PoB PI'!$C$1:$T$898,18,FALSE)</f>
        <v>334</v>
      </c>
      <c r="V475">
        <f>VLOOKUP($C475,'[1]PoB OT'!$C$1:$T$898,17,FALSE)</f>
        <v>2125</v>
      </c>
      <c r="W475">
        <f>VLOOKUP($C475,'[1]PoB OT'!$C$1:$T$898,18,FALSE)</f>
        <v>2401</v>
      </c>
      <c r="X475">
        <f>VLOOKUP($C475,'[1]PoB 2R'!$C$1:$T$898,17,FALSE)</f>
        <v>5190</v>
      </c>
      <c r="Y475">
        <f>VLOOKUP($C475,'[1]PoB 2R'!$C$1:$T$898,18,FALSE)</f>
        <v>1089</v>
      </c>
    </row>
    <row r="476" spans="1:25" x14ac:dyDescent="0.25">
      <c r="A476" t="s">
        <v>1406</v>
      </c>
      <c r="B476">
        <v>5374200</v>
      </c>
      <c r="C476" t="s">
        <v>1407</v>
      </c>
      <c r="D476">
        <f t="shared" si="21"/>
        <v>21</v>
      </c>
      <c r="E476">
        <f>VLOOKUP($C476,'[1]PoB Totals'!$C$3:$T$898,17,FALSE)</f>
        <v>21</v>
      </c>
      <c r="F476">
        <f>VLOOKUP($C476,'[1]PoB Totals'!$C$3:$T$898,18,FALSE)</f>
        <v>0</v>
      </c>
      <c r="G476">
        <f t="shared" si="22"/>
        <v>21</v>
      </c>
      <c r="H476">
        <f t="shared" si="23"/>
        <v>21</v>
      </c>
      <c r="I476">
        <f t="shared" si="23"/>
        <v>0</v>
      </c>
      <c r="J476">
        <f>VLOOKUP($C476,'[1]PoB WN'!$C$1:$T$898,17,FALSE)</f>
        <v>17</v>
      </c>
      <c r="K476">
        <f>VLOOKUP($C476,'[1]PoB WN'!$C$1:$T$898,18,FALSE)</f>
        <v>0</v>
      </c>
      <c r="L476">
        <f>VLOOKUP($C476,'[1]PoB WH'!$C$1:$T$898,17,FALSE)</f>
        <v>0</v>
      </c>
      <c r="M476">
        <f>VLOOKUP($C476,'[1]PoB WH'!$C$1:$T$898,18,FALSE)</f>
        <v>0</v>
      </c>
      <c r="N476">
        <f>VLOOKUP($C476,'[1]PoB AA'!$C$1:$T$898,17,FALSE)</f>
        <v>0</v>
      </c>
      <c r="O476">
        <f>VLOOKUP($C476,'[1]PoB AA'!$C$1:$T$898,18,FALSE)</f>
        <v>0</v>
      </c>
      <c r="P476">
        <f>VLOOKUP($C476,'[1]PoB AI'!$C$1:$T$898,17,FALSE)</f>
        <v>0</v>
      </c>
      <c r="Q476">
        <f>VLOOKUP($C476,'[1]PoB AI'!$C$1:$T$898,18,FALSE)</f>
        <v>0</v>
      </c>
      <c r="R476">
        <f>VLOOKUP($C476,'[1]PoB AS'!$C$1:$T$898,17,FALSE)</f>
        <v>0</v>
      </c>
      <c r="S476">
        <f>VLOOKUP($C476,'[1]PoB AS'!$C$1:$T$898,18,FALSE)</f>
        <v>0</v>
      </c>
      <c r="T476">
        <f>VLOOKUP($C476,'[1]PoB PI'!$C$1:$T$898,17,FALSE)</f>
        <v>0</v>
      </c>
      <c r="U476">
        <f>VLOOKUP($C476,'[1]PoB PI'!$C$1:$T$898,18,FALSE)</f>
        <v>0</v>
      </c>
      <c r="V476">
        <f>VLOOKUP($C476,'[1]PoB OT'!$C$1:$T$898,17,FALSE)</f>
        <v>0</v>
      </c>
      <c r="W476">
        <f>VLOOKUP($C476,'[1]PoB OT'!$C$1:$T$898,18,FALSE)</f>
        <v>0</v>
      </c>
      <c r="X476">
        <f>VLOOKUP($C476,'[1]PoB 2R'!$C$1:$T$898,17,FALSE)</f>
        <v>4</v>
      </c>
      <c r="Y476">
        <f>VLOOKUP($C476,'[1]PoB 2R'!$C$1:$T$898,18,FALSE)</f>
        <v>0</v>
      </c>
    </row>
    <row r="477" spans="1:25" x14ac:dyDescent="0.25">
      <c r="A477" t="s">
        <v>1408</v>
      </c>
      <c r="B477">
        <v>5374305</v>
      </c>
      <c r="C477" t="s">
        <v>1409</v>
      </c>
      <c r="D477">
        <f t="shared" si="21"/>
        <v>10123</v>
      </c>
      <c r="E477">
        <f>VLOOKUP($C477,'[1]PoB Totals'!$C$3:$T$898,17,FALSE)</f>
        <v>9492</v>
      </c>
      <c r="F477">
        <f>VLOOKUP($C477,'[1]PoB Totals'!$C$3:$T$898,18,FALSE)</f>
        <v>631</v>
      </c>
      <c r="G477">
        <f t="shared" si="22"/>
        <v>10123</v>
      </c>
      <c r="H477">
        <f t="shared" si="23"/>
        <v>9492</v>
      </c>
      <c r="I477">
        <f t="shared" si="23"/>
        <v>631</v>
      </c>
      <c r="J477">
        <f>VLOOKUP($C477,'[1]PoB WN'!$C$1:$T$898,17,FALSE)</f>
        <v>8964</v>
      </c>
      <c r="K477">
        <f>VLOOKUP($C477,'[1]PoB WN'!$C$1:$T$898,18,FALSE)</f>
        <v>390</v>
      </c>
      <c r="L477">
        <f>VLOOKUP($C477,'[1]PoB WH'!$C$1:$T$898,17,FALSE)</f>
        <v>105</v>
      </c>
      <c r="M477">
        <f>VLOOKUP($C477,'[1]PoB WH'!$C$1:$T$898,18,FALSE)</f>
        <v>11</v>
      </c>
      <c r="N477">
        <f>VLOOKUP($C477,'[1]PoB AA'!$C$1:$T$898,17,FALSE)</f>
        <v>57</v>
      </c>
      <c r="O477">
        <f>VLOOKUP($C477,'[1]PoB AA'!$C$1:$T$898,18,FALSE)</f>
        <v>22</v>
      </c>
      <c r="P477">
        <f>VLOOKUP($C477,'[1]PoB AI'!$C$1:$T$898,17,FALSE)</f>
        <v>58</v>
      </c>
      <c r="Q477">
        <f>VLOOKUP($C477,'[1]PoB AI'!$C$1:$T$898,18,FALSE)</f>
        <v>0</v>
      </c>
      <c r="R477">
        <f>VLOOKUP($C477,'[1]PoB AS'!$C$1:$T$898,17,FALSE)</f>
        <v>26</v>
      </c>
      <c r="S477">
        <f>VLOOKUP($C477,'[1]PoB AS'!$C$1:$T$898,18,FALSE)</f>
        <v>100</v>
      </c>
      <c r="T477">
        <f>VLOOKUP($C477,'[1]PoB PI'!$C$1:$T$898,17,FALSE)</f>
        <v>8</v>
      </c>
      <c r="U477">
        <f>VLOOKUP($C477,'[1]PoB PI'!$C$1:$T$898,18,FALSE)</f>
        <v>0</v>
      </c>
      <c r="V477">
        <f>VLOOKUP($C477,'[1]PoB OT'!$C$1:$T$898,17,FALSE)</f>
        <v>42</v>
      </c>
      <c r="W477">
        <f>VLOOKUP($C477,'[1]PoB OT'!$C$1:$T$898,18,FALSE)</f>
        <v>90</v>
      </c>
      <c r="X477">
        <f>VLOOKUP($C477,'[1]PoB 2R'!$C$1:$T$898,17,FALSE)</f>
        <v>232</v>
      </c>
      <c r="Y477">
        <f>VLOOKUP($C477,'[1]PoB 2R'!$C$1:$T$898,18,FALSE)</f>
        <v>18</v>
      </c>
    </row>
    <row r="478" spans="1:25" x14ac:dyDescent="0.25">
      <c r="A478" t="s">
        <v>1412</v>
      </c>
      <c r="B478">
        <v>5374585</v>
      </c>
      <c r="C478" t="s">
        <v>1413</v>
      </c>
      <c r="D478">
        <f t="shared" si="21"/>
        <v>3319</v>
      </c>
      <c r="E478">
        <f>VLOOKUP($C478,'[1]PoB Totals'!$C$3:$T$898,17,FALSE)</f>
        <v>3188</v>
      </c>
      <c r="F478">
        <f>VLOOKUP($C478,'[1]PoB Totals'!$C$3:$T$898,18,FALSE)</f>
        <v>131</v>
      </c>
      <c r="G478">
        <f t="shared" si="22"/>
        <v>3319</v>
      </c>
      <c r="H478">
        <f t="shared" si="23"/>
        <v>3188</v>
      </c>
      <c r="I478">
        <f t="shared" si="23"/>
        <v>131</v>
      </c>
      <c r="J478">
        <f>VLOOKUP($C478,'[1]PoB WN'!$C$1:$T$898,17,FALSE)</f>
        <v>3074</v>
      </c>
      <c r="K478">
        <f>VLOOKUP($C478,'[1]PoB WN'!$C$1:$T$898,18,FALSE)</f>
        <v>59</v>
      </c>
      <c r="L478">
        <f>VLOOKUP($C478,'[1]PoB WH'!$C$1:$T$898,17,FALSE)</f>
        <v>15</v>
      </c>
      <c r="M478">
        <f>VLOOKUP($C478,'[1]PoB WH'!$C$1:$T$898,18,FALSE)</f>
        <v>19</v>
      </c>
      <c r="N478">
        <f>VLOOKUP($C478,'[1]PoB AA'!$C$1:$T$898,17,FALSE)</f>
        <v>0</v>
      </c>
      <c r="O478">
        <f>VLOOKUP($C478,'[1]PoB AA'!$C$1:$T$898,18,FALSE)</f>
        <v>0</v>
      </c>
      <c r="P478">
        <f>VLOOKUP($C478,'[1]PoB AI'!$C$1:$T$898,17,FALSE)</f>
        <v>0</v>
      </c>
      <c r="Q478">
        <f>VLOOKUP($C478,'[1]PoB AI'!$C$1:$T$898,18,FALSE)</f>
        <v>0</v>
      </c>
      <c r="R478">
        <f>VLOOKUP($C478,'[1]PoB AS'!$C$1:$T$898,17,FALSE)</f>
        <v>52</v>
      </c>
      <c r="S478">
        <f>VLOOKUP($C478,'[1]PoB AS'!$C$1:$T$898,18,FALSE)</f>
        <v>23</v>
      </c>
      <c r="T478">
        <f>VLOOKUP($C478,'[1]PoB PI'!$C$1:$T$898,17,FALSE)</f>
        <v>0</v>
      </c>
      <c r="U478">
        <f>VLOOKUP($C478,'[1]PoB PI'!$C$1:$T$898,18,FALSE)</f>
        <v>13</v>
      </c>
      <c r="V478">
        <f>VLOOKUP($C478,'[1]PoB OT'!$C$1:$T$898,17,FALSE)</f>
        <v>25</v>
      </c>
      <c r="W478">
        <f>VLOOKUP($C478,'[1]PoB OT'!$C$1:$T$898,18,FALSE)</f>
        <v>14</v>
      </c>
      <c r="X478">
        <f>VLOOKUP($C478,'[1]PoB 2R'!$C$1:$T$898,17,FALSE)</f>
        <v>22</v>
      </c>
      <c r="Y478">
        <f>VLOOKUP($C478,'[1]PoB 2R'!$C$1:$T$898,18,FALSE)</f>
        <v>3</v>
      </c>
    </row>
    <row r="479" spans="1:25" x14ac:dyDescent="0.25">
      <c r="A479" t="s">
        <v>1594</v>
      </c>
      <c r="B479">
        <v>5374725</v>
      </c>
      <c r="C479" t="s">
        <v>1595</v>
      </c>
      <c r="D479">
        <f t="shared" si="21"/>
        <v>9387</v>
      </c>
      <c r="E479">
        <f>VLOOKUP($C479,'[1]PoB Totals'!$C$3:$T$898,17,FALSE)</f>
        <v>8992</v>
      </c>
      <c r="F479">
        <f>VLOOKUP($C479,'[1]PoB Totals'!$C$3:$T$898,18,FALSE)</f>
        <v>395</v>
      </c>
      <c r="G479">
        <f t="shared" si="22"/>
        <v>9387</v>
      </c>
      <c r="H479">
        <f t="shared" si="23"/>
        <v>8992</v>
      </c>
      <c r="I479">
        <f t="shared" si="23"/>
        <v>395</v>
      </c>
      <c r="J479">
        <f>VLOOKUP($C479,'[1]PoB WN'!$C$1:$T$898,17,FALSE)</f>
        <v>8539</v>
      </c>
      <c r="K479">
        <f>VLOOKUP($C479,'[1]PoB WN'!$C$1:$T$898,18,FALSE)</f>
        <v>177</v>
      </c>
      <c r="L479">
        <f>VLOOKUP($C479,'[1]PoB WH'!$C$1:$T$898,17,FALSE)</f>
        <v>11</v>
      </c>
      <c r="M479">
        <f>VLOOKUP($C479,'[1]PoB WH'!$C$1:$T$898,18,FALSE)</f>
        <v>50</v>
      </c>
      <c r="N479">
        <f>VLOOKUP($C479,'[1]PoB AA'!$C$1:$T$898,17,FALSE)</f>
        <v>50</v>
      </c>
      <c r="O479">
        <f>VLOOKUP($C479,'[1]PoB AA'!$C$1:$T$898,18,FALSE)</f>
        <v>14</v>
      </c>
      <c r="P479">
        <f>VLOOKUP($C479,'[1]PoB AI'!$C$1:$T$898,17,FALSE)</f>
        <v>68</v>
      </c>
      <c r="Q479">
        <f>VLOOKUP($C479,'[1]PoB AI'!$C$1:$T$898,18,FALSE)</f>
        <v>0</v>
      </c>
      <c r="R479">
        <f>VLOOKUP($C479,'[1]PoB AS'!$C$1:$T$898,17,FALSE)</f>
        <v>67</v>
      </c>
      <c r="S479">
        <f>VLOOKUP($C479,'[1]PoB AS'!$C$1:$T$898,18,FALSE)</f>
        <v>136</v>
      </c>
      <c r="T479">
        <f>VLOOKUP($C479,'[1]PoB PI'!$C$1:$T$898,17,FALSE)</f>
        <v>0</v>
      </c>
      <c r="U479">
        <f>VLOOKUP($C479,'[1]PoB PI'!$C$1:$T$898,18,FALSE)</f>
        <v>0</v>
      </c>
      <c r="V479">
        <f>VLOOKUP($C479,'[1]PoB OT'!$C$1:$T$898,17,FALSE)</f>
        <v>66</v>
      </c>
      <c r="W479">
        <f>VLOOKUP($C479,'[1]PoB OT'!$C$1:$T$898,18,FALSE)</f>
        <v>0</v>
      </c>
      <c r="X479">
        <f>VLOOKUP($C479,'[1]PoB 2R'!$C$1:$T$898,17,FALSE)</f>
        <v>191</v>
      </c>
      <c r="Y479">
        <f>VLOOKUP($C479,'[1]PoB 2R'!$C$1:$T$898,18,FALSE)</f>
        <v>18</v>
      </c>
    </row>
    <row r="480" spans="1:25" x14ac:dyDescent="0.25">
      <c r="A480" t="s">
        <v>1414</v>
      </c>
      <c r="B480">
        <v>5374760</v>
      </c>
      <c r="C480" t="s">
        <v>1415</v>
      </c>
      <c r="D480">
        <f t="shared" si="21"/>
        <v>236</v>
      </c>
      <c r="E480">
        <f>VLOOKUP($C480,'[1]PoB Totals'!$C$3:$T$898,17,FALSE)</f>
        <v>230</v>
      </c>
      <c r="F480">
        <f>VLOOKUP($C480,'[1]PoB Totals'!$C$3:$T$898,18,FALSE)</f>
        <v>6</v>
      </c>
      <c r="G480">
        <f t="shared" si="22"/>
        <v>236</v>
      </c>
      <c r="H480">
        <f t="shared" si="23"/>
        <v>230</v>
      </c>
      <c r="I480">
        <f t="shared" si="23"/>
        <v>6</v>
      </c>
      <c r="J480">
        <f>VLOOKUP($C480,'[1]PoB WN'!$C$1:$T$898,17,FALSE)</f>
        <v>230</v>
      </c>
      <c r="K480">
        <f>VLOOKUP($C480,'[1]PoB WN'!$C$1:$T$898,18,FALSE)</f>
        <v>6</v>
      </c>
      <c r="L480">
        <f>VLOOKUP($C480,'[1]PoB WH'!$C$1:$T$898,17,FALSE)</f>
        <v>0</v>
      </c>
      <c r="M480">
        <f>VLOOKUP($C480,'[1]PoB WH'!$C$1:$T$898,18,FALSE)</f>
        <v>0</v>
      </c>
      <c r="N480">
        <f>VLOOKUP($C480,'[1]PoB AA'!$C$1:$T$898,17,FALSE)</f>
        <v>0</v>
      </c>
      <c r="O480">
        <f>VLOOKUP($C480,'[1]PoB AA'!$C$1:$T$898,18,FALSE)</f>
        <v>0</v>
      </c>
      <c r="P480">
        <f>VLOOKUP($C480,'[1]PoB AI'!$C$1:$T$898,17,FALSE)</f>
        <v>0</v>
      </c>
      <c r="Q480">
        <f>VLOOKUP($C480,'[1]PoB AI'!$C$1:$T$898,18,FALSE)</f>
        <v>0</v>
      </c>
      <c r="R480">
        <f>VLOOKUP($C480,'[1]PoB AS'!$C$1:$T$898,17,FALSE)</f>
        <v>0</v>
      </c>
      <c r="S480">
        <f>VLOOKUP($C480,'[1]PoB AS'!$C$1:$T$898,18,FALSE)</f>
        <v>0</v>
      </c>
      <c r="T480">
        <f>VLOOKUP($C480,'[1]PoB PI'!$C$1:$T$898,17,FALSE)</f>
        <v>0</v>
      </c>
      <c r="U480">
        <f>VLOOKUP($C480,'[1]PoB PI'!$C$1:$T$898,18,FALSE)</f>
        <v>0</v>
      </c>
      <c r="V480">
        <f>VLOOKUP($C480,'[1]PoB OT'!$C$1:$T$898,17,FALSE)</f>
        <v>0</v>
      </c>
      <c r="W480">
        <f>VLOOKUP($C480,'[1]PoB OT'!$C$1:$T$898,18,FALSE)</f>
        <v>0</v>
      </c>
      <c r="X480">
        <f>VLOOKUP($C480,'[1]PoB 2R'!$C$1:$T$898,17,FALSE)</f>
        <v>0</v>
      </c>
      <c r="Y480">
        <f>VLOOKUP($C480,'[1]PoB 2R'!$C$1:$T$898,18,FALSE)</f>
        <v>0</v>
      </c>
    </row>
    <row r="481" spans="1:25" x14ac:dyDescent="0.25">
      <c r="A481" t="s">
        <v>1416</v>
      </c>
      <c r="B481">
        <v>5375565</v>
      </c>
      <c r="C481" t="s">
        <v>1417</v>
      </c>
      <c r="D481">
        <f t="shared" si="21"/>
        <v>1220</v>
      </c>
      <c r="E481">
        <f>VLOOKUP($C481,'[1]PoB Totals'!$C$3:$T$898,17,FALSE)</f>
        <v>1185</v>
      </c>
      <c r="F481">
        <f>VLOOKUP($C481,'[1]PoB Totals'!$C$3:$T$898,18,FALSE)</f>
        <v>35</v>
      </c>
      <c r="G481">
        <f t="shared" si="22"/>
        <v>1220</v>
      </c>
      <c r="H481">
        <f t="shared" si="23"/>
        <v>1185</v>
      </c>
      <c r="I481">
        <f t="shared" si="23"/>
        <v>35</v>
      </c>
      <c r="J481">
        <f>VLOOKUP($C481,'[1]PoB WN'!$C$1:$T$898,17,FALSE)</f>
        <v>1118</v>
      </c>
      <c r="K481">
        <f>VLOOKUP($C481,'[1]PoB WN'!$C$1:$T$898,18,FALSE)</f>
        <v>18</v>
      </c>
      <c r="L481">
        <f>VLOOKUP($C481,'[1]PoB WH'!$C$1:$T$898,17,FALSE)</f>
        <v>8</v>
      </c>
      <c r="M481">
        <f>VLOOKUP($C481,'[1]PoB WH'!$C$1:$T$898,18,FALSE)</f>
        <v>0</v>
      </c>
      <c r="N481">
        <f>VLOOKUP($C481,'[1]PoB AA'!$C$1:$T$898,17,FALSE)</f>
        <v>0</v>
      </c>
      <c r="O481">
        <f>VLOOKUP($C481,'[1]PoB AA'!$C$1:$T$898,18,FALSE)</f>
        <v>0</v>
      </c>
      <c r="P481">
        <f>VLOOKUP($C481,'[1]PoB AI'!$C$1:$T$898,17,FALSE)</f>
        <v>6</v>
      </c>
      <c r="Q481">
        <f>VLOOKUP($C481,'[1]PoB AI'!$C$1:$T$898,18,FALSE)</f>
        <v>0</v>
      </c>
      <c r="R481">
        <f>VLOOKUP($C481,'[1]PoB AS'!$C$1:$T$898,17,FALSE)</f>
        <v>8</v>
      </c>
      <c r="S481">
        <f>VLOOKUP($C481,'[1]PoB AS'!$C$1:$T$898,18,FALSE)</f>
        <v>7</v>
      </c>
      <c r="T481">
        <f>VLOOKUP($C481,'[1]PoB PI'!$C$1:$T$898,17,FALSE)</f>
        <v>2</v>
      </c>
      <c r="U481">
        <f>VLOOKUP($C481,'[1]PoB PI'!$C$1:$T$898,18,FALSE)</f>
        <v>0</v>
      </c>
      <c r="V481">
        <f>VLOOKUP($C481,'[1]PoB OT'!$C$1:$T$898,17,FALSE)</f>
        <v>7</v>
      </c>
      <c r="W481">
        <f>VLOOKUP($C481,'[1]PoB OT'!$C$1:$T$898,18,FALSE)</f>
        <v>3</v>
      </c>
      <c r="X481">
        <f>VLOOKUP($C481,'[1]PoB 2R'!$C$1:$T$898,17,FALSE)</f>
        <v>36</v>
      </c>
      <c r="Y481">
        <f>VLOOKUP($C481,'[1]PoB 2R'!$C$1:$T$898,18,FALSE)</f>
        <v>7</v>
      </c>
    </row>
    <row r="482" spans="1:25" x14ac:dyDescent="0.25">
      <c r="A482" t="s">
        <v>1418</v>
      </c>
      <c r="B482">
        <v>5375775</v>
      </c>
      <c r="C482" t="s">
        <v>1419</v>
      </c>
      <c r="D482">
        <f t="shared" si="21"/>
        <v>29792</v>
      </c>
      <c r="E482">
        <f>VLOOKUP($C482,'[1]PoB Totals'!$C$3:$T$898,17,FALSE)</f>
        <v>26670</v>
      </c>
      <c r="F482">
        <f>VLOOKUP($C482,'[1]PoB Totals'!$C$3:$T$898,18,FALSE)</f>
        <v>3122</v>
      </c>
      <c r="G482">
        <f t="shared" si="22"/>
        <v>29792</v>
      </c>
      <c r="H482">
        <f t="shared" si="23"/>
        <v>26670</v>
      </c>
      <c r="I482">
        <f t="shared" si="23"/>
        <v>3122</v>
      </c>
      <c r="J482">
        <f>VLOOKUP($C482,'[1]PoB WN'!$C$1:$T$898,17,FALSE)</f>
        <v>22047</v>
      </c>
      <c r="K482">
        <f>VLOOKUP($C482,'[1]PoB WN'!$C$1:$T$898,18,FALSE)</f>
        <v>595</v>
      </c>
      <c r="L482">
        <f>VLOOKUP($C482,'[1]PoB WH'!$C$1:$T$898,17,FALSE)</f>
        <v>1612</v>
      </c>
      <c r="M482">
        <f>VLOOKUP($C482,'[1]PoB WH'!$C$1:$T$898,18,FALSE)</f>
        <v>948</v>
      </c>
      <c r="N482">
        <f>VLOOKUP($C482,'[1]PoB AA'!$C$1:$T$898,17,FALSE)</f>
        <v>676</v>
      </c>
      <c r="O482">
        <f>VLOOKUP($C482,'[1]PoB AA'!$C$1:$T$898,18,FALSE)</f>
        <v>18</v>
      </c>
      <c r="P482">
        <f>VLOOKUP($C482,'[1]PoB AI'!$C$1:$T$898,17,FALSE)</f>
        <v>302</v>
      </c>
      <c r="Q482">
        <f>VLOOKUP($C482,'[1]PoB AI'!$C$1:$T$898,18,FALSE)</f>
        <v>52</v>
      </c>
      <c r="R482">
        <f>VLOOKUP($C482,'[1]PoB AS'!$C$1:$T$898,17,FALSE)</f>
        <v>270</v>
      </c>
      <c r="S482">
        <f>VLOOKUP($C482,'[1]PoB AS'!$C$1:$T$898,18,FALSE)</f>
        <v>188</v>
      </c>
      <c r="T482">
        <f>VLOOKUP($C482,'[1]PoB PI'!$C$1:$T$898,17,FALSE)</f>
        <v>21</v>
      </c>
      <c r="U482">
        <f>VLOOKUP($C482,'[1]PoB PI'!$C$1:$T$898,18,FALSE)</f>
        <v>0</v>
      </c>
      <c r="V482">
        <f>VLOOKUP($C482,'[1]PoB OT'!$C$1:$T$898,17,FALSE)</f>
        <v>1163</v>
      </c>
      <c r="W482">
        <f>VLOOKUP($C482,'[1]PoB OT'!$C$1:$T$898,18,FALSE)</f>
        <v>1123</v>
      </c>
      <c r="X482">
        <f>VLOOKUP($C482,'[1]PoB 2R'!$C$1:$T$898,17,FALSE)</f>
        <v>579</v>
      </c>
      <c r="Y482">
        <f>VLOOKUP($C482,'[1]PoB 2R'!$C$1:$T$898,18,FALSE)</f>
        <v>198</v>
      </c>
    </row>
    <row r="483" spans="1:25" x14ac:dyDescent="0.25">
      <c r="A483" t="s">
        <v>1420</v>
      </c>
      <c r="B483">
        <v>5375810</v>
      </c>
      <c r="C483" t="s">
        <v>1421</v>
      </c>
      <c r="D483">
        <f t="shared" si="21"/>
        <v>2379</v>
      </c>
      <c r="E483">
        <f>VLOOKUP($C483,'[1]PoB Totals'!$C$3:$T$898,17,FALSE)</f>
        <v>2222</v>
      </c>
      <c r="F483">
        <f>VLOOKUP($C483,'[1]PoB Totals'!$C$3:$T$898,18,FALSE)</f>
        <v>157</v>
      </c>
      <c r="G483">
        <f t="shared" si="22"/>
        <v>2379</v>
      </c>
      <c r="H483">
        <f t="shared" si="23"/>
        <v>2222</v>
      </c>
      <c r="I483">
        <f t="shared" si="23"/>
        <v>157</v>
      </c>
      <c r="J483">
        <f>VLOOKUP($C483,'[1]PoB WN'!$C$1:$T$898,17,FALSE)</f>
        <v>2081</v>
      </c>
      <c r="K483">
        <f>VLOOKUP($C483,'[1]PoB WN'!$C$1:$T$898,18,FALSE)</f>
        <v>62</v>
      </c>
      <c r="L483">
        <f>VLOOKUP($C483,'[1]PoB WH'!$C$1:$T$898,17,FALSE)</f>
        <v>11</v>
      </c>
      <c r="M483">
        <f>VLOOKUP($C483,'[1]PoB WH'!$C$1:$T$898,18,FALSE)</f>
        <v>10</v>
      </c>
      <c r="N483">
        <f>VLOOKUP($C483,'[1]PoB AA'!$C$1:$T$898,17,FALSE)</f>
        <v>0</v>
      </c>
      <c r="O483">
        <f>VLOOKUP($C483,'[1]PoB AA'!$C$1:$T$898,18,FALSE)</f>
        <v>0</v>
      </c>
      <c r="P483">
        <f>VLOOKUP($C483,'[1]PoB AI'!$C$1:$T$898,17,FALSE)</f>
        <v>27</v>
      </c>
      <c r="Q483">
        <f>VLOOKUP($C483,'[1]PoB AI'!$C$1:$T$898,18,FALSE)</f>
        <v>0</v>
      </c>
      <c r="R483">
        <f>VLOOKUP($C483,'[1]PoB AS'!$C$1:$T$898,17,FALSE)</f>
        <v>0</v>
      </c>
      <c r="S483">
        <f>VLOOKUP($C483,'[1]PoB AS'!$C$1:$T$898,18,FALSE)</f>
        <v>8</v>
      </c>
      <c r="T483">
        <f>VLOOKUP($C483,'[1]PoB PI'!$C$1:$T$898,17,FALSE)</f>
        <v>0</v>
      </c>
      <c r="U483">
        <f>VLOOKUP($C483,'[1]PoB PI'!$C$1:$T$898,18,FALSE)</f>
        <v>0</v>
      </c>
      <c r="V483">
        <f>VLOOKUP($C483,'[1]PoB OT'!$C$1:$T$898,17,FALSE)</f>
        <v>7</v>
      </c>
      <c r="W483">
        <f>VLOOKUP($C483,'[1]PoB OT'!$C$1:$T$898,18,FALSE)</f>
        <v>68</v>
      </c>
      <c r="X483">
        <f>VLOOKUP($C483,'[1]PoB 2R'!$C$1:$T$898,17,FALSE)</f>
        <v>96</v>
      </c>
      <c r="Y483">
        <f>VLOOKUP($C483,'[1]PoB 2R'!$C$1:$T$898,18,FALSE)</f>
        <v>9</v>
      </c>
    </row>
    <row r="484" spans="1:25" x14ac:dyDescent="0.25">
      <c r="A484" t="s">
        <v>1422</v>
      </c>
      <c r="B484">
        <v>5375905</v>
      </c>
      <c r="C484" t="s">
        <v>1423</v>
      </c>
      <c r="D484">
        <f t="shared" si="21"/>
        <v>9231</v>
      </c>
      <c r="E484">
        <f>VLOOKUP($C484,'[1]PoB Totals'!$C$3:$T$898,17,FALSE)</f>
        <v>8665</v>
      </c>
      <c r="F484">
        <f>VLOOKUP($C484,'[1]PoB Totals'!$C$3:$T$898,18,FALSE)</f>
        <v>566</v>
      </c>
      <c r="G484">
        <f t="shared" si="22"/>
        <v>9231</v>
      </c>
      <c r="H484">
        <f t="shared" si="23"/>
        <v>8665</v>
      </c>
      <c r="I484">
        <f t="shared" si="23"/>
        <v>566</v>
      </c>
      <c r="J484">
        <f>VLOOKUP($C484,'[1]PoB WN'!$C$1:$T$898,17,FALSE)</f>
        <v>7750</v>
      </c>
      <c r="K484">
        <f>VLOOKUP($C484,'[1]PoB WN'!$C$1:$T$898,18,FALSE)</f>
        <v>237</v>
      </c>
      <c r="L484">
        <f>VLOOKUP($C484,'[1]PoB WH'!$C$1:$T$898,17,FALSE)</f>
        <v>93</v>
      </c>
      <c r="M484">
        <f>VLOOKUP($C484,'[1]PoB WH'!$C$1:$T$898,18,FALSE)</f>
        <v>31</v>
      </c>
      <c r="N484">
        <f>VLOOKUP($C484,'[1]PoB AA'!$C$1:$T$898,17,FALSE)</f>
        <v>226</v>
      </c>
      <c r="O484">
        <f>VLOOKUP($C484,'[1]PoB AA'!$C$1:$T$898,18,FALSE)</f>
        <v>12</v>
      </c>
      <c r="P484">
        <f>VLOOKUP($C484,'[1]PoB AI'!$C$1:$T$898,17,FALSE)</f>
        <v>166</v>
      </c>
      <c r="Q484">
        <f>VLOOKUP($C484,'[1]PoB AI'!$C$1:$T$898,18,FALSE)</f>
        <v>2</v>
      </c>
      <c r="R484">
        <f>VLOOKUP($C484,'[1]PoB AS'!$C$1:$T$898,17,FALSE)</f>
        <v>38</v>
      </c>
      <c r="S484">
        <f>VLOOKUP($C484,'[1]PoB AS'!$C$1:$T$898,18,FALSE)</f>
        <v>112</v>
      </c>
      <c r="T484">
        <f>VLOOKUP($C484,'[1]PoB PI'!$C$1:$T$898,17,FALSE)</f>
        <v>11</v>
      </c>
      <c r="U484">
        <f>VLOOKUP($C484,'[1]PoB PI'!$C$1:$T$898,18,FALSE)</f>
        <v>0</v>
      </c>
      <c r="V484">
        <f>VLOOKUP($C484,'[1]PoB OT'!$C$1:$T$898,17,FALSE)</f>
        <v>45</v>
      </c>
      <c r="W484">
        <f>VLOOKUP($C484,'[1]PoB OT'!$C$1:$T$898,18,FALSE)</f>
        <v>97</v>
      </c>
      <c r="X484">
        <f>VLOOKUP($C484,'[1]PoB 2R'!$C$1:$T$898,17,FALSE)</f>
        <v>336</v>
      </c>
      <c r="Y484">
        <f>VLOOKUP($C484,'[1]PoB 2R'!$C$1:$T$898,18,FALSE)</f>
        <v>75</v>
      </c>
    </row>
    <row r="485" spans="1:25" x14ac:dyDescent="0.25">
      <c r="A485" t="s">
        <v>1424</v>
      </c>
      <c r="B485">
        <v>5375985</v>
      </c>
      <c r="C485" t="s">
        <v>1425</v>
      </c>
      <c r="D485">
        <f t="shared" si="21"/>
        <v>227</v>
      </c>
      <c r="E485">
        <f>VLOOKUP($C485,'[1]PoB Totals'!$C$3:$T$898,17,FALSE)</f>
        <v>221</v>
      </c>
      <c r="F485">
        <f>VLOOKUP($C485,'[1]PoB Totals'!$C$3:$T$898,18,FALSE)</f>
        <v>6</v>
      </c>
      <c r="G485">
        <f t="shared" si="22"/>
        <v>227</v>
      </c>
      <c r="H485">
        <f t="shared" si="23"/>
        <v>221</v>
      </c>
      <c r="I485">
        <f t="shared" si="23"/>
        <v>6</v>
      </c>
      <c r="J485">
        <f>VLOOKUP($C485,'[1]PoB WN'!$C$1:$T$898,17,FALSE)</f>
        <v>154</v>
      </c>
      <c r="K485">
        <f>VLOOKUP($C485,'[1]PoB WN'!$C$1:$T$898,18,FALSE)</f>
        <v>0</v>
      </c>
      <c r="L485">
        <f>VLOOKUP($C485,'[1]PoB WH'!$C$1:$T$898,17,FALSE)</f>
        <v>40</v>
      </c>
      <c r="M485">
        <f>VLOOKUP($C485,'[1]PoB WH'!$C$1:$T$898,18,FALSE)</f>
        <v>0</v>
      </c>
      <c r="N485">
        <f>VLOOKUP($C485,'[1]PoB AA'!$C$1:$T$898,17,FALSE)</f>
        <v>0</v>
      </c>
      <c r="O485">
        <f>VLOOKUP($C485,'[1]PoB AA'!$C$1:$T$898,18,FALSE)</f>
        <v>0</v>
      </c>
      <c r="P485">
        <f>VLOOKUP($C485,'[1]PoB AI'!$C$1:$T$898,17,FALSE)</f>
        <v>0</v>
      </c>
      <c r="Q485">
        <f>VLOOKUP($C485,'[1]PoB AI'!$C$1:$T$898,18,FALSE)</f>
        <v>0</v>
      </c>
      <c r="R485">
        <f>VLOOKUP($C485,'[1]PoB AS'!$C$1:$T$898,17,FALSE)</f>
        <v>0</v>
      </c>
      <c r="S485">
        <f>VLOOKUP($C485,'[1]PoB AS'!$C$1:$T$898,18,FALSE)</f>
        <v>0</v>
      </c>
      <c r="T485">
        <f>VLOOKUP($C485,'[1]PoB PI'!$C$1:$T$898,17,FALSE)</f>
        <v>0</v>
      </c>
      <c r="U485">
        <f>VLOOKUP($C485,'[1]PoB PI'!$C$1:$T$898,18,FALSE)</f>
        <v>0</v>
      </c>
      <c r="V485">
        <f>VLOOKUP($C485,'[1]PoB OT'!$C$1:$T$898,17,FALSE)</f>
        <v>27</v>
      </c>
      <c r="W485">
        <f>VLOOKUP($C485,'[1]PoB OT'!$C$1:$T$898,18,FALSE)</f>
        <v>0</v>
      </c>
      <c r="X485">
        <f>VLOOKUP($C485,'[1]PoB 2R'!$C$1:$T$898,17,FALSE)</f>
        <v>0</v>
      </c>
      <c r="Y485">
        <f>VLOOKUP($C485,'[1]PoB 2R'!$C$1:$T$898,18,FALSE)</f>
        <v>6</v>
      </c>
    </row>
    <row r="486" spans="1:25" x14ac:dyDescent="0.25">
      <c r="A486" t="s">
        <v>1426</v>
      </c>
      <c r="B486">
        <v>5376055</v>
      </c>
      <c r="C486" t="s">
        <v>1427</v>
      </c>
      <c r="D486">
        <f t="shared" si="21"/>
        <v>7261</v>
      </c>
      <c r="E486">
        <f>VLOOKUP($C486,'[1]PoB Totals'!$C$3:$T$898,17,FALSE)</f>
        <v>6699</v>
      </c>
      <c r="F486">
        <f>VLOOKUP($C486,'[1]PoB Totals'!$C$3:$T$898,18,FALSE)</f>
        <v>562</v>
      </c>
      <c r="G486">
        <f t="shared" si="22"/>
        <v>7261</v>
      </c>
      <c r="H486">
        <f t="shared" si="23"/>
        <v>6699</v>
      </c>
      <c r="I486">
        <f t="shared" si="23"/>
        <v>562</v>
      </c>
      <c r="J486">
        <f>VLOOKUP($C486,'[1]PoB WN'!$C$1:$T$898,17,FALSE)</f>
        <v>6160</v>
      </c>
      <c r="K486">
        <f>VLOOKUP($C486,'[1]PoB WN'!$C$1:$T$898,18,FALSE)</f>
        <v>309</v>
      </c>
      <c r="L486">
        <f>VLOOKUP($C486,'[1]PoB WH'!$C$1:$T$898,17,FALSE)</f>
        <v>106</v>
      </c>
      <c r="M486">
        <f>VLOOKUP($C486,'[1]PoB WH'!$C$1:$T$898,18,FALSE)</f>
        <v>7</v>
      </c>
      <c r="N486">
        <f>VLOOKUP($C486,'[1]PoB AA'!$C$1:$T$898,17,FALSE)</f>
        <v>78</v>
      </c>
      <c r="O486">
        <f>VLOOKUP($C486,'[1]PoB AA'!$C$1:$T$898,18,FALSE)</f>
        <v>0</v>
      </c>
      <c r="P486">
        <f>VLOOKUP($C486,'[1]PoB AI'!$C$1:$T$898,17,FALSE)</f>
        <v>39</v>
      </c>
      <c r="Q486">
        <f>VLOOKUP($C486,'[1]PoB AI'!$C$1:$T$898,18,FALSE)</f>
        <v>0</v>
      </c>
      <c r="R486">
        <f>VLOOKUP($C486,'[1]PoB AS'!$C$1:$T$898,17,FALSE)</f>
        <v>57</v>
      </c>
      <c r="S486">
        <f>VLOOKUP($C486,'[1]PoB AS'!$C$1:$T$898,18,FALSE)</f>
        <v>170</v>
      </c>
      <c r="T486">
        <f>VLOOKUP($C486,'[1]PoB PI'!$C$1:$T$898,17,FALSE)</f>
        <v>14</v>
      </c>
      <c r="U486">
        <f>VLOOKUP($C486,'[1]PoB PI'!$C$1:$T$898,18,FALSE)</f>
        <v>0</v>
      </c>
      <c r="V486">
        <f>VLOOKUP($C486,'[1]PoB OT'!$C$1:$T$898,17,FALSE)</f>
        <v>36</v>
      </c>
      <c r="W486">
        <f>VLOOKUP($C486,'[1]PoB OT'!$C$1:$T$898,18,FALSE)</f>
        <v>20</v>
      </c>
      <c r="X486">
        <f>VLOOKUP($C486,'[1]PoB 2R'!$C$1:$T$898,17,FALSE)</f>
        <v>209</v>
      </c>
      <c r="Y486">
        <f>VLOOKUP($C486,'[1]PoB 2R'!$C$1:$T$898,18,FALSE)</f>
        <v>56</v>
      </c>
    </row>
    <row r="487" spans="1:25" x14ac:dyDescent="0.25">
      <c r="A487" t="s">
        <v>1428</v>
      </c>
      <c r="B487">
        <v>5376125</v>
      </c>
      <c r="C487" t="s">
        <v>1429</v>
      </c>
      <c r="D487">
        <f t="shared" si="21"/>
        <v>4686</v>
      </c>
      <c r="E487">
        <f>VLOOKUP($C487,'[1]PoB Totals'!$C$3:$T$898,17,FALSE)</f>
        <v>3076</v>
      </c>
      <c r="F487">
        <f>VLOOKUP($C487,'[1]PoB Totals'!$C$3:$T$898,18,FALSE)</f>
        <v>1610</v>
      </c>
      <c r="G487">
        <f t="shared" si="22"/>
        <v>4686</v>
      </c>
      <c r="H487">
        <f t="shared" si="23"/>
        <v>3076</v>
      </c>
      <c r="I487">
        <f t="shared" si="23"/>
        <v>1610</v>
      </c>
      <c r="J487">
        <f>VLOOKUP($C487,'[1]PoB WN'!$C$1:$T$898,17,FALSE)</f>
        <v>582</v>
      </c>
      <c r="K487">
        <f>VLOOKUP($C487,'[1]PoB WN'!$C$1:$T$898,18,FALSE)</f>
        <v>8</v>
      </c>
      <c r="L487">
        <f>VLOOKUP($C487,'[1]PoB WH'!$C$1:$T$898,17,FALSE)</f>
        <v>363</v>
      </c>
      <c r="M487">
        <f>VLOOKUP($C487,'[1]PoB WH'!$C$1:$T$898,18,FALSE)</f>
        <v>245</v>
      </c>
      <c r="N487">
        <f>VLOOKUP($C487,'[1]PoB AA'!$C$1:$T$898,17,FALSE)</f>
        <v>13</v>
      </c>
      <c r="O487">
        <f>VLOOKUP($C487,'[1]PoB AA'!$C$1:$T$898,18,FALSE)</f>
        <v>0</v>
      </c>
      <c r="P487">
        <f>VLOOKUP($C487,'[1]PoB AI'!$C$1:$T$898,17,FALSE)</f>
        <v>325</v>
      </c>
      <c r="Q487">
        <f>VLOOKUP($C487,'[1]PoB AI'!$C$1:$T$898,18,FALSE)</f>
        <v>8</v>
      </c>
      <c r="R487">
        <f>VLOOKUP($C487,'[1]PoB AS'!$C$1:$T$898,17,FALSE)</f>
        <v>38</v>
      </c>
      <c r="S487">
        <f>VLOOKUP($C487,'[1]PoB AS'!$C$1:$T$898,18,FALSE)</f>
        <v>144</v>
      </c>
      <c r="T487">
        <f>VLOOKUP($C487,'[1]PoB PI'!$C$1:$T$898,17,FALSE)</f>
        <v>0</v>
      </c>
      <c r="U487">
        <f>VLOOKUP($C487,'[1]PoB PI'!$C$1:$T$898,18,FALSE)</f>
        <v>0</v>
      </c>
      <c r="V487">
        <f>VLOOKUP($C487,'[1]PoB OT'!$C$1:$T$898,17,FALSE)</f>
        <v>1576</v>
      </c>
      <c r="W487">
        <f>VLOOKUP($C487,'[1]PoB OT'!$C$1:$T$898,18,FALSE)</f>
        <v>1183</v>
      </c>
      <c r="X487">
        <f>VLOOKUP($C487,'[1]PoB 2R'!$C$1:$T$898,17,FALSE)</f>
        <v>179</v>
      </c>
      <c r="Y487">
        <f>VLOOKUP($C487,'[1]PoB 2R'!$C$1:$T$898,18,FALSE)</f>
        <v>22</v>
      </c>
    </row>
    <row r="488" spans="1:25" x14ac:dyDescent="0.25">
      <c r="A488" t="s">
        <v>1430</v>
      </c>
      <c r="B488">
        <v>5376160</v>
      </c>
      <c r="C488" t="s">
        <v>1431</v>
      </c>
      <c r="D488">
        <f t="shared" si="21"/>
        <v>2540</v>
      </c>
      <c r="E488">
        <f>VLOOKUP($C488,'[1]PoB Totals'!$C$3:$T$898,17,FALSE)</f>
        <v>1727</v>
      </c>
      <c r="F488">
        <f>VLOOKUP($C488,'[1]PoB Totals'!$C$3:$T$898,18,FALSE)</f>
        <v>813</v>
      </c>
      <c r="G488">
        <f t="shared" si="22"/>
        <v>2540</v>
      </c>
      <c r="H488">
        <f t="shared" si="23"/>
        <v>1727</v>
      </c>
      <c r="I488">
        <f t="shared" si="23"/>
        <v>813</v>
      </c>
      <c r="J488">
        <f>VLOOKUP($C488,'[1]PoB WN'!$C$1:$T$898,17,FALSE)</f>
        <v>543</v>
      </c>
      <c r="K488">
        <f>VLOOKUP($C488,'[1]PoB WN'!$C$1:$T$898,18,FALSE)</f>
        <v>15</v>
      </c>
      <c r="L488">
        <f>VLOOKUP($C488,'[1]PoB WH'!$C$1:$T$898,17,FALSE)</f>
        <v>272</v>
      </c>
      <c r="M488">
        <f>VLOOKUP($C488,'[1]PoB WH'!$C$1:$T$898,18,FALSE)</f>
        <v>134</v>
      </c>
      <c r="N488">
        <f>VLOOKUP($C488,'[1]PoB AA'!$C$1:$T$898,17,FALSE)</f>
        <v>4</v>
      </c>
      <c r="O488">
        <f>VLOOKUP($C488,'[1]PoB AA'!$C$1:$T$898,18,FALSE)</f>
        <v>2</v>
      </c>
      <c r="P488">
        <f>VLOOKUP($C488,'[1]PoB AI'!$C$1:$T$898,17,FALSE)</f>
        <v>16</v>
      </c>
      <c r="Q488">
        <f>VLOOKUP($C488,'[1]PoB AI'!$C$1:$T$898,18,FALSE)</f>
        <v>0</v>
      </c>
      <c r="R488">
        <f>VLOOKUP($C488,'[1]PoB AS'!$C$1:$T$898,17,FALSE)</f>
        <v>0</v>
      </c>
      <c r="S488">
        <f>VLOOKUP($C488,'[1]PoB AS'!$C$1:$T$898,18,FALSE)</f>
        <v>7</v>
      </c>
      <c r="T488">
        <f>VLOOKUP($C488,'[1]PoB PI'!$C$1:$T$898,17,FALSE)</f>
        <v>0</v>
      </c>
      <c r="U488">
        <f>VLOOKUP($C488,'[1]PoB PI'!$C$1:$T$898,18,FALSE)</f>
        <v>0</v>
      </c>
      <c r="V488">
        <f>VLOOKUP($C488,'[1]PoB OT'!$C$1:$T$898,17,FALSE)</f>
        <v>852</v>
      </c>
      <c r="W488">
        <f>VLOOKUP($C488,'[1]PoB OT'!$C$1:$T$898,18,FALSE)</f>
        <v>626</v>
      </c>
      <c r="X488">
        <f>VLOOKUP($C488,'[1]PoB 2R'!$C$1:$T$898,17,FALSE)</f>
        <v>40</v>
      </c>
      <c r="Y488">
        <f>VLOOKUP($C488,'[1]PoB 2R'!$C$1:$T$898,18,FALSE)</f>
        <v>29</v>
      </c>
    </row>
    <row r="489" spans="1:25" x14ac:dyDescent="0.25">
      <c r="A489" t="s">
        <v>1432</v>
      </c>
      <c r="B489">
        <v>5376195</v>
      </c>
      <c r="C489" t="s">
        <v>1433</v>
      </c>
      <c r="D489">
        <f t="shared" si="21"/>
        <v>2038</v>
      </c>
      <c r="E489">
        <f>VLOOKUP($C489,'[1]PoB Totals'!$C$3:$T$898,17,FALSE)</f>
        <v>1927</v>
      </c>
      <c r="F489">
        <f>VLOOKUP($C489,'[1]PoB Totals'!$C$3:$T$898,18,FALSE)</f>
        <v>111</v>
      </c>
      <c r="G489">
        <f t="shared" si="22"/>
        <v>2038</v>
      </c>
      <c r="H489">
        <f t="shared" si="23"/>
        <v>1927</v>
      </c>
      <c r="I489">
        <f t="shared" si="23"/>
        <v>111</v>
      </c>
      <c r="J489">
        <f>VLOOKUP($C489,'[1]PoB WN'!$C$1:$T$898,17,FALSE)</f>
        <v>1842</v>
      </c>
      <c r="K489">
        <f>VLOOKUP($C489,'[1]PoB WN'!$C$1:$T$898,18,FALSE)</f>
        <v>85</v>
      </c>
      <c r="L489">
        <f>VLOOKUP($C489,'[1]PoB WH'!$C$1:$T$898,17,FALSE)</f>
        <v>18</v>
      </c>
      <c r="M489">
        <f>VLOOKUP($C489,'[1]PoB WH'!$C$1:$T$898,18,FALSE)</f>
        <v>0</v>
      </c>
      <c r="N489">
        <f>VLOOKUP($C489,'[1]PoB AA'!$C$1:$T$898,17,FALSE)</f>
        <v>0</v>
      </c>
      <c r="O489">
        <f>VLOOKUP($C489,'[1]PoB AA'!$C$1:$T$898,18,FALSE)</f>
        <v>0</v>
      </c>
      <c r="P489">
        <f>VLOOKUP($C489,'[1]PoB AI'!$C$1:$T$898,17,FALSE)</f>
        <v>4</v>
      </c>
      <c r="Q489">
        <f>VLOOKUP($C489,'[1]PoB AI'!$C$1:$T$898,18,FALSE)</f>
        <v>0</v>
      </c>
      <c r="R489">
        <f>VLOOKUP($C489,'[1]PoB AS'!$C$1:$T$898,17,FALSE)</f>
        <v>0</v>
      </c>
      <c r="S489">
        <f>VLOOKUP($C489,'[1]PoB AS'!$C$1:$T$898,18,FALSE)</f>
        <v>26</v>
      </c>
      <c r="T489">
        <f>VLOOKUP($C489,'[1]PoB PI'!$C$1:$T$898,17,FALSE)</f>
        <v>0</v>
      </c>
      <c r="U489">
        <f>VLOOKUP($C489,'[1]PoB PI'!$C$1:$T$898,18,FALSE)</f>
        <v>0</v>
      </c>
      <c r="V489">
        <f>VLOOKUP($C489,'[1]PoB OT'!$C$1:$T$898,17,FALSE)</f>
        <v>0</v>
      </c>
      <c r="W489">
        <f>VLOOKUP($C489,'[1]PoB OT'!$C$1:$T$898,18,FALSE)</f>
        <v>0</v>
      </c>
      <c r="X489">
        <f>VLOOKUP($C489,'[1]PoB 2R'!$C$1:$T$898,17,FALSE)</f>
        <v>63</v>
      </c>
      <c r="Y489">
        <f>VLOOKUP($C489,'[1]PoB 2R'!$C$1:$T$898,18,FALSE)</f>
        <v>0</v>
      </c>
    </row>
    <row r="490" spans="1:25" x14ac:dyDescent="0.25">
      <c r="A490" t="s">
        <v>1434</v>
      </c>
      <c r="B490">
        <v>5376405</v>
      </c>
      <c r="C490" t="s">
        <v>1435</v>
      </c>
      <c r="D490">
        <f t="shared" si="21"/>
        <v>8509</v>
      </c>
      <c r="E490">
        <f>VLOOKUP($C490,'[1]PoB Totals'!$C$3:$T$898,17,FALSE)</f>
        <v>8153</v>
      </c>
      <c r="F490">
        <f>VLOOKUP($C490,'[1]PoB Totals'!$C$3:$T$898,18,FALSE)</f>
        <v>356</v>
      </c>
      <c r="G490">
        <f t="shared" si="22"/>
        <v>8509</v>
      </c>
      <c r="H490">
        <f t="shared" si="23"/>
        <v>8153</v>
      </c>
      <c r="I490">
        <f t="shared" si="23"/>
        <v>356</v>
      </c>
      <c r="J490">
        <f>VLOOKUP($C490,'[1]PoB WN'!$C$1:$T$898,17,FALSE)</f>
        <v>7567</v>
      </c>
      <c r="K490">
        <f>VLOOKUP($C490,'[1]PoB WN'!$C$1:$T$898,18,FALSE)</f>
        <v>248</v>
      </c>
      <c r="L490">
        <f>VLOOKUP($C490,'[1]PoB WH'!$C$1:$T$898,17,FALSE)</f>
        <v>112</v>
      </c>
      <c r="M490">
        <f>VLOOKUP($C490,'[1]PoB WH'!$C$1:$T$898,18,FALSE)</f>
        <v>0</v>
      </c>
      <c r="N490">
        <f>VLOOKUP($C490,'[1]PoB AA'!$C$1:$T$898,17,FALSE)</f>
        <v>44</v>
      </c>
      <c r="O490">
        <f>VLOOKUP($C490,'[1]PoB AA'!$C$1:$T$898,18,FALSE)</f>
        <v>0</v>
      </c>
      <c r="P490">
        <f>VLOOKUP($C490,'[1]PoB AI'!$C$1:$T$898,17,FALSE)</f>
        <v>124</v>
      </c>
      <c r="Q490">
        <f>VLOOKUP($C490,'[1]PoB AI'!$C$1:$T$898,18,FALSE)</f>
        <v>0</v>
      </c>
      <c r="R490">
        <f>VLOOKUP($C490,'[1]PoB AS'!$C$1:$T$898,17,FALSE)</f>
        <v>0</v>
      </c>
      <c r="S490">
        <f>VLOOKUP($C490,'[1]PoB AS'!$C$1:$T$898,18,FALSE)</f>
        <v>31</v>
      </c>
      <c r="T490">
        <f>VLOOKUP($C490,'[1]PoB PI'!$C$1:$T$898,17,FALSE)</f>
        <v>6</v>
      </c>
      <c r="U490">
        <f>VLOOKUP($C490,'[1]PoB PI'!$C$1:$T$898,18,FALSE)</f>
        <v>7</v>
      </c>
      <c r="V490">
        <f>VLOOKUP($C490,'[1]PoB OT'!$C$1:$T$898,17,FALSE)</f>
        <v>9</v>
      </c>
      <c r="W490">
        <f>VLOOKUP($C490,'[1]PoB OT'!$C$1:$T$898,18,FALSE)</f>
        <v>55</v>
      </c>
      <c r="X490">
        <f>VLOOKUP($C490,'[1]PoB 2R'!$C$1:$T$898,17,FALSE)</f>
        <v>291</v>
      </c>
      <c r="Y490">
        <f>VLOOKUP($C490,'[1]PoB 2R'!$C$1:$T$898,18,FALSE)</f>
        <v>15</v>
      </c>
    </row>
    <row r="491" spans="1:25" x14ac:dyDescent="0.25">
      <c r="A491" t="s">
        <v>1436</v>
      </c>
      <c r="B491">
        <v>5376440</v>
      </c>
      <c r="C491" t="s">
        <v>1437</v>
      </c>
      <c r="D491">
        <f t="shared" si="21"/>
        <v>244</v>
      </c>
      <c r="E491">
        <f>VLOOKUP($C491,'[1]PoB Totals'!$C$3:$T$898,17,FALSE)</f>
        <v>244</v>
      </c>
      <c r="F491">
        <f>VLOOKUP($C491,'[1]PoB Totals'!$C$3:$T$898,18,FALSE)</f>
        <v>0</v>
      </c>
      <c r="G491">
        <f t="shared" si="22"/>
        <v>244</v>
      </c>
      <c r="H491">
        <f t="shared" si="23"/>
        <v>244</v>
      </c>
      <c r="I491">
        <f t="shared" si="23"/>
        <v>0</v>
      </c>
      <c r="J491">
        <f>VLOOKUP($C491,'[1]PoB WN'!$C$1:$T$898,17,FALSE)</f>
        <v>218</v>
      </c>
      <c r="K491">
        <f>VLOOKUP($C491,'[1]PoB WN'!$C$1:$T$898,18,FALSE)</f>
        <v>0</v>
      </c>
      <c r="L491">
        <f>VLOOKUP($C491,'[1]PoB WH'!$C$1:$T$898,17,FALSE)</f>
        <v>5</v>
      </c>
      <c r="M491">
        <f>VLOOKUP($C491,'[1]PoB WH'!$C$1:$T$898,18,FALSE)</f>
        <v>0</v>
      </c>
      <c r="N491">
        <f>VLOOKUP($C491,'[1]PoB AA'!$C$1:$T$898,17,FALSE)</f>
        <v>0</v>
      </c>
      <c r="O491">
        <f>VLOOKUP($C491,'[1]PoB AA'!$C$1:$T$898,18,FALSE)</f>
        <v>0</v>
      </c>
      <c r="P491">
        <f>VLOOKUP($C491,'[1]PoB AI'!$C$1:$T$898,17,FALSE)</f>
        <v>8</v>
      </c>
      <c r="Q491">
        <f>VLOOKUP($C491,'[1]PoB AI'!$C$1:$T$898,18,FALSE)</f>
        <v>0</v>
      </c>
      <c r="R491">
        <f>VLOOKUP($C491,'[1]PoB AS'!$C$1:$T$898,17,FALSE)</f>
        <v>0</v>
      </c>
      <c r="S491">
        <f>VLOOKUP($C491,'[1]PoB AS'!$C$1:$T$898,18,FALSE)</f>
        <v>0</v>
      </c>
      <c r="T491">
        <f>VLOOKUP($C491,'[1]PoB PI'!$C$1:$T$898,17,FALSE)</f>
        <v>0</v>
      </c>
      <c r="U491">
        <f>VLOOKUP($C491,'[1]PoB PI'!$C$1:$T$898,18,FALSE)</f>
        <v>0</v>
      </c>
      <c r="V491">
        <f>VLOOKUP($C491,'[1]PoB OT'!$C$1:$T$898,17,FALSE)</f>
        <v>0</v>
      </c>
      <c r="W491">
        <f>VLOOKUP($C491,'[1]PoB OT'!$C$1:$T$898,18,FALSE)</f>
        <v>0</v>
      </c>
      <c r="X491">
        <f>VLOOKUP($C491,'[1]PoB 2R'!$C$1:$T$898,17,FALSE)</f>
        <v>13</v>
      </c>
      <c r="Y491">
        <f>VLOOKUP($C491,'[1]PoB 2R'!$C$1:$T$898,18,FALSE)</f>
        <v>0</v>
      </c>
    </row>
    <row r="492" spans="1:25" x14ac:dyDescent="0.25">
      <c r="A492" t="s">
        <v>1438</v>
      </c>
      <c r="B492">
        <v>5376510</v>
      </c>
      <c r="C492" t="s">
        <v>1439</v>
      </c>
      <c r="D492">
        <f t="shared" si="21"/>
        <v>1171</v>
      </c>
      <c r="E492">
        <f>VLOOKUP($C492,'[1]PoB Totals'!$C$3:$T$898,17,FALSE)</f>
        <v>1087</v>
      </c>
      <c r="F492">
        <f>VLOOKUP($C492,'[1]PoB Totals'!$C$3:$T$898,18,FALSE)</f>
        <v>84</v>
      </c>
      <c r="G492">
        <f t="shared" si="22"/>
        <v>1171</v>
      </c>
      <c r="H492">
        <f t="shared" si="23"/>
        <v>1087</v>
      </c>
      <c r="I492">
        <f t="shared" si="23"/>
        <v>84</v>
      </c>
      <c r="J492">
        <f>VLOOKUP($C492,'[1]PoB WN'!$C$1:$T$898,17,FALSE)</f>
        <v>1008</v>
      </c>
      <c r="K492">
        <f>VLOOKUP($C492,'[1]PoB WN'!$C$1:$T$898,18,FALSE)</f>
        <v>19</v>
      </c>
      <c r="L492">
        <f>VLOOKUP($C492,'[1]PoB WH'!$C$1:$T$898,17,FALSE)</f>
        <v>15</v>
      </c>
      <c r="M492">
        <f>VLOOKUP($C492,'[1]PoB WH'!$C$1:$T$898,18,FALSE)</f>
        <v>14</v>
      </c>
      <c r="N492">
        <f>VLOOKUP($C492,'[1]PoB AA'!$C$1:$T$898,17,FALSE)</f>
        <v>0</v>
      </c>
      <c r="O492">
        <f>VLOOKUP($C492,'[1]PoB AA'!$C$1:$T$898,18,FALSE)</f>
        <v>0</v>
      </c>
      <c r="P492">
        <f>VLOOKUP($C492,'[1]PoB AI'!$C$1:$T$898,17,FALSE)</f>
        <v>16</v>
      </c>
      <c r="Q492">
        <f>VLOOKUP($C492,'[1]PoB AI'!$C$1:$T$898,18,FALSE)</f>
        <v>6</v>
      </c>
      <c r="R492">
        <f>VLOOKUP($C492,'[1]PoB AS'!$C$1:$T$898,17,FALSE)</f>
        <v>0</v>
      </c>
      <c r="S492">
        <f>VLOOKUP($C492,'[1]PoB AS'!$C$1:$T$898,18,FALSE)</f>
        <v>3</v>
      </c>
      <c r="T492">
        <f>VLOOKUP($C492,'[1]PoB PI'!$C$1:$T$898,17,FALSE)</f>
        <v>0</v>
      </c>
      <c r="U492">
        <f>VLOOKUP($C492,'[1]PoB PI'!$C$1:$T$898,18,FALSE)</f>
        <v>0</v>
      </c>
      <c r="V492">
        <f>VLOOKUP($C492,'[1]PoB OT'!$C$1:$T$898,17,FALSE)</f>
        <v>23</v>
      </c>
      <c r="W492">
        <f>VLOOKUP($C492,'[1]PoB OT'!$C$1:$T$898,18,FALSE)</f>
        <v>42</v>
      </c>
      <c r="X492">
        <f>VLOOKUP($C492,'[1]PoB 2R'!$C$1:$T$898,17,FALSE)</f>
        <v>25</v>
      </c>
      <c r="Y492">
        <f>VLOOKUP($C492,'[1]PoB 2R'!$C$1:$T$898,18,FALSE)</f>
        <v>0</v>
      </c>
    </row>
    <row r="493" spans="1:25" x14ac:dyDescent="0.25">
      <c r="A493" t="s">
        <v>1442</v>
      </c>
      <c r="B493">
        <v>5376720</v>
      </c>
      <c r="C493" t="s">
        <v>1443</v>
      </c>
      <c r="D493">
        <f t="shared" si="21"/>
        <v>131</v>
      </c>
      <c r="E493">
        <f>VLOOKUP($C493,'[1]PoB Totals'!$C$3:$T$898,17,FALSE)</f>
        <v>131</v>
      </c>
      <c r="F493">
        <f>VLOOKUP($C493,'[1]PoB Totals'!$C$3:$T$898,18,FALSE)</f>
        <v>0</v>
      </c>
      <c r="G493">
        <f t="shared" si="22"/>
        <v>131</v>
      </c>
      <c r="H493">
        <f t="shared" si="23"/>
        <v>131</v>
      </c>
      <c r="I493">
        <f t="shared" si="23"/>
        <v>0</v>
      </c>
      <c r="J493">
        <f>VLOOKUP($C493,'[1]PoB WN'!$C$1:$T$898,17,FALSE)</f>
        <v>118</v>
      </c>
      <c r="K493">
        <f>VLOOKUP($C493,'[1]PoB WN'!$C$1:$T$898,18,FALSE)</f>
        <v>0</v>
      </c>
      <c r="L493">
        <f>VLOOKUP($C493,'[1]PoB WH'!$C$1:$T$898,17,FALSE)</f>
        <v>0</v>
      </c>
      <c r="M493">
        <f>VLOOKUP($C493,'[1]PoB WH'!$C$1:$T$898,18,FALSE)</f>
        <v>0</v>
      </c>
      <c r="N493">
        <f>VLOOKUP($C493,'[1]PoB AA'!$C$1:$T$898,17,FALSE)</f>
        <v>0</v>
      </c>
      <c r="O493">
        <f>VLOOKUP($C493,'[1]PoB AA'!$C$1:$T$898,18,FALSE)</f>
        <v>0</v>
      </c>
      <c r="P493">
        <f>VLOOKUP($C493,'[1]PoB AI'!$C$1:$T$898,17,FALSE)</f>
        <v>0</v>
      </c>
      <c r="Q493">
        <f>VLOOKUP($C493,'[1]PoB AI'!$C$1:$T$898,18,FALSE)</f>
        <v>0</v>
      </c>
      <c r="R493">
        <f>VLOOKUP($C493,'[1]PoB AS'!$C$1:$T$898,17,FALSE)</f>
        <v>0</v>
      </c>
      <c r="S493">
        <f>VLOOKUP($C493,'[1]PoB AS'!$C$1:$T$898,18,FALSE)</f>
        <v>0</v>
      </c>
      <c r="T493">
        <f>VLOOKUP($C493,'[1]PoB PI'!$C$1:$T$898,17,FALSE)</f>
        <v>0</v>
      </c>
      <c r="U493">
        <f>VLOOKUP($C493,'[1]PoB PI'!$C$1:$T$898,18,FALSE)</f>
        <v>0</v>
      </c>
      <c r="V493">
        <f>VLOOKUP($C493,'[1]PoB OT'!$C$1:$T$898,17,FALSE)</f>
        <v>0</v>
      </c>
      <c r="W493">
        <f>VLOOKUP($C493,'[1]PoB OT'!$C$1:$T$898,18,FALSE)</f>
        <v>0</v>
      </c>
      <c r="X493">
        <f>VLOOKUP($C493,'[1]PoB 2R'!$C$1:$T$898,17,FALSE)</f>
        <v>13</v>
      </c>
      <c r="Y493">
        <f>VLOOKUP($C493,'[1]PoB 2R'!$C$1:$T$898,18,FALSE)</f>
        <v>0</v>
      </c>
    </row>
    <row r="494" spans="1:25" x14ac:dyDescent="0.25">
      <c r="A494" t="s">
        <v>1596</v>
      </c>
      <c r="B494">
        <v>5376800</v>
      </c>
      <c r="C494" t="s">
        <v>1597</v>
      </c>
      <c r="D494">
        <f t="shared" si="21"/>
        <v>853</v>
      </c>
      <c r="E494">
        <f>VLOOKUP($C494,'[1]PoB Totals'!$C$3:$T$898,17,FALSE)</f>
        <v>799</v>
      </c>
      <c r="F494">
        <f>VLOOKUP($C494,'[1]PoB Totals'!$C$3:$T$898,18,FALSE)</f>
        <v>54</v>
      </c>
      <c r="G494">
        <f t="shared" si="22"/>
        <v>853</v>
      </c>
      <c r="H494">
        <f t="shared" si="23"/>
        <v>799</v>
      </c>
      <c r="I494">
        <f t="shared" si="23"/>
        <v>54</v>
      </c>
      <c r="J494">
        <f>VLOOKUP($C494,'[1]PoB WN'!$C$1:$T$898,17,FALSE)</f>
        <v>750</v>
      </c>
      <c r="K494">
        <f>VLOOKUP($C494,'[1]PoB WN'!$C$1:$T$898,18,FALSE)</f>
        <v>33</v>
      </c>
      <c r="L494">
        <f>VLOOKUP($C494,'[1]PoB WH'!$C$1:$T$898,17,FALSE)</f>
        <v>22</v>
      </c>
      <c r="M494">
        <f>VLOOKUP($C494,'[1]PoB WH'!$C$1:$T$898,18,FALSE)</f>
        <v>13</v>
      </c>
      <c r="N494">
        <f>VLOOKUP($C494,'[1]PoB AA'!$C$1:$T$898,17,FALSE)</f>
        <v>0</v>
      </c>
      <c r="O494">
        <f>VLOOKUP($C494,'[1]PoB AA'!$C$1:$T$898,18,FALSE)</f>
        <v>0</v>
      </c>
      <c r="P494">
        <f>VLOOKUP($C494,'[1]PoB AI'!$C$1:$T$898,17,FALSE)</f>
        <v>7</v>
      </c>
      <c r="Q494">
        <f>VLOOKUP($C494,'[1]PoB AI'!$C$1:$T$898,18,FALSE)</f>
        <v>0</v>
      </c>
      <c r="R494">
        <f>VLOOKUP($C494,'[1]PoB AS'!$C$1:$T$898,17,FALSE)</f>
        <v>3</v>
      </c>
      <c r="S494">
        <f>VLOOKUP($C494,'[1]PoB AS'!$C$1:$T$898,18,FALSE)</f>
        <v>3</v>
      </c>
      <c r="T494">
        <f>VLOOKUP($C494,'[1]PoB PI'!$C$1:$T$898,17,FALSE)</f>
        <v>5</v>
      </c>
      <c r="U494">
        <f>VLOOKUP($C494,'[1]PoB PI'!$C$1:$T$898,18,FALSE)</f>
        <v>0</v>
      </c>
      <c r="V494">
        <f>VLOOKUP($C494,'[1]PoB OT'!$C$1:$T$898,17,FALSE)</f>
        <v>4</v>
      </c>
      <c r="W494">
        <f>VLOOKUP($C494,'[1]PoB OT'!$C$1:$T$898,18,FALSE)</f>
        <v>3</v>
      </c>
      <c r="X494">
        <f>VLOOKUP($C494,'[1]PoB 2R'!$C$1:$T$898,17,FALSE)</f>
        <v>8</v>
      </c>
      <c r="Y494">
        <f>VLOOKUP($C494,'[1]PoB 2R'!$C$1:$T$898,18,FALSE)</f>
        <v>2</v>
      </c>
    </row>
    <row r="495" spans="1:25" x14ac:dyDescent="0.25">
      <c r="A495" t="s">
        <v>1444</v>
      </c>
      <c r="B495">
        <v>5377105</v>
      </c>
      <c r="C495" t="s">
        <v>1445</v>
      </c>
      <c r="D495">
        <f t="shared" si="21"/>
        <v>28098</v>
      </c>
      <c r="E495">
        <f>VLOOKUP($C495,'[1]PoB Totals'!$C$3:$T$898,17,FALSE)</f>
        <v>24151</v>
      </c>
      <c r="F495">
        <f>VLOOKUP($C495,'[1]PoB Totals'!$C$3:$T$898,18,FALSE)</f>
        <v>3947</v>
      </c>
      <c r="G495">
        <f t="shared" si="22"/>
        <v>28098</v>
      </c>
      <c r="H495">
        <f t="shared" si="23"/>
        <v>24151</v>
      </c>
      <c r="I495">
        <f t="shared" si="23"/>
        <v>3947</v>
      </c>
      <c r="J495">
        <f>VLOOKUP($C495,'[1]PoB WN'!$C$1:$T$898,17,FALSE)</f>
        <v>20660</v>
      </c>
      <c r="K495">
        <f>VLOOKUP($C495,'[1]PoB WN'!$C$1:$T$898,18,FALSE)</f>
        <v>496</v>
      </c>
      <c r="L495">
        <f>VLOOKUP($C495,'[1]PoB WH'!$C$1:$T$898,17,FALSE)</f>
        <v>793</v>
      </c>
      <c r="M495">
        <f>VLOOKUP($C495,'[1]PoB WH'!$C$1:$T$898,18,FALSE)</f>
        <v>874</v>
      </c>
      <c r="N495">
        <f>VLOOKUP($C495,'[1]PoB AA'!$C$1:$T$898,17,FALSE)</f>
        <v>47</v>
      </c>
      <c r="O495">
        <f>VLOOKUP($C495,'[1]PoB AA'!$C$1:$T$898,18,FALSE)</f>
        <v>90</v>
      </c>
      <c r="P495">
        <f>VLOOKUP($C495,'[1]PoB AI'!$C$1:$T$898,17,FALSE)</f>
        <v>312</v>
      </c>
      <c r="Q495">
        <f>VLOOKUP($C495,'[1]PoB AI'!$C$1:$T$898,18,FALSE)</f>
        <v>16</v>
      </c>
      <c r="R495">
        <f>VLOOKUP($C495,'[1]PoB AS'!$C$1:$T$898,17,FALSE)</f>
        <v>115</v>
      </c>
      <c r="S495">
        <f>VLOOKUP($C495,'[1]PoB AS'!$C$1:$T$898,18,FALSE)</f>
        <v>157</v>
      </c>
      <c r="T495">
        <f>VLOOKUP($C495,'[1]PoB PI'!$C$1:$T$898,17,FALSE)</f>
        <v>12</v>
      </c>
      <c r="U495">
        <f>VLOOKUP($C495,'[1]PoB PI'!$C$1:$T$898,18,FALSE)</f>
        <v>0</v>
      </c>
      <c r="V495">
        <f>VLOOKUP($C495,'[1]PoB OT'!$C$1:$T$898,17,FALSE)</f>
        <v>1581</v>
      </c>
      <c r="W495">
        <f>VLOOKUP($C495,'[1]PoB OT'!$C$1:$T$898,18,FALSE)</f>
        <v>2123</v>
      </c>
      <c r="X495">
        <f>VLOOKUP($C495,'[1]PoB 2R'!$C$1:$T$898,17,FALSE)</f>
        <v>631</v>
      </c>
      <c r="Y495">
        <f>VLOOKUP($C495,'[1]PoB 2R'!$C$1:$T$898,18,FALSE)</f>
        <v>191</v>
      </c>
    </row>
    <row r="496" spans="1:25" x14ac:dyDescent="0.25">
      <c r="A496" t="s">
        <v>1446</v>
      </c>
      <c r="B496">
        <v>5377297</v>
      </c>
      <c r="C496" t="s">
        <v>1447</v>
      </c>
      <c r="D496">
        <f t="shared" si="21"/>
        <v>4677</v>
      </c>
      <c r="E496">
        <f>VLOOKUP($C496,'[1]PoB Totals'!$C$3:$T$898,17,FALSE)</f>
        <v>4577</v>
      </c>
      <c r="F496">
        <f>VLOOKUP($C496,'[1]PoB Totals'!$C$3:$T$898,18,FALSE)</f>
        <v>100</v>
      </c>
      <c r="G496">
        <f t="shared" si="22"/>
        <v>4677</v>
      </c>
      <c r="H496">
        <f t="shared" si="23"/>
        <v>4577</v>
      </c>
      <c r="I496">
        <f t="shared" si="23"/>
        <v>100</v>
      </c>
      <c r="J496">
        <f>VLOOKUP($C496,'[1]PoB WN'!$C$1:$T$898,17,FALSE)</f>
        <v>4297</v>
      </c>
      <c r="K496">
        <f>VLOOKUP($C496,'[1]PoB WN'!$C$1:$T$898,18,FALSE)</f>
        <v>69</v>
      </c>
      <c r="L496">
        <f>VLOOKUP($C496,'[1]PoB WH'!$C$1:$T$898,17,FALSE)</f>
        <v>55</v>
      </c>
      <c r="M496">
        <f>VLOOKUP($C496,'[1]PoB WH'!$C$1:$T$898,18,FALSE)</f>
        <v>6</v>
      </c>
      <c r="N496">
        <f>VLOOKUP($C496,'[1]PoB AA'!$C$1:$T$898,17,FALSE)</f>
        <v>0</v>
      </c>
      <c r="O496">
        <f>VLOOKUP($C496,'[1]PoB AA'!$C$1:$T$898,18,FALSE)</f>
        <v>0</v>
      </c>
      <c r="P496">
        <f>VLOOKUP($C496,'[1]PoB AI'!$C$1:$T$898,17,FALSE)</f>
        <v>33</v>
      </c>
      <c r="Q496">
        <f>VLOOKUP($C496,'[1]PoB AI'!$C$1:$T$898,18,FALSE)</f>
        <v>0</v>
      </c>
      <c r="R496">
        <f>VLOOKUP($C496,'[1]PoB AS'!$C$1:$T$898,17,FALSE)</f>
        <v>0</v>
      </c>
      <c r="S496">
        <f>VLOOKUP($C496,'[1]PoB AS'!$C$1:$T$898,18,FALSE)</f>
        <v>25</v>
      </c>
      <c r="T496">
        <f>VLOOKUP($C496,'[1]PoB PI'!$C$1:$T$898,17,FALSE)</f>
        <v>0</v>
      </c>
      <c r="U496">
        <f>VLOOKUP($C496,'[1]PoB PI'!$C$1:$T$898,18,FALSE)</f>
        <v>0</v>
      </c>
      <c r="V496">
        <f>VLOOKUP($C496,'[1]PoB OT'!$C$1:$T$898,17,FALSE)</f>
        <v>41</v>
      </c>
      <c r="W496">
        <f>VLOOKUP($C496,'[1]PoB OT'!$C$1:$T$898,18,FALSE)</f>
        <v>0</v>
      </c>
      <c r="X496">
        <f>VLOOKUP($C496,'[1]PoB 2R'!$C$1:$T$898,17,FALSE)</f>
        <v>151</v>
      </c>
      <c r="Y496">
        <f>VLOOKUP($C496,'[1]PoB 2R'!$C$1:$T$898,18,FALSE)</f>
        <v>0</v>
      </c>
    </row>
    <row r="497" spans="1:25" x14ac:dyDescent="0.25">
      <c r="A497" t="s">
        <v>1598</v>
      </c>
      <c r="B497">
        <v>5377535</v>
      </c>
      <c r="C497" t="s">
        <v>1599</v>
      </c>
      <c r="D497">
        <f t="shared" si="21"/>
        <v>5983</v>
      </c>
      <c r="E497">
        <f>VLOOKUP($C497,'[1]PoB Totals'!$C$3:$T$898,17,FALSE)</f>
        <v>5104</v>
      </c>
      <c r="F497">
        <f>VLOOKUP($C497,'[1]PoB Totals'!$C$3:$T$898,18,FALSE)</f>
        <v>879</v>
      </c>
      <c r="G497">
        <f t="shared" si="22"/>
        <v>5983</v>
      </c>
      <c r="H497">
        <f t="shared" si="23"/>
        <v>5104</v>
      </c>
      <c r="I497">
        <f t="shared" si="23"/>
        <v>879</v>
      </c>
      <c r="J497">
        <f>VLOOKUP($C497,'[1]PoB WN'!$C$1:$T$898,17,FALSE)</f>
        <v>4679</v>
      </c>
      <c r="K497">
        <f>VLOOKUP($C497,'[1]PoB WN'!$C$1:$T$898,18,FALSE)</f>
        <v>376</v>
      </c>
      <c r="L497">
        <f>VLOOKUP($C497,'[1]PoB WH'!$C$1:$T$898,17,FALSE)</f>
        <v>34</v>
      </c>
      <c r="M497">
        <f>VLOOKUP($C497,'[1]PoB WH'!$C$1:$T$898,18,FALSE)</f>
        <v>29</v>
      </c>
      <c r="N497">
        <f>VLOOKUP($C497,'[1]PoB AA'!$C$1:$T$898,17,FALSE)</f>
        <v>11</v>
      </c>
      <c r="O497">
        <f>VLOOKUP($C497,'[1]PoB AA'!$C$1:$T$898,18,FALSE)</f>
        <v>0</v>
      </c>
      <c r="P497">
        <f>VLOOKUP($C497,'[1]PoB AI'!$C$1:$T$898,17,FALSE)</f>
        <v>37</v>
      </c>
      <c r="Q497">
        <f>VLOOKUP($C497,'[1]PoB AI'!$C$1:$T$898,18,FALSE)</f>
        <v>0</v>
      </c>
      <c r="R497">
        <f>VLOOKUP($C497,'[1]PoB AS'!$C$1:$T$898,17,FALSE)</f>
        <v>206</v>
      </c>
      <c r="S497">
        <f>VLOOKUP($C497,'[1]PoB AS'!$C$1:$T$898,18,FALSE)</f>
        <v>440</v>
      </c>
      <c r="T497">
        <f>VLOOKUP($C497,'[1]PoB PI'!$C$1:$T$898,17,FALSE)</f>
        <v>9</v>
      </c>
      <c r="U497">
        <f>VLOOKUP($C497,'[1]PoB PI'!$C$1:$T$898,18,FALSE)</f>
        <v>26</v>
      </c>
      <c r="V497">
        <f>VLOOKUP($C497,'[1]PoB OT'!$C$1:$T$898,17,FALSE)</f>
        <v>6</v>
      </c>
      <c r="W497">
        <f>VLOOKUP($C497,'[1]PoB OT'!$C$1:$T$898,18,FALSE)</f>
        <v>0</v>
      </c>
      <c r="X497">
        <f>VLOOKUP($C497,'[1]PoB 2R'!$C$1:$T$898,17,FALSE)</f>
        <v>122</v>
      </c>
      <c r="Y497">
        <f>VLOOKUP($C497,'[1]PoB 2R'!$C$1:$T$898,18,FALSE)</f>
        <v>8</v>
      </c>
    </row>
    <row r="498" spans="1:25" x14ac:dyDescent="0.25">
      <c r="A498" t="s">
        <v>1600</v>
      </c>
      <c r="B498">
        <v>5377542</v>
      </c>
      <c r="C498" t="s">
        <v>1601</v>
      </c>
      <c r="D498">
        <f t="shared" si="21"/>
        <v>17872</v>
      </c>
      <c r="E498">
        <f>VLOOKUP($C498,'[1]PoB Totals'!$C$3:$T$898,17,FALSE)</f>
        <v>16850</v>
      </c>
      <c r="F498">
        <f>VLOOKUP($C498,'[1]PoB Totals'!$C$3:$T$898,18,FALSE)</f>
        <v>1022</v>
      </c>
      <c r="G498">
        <f t="shared" si="22"/>
        <v>17872</v>
      </c>
      <c r="H498">
        <f t="shared" si="23"/>
        <v>16850</v>
      </c>
      <c r="I498">
        <f t="shared" si="23"/>
        <v>1022</v>
      </c>
      <c r="J498">
        <f>VLOOKUP($C498,'[1]PoB WN'!$C$1:$T$898,17,FALSE)</f>
        <v>15353</v>
      </c>
      <c r="K498">
        <f>VLOOKUP($C498,'[1]PoB WN'!$C$1:$T$898,18,FALSE)</f>
        <v>427</v>
      </c>
      <c r="L498">
        <f>VLOOKUP($C498,'[1]PoB WH'!$C$1:$T$898,17,FALSE)</f>
        <v>291</v>
      </c>
      <c r="M498">
        <f>VLOOKUP($C498,'[1]PoB WH'!$C$1:$T$898,18,FALSE)</f>
        <v>67</v>
      </c>
      <c r="N498">
        <f>VLOOKUP($C498,'[1]PoB AA'!$C$1:$T$898,17,FALSE)</f>
        <v>159</v>
      </c>
      <c r="O498">
        <f>VLOOKUP($C498,'[1]PoB AA'!$C$1:$T$898,18,FALSE)</f>
        <v>9</v>
      </c>
      <c r="P498">
        <f>VLOOKUP($C498,'[1]PoB AI'!$C$1:$T$898,17,FALSE)</f>
        <v>121</v>
      </c>
      <c r="Q498">
        <f>VLOOKUP($C498,'[1]PoB AI'!$C$1:$T$898,18,FALSE)</f>
        <v>19</v>
      </c>
      <c r="R498">
        <f>VLOOKUP($C498,'[1]PoB AS'!$C$1:$T$898,17,FALSE)</f>
        <v>71</v>
      </c>
      <c r="S498">
        <f>VLOOKUP($C498,'[1]PoB AS'!$C$1:$T$898,18,FALSE)</f>
        <v>337</v>
      </c>
      <c r="T498">
        <f>VLOOKUP($C498,'[1]PoB PI'!$C$1:$T$898,17,FALSE)</f>
        <v>7</v>
      </c>
      <c r="U498">
        <f>VLOOKUP($C498,'[1]PoB PI'!$C$1:$T$898,18,FALSE)</f>
        <v>6</v>
      </c>
      <c r="V498">
        <f>VLOOKUP($C498,'[1]PoB OT'!$C$1:$T$898,17,FALSE)</f>
        <v>329</v>
      </c>
      <c r="W498">
        <f>VLOOKUP($C498,'[1]PoB OT'!$C$1:$T$898,18,FALSE)</f>
        <v>67</v>
      </c>
      <c r="X498">
        <f>VLOOKUP($C498,'[1]PoB 2R'!$C$1:$T$898,17,FALSE)</f>
        <v>519</v>
      </c>
      <c r="Y498">
        <f>VLOOKUP($C498,'[1]PoB 2R'!$C$1:$T$898,18,FALSE)</f>
        <v>90</v>
      </c>
    </row>
    <row r="499" spans="1:25" x14ac:dyDescent="0.25">
      <c r="A499" t="s">
        <v>1602</v>
      </c>
      <c r="B499">
        <v>5377547</v>
      </c>
      <c r="C499" t="s">
        <v>1603</v>
      </c>
      <c r="D499">
        <f t="shared" si="21"/>
        <v>2869</v>
      </c>
      <c r="E499">
        <f>VLOOKUP($C499,'[1]PoB Totals'!$C$3:$T$898,17,FALSE)</f>
        <v>2778</v>
      </c>
      <c r="F499">
        <f>VLOOKUP($C499,'[1]PoB Totals'!$C$3:$T$898,18,FALSE)</f>
        <v>91</v>
      </c>
      <c r="G499">
        <f t="shared" si="22"/>
        <v>2869</v>
      </c>
      <c r="H499">
        <f t="shared" si="23"/>
        <v>2778</v>
      </c>
      <c r="I499">
        <f t="shared" si="23"/>
        <v>91</v>
      </c>
      <c r="J499">
        <f>VLOOKUP($C499,'[1]PoB WN'!$C$1:$T$898,17,FALSE)</f>
        <v>2579</v>
      </c>
      <c r="K499">
        <f>VLOOKUP($C499,'[1]PoB WN'!$C$1:$T$898,18,FALSE)</f>
        <v>41</v>
      </c>
      <c r="L499">
        <f>VLOOKUP($C499,'[1]PoB WH'!$C$1:$T$898,17,FALSE)</f>
        <v>76</v>
      </c>
      <c r="M499">
        <f>VLOOKUP($C499,'[1]PoB WH'!$C$1:$T$898,18,FALSE)</f>
        <v>0</v>
      </c>
      <c r="N499">
        <f>VLOOKUP($C499,'[1]PoB AA'!$C$1:$T$898,17,FALSE)</f>
        <v>9</v>
      </c>
      <c r="O499">
        <f>VLOOKUP($C499,'[1]PoB AA'!$C$1:$T$898,18,FALSE)</f>
        <v>0</v>
      </c>
      <c r="P499">
        <f>VLOOKUP($C499,'[1]PoB AI'!$C$1:$T$898,17,FALSE)</f>
        <v>24</v>
      </c>
      <c r="Q499">
        <f>VLOOKUP($C499,'[1]PoB AI'!$C$1:$T$898,18,FALSE)</f>
        <v>0</v>
      </c>
      <c r="R499">
        <f>VLOOKUP($C499,'[1]PoB AS'!$C$1:$T$898,17,FALSE)</f>
        <v>72</v>
      </c>
      <c r="S499">
        <f>VLOOKUP($C499,'[1]PoB AS'!$C$1:$T$898,18,FALSE)</f>
        <v>50</v>
      </c>
      <c r="T499">
        <f>VLOOKUP($C499,'[1]PoB PI'!$C$1:$T$898,17,FALSE)</f>
        <v>0</v>
      </c>
      <c r="U499">
        <f>VLOOKUP($C499,'[1]PoB PI'!$C$1:$T$898,18,FALSE)</f>
        <v>0</v>
      </c>
      <c r="V499">
        <f>VLOOKUP($C499,'[1]PoB OT'!$C$1:$T$898,17,FALSE)</f>
        <v>0</v>
      </c>
      <c r="W499">
        <f>VLOOKUP($C499,'[1]PoB OT'!$C$1:$T$898,18,FALSE)</f>
        <v>0</v>
      </c>
      <c r="X499">
        <f>VLOOKUP($C499,'[1]PoB 2R'!$C$1:$T$898,17,FALSE)</f>
        <v>18</v>
      </c>
      <c r="Y499">
        <f>VLOOKUP($C499,'[1]PoB 2R'!$C$1:$T$898,18,FALSE)</f>
        <v>0</v>
      </c>
    </row>
    <row r="500" spans="1:25" x14ac:dyDescent="0.25">
      <c r="A500" t="s">
        <v>1448</v>
      </c>
      <c r="B500">
        <v>5377612</v>
      </c>
      <c r="C500" t="s">
        <v>1449</v>
      </c>
      <c r="D500">
        <f t="shared" si="21"/>
        <v>4759</v>
      </c>
      <c r="E500">
        <f>VLOOKUP($C500,'[1]PoB Totals'!$C$3:$T$898,17,FALSE)</f>
        <v>4488</v>
      </c>
      <c r="F500">
        <f>VLOOKUP($C500,'[1]PoB Totals'!$C$3:$T$898,18,FALSE)</f>
        <v>271</v>
      </c>
      <c r="G500">
        <f t="shared" si="22"/>
        <v>4759</v>
      </c>
      <c r="H500">
        <f t="shared" si="23"/>
        <v>4488</v>
      </c>
      <c r="I500">
        <f t="shared" si="23"/>
        <v>271</v>
      </c>
      <c r="J500">
        <f>VLOOKUP($C500,'[1]PoB WN'!$C$1:$T$898,17,FALSE)</f>
        <v>3936</v>
      </c>
      <c r="K500">
        <f>VLOOKUP($C500,'[1]PoB WN'!$C$1:$T$898,18,FALSE)</f>
        <v>80</v>
      </c>
      <c r="L500">
        <f>VLOOKUP($C500,'[1]PoB WH'!$C$1:$T$898,17,FALSE)</f>
        <v>200</v>
      </c>
      <c r="M500">
        <f>VLOOKUP($C500,'[1]PoB WH'!$C$1:$T$898,18,FALSE)</f>
        <v>45</v>
      </c>
      <c r="N500">
        <f>VLOOKUP($C500,'[1]PoB AA'!$C$1:$T$898,17,FALSE)</f>
        <v>23</v>
      </c>
      <c r="O500">
        <f>VLOOKUP($C500,'[1]PoB AA'!$C$1:$T$898,18,FALSE)</f>
        <v>7</v>
      </c>
      <c r="P500">
        <f>VLOOKUP($C500,'[1]PoB AI'!$C$1:$T$898,17,FALSE)</f>
        <v>0</v>
      </c>
      <c r="Q500">
        <f>VLOOKUP($C500,'[1]PoB AI'!$C$1:$T$898,18,FALSE)</f>
        <v>0</v>
      </c>
      <c r="R500">
        <f>VLOOKUP($C500,'[1]PoB AS'!$C$1:$T$898,17,FALSE)</f>
        <v>22</v>
      </c>
      <c r="S500">
        <f>VLOOKUP($C500,'[1]PoB AS'!$C$1:$T$898,18,FALSE)</f>
        <v>56</v>
      </c>
      <c r="T500">
        <f>VLOOKUP($C500,'[1]PoB PI'!$C$1:$T$898,17,FALSE)</f>
        <v>0</v>
      </c>
      <c r="U500">
        <f>VLOOKUP($C500,'[1]PoB PI'!$C$1:$T$898,18,FALSE)</f>
        <v>0</v>
      </c>
      <c r="V500">
        <f>VLOOKUP($C500,'[1]PoB OT'!$C$1:$T$898,17,FALSE)</f>
        <v>153</v>
      </c>
      <c r="W500">
        <f>VLOOKUP($C500,'[1]PoB OT'!$C$1:$T$898,18,FALSE)</f>
        <v>67</v>
      </c>
      <c r="X500">
        <f>VLOOKUP($C500,'[1]PoB 2R'!$C$1:$T$898,17,FALSE)</f>
        <v>154</v>
      </c>
      <c r="Y500">
        <f>VLOOKUP($C500,'[1]PoB 2R'!$C$1:$T$898,18,FALSE)</f>
        <v>16</v>
      </c>
    </row>
    <row r="501" spans="1:25" x14ac:dyDescent="0.25">
      <c r="A501" t="s">
        <v>1450</v>
      </c>
      <c r="B501">
        <v>5377630</v>
      </c>
      <c r="C501" t="s">
        <v>1451</v>
      </c>
      <c r="D501">
        <f t="shared" si="21"/>
        <v>2165</v>
      </c>
      <c r="E501">
        <f>VLOOKUP($C501,'[1]PoB Totals'!$C$3:$T$898,17,FALSE)</f>
        <v>2104</v>
      </c>
      <c r="F501">
        <f>VLOOKUP($C501,'[1]PoB Totals'!$C$3:$T$898,18,FALSE)</f>
        <v>61</v>
      </c>
      <c r="G501">
        <f t="shared" si="22"/>
        <v>2165</v>
      </c>
      <c r="H501">
        <f t="shared" si="23"/>
        <v>2104</v>
      </c>
      <c r="I501">
        <f t="shared" si="23"/>
        <v>61</v>
      </c>
      <c r="J501">
        <f>VLOOKUP($C501,'[1]PoB WN'!$C$1:$T$898,17,FALSE)</f>
        <v>1976</v>
      </c>
      <c r="K501">
        <f>VLOOKUP($C501,'[1]PoB WN'!$C$1:$T$898,18,FALSE)</f>
        <v>33</v>
      </c>
      <c r="L501">
        <f>VLOOKUP($C501,'[1]PoB WH'!$C$1:$T$898,17,FALSE)</f>
        <v>19</v>
      </c>
      <c r="M501">
        <f>VLOOKUP($C501,'[1]PoB WH'!$C$1:$T$898,18,FALSE)</f>
        <v>19</v>
      </c>
      <c r="N501">
        <f>VLOOKUP($C501,'[1]PoB AA'!$C$1:$T$898,17,FALSE)</f>
        <v>7</v>
      </c>
      <c r="O501">
        <f>VLOOKUP($C501,'[1]PoB AA'!$C$1:$T$898,18,FALSE)</f>
        <v>0</v>
      </c>
      <c r="P501">
        <f>VLOOKUP($C501,'[1]PoB AI'!$C$1:$T$898,17,FALSE)</f>
        <v>61</v>
      </c>
      <c r="Q501">
        <f>VLOOKUP($C501,'[1]PoB AI'!$C$1:$T$898,18,FALSE)</f>
        <v>0</v>
      </c>
      <c r="R501">
        <f>VLOOKUP($C501,'[1]PoB AS'!$C$1:$T$898,17,FALSE)</f>
        <v>0</v>
      </c>
      <c r="S501">
        <f>VLOOKUP($C501,'[1]PoB AS'!$C$1:$T$898,18,FALSE)</f>
        <v>4</v>
      </c>
      <c r="T501">
        <f>VLOOKUP($C501,'[1]PoB PI'!$C$1:$T$898,17,FALSE)</f>
        <v>0</v>
      </c>
      <c r="U501">
        <f>VLOOKUP($C501,'[1]PoB PI'!$C$1:$T$898,18,FALSE)</f>
        <v>0</v>
      </c>
      <c r="V501">
        <f>VLOOKUP($C501,'[1]PoB OT'!$C$1:$T$898,17,FALSE)</f>
        <v>8</v>
      </c>
      <c r="W501">
        <f>VLOOKUP($C501,'[1]PoB OT'!$C$1:$T$898,18,FALSE)</f>
        <v>5</v>
      </c>
      <c r="X501">
        <f>VLOOKUP($C501,'[1]PoB 2R'!$C$1:$T$898,17,FALSE)</f>
        <v>33</v>
      </c>
      <c r="Y501">
        <f>VLOOKUP($C501,'[1]PoB 2R'!$C$1:$T$898,18,FALSE)</f>
        <v>0</v>
      </c>
    </row>
    <row r="502" spans="1:25" x14ac:dyDescent="0.25">
      <c r="A502" t="s">
        <v>1452</v>
      </c>
      <c r="B502">
        <v>5377665</v>
      </c>
      <c r="C502" t="s">
        <v>1453</v>
      </c>
      <c r="D502">
        <f t="shared" si="21"/>
        <v>8524</v>
      </c>
      <c r="E502">
        <f>VLOOKUP($C502,'[1]PoB Totals'!$C$3:$T$898,17,FALSE)</f>
        <v>8059</v>
      </c>
      <c r="F502">
        <f>VLOOKUP($C502,'[1]PoB Totals'!$C$3:$T$898,18,FALSE)</f>
        <v>465</v>
      </c>
      <c r="G502">
        <f t="shared" si="22"/>
        <v>8524</v>
      </c>
      <c r="H502">
        <f t="shared" si="23"/>
        <v>8059</v>
      </c>
      <c r="I502">
        <f t="shared" si="23"/>
        <v>465</v>
      </c>
      <c r="J502">
        <f>VLOOKUP($C502,'[1]PoB WN'!$C$1:$T$898,17,FALSE)</f>
        <v>7565</v>
      </c>
      <c r="K502">
        <f>VLOOKUP($C502,'[1]PoB WN'!$C$1:$T$898,18,FALSE)</f>
        <v>188</v>
      </c>
      <c r="L502">
        <f>VLOOKUP($C502,'[1]PoB WH'!$C$1:$T$898,17,FALSE)</f>
        <v>182</v>
      </c>
      <c r="M502">
        <f>VLOOKUP($C502,'[1]PoB WH'!$C$1:$T$898,18,FALSE)</f>
        <v>84</v>
      </c>
      <c r="N502">
        <f>VLOOKUP($C502,'[1]PoB AA'!$C$1:$T$898,17,FALSE)</f>
        <v>35</v>
      </c>
      <c r="O502">
        <f>VLOOKUP($C502,'[1]PoB AA'!$C$1:$T$898,18,FALSE)</f>
        <v>0</v>
      </c>
      <c r="P502">
        <f>VLOOKUP($C502,'[1]PoB AI'!$C$1:$T$898,17,FALSE)</f>
        <v>8</v>
      </c>
      <c r="Q502">
        <f>VLOOKUP($C502,'[1]PoB AI'!$C$1:$T$898,18,FALSE)</f>
        <v>0</v>
      </c>
      <c r="R502">
        <f>VLOOKUP($C502,'[1]PoB AS'!$C$1:$T$898,17,FALSE)</f>
        <v>68</v>
      </c>
      <c r="S502">
        <f>VLOOKUP($C502,'[1]PoB AS'!$C$1:$T$898,18,FALSE)</f>
        <v>117</v>
      </c>
      <c r="T502">
        <f>VLOOKUP($C502,'[1]PoB PI'!$C$1:$T$898,17,FALSE)</f>
        <v>0</v>
      </c>
      <c r="U502">
        <f>VLOOKUP($C502,'[1]PoB PI'!$C$1:$T$898,18,FALSE)</f>
        <v>7</v>
      </c>
      <c r="V502">
        <f>VLOOKUP($C502,'[1]PoB OT'!$C$1:$T$898,17,FALSE)</f>
        <v>67</v>
      </c>
      <c r="W502">
        <f>VLOOKUP($C502,'[1]PoB OT'!$C$1:$T$898,18,FALSE)</f>
        <v>69</v>
      </c>
      <c r="X502">
        <f>VLOOKUP($C502,'[1]PoB 2R'!$C$1:$T$898,17,FALSE)</f>
        <v>134</v>
      </c>
      <c r="Y502">
        <f>VLOOKUP($C502,'[1]PoB 2R'!$C$1:$T$898,18,FALSE)</f>
        <v>0</v>
      </c>
    </row>
    <row r="503" spans="1:25" x14ac:dyDescent="0.25">
      <c r="A503" t="s">
        <v>1454</v>
      </c>
      <c r="B503">
        <v>5377745</v>
      </c>
      <c r="C503" t="s">
        <v>1455</v>
      </c>
      <c r="D503">
        <f t="shared" si="21"/>
        <v>4539</v>
      </c>
      <c r="E503">
        <f>VLOOKUP($C503,'[1]PoB Totals'!$C$3:$T$898,17,FALSE)</f>
        <v>4429</v>
      </c>
      <c r="F503">
        <f>VLOOKUP($C503,'[1]PoB Totals'!$C$3:$T$898,18,FALSE)</f>
        <v>110</v>
      </c>
      <c r="G503">
        <f t="shared" si="22"/>
        <v>4539</v>
      </c>
      <c r="H503">
        <f t="shared" si="23"/>
        <v>4429</v>
      </c>
      <c r="I503">
        <f t="shared" si="23"/>
        <v>110</v>
      </c>
      <c r="J503">
        <f>VLOOKUP($C503,'[1]PoB WN'!$C$1:$T$898,17,FALSE)</f>
        <v>4073</v>
      </c>
      <c r="K503">
        <f>VLOOKUP($C503,'[1]PoB WN'!$C$1:$T$898,18,FALSE)</f>
        <v>78</v>
      </c>
      <c r="L503">
        <f>VLOOKUP($C503,'[1]PoB WH'!$C$1:$T$898,17,FALSE)</f>
        <v>5</v>
      </c>
      <c r="M503">
        <f>VLOOKUP($C503,'[1]PoB WH'!$C$1:$T$898,18,FALSE)</f>
        <v>0</v>
      </c>
      <c r="N503">
        <f>VLOOKUP($C503,'[1]PoB AA'!$C$1:$T$898,17,FALSE)</f>
        <v>31</v>
      </c>
      <c r="O503">
        <f>VLOOKUP($C503,'[1]PoB AA'!$C$1:$T$898,18,FALSE)</f>
        <v>0</v>
      </c>
      <c r="P503">
        <f>VLOOKUP($C503,'[1]PoB AI'!$C$1:$T$898,17,FALSE)</f>
        <v>82</v>
      </c>
      <c r="Q503">
        <f>VLOOKUP($C503,'[1]PoB AI'!$C$1:$T$898,18,FALSE)</f>
        <v>0</v>
      </c>
      <c r="R503">
        <f>VLOOKUP($C503,'[1]PoB AS'!$C$1:$T$898,17,FALSE)</f>
        <v>0</v>
      </c>
      <c r="S503">
        <f>VLOOKUP($C503,'[1]PoB AS'!$C$1:$T$898,18,FALSE)</f>
        <v>0</v>
      </c>
      <c r="T503">
        <f>VLOOKUP($C503,'[1]PoB PI'!$C$1:$T$898,17,FALSE)</f>
        <v>0</v>
      </c>
      <c r="U503">
        <f>VLOOKUP($C503,'[1]PoB PI'!$C$1:$T$898,18,FALSE)</f>
        <v>8</v>
      </c>
      <c r="V503">
        <f>VLOOKUP($C503,'[1]PoB OT'!$C$1:$T$898,17,FALSE)</f>
        <v>54</v>
      </c>
      <c r="W503">
        <f>VLOOKUP($C503,'[1]PoB OT'!$C$1:$T$898,18,FALSE)</f>
        <v>18</v>
      </c>
      <c r="X503">
        <f>VLOOKUP($C503,'[1]PoB 2R'!$C$1:$T$898,17,FALSE)</f>
        <v>184</v>
      </c>
      <c r="Y503">
        <f>VLOOKUP($C503,'[1]PoB 2R'!$C$1:$T$898,18,FALSE)</f>
        <v>6</v>
      </c>
    </row>
    <row r="504" spans="1:25" x14ac:dyDescent="0.25">
      <c r="A504" t="s">
        <v>1604</v>
      </c>
      <c r="B504">
        <v>5377885</v>
      </c>
      <c r="C504" t="s">
        <v>1605</v>
      </c>
      <c r="D504">
        <f t="shared" si="21"/>
        <v>10060</v>
      </c>
      <c r="E504">
        <f>VLOOKUP($C504,'[1]PoB Totals'!$C$3:$T$898,17,FALSE)</f>
        <v>9459</v>
      </c>
      <c r="F504">
        <f>VLOOKUP($C504,'[1]PoB Totals'!$C$3:$T$898,18,FALSE)</f>
        <v>601</v>
      </c>
      <c r="G504">
        <f t="shared" si="22"/>
        <v>10060</v>
      </c>
      <c r="H504">
        <f t="shared" si="23"/>
        <v>9459</v>
      </c>
      <c r="I504">
        <f t="shared" si="23"/>
        <v>601</v>
      </c>
      <c r="J504">
        <f>VLOOKUP($C504,'[1]PoB WN'!$C$1:$T$898,17,FALSE)</f>
        <v>8352</v>
      </c>
      <c r="K504">
        <f>VLOOKUP($C504,'[1]PoB WN'!$C$1:$T$898,18,FALSE)</f>
        <v>176</v>
      </c>
      <c r="L504">
        <f>VLOOKUP($C504,'[1]PoB WH'!$C$1:$T$898,17,FALSE)</f>
        <v>308</v>
      </c>
      <c r="M504">
        <f>VLOOKUP($C504,'[1]PoB WH'!$C$1:$T$898,18,FALSE)</f>
        <v>58</v>
      </c>
      <c r="N504">
        <f>VLOOKUP($C504,'[1]PoB AA'!$C$1:$T$898,17,FALSE)</f>
        <v>65</v>
      </c>
      <c r="O504">
        <f>VLOOKUP($C504,'[1]PoB AA'!$C$1:$T$898,18,FALSE)</f>
        <v>0</v>
      </c>
      <c r="P504">
        <f>VLOOKUP($C504,'[1]PoB AI'!$C$1:$T$898,17,FALSE)</f>
        <v>148</v>
      </c>
      <c r="Q504">
        <f>VLOOKUP($C504,'[1]PoB AI'!$C$1:$T$898,18,FALSE)</f>
        <v>0</v>
      </c>
      <c r="R504">
        <f>VLOOKUP($C504,'[1]PoB AS'!$C$1:$T$898,17,FALSE)</f>
        <v>83</v>
      </c>
      <c r="S504">
        <f>VLOOKUP($C504,'[1]PoB AS'!$C$1:$T$898,18,FALSE)</f>
        <v>181</v>
      </c>
      <c r="T504">
        <f>VLOOKUP($C504,'[1]PoB PI'!$C$1:$T$898,17,FALSE)</f>
        <v>0</v>
      </c>
      <c r="U504">
        <f>VLOOKUP($C504,'[1]PoB PI'!$C$1:$T$898,18,FALSE)</f>
        <v>0</v>
      </c>
      <c r="V504">
        <f>VLOOKUP($C504,'[1]PoB OT'!$C$1:$T$898,17,FALSE)</f>
        <v>277</v>
      </c>
      <c r="W504">
        <f>VLOOKUP($C504,'[1]PoB OT'!$C$1:$T$898,18,FALSE)</f>
        <v>86</v>
      </c>
      <c r="X504">
        <f>VLOOKUP($C504,'[1]PoB 2R'!$C$1:$T$898,17,FALSE)</f>
        <v>226</v>
      </c>
      <c r="Y504">
        <f>VLOOKUP($C504,'[1]PoB 2R'!$C$1:$T$898,18,FALSE)</f>
        <v>100</v>
      </c>
    </row>
    <row r="505" spans="1:25" x14ac:dyDescent="0.25">
      <c r="A505" t="s">
        <v>1606</v>
      </c>
      <c r="B505">
        <v>5377910</v>
      </c>
      <c r="C505" t="s">
        <v>1607</v>
      </c>
      <c r="D505">
        <f t="shared" si="21"/>
        <v>1411</v>
      </c>
      <c r="E505">
        <f>VLOOKUP($C505,'[1]PoB Totals'!$C$3:$T$898,17,FALSE)</f>
        <v>1309</v>
      </c>
      <c r="F505">
        <f>VLOOKUP($C505,'[1]PoB Totals'!$C$3:$T$898,18,FALSE)</f>
        <v>102</v>
      </c>
      <c r="G505">
        <f t="shared" si="22"/>
        <v>1411</v>
      </c>
      <c r="H505">
        <f t="shared" si="23"/>
        <v>1309</v>
      </c>
      <c r="I505">
        <f t="shared" si="23"/>
        <v>102</v>
      </c>
      <c r="J505">
        <f>VLOOKUP($C505,'[1]PoB WN'!$C$1:$T$898,17,FALSE)</f>
        <v>1276</v>
      </c>
      <c r="K505">
        <f>VLOOKUP($C505,'[1]PoB WN'!$C$1:$T$898,18,FALSE)</f>
        <v>44</v>
      </c>
      <c r="L505">
        <f>VLOOKUP($C505,'[1]PoB WH'!$C$1:$T$898,17,FALSE)</f>
        <v>0</v>
      </c>
      <c r="M505">
        <f>VLOOKUP($C505,'[1]PoB WH'!$C$1:$T$898,18,FALSE)</f>
        <v>20</v>
      </c>
      <c r="N505">
        <f>VLOOKUP($C505,'[1]PoB AA'!$C$1:$T$898,17,FALSE)</f>
        <v>0</v>
      </c>
      <c r="O505">
        <f>VLOOKUP($C505,'[1]PoB AA'!$C$1:$T$898,18,FALSE)</f>
        <v>0</v>
      </c>
      <c r="P505">
        <f>VLOOKUP($C505,'[1]PoB AI'!$C$1:$T$898,17,FALSE)</f>
        <v>0</v>
      </c>
      <c r="Q505">
        <f>VLOOKUP($C505,'[1]PoB AI'!$C$1:$T$898,18,FALSE)</f>
        <v>0</v>
      </c>
      <c r="R505">
        <f>VLOOKUP($C505,'[1]PoB AS'!$C$1:$T$898,17,FALSE)</f>
        <v>0</v>
      </c>
      <c r="S505">
        <f>VLOOKUP($C505,'[1]PoB AS'!$C$1:$T$898,18,FALSE)</f>
        <v>8</v>
      </c>
      <c r="T505">
        <f>VLOOKUP($C505,'[1]PoB PI'!$C$1:$T$898,17,FALSE)</f>
        <v>0</v>
      </c>
      <c r="U505">
        <f>VLOOKUP($C505,'[1]PoB PI'!$C$1:$T$898,18,FALSE)</f>
        <v>0</v>
      </c>
      <c r="V505">
        <f>VLOOKUP($C505,'[1]PoB OT'!$C$1:$T$898,17,FALSE)</f>
        <v>25</v>
      </c>
      <c r="W505">
        <f>VLOOKUP($C505,'[1]PoB OT'!$C$1:$T$898,18,FALSE)</f>
        <v>30</v>
      </c>
      <c r="X505">
        <f>VLOOKUP($C505,'[1]PoB 2R'!$C$1:$T$898,17,FALSE)</f>
        <v>8</v>
      </c>
      <c r="Y505">
        <f>VLOOKUP($C505,'[1]PoB 2R'!$C$1:$T$898,18,FALSE)</f>
        <v>0</v>
      </c>
    </row>
    <row r="506" spans="1:25" x14ac:dyDescent="0.25">
      <c r="A506" t="s">
        <v>1458</v>
      </c>
      <c r="B506">
        <v>5378225</v>
      </c>
      <c r="C506" t="s">
        <v>1459</v>
      </c>
      <c r="D506">
        <f t="shared" si="21"/>
        <v>20848</v>
      </c>
      <c r="E506">
        <f>VLOOKUP($C506,'[1]PoB Totals'!$C$3:$T$898,17,FALSE)</f>
        <v>14930</v>
      </c>
      <c r="F506">
        <f>VLOOKUP($C506,'[1]PoB Totals'!$C$3:$T$898,18,FALSE)</f>
        <v>5918</v>
      </c>
      <c r="G506">
        <f t="shared" si="22"/>
        <v>20848</v>
      </c>
      <c r="H506">
        <f t="shared" si="23"/>
        <v>14930</v>
      </c>
      <c r="I506">
        <f t="shared" si="23"/>
        <v>5918</v>
      </c>
      <c r="J506">
        <f>VLOOKUP($C506,'[1]PoB WN'!$C$1:$T$898,17,FALSE)</f>
        <v>10330</v>
      </c>
      <c r="K506">
        <f>VLOOKUP($C506,'[1]PoB WN'!$C$1:$T$898,18,FALSE)</f>
        <v>712</v>
      </c>
      <c r="L506">
        <f>VLOOKUP($C506,'[1]PoB WH'!$C$1:$T$898,17,FALSE)</f>
        <v>424</v>
      </c>
      <c r="M506">
        <f>VLOOKUP($C506,'[1]PoB WH'!$C$1:$T$898,18,FALSE)</f>
        <v>405</v>
      </c>
      <c r="N506">
        <f>VLOOKUP($C506,'[1]PoB AA'!$C$1:$T$898,17,FALSE)</f>
        <v>1098</v>
      </c>
      <c r="O506">
        <f>VLOOKUP($C506,'[1]PoB AA'!$C$1:$T$898,18,FALSE)</f>
        <v>297</v>
      </c>
      <c r="P506">
        <f>VLOOKUP($C506,'[1]PoB AI'!$C$1:$T$898,17,FALSE)</f>
        <v>389</v>
      </c>
      <c r="Q506">
        <f>VLOOKUP($C506,'[1]PoB AI'!$C$1:$T$898,18,FALSE)</f>
        <v>17</v>
      </c>
      <c r="R506">
        <f>VLOOKUP($C506,'[1]PoB AS'!$C$1:$T$898,17,FALSE)</f>
        <v>1244</v>
      </c>
      <c r="S506">
        <f>VLOOKUP($C506,'[1]PoB AS'!$C$1:$T$898,18,FALSE)</f>
        <v>3234</v>
      </c>
      <c r="T506">
        <f>VLOOKUP($C506,'[1]PoB PI'!$C$1:$T$898,17,FALSE)</f>
        <v>147</v>
      </c>
      <c r="U506">
        <f>VLOOKUP($C506,'[1]PoB PI'!$C$1:$T$898,18,FALSE)</f>
        <v>158</v>
      </c>
      <c r="V506">
        <f>VLOOKUP($C506,'[1]PoB OT'!$C$1:$T$898,17,FALSE)</f>
        <v>557</v>
      </c>
      <c r="W506">
        <f>VLOOKUP($C506,'[1]PoB OT'!$C$1:$T$898,18,FALSE)</f>
        <v>778</v>
      </c>
      <c r="X506">
        <f>VLOOKUP($C506,'[1]PoB 2R'!$C$1:$T$898,17,FALSE)</f>
        <v>741</v>
      </c>
      <c r="Y506">
        <f>VLOOKUP($C506,'[1]PoB 2R'!$C$1:$T$898,18,FALSE)</f>
        <v>317</v>
      </c>
    </row>
    <row r="507" spans="1:25" x14ac:dyDescent="0.25">
      <c r="A507" t="s">
        <v>1460</v>
      </c>
      <c r="B507">
        <v>5378330</v>
      </c>
      <c r="C507" t="s">
        <v>1461</v>
      </c>
      <c r="D507">
        <f t="shared" si="21"/>
        <v>2153</v>
      </c>
      <c r="E507">
        <f>VLOOKUP($C507,'[1]PoB Totals'!$C$3:$T$898,17,FALSE)</f>
        <v>1872</v>
      </c>
      <c r="F507">
        <f>VLOOKUP($C507,'[1]PoB Totals'!$C$3:$T$898,18,FALSE)</f>
        <v>281</v>
      </c>
      <c r="G507">
        <f t="shared" si="22"/>
        <v>2153</v>
      </c>
      <c r="H507">
        <f t="shared" si="23"/>
        <v>1872</v>
      </c>
      <c r="I507">
        <f t="shared" si="23"/>
        <v>281</v>
      </c>
      <c r="J507">
        <f>VLOOKUP($C507,'[1]PoB WN'!$C$1:$T$898,17,FALSE)</f>
        <v>1588</v>
      </c>
      <c r="K507">
        <f>VLOOKUP($C507,'[1]PoB WN'!$C$1:$T$898,18,FALSE)</f>
        <v>30</v>
      </c>
      <c r="L507">
        <f>VLOOKUP($C507,'[1]PoB WH'!$C$1:$T$898,17,FALSE)</f>
        <v>34</v>
      </c>
      <c r="M507">
        <f>VLOOKUP($C507,'[1]PoB WH'!$C$1:$T$898,18,FALSE)</f>
        <v>14</v>
      </c>
      <c r="N507">
        <f>VLOOKUP($C507,'[1]PoB AA'!$C$1:$T$898,17,FALSE)</f>
        <v>10</v>
      </c>
      <c r="O507">
        <f>VLOOKUP($C507,'[1]PoB AA'!$C$1:$T$898,18,FALSE)</f>
        <v>4</v>
      </c>
      <c r="P507">
        <f>VLOOKUP($C507,'[1]PoB AI'!$C$1:$T$898,17,FALSE)</f>
        <v>39</v>
      </c>
      <c r="Q507">
        <f>VLOOKUP($C507,'[1]PoB AI'!$C$1:$T$898,18,FALSE)</f>
        <v>0</v>
      </c>
      <c r="R507">
        <f>VLOOKUP($C507,'[1]PoB AS'!$C$1:$T$898,17,FALSE)</f>
        <v>0</v>
      </c>
      <c r="S507">
        <f>VLOOKUP($C507,'[1]PoB AS'!$C$1:$T$898,18,FALSE)</f>
        <v>5</v>
      </c>
      <c r="T507">
        <f>VLOOKUP($C507,'[1]PoB PI'!$C$1:$T$898,17,FALSE)</f>
        <v>2</v>
      </c>
      <c r="U507">
        <f>VLOOKUP($C507,'[1]PoB PI'!$C$1:$T$898,18,FALSE)</f>
        <v>0</v>
      </c>
      <c r="V507">
        <f>VLOOKUP($C507,'[1]PoB OT'!$C$1:$T$898,17,FALSE)</f>
        <v>125</v>
      </c>
      <c r="W507">
        <f>VLOOKUP($C507,'[1]PoB OT'!$C$1:$T$898,18,FALSE)</f>
        <v>218</v>
      </c>
      <c r="X507">
        <f>VLOOKUP($C507,'[1]PoB 2R'!$C$1:$T$898,17,FALSE)</f>
        <v>74</v>
      </c>
      <c r="Y507">
        <f>VLOOKUP($C507,'[1]PoB 2R'!$C$1:$T$898,18,FALSE)</f>
        <v>10</v>
      </c>
    </row>
    <row r="508" spans="1:25" x14ac:dyDescent="0.25">
      <c r="A508" t="s">
        <v>1462</v>
      </c>
      <c r="B508">
        <v>5378365</v>
      </c>
      <c r="C508" t="s">
        <v>1463</v>
      </c>
      <c r="D508">
        <f t="shared" si="21"/>
        <v>3068</v>
      </c>
      <c r="E508">
        <f>VLOOKUP($C508,'[1]PoB Totals'!$C$3:$T$898,17,FALSE)</f>
        <v>2928</v>
      </c>
      <c r="F508">
        <f>VLOOKUP($C508,'[1]PoB Totals'!$C$3:$T$898,18,FALSE)</f>
        <v>140</v>
      </c>
      <c r="G508">
        <f t="shared" si="22"/>
        <v>3068</v>
      </c>
      <c r="H508">
        <f t="shared" si="23"/>
        <v>2928</v>
      </c>
      <c r="I508">
        <f t="shared" si="23"/>
        <v>140</v>
      </c>
      <c r="J508">
        <f>VLOOKUP($C508,'[1]PoB WN'!$C$1:$T$898,17,FALSE)</f>
        <v>998</v>
      </c>
      <c r="K508">
        <f>VLOOKUP($C508,'[1]PoB WN'!$C$1:$T$898,18,FALSE)</f>
        <v>5</v>
      </c>
      <c r="L508">
        <f>VLOOKUP($C508,'[1]PoB WH'!$C$1:$T$898,17,FALSE)</f>
        <v>74</v>
      </c>
      <c r="M508">
        <f>VLOOKUP($C508,'[1]PoB WH'!$C$1:$T$898,18,FALSE)</f>
        <v>51</v>
      </c>
      <c r="N508">
        <f>VLOOKUP($C508,'[1]PoB AA'!$C$1:$T$898,17,FALSE)</f>
        <v>20</v>
      </c>
      <c r="O508">
        <f>VLOOKUP($C508,'[1]PoB AA'!$C$1:$T$898,18,FALSE)</f>
        <v>0</v>
      </c>
      <c r="P508">
        <f>VLOOKUP($C508,'[1]PoB AI'!$C$1:$T$898,17,FALSE)</f>
        <v>1637</v>
      </c>
      <c r="Q508">
        <f>VLOOKUP($C508,'[1]PoB AI'!$C$1:$T$898,18,FALSE)</f>
        <v>11</v>
      </c>
      <c r="R508">
        <f>VLOOKUP($C508,'[1]PoB AS'!$C$1:$T$898,17,FALSE)</f>
        <v>5</v>
      </c>
      <c r="S508">
        <f>VLOOKUP($C508,'[1]PoB AS'!$C$1:$T$898,18,FALSE)</f>
        <v>6</v>
      </c>
      <c r="T508">
        <f>VLOOKUP($C508,'[1]PoB PI'!$C$1:$T$898,17,FALSE)</f>
        <v>0</v>
      </c>
      <c r="U508">
        <f>VLOOKUP($C508,'[1]PoB PI'!$C$1:$T$898,18,FALSE)</f>
        <v>0</v>
      </c>
      <c r="V508">
        <f>VLOOKUP($C508,'[1]PoB OT'!$C$1:$T$898,17,FALSE)</f>
        <v>78</v>
      </c>
      <c r="W508">
        <f>VLOOKUP($C508,'[1]PoB OT'!$C$1:$T$898,18,FALSE)</f>
        <v>67</v>
      </c>
      <c r="X508">
        <f>VLOOKUP($C508,'[1]PoB 2R'!$C$1:$T$898,17,FALSE)</f>
        <v>116</v>
      </c>
      <c r="Y508">
        <f>VLOOKUP($C508,'[1]PoB 2R'!$C$1:$T$898,18,FALSE)</f>
        <v>0</v>
      </c>
    </row>
    <row r="509" spans="1:25" x14ac:dyDescent="0.25">
      <c r="A509" t="s">
        <v>1464</v>
      </c>
      <c r="B509">
        <v>5378680</v>
      </c>
      <c r="C509" t="s">
        <v>1465</v>
      </c>
      <c r="D509">
        <f t="shared" si="21"/>
        <v>911</v>
      </c>
      <c r="E509">
        <f>VLOOKUP($C509,'[1]PoB Totals'!$C$3:$T$898,17,FALSE)</f>
        <v>893</v>
      </c>
      <c r="F509">
        <f>VLOOKUP($C509,'[1]PoB Totals'!$C$3:$T$898,18,FALSE)</f>
        <v>18</v>
      </c>
      <c r="G509">
        <f t="shared" si="22"/>
        <v>911</v>
      </c>
      <c r="H509">
        <f t="shared" si="23"/>
        <v>893</v>
      </c>
      <c r="I509">
        <f t="shared" si="23"/>
        <v>18</v>
      </c>
      <c r="J509">
        <f>VLOOKUP($C509,'[1]PoB WN'!$C$1:$T$898,17,FALSE)</f>
        <v>862</v>
      </c>
      <c r="K509">
        <f>VLOOKUP($C509,'[1]PoB WN'!$C$1:$T$898,18,FALSE)</f>
        <v>18</v>
      </c>
      <c r="L509">
        <f>VLOOKUP($C509,'[1]PoB WH'!$C$1:$T$898,17,FALSE)</f>
        <v>8</v>
      </c>
      <c r="M509">
        <f>VLOOKUP($C509,'[1]PoB WH'!$C$1:$T$898,18,FALSE)</f>
        <v>0</v>
      </c>
      <c r="N509">
        <f>VLOOKUP($C509,'[1]PoB AA'!$C$1:$T$898,17,FALSE)</f>
        <v>0</v>
      </c>
      <c r="O509">
        <f>VLOOKUP($C509,'[1]PoB AA'!$C$1:$T$898,18,FALSE)</f>
        <v>0</v>
      </c>
      <c r="P509">
        <f>VLOOKUP($C509,'[1]PoB AI'!$C$1:$T$898,17,FALSE)</f>
        <v>5</v>
      </c>
      <c r="Q509">
        <f>VLOOKUP($C509,'[1]PoB AI'!$C$1:$T$898,18,FALSE)</f>
        <v>0</v>
      </c>
      <c r="R509">
        <f>VLOOKUP($C509,'[1]PoB AS'!$C$1:$T$898,17,FALSE)</f>
        <v>0</v>
      </c>
      <c r="S509">
        <f>VLOOKUP($C509,'[1]PoB AS'!$C$1:$T$898,18,FALSE)</f>
        <v>0</v>
      </c>
      <c r="T509">
        <f>VLOOKUP($C509,'[1]PoB PI'!$C$1:$T$898,17,FALSE)</f>
        <v>3</v>
      </c>
      <c r="U509">
        <f>VLOOKUP($C509,'[1]PoB PI'!$C$1:$T$898,18,FALSE)</f>
        <v>0</v>
      </c>
      <c r="V509">
        <f>VLOOKUP($C509,'[1]PoB OT'!$C$1:$T$898,17,FALSE)</f>
        <v>4</v>
      </c>
      <c r="W509">
        <f>VLOOKUP($C509,'[1]PoB OT'!$C$1:$T$898,18,FALSE)</f>
        <v>0</v>
      </c>
      <c r="X509">
        <f>VLOOKUP($C509,'[1]PoB 2R'!$C$1:$T$898,17,FALSE)</f>
        <v>11</v>
      </c>
      <c r="Y509">
        <f>VLOOKUP($C509,'[1]PoB 2R'!$C$1:$T$898,18,FALSE)</f>
        <v>0</v>
      </c>
    </row>
    <row r="510" spans="1:25" x14ac:dyDescent="0.25">
      <c r="A510" t="s">
        <v>1468</v>
      </c>
      <c r="B510">
        <v>5378925</v>
      </c>
      <c r="C510" t="s">
        <v>1469</v>
      </c>
      <c r="D510">
        <f t="shared" si="21"/>
        <v>404</v>
      </c>
      <c r="E510">
        <f>VLOOKUP($C510,'[1]PoB Totals'!$C$3:$T$898,17,FALSE)</f>
        <v>398</v>
      </c>
      <c r="F510">
        <f>VLOOKUP($C510,'[1]PoB Totals'!$C$3:$T$898,18,FALSE)</f>
        <v>6</v>
      </c>
      <c r="G510">
        <f t="shared" si="22"/>
        <v>404</v>
      </c>
      <c r="H510">
        <f t="shared" si="23"/>
        <v>398</v>
      </c>
      <c r="I510">
        <f t="shared" si="23"/>
        <v>6</v>
      </c>
      <c r="J510">
        <f>VLOOKUP($C510,'[1]PoB WN'!$C$1:$T$898,17,FALSE)</f>
        <v>383</v>
      </c>
      <c r="K510">
        <f>VLOOKUP($C510,'[1]PoB WN'!$C$1:$T$898,18,FALSE)</f>
        <v>4</v>
      </c>
      <c r="L510">
        <f>VLOOKUP($C510,'[1]PoB WH'!$C$1:$T$898,17,FALSE)</f>
        <v>4</v>
      </c>
      <c r="M510">
        <f>VLOOKUP($C510,'[1]PoB WH'!$C$1:$T$898,18,FALSE)</f>
        <v>0</v>
      </c>
      <c r="N510">
        <f>VLOOKUP($C510,'[1]PoB AA'!$C$1:$T$898,17,FALSE)</f>
        <v>2</v>
      </c>
      <c r="O510">
        <f>VLOOKUP($C510,'[1]PoB AA'!$C$1:$T$898,18,FALSE)</f>
        <v>0</v>
      </c>
      <c r="P510">
        <f>VLOOKUP($C510,'[1]PoB AI'!$C$1:$T$898,17,FALSE)</f>
        <v>2</v>
      </c>
      <c r="Q510">
        <f>VLOOKUP($C510,'[1]PoB AI'!$C$1:$T$898,18,FALSE)</f>
        <v>0</v>
      </c>
      <c r="R510">
        <f>VLOOKUP($C510,'[1]PoB AS'!$C$1:$T$898,17,FALSE)</f>
        <v>0</v>
      </c>
      <c r="S510">
        <f>VLOOKUP($C510,'[1]PoB AS'!$C$1:$T$898,18,FALSE)</f>
        <v>1</v>
      </c>
      <c r="T510">
        <f>VLOOKUP($C510,'[1]PoB PI'!$C$1:$T$898,17,FALSE)</f>
        <v>3</v>
      </c>
      <c r="U510">
        <f>VLOOKUP($C510,'[1]PoB PI'!$C$1:$T$898,18,FALSE)</f>
        <v>0</v>
      </c>
      <c r="V510">
        <f>VLOOKUP($C510,'[1]PoB OT'!$C$1:$T$898,17,FALSE)</f>
        <v>0</v>
      </c>
      <c r="W510">
        <f>VLOOKUP($C510,'[1]PoB OT'!$C$1:$T$898,18,FALSE)</f>
        <v>0</v>
      </c>
      <c r="X510">
        <f>VLOOKUP($C510,'[1]PoB 2R'!$C$1:$T$898,17,FALSE)</f>
        <v>4</v>
      </c>
      <c r="Y510">
        <f>VLOOKUP($C510,'[1]PoB 2R'!$C$1:$T$898,18,FALSE)</f>
        <v>1</v>
      </c>
    </row>
    <row r="511" spans="1:25" x14ac:dyDescent="0.25">
      <c r="A511" t="s">
        <v>1472</v>
      </c>
      <c r="B511">
        <v>5379135</v>
      </c>
      <c r="C511" t="s">
        <v>1473</v>
      </c>
      <c r="D511">
        <f t="shared" si="21"/>
        <v>201</v>
      </c>
      <c r="E511">
        <f>VLOOKUP($C511,'[1]PoB Totals'!$C$3:$T$898,17,FALSE)</f>
        <v>198</v>
      </c>
      <c r="F511">
        <f>VLOOKUP($C511,'[1]PoB Totals'!$C$3:$T$898,18,FALSE)</f>
        <v>3</v>
      </c>
      <c r="G511">
        <f t="shared" si="22"/>
        <v>201</v>
      </c>
      <c r="H511">
        <f t="shared" si="23"/>
        <v>198</v>
      </c>
      <c r="I511">
        <f t="shared" si="23"/>
        <v>3</v>
      </c>
      <c r="J511">
        <f>VLOOKUP($C511,'[1]PoB WN'!$C$1:$T$898,17,FALSE)</f>
        <v>164</v>
      </c>
      <c r="K511">
        <f>VLOOKUP($C511,'[1]PoB WN'!$C$1:$T$898,18,FALSE)</f>
        <v>3</v>
      </c>
      <c r="L511">
        <f>VLOOKUP($C511,'[1]PoB WH'!$C$1:$T$898,17,FALSE)</f>
        <v>33</v>
      </c>
      <c r="M511">
        <f>VLOOKUP($C511,'[1]PoB WH'!$C$1:$T$898,18,FALSE)</f>
        <v>0</v>
      </c>
      <c r="N511">
        <f>VLOOKUP($C511,'[1]PoB AA'!$C$1:$T$898,17,FALSE)</f>
        <v>0</v>
      </c>
      <c r="O511">
        <f>VLOOKUP($C511,'[1]PoB AA'!$C$1:$T$898,18,FALSE)</f>
        <v>0</v>
      </c>
      <c r="P511">
        <f>VLOOKUP($C511,'[1]PoB AI'!$C$1:$T$898,17,FALSE)</f>
        <v>0</v>
      </c>
      <c r="Q511">
        <f>VLOOKUP($C511,'[1]PoB AI'!$C$1:$T$898,18,FALSE)</f>
        <v>0</v>
      </c>
      <c r="R511">
        <f>VLOOKUP($C511,'[1]PoB AS'!$C$1:$T$898,17,FALSE)</f>
        <v>1</v>
      </c>
      <c r="S511">
        <f>VLOOKUP($C511,'[1]PoB AS'!$C$1:$T$898,18,FALSE)</f>
        <v>0</v>
      </c>
      <c r="T511">
        <f>VLOOKUP($C511,'[1]PoB PI'!$C$1:$T$898,17,FALSE)</f>
        <v>0</v>
      </c>
      <c r="U511">
        <f>VLOOKUP($C511,'[1]PoB PI'!$C$1:$T$898,18,FALSE)</f>
        <v>0</v>
      </c>
      <c r="V511">
        <f>VLOOKUP($C511,'[1]PoB OT'!$C$1:$T$898,17,FALSE)</f>
        <v>0</v>
      </c>
      <c r="W511">
        <f>VLOOKUP($C511,'[1]PoB OT'!$C$1:$T$898,18,FALSE)</f>
        <v>0</v>
      </c>
      <c r="X511">
        <f>VLOOKUP($C511,'[1]PoB 2R'!$C$1:$T$898,17,FALSE)</f>
        <v>0</v>
      </c>
      <c r="Y511">
        <f>VLOOKUP($C511,'[1]PoB 2R'!$C$1:$T$898,18,FALSE)</f>
        <v>0</v>
      </c>
    </row>
    <row r="512" spans="1:25" x14ac:dyDescent="0.25">
      <c r="A512" t="s">
        <v>1474</v>
      </c>
      <c r="B512">
        <v>5379275</v>
      </c>
      <c r="C512" t="s">
        <v>1475</v>
      </c>
      <c r="D512">
        <f t="shared" si="21"/>
        <v>1135</v>
      </c>
      <c r="E512">
        <f>VLOOKUP($C512,'[1]PoB Totals'!$C$3:$T$898,17,FALSE)</f>
        <v>1065</v>
      </c>
      <c r="F512">
        <f>VLOOKUP($C512,'[1]PoB Totals'!$C$3:$T$898,18,FALSE)</f>
        <v>70</v>
      </c>
      <c r="G512">
        <f t="shared" si="22"/>
        <v>1135</v>
      </c>
      <c r="H512">
        <f t="shared" si="23"/>
        <v>1065</v>
      </c>
      <c r="I512">
        <f t="shared" si="23"/>
        <v>70</v>
      </c>
      <c r="J512">
        <f>VLOOKUP($C512,'[1]PoB WN'!$C$1:$T$898,17,FALSE)</f>
        <v>979</v>
      </c>
      <c r="K512">
        <f>VLOOKUP($C512,'[1]PoB WN'!$C$1:$T$898,18,FALSE)</f>
        <v>17</v>
      </c>
      <c r="L512">
        <f>VLOOKUP($C512,'[1]PoB WH'!$C$1:$T$898,17,FALSE)</f>
        <v>14</v>
      </c>
      <c r="M512">
        <f>VLOOKUP($C512,'[1]PoB WH'!$C$1:$T$898,18,FALSE)</f>
        <v>8</v>
      </c>
      <c r="N512">
        <f>VLOOKUP($C512,'[1]PoB AA'!$C$1:$T$898,17,FALSE)</f>
        <v>0</v>
      </c>
      <c r="O512">
        <f>VLOOKUP($C512,'[1]PoB AA'!$C$1:$T$898,18,FALSE)</f>
        <v>0</v>
      </c>
      <c r="P512">
        <f>VLOOKUP($C512,'[1]PoB AI'!$C$1:$T$898,17,FALSE)</f>
        <v>3</v>
      </c>
      <c r="Q512">
        <f>VLOOKUP($C512,'[1]PoB AI'!$C$1:$T$898,18,FALSE)</f>
        <v>0</v>
      </c>
      <c r="R512">
        <f>VLOOKUP($C512,'[1]PoB AS'!$C$1:$T$898,17,FALSE)</f>
        <v>2</v>
      </c>
      <c r="S512">
        <f>VLOOKUP($C512,'[1]PoB AS'!$C$1:$T$898,18,FALSE)</f>
        <v>5</v>
      </c>
      <c r="T512">
        <f>VLOOKUP($C512,'[1]PoB PI'!$C$1:$T$898,17,FALSE)</f>
        <v>0</v>
      </c>
      <c r="U512">
        <f>VLOOKUP($C512,'[1]PoB PI'!$C$1:$T$898,18,FALSE)</f>
        <v>0</v>
      </c>
      <c r="V512">
        <f>VLOOKUP($C512,'[1]PoB OT'!$C$1:$T$898,17,FALSE)</f>
        <v>26</v>
      </c>
      <c r="W512">
        <f>VLOOKUP($C512,'[1]PoB OT'!$C$1:$T$898,18,FALSE)</f>
        <v>37</v>
      </c>
      <c r="X512">
        <f>VLOOKUP($C512,'[1]PoB 2R'!$C$1:$T$898,17,FALSE)</f>
        <v>41</v>
      </c>
      <c r="Y512">
        <f>VLOOKUP($C512,'[1]PoB 2R'!$C$1:$T$898,18,FALSE)</f>
        <v>3</v>
      </c>
    </row>
    <row r="513" spans="1:25" x14ac:dyDescent="0.25">
      <c r="A513" t="s">
        <v>1476</v>
      </c>
      <c r="B513">
        <v>5379380</v>
      </c>
      <c r="C513" t="s">
        <v>1477</v>
      </c>
      <c r="D513">
        <f t="shared" si="21"/>
        <v>324</v>
      </c>
      <c r="E513">
        <f>VLOOKUP($C513,'[1]PoB Totals'!$C$3:$T$898,17,FALSE)</f>
        <v>318</v>
      </c>
      <c r="F513">
        <f>VLOOKUP($C513,'[1]PoB Totals'!$C$3:$T$898,18,FALSE)</f>
        <v>6</v>
      </c>
      <c r="G513">
        <f t="shared" si="22"/>
        <v>324</v>
      </c>
      <c r="H513">
        <f t="shared" si="23"/>
        <v>318</v>
      </c>
      <c r="I513">
        <f t="shared" si="23"/>
        <v>6</v>
      </c>
      <c r="J513">
        <f>VLOOKUP($C513,'[1]PoB WN'!$C$1:$T$898,17,FALSE)</f>
        <v>314</v>
      </c>
      <c r="K513">
        <f>VLOOKUP($C513,'[1]PoB WN'!$C$1:$T$898,18,FALSE)</f>
        <v>6</v>
      </c>
      <c r="L513">
        <f>VLOOKUP($C513,'[1]PoB WH'!$C$1:$T$898,17,FALSE)</f>
        <v>0</v>
      </c>
      <c r="M513">
        <f>VLOOKUP($C513,'[1]PoB WH'!$C$1:$T$898,18,FALSE)</f>
        <v>0</v>
      </c>
      <c r="N513">
        <f>VLOOKUP($C513,'[1]PoB AA'!$C$1:$T$898,17,FALSE)</f>
        <v>0</v>
      </c>
      <c r="O513">
        <f>VLOOKUP($C513,'[1]PoB AA'!$C$1:$T$898,18,FALSE)</f>
        <v>0</v>
      </c>
      <c r="P513">
        <f>VLOOKUP($C513,'[1]PoB AI'!$C$1:$T$898,17,FALSE)</f>
        <v>0</v>
      </c>
      <c r="Q513">
        <f>VLOOKUP($C513,'[1]PoB AI'!$C$1:$T$898,18,FALSE)</f>
        <v>0</v>
      </c>
      <c r="R513">
        <f>VLOOKUP($C513,'[1]PoB AS'!$C$1:$T$898,17,FALSE)</f>
        <v>0</v>
      </c>
      <c r="S513">
        <f>VLOOKUP($C513,'[1]PoB AS'!$C$1:$T$898,18,FALSE)</f>
        <v>0</v>
      </c>
      <c r="T513">
        <f>VLOOKUP($C513,'[1]PoB PI'!$C$1:$T$898,17,FALSE)</f>
        <v>0</v>
      </c>
      <c r="U513">
        <f>VLOOKUP($C513,'[1]PoB PI'!$C$1:$T$898,18,FALSE)</f>
        <v>0</v>
      </c>
      <c r="V513">
        <f>VLOOKUP($C513,'[1]PoB OT'!$C$1:$T$898,17,FALSE)</f>
        <v>0</v>
      </c>
      <c r="W513">
        <f>VLOOKUP($C513,'[1]PoB OT'!$C$1:$T$898,18,FALSE)</f>
        <v>0</v>
      </c>
      <c r="X513">
        <f>VLOOKUP($C513,'[1]PoB 2R'!$C$1:$T$898,17,FALSE)</f>
        <v>4</v>
      </c>
      <c r="Y513">
        <f>VLOOKUP($C513,'[1]PoB 2R'!$C$1:$T$898,18,FALSE)</f>
        <v>0</v>
      </c>
    </row>
    <row r="514" spans="1:25" x14ac:dyDescent="0.25">
      <c r="A514" t="s">
        <v>1478</v>
      </c>
      <c r="B514">
        <v>5379485</v>
      </c>
      <c r="C514" t="s">
        <v>1479</v>
      </c>
      <c r="D514">
        <f t="shared" si="21"/>
        <v>291</v>
      </c>
      <c r="E514">
        <f>VLOOKUP($C514,'[1]PoB Totals'!$C$3:$T$898,17,FALSE)</f>
        <v>286</v>
      </c>
      <c r="F514">
        <f>VLOOKUP($C514,'[1]PoB Totals'!$C$3:$T$898,18,FALSE)</f>
        <v>5</v>
      </c>
      <c r="G514">
        <f t="shared" si="22"/>
        <v>291</v>
      </c>
      <c r="H514">
        <f t="shared" si="23"/>
        <v>286</v>
      </c>
      <c r="I514">
        <f t="shared" si="23"/>
        <v>5</v>
      </c>
      <c r="J514">
        <f>VLOOKUP($C514,'[1]PoB WN'!$C$1:$T$898,17,FALSE)</f>
        <v>233</v>
      </c>
      <c r="K514">
        <f>VLOOKUP($C514,'[1]PoB WN'!$C$1:$T$898,18,FALSE)</f>
        <v>3</v>
      </c>
      <c r="L514">
        <f>VLOOKUP($C514,'[1]PoB WH'!$C$1:$T$898,17,FALSE)</f>
        <v>0</v>
      </c>
      <c r="M514">
        <f>VLOOKUP($C514,'[1]PoB WH'!$C$1:$T$898,18,FALSE)</f>
        <v>0</v>
      </c>
      <c r="N514">
        <f>VLOOKUP($C514,'[1]PoB AA'!$C$1:$T$898,17,FALSE)</f>
        <v>0</v>
      </c>
      <c r="O514">
        <f>VLOOKUP($C514,'[1]PoB AA'!$C$1:$T$898,18,FALSE)</f>
        <v>0</v>
      </c>
      <c r="P514">
        <f>VLOOKUP($C514,'[1]PoB AI'!$C$1:$T$898,17,FALSE)</f>
        <v>29</v>
      </c>
      <c r="Q514">
        <f>VLOOKUP($C514,'[1]PoB AI'!$C$1:$T$898,18,FALSE)</f>
        <v>0</v>
      </c>
      <c r="R514">
        <f>VLOOKUP($C514,'[1]PoB AS'!$C$1:$T$898,17,FALSE)</f>
        <v>0</v>
      </c>
      <c r="S514">
        <f>VLOOKUP($C514,'[1]PoB AS'!$C$1:$T$898,18,FALSE)</f>
        <v>2</v>
      </c>
      <c r="T514">
        <f>VLOOKUP($C514,'[1]PoB PI'!$C$1:$T$898,17,FALSE)</f>
        <v>0</v>
      </c>
      <c r="U514">
        <f>VLOOKUP($C514,'[1]PoB PI'!$C$1:$T$898,18,FALSE)</f>
        <v>0</v>
      </c>
      <c r="V514">
        <f>VLOOKUP($C514,'[1]PoB OT'!$C$1:$T$898,17,FALSE)</f>
        <v>11</v>
      </c>
      <c r="W514">
        <f>VLOOKUP($C514,'[1]PoB OT'!$C$1:$T$898,18,FALSE)</f>
        <v>0</v>
      </c>
      <c r="X514">
        <f>VLOOKUP($C514,'[1]PoB 2R'!$C$1:$T$898,17,FALSE)</f>
        <v>13</v>
      </c>
      <c r="Y514">
        <f>VLOOKUP($C514,'[1]PoB 2R'!$C$1:$T$898,18,FALSE)</f>
        <v>0</v>
      </c>
    </row>
    <row r="515" spans="1:25" x14ac:dyDescent="0.25">
      <c r="A515" t="s">
        <v>1482</v>
      </c>
      <c r="B515">
        <v>5379590</v>
      </c>
      <c r="C515" t="s">
        <v>1483</v>
      </c>
      <c r="D515">
        <f t="shared" ref="D515:D523" si="24">SUM(E515,F515)</f>
        <v>9445</v>
      </c>
      <c r="E515">
        <f>VLOOKUP($C515,'[1]PoB Totals'!$C$3:$T$898,17,FALSE)</f>
        <v>8039</v>
      </c>
      <c r="F515">
        <f>VLOOKUP($C515,'[1]PoB Totals'!$C$3:$T$898,18,FALSE)</f>
        <v>1406</v>
      </c>
      <c r="G515">
        <f t="shared" ref="G515:G523" si="25">H515+I515</f>
        <v>9445</v>
      </c>
      <c r="H515">
        <f t="shared" ref="H515:I523" si="26">SUM(J515,L515,N515,P515,R515,T515,V515,X515)</f>
        <v>8039</v>
      </c>
      <c r="I515">
        <f t="shared" si="26"/>
        <v>1406</v>
      </c>
      <c r="J515">
        <f>VLOOKUP($C515,'[1]PoB WN'!$C$1:$T$898,17,FALSE)</f>
        <v>7019</v>
      </c>
      <c r="K515">
        <f>VLOOKUP($C515,'[1]PoB WN'!$C$1:$T$898,18,FALSE)</f>
        <v>508</v>
      </c>
      <c r="L515">
        <f>VLOOKUP($C515,'[1]PoB WH'!$C$1:$T$898,17,FALSE)</f>
        <v>120</v>
      </c>
      <c r="M515">
        <f>VLOOKUP($C515,'[1]PoB WH'!$C$1:$T$898,18,FALSE)</f>
        <v>165</v>
      </c>
      <c r="N515">
        <f>VLOOKUP($C515,'[1]PoB AA'!$C$1:$T$898,17,FALSE)</f>
        <v>101</v>
      </c>
      <c r="O515">
        <f>VLOOKUP($C515,'[1]PoB AA'!$C$1:$T$898,18,FALSE)</f>
        <v>0</v>
      </c>
      <c r="P515">
        <f>VLOOKUP($C515,'[1]PoB AI'!$C$1:$T$898,17,FALSE)</f>
        <v>52</v>
      </c>
      <c r="Q515">
        <f>VLOOKUP($C515,'[1]PoB AI'!$C$1:$T$898,18,FALSE)</f>
        <v>0</v>
      </c>
      <c r="R515">
        <f>VLOOKUP($C515,'[1]PoB AS'!$C$1:$T$898,17,FALSE)</f>
        <v>355</v>
      </c>
      <c r="S515">
        <f>VLOOKUP($C515,'[1]PoB AS'!$C$1:$T$898,18,FALSE)</f>
        <v>402</v>
      </c>
      <c r="T515">
        <f>VLOOKUP($C515,'[1]PoB PI'!$C$1:$T$898,17,FALSE)</f>
        <v>7</v>
      </c>
      <c r="U515">
        <f>VLOOKUP($C515,'[1]PoB PI'!$C$1:$T$898,18,FALSE)</f>
        <v>0</v>
      </c>
      <c r="V515">
        <f>VLOOKUP($C515,'[1]PoB OT'!$C$1:$T$898,17,FALSE)</f>
        <v>80</v>
      </c>
      <c r="W515">
        <f>VLOOKUP($C515,'[1]PoB OT'!$C$1:$T$898,18,FALSE)</f>
        <v>250</v>
      </c>
      <c r="X515">
        <f>VLOOKUP($C515,'[1]PoB 2R'!$C$1:$T$898,17,FALSE)</f>
        <v>305</v>
      </c>
      <c r="Y515">
        <f>VLOOKUP($C515,'[1]PoB 2R'!$C$1:$T$898,18,FALSE)</f>
        <v>81</v>
      </c>
    </row>
    <row r="516" spans="1:25" x14ac:dyDescent="0.25">
      <c r="A516" t="s">
        <v>1484</v>
      </c>
      <c r="B516">
        <v>5379625</v>
      </c>
      <c r="C516" t="s">
        <v>1485</v>
      </c>
      <c r="D516">
        <f t="shared" si="24"/>
        <v>3790</v>
      </c>
      <c r="E516">
        <f>VLOOKUP($C516,'[1]PoB Totals'!$C$3:$T$898,17,FALSE)</f>
        <v>3652</v>
      </c>
      <c r="F516">
        <f>VLOOKUP($C516,'[1]PoB Totals'!$C$3:$T$898,18,FALSE)</f>
        <v>138</v>
      </c>
      <c r="G516">
        <f t="shared" si="25"/>
        <v>3790</v>
      </c>
      <c r="H516">
        <f t="shared" si="26"/>
        <v>3652</v>
      </c>
      <c r="I516">
        <f t="shared" si="26"/>
        <v>138</v>
      </c>
      <c r="J516">
        <f>VLOOKUP($C516,'[1]PoB WN'!$C$1:$T$898,17,FALSE)</f>
        <v>3367</v>
      </c>
      <c r="K516">
        <f>VLOOKUP($C516,'[1]PoB WN'!$C$1:$T$898,18,FALSE)</f>
        <v>50</v>
      </c>
      <c r="L516">
        <f>VLOOKUP($C516,'[1]PoB WH'!$C$1:$T$898,17,FALSE)</f>
        <v>80</v>
      </c>
      <c r="M516">
        <f>VLOOKUP($C516,'[1]PoB WH'!$C$1:$T$898,18,FALSE)</f>
        <v>54</v>
      </c>
      <c r="N516">
        <f>VLOOKUP($C516,'[1]PoB AA'!$C$1:$T$898,17,FALSE)</f>
        <v>0</v>
      </c>
      <c r="O516">
        <f>VLOOKUP($C516,'[1]PoB AA'!$C$1:$T$898,18,FALSE)</f>
        <v>0</v>
      </c>
      <c r="P516">
        <f>VLOOKUP($C516,'[1]PoB AI'!$C$1:$T$898,17,FALSE)</f>
        <v>92</v>
      </c>
      <c r="Q516">
        <f>VLOOKUP($C516,'[1]PoB AI'!$C$1:$T$898,18,FALSE)</f>
        <v>0</v>
      </c>
      <c r="R516">
        <f>VLOOKUP($C516,'[1]PoB AS'!$C$1:$T$898,17,FALSE)</f>
        <v>0</v>
      </c>
      <c r="S516">
        <f>VLOOKUP($C516,'[1]PoB AS'!$C$1:$T$898,18,FALSE)</f>
        <v>0</v>
      </c>
      <c r="T516">
        <f>VLOOKUP($C516,'[1]PoB PI'!$C$1:$T$898,17,FALSE)</f>
        <v>6</v>
      </c>
      <c r="U516">
        <f>VLOOKUP($C516,'[1]PoB PI'!$C$1:$T$898,18,FALSE)</f>
        <v>0</v>
      </c>
      <c r="V516">
        <f>VLOOKUP($C516,'[1]PoB OT'!$C$1:$T$898,17,FALSE)</f>
        <v>16</v>
      </c>
      <c r="W516">
        <f>VLOOKUP($C516,'[1]PoB OT'!$C$1:$T$898,18,FALSE)</f>
        <v>34</v>
      </c>
      <c r="X516">
        <f>VLOOKUP($C516,'[1]PoB 2R'!$C$1:$T$898,17,FALSE)</f>
        <v>91</v>
      </c>
      <c r="Y516">
        <f>VLOOKUP($C516,'[1]PoB 2R'!$C$1:$T$898,18,FALSE)</f>
        <v>0</v>
      </c>
    </row>
    <row r="517" spans="1:25" x14ac:dyDescent="0.25">
      <c r="A517" t="s">
        <v>1486</v>
      </c>
      <c r="B517">
        <v>5379825</v>
      </c>
      <c r="C517" t="s">
        <v>1487</v>
      </c>
      <c r="D517">
        <f t="shared" si="24"/>
        <v>4515</v>
      </c>
      <c r="E517">
        <f>VLOOKUP($C517,'[1]PoB Totals'!$C$3:$T$898,17,FALSE)</f>
        <v>4287</v>
      </c>
      <c r="F517">
        <f>VLOOKUP($C517,'[1]PoB Totals'!$C$3:$T$898,18,FALSE)</f>
        <v>228</v>
      </c>
      <c r="G517">
        <f t="shared" si="25"/>
        <v>4515</v>
      </c>
      <c r="H517">
        <f t="shared" si="26"/>
        <v>4287</v>
      </c>
      <c r="I517">
        <f t="shared" si="26"/>
        <v>228</v>
      </c>
      <c r="J517">
        <f>VLOOKUP($C517,'[1]PoB WN'!$C$1:$T$898,17,FALSE)</f>
        <v>4049</v>
      </c>
      <c r="K517">
        <f>VLOOKUP($C517,'[1]PoB WN'!$C$1:$T$898,18,FALSE)</f>
        <v>123</v>
      </c>
      <c r="L517">
        <f>VLOOKUP($C517,'[1]PoB WH'!$C$1:$T$898,17,FALSE)</f>
        <v>129</v>
      </c>
      <c r="M517">
        <f>VLOOKUP($C517,'[1]PoB WH'!$C$1:$T$898,18,FALSE)</f>
        <v>17</v>
      </c>
      <c r="N517">
        <f>VLOOKUP($C517,'[1]PoB AA'!$C$1:$T$898,17,FALSE)</f>
        <v>0</v>
      </c>
      <c r="O517">
        <f>VLOOKUP($C517,'[1]PoB AA'!$C$1:$T$898,18,FALSE)</f>
        <v>17</v>
      </c>
      <c r="P517">
        <f>VLOOKUP($C517,'[1]PoB AI'!$C$1:$T$898,17,FALSE)</f>
        <v>13</v>
      </c>
      <c r="Q517">
        <f>VLOOKUP($C517,'[1]PoB AI'!$C$1:$T$898,18,FALSE)</f>
        <v>0</v>
      </c>
      <c r="R517">
        <f>VLOOKUP($C517,'[1]PoB AS'!$C$1:$T$898,17,FALSE)</f>
        <v>10</v>
      </c>
      <c r="S517">
        <f>VLOOKUP($C517,'[1]PoB AS'!$C$1:$T$898,18,FALSE)</f>
        <v>32</v>
      </c>
      <c r="T517">
        <f>VLOOKUP($C517,'[1]PoB PI'!$C$1:$T$898,17,FALSE)</f>
        <v>0</v>
      </c>
      <c r="U517">
        <f>VLOOKUP($C517,'[1]PoB PI'!$C$1:$T$898,18,FALSE)</f>
        <v>0</v>
      </c>
      <c r="V517">
        <f>VLOOKUP($C517,'[1]PoB OT'!$C$1:$T$898,17,FALSE)</f>
        <v>5</v>
      </c>
      <c r="W517">
        <f>VLOOKUP($C517,'[1]PoB OT'!$C$1:$T$898,18,FALSE)</f>
        <v>20</v>
      </c>
      <c r="X517">
        <f>VLOOKUP($C517,'[1]PoB 2R'!$C$1:$T$898,17,FALSE)</f>
        <v>81</v>
      </c>
      <c r="Y517">
        <f>VLOOKUP($C517,'[1]PoB 2R'!$C$1:$T$898,18,FALSE)</f>
        <v>19</v>
      </c>
    </row>
    <row r="518" spans="1:25" x14ac:dyDescent="0.25">
      <c r="A518" t="s">
        <v>1488</v>
      </c>
      <c r="B518">
        <v>5379835</v>
      </c>
      <c r="C518" t="s">
        <v>1489</v>
      </c>
      <c r="D518">
        <f t="shared" si="24"/>
        <v>937</v>
      </c>
      <c r="E518">
        <f>VLOOKUP($C518,'[1]PoB Totals'!$C$3:$T$898,17,FALSE)</f>
        <v>875</v>
      </c>
      <c r="F518">
        <f>VLOOKUP($C518,'[1]PoB Totals'!$C$3:$T$898,18,FALSE)</f>
        <v>62</v>
      </c>
      <c r="G518">
        <f t="shared" si="25"/>
        <v>937</v>
      </c>
      <c r="H518">
        <f t="shared" si="26"/>
        <v>875</v>
      </c>
      <c r="I518">
        <f t="shared" si="26"/>
        <v>62</v>
      </c>
      <c r="J518">
        <f>VLOOKUP($C518,'[1]PoB WN'!$C$1:$T$898,17,FALSE)</f>
        <v>821</v>
      </c>
      <c r="K518">
        <f>VLOOKUP($C518,'[1]PoB WN'!$C$1:$T$898,18,FALSE)</f>
        <v>52</v>
      </c>
      <c r="L518">
        <f>VLOOKUP($C518,'[1]PoB WH'!$C$1:$T$898,17,FALSE)</f>
        <v>0</v>
      </c>
      <c r="M518">
        <f>VLOOKUP($C518,'[1]PoB WH'!$C$1:$T$898,18,FALSE)</f>
        <v>0</v>
      </c>
      <c r="N518">
        <f>VLOOKUP($C518,'[1]PoB AA'!$C$1:$T$898,17,FALSE)</f>
        <v>0</v>
      </c>
      <c r="O518">
        <f>VLOOKUP($C518,'[1]PoB AA'!$C$1:$T$898,18,FALSE)</f>
        <v>0</v>
      </c>
      <c r="P518">
        <f>VLOOKUP($C518,'[1]PoB AI'!$C$1:$T$898,17,FALSE)</f>
        <v>2</v>
      </c>
      <c r="Q518">
        <f>VLOOKUP($C518,'[1]PoB AI'!$C$1:$T$898,18,FALSE)</f>
        <v>0</v>
      </c>
      <c r="R518">
        <f>VLOOKUP($C518,'[1]PoB AS'!$C$1:$T$898,17,FALSE)</f>
        <v>38</v>
      </c>
      <c r="S518">
        <f>VLOOKUP($C518,'[1]PoB AS'!$C$1:$T$898,18,FALSE)</f>
        <v>5</v>
      </c>
      <c r="T518">
        <f>VLOOKUP($C518,'[1]PoB PI'!$C$1:$T$898,17,FALSE)</f>
        <v>0</v>
      </c>
      <c r="U518">
        <f>VLOOKUP($C518,'[1]PoB PI'!$C$1:$T$898,18,FALSE)</f>
        <v>0</v>
      </c>
      <c r="V518">
        <f>VLOOKUP($C518,'[1]PoB OT'!$C$1:$T$898,17,FALSE)</f>
        <v>4</v>
      </c>
      <c r="W518">
        <f>VLOOKUP($C518,'[1]PoB OT'!$C$1:$T$898,18,FALSE)</f>
        <v>5</v>
      </c>
      <c r="X518">
        <f>VLOOKUP($C518,'[1]PoB 2R'!$C$1:$T$898,17,FALSE)</f>
        <v>10</v>
      </c>
      <c r="Y518">
        <f>VLOOKUP($C518,'[1]PoB 2R'!$C$1:$T$898,18,FALSE)</f>
        <v>0</v>
      </c>
    </row>
    <row r="519" spans="1:25" x14ac:dyDescent="0.25">
      <c r="A519" t="s">
        <v>1490</v>
      </c>
      <c r="B519">
        <v>5379975</v>
      </c>
      <c r="C519" t="s">
        <v>1491</v>
      </c>
      <c r="D519">
        <f t="shared" si="24"/>
        <v>1098</v>
      </c>
      <c r="E519">
        <f>VLOOKUP($C519,'[1]PoB Totals'!$C$3:$T$898,17,FALSE)</f>
        <v>1050</v>
      </c>
      <c r="F519">
        <f>VLOOKUP($C519,'[1]PoB Totals'!$C$3:$T$898,18,FALSE)</f>
        <v>48</v>
      </c>
      <c r="G519">
        <f t="shared" si="25"/>
        <v>1098</v>
      </c>
      <c r="H519">
        <f t="shared" si="26"/>
        <v>1050</v>
      </c>
      <c r="I519">
        <f t="shared" si="26"/>
        <v>48</v>
      </c>
      <c r="J519">
        <f>VLOOKUP($C519,'[1]PoB WN'!$C$1:$T$898,17,FALSE)</f>
        <v>960</v>
      </c>
      <c r="K519">
        <f>VLOOKUP($C519,'[1]PoB WN'!$C$1:$T$898,18,FALSE)</f>
        <v>44</v>
      </c>
      <c r="L519">
        <f>VLOOKUP($C519,'[1]PoB WH'!$C$1:$T$898,17,FALSE)</f>
        <v>10</v>
      </c>
      <c r="M519">
        <f>VLOOKUP($C519,'[1]PoB WH'!$C$1:$T$898,18,FALSE)</f>
        <v>1</v>
      </c>
      <c r="N519">
        <f>VLOOKUP($C519,'[1]PoB AA'!$C$1:$T$898,17,FALSE)</f>
        <v>5</v>
      </c>
      <c r="O519">
        <f>VLOOKUP($C519,'[1]PoB AA'!$C$1:$T$898,18,FALSE)</f>
        <v>0</v>
      </c>
      <c r="P519">
        <f>VLOOKUP($C519,'[1]PoB AI'!$C$1:$T$898,17,FALSE)</f>
        <v>4</v>
      </c>
      <c r="Q519">
        <f>VLOOKUP($C519,'[1]PoB AI'!$C$1:$T$898,18,FALSE)</f>
        <v>0</v>
      </c>
      <c r="R519">
        <f>VLOOKUP($C519,'[1]PoB AS'!$C$1:$T$898,17,FALSE)</f>
        <v>1</v>
      </c>
      <c r="S519">
        <f>VLOOKUP($C519,'[1]PoB AS'!$C$1:$T$898,18,FALSE)</f>
        <v>1</v>
      </c>
      <c r="T519">
        <f>VLOOKUP($C519,'[1]PoB PI'!$C$1:$T$898,17,FALSE)</f>
        <v>3</v>
      </c>
      <c r="U519">
        <f>VLOOKUP($C519,'[1]PoB PI'!$C$1:$T$898,18,FALSE)</f>
        <v>2</v>
      </c>
      <c r="V519">
        <f>VLOOKUP($C519,'[1]PoB OT'!$C$1:$T$898,17,FALSE)</f>
        <v>8</v>
      </c>
      <c r="W519">
        <f>VLOOKUP($C519,'[1]PoB OT'!$C$1:$T$898,18,FALSE)</f>
        <v>0</v>
      </c>
      <c r="X519">
        <f>VLOOKUP($C519,'[1]PoB 2R'!$C$1:$T$898,17,FALSE)</f>
        <v>59</v>
      </c>
      <c r="Y519">
        <f>VLOOKUP($C519,'[1]PoB 2R'!$C$1:$T$898,18,FALSE)</f>
        <v>0</v>
      </c>
    </row>
    <row r="520" spans="1:25" x14ac:dyDescent="0.25">
      <c r="A520" t="s">
        <v>1492</v>
      </c>
      <c r="B520">
        <v>5380010</v>
      </c>
      <c r="C520" t="s">
        <v>1493</v>
      </c>
      <c r="D520">
        <f t="shared" si="24"/>
        <v>72294</v>
      </c>
      <c r="E520">
        <f>VLOOKUP($C520,'[1]PoB Totals'!$C$3:$T$898,17,FALSE)</f>
        <v>59140</v>
      </c>
      <c r="F520">
        <f>VLOOKUP($C520,'[1]PoB Totals'!$C$3:$T$898,18,FALSE)</f>
        <v>13154</v>
      </c>
      <c r="G520">
        <f t="shared" si="25"/>
        <v>72294</v>
      </c>
      <c r="H520">
        <f t="shared" si="26"/>
        <v>59140</v>
      </c>
      <c r="I520">
        <f t="shared" si="26"/>
        <v>13154</v>
      </c>
      <c r="J520">
        <f>VLOOKUP($C520,'[1]PoB WN'!$C$1:$T$898,17,FALSE)</f>
        <v>42113</v>
      </c>
      <c r="K520">
        <f>VLOOKUP($C520,'[1]PoB WN'!$C$1:$T$898,18,FALSE)</f>
        <v>1212</v>
      </c>
      <c r="L520">
        <f>VLOOKUP($C520,'[1]PoB WH'!$C$1:$T$898,17,FALSE)</f>
        <v>3482</v>
      </c>
      <c r="M520">
        <f>VLOOKUP($C520,'[1]PoB WH'!$C$1:$T$898,18,FALSE)</f>
        <v>3067</v>
      </c>
      <c r="N520">
        <f>VLOOKUP($C520,'[1]PoB AA'!$C$1:$T$898,17,FALSE)</f>
        <v>1246</v>
      </c>
      <c r="O520">
        <f>VLOOKUP($C520,'[1]PoB AA'!$C$1:$T$898,18,FALSE)</f>
        <v>41</v>
      </c>
      <c r="P520">
        <f>VLOOKUP($C520,'[1]PoB AI'!$C$1:$T$898,17,FALSE)</f>
        <v>1279</v>
      </c>
      <c r="Q520">
        <f>VLOOKUP($C520,'[1]PoB AI'!$C$1:$T$898,18,FALSE)</f>
        <v>81</v>
      </c>
      <c r="R520">
        <f>VLOOKUP($C520,'[1]PoB AS'!$C$1:$T$898,17,FALSE)</f>
        <v>306</v>
      </c>
      <c r="S520">
        <f>VLOOKUP($C520,'[1]PoB AS'!$C$1:$T$898,18,FALSE)</f>
        <v>485</v>
      </c>
      <c r="T520">
        <f>VLOOKUP($C520,'[1]PoB PI'!$C$1:$T$898,17,FALSE)</f>
        <v>44</v>
      </c>
      <c r="U520">
        <f>VLOOKUP($C520,'[1]PoB PI'!$C$1:$T$898,18,FALSE)</f>
        <v>26</v>
      </c>
      <c r="V520">
        <f>VLOOKUP($C520,'[1]PoB OT'!$C$1:$T$898,17,FALSE)</f>
        <v>8371</v>
      </c>
      <c r="W520">
        <f>VLOOKUP($C520,'[1]PoB OT'!$C$1:$T$898,18,FALSE)</f>
        <v>7661</v>
      </c>
      <c r="X520">
        <f>VLOOKUP($C520,'[1]PoB 2R'!$C$1:$T$898,17,FALSE)</f>
        <v>2299</v>
      </c>
      <c r="Y520">
        <f>VLOOKUP($C520,'[1]PoB 2R'!$C$1:$T$898,18,FALSE)</f>
        <v>581</v>
      </c>
    </row>
    <row r="521" spans="1:25" x14ac:dyDescent="0.25">
      <c r="A521" t="s">
        <v>1494</v>
      </c>
      <c r="B521">
        <v>5380150</v>
      </c>
      <c r="C521" t="s">
        <v>1495</v>
      </c>
      <c r="D521">
        <f t="shared" si="24"/>
        <v>1007</v>
      </c>
      <c r="E521">
        <f>VLOOKUP($C521,'[1]PoB Totals'!$C$3:$T$898,17,FALSE)</f>
        <v>932</v>
      </c>
      <c r="F521">
        <f>VLOOKUP($C521,'[1]PoB Totals'!$C$3:$T$898,18,FALSE)</f>
        <v>75</v>
      </c>
      <c r="G521">
        <f t="shared" si="25"/>
        <v>1007</v>
      </c>
      <c r="H521">
        <f t="shared" si="26"/>
        <v>932</v>
      </c>
      <c r="I521">
        <f t="shared" si="26"/>
        <v>75</v>
      </c>
      <c r="J521">
        <f>VLOOKUP($C521,'[1]PoB WN'!$C$1:$T$898,17,FALSE)</f>
        <v>883</v>
      </c>
      <c r="K521">
        <f>VLOOKUP($C521,'[1]PoB WN'!$C$1:$T$898,18,FALSE)</f>
        <v>57</v>
      </c>
      <c r="L521">
        <f>VLOOKUP($C521,'[1]PoB WH'!$C$1:$T$898,17,FALSE)</f>
        <v>9</v>
      </c>
      <c r="M521">
        <f>VLOOKUP($C521,'[1]PoB WH'!$C$1:$T$898,18,FALSE)</f>
        <v>2</v>
      </c>
      <c r="N521">
        <f>VLOOKUP($C521,'[1]PoB AA'!$C$1:$T$898,17,FALSE)</f>
        <v>3</v>
      </c>
      <c r="O521">
        <f>VLOOKUP($C521,'[1]PoB AA'!$C$1:$T$898,18,FALSE)</f>
        <v>3</v>
      </c>
      <c r="P521">
        <f>VLOOKUP($C521,'[1]PoB AI'!$C$1:$T$898,17,FALSE)</f>
        <v>0</v>
      </c>
      <c r="Q521">
        <f>VLOOKUP($C521,'[1]PoB AI'!$C$1:$T$898,18,FALSE)</f>
        <v>0</v>
      </c>
      <c r="R521">
        <f>VLOOKUP($C521,'[1]PoB AS'!$C$1:$T$898,17,FALSE)</f>
        <v>29</v>
      </c>
      <c r="S521">
        <f>VLOOKUP($C521,'[1]PoB AS'!$C$1:$T$898,18,FALSE)</f>
        <v>10</v>
      </c>
      <c r="T521">
        <f>VLOOKUP($C521,'[1]PoB PI'!$C$1:$T$898,17,FALSE)</f>
        <v>0</v>
      </c>
      <c r="U521">
        <f>VLOOKUP($C521,'[1]PoB PI'!$C$1:$T$898,18,FALSE)</f>
        <v>0</v>
      </c>
      <c r="V521">
        <f>VLOOKUP($C521,'[1]PoB OT'!$C$1:$T$898,17,FALSE)</f>
        <v>1</v>
      </c>
      <c r="W521">
        <f>VLOOKUP($C521,'[1]PoB OT'!$C$1:$T$898,18,FALSE)</f>
        <v>3</v>
      </c>
      <c r="X521">
        <f>VLOOKUP($C521,'[1]PoB 2R'!$C$1:$T$898,17,FALSE)</f>
        <v>7</v>
      </c>
      <c r="Y521">
        <f>VLOOKUP($C521,'[1]PoB 2R'!$C$1:$T$898,18,FALSE)</f>
        <v>0</v>
      </c>
    </row>
    <row r="522" spans="1:25" x14ac:dyDescent="0.25">
      <c r="A522" t="s">
        <v>1496</v>
      </c>
      <c r="B522">
        <v>5380220</v>
      </c>
      <c r="C522" t="s">
        <v>1497</v>
      </c>
      <c r="D522">
        <f t="shared" si="24"/>
        <v>3348</v>
      </c>
      <c r="E522">
        <f>VLOOKUP($C522,'[1]PoB Totals'!$C$3:$T$898,17,FALSE)</f>
        <v>3099</v>
      </c>
      <c r="F522">
        <f>VLOOKUP($C522,'[1]PoB Totals'!$C$3:$T$898,18,FALSE)</f>
        <v>249</v>
      </c>
      <c r="G522">
        <f t="shared" si="25"/>
        <v>3348</v>
      </c>
      <c r="H522">
        <f t="shared" si="26"/>
        <v>3099</v>
      </c>
      <c r="I522">
        <f t="shared" si="26"/>
        <v>249</v>
      </c>
      <c r="J522">
        <f>VLOOKUP($C522,'[1]PoB WN'!$C$1:$T$898,17,FALSE)</f>
        <v>2628</v>
      </c>
      <c r="K522">
        <f>VLOOKUP($C522,'[1]PoB WN'!$C$1:$T$898,18,FALSE)</f>
        <v>150</v>
      </c>
      <c r="L522">
        <f>VLOOKUP($C522,'[1]PoB WH'!$C$1:$T$898,17,FALSE)</f>
        <v>29</v>
      </c>
      <c r="M522">
        <f>VLOOKUP($C522,'[1]PoB WH'!$C$1:$T$898,18,FALSE)</f>
        <v>18</v>
      </c>
      <c r="N522">
        <f>VLOOKUP($C522,'[1]PoB AA'!$C$1:$T$898,17,FALSE)</f>
        <v>49</v>
      </c>
      <c r="O522">
        <f>VLOOKUP($C522,'[1]PoB AA'!$C$1:$T$898,18,FALSE)</f>
        <v>20</v>
      </c>
      <c r="P522">
        <f>VLOOKUP($C522,'[1]PoB AI'!$C$1:$T$898,17,FALSE)</f>
        <v>113</v>
      </c>
      <c r="Q522">
        <f>VLOOKUP($C522,'[1]PoB AI'!$C$1:$T$898,18,FALSE)</f>
        <v>0</v>
      </c>
      <c r="R522">
        <f>VLOOKUP($C522,'[1]PoB AS'!$C$1:$T$898,17,FALSE)</f>
        <v>27</v>
      </c>
      <c r="S522">
        <f>VLOOKUP($C522,'[1]PoB AS'!$C$1:$T$898,18,FALSE)</f>
        <v>39</v>
      </c>
      <c r="T522">
        <f>VLOOKUP($C522,'[1]PoB PI'!$C$1:$T$898,17,FALSE)</f>
        <v>17</v>
      </c>
      <c r="U522">
        <f>VLOOKUP($C522,'[1]PoB PI'!$C$1:$T$898,18,FALSE)</f>
        <v>10</v>
      </c>
      <c r="V522">
        <f>VLOOKUP($C522,'[1]PoB OT'!$C$1:$T$898,17,FALSE)</f>
        <v>17</v>
      </c>
      <c r="W522">
        <f>VLOOKUP($C522,'[1]PoB OT'!$C$1:$T$898,18,FALSE)</f>
        <v>4</v>
      </c>
      <c r="X522">
        <f>VLOOKUP($C522,'[1]PoB 2R'!$C$1:$T$898,17,FALSE)</f>
        <v>219</v>
      </c>
      <c r="Y522">
        <f>VLOOKUP($C522,'[1]PoB 2R'!$C$1:$T$898,18,FALSE)</f>
        <v>8</v>
      </c>
    </row>
    <row r="523" spans="1:25" x14ac:dyDescent="0.25">
      <c r="A523" t="s">
        <v>1498</v>
      </c>
      <c r="B523">
        <v>5380500</v>
      </c>
      <c r="C523" t="s">
        <v>1499</v>
      </c>
      <c r="D523">
        <f t="shared" si="24"/>
        <v>2166</v>
      </c>
      <c r="E523">
        <f>VLOOKUP($C523,'[1]PoB Totals'!$C$3:$T$898,17,FALSE)</f>
        <v>1943</v>
      </c>
      <c r="F523">
        <f>VLOOKUP($C523,'[1]PoB Totals'!$C$3:$T$898,18,FALSE)</f>
        <v>223</v>
      </c>
      <c r="G523">
        <f t="shared" si="25"/>
        <v>2166</v>
      </c>
      <c r="H523">
        <f t="shared" si="26"/>
        <v>1943</v>
      </c>
      <c r="I523">
        <f t="shared" si="26"/>
        <v>223</v>
      </c>
      <c r="J523">
        <f>VLOOKUP($C523,'[1]PoB WN'!$C$1:$T$898,17,FALSE)</f>
        <v>1375</v>
      </c>
      <c r="K523">
        <f>VLOOKUP($C523,'[1]PoB WN'!$C$1:$T$898,18,FALSE)</f>
        <v>21</v>
      </c>
      <c r="L523">
        <f>VLOOKUP($C523,'[1]PoB WH'!$C$1:$T$898,17,FALSE)</f>
        <v>151</v>
      </c>
      <c r="M523">
        <f>VLOOKUP($C523,'[1]PoB WH'!$C$1:$T$898,18,FALSE)</f>
        <v>57</v>
      </c>
      <c r="N523">
        <f>VLOOKUP($C523,'[1]PoB AA'!$C$1:$T$898,17,FALSE)</f>
        <v>13</v>
      </c>
      <c r="O523">
        <f>VLOOKUP($C523,'[1]PoB AA'!$C$1:$T$898,18,FALSE)</f>
        <v>0</v>
      </c>
      <c r="P523">
        <f>VLOOKUP($C523,'[1]PoB AI'!$C$1:$T$898,17,FALSE)</f>
        <v>38</v>
      </c>
      <c r="Q523">
        <f>VLOOKUP($C523,'[1]PoB AI'!$C$1:$T$898,18,FALSE)</f>
        <v>4</v>
      </c>
      <c r="R523">
        <f>VLOOKUP($C523,'[1]PoB AS'!$C$1:$T$898,17,FALSE)</f>
        <v>5</v>
      </c>
      <c r="S523">
        <f>VLOOKUP($C523,'[1]PoB AS'!$C$1:$T$898,18,FALSE)</f>
        <v>7</v>
      </c>
      <c r="T523">
        <f>VLOOKUP($C523,'[1]PoB PI'!$C$1:$T$898,17,FALSE)</f>
        <v>0</v>
      </c>
      <c r="U523">
        <f>VLOOKUP($C523,'[1]PoB PI'!$C$1:$T$898,18,FALSE)</f>
        <v>0</v>
      </c>
      <c r="V523">
        <f>VLOOKUP($C523,'[1]PoB OT'!$C$1:$T$898,17,FALSE)</f>
        <v>249</v>
      </c>
      <c r="W523">
        <f>VLOOKUP($C523,'[1]PoB OT'!$C$1:$T$898,18,FALSE)</f>
        <v>123</v>
      </c>
      <c r="X523">
        <f>VLOOKUP($C523,'[1]PoB 2R'!$C$1:$T$898,17,FALSE)</f>
        <v>112</v>
      </c>
      <c r="Y523">
        <f>VLOOKUP($C523,'[1]PoB 2R'!$C$1:$T$898,18,FALSE)</f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6A782-3E05-458A-ADE0-75DC71BBC08D}">
  <dimension ref="A1:V627"/>
  <sheetViews>
    <sheetView topLeftCell="A28" workbookViewId="0">
      <selection activeCell="D607" sqref="D607"/>
    </sheetView>
  </sheetViews>
  <sheetFormatPr defaultRowHeight="15" x14ac:dyDescent="0.25"/>
  <cols>
    <col min="3" max="3" width="46" customWidth="1"/>
    <col min="4" max="4" width="12.28515625" customWidth="1"/>
  </cols>
  <sheetData>
    <row r="1" spans="1:22" x14ac:dyDescent="0.25">
      <c r="A1" t="s">
        <v>223</v>
      </c>
      <c r="B1" t="s">
        <v>224</v>
      </c>
      <c r="C1" t="s">
        <v>225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244</v>
      </c>
      <c r="T1" t="s">
        <v>245</v>
      </c>
      <c r="U1" t="s">
        <v>246</v>
      </c>
      <c r="V1" t="s">
        <v>247</v>
      </c>
    </row>
    <row r="2" spans="1:22" x14ac:dyDescent="0.25">
      <c r="A2" t="s">
        <v>248</v>
      </c>
      <c r="B2">
        <v>5300100</v>
      </c>
      <c r="C2" t="s">
        <v>249</v>
      </c>
      <c r="D2">
        <f>VLOOKUP($C2,'2000 Place'!$C$2:$Y$523,5,FALSE)</f>
        <v>16494</v>
      </c>
      <c r="E2">
        <f>VLOOKUP($C2,'2000 Place'!$C$2:$Y$523,6,FALSE)</f>
        <v>15205</v>
      </c>
      <c r="F2">
        <f>VLOOKUP($C2,'2000 Place'!$C$2:$Y$523,7,FALSE)</f>
        <v>1289</v>
      </c>
      <c r="G2">
        <f>VLOOKUP($C2,'2000 Place'!$C$2:$Y$523,8,FALSE)</f>
        <v>13347</v>
      </c>
      <c r="H2">
        <f>VLOOKUP($C2,'2000 Place'!$C$2:$Y$523,9,FALSE)</f>
        <v>296</v>
      </c>
      <c r="I2">
        <f>VLOOKUP($C2,'2000 Place'!$C$2:$Y$523,10,FALSE)</f>
        <v>270</v>
      </c>
      <c r="J2">
        <f>VLOOKUP($C2,'2000 Place'!$C$2:$Y$523,11,FALSE)</f>
        <v>270</v>
      </c>
      <c r="K2">
        <f>VLOOKUP($C2,'2000 Place'!$C$2:$Y$523,12,FALSE)</f>
        <v>50</v>
      </c>
      <c r="L2">
        <f>VLOOKUP($C2,'2000 Place'!$C$2:$Y$523,13,FALSE)</f>
        <v>16</v>
      </c>
      <c r="M2">
        <f>VLOOKUP($C2,'2000 Place'!$C$2:$Y$523,14,FALSE)</f>
        <v>658</v>
      </c>
      <c r="N2">
        <f>VLOOKUP($C2,'2000 Place'!$C$2:$Y$523,15,FALSE)</f>
        <v>25</v>
      </c>
      <c r="O2">
        <f>VLOOKUP($C2,'2000 Place'!$C$2:$Y$523,16,FALSE)</f>
        <v>69</v>
      </c>
      <c r="P2">
        <f>VLOOKUP($C2,'2000 Place'!$C$2:$Y$523,17,FALSE)</f>
        <v>229</v>
      </c>
      <c r="Q2">
        <f>VLOOKUP($C2,'2000 Place'!$C$2:$Y$523,18,FALSE)</f>
        <v>27</v>
      </c>
      <c r="R2">
        <f>VLOOKUP($C2,'2000 Place'!$C$2:$Y$523,19,FALSE)</f>
        <v>23</v>
      </c>
      <c r="S2">
        <f>VLOOKUP($C2,'2000 Place'!$C$2:$Y$523,20,FALSE)</f>
        <v>230</v>
      </c>
      <c r="T2">
        <f>VLOOKUP($C2,'2000 Place'!$C$2:$Y$523,21,FALSE)</f>
        <v>392</v>
      </c>
      <c r="U2">
        <f>VLOOKUP($C2,'2000 Place'!$C$2:$Y$523,22,FALSE)</f>
        <v>554</v>
      </c>
      <c r="V2">
        <f>VLOOKUP($C2,'2000 Place'!$C$2:$Y$523,23,FALSE)</f>
        <v>38</v>
      </c>
    </row>
    <row r="3" spans="1:22" x14ac:dyDescent="0.25">
      <c r="A3" t="s">
        <v>250</v>
      </c>
      <c r="B3">
        <v>5300135</v>
      </c>
      <c r="C3" t="s">
        <v>251</v>
      </c>
      <c r="D3">
        <f>VLOOKUP($C3,'2000 Place'!$C$2:$Y$523,5,FALSE)</f>
        <v>226</v>
      </c>
      <c r="E3">
        <f>VLOOKUP($C3,'2000 Place'!$C$2:$Y$523,6,FALSE)</f>
        <v>220</v>
      </c>
      <c r="F3">
        <f>VLOOKUP($C3,'2000 Place'!$C$2:$Y$523,7,FALSE)</f>
        <v>6</v>
      </c>
      <c r="G3">
        <f>VLOOKUP($C3,'2000 Place'!$C$2:$Y$523,8,FALSE)</f>
        <v>199</v>
      </c>
      <c r="H3">
        <f>VLOOKUP($C3,'2000 Place'!$C$2:$Y$523,9,FALSE)</f>
        <v>0</v>
      </c>
      <c r="I3">
        <f>VLOOKUP($C3,'2000 Place'!$C$2:$Y$523,10,FALSE)</f>
        <v>0</v>
      </c>
      <c r="J3">
        <f>VLOOKUP($C3,'2000 Place'!$C$2:$Y$523,11,FALSE)</f>
        <v>0</v>
      </c>
      <c r="K3">
        <f>VLOOKUP($C3,'2000 Place'!$C$2:$Y$523,12,FALSE)</f>
        <v>0</v>
      </c>
      <c r="L3">
        <f>VLOOKUP($C3,'2000 Place'!$C$2:$Y$523,13,FALSE)</f>
        <v>0</v>
      </c>
      <c r="M3">
        <f>VLOOKUP($C3,'2000 Place'!$C$2:$Y$523,14,FALSE)</f>
        <v>0</v>
      </c>
      <c r="N3">
        <f>VLOOKUP($C3,'2000 Place'!$C$2:$Y$523,15,FALSE)</f>
        <v>0</v>
      </c>
      <c r="O3">
        <f>VLOOKUP($C3,'2000 Place'!$C$2:$Y$523,16,FALSE)</f>
        <v>0</v>
      </c>
      <c r="P3">
        <f>VLOOKUP($C3,'2000 Place'!$C$2:$Y$523,17,FALSE)</f>
        <v>0</v>
      </c>
      <c r="Q3">
        <f>VLOOKUP($C3,'2000 Place'!$C$2:$Y$523,18,FALSE)</f>
        <v>0</v>
      </c>
      <c r="R3">
        <f>VLOOKUP($C3,'2000 Place'!$C$2:$Y$523,19,FALSE)</f>
        <v>0</v>
      </c>
      <c r="S3">
        <f>VLOOKUP($C3,'2000 Place'!$C$2:$Y$523,20,FALSE)</f>
        <v>17</v>
      </c>
      <c r="T3">
        <f>VLOOKUP($C3,'2000 Place'!$C$2:$Y$523,21,FALSE)</f>
        <v>6</v>
      </c>
      <c r="U3">
        <f>VLOOKUP($C3,'2000 Place'!$C$2:$Y$523,22,FALSE)</f>
        <v>4</v>
      </c>
      <c r="V3">
        <f>VLOOKUP($C3,'2000 Place'!$C$2:$Y$523,23,FALSE)</f>
        <v>0</v>
      </c>
    </row>
    <row r="4" spans="1:22" x14ac:dyDescent="0.25">
      <c r="A4" t="s">
        <v>252</v>
      </c>
      <c r="B4">
        <v>5300275</v>
      </c>
      <c r="C4" t="s">
        <v>253</v>
      </c>
      <c r="D4">
        <f>VLOOKUP($C4,'2000 Place'!$C$2:$Y$523,5,FALSE)</f>
        <v>167</v>
      </c>
      <c r="E4">
        <f>VLOOKUP($C4,'2000 Place'!$C$2:$Y$523,6,FALSE)</f>
        <v>164</v>
      </c>
      <c r="F4">
        <f>VLOOKUP($C4,'2000 Place'!$C$2:$Y$523,7,FALSE)</f>
        <v>3</v>
      </c>
      <c r="G4">
        <f>VLOOKUP($C4,'2000 Place'!$C$2:$Y$523,8,FALSE)</f>
        <v>155</v>
      </c>
      <c r="H4">
        <f>VLOOKUP($C4,'2000 Place'!$C$2:$Y$523,9,FALSE)</f>
        <v>0</v>
      </c>
      <c r="I4">
        <f>VLOOKUP($C4,'2000 Place'!$C$2:$Y$523,10,FALSE)</f>
        <v>0</v>
      </c>
      <c r="J4">
        <f>VLOOKUP($C4,'2000 Place'!$C$2:$Y$523,11,FALSE)</f>
        <v>0</v>
      </c>
      <c r="K4">
        <f>VLOOKUP($C4,'2000 Place'!$C$2:$Y$523,12,FALSE)</f>
        <v>0</v>
      </c>
      <c r="L4">
        <f>VLOOKUP($C4,'2000 Place'!$C$2:$Y$523,13,FALSE)</f>
        <v>0</v>
      </c>
      <c r="M4">
        <f>VLOOKUP($C4,'2000 Place'!$C$2:$Y$523,14,FALSE)</f>
        <v>9</v>
      </c>
      <c r="N4">
        <f>VLOOKUP($C4,'2000 Place'!$C$2:$Y$523,15,FALSE)</f>
        <v>0</v>
      </c>
      <c r="O4">
        <f>VLOOKUP($C4,'2000 Place'!$C$2:$Y$523,16,FALSE)</f>
        <v>0</v>
      </c>
      <c r="P4">
        <f>VLOOKUP($C4,'2000 Place'!$C$2:$Y$523,17,FALSE)</f>
        <v>0</v>
      </c>
      <c r="Q4">
        <f>VLOOKUP($C4,'2000 Place'!$C$2:$Y$523,18,FALSE)</f>
        <v>0</v>
      </c>
      <c r="R4">
        <f>VLOOKUP($C4,'2000 Place'!$C$2:$Y$523,19,FALSE)</f>
        <v>0</v>
      </c>
      <c r="S4">
        <f>VLOOKUP($C4,'2000 Place'!$C$2:$Y$523,20,FALSE)</f>
        <v>0</v>
      </c>
      <c r="T4">
        <f>VLOOKUP($C4,'2000 Place'!$C$2:$Y$523,21,FALSE)</f>
        <v>0</v>
      </c>
      <c r="U4">
        <f>VLOOKUP($C4,'2000 Place'!$C$2:$Y$523,22,FALSE)</f>
        <v>0</v>
      </c>
      <c r="V4">
        <f>VLOOKUP($C4,'2000 Place'!$C$2:$Y$523,23,FALSE)</f>
        <v>3</v>
      </c>
    </row>
    <row r="5" spans="1:22" x14ac:dyDescent="0.25">
      <c r="A5" t="s">
        <v>254</v>
      </c>
      <c r="B5">
        <v>5300380</v>
      </c>
      <c r="C5" t="s">
        <v>255</v>
      </c>
      <c r="D5" t="e">
        <f>VLOOKUP($C5,'2000 Place'!$C$2:$Y$523,5,FALSE)</f>
        <v>#N/A</v>
      </c>
      <c r="E5" t="e">
        <f>VLOOKUP($C5,'2000 Place'!$C$2:$Y$523,6,FALSE)</f>
        <v>#N/A</v>
      </c>
      <c r="F5" t="e">
        <f>VLOOKUP($C5,'2000 Place'!$C$2:$Y$523,7,FALSE)</f>
        <v>#N/A</v>
      </c>
      <c r="G5" t="e">
        <f>VLOOKUP($C5,'2000 Place'!$C$2:$Y$523,8,FALSE)</f>
        <v>#N/A</v>
      </c>
      <c r="H5" t="e">
        <f>VLOOKUP($C5,'2000 Place'!$C$2:$Y$523,9,FALSE)</f>
        <v>#N/A</v>
      </c>
      <c r="I5" t="e">
        <f>VLOOKUP($C5,'2000 Place'!$C$2:$Y$523,10,FALSE)</f>
        <v>#N/A</v>
      </c>
      <c r="J5" t="e">
        <f>VLOOKUP($C5,'2000 Place'!$C$2:$Y$523,11,FALSE)</f>
        <v>#N/A</v>
      </c>
      <c r="K5" t="e">
        <f>VLOOKUP($C5,'2000 Place'!$C$2:$Y$523,12,FALSE)</f>
        <v>#N/A</v>
      </c>
      <c r="L5" t="e">
        <f>VLOOKUP($C5,'2000 Place'!$C$2:$Y$523,13,FALSE)</f>
        <v>#N/A</v>
      </c>
      <c r="M5" t="e">
        <f>VLOOKUP($C5,'2000 Place'!$C$2:$Y$523,14,FALSE)</f>
        <v>#N/A</v>
      </c>
      <c r="N5" t="e">
        <f>VLOOKUP($C5,'2000 Place'!$C$2:$Y$523,15,FALSE)</f>
        <v>#N/A</v>
      </c>
      <c r="O5" t="e">
        <f>VLOOKUP($C5,'2000 Place'!$C$2:$Y$523,16,FALSE)</f>
        <v>#N/A</v>
      </c>
      <c r="P5" t="e">
        <f>VLOOKUP($C5,'2000 Place'!$C$2:$Y$523,17,FALSE)</f>
        <v>#N/A</v>
      </c>
      <c r="Q5" t="e">
        <f>VLOOKUP($C5,'2000 Place'!$C$2:$Y$523,18,FALSE)</f>
        <v>#N/A</v>
      </c>
      <c r="R5" t="e">
        <f>VLOOKUP($C5,'2000 Place'!$C$2:$Y$523,19,FALSE)</f>
        <v>#N/A</v>
      </c>
      <c r="S5" t="e">
        <f>VLOOKUP($C5,'2000 Place'!$C$2:$Y$523,20,FALSE)</f>
        <v>#N/A</v>
      </c>
      <c r="T5" t="e">
        <f>VLOOKUP($C5,'2000 Place'!$C$2:$Y$523,21,FALSE)</f>
        <v>#N/A</v>
      </c>
      <c r="U5" t="e">
        <f>VLOOKUP($C5,'2000 Place'!$C$2:$Y$523,22,FALSE)</f>
        <v>#N/A</v>
      </c>
      <c r="V5" t="e">
        <f>VLOOKUP($C5,'2000 Place'!$C$2:$Y$523,23,FALSE)</f>
        <v>#N/A</v>
      </c>
    </row>
    <row r="6" spans="1:22" x14ac:dyDescent="0.25">
      <c r="A6" t="s">
        <v>256</v>
      </c>
      <c r="B6">
        <v>5300800</v>
      </c>
      <c r="C6" t="s">
        <v>257</v>
      </c>
      <c r="D6">
        <f>VLOOKUP($C6,'2000 Place'!$C$2:$Y$523,5,FALSE)</f>
        <v>4318</v>
      </c>
      <c r="E6">
        <f>VLOOKUP($C6,'2000 Place'!$C$2:$Y$523,6,FALSE)</f>
        <v>4019</v>
      </c>
      <c r="F6">
        <f>VLOOKUP($C6,'2000 Place'!$C$2:$Y$523,7,FALSE)</f>
        <v>299</v>
      </c>
      <c r="G6">
        <f>VLOOKUP($C6,'2000 Place'!$C$2:$Y$523,8,FALSE)</f>
        <v>3637</v>
      </c>
      <c r="H6">
        <f>VLOOKUP($C6,'2000 Place'!$C$2:$Y$523,9,FALSE)</f>
        <v>97</v>
      </c>
      <c r="I6">
        <f>VLOOKUP($C6,'2000 Place'!$C$2:$Y$523,10,FALSE)</f>
        <v>120</v>
      </c>
      <c r="J6">
        <f>VLOOKUP($C6,'2000 Place'!$C$2:$Y$523,11,FALSE)</f>
        <v>98</v>
      </c>
      <c r="K6">
        <f>VLOOKUP($C6,'2000 Place'!$C$2:$Y$523,12,FALSE)</f>
        <v>26</v>
      </c>
      <c r="L6">
        <f>VLOOKUP($C6,'2000 Place'!$C$2:$Y$523,13,FALSE)</f>
        <v>0</v>
      </c>
      <c r="M6">
        <f>VLOOKUP($C6,'2000 Place'!$C$2:$Y$523,14,FALSE)</f>
        <v>9</v>
      </c>
      <c r="N6">
        <f>VLOOKUP($C6,'2000 Place'!$C$2:$Y$523,15,FALSE)</f>
        <v>0</v>
      </c>
      <c r="O6">
        <f>VLOOKUP($C6,'2000 Place'!$C$2:$Y$523,16,FALSE)</f>
        <v>27</v>
      </c>
      <c r="P6">
        <f>VLOOKUP($C6,'2000 Place'!$C$2:$Y$523,17,FALSE)</f>
        <v>8</v>
      </c>
      <c r="Q6">
        <f>VLOOKUP($C6,'2000 Place'!$C$2:$Y$523,18,FALSE)</f>
        <v>0</v>
      </c>
      <c r="R6">
        <f>VLOOKUP($C6,'2000 Place'!$C$2:$Y$523,19,FALSE)</f>
        <v>0</v>
      </c>
      <c r="S6">
        <f>VLOOKUP($C6,'2000 Place'!$C$2:$Y$523,20,FALSE)</f>
        <v>142</v>
      </c>
      <c r="T6">
        <f>VLOOKUP($C6,'2000 Place'!$C$2:$Y$523,21,FALSE)</f>
        <v>96</v>
      </c>
      <c r="U6">
        <f>VLOOKUP($C6,'2000 Place'!$C$2:$Y$523,22,FALSE)</f>
        <v>58</v>
      </c>
      <c r="V6">
        <f>VLOOKUP($C6,'2000 Place'!$C$2:$Y$523,23,FALSE)</f>
        <v>0</v>
      </c>
    </row>
    <row r="7" spans="1:22" x14ac:dyDescent="0.25">
      <c r="A7" t="s">
        <v>258</v>
      </c>
      <c r="B7">
        <v>5300905</v>
      </c>
      <c r="C7" t="s">
        <v>259</v>
      </c>
      <c r="D7">
        <f>VLOOKUP($C7,'2000 Place'!$C$2:$Y$523,5,FALSE)</f>
        <v>4526</v>
      </c>
      <c r="E7">
        <f>VLOOKUP($C7,'2000 Place'!$C$2:$Y$523,6,FALSE)</f>
        <v>4157</v>
      </c>
      <c r="F7">
        <f>VLOOKUP($C7,'2000 Place'!$C$2:$Y$523,7,FALSE)</f>
        <v>369</v>
      </c>
      <c r="G7">
        <f>VLOOKUP($C7,'2000 Place'!$C$2:$Y$523,8,FALSE)</f>
        <v>3191</v>
      </c>
      <c r="H7">
        <f>VLOOKUP($C7,'2000 Place'!$C$2:$Y$523,9,FALSE)</f>
        <v>43</v>
      </c>
      <c r="I7">
        <f>VLOOKUP($C7,'2000 Place'!$C$2:$Y$523,10,FALSE)</f>
        <v>193</v>
      </c>
      <c r="J7">
        <f>VLOOKUP($C7,'2000 Place'!$C$2:$Y$523,11,FALSE)</f>
        <v>249</v>
      </c>
      <c r="K7">
        <f>VLOOKUP($C7,'2000 Place'!$C$2:$Y$523,12,FALSE)</f>
        <v>455</v>
      </c>
      <c r="L7">
        <f>VLOOKUP($C7,'2000 Place'!$C$2:$Y$523,13,FALSE)</f>
        <v>15</v>
      </c>
      <c r="M7">
        <f>VLOOKUP($C7,'2000 Place'!$C$2:$Y$523,14,FALSE)</f>
        <v>123</v>
      </c>
      <c r="N7">
        <f>VLOOKUP($C7,'2000 Place'!$C$2:$Y$523,15,FALSE)</f>
        <v>0</v>
      </c>
      <c r="O7">
        <f>VLOOKUP($C7,'2000 Place'!$C$2:$Y$523,16,FALSE)</f>
        <v>30</v>
      </c>
      <c r="P7">
        <f>VLOOKUP($C7,'2000 Place'!$C$2:$Y$523,17,FALSE)</f>
        <v>52</v>
      </c>
      <c r="Q7">
        <f>VLOOKUP($C7,'2000 Place'!$C$2:$Y$523,18,FALSE)</f>
        <v>0</v>
      </c>
      <c r="R7">
        <f>VLOOKUP($C7,'2000 Place'!$C$2:$Y$523,19,FALSE)</f>
        <v>0</v>
      </c>
      <c r="S7">
        <f>VLOOKUP($C7,'2000 Place'!$C$2:$Y$523,20,FALSE)</f>
        <v>15</v>
      </c>
      <c r="T7">
        <f>VLOOKUP($C7,'2000 Place'!$C$2:$Y$523,21,FALSE)</f>
        <v>0</v>
      </c>
      <c r="U7">
        <f>VLOOKUP($C7,'2000 Place'!$C$2:$Y$523,22,FALSE)</f>
        <v>150</v>
      </c>
      <c r="V7">
        <f>VLOOKUP($C7,'2000 Place'!$C$2:$Y$523,23,FALSE)</f>
        <v>10</v>
      </c>
    </row>
    <row r="8" spans="1:22" x14ac:dyDescent="0.25">
      <c r="A8" t="s">
        <v>260</v>
      </c>
      <c r="B8">
        <v>5301010</v>
      </c>
      <c r="C8" t="s">
        <v>261</v>
      </c>
      <c r="D8">
        <f>VLOOKUP($C8,'2000 Place'!$C$2:$Y$523,5,FALSE)</f>
        <v>581</v>
      </c>
      <c r="E8">
        <f>VLOOKUP($C8,'2000 Place'!$C$2:$Y$523,6,FALSE)</f>
        <v>553</v>
      </c>
      <c r="F8">
        <f>VLOOKUP($C8,'2000 Place'!$C$2:$Y$523,7,FALSE)</f>
        <v>28</v>
      </c>
      <c r="G8">
        <f>VLOOKUP($C8,'2000 Place'!$C$2:$Y$523,8,FALSE)</f>
        <v>518</v>
      </c>
      <c r="H8">
        <f>VLOOKUP($C8,'2000 Place'!$C$2:$Y$523,9,FALSE)</f>
        <v>11</v>
      </c>
      <c r="I8">
        <f>VLOOKUP($C8,'2000 Place'!$C$2:$Y$523,10,FALSE)</f>
        <v>0</v>
      </c>
      <c r="J8">
        <f>VLOOKUP($C8,'2000 Place'!$C$2:$Y$523,11,FALSE)</f>
        <v>0</v>
      </c>
      <c r="K8">
        <f>VLOOKUP($C8,'2000 Place'!$C$2:$Y$523,12,FALSE)</f>
        <v>2</v>
      </c>
      <c r="L8">
        <f>VLOOKUP($C8,'2000 Place'!$C$2:$Y$523,13,FALSE)</f>
        <v>0</v>
      </c>
      <c r="M8">
        <f>VLOOKUP($C8,'2000 Place'!$C$2:$Y$523,14,FALSE)</f>
        <v>3</v>
      </c>
      <c r="N8">
        <f>VLOOKUP($C8,'2000 Place'!$C$2:$Y$523,15,FALSE)</f>
        <v>0</v>
      </c>
      <c r="O8">
        <f>VLOOKUP($C8,'2000 Place'!$C$2:$Y$523,16,FALSE)</f>
        <v>3</v>
      </c>
      <c r="P8">
        <f>VLOOKUP($C8,'2000 Place'!$C$2:$Y$523,17,FALSE)</f>
        <v>3</v>
      </c>
      <c r="Q8">
        <f>VLOOKUP($C8,'2000 Place'!$C$2:$Y$523,18,FALSE)</f>
        <v>0</v>
      </c>
      <c r="R8">
        <f>VLOOKUP($C8,'2000 Place'!$C$2:$Y$523,19,FALSE)</f>
        <v>10</v>
      </c>
      <c r="S8">
        <f>VLOOKUP($C8,'2000 Place'!$C$2:$Y$523,20,FALSE)</f>
        <v>10</v>
      </c>
      <c r="T8">
        <f>VLOOKUP($C8,'2000 Place'!$C$2:$Y$523,21,FALSE)</f>
        <v>4</v>
      </c>
      <c r="U8">
        <f>VLOOKUP($C8,'2000 Place'!$C$2:$Y$523,22,FALSE)</f>
        <v>17</v>
      </c>
      <c r="V8">
        <f>VLOOKUP($C8,'2000 Place'!$C$2:$Y$523,23,FALSE)</f>
        <v>0</v>
      </c>
    </row>
    <row r="9" spans="1:22" x14ac:dyDescent="0.25">
      <c r="A9" t="s">
        <v>262</v>
      </c>
      <c r="B9">
        <v>5301045</v>
      </c>
      <c r="C9" t="s">
        <v>263</v>
      </c>
      <c r="D9" t="e">
        <f>VLOOKUP($C9,'2000 Place'!$C$2:$Y$523,5,FALSE)</f>
        <v>#N/A</v>
      </c>
      <c r="E9" t="e">
        <f>VLOOKUP($C9,'2000 Place'!$C$2:$Y$523,6,FALSE)</f>
        <v>#N/A</v>
      </c>
      <c r="F9" t="e">
        <f>VLOOKUP($C9,'2000 Place'!$C$2:$Y$523,7,FALSE)</f>
        <v>#N/A</v>
      </c>
      <c r="G9" t="e">
        <f>VLOOKUP($C9,'2000 Place'!$C$2:$Y$523,8,FALSE)</f>
        <v>#N/A</v>
      </c>
      <c r="H9" t="e">
        <f>VLOOKUP($C9,'2000 Place'!$C$2:$Y$523,9,FALSE)</f>
        <v>#N/A</v>
      </c>
      <c r="I9" t="e">
        <f>VLOOKUP($C9,'2000 Place'!$C$2:$Y$523,10,FALSE)</f>
        <v>#N/A</v>
      </c>
      <c r="J9" t="e">
        <f>VLOOKUP($C9,'2000 Place'!$C$2:$Y$523,11,FALSE)</f>
        <v>#N/A</v>
      </c>
      <c r="K9" t="e">
        <f>VLOOKUP($C9,'2000 Place'!$C$2:$Y$523,12,FALSE)</f>
        <v>#N/A</v>
      </c>
      <c r="L9" t="e">
        <f>VLOOKUP($C9,'2000 Place'!$C$2:$Y$523,13,FALSE)</f>
        <v>#N/A</v>
      </c>
      <c r="M9" t="e">
        <f>VLOOKUP($C9,'2000 Place'!$C$2:$Y$523,14,FALSE)</f>
        <v>#N/A</v>
      </c>
      <c r="N9" t="e">
        <f>VLOOKUP($C9,'2000 Place'!$C$2:$Y$523,15,FALSE)</f>
        <v>#N/A</v>
      </c>
      <c r="O9" t="e">
        <f>VLOOKUP($C9,'2000 Place'!$C$2:$Y$523,16,FALSE)</f>
        <v>#N/A</v>
      </c>
      <c r="P9" t="e">
        <f>VLOOKUP($C9,'2000 Place'!$C$2:$Y$523,17,FALSE)</f>
        <v>#N/A</v>
      </c>
      <c r="Q9" t="e">
        <f>VLOOKUP($C9,'2000 Place'!$C$2:$Y$523,18,FALSE)</f>
        <v>#N/A</v>
      </c>
      <c r="R9" t="e">
        <f>VLOOKUP($C9,'2000 Place'!$C$2:$Y$523,19,FALSE)</f>
        <v>#N/A</v>
      </c>
      <c r="S9" t="e">
        <f>VLOOKUP($C9,'2000 Place'!$C$2:$Y$523,20,FALSE)</f>
        <v>#N/A</v>
      </c>
      <c r="T9" t="e">
        <f>VLOOKUP($C9,'2000 Place'!$C$2:$Y$523,21,FALSE)</f>
        <v>#N/A</v>
      </c>
      <c r="U9" t="e">
        <f>VLOOKUP($C9,'2000 Place'!$C$2:$Y$523,22,FALSE)</f>
        <v>#N/A</v>
      </c>
      <c r="V9" t="e">
        <f>VLOOKUP($C9,'2000 Place'!$C$2:$Y$523,23,FALSE)</f>
        <v>#N/A</v>
      </c>
    </row>
    <row r="10" spans="1:22" x14ac:dyDescent="0.25">
      <c r="A10" t="s">
        <v>264</v>
      </c>
      <c r="B10">
        <v>5301150</v>
      </c>
      <c r="C10" t="s">
        <v>265</v>
      </c>
      <c r="D10" t="e">
        <f>VLOOKUP($C10,'2000 Place'!$C$2:$Y$523,5,FALSE)</f>
        <v>#N/A</v>
      </c>
      <c r="E10" t="e">
        <f>VLOOKUP($C10,'2000 Place'!$C$2:$Y$523,6,FALSE)</f>
        <v>#N/A</v>
      </c>
      <c r="F10" t="e">
        <f>VLOOKUP($C10,'2000 Place'!$C$2:$Y$523,7,FALSE)</f>
        <v>#N/A</v>
      </c>
      <c r="G10" t="e">
        <f>VLOOKUP($C10,'2000 Place'!$C$2:$Y$523,8,FALSE)</f>
        <v>#N/A</v>
      </c>
      <c r="H10" t="e">
        <f>VLOOKUP($C10,'2000 Place'!$C$2:$Y$523,9,FALSE)</f>
        <v>#N/A</v>
      </c>
      <c r="I10" t="e">
        <f>VLOOKUP($C10,'2000 Place'!$C$2:$Y$523,10,FALSE)</f>
        <v>#N/A</v>
      </c>
      <c r="J10" t="e">
        <f>VLOOKUP($C10,'2000 Place'!$C$2:$Y$523,11,FALSE)</f>
        <v>#N/A</v>
      </c>
      <c r="K10" t="e">
        <f>VLOOKUP($C10,'2000 Place'!$C$2:$Y$523,12,FALSE)</f>
        <v>#N/A</v>
      </c>
      <c r="L10" t="e">
        <f>VLOOKUP($C10,'2000 Place'!$C$2:$Y$523,13,FALSE)</f>
        <v>#N/A</v>
      </c>
      <c r="M10" t="e">
        <f>VLOOKUP($C10,'2000 Place'!$C$2:$Y$523,14,FALSE)</f>
        <v>#N/A</v>
      </c>
      <c r="N10" t="e">
        <f>VLOOKUP($C10,'2000 Place'!$C$2:$Y$523,15,FALSE)</f>
        <v>#N/A</v>
      </c>
      <c r="O10" t="e">
        <f>VLOOKUP($C10,'2000 Place'!$C$2:$Y$523,16,FALSE)</f>
        <v>#N/A</v>
      </c>
      <c r="P10" t="e">
        <f>VLOOKUP($C10,'2000 Place'!$C$2:$Y$523,17,FALSE)</f>
        <v>#N/A</v>
      </c>
      <c r="Q10" t="e">
        <f>VLOOKUP($C10,'2000 Place'!$C$2:$Y$523,18,FALSE)</f>
        <v>#N/A</v>
      </c>
      <c r="R10" t="e">
        <f>VLOOKUP($C10,'2000 Place'!$C$2:$Y$523,19,FALSE)</f>
        <v>#N/A</v>
      </c>
      <c r="S10" t="e">
        <f>VLOOKUP($C10,'2000 Place'!$C$2:$Y$523,20,FALSE)</f>
        <v>#N/A</v>
      </c>
      <c r="T10" t="e">
        <f>VLOOKUP($C10,'2000 Place'!$C$2:$Y$523,21,FALSE)</f>
        <v>#N/A</v>
      </c>
      <c r="U10" t="e">
        <f>VLOOKUP($C10,'2000 Place'!$C$2:$Y$523,22,FALSE)</f>
        <v>#N/A</v>
      </c>
      <c r="V10" t="e">
        <f>VLOOKUP($C10,'2000 Place'!$C$2:$Y$523,23,FALSE)</f>
        <v>#N/A</v>
      </c>
    </row>
    <row r="11" spans="1:22" x14ac:dyDescent="0.25">
      <c r="A11" t="s">
        <v>266</v>
      </c>
      <c r="B11">
        <v>5301185</v>
      </c>
      <c r="C11" t="s">
        <v>267</v>
      </c>
      <c r="D11">
        <f>VLOOKUP($C11,'2000 Place'!$C$2:$Y$523,5,FALSE)</f>
        <v>15254</v>
      </c>
      <c r="E11">
        <f>VLOOKUP($C11,'2000 Place'!$C$2:$Y$523,6,FALSE)</f>
        <v>13423</v>
      </c>
      <c r="F11">
        <f>VLOOKUP($C11,'2000 Place'!$C$2:$Y$523,7,FALSE)</f>
        <v>1831</v>
      </c>
      <c r="G11">
        <f>VLOOKUP($C11,'2000 Place'!$C$2:$Y$523,8,FALSE)</f>
        <v>11872</v>
      </c>
      <c r="H11">
        <f>VLOOKUP($C11,'2000 Place'!$C$2:$Y$523,9,FALSE)</f>
        <v>648</v>
      </c>
      <c r="I11">
        <f>VLOOKUP($C11,'2000 Place'!$C$2:$Y$523,10,FALSE)</f>
        <v>154</v>
      </c>
      <c r="J11">
        <f>VLOOKUP($C11,'2000 Place'!$C$2:$Y$523,11,FALSE)</f>
        <v>87</v>
      </c>
      <c r="K11">
        <f>VLOOKUP($C11,'2000 Place'!$C$2:$Y$523,12,FALSE)</f>
        <v>163</v>
      </c>
      <c r="L11">
        <f>VLOOKUP($C11,'2000 Place'!$C$2:$Y$523,13,FALSE)</f>
        <v>9</v>
      </c>
      <c r="M11">
        <f>VLOOKUP($C11,'2000 Place'!$C$2:$Y$523,14,FALSE)</f>
        <v>140</v>
      </c>
      <c r="N11">
        <f>VLOOKUP($C11,'2000 Place'!$C$2:$Y$523,15,FALSE)</f>
        <v>23</v>
      </c>
      <c r="O11">
        <f>VLOOKUP($C11,'2000 Place'!$C$2:$Y$523,16,FALSE)</f>
        <v>307</v>
      </c>
      <c r="P11">
        <f>VLOOKUP($C11,'2000 Place'!$C$2:$Y$523,17,FALSE)</f>
        <v>938</v>
      </c>
      <c r="Q11">
        <f>VLOOKUP($C11,'2000 Place'!$C$2:$Y$523,18,FALSE)</f>
        <v>0</v>
      </c>
      <c r="R11">
        <f>VLOOKUP($C11,'2000 Place'!$C$2:$Y$523,19,FALSE)</f>
        <v>0</v>
      </c>
      <c r="S11">
        <f>VLOOKUP($C11,'2000 Place'!$C$2:$Y$523,20,FALSE)</f>
        <v>128</v>
      </c>
      <c r="T11">
        <f>VLOOKUP($C11,'2000 Place'!$C$2:$Y$523,21,FALSE)</f>
        <v>46</v>
      </c>
      <c r="U11">
        <f>VLOOKUP($C11,'2000 Place'!$C$2:$Y$523,22,FALSE)</f>
        <v>659</v>
      </c>
      <c r="V11">
        <f>VLOOKUP($C11,'2000 Place'!$C$2:$Y$523,23,FALSE)</f>
        <v>80</v>
      </c>
    </row>
    <row r="12" spans="1:22" x14ac:dyDescent="0.25">
      <c r="A12" t="s">
        <v>268</v>
      </c>
      <c r="B12">
        <v>5301255</v>
      </c>
      <c r="C12" t="s">
        <v>269</v>
      </c>
      <c r="D12">
        <f>VLOOKUP($C12,'2000 Place'!$C$2:$Y$523,5,FALSE)</f>
        <v>81</v>
      </c>
      <c r="E12">
        <f>VLOOKUP($C12,'2000 Place'!$C$2:$Y$523,6,FALSE)</f>
        <v>81</v>
      </c>
      <c r="F12">
        <f>VLOOKUP($C12,'2000 Place'!$C$2:$Y$523,7,FALSE)</f>
        <v>0</v>
      </c>
      <c r="G12">
        <f>VLOOKUP($C12,'2000 Place'!$C$2:$Y$523,8,FALSE)</f>
        <v>81</v>
      </c>
      <c r="H12">
        <f>VLOOKUP($C12,'2000 Place'!$C$2:$Y$523,9,FALSE)</f>
        <v>0</v>
      </c>
      <c r="I12">
        <f>VLOOKUP($C12,'2000 Place'!$C$2:$Y$523,10,FALSE)</f>
        <v>0</v>
      </c>
      <c r="J12">
        <f>VLOOKUP($C12,'2000 Place'!$C$2:$Y$523,11,FALSE)</f>
        <v>0</v>
      </c>
      <c r="K12">
        <f>VLOOKUP($C12,'2000 Place'!$C$2:$Y$523,12,FALSE)</f>
        <v>0</v>
      </c>
      <c r="L12">
        <f>VLOOKUP($C12,'2000 Place'!$C$2:$Y$523,13,FALSE)</f>
        <v>0</v>
      </c>
      <c r="M12">
        <f>VLOOKUP($C12,'2000 Place'!$C$2:$Y$523,14,FALSE)</f>
        <v>0</v>
      </c>
      <c r="N12">
        <f>VLOOKUP($C12,'2000 Place'!$C$2:$Y$523,15,FALSE)</f>
        <v>0</v>
      </c>
      <c r="O12">
        <f>VLOOKUP($C12,'2000 Place'!$C$2:$Y$523,16,FALSE)</f>
        <v>0</v>
      </c>
      <c r="P12">
        <f>VLOOKUP($C12,'2000 Place'!$C$2:$Y$523,17,FALSE)</f>
        <v>0</v>
      </c>
      <c r="Q12">
        <f>VLOOKUP($C12,'2000 Place'!$C$2:$Y$523,18,FALSE)</f>
        <v>0</v>
      </c>
      <c r="R12">
        <f>VLOOKUP($C12,'2000 Place'!$C$2:$Y$523,19,FALSE)</f>
        <v>0</v>
      </c>
      <c r="S12">
        <f>VLOOKUP($C12,'2000 Place'!$C$2:$Y$523,20,FALSE)</f>
        <v>0</v>
      </c>
      <c r="T12">
        <f>VLOOKUP($C12,'2000 Place'!$C$2:$Y$523,21,FALSE)</f>
        <v>0</v>
      </c>
      <c r="U12">
        <f>VLOOKUP($C12,'2000 Place'!$C$2:$Y$523,22,FALSE)</f>
        <v>0</v>
      </c>
      <c r="V12">
        <f>VLOOKUP($C12,'2000 Place'!$C$2:$Y$523,23,FALSE)</f>
        <v>0</v>
      </c>
    </row>
    <row r="13" spans="1:22" x14ac:dyDescent="0.25">
      <c r="A13" t="s">
        <v>270</v>
      </c>
      <c r="B13">
        <v>5301290</v>
      </c>
      <c r="C13" t="s">
        <v>271</v>
      </c>
      <c r="D13">
        <f>VLOOKUP($C13,'2000 Place'!$C$2:$Y$523,5,FALSE)</f>
        <v>2451</v>
      </c>
      <c r="E13">
        <f>VLOOKUP($C13,'2000 Place'!$C$2:$Y$523,6,FALSE)</f>
        <v>2129</v>
      </c>
      <c r="F13">
        <f>VLOOKUP($C13,'2000 Place'!$C$2:$Y$523,7,FALSE)</f>
        <v>322</v>
      </c>
      <c r="G13">
        <f>VLOOKUP($C13,'2000 Place'!$C$2:$Y$523,8,FALSE)</f>
        <v>1837</v>
      </c>
      <c r="H13">
        <f>VLOOKUP($C13,'2000 Place'!$C$2:$Y$523,9,FALSE)</f>
        <v>94</v>
      </c>
      <c r="I13">
        <f>VLOOKUP($C13,'2000 Place'!$C$2:$Y$523,10,FALSE)</f>
        <v>53</v>
      </c>
      <c r="J13">
        <f>VLOOKUP($C13,'2000 Place'!$C$2:$Y$523,11,FALSE)</f>
        <v>32</v>
      </c>
      <c r="K13">
        <f>VLOOKUP($C13,'2000 Place'!$C$2:$Y$523,12,FALSE)</f>
        <v>61</v>
      </c>
      <c r="L13">
        <f>VLOOKUP($C13,'2000 Place'!$C$2:$Y$523,13,FALSE)</f>
        <v>0</v>
      </c>
      <c r="M13">
        <f>VLOOKUP($C13,'2000 Place'!$C$2:$Y$523,14,FALSE)</f>
        <v>39</v>
      </c>
      <c r="N13">
        <f>VLOOKUP($C13,'2000 Place'!$C$2:$Y$523,15,FALSE)</f>
        <v>0</v>
      </c>
      <c r="O13">
        <f>VLOOKUP($C13,'2000 Place'!$C$2:$Y$523,16,FALSE)</f>
        <v>53</v>
      </c>
      <c r="P13">
        <f>VLOOKUP($C13,'2000 Place'!$C$2:$Y$523,17,FALSE)</f>
        <v>135</v>
      </c>
      <c r="Q13">
        <f>VLOOKUP($C13,'2000 Place'!$C$2:$Y$523,18,FALSE)</f>
        <v>7</v>
      </c>
      <c r="R13">
        <f>VLOOKUP($C13,'2000 Place'!$C$2:$Y$523,19,FALSE)</f>
        <v>0</v>
      </c>
      <c r="S13">
        <f>VLOOKUP($C13,'2000 Place'!$C$2:$Y$523,20,FALSE)</f>
        <v>6</v>
      </c>
      <c r="T13">
        <f>VLOOKUP($C13,'2000 Place'!$C$2:$Y$523,21,FALSE)</f>
        <v>38</v>
      </c>
      <c r="U13">
        <f>VLOOKUP($C13,'2000 Place'!$C$2:$Y$523,22,FALSE)</f>
        <v>73</v>
      </c>
      <c r="V13">
        <f>VLOOKUP($C13,'2000 Place'!$C$2:$Y$523,23,FALSE)</f>
        <v>23</v>
      </c>
    </row>
    <row r="14" spans="1:22" x14ac:dyDescent="0.25">
      <c r="A14" t="s">
        <v>272</v>
      </c>
      <c r="B14">
        <v>5301430</v>
      </c>
      <c r="C14" t="s">
        <v>273</v>
      </c>
      <c r="D14" t="e">
        <f>VLOOKUP($C14,'2000 Place'!$C$2:$Y$523,5,FALSE)</f>
        <v>#N/A</v>
      </c>
      <c r="E14" t="e">
        <f>VLOOKUP($C14,'2000 Place'!$C$2:$Y$523,6,FALSE)</f>
        <v>#N/A</v>
      </c>
      <c r="F14" t="e">
        <f>VLOOKUP($C14,'2000 Place'!$C$2:$Y$523,7,FALSE)</f>
        <v>#N/A</v>
      </c>
      <c r="G14" t="e">
        <f>VLOOKUP($C14,'2000 Place'!$C$2:$Y$523,8,FALSE)</f>
        <v>#N/A</v>
      </c>
      <c r="H14" t="e">
        <f>VLOOKUP($C14,'2000 Place'!$C$2:$Y$523,9,FALSE)</f>
        <v>#N/A</v>
      </c>
      <c r="I14" t="e">
        <f>VLOOKUP($C14,'2000 Place'!$C$2:$Y$523,10,FALSE)</f>
        <v>#N/A</v>
      </c>
      <c r="J14" t="e">
        <f>VLOOKUP($C14,'2000 Place'!$C$2:$Y$523,11,FALSE)</f>
        <v>#N/A</v>
      </c>
      <c r="K14" t="e">
        <f>VLOOKUP($C14,'2000 Place'!$C$2:$Y$523,12,FALSE)</f>
        <v>#N/A</v>
      </c>
      <c r="L14" t="e">
        <f>VLOOKUP($C14,'2000 Place'!$C$2:$Y$523,13,FALSE)</f>
        <v>#N/A</v>
      </c>
      <c r="M14" t="e">
        <f>VLOOKUP($C14,'2000 Place'!$C$2:$Y$523,14,FALSE)</f>
        <v>#N/A</v>
      </c>
      <c r="N14" t="e">
        <f>VLOOKUP($C14,'2000 Place'!$C$2:$Y$523,15,FALSE)</f>
        <v>#N/A</v>
      </c>
      <c r="O14" t="e">
        <f>VLOOKUP($C14,'2000 Place'!$C$2:$Y$523,16,FALSE)</f>
        <v>#N/A</v>
      </c>
      <c r="P14" t="e">
        <f>VLOOKUP($C14,'2000 Place'!$C$2:$Y$523,17,FALSE)</f>
        <v>#N/A</v>
      </c>
      <c r="Q14" t="e">
        <f>VLOOKUP($C14,'2000 Place'!$C$2:$Y$523,18,FALSE)</f>
        <v>#N/A</v>
      </c>
      <c r="R14" t="e">
        <f>VLOOKUP($C14,'2000 Place'!$C$2:$Y$523,19,FALSE)</f>
        <v>#N/A</v>
      </c>
      <c r="S14" t="e">
        <f>VLOOKUP($C14,'2000 Place'!$C$2:$Y$523,20,FALSE)</f>
        <v>#N/A</v>
      </c>
      <c r="T14" t="e">
        <f>VLOOKUP($C14,'2000 Place'!$C$2:$Y$523,21,FALSE)</f>
        <v>#N/A</v>
      </c>
      <c r="U14" t="e">
        <f>VLOOKUP($C14,'2000 Place'!$C$2:$Y$523,22,FALSE)</f>
        <v>#N/A</v>
      </c>
      <c r="V14" t="e">
        <f>VLOOKUP($C14,'2000 Place'!$C$2:$Y$523,23,FALSE)</f>
        <v>#N/A</v>
      </c>
    </row>
    <row r="15" spans="1:22" x14ac:dyDescent="0.25">
      <c r="A15" t="s">
        <v>274</v>
      </c>
      <c r="B15">
        <v>5301500</v>
      </c>
      <c r="C15" t="s">
        <v>275</v>
      </c>
      <c r="D15">
        <f>VLOOKUP($C15,'2000 Place'!$C$2:$Y$523,5,FALSE)</f>
        <v>321</v>
      </c>
      <c r="E15">
        <f>VLOOKUP($C15,'2000 Place'!$C$2:$Y$523,6,FALSE)</f>
        <v>319</v>
      </c>
      <c r="F15">
        <f>VLOOKUP($C15,'2000 Place'!$C$2:$Y$523,7,FALSE)</f>
        <v>2</v>
      </c>
      <c r="G15">
        <f>VLOOKUP($C15,'2000 Place'!$C$2:$Y$523,8,FALSE)</f>
        <v>295</v>
      </c>
      <c r="H15">
        <f>VLOOKUP($C15,'2000 Place'!$C$2:$Y$523,9,FALSE)</f>
        <v>2</v>
      </c>
      <c r="I15">
        <f>VLOOKUP($C15,'2000 Place'!$C$2:$Y$523,10,FALSE)</f>
        <v>0</v>
      </c>
      <c r="J15">
        <f>VLOOKUP($C15,'2000 Place'!$C$2:$Y$523,11,FALSE)</f>
        <v>0</v>
      </c>
      <c r="K15">
        <f>VLOOKUP($C15,'2000 Place'!$C$2:$Y$523,12,FALSE)</f>
        <v>0</v>
      </c>
      <c r="L15">
        <f>VLOOKUP($C15,'2000 Place'!$C$2:$Y$523,13,FALSE)</f>
        <v>0</v>
      </c>
      <c r="M15">
        <f>VLOOKUP($C15,'2000 Place'!$C$2:$Y$523,14,FALSE)</f>
        <v>20</v>
      </c>
      <c r="N15">
        <f>VLOOKUP($C15,'2000 Place'!$C$2:$Y$523,15,FALSE)</f>
        <v>0</v>
      </c>
      <c r="O15">
        <f>VLOOKUP($C15,'2000 Place'!$C$2:$Y$523,16,FALSE)</f>
        <v>0</v>
      </c>
      <c r="P15">
        <f>VLOOKUP($C15,'2000 Place'!$C$2:$Y$523,17,FALSE)</f>
        <v>0</v>
      </c>
      <c r="Q15">
        <f>VLOOKUP($C15,'2000 Place'!$C$2:$Y$523,18,FALSE)</f>
        <v>0</v>
      </c>
      <c r="R15">
        <f>VLOOKUP($C15,'2000 Place'!$C$2:$Y$523,19,FALSE)</f>
        <v>0</v>
      </c>
      <c r="S15">
        <f>VLOOKUP($C15,'2000 Place'!$C$2:$Y$523,20,FALSE)</f>
        <v>0</v>
      </c>
      <c r="T15">
        <f>VLOOKUP($C15,'2000 Place'!$C$2:$Y$523,21,FALSE)</f>
        <v>0</v>
      </c>
      <c r="U15">
        <f>VLOOKUP($C15,'2000 Place'!$C$2:$Y$523,22,FALSE)</f>
        <v>4</v>
      </c>
      <c r="V15">
        <f>VLOOKUP($C15,'2000 Place'!$C$2:$Y$523,23,FALSE)</f>
        <v>0</v>
      </c>
    </row>
    <row r="16" spans="1:22" x14ac:dyDescent="0.25">
      <c r="A16" t="s">
        <v>276</v>
      </c>
      <c r="B16">
        <v>5301745</v>
      </c>
      <c r="C16" t="s">
        <v>277</v>
      </c>
      <c r="D16" t="e">
        <f>VLOOKUP($C16,'2000 Place'!$C$2:$Y$523,5,FALSE)</f>
        <v>#N/A</v>
      </c>
      <c r="E16" t="e">
        <f>VLOOKUP($C16,'2000 Place'!$C$2:$Y$523,6,FALSE)</f>
        <v>#N/A</v>
      </c>
      <c r="F16" t="e">
        <f>VLOOKUP($C16,'2000 Place'!$C$2:$Y$523,7,FALSE)</f>
        <v>#N/A</v>
      </c>
      <c r="G16" t="e">
        <f>VLOOKUP($C16,'2000 Place'!$C$2:$Y$523,8,FALSE)</f>
        <v>#N/A</v>
      </c>
      <c r="H16" t="e">
        <f>VLOOKUP($C16,'2000 Place'!$C$2:$Y$523,9,FALSE)</f>
        <v>#N/A</v>
      </c>
      <c r="I16" t="e">
        <f>VLOOKUP($C16,'2000 Place'!$C$2:$Y$523,10,FALSE)</f>
        <v>#N/A</v>
      </c>
      <c r="J16" t="e">
        <f>VLOOKUP($C16,'2000 Place'!$C$2:$Y$523,11,FALSE)</f>
        <v>#N/A</v>
      </c>
      <c r="K16" t="e">
        <f>VLOOKUP($C16,'2000 Place'!$C$2:$Y$523,12,FALSE)</f>
        <v>#N/A</v>
      </c>
      <c r="L16" t="e">
        <f>VLOOKUP($C16,'2000 Place'!$C$2:$Y$523,13,FALSE)</f>
        <v>#N/A</v>
      </c>
      <c r="M16" t="e">
        <f>VLOOKUP($C16,'2000 Place'!$C$2:$Y$523,14,FALSE)</f>
        <v>#N/A</v>
      </c>
      <c r="N16" t="e">
        <f>VLOOKUP($C16,'2000 Place'!$C$2:$Y$523,15,FALSE)</f>
        <v>#N/A</v>
      </c>
      <c r="O16" t="e">
        <f>VLOOKUP($C16,'2000 Place'!$C$2:$Y$523,16,FALSE)</f>
        <v>#N/A</v>
      </c>
      <c r="P16" t="e">
        <f>VLOOKUP($C16,'2000 Place'!$C$2:$Y$523,17,FALSE)</f>
        <v>#N/A</v>
      </c>
      <c r="Q16" t="e">
        <f>VLOOKUP($C16,'2000 Place'!$C$2:$Y$523,18,FALSE)</f>
        <v>#N/A</v>
      </c>
      <c r="R16" t="e">
        <f>VLOOKUP($C16,'2000 Place'!$C$2:$Y$523,19,FALSE)</f>
        <v>#N/A</v>
      </c>
      <c r="S16" t="e">
        <f>VLOOKUP($C16,'2000 Place'!$C$2:$Y$523,20,FALSE)</f>
        <v>#N/A</v>
      </c>
      <c r="T16" t="e">
        <f>VLOOKUP($C16,'2000 Place'!$C$2:$Y$523,21,FALSE)</f>
        <v>#N/A</v>
      </c>
      <c r="U16" t="e">
        <f>VLOOKUP($C16,'2000 Place'!$C$2:$Y$523,22,FALSE)</f>
        <v>#N/A</v>
      </c>
      <c r="V16" t="e">
        <f>VLOOKUP($C16,'2000 Place'!$C$2:$Y$523,23,FALSE)</f>
        <v>#N/A</v>
      </c>
    </row>
    <row r="17" spans="1:22" x14ac:dyDescent="0.25">
      <c r="A17" t="s">
        <v>278</v>
      </c>
      <c r="B17">
        <v>5301780</v>
      </c>
      <c r="C17" t="s">
        <v>279</v>
      </c>
      <c r="D17" t="e">
        <f>VLOOKUP($C17,'2000 Place'!$C$2:$Y$523,5,FALSE)</f>
        <v>#N/A</v>
      </c>
      <c r="E17" t="e">
        <f>VLOOKUP($C17,'2000 Place'!$C$2:$Y$523,6,FALSE)</f>
        <v>#N/A</v>
      </c>
      <c r="F17" t="e">
        <f>VLOOKUP($C17,'2000 Place'!$C$2:$Y$523,7,FALSE)</f>
        <v>#N/A</v>
      </c>
      <c r="G17" t="e">
        <f>VLOOKUP($C17,'2000 Place'!$C$2:$Y$523,8,FALSE)</f>
        <v>#N/A</v>
      </c>
      <c r="H17" t="e">
        <f>VLOOKUP($C17,'2000 Place'!$C$2:$Y$523,9,FALSE)</f>
        <v>#N/A</v>
      </c>
      <c r="I17" t="e">
        <f>VLOOKUP($C17,'2000 Place'!$C$2:$Y$523,10,FALSE)</f>
        <v>#N/A</v>
      </c>
      <c r="J17" t="e">
        <f>VLOOKUP($C17,'2000 Place'!$C$2:$Y$523,11,FALSE)</f>
        <v>#N/A</v>
      </c>
      <c r="K17" t="e">
        <f>VLOOKUP($C17,'2000 Place'!$C$2:$Y$523,12,FALSE)</f>
        <v>#N/A</v>
      </c>
      <c r="L17" t="e">
        <f>VLOOKUP($C17,'2000 Place'!$C$2:$Y$523,13,FALSE)</f>
        <v>#N/A</v>
      </c>
      <c r="M17" t="e">
        <f>VLOOKUP($C17,'2000 Place'!$C$2:$Y$523,14,FALSE)</f>
        <v>#N/A</v>
      </c>
      <c r="N17" t="e">
        <f>VLOOKUP($C17,'2000 Place'!$C$2:$Y$523,15,FALSE)</f>
        <v>#N/A</v>
      </c>
      <c r="O17" t="e">
        <f>VLOOKUP($C17,'2000 Place'!$C$2:$Y$523,16,FALSE)</f>
        <v>#N/A</v>
      </c>
      <c r="P17" t="e">
        <f>VLOOKUP($C17,'2000 Place'!$C$2:$Y$523,17,FALSE)</f>
        <v>#N/A</v>
      </c>
      <c r="Q17" t="e">
        <f>VLOOKUP($C17,'2000 Place'!$C$2:$Y$523,18,FALSE)</f>
        <v>#N/A</v>
      </c>
      <c r="R17" t="e">
        <f>VLOOKUP($C17,'2000 Place'!$C$2:$Y$523,19,FALSE)</f>
        <v>#N/A</v>
      </c>
      <c r="S17" t="e">
        <f>VLOOKUP($C17,'2000 Place'!$C$2:$Y$523,20,FALSE)</f>
        <v>#N/A</v>
      </c>
      <c r="T17" t="e">
        <f>VLOOKUP($C17,'2000 Place'!$C$2:$Y$523,21,FALSE)</f>
        <v>#N/A</v>
      </c>
      <c r="U17" t="e">
        <f>VLOOKUP($C17,'2000 Place'!$C$2:$Y$523,22,FALSE)</f>
        <v>#N/A</v>
      </c>
      <c r="V17" t="e">
        <f>VLOOKUP($C17,'2000 Place'!$C$2:$Y$523,23,FALSE)</f>
        <v>#N/A</v>
      </c>
    </row>
    <row r="18" spans="1:22" x14ac:dyDescent="0.25">
      <c r="A18" t="s">
        <v>280</v>
      </c>
      <c r="B18">
        <v>5301850</v>
      </c>
      <c r="C18" t="s">
        <v>281</v>
      </c>
      <c r="D18">
        <f>VLOOKUP($C18,'2000 Place'!$C$2:$Y$523,5,FALSE)</f>
        <v>2225</v>
      </c>
      <c r="E18">
        <f>VLOOKUP($C18,'2000 Place'!$C$2:$Y$523,6,FALSE)</f>
        <v>2190</v>
      </c>
      <c r="F18">
        <f>VLOOKUP($C18,'2000 Place'!$C$2:$Y$523,7,FALSE)</f>
        <v>35</v>
      </c>
      <c r="G18">
        <f>VLOOKUP($C18,'2000 Place'!$C$2:$Y$523,8,FALSE)</f>
        <v>2147</v>
      </c>
      <c r="H18">
        <f>VLOOKUP($C18,'2000 Place'!$C$2:$Y$523,9,FALSE)</f>
        <v>14</v>
      </c>
      <c r="I18">
        <f>VLOOKUP($C18,'2000 Place'!$C$2:$Y$523,10,FALSE)</f>
        <v>0</v>
      </c>
      <c r="J18">
        <f>VLOOKUP($C18,'2000 Place'!$C$2:$Y$523,11,FALSE)</f>
        <v>0</v>
      </c>
      <c r="K18">
        <f>VLOOKUP($C18,'2000 Place'!$C$2:$Y$523,12,FALSE)</f>
        <v>3</v>
      </c>
      <c r="L18">
        <f>VLOOKUP($C18,'2000 Place'!$C$2:$Y$523,13,FALSE)</f>
        <v>2</v>
      </c>
      <c r="M18">
        <f>VLOOKUP($C18,'2000 Place'!$C$2:$Y$523,14,FALSE)</f>
        <v>2</v>
      </c>
      <c r="N18">
        <f>VLOOKUP($C18,'2000 Place'!$C$2:$Y$523,15,FALSE)</f>
        <v>0</v>
      </c>
      <c r="O18">
        <f>VLOOKUP($C18,'2000 Place'!$C$2:$Y$523,16,FALSE)</f>
        <v>0</v>
      </c>
      <c r="P18">
        <f>VLOOKUP($C18,'2000 Place'!$C$2:$Y$523,17,FALSE)</f>
        <v>19</v>
      </c>
      <c r="Q18">
        <f>VLOOKUP($C18,'2000 Place'!$C$2:$Y$523,18,FALSE)</f>
        <v>0</v>
      </c>
      <c r="R18">
        <f>VLOOKUP($C18,'2000 Place'!$C$2:$Y$523,19,FALSE)</f>
        <v>0</v>
      </c>
      <c r="S18">
        <f>VLOOKUP($C18,'2000 Place'!$C$2:$Y$523,20,FALSE)</f>
        <v>0</v>
      </c>
      <c r="T18">
        <f>VLOOKUP($C18,'2000 Place'!$C$2:$Y$523,21,FALSE)</f>
        <v>0</v>
      </c>
      <c r="U18">
        <f>VLOOKUP($C18,'2000 Place'!$C$2:$Y$523,22,FALSE)</f>
        <v>38</v>
      </c>
      <c r="V18">
        <f>VLOOKUP($C18,'2000 Place'!$C$2:$Y$523,23,FALSE)</f>
        <v>0</v>
      </c>
    </row>
    <row r="19" spans="1:22" x14ac:dyDescent="0.25">
      <c r="A19" t="s">
        <v>282</v>
      </c>
      <c r="B19">
        <v>5301920</v>
      </c>
      <c r="C19" t="s">
        <v>283</v>
      </c>
      <c r="D19">
        <f>VLOOKUP($C19,'2000 Place'!$C$2:$Y$523,5,FALSE)</f>
        <v>1430</v>
      </c>
      <c r="E19">
        <f>VLOOKUP($C19,'2000 Place'!$C$2:$Y$523,6,FALSE)</f>
        <v>1292</v>
      </c>
      <c r="F19">
        <f>VLOOKUP($C19,'2000 Place'!$C$2:$Y$523,7,FALSE)</f>
        <v>138</v>
      </c>
      <c r="G19">
        <f>VLOOKUP($C19,'2000 Place'!$C$2:$Y$523,8,FALSE)</f>
        <v>1231</v>
      </c>
      <c r="H19">
        <f>VLOOKUP($C19,'2000 Place'!$C$2:$Y$523,9,FALSE)</f>
        <v>97</v>
      </c>
      <c r="I19">
        <f>VLOOKUP($C19,'2000 Place'!$C$2:$Y$523,10,FALSE)</f>
        <v>0</v>
      </c>
      <c r="J19">
        <f>VLOOKUP($C19,'2000 Place'!$C$2:$Y$523,11,FALSE)</f>
        <v>0</v>
      </c>
      <c r="K19">
        <f>VLOOKUP($C19,'2000 Place'!$C$2:$Y$523,12,FALSE)</f>
        <v>0</v>
      </c>
      <c r="L19">
        <f>VLOOKUP($C19,'2000 Place'!$C$2:$Y$523,13,FALSE)</f>
        <v>0</v>
      </c>
      <c r="M19">
        <f>VLOOKUP($C19,'2000 Place'!$C$2:$Y$523,14,FALSE)</f>
        <v>8</v>
      </c>
      <c r="N19">
        <f>VLOOKUP($C19,'2000 Place'!$C$2:$Y$523,15,FALSE)</f>
        <v>0</v>
      </c>
      <c r="O19">
        <f>VLOOKUP($C19,'2000 Place'!$C$2:$Y$523,16,FALSE)</f>
        <v>24</v>
      </c>
      <c r="P19">
        <f>VLOOKUP($C19,'2000 Place'!$C$2:$Y$523,17,FALSE)</f>
        <v>41</v>
      </c>
      <c r="Q19">
        <f>VLOOKUP($C19,'2000 Place'!$C$2:$Y$523,18,FALSE)</f>
        <v>0</v>
      </c>
      <c r="R19">
        <f>VLOOKUP($C19,'2000 Place'!$C$2:$Y$523,19,FALSE)</f>
        <v>0</v>
      </c>
      <c r="S19">
        <f>VLOOKUP($C19,'2000 Place'!$C$2:$Y$523,20,FALSE)</f>
        <v>0</v>
      </c>
      <c r="T19">
        <f>VLOOKUP($C19,'2000 Place'!$C$2:$Y$523,21,FALSE)</f>
        <v>0</v>
      </c>
      <c r="U19">
        <f>VLOOKUP($C19,'2000 Place'!$C$2:$Y$523,22,FALSE)</f>
        <v>29</v>
      </c>
      <c r="V19">
        <f>VLOOKUP($C19,'2000 Place'!$C$2:$Y$523,23,FALSE)</f>
        <v>0</v>
      </c>
    </row>
    <row r="20" spans="1:22" x14ac:dyDescent="0.25">
      <c r="A20" t="s">
        <v>284</v>
      </c>
      <c r="B20">
        <v>5301990</v>
      </c>
      <c r="C20" t="s">
        <v>285</v>
      </c>
      <c r="D20">
        <f>VLOOKUP($C20,'2000 Place'!$C$2:$Y$523,5,FALSE)</f>
        <v>14707</v>
      </c>
      <c r="E20">
        <f>VLOOKUP($C20,'2000 Place'!$C$2:$Y$523,6,FALSE)</f>
        <v>13787</v>
      </c>
      <c r="F20">
        <f>VLOOKUP($C20,'2000 Place'!$C$2:$Y$523,7,FALSE)</f>
        <v>920</v>
      </c>
      <c r="G20">
        <f>VLOOKUP($C20,'2000 Place'!$C$2:$Y$523,8,FALSE)</f>
        <v>12897</v>
      </c>
      <c r="H20">
        <f>VLOOKUP($C20,'2000 Place'!$C$2:$Y$523,9,FALSE)</f>
        <v>546</v>
      </c>
      <c r="I20">
        <f>VLOOKUP($C20,'2000 Place'!$C$2:$Y$523,10,FALSE)</f>
        <v>72</v>
      </c>
      <c r="J20">
        <f>VLOOKUP($C20,'2000 Place'!$C$2:$Y$523,11,FALSE)</f>
        <v>45</v>
      </c>
      <c r="K20">
        <f>VLOOKUP($C20,'2000 Place'!$C$2:$Y$523,12,FALSE)</f>
        <v>26</v>
      </c>
      <c r="L20">
        <f>VLOOKUP($C20,'2000 Place'!$C$2:$Y$523,13,FALSE)</f>
        <v>0</v>
      </c>
      <c r="M20">
        <f>VLOOKUP($C20,'2000 Place'!$C$2:$Y$523,14,FALSE)</f>
        <v>205</v>
      </c>
      <c r="N20">
        <f>VLOOKUP($C20,'2000 Place'!$C$2:$Y$523,15,FALSE)</f>
        <v>18</v>
      </c>
      <c r="O20">
        <f>VLOOKUP($C20,'2000 Place'!$C$2:$Y$523,16,FALSE)</f>
        <v>45</v>
      </c>
      <c r="P20">
        <f>VLOOKUP($C20,'2000 Place'!$C$2:$Y$523,17,FALSE)</f>
        <v>204</v>
      </c>
      <c r="Q20">
        <f>VLOOKUP($C20,'2000 Place'!$C$2:$Y$523,18,FALSE)</f>
        <v>3</v>
      </c>
      <c r="R20">
        <f>VLOOKUP($C20,'2000 Place'!$C$2:$Y$523,19,FALSE)</f>
        <v>0</v>
      </c>
      <c r="S20">
        <f>VLOOKUP($C20,'2000 Place'!$C$2:$Y$523,20,FALSE)</f>
        <v>187</v>
      </c>
      <c r="T20">
        <f>VLOOKUP($C20,'2000 Place'!$C$2:$Y$523,21,FALSE)</f>
        <v>79</v>
      </c>
      <c r="U20">
        <f>VLOOKUP($C20,'2000 Place'!$C$2:$Y$523,22,FALSE)</f>
        <v>352</v>
      </c>
      <c r="V20">
        <f>VLOOKUP($C20,'2000 Place'!$C$2:$Y$523,23,FALSE)</f>
        <v>28</v>
      </c>
    </row>
    <row r="21" spans="1:22" x14ac:dyDescent="0.25">
      <c r="A21" t="s">
        <v>286</v>
      </c>
      <c r="B21">
        <v>5302060</v>
      </c>
      <c r="C21" t="s">
        <v>287</v>
      </c>
      <c r="D21" t="e">
        <f>VLOOKUP($C21,'2000 Place'!$C$2:$Y$523,5,FALSE)</f>
        <v>#N/A</v>
      </c>
      <c r="E21" t="e">
        <f>VLOOKUP($C21,'2000 Place'!$C$2:$Y$523,6,FALSE)</f>
        <v>#N/A</v>
      </c>
      <c r="F21" t="e">
        <f>VLOOKUP($C21,'2000 Place'!$C$2:$Y$523,7,FALSE)</f>
        <v>#N/A</v>
      </c>
      <c r="G21" t="e">
        <f>VLOOKUP($C21,'2000 Place'!$C$2:$Y$523,8,FALSE)</f>
        <v>#N/A</v>
      </c>
      <c r="H21" t="e">
        <f>VLOOKUP($C21,'2000 Place'!$C$2:$Y$523,9,FALSE)</f>
        <v>#N/A</v>
      </c>
      <c r="I21" t="e">
        <f>VLOOKUP($C21,'2000 Place'!$C$2:$Y$523,10,FALSE)</f>
        <v>#N/A</v>
      </c>
      <c r="J21" t="e">
        <f>VLOOKUP($C21,'2000 Place'!$C$2:$Y$523,11,FALSE)</f>
        <v>#N/A</v>
      </c>
      <c r="K21" t="e">
        <f>VLOOKUP($C21,'2000 Place'!$C$2:$Y$523,12,FALSE)</f>
        <v>#N/A</v>
      </c>
      <c r="L21" t="e">
        <f>VLOOKUP($C21,'2000 Place'!$C$2:$Y$523,13,FALSE)</f>
        <v>#N/A</v>
      </c>
      <c r="M21" t="e">
        <f>VLOOKUP($C21,'2000 Place'!$C$2:$Y$523,14,FALSE)</f>
        <v>#N/A</v>
      </c>
      <c r="N21" t="e">
        <f>VLOOKUP($C21,'2000 Place'!$C$2:$Y$523,15,FALSE)</f>
        <v>#N/A</v>
      </c>
      <c r="O21" t="e">
        <f>VLOOKUP($C21,'2000 Place'!$C$2:$Y$523,16,FALSE)</f>
        <v>#N/A</v>
      </c>
      <c r="P21" t="e">
        <f>VLOOKUP($C21,'2000 Place'!$C$2:$Y$523,17,FALSE)</f>
        <v>#N/A</v>
      </c>
      <c r="Q21" t="e">
        <f>VLOOKUP($C21,'2000 Place'!$C$2:$Y$523,18,FALSE)</f>
        <v>#N/A</v>
      </c>
      <c r="R21" t="e">
        <f>VLOOKUP($C21,'2000 Place'!$C$2:$Y$523,19,FALSE)</f>
        <v>#N/A</v>
      </c>
      <c r="S21" t="e">
        <f>VLOOKUP($C21,'2000 Place'!$C$2:$Y$523,20,FALSE)</f>
        <v>#N/A</v>
      </c>
      <c r="T21" t="e">
        <f>VLOOKUP($C21,'2000 Place'!$C$2:$Y$523,21,FALSE)</f>
        <v>#N/A</v>
      </c>
      <c r="U21" t="e">
        <f>VLOOKUP($C21,'2000 Place'!$C$2:$Y$523,22,FALSE)</f>
        <v>#N/A</v>
      </c>
      <c r="V21" t="e">
        <f>VLOOKUP($C21,'2000 Place'!$C$2:$Y$523,23,FALSE)</f>
        <v>#N/A</v>
      </c>
    </row>
    <row r="22" spans="1:22" x14ac:dyDescent="0.25">
      <c r="A22" t="s">
        <v>288</v>
      </c>
      <c r="B22">
        <v>5302585</v>
      </c>
      <c r="C22" t="s">
        <v>289</v>
      </c>
      <c r="D22">
        <f>VLOOKUP($C22,'2000 Place'!$C$2:$Y$523,5,FALSE)</f>
        <v>11885</v>
      </c>
      <c r="E22">
        <f>VLOOKUP($C22,'2000 Place'!$C$2:$Y$523,6,FALSE)</f>
        <v>11044</v>
      </c>
      <c r="F22">
        <f>VLOOKUP($C22,'2000 Place'!$C$2:$Y$523,7,FALSE)</f>
        <v>841</v>
      </c>
      <c r="G22">
        <f>VLOOKUP($C22,'2000 Place'!$C$2:$Y$523,8,FALSE)</f>
        <v>9921</v>
      </c>
      <c r="H22">
        <f>VLOOKUP($C22,'2000 Place'!$C$2:$Y$523,9,FALSE)</f>
        <v>406</v>
      </c>
      <c r="I22">
        <f>VLOOKUP($C22,'2000 Place'!$C$2:$Y$523,10,FALSE)</f>
        <v>271</v>
      </c>
      <c r="J22">
        <f>VLOOKUP($C22,'2000 Place'!$C$2:$Y$523,11,FALSE)</f>
        <v>54</v>
      </c>
      <c r="K22">
        <f>VLOOKUP($C22,'2000 Place'!$C$2:$Y$523,12,FALSE)</f>
        <v>122</v>
      </c>
      <c r="L22">
        <f>VLOOKUP($C22,'2000 Place'!$C$2:$Y$523,13,FALSE)</f>
        <v>0</v>
      </c>
      <c r="M22">
        <f>VLOOKUP($C22,'2000 Place'!$C$2:$Y$523,14,FALSE)</f>
        <v>101</v>
      </c>
      <c r="N22">
        <f>VLOOKUP($C22,'2000 Place'!$C$2:$Y$523,15,FALSE)</f>
        <v>25</v>
      </c>
      <c r="O22">
        <f>VLOOKUP($C22,'2000 Place'!$C$2:$Y$523,16,FALSE)</f>
        <v>88</v>
      </c>
      <c r="P22">
        <f>VLOOKUP($C22,'2000 Place'!$C$2:$Y$523,17,FALSE)</f>
        <v>128</v>
      </c>
      <c r="Q22">
        <f>VLOOKUP($C22,'2000 Place'!$C$2:$Y$523,18,FALSE)</f>
        <v>23</v>
      </c>
      <c r="R22">
        <f>VLOOKUP($C22,'2000 Place'!$C$2:$Y$523,19,FALSE)</f>
        <v>11</v>
      </c>
      <c r="S22">
        <f>VLOOKUP($C22,'2000 Place'!$C$2:$Y$523,20,FALSE)</f>
        <v>191</v>
      </c>
      <c r="T22">
        <f>VLOOKUP($C22,'2000 Place'!$C$2:$Y$523,21,FALSE)</f>
        <v>167</v>
      </c>
      <c r="U22">
        <f>VLOOKUP($C22,'2000 Place'!$C$2:$Y$523,22,FALSE)</f>
        <v>327</v>
      </c>
      <c r="V22">
        <f>VLOOKUP($C22,'2000 Place'!$C$2:$Y$523,23,FALSE)</f>
        <v>50</v>
      </c>
    </row>
    <row r="23" spans="1:22" x14ac:dyDescent="0.25">
      <c r="A23" t="s">
        <v>290</v>
      </c>
      <c r="B23">
        <v>5302620</v>
      </c>
      <c r="C23" t="s">
        <v>291</v>
      </c>
      <c r="D23">
        <f>VLOOKUP($C23,'2000 Place'!$C$2:$Y$523,5,FALSE)</f>
        <v>2524</v>
      </c>
      <c r="E23">
        <f>VLOOKUP($C23,'2000 Place'!$C$2:$Y$523,6,FALSE)</f>
        <v>2515</v>
      </c>
      <c r="F23">
        <f>VLOOKUP($C23,'2000 Place'!$C$2:$Y$523,7,FALSE)</f>
        <v>9</v>
      </c>
      <c r="G23">
        <f>VLOOKUP($C23,'2000 Place'!$C$2:$Y$523,8,FALSE)</f>
        <v>2457</v>
      </c>
      <c r="H23">
        <f>VLOOKUP($C23,'2000 Place'!$C$2:$Y$523,9,FALSE)</f>
        <v>9</v>
      </c>
      <c r="I23">
        <f>VLOOKUP($C23,'2000 Place'!$C$2:$Y$523,10,FALSE)</f>
        <v>16</v>
      </c>
      <c r="J23">
        <f>VLOOKUP($C23,'2000 Place'!$C$2:$Y$523,11,FALSE)</f>
        <v>0</v>
      </c>
      <c r="K23">
        <f>VLOOKUP($C23,'2000 Place'!$C$2:$Y$523,12,FALSE)</f>
        <v>0</v>
      </c>
      <c r="L23">
        <f>VLOOKUP($C23,'2000 Place'!$C$2:$Y$523,13,FALSE)</f>
        <v>0</v>
      </c>
      <c r="M23">
        <f>VLOOKUP($C23,'2000 Place'!$C$2:$Y$523,14,FALSE)</f>
        <v>14</v>
      </c>
      <c r="N23">
        <f>VLOOKUP($C23,'2000 Place'!$C$2:$Y$523,15,FALSE)</f>
        <v>0</v>
      </c>
      <c r="O23">
        <f>VLOOKUP($C23,'2000 Place'!$C$2:$Y$523,16,FALSE)</f>
        <v>0</v>
      </c>
      <c r="P23">
        <f>VLOOKUP($C23,'2000 Place'!$C$2:$Y$523,17,FALSE)</f>
        <v>0</v>
      </c>
      <c r="Q23">
        <f>VLOOKUP($C23,'2000 Place'!$C$2:$Y$523,18,FALSE)</f>
        <v>0</v>
      </c>
      <c r="R23">
        <f>VLOOKUP($C23,'2000 Place'!$C$2:$Y$523,19,FALSE)</f>
        <v>0</v>
      </c>
      <c r="S23">
        <f>VLOOKUP($C23,'2000 Place'!$C$2:$Y$523,20,FALSE)</f>
        <v>16</v>
      </c>
      <c r="T23">
        <f>VLOOKUP($C23,'2000 Place'!$C$2:$Y$523,21,FALSE)</f>
        <v>0</v>
      </c>
      <c r="U23">
        <f>VLOOKUP($C23,'2000 Place'!$C$2:$Y$523,22,FALSE)</f>
        <v>12</v>
      </c>
      <c r="V23">
        <f>VLOOKUP($C23,'2000 Place'!$C$2:$Y$523,23,FALSE)</f>
        <v>0</v>
      </c>
    </row>
    <row r="24" spans="1:22" x14ac:dyDescent="0.25">
      <c r="A24" t="s">
        <v>292</v>
      </c>
      <c r="B24">
        <v>5302910</v>
      </c>
      <c r="C24" t="s">
        <v>293</v>
      </c>
      <c r="D24">
        <f>VLOOKUP($C24,'2000 Place'!$C$2:$Y$523,5,FALSE)</f>
        <v>8588</v>
      </c>
      <c r="E24">
        <f>VLOOKUP($C24,'2000 Place'!$C$2:$Y$523,6,FALSE)</f>
        <v>8161</v>
      </c>
      <c r="F24">
        <f>VLOOKUP($C24,'2000 Place'!$C$2:$Y$523,7,FALSE)</f>
        <v>427</v>
      </c>
      <c r="G24">
        <f>VLOOKUP($C24,'2000 Place'!$C$2:$Y$523,8,FALSE)</f>
        <v>7459</v>
      </c>
      <c r="H24">
        <f>VLOOKUP($C24,'2000 Place'!$C$2:$Y$523,9,FALSE)</f>
        <v>302</v>
      </c>
      <c r="I24">
        <f>VLOOKUP($C24,'2000 Place'!$C$2:$Y$523,10,FALSE)</f>
        <v>111</v>
      </c>
      <c r="J24">
        <f>VLOOKUP($C24,'2000 Place'!$C$2:$Y$523,11,FALSE)</f>
        <v>5</v>
      </c>
      <c r="K24">
        <f>VLOOKUP($C24,'2000 Place'!$C$2:$Y$523,12,FALSE)</f>
        <v>69</v>
      </c>
      <c r="L24">
        <f>VLOOKUP($C24,'2000 Place'!$C$2:$Y$523,13,FALSE)</f>
        <v>0</v>
      </c>
      <c r="M24">
        <f>VLOOKUP($C24,'2000 Place'!$C$2:$Y$523,14,FALSE)</f>
        <v>92</v>
      </c>
      <c r="N24">
        <f>VLOOKUP($C24,'2000 Place'!$C$2:$Y$523,15,FALSE)</f>
        <v>3</v>
      </c>
      <c r="O24">
        <f>VLOOKUP($C24,'2000 Place'!$C$2:$Y$523,16,FALSE)</f>
        <v>43</v>
      </c>
      <c r="P24">
        <f>VLOOKUP($C24,'2000 Place'!$C$2:$Y$523,17,FALSE)</f>
        <v>74</v>
      </c>
      <c r="Q24">
        <f>VLOOKUP($C24,'2000 Place'!$C$2:$Y$523,18,FALSE)</f>
        <v>56</v>
      </c>
      <c r="R24">
        <f>VLOOKUP($C24,'2000 Place'!$C$2:$Y$523,19,FALSE)</f>
        <v>0</v>
      </c>
      <c r="S24">
        <f>VLOOKUP($C24,'2000 Place'!$C$2:$Y$523,20,FALSE)</f>
        <v>109</v>
      </c>
      <c r="T24">
        <f>VLOOKUP($C24,'2000 Place'!$C$2:$Y$523,21,FALSE)</f>
        <v>16</v>
      </c>
      <c r="U24">
        <f>VLOOKUP($C24,'2000 Place'!$C$2:$Y$523,22,FALSE)</f>
        <v>222</v>
      </c>
      <c r="V24">
        <f>VLOOKUP($C24,'2000 Place'!$C$2:$Y$523,23,FALSE)</f>
        <v>27</v>
      </c>
    </row>
    <row r="25" spans="1:22" x14ac:dyDescent="0.25">
      <c r="A25" t="s">
        <v>294</v>
      </c>
      <c r="B25">
        <v>5303005</v>
      </c>
      <c r="C25" t="s">
        <v>295</v>
      </c>
      <c r="D25">
        <f>VLOOKUP($C25,'2000 Place'!$C$2:$Y$523,5,FALSE)</f>
        <v>259</v>
      </c>
      <c r="E25">
        <f>VLOOKUP($C25,'2000 Place'!$C$2:$Y$523,6,FALSE)</f>
        <v>249</v>
      </c>
      <c r="F25">
        <f>VLOOKUP($C25,'2000 Place'!$C$2:$Y$523,7,FALSE)</f>
        <v>10</v>
      </c>
      <c r="G25">
        <f>VLOOKUP($C25,'2000 Place'!$C$2:$Y$523,8,FALSE)</f>
        <v>239</v>
      </c>
      <c r="H25">
        <f>VLOOKUP($C25,'2000 Place'!$C$2:$Y$523,9,FALSE)</f>
        <v>10</v>
      </c>
      <c r="I25">
        <f>VLOOKUP($C25,'2000 Place'!$C$2:$Y$523,10,FALSE)</f>
        <v>0</v>
      </c>
      <c r="J25">
        <f>VLOOKUP($C25,'2000 Place'!$C$2:$Y$523,11,FALSE)</f>
        <v>0</v>
      </c>
      <c r="K25">
        <f>VLOOKUP($C25,'2000 Place'!$C$2:$Y$523,12,FALSE)</f>
        <v>10</v>
      </c>
      <c r="L25">
        <f>VLOOKUP($C25,'2000 Place'!$C$2:$Y$523,13,FALSE)</f>
        <v>0</v>
      </c>
      <c r="M25">
        <f>VLOOKUP($C25,'2000 Place'!$C$2:$Y$523,14,FALSE)</f>
        <v>0</v>
      </c>
      <c r="N25">
        <f>VLOOKUP($C25,'2000 Place'!$C$2:$Y$523,15,FALSE)</f>
        <v>0</v>
      </c>
      <c r="O25">
        <f>VLOOKUP($C25,'2000 Place'!$C$2:$Y$523,16,FALSE)</f>
        <v>0</v>
      </c>
      <c r="P25">
        <f>VLOOKUP($C25,'2000 Place'!$C$2:$Y$523,17,FALSE)</f>
        <v>0</v>
      </c>
      <c r="Q25">
        <f>VLOOKUP($C25,'2000 Place'!$C$2:$Y$523,18,FALSE)</f>
        <v>0</v>
      </c>
      <c r="R25">
        <f>VLOOKUP($C25,'2000 Place'!$C$2:$Y$523,19,FALSE)</f>
        <v>0</v>
      </c>
      <c r="S25">
        <f>VLOOKUP($C25,'2000 Place'!$C$2:$Y$523,20,FALSE)</f>
        <v>0</v>
      </c>
      <c r="T25">
        <f>VLOOKUP($C25,'2000 Place'!$C$2:$Y$523,21,FALSE)</f>
        <v>0</v>
      </c>
      <c r="U25">
        <f>VLOOKUP($C25,'2000 Place'!$C$2:$Y$523,22,FALSE)</f>
        <v>0</v>
      </c>
      <c r="V25">
        <f>VLOOKUP($C25,'2000 Place'!$C$2:$Y$523,23,FALSE)</f>
        <v>0</v>
      </c>
    </row>
    <row r="26" spans="1:22" x14ac:dyDescent="0.25">
      <c r="A26" t="s">
        <v>296</v>
      </c>
      <c r="B26">
        <v>5303075</v>
      </c>
      <c r="C26" t="s">
        <v>297</v>
      </c>
      <c r="D26">
        <f>VLOOKUP($C26,'2000 Place'!$C$2:$Y$523,5,FALSE)</f>
        <v>1095</v>
      </c>
      <c r="E26">
        <f>VLOOKUP($C26,'2000 Place'!$C$2:$Y$523,6,FALSE)</f>
        <v>1072</v>
      </c>
      <c r="F26">
        <f>VLOOKUP($C26,'2000 Place'!$C$2:$Y$523,7,FALSE)</f>
        <v>23</v>
      </c>
      <c r="G26">
        <f>VLOOKUP($C26,'2000 Place'!$C$2:$Y$523,8,FALSE)</f>
        <v>1020</v>
      </c>
      <c r="H26">
        <f>VLOOKUP($C26,'2000 Place'!$C$2:$Y$523,9,FALSE)</f>
        <v>19</v>
      </c>
      <c r="I26">
        <f>VLOOKUP($C26,'2000 Place'!$C$2:$Y$523,10,FALSE)</f>
        <v>20</v>
      </c>
      <c r="J26">
        <f>VLOOKUP($C26,'2000 Place'!$C$2:$Y$523,11,FALSE)</f>
        <v>0</v>
      </c>
      <c r="K26">
        <f>VLOOKUP($C26,'2000 Place'!$C$2:$Y$523,12,FALSE)</f>
        <v>2</v>
      </c>
      <c r="L26">
        <f>VLOOKUP($C26,'2000 Place'!$C$2:$Y$523,13,FALSE)</f>
        <v>0</v>
      </c>
      <c r="M26">
        <f>VLOOKUP($C26,'2000 Place'!$C$2:$Y$523,14,FALSE)</f>
        <v>17</v>
      </c>
      <c r="N26">
        <f>VLOOKUP($C26,'2000 Place'!$C$2:$Y$523,15,FALSE)</f>
        <v>0</v>
      </c>
      <c r="O26">
        <f>VLOOKUP($C26,'2000 Place'!$C$2:$Y$523,16,FALSE)</f>
        <v>0</v>
      </c>
      <c r="P26">
        <f>VLOOKUP($C26,'2000 Place'!$C$2:$Y$523,17,FALSE)</f>
        <v>4</v>
      </c>
      <c r="Q26">
        <f>VLOOKUP($C26,'2000 Place'!$C$2:$Y$523,18,FALSE)</f>
        <v>0</v>
      </c>
      <c r="R26">
        <f>VLOOKUP($C26,'2000 Place'!$C$2:$Y$523,19,FALSE)</f>
        <v>0</v>
      </c>
      <c r="S26">
        <f>VLOOKUP($C26,'2000 Place'!$C$2:$Y$523,20,FALSE)</f>
        <v>0</v>
      </c>
      <c r="T26">
        <f>VLOOKUP($C26,'2000 Place'!$C$2:$Y$523,21,FALSE)</f>
        <v>0</v>
      </c>
      <c r="U26">
        <f>VLOOKUP($C26,'2000 Place'!$C$2:$Y$523,22,FALSE)</f>
        <v>13</v>
      </c>
      <c r="V26">
        <f>VLOOKUP($C26,'2000 Place'!$C$2:$Y$523,23,FALSE)</f>
        <v>0</v>
      </c>
    </row>
    <row r="27" spans="1:22" x14ac:dyDescent="0.25">
      <c r="A27" t="s">
        <v>298</v>
      </c>
      <c r="B27">
        <v>5303180</v>
      </c>
      <c r="C27" t="s">
        <v>299</v>
      </c>
      <c r="D27">
        <f>VLOOKUP($C27,'2000 Place'!$C$2:$Y$523,5,FALSE) + VLOOKUP("Lea Hill CDP, Washington",'2000 Place'!$C$2:$Y$523,5,FALSE)</f>
        <v>50948</v>
      </c>
      <c r="E27">
        <f>VLOOKUP($C27,'2000 Place'!$C$2:$Y$523,6,FALSE)+VLOOKUP("Lea Hill CDP, Washington",'2000 Place'!$C$2:$Y$523,6,FALSE)</f>
        <v>44856</v>
      </c>
      <c r="F27">
        <f>VLOOKUP($C27,'2000 Place'!$C$2:$Y$523,7,FALSE) + VLOOKUP("Lea Hill CDP, Washington",'2000 Place'!$C$2:$Y$523,7,FALSE)</f>
        <v>6092</v>
      </c>
      <c r="G27">
        <f>VLOOKUP($C27,'2000 Place'!$C$2:$Y$523,8,FALSE)+VLOOKUP("Lea Hill CDP, Washington",'2000 Place'!$C$2:$Y$523,8,FALSE)</f>
        <v>38416</v>
      </c>
      <c r="H27">
        <f>VLOOKUP($C27,'2000 Place'!$C$2:$Y$523,9,FALSE)+VLOOKUP("Lea Hill CDP, Washington",'2000 Place'!$C$2:$Y$523,9,FALSE)</f>
        <v>2564</v>
      </c>
      <c r="I27">
        <f>VLOOKUP($C27,'2000 Place'!$C$2:$Y$523,10,FALSE)+VLOOKUP("Lea Hill CDP, Washington",'2000 Place'!$C$2:$Y$523,10,FALSE)</f>
        <v>970</v>
      </c>
      <c r="J27">
        <f>VLOOKUP($C27,'2000 Place'!$C$2:$Y$523,11,FALSE)+VLOOKUP("Lea Hill CDP, Washington",'2000 Place'!$C$2:$Y$523,11,FALSE)</f>
        <v>333</v>
      </c>
      <c r="K27">
        <f>VLOOKUP($C27,'2000 Place'!$C$2:$Y$523,12,FALSE)+VLOOKUP("Lea Hill CDP, Washington",'2000 Place'!$C$2:$Y$523,12,FALSE)</f>
        <v>1031</v>
      </c>
      <c r="L27">
        <f>VLOOKUP($C27,'2000 Place'!$C$2:$Y$523,13,FALSE)+VLOOKUP("Lea Hill CDP, Washington",'2000 Place'!$C$2:$Y$523,13,FALSE)</f>
        <v>192</v>
      </c>
      <c r="M27">
        <f>VLOOKUP($C27,'2000 Place'!$C$2:$Y$523,14,FALSE)+VLOOKUP("Lea Hill CDP, Washington",'2000 Place'!$C$2:$Y$523,14,FALSE)</f>
        <v>914</v>
      </c>
      <c r="N27">
        <f>VLOOKUP($C27,'2000 Place'!$C$2:$Y$523,15,FALSE)+VLOOKUP("Lea Hill CDP, Washington",'2000 Place'!$C$2:$Y$523,15,FALSE)</f>
        <v>32</v>
      </c>
      <c r="O27">
        <f>VLOOKUP($C27,'2000 Place'!$C$2:$Y$523,16,FALSE)+VLOOKUP("Lea Hill CDP, Washington",'2000 Place'!$C$2:$Y$523,16,FALSE)</f>
        <v>708</v>
      </c>
      <c r="P27">
        <f>VLOOKUP($C27,'2000 Place'!$C$2:$Y$523,17,FALSE)+VLOOKUP("Lea Hill CDP, Washington",'2000 Place'!$C$2:$Y$523,17,FALSE)</f>
        <v>1376</v>
      </c>
      <c r="Q27">
        <f>VLOOKUP($C27,'2000 Place'!$C$2:$Y$523,18,FALSE)+VLOOKUP("Lea Hill CDP, Washington",'2000 Place'!$C$2:$Y$523,18,FALSE)</f>
        <v>41</v>
      </c>
      <c r="R27">
        <f>VLOOKUP($C27,'2000 Place'!$C$2:$Y$523,19,FALSE)+VLOOKUP("Lea Hill CDP, Washington",'2000 Place'!$C$2:$Y$523,19,FALSE)</f>
        <v>0</v>
      </c>
      <c r="S27">
        <f>VLOOKUP($C27,'2000 Place'!$C$2:$Y$523,20,FALSE)+VLOOKUP("Lea Hill CDP, Washington",'2000 Place'!$C$2:$Y$523,20,FALSE)</f>
        <v>784</v>
      </c>
      <c r="T27">
        <f>VLOOKUP($C27,'2000 Place'!$C$2:$Y$523,21,FALSE)+VLOOKUP("Lea Hill CDP, Washington",'2000 Place'!$C$2:$Y$523,21,FALSE)</f>
        <v>971</v>
      </c>
      <c r="U27">
        <f>VLOOKUP($C27,'2000 Place'!$C$2:$Y$523,22,FALSE)+VLOOKUP("Lea Hill CDP, Washington",'2000 Place'!$C$2:$Y$523,22,FALSE)</f>
        <v>1992</v>
      </c>
      <c r="V27">
        <f>VLOOKUP($C27,'2000 Place'!$C$2:$Y$523,23,FALSE)+VLOOKUP("Lea Hill CDP, Washington",'2000 Place'!$C$2:$Y$523,23,FALSE)</f>
        <v>624</v>
      </c>
    </row>
    <row r="28" spans="1:22" x14ac:dyDescent="0.25">
      <c r="A28" t="s">
        <v>300</v>
      </c>
      <c r="B28">
        <v>5303736</v>
      </c>
      <c r="C28" t="s">
        <v>301</v>
      </c>
      <c r="D28">
        <f>VLOOKUP($C28,'2000 Place'!$C$2:$Y$523,5,FALSE)</f>
        <v>20308</v>
      </c>
      <c r="E28">
        <f>VLOOKUP($C28,'2000 Place'!$C$2:$Y$523,6,FALSE)</f>
        <v>18744</v>
      </c>
      <c r="F28">
        <f>VLOOKUP($C28,'2000 Place'!$C$2:$Y$523,7,FALSE)</f>
        <v>1564</v>
      </c>
      <c r="G28">
        <f>VLOOKUP($C28,'2000 Place'!$C$2:$Y$523,8,FALSE)</f>
        <v>17552</v>
      </c>
      <c r="H28">
        <f>VLOOKUP($C28,'2000 Place'!$C$2:$Y$523,9,FALSE)</f>
        <v>1060</v>
      </c>
      <c r="I28">
        <f>VLOOKUP($C28,'2000 Place'!$C$2:$Y$523,10,FALSE)</f>
        <v>153</v>
      </c>
      <c r="J28">
        <f>VLOOKUP($C28,'2000 Place'!$C$2:$Y$523,11,FALSE)</f>
        <v>91</v>
      </c>
      <c r="K28">
        <f>VLOOKUP($C28,'2000 Place'!$C$2:$Y$523,12,FALSE)</f>
        <v>77</v>
      </c>
      <c r="L28">
        <f>VLOOKUP($C28,'2000 Place'!$C$2:$Y$523,13,FALSE)</f>
        <v>0</v>
      </c>
      <c r="M28">
        <f>VLOOKUP($C28,'2000 Place'!$C$2:$Y$523,14,FALSE)</f>
        <v>91</v>
      </c>
      <c r="N28">
        <f>VLOOKUP($C28,'2000 Place'!$C$2:$Y$523,15,FALSE)</f>
        <v>6</v>
      </c>
      <c r="O28">
        <f>VLOOKUP($C28,'2000 Place'!$C$2:$Y$523,16,FALSE)</f>
        <v>221</v>
      </c>
      <c r="P28">
        <f>VLOOKUP($C28,'2000 Place'!$C$2:$Y$523,17,FALSE)</f>
        <v>259</v>
      </c>
      <c r="Q28">
        <f>VLOOKUP($C28,'2000 Place'!$C$2:$Y$523,18,FALSE)</f>
        <v>16</v>
      </c>
      <c r="R28">
        <f>VLOOKUP($C28,'2000 Place'!$C$2:$Y$523,19,FALSE)</f>
        <v>11</v>
      </c>
      <c r="S28">
        <f>VLOOKUP($C28,'2000 Place'!$C$2:$Y$523,20,FALSE)</f>
        <v>59</v>
      </c>
      <c r="T28">
        <f>VLOOKUP($C28,'2000 Place'!$C$2:$Y$523,21,FALSE)</f>
        <v>81</v>
      </c>
      <c r="U28">
        <f>VLOOKUP($C28,'2000 Place'!$C$2:$Y$523,22,FALSE)</f>
        <v>575</v>
      </c>
      <c r="V28">
        <f>VLOOKUP($C28,'2000 Place'!$C$2:$Y$523,23,FALSE)</f>
        <v>56</v>
      </c>
    </row>
    <row r="29" spans="1:22" x14ac:dyDescent="0.25">
      <c r="A29" t="s">
        <v>302</v>
      </c>
      <c r="B29">
        <v>5304100</v>
      </c>
      <c r="C29" t="s">
        <v>303</v>
      </c>
      <c r="D29" t="e">
        <f>VLOOKUP($C29,'2000 Place'!$C$2:$Y$523,5,FALSE)</f>
        <v>#N/A</v>
      </c>
      <c r="E29" t="e">
        <f>VLOOKUP($C29,'2000 Place'!$C$2:$Y$523,6,FALSE)</f>
        <v>#N/A</v>
      </c>
      <c r="F29" t="e">
        <f>VLOOKUP($C29,'2000 Place'!$C$2:$Y$523,7,FALSE)</f>
        <v>#N/A</v>
      </c>
      <c r="G29" t="e">
        <f>VLOOKUP($C29,'2000 Place'!$C$2:$Y$523,8,FALSE)</f>
        <v>#N/A</v>
      </c>
      <c r="H29" t="e">
        <f>VLOOKUP($C29,'2000 Place'!$C$2:$Y$523,9,FALSE)</f>
        <v>#N/A</v>
      </c>
      <c r="I29" t="e">
        <f>VLOOKUP($C29,'2000 Place'!$C$2:$Y$523,10,FALSE)</f>
        <v>#N/A</v>
      </c>
      <c r="J29" t="e">
        <f>VLOOKUP($C29,'2000 Place'!$C$2:$Y$523,11,FALSE)</f>
        <v>#N/A</v>
      </c>
      <c r="K29" t="e">
        <f>VLOOKUP($C29,'2000 Place'!$C$2:$Y$523,12,FALSE)</f>
        <v>#N/A</v>
      </c>
      <c r="L29" t="e">
        <f>VLOOKUP($C29,'2000 Place'!$C$2:$Y$523,13,FALSE)</f>
        <v>#N/A</v>
      </c>
      <c r="M29" t="e">
        <f>VLOOKUP($C29,'2000 Place'!$C$2:$Y$523,14,FALSE)</f>
        <v>#N/A</v>
      </c>
      <c r="N29" t="e">
        <f>VLOOKUP($C29,'2000 Place'!$C$2:$Y$523,15,FALSE)</f>
        <v>#N/A</v>
      </c>
      <c r="O29" t="e">
        <f>VLOOKUP($C29,'2000 Place'!$C$2:$Y$523,16,FALSE)</f>
        <v>#N/A</v>
      </c>
      <c r="P29" t="e">
        <f>VLOOKUP($C29,'2000 Place'!$C$2:$Y$523,17,FALSE)</f>
        <v>#N/A</v>
      </c>
      <c r="Q29" t="e">
        <f>VLOOKUP($C29,'2000 Place'!$C$2:$Y$523,18,FALSE)</f>
        <v>#N/A</v>
      </c>
      <c r="R29" t="e">
        <f>VLOOKUP($C29,'2000 Place'!$C$2:$Y$523,19,FALSE)</f>
        <v>#N/A</v>
      </c>
      <c r="S29" t="e">
        <f>VLOOKUP($C29,'2000 Place'!$C$2:$Y$523,20,FALSE)</f>
        <v>#N/A</v>
      </c>
      <c r="T29" t="e">
        <f>VLOOKUP($C29,'2000 Place'!$C$2:$Y$523,21,FALSE)</f>
        <v>#N/A</v>
      </c>
      <c r="U29" t="e">
        <f>VLOOKUP($C29,'2000 Place'!$C$2:$Y$523,22,FALSE)</f>
        <v>#N/A</v>
      </c>
      <c r="V29" t="e">
        <f>VLOOKUP($C29,'2000 Place'!$C$2:$Y$523,23,FALSE)</f>
        <v>#N/A</v>
      </c>
    </row>
    <row r="30" spans="1:22" x14ac:dyDescent="0.25">
      <c r="A30" t="s">
        <v>304</v>
      </c>
      <c r="B30">
        <v>5304125</v>
      </c>
      <c r="C30" t="s">
        <v>305</v>
      </c>
      <c r="D30">
        <f>VLOOKUP($C30,'2000 Place'!$C$2:$Y$523,5,FALSE)</f>
        <v>138</v>
      </c>
      <c r="E30">
        <f>VLOOKUP($C30,'2000 Place'!$C$2:$Y$523,6,FALSE)</f>
        <v>138</v>
      </c>
      <c r="F30">
        <f>VLOOKUP($C30,'2000 Place'!$C$2:$Y$523,7,FALSE)</f>
        <v>0</v>
      </c>
      <c r="G30">
        <f>VLOOKUP($C30,'2000 Place'!$C$2:$Y$523,8,FALSE)</f>
        <v>138</v>
      </c>
      <c r="H30">
        <f>VLOOKUP($C30,'2000 Place'!$C$2:$Y$523,9,FALSE)</f>
        <v>0</v>
      </c>
      <c r="I30">
        <f>VLOOKUP($C30,'2000 Place'!$C$2:$Y$523,10,FALSE)</f>
        <v>0</v>
      </c>
      <c r="J30">
        <f>VLOOKUP($C30,'2000 Place'!$C$2:$Y$523,11,FALSE)</f>
        <v>0</v>
      </c>
      <c r="K30">
        <f>VLOOKUP($C30,'2000 Place'!$C$2:$Y$523,12,FALSE)</f>
        <v>0</v>
      </c>
      <c r="L30">
        <f>VLOOKUP($C30,'2000 Place'!$C$2:$Y$523,13,FALSE)</f>
        <v>0</v>
      </c>
      <c r="M30">
        <f>VLOOKUP($C30,'2000 Place'!$C$2:$Y$523,14,FALSE)</f>
        <v>0</v>
      </c>
      <c r="N30">
        <f>VLOOKUP($C30,'2000 Place'!$C$2:$Y$523,15,FALSE)</f>
        <v>0</v>
      </c>
      <c r="O30">
        <f>VLOOKUP($C30,'2000 Place'!$C$2:$Y$523,16,FALSE)</f>
        <v>0</v>
      </c>
      <c r="P30">
        <f>VLOOKUP($C30,'2000 Place'!$C$2:$Y$523,17,FALSE)</f>
        <v>0</v>
      </c>
      <c r="Q30">
        <f>VLOOKUP($C30,'2000 Place'!$C$2:$Y$523,18,FALSE)</f>
        <v>0</v>
      </c>
      <c r="R30">
        <f>VLOOKUP($C30,'2000 Place'!$C$2:$Y$523,19,FALSE)</f>
        <v>0</v>
      </c>
      <c r="S30">
        <f>VLOOKUP($C30,'2000 Place'!$C$2:$Y$523,20,FALSE)</f>
        <v>0</v>
      </c>
      <c r="T30">
        <f>VLOOKUP($C30,'2000 Place'!$C$2:$Y$523,21,FALSE)</f>
        <v>0</v>
      </c>
      <c r="U30">
        <f>VLOOKUP($C30,'2000 Place'!$C$2:$Y$523,22,FALSE)</f>
        <v>0</v>
      </c>
      <c r="V30">
        <f>VLOOKUP($C30,'2000 Place'!$C$2:$Y$523,23,FALSE)</f>
        <v>0</v>
      </c>
    </row>
    <row r="31" spans="1:22" x14ac:dyDescent="0.25">
      <c r="A31" t="s">
        <v>306</v>
      </c>
      <c r="B31">
        <v>5304195</v>
      </c>
      <c r="C31" t="s">
        <v>307</v>
      </c>
      <c r="D31">
        <f>VLOOKUP($C31,'2000 Place'!$C$2:$Y$523,5,FALSE)</f>
        <v>4602</v>
      </c>
      <c r="E31">
        <f>VLOOKUP($C31,'2000 Place'!$C$2:$Y$523,6,FALSE)</f>
        <v>4431</v>
      </c>
      <c r="F31">
        <f>VLOOKUP($C31,'2000 Place'!$C$2:$Y$523,7,FALSE)</f>
        <v>171</v>
      </c>
      <c r="G31">
        <f>VLOOKUP($C31,'2000 Place'!$C$2:$Y$523,8,FALSE)</f>
        <v>4206</v>
      </c>
      <c r="H31">
        <f>VLOOKUP($C31,'2000 Place'!$C$2:$Y$523,9,FALSE)</f>
        <v>116</v>
      </c>
      <c r="I31">
        <f>VLOOKUP($C31,'2000 Place'!$C$2:$Y$523,10,FALSE)</f>
        <v>39</v>
      </c>
      <c r="J31">
        <f>VLOOKUP($C31,'2000 Place'!$C$2:$Y$523,11,FALSE)</f>
        <v>0</v>
      </c>
      <c r="K31">
        <f>VLOOKUP($C31,'2000 Place'!$C$2:$Y$523,12,FALSE)</f>
        <v>21</v>
      </c>
      <c r="L31">
        <f>VLOOKUP($C31,'2000 Place'!$C$2:$Y$523,13,FALSE)</f>
        <v>0</v>
      </c>
      <c r="M31">
        <f>VLOOKUP($C31,'2000 Place'!$C$2:$Y$523,14,FALSE)</f>
        <v>38</v>
      </c>
      <c r="N31">
        <f>VLOOKUP($C31,'2000 Place'!$C$2:$Y$523,15,FALSE)</f>
        <v>0</v>
      </c>
      <c r="O31">
        <f>VLOOKUP($C31,'2000 Place'!$C$2:$Y$523,16,FALSE)</f>
        <v>24</v>
      </c>
      <c r="P31">
        <f>VLOOKUP($C31,'2000 Place'!$C$2:$Y$523,17,FALSE)</f>
        <v>41</v>
      </c>
      <c r="Q31">
        <f>VLOOKUP($C31,'2000 Place'!$C$2:$Y$523,18,FALSE)</f>
        <v>30</v>
      </c>
      <c r="R31">
        <f>VLOOKUP($C31,'2000 Place'!$C$2:$Y$523,19,FALSE)</f>
        <v>0</v>
      </c>
      <c r="S31">
        <f>VLOOKUP($C31,'2000 Place'!$C$2:$Y$523,20,FALSE)</f>
        <v>48</v>
      </c>
      <c r="T31">
        <f>VLOOKUP($C31,'2000 Place'!$C$2:$Y$523,21,FALSE)</f>
        <v>14</v>
      </c>
      <c r="U31">
        <f>VLOOKUP($C31,'2000 Place'!$C$2:$Y$523,22,FALSE)</f>
        <v>25</v>
      </c>
      <c r="V31">
        <f>VLOOKUP($C31,'2000 Place'!$C$2:$Y$523,23,FALSE)</f>
        <v>0</v>
      </c>
    </row>
    <row r="32" spans="1:22" x14ac:dyDescent="0.25">
      <c r="A32" t="s">
        <v>308</v>
      </c>
      <c r="B32">
        <v>5304300</v>
      </c>
      <c r="C32" t="s">
        <v>309</v>
      </c>
      <c r="D32">
        <f>VLOOKUP($C32,'2000 Place'!$C$2:$Y$523,5,FALSE)</f>
        <v>225</v>
      </c>
      <c r="E32">
        <f>VLOOKUP($C32,'2000 Place'!$C$2:$Y$523,6,FALSE)</f>
        <v>211</v>
      </c>
      <c r="F32">
        <f>VLOOKUP($C32,'2000 Place'!$C$2:$Y$523,7,FALSE)</f>
        <v>14</v>
      </c>
      <c r="G32">
        <f>VLOOKUP($C32,'2000 Place'!$C$2:$Y$523,8,FALSE)</f>
        <v>186</v>
      </c>
      <c r="H32">
        <f>VLOOKUP($C32,'2000 Place'!$C$2:$Y$523,9,FALSE)</f>
        <v>8</v>
      </c>
      <c r="I32">
        <f>VLOOKUP($C32,'2000 Place'!$C$2:$Y$523,10,FALSE)</f>
        <v>3</v>
      </c>
      <c r="J32">
        <f>VLOOKUP($C32,'2000 Place'!$C$2:$Y$523,11,FALSE)</f>
        <v>0</v>
      </c>
      <c r="K32">
        <f>VLOOKUP($C32,'2000 Place'!$C$2:$Y$523,12,FALSE)</f>
        <v>0</v>
      </c>
      <c r="L32">
        <f>VLOOKUP($C32,'2000 Place'!$C$2:$Y$523,13,FALSE)</f>
        <v>0</v>
      </c>
      <c r="M32">
        <f>VLOOKUP($C32,'2000 Place'!$C$2:$Y$523,14,FALSE)</f>
        <v>13</v>
      </c>
      <c r="N32">
        <f>VLOOKUP($C32,'2000 Place'!$C$2:$Y$523,15,FALSE)</f>
        <v>0</v>
      </c>
      <c r="O32">
        <f>VLOOKUP($C32,'2000 Place'!$C$2:$Y$523,16,FALSE)</f>
        <v>0</v>
      </c>
      <c r="P32">
        <f>VLOOKUP($C32,'2000 Place'!$C$2:$Y$523,17,FALSE)</f>
        <v>4</v>
      </c>
      <c r="Q32">
        <f>VLOOKUP($C32,'2000 Place'!$C$2:$Y$523,18,FALSE)</f>
        <v>0</v>
      </c>
      <c r="R32">
        <f>VLOOKUP($C32,'2000 Place'!$C$2:$Y$523,19,FALSE)</f>
        <v>0</v>
      </c>
      <c r="S32">
        <f>VLOOKUP($C32,'2000 Place'!$C$2:$Y$523,20,FALSE)</f>
        <v>0</v>
      </c>
      <c r="T32">
        <f>VLOOKUP($C32,'2000 Place'!$C$2:$Y$523,21,FALSE)</f>
        <v>0</v>
      </c>
      <c r="U32">
        <f>VLOOKUP($C32,'2000 Place'!$C$2:$Y$523,22,FALSE)</f>
        <v>9</v>
      </c>
      <c r="V32">
        <f>VLOOKUP($C32,'2000 Place'!$C$2:$Y$523,23,FALSE)</f>
        <v>2</v>
      </c>
    </row>
    <row r="33" spans="1:22" x14ac:dyDescent="0.25">
      <c r="A33" t="s">
        <v>310</v>
      </c>
      <c r="B33">
        <v>5304347</v>
      </c>
      <c r="C33" t="s">
        <v>311</v>
      </c>
      <c r="D33" t="e">
        <f>VLOOKUP($C33,'2000 Place'!$C$2:$Y$523,5,FALSE)</f>
        <v>#N/A</v>
      </c>
      <c r="E33" t="e">
        <f>VLOOKUP($C33,'2000 Place'!$C$2:$Y$523,6,FALSE)</f>
        <v>#N/A</v>
      </c>
      <c r="F33" t="e">
        <f>VLOOKUP($C33,'2000 Place'!$C$2:$Y$523,7,FALSE)</f>
        <v>#N/A</v>
      </c>
      <c r="G33" t="e">
        <f>VLOOKUP($C33,'2000 Place'!$C$2:$Y$523,8,FALSE)</f>
        <v>#N/A</v>
      </c>
      <c r="H33" t="e">
        <f>VLOOKUP($C33,'2000 Place'!$C$2:$Y$523,9,FALSE)</f>
        <v>#N/A</v>
      </c>
      <c r="I33" t="e">
        <f>VLOOKUP($C33,'2000 Place'!$C$2:$Y$523,10,FALSE)</f>
        <v>#N/A</v>
      </c>
      <c r="J33" t="e">
        <f>VLOOKUP($C33,'2000 Place'!$C$2:$Y$523,11,FALSE)</f>
        <v>#N/A</v>
      </c>
      <c r="K33" t="e">
        <f>VLOOKUP($C33,'2000 Place'!$C$2:$Y$523,12,FALSE)</f>
        <v>#N/A</v>
      </c>
      <c r="L33" t="e">
        <f>VLOOKUP($C33,'2000 Place'!$C$2:$Y$523,13,FALSE)</f>
        <v>#N/A</v>
      </c>
      <c r="M33" t="e">
        <f>VLOOKUP($C33,'2000 Place'!$C$2:$Y$523,14,FALSE)</f>
        <v>#N/A</v>
      </c>
      <c r="N33" t="e">
        <f>VLOOKUP($C33,'2000 Place'!$C$2:$Y$523,15,FALSE)</f>
        <v>#N/A</v>
      </c>
      <c r="O33" t="e">
        <f>VLOOKUP($C33,'2000 Place'!$C$2:$Y$523,16,FALSE)</f>
        <v>#N/A</v>
      </c>
      <c r="P33" t="e">
        <f>VLOOKUP($C33,'2000 Place'!$C$2:$Y$523,17,FALSE)</f>
        <v>#N/A</v>
      </c>
      <c r="Q33" t="e">
        <f>VLOOKUP($C33,'2000 Place'!$C$2:$Y$523,18,FALSE)</f>
        <v>#N/A</v>
      </c>
      <c r="R33" t="e">
        <f>VLOOKUP($C33,'2000 Place'!$C$2:$Y$523,19,FALSE)</f>
        <v>#N/A</v>
      </c>
      <c r="S33" t="e">
        <f>VLOOKUP($C33,'2000 Place'!$C$2:$Y$523,20,FALSE)</f>
        <v>#N/A</v>
      </c>
      <c r="T33" t="e">
        <f>VLOOKUP($C33,'2000 Place'!$C$2:$Y$523,21,FALSE)</f>
        <v>#N/A</v>
      </c>
      <c r="U33" t="e">
        <f>VLOOKUP($C33,'2000 Place'!$C$2:$Y$523,22,FALSE)</f>
        <v>#N/A</v>
      </c>
      <c r="V33" t="e">
        <f>VLOOKUP($C33,'2000 Place'!$C$2:$Y$523,23,FALSE)</f>
        <v>#N/A</v>
      </c>
    </row>
    <row r="34" spans="1:22" x14ac:dyDescent="0.25">
      <c r="A34" t="s">
        <v>312</v>
      </c>
      <c r="B34">
        <v>5304370</v>
      </c>
      <c r="C34" t="s">
        <v>313</v>
      </c>
      <c r="D34" t="e">
        <f>VLOOKUP($C34,'2000 Place'!$C$2:$Y$523,5,FALSE)</f>
        <v>#N/A</v>
      </c>
      <c r="E34" t="e">
        <f>VLOOKUP($C34,'2000 Place'!$C$2:$Y$523,6,FALSE)</f>
        <v>#N/A</v>
      </c>
      <c r="F34" t="e">
        <f>VLOOKUP($C34,'2000 Place'!$C$2:$Y$523,7,FALSE)</f>
        <v>#N/A</v>
      </c>
      <c r="G34" t="e">
        <f>VLOOKUP($C34,'2000 Place'!$C$2:$Y$523,8,FALSE)</f>
        <v>#N/A</v>
      </c>
      <c r="H34" t="e">
        <f>VLOOKUP($C34,'2000 Place'!$C$2:$Y$523,9,FALSE)</f>
        <v>#N/A</v>
      </c>
      <c r="I34" t="e">
        <f>VLOOKUP($C34,'2000 Place'!$C$2:$Y$523,10,FALSE)</f>
        <v>#N/A</v>
      </c>
      <c r="J34" t="e">
        <f>VLOOKUP($C34,'2000 Place'!$C$2:$Y$523,11,FALSE)</f>
        <v>#N/A</v>
      </c>
      <c r="K34" t="e">
        <f>VLOOKUP($C34,'2000 Place'!$C$2:$Y$523,12,FALSE)</f>
        <v>#N/A</v>
      </c>
      <c r="L34" t="e">
        <f>VLOOKUP($C34,'2000 Place'!$C$2:$Y$523,13,FALSE)</f>
        <v>#N/A</v>
      </c>
      <c r="M34" t="e">
        <f>VLOOKUP($C34,'2000 Place'!$C$2:$Y$523,14,FALSE)</f>
        <v>#N/A</v>
      </c>
      <c r="N34" t="e">
        <f>VLOOKUP($C34,'2000 Place'!$C$2:$Y$523,15,FALSE)</f>
        <v>#N/A</v>
      </c>
      <c r="O34" t="e">
        <f>VLOOKUP($C34,'2000 Place'!$C$2:$Y$523,16,FALSE)</f>
        <v>#N/A</v>
      </c>
      <c r="P34" t="e">
        <f>VLOOKUP($C34,'2000 Place'!$C$2:$Y$523,17,FALSE)</f>
        <v>#N/A</v>
      </c>
      <c r="Q34" t="e">
        <f>VLOOKUP($C34,'2000 Place'!$C$2:$Y$523,18,FALSE)</f>
        <v>#N/A</v>
      </c>
      <c r="R34" t="e">
        <f>VLOOKUP($C34,'2000 Place'!$C$2:$Y$523,19,FALSE)</f>
        <v>#N/A</v>
      </c>
      <c r="S34" t="e">
        <f>VLOOKUP($C34,'2000 Place'!$C$2:$Y$523,20,FALSE)</f>
        <v>#N/A</v>
      </c>
      <c r="T34" t="e">
        <f>VLOOKUP($C34,'2000 Place'!$C$2:$Y$523,21,FALSE)</f>
        <v>#N/A</v>
      </c>
      <c r="U34" t="e">
        <f>VLOOKUP($C34,'2000 Place'!$C$2:$Y$523,22,FALSE)</f>
        <v>#N/A</v>
      </c>
      <c r="V34" t="e">
        <f>VLOOKUP($C34,'2000 Place'!$C$2:$Y$523,23,FALSE)</f>
        <v>#N/A</v>
      </c>
    </row>
    <row r="35" spans="1:22" x14ac:dyDescent="0.25">
      <c r="A35" t="s">
        <v>314</v>
      </c>
      <c r="B35">
        <v>5304405</v>
      </c>
      <c r="C35" t="s">
        <v>315</v>
      </c>
      <c r="D35">
        <f>VLOOKUP($C35,'2000 Place'!$C$2:$Y$523,5,FALSE)</f>
        <v>850</v>
      </c>
      <c r="E35">
        <f>VLOOKUP($C35,'2000 Place'!$C$2:$Y$523,6,FALSE)</f>
        <v>470</v>
      </c>
      <c r="F35">
        <f>VLOOKUP($C35,'2000 Place'!$C$2:$Y$523,7,FALSE)</f>
        <v>380</v>
      </c>
      <c r="G35">
        <f>VLOOKUP($C35,'2000 Place'!$C$2:$Y$523,8,FALSE)</f>
        <v>200</v>
      </c>
      <c r="H35">
        <f>VLOOKUP($C35,'2000 Place'!$C$2:$Y$523,9,FALSE)</f>
        <v>9</v>
      </c>
      <c r="I35">
        <f>VLOOKUP($C35,'2000 Place'!$C$2:$Y$523,10,FALSE)</f>
        <v>99</v>
      </c>
      <c r="J35">
        <f>VLOOKUP($C35,'2000 Place'!$C$2:$Y$523,11,FALSE)</f>
        <v>164</v>
      </c>
      <c r="K35">
        <f>VLOOKUP($C35,'2000 Place'!$C$2:$Y$523,12,FALSE)</f>
        <v>0</v>
      </c>
      <c r="L35">
        <f>VLOOKUP($C35,'2000 Place'!$C$2:$Y$523,13,FALSE)</f>
        <v>0</v>
      </c>
      <c r="M35">
        <f>VLOOKUP($C35,'2000 Place'!$C$2:$Y$523,14,FALSE)</f>
        <v>0</v>
      </c>
      <c r="N35">
        <f>VLOOKUP($C35,'2000 Place'!$C$2:$Y$523,15,FALSE)</f>
        <v>0</v>
      </c>
      <c r="O35">
        <f>VLOOKUP($C35,'2000 Place'!$C$2:$Y$523,16,FALSE)</f>
        <v>0</v>
      </c>
      <c r="P35">
        <f>VLOOKUP($C35,'2000 Place'!$C$2:$Y$523,17,FALSE)</f>
        <v>0</v>
      </c>
      <c r="Q35">
        <f>VLOOKUP($C35,'2000 Place'!$C$2:$Y$523,18,FALSE)</f>
        <v>0</v>
      </c>
      <c r="R35">
        <f>VLOOKUP($C35,'2000 Place'!$C$2:$Y$523,19,FALSE)</f>
        <v>0</v>
      </c>
      <c r="S35">
        <f>VLOOKUP($C35,'2000 Place'!$C$2:$Y$523,20,FALSE)</f>
        <v>134</v>
      </c>
      <c r="T35">
        <f>VLOOKUP($C35,'2000 Place'!$C$2:$Y$523,21,FALSE)</f>
        <v>96</v>
      </c>
      <c r="U35">
        <f>VLOOKUP($C35,'2000 Place'!$C$2:$Y$523,22,FALSE)</f>
        <v>37</v>
      </c>
      <c r="V35">
        <f>VLOOKUP($C35,'2000 Place'!$C$2:$Y$523,23,FALSE)</f>
        <v>111</v>
      </c>
    </row>
    <row r="36" spans="1:22" x14ac:dyDescent="0.25">
      <c r="A36" t="s">
        <v>316</v>
      </c>
      <c r="B36">
        <v>5304475</v>
      </c>
      <c r="C36" t="s">
        <v>317</v>
      </c>
      <c r="D36">
        <f>VLOOKUP($C36,'2000 Place'!$C$2:$Y$523,5,FALSE)</f>
        <v>9344</v>
      </c>
      <c r="E36">
        <f>VLOOKUP($C36,'2000 Place'!$C$2:$Y$523,6,FALSE)</f>
        <v>8731</v>
      </c>
      <c r="F36">
        <f>VLOOKUP($C36,'2000 Place'!$C$2:$Y$523,7,FALSE)</f>
        <v>613</v>
      </c>
      <c r="G36">
        <f>VLOOKUP($C36,'2000 Place'!$C$2:$Y$523,8,FALSE)</f>
        <v>8120</v>
      </c>
      <c r="H36">
        <f>VLOOKUP($C36,'2000 Place'!$C$2:$Y$523,9,FALSE)</f>
        <v>424</v>
      </c>
      <c r="I36">
        <f>VLOOKUP($C36,'2000 Place'!$C$2:$Y$523,10,FALSE)</f>
        <v>155</v>
      </c>
      <c r="J36">
        <f>VLOOKUP($C36,'2000 Place'!$C$2:$Y$523,11,FALSE)</f>
        <v>61</v>
      </c>
      <c r="K36">
        <f>VLOOKUP($C36,'2000 Place'!$C$2:$Y$523,12,FALSE)</f>
        <v>15</v>
      </c>
      <c r="L36">
        <f>VLOOKUP($C36,'2000 Place'!$C$2:$Y$523,13,FALSE)</f>
        <v>0</v>
      </c>
      <c r="M36">
        <f>VLOOKUP($C36,'2000 Place'!$C$2:$Y$523,14,FALSE)</f>
        <v>64</v>
      </c>
      <c r="N36">
        <f>VLOOKUP($C36,'2000 Place'!$C$2:$Y$523,15,FALSE)</f>
        <v>0</v>
      </c>
      <c r="O36">
        <f>VLOOKUP($C36,'2000 Place'!$C$2:$Y$523,16,FALSE)</f>
        <v>33</v>
      </c>
      <c r="P36">
        <f>VLOOKUP($C36,'2000 Place'!$C$2:$Y$523,17,FALSE)</f>
        <v>33</v>
      </c>
      <c r="Q36">
        <f>VLOOKUP($C36,'2000 Place'!$C$2:$Y$523,18,FALSE)</f>
        <v>0</v>
      </c>
      <c r="R36">
        <f>VLOOKUP($C36,'2000 Place'!$C$2:$Y$523,19,FALSE)</f>
        <v>0</v>
      </c>
      <c r="S36">
        <f>VLOOKUP($C36,'2000 Place'!$C$2:$Y$523,20,FALSE)</f>
        <v>142</v>
      </c>
      <c r="T36">
        <f>VLOOKUP($C36,'2000 Place'!$C$2:$Y$523,21,FALSE)</f>
        <v>42</v>
      </c>
      <c r="U36">
        <f>VLOOKUP($C36,'2000 Place'!$C$2:$Y$523,22,FALSE)</f>
        <v>202</v>
      </c>
      <c r="V36">
        <f>VLOOKUP($C36,'2000 Place'!$C$2:$Y$523,23,FALSE)</f>
        <v>53</v>
      </c>
    </row>
    <row r="37" spans="1:22" x14ac:dyDescent="0.25">
      <c r="A37" t="s">
        <v>318</v>
      </c>
      <c r="B37">
        <v>5304615</v>
      </c>
      <c r="C37" t="s">
        <v>319</v>
      </c>
      <c r="D37">
        <f>VLOOKUP($C37,'2000 Place'!$C$2:$Y$523,5,FALSE)</f>
        <v>164</v>
      </c>
      <c r="E37">
        <f>VLOOKUP($C37,'2000 Place'!$C$2:$Y$523,6,FALSE)</f>
        <v>145</v>
      </c>
      <c r="F37">
        <f>VLOOKUP($C37,'2000 Place'!$C$2:$Y$523,7,FALSE)</f>
        <v>19</v>
      </c>
      <c r="G37">
        <f>VLOOKUP($C37,'2000 Place'!$C$2:$Y$523,8,FALSE)</f>
        <v>97</v>
      </c>
      <c r="H37">
        <f>VLOOKUP($C37,'2000 Place'!$C$2:$Y$523,9,FALSE)</f>
        <v>16</v>
      </c>
      <c r="I37">
        <f>VLOOKUP($C37,'2000 Place'!$C$2:$Y$523,10,FALSE)</f>
        <v>0</v>
      </c>
      <c r="J37">
        <f>VLOOKUP($C37,'2000 Place'!$C$2:$Y$523,11,FALSE)</f>
        <v>3</v>
      </c>
      <c r="K37">
        <f>VLOOKUP($C37,'2000 Place'!$C$2:$Y$523,12,FALSE)</f>
        <v>0</v>
      </c>
      <c r="L37">
        <f>VLOOKUP($C37,'2000 Place'!$C$2:$Y$523,13,FALSE)</f>
        <v>0</v>
      </c>
      <c r="M37">
        <f>VLOOKUP($C37,'2000 Place'!$C$2:$Y$523,14,FALSE)</f>
        <v>12</v>
      </c>
      <c r="N37">
        <f>VLOOKUP($C37,'2000 Place'!$C$2:$Y$523,15,FALSE)</f>
        <v>0</v>
      </c>
      <c r="O37">
        <f>VLOOKUP($C37,'2000 Place'!$C$2:$Y$523,16,FALSE)</f>
        <v>3</v>
      </c>
      <c r="P37">
        <f>VLOOKUP($C37,'2000 Place'!$C$2:$Y$523,17,FALSE)</f>
        <v>0</v>
      </c>
      <c r="Q37">
        <f>VLOOKUP($C37,'2000 Place'!$C$2:$Y$523,18,FALSE)</f>
        <v>0</v>
      </c>
      <c r="R37">
        <f>VLOOKUP($C37,'2000 Place'!$C$2:$Y$523,19,FALSE)</f>
        <v>0</v>
      </c>
      <c r="S37">
        <f>VLOOKUP($C37,'2000 Place'!$C$2:$Y$523,20,FALSE)</f>
        <v>5</v>
      </c>
      <c r="T37">
        <f>VLOOKUP($C37,'2000 Place'!$C$2:$Y$523,21,FALSE)</f>
        <v>0</v>
      </c>
      <c r="U37">
        <f>VLOOKUP($C37,'2000 Place'!$C$2:$Y$523,22,FALSE)</f>
        <v>28</v>
      </c>
      <c r="V37">
        <f>VLOOKUP($C37,'2000 Place'!$C$2:$Y$523,23,FALSE)</f>
        <v>0</v>
      </c>
    </row>
    <row r="38" spans="1:22" x14ac:dyDescent="0.25">
      <c r="A38" t="s">
        <v>320</v>
      </c>
      <c r="B38">
        <v>5304790</v>
      </c>
      <c r="C38" t="s">
        <v>321</v>
      </c>
      <c r="D38">
        <f>VLOOKUP($C38,'2000 Place'!$C$2:$Y$523,5,FALSE)</f>
        <v>442</v>
      </c>
      <c r="E38">
        <f>VLOOKUP($C38,'2000 Place'!$C$2:$Y$523,6,FALSE)</f>
        <v>427</v>
      </c>
      <c r="F38">
        <f>VLOOKUP($C38,'2000 Place'!$C$2:$Y$523,7,FALSE)</f>
        <v>15</v>
      </c>
      <c r="G38">
        <f>VLOOKUP($C38,'2000 Place'!$C$2:$Y$523,8,FALSE)</f>
        <v>399</v>
      </c>
      <c r="H38">
        <f>VLOOKUP($C38,'2000 Place'!$C$2:$Y$523,9,FALSE)</f>
        <v>15</v>
      </c>
      <c r="I38">
        <f>VLOOKUP($C38,'2000 Place'!$C$2:$Y$523,10,FALSE)</f>
        <v>0</v>
      </c>
      <c r="J38">
        <f>VLOOKUP($C38,'2000 Place'!$C$2:$Y$523,11,FALSE)</f>
        <v>0</v>
      </c>
      <c r="K38">
        <f>VLOOKUP($C38,'2000 Place'!$C$2:$Y$523,12,FALSE)</f>
        <v>0</v>
      </c>
      <c r="L38">
        <f>VLOOKUP($C38,'2000 Place'!$C$2:$Y$523,13,FALSE)</f>
        <v>0</v>
      </c>
      <c r="M38">
        <f>VLOOKUP($C38,'2000 Place'!$C$2:$Y$523,14,FALSE)</f>
        <v>0</v>
      </c>
      <c r="N38">
        <f>VLOOKUP($C38,'2000 Place'!$C$2:$Y$523,15,FALSE)</f>
        <v>0</v>
      </c>
      <c r="O38">
        <f>VLOOKUP($C38,'2000 Place'!$C$2:$Y$523,16,FALSE)</f>
        <v>0</v>
      </c>
      <c r="P38">
        <f>VLOOKUP($C38,'2000 Place'!$C$2:$Y$523,17,FALSE)</f>
        <v>0</v>
      </c>
      <c r="Q38">
        <f>VLOOKUP($C38,'2000 Place'!$C$2:$Y$523,18,FALSE)</f>
        <v>0</v>
      </c>
      <c r="R38">
        <f>VLOOKUP($C38,'2000 Place'!$C$2:$Y$523,19,FALSE)</f>
        <v>0</v>
      </c>
      <c r="S38">
        <f>VLOOKUP($C38,'2000 Place'!$C$2:$Y$523,20,FALSE)</f>
        <v>0</v>
      </c>
      <c r="T38">
        <f>VLOOKUP($C38,'2000 Place'!$C$2:$Y$523,21,FALSE)</f>
        <v>0</v>
      </c>
      <c r="U38">
        <f>VLOOKUP($C38,'2000 Place'!$C$2:$Y$523,22,FALSE)</f>
        <v>28</v>
      </c>
      <c r="V38">
        <f>VLOOKUP($C38,'2000 Place'!$C$2:$Y$523,23,FALSE)</f>
        <v>0</v>
      </c>
    </row>
    <row r="39" spans="1:22" x14ac:dyDescent="0.25">
      <c r="A39" t="s">
        <v>322</v>
      </c>
      <c r="B39">
        <v>5304895</v>
      </c>
      <c r="C39" t="s">
        <v>323</v>
      </c>
      <c r="D39">
        <f>VLOOKUP($C39,'2000 Place'!$C$2:$Y$523,5,FALSE)</f>
        <v>312</v>
      </c>
      <c r="E39">
        <f>VLOOKUP($C39,'2000 Place'!$C$2:$Y$523,6,FALSE)</f>
        <v>274</v>
      </c>
      <c r="F39">
        <f>VLOOKUP($C39,'2000 Place'!$C$2:$Y$523,7,FALSE)</f>
        <v>38</v>
      </c>
      <c r="G39">
        <f>VLOOKUP($C39,'2000 Place'!$C$2:$Y$523,8,FALSE)</f>
        <v>268</v>
      </c>
      <c r="H39">
        <f>VLOOKUP($C39,'2000 Place'!$C$2:$Y$523,9,FALSE)</f>
        <v>32</v>
      </c>
      <c r="I39">
        <f>VLOOKUP($C39,'2000 Place'!$C$2:$Y$523,10,FALSE)</f>
        <v>0</v>
      </c>
      <c r="J39">
        <f>VLOOKUP($C39,'2000 Place'!$C$2:$Y$523,11,FALSE)</f>
        <v>0</v>
      </c>
      <c r="K39">
        <f>VLOOKUP($C39,'2000 Place'!$C$2:$Y$523,12,FALSE)</f>
        <v>0</v>
      </c>
      <c r="L39">
        <f>VLOOKUP($C39,'2000 Place'!$C$2:$Y$523,13,FALSE)</f>
        <v>0</v>
      </c>
      <c r="M39">
        <f>VLOOKUP($C39,'2000 Place'!$C$2:$Y$523,14,FALSE)</f>
        <v>0</v>
      </c>
      <c r="N39">
        <f>VLOOKUP($C39,'2000 Place'!$C$2:$Y$523,15,FALSE)</f>
        <v>0</v>
      </c>
      <c r="O39">
        <f>VLOOKUP($C39,'2000 Place'!$C$2:$Y$523,16,FALSE)</f>
        <v>6</v>
      </c>
      <c r="P39">
        <f>VLOOKUP($C39,'2000 Place'!$C$2:$Y$523,17,FALSE)</f>
        <v>6</v>
      </c>
      <c r="Q39">
        <f>VLOOKUP($C39,'2000 Place'!$C$2:$Y$523,18,FALSE)</f>
        <v>0</v>
      </c>
      <c r="R39">
        <f>VLOOKUP($C39,'2000 Place'!$C$2:$Y$523,19,FALSE)</f>
        <v>0</v>
      </c>
      <c r="S39">
        <f>VLOOKUP($C39,'2000 Place'!$C$2:$Y$523,20,FALSE)</f>
        <v>0</v>
      </c>
      <c r="T39">
        <f>VLOOKUP($C39,'2000 Place'!$C$2:$Y$523,21,FALSE)</f>
        <v>0</v>
      </c>
      <c r="U39">
        <f>VLOOKUP($C39,'2000 Place'!$C$2:$Y$523,22,FALSE)</f>
        <v>0</v>
      </c>
      <c r="V39">
        <f>VLOOKUP($C39,'2000 Place'!$C$2:$Y$523,23,FALSE)</f>
        <v>0</v>
      </c>
    </row>
    <row r="40" spans="1:22" x14ac:dyDescent="0.25">
      <c r="A40" t="s">
        <v>324</v>
      </c>
      <c r="B40">
        <v>5305140</v>
      </c>
      <c r="C40" t="s">
        <v>325</v>
      </c>
      <c r="D40" t="e">
        <f>VLOOKUP($C40,'2000 Place'!$C$2:$Y$523,5,FALSE)</f>
        <v>#N/A</v>
      </c>
      <c r="E40" t="e">
        <f>VLOOKUP($C40,'2000 Place'!$C$2:$Y$523,6,FALSE)</f>
        <v>#N/A</v>
      </c>
      <c r="F40" t="e">
        <f>VLOOKUP($C40,'2000 Place'!$C$2:$Y$523,7,FALSE)</f>
        <v>#N/A</v>
      </c>
      <c r="G40" t="e">
        <f>VLOOKUP($C40,'2000 Place'!$C$2:$Y$523,8,FALSE)</f>
        <v>#N/A</v>
      </c>
      <c r="H40" t="e">
        <f>VLOOKUP($C40,'2000 Place'!$C$2:$Y$523,9,FALSE)</f>
        <v>#N/A</v>
      </c>
      <c r="I40" t="e">
        <f>VLOOKUP($C40,'2000 Place'!$C$2:$Y$523,10,FALSE)</f>
        <v>#N/A</v>
      </c>
      <c r="J40" t="e">
        <f>VLOOKUP($C40,'2000 Place'!$C$2:$Y$523,11,FALSE)</f>
        <v>#N/A</v>
      </c>
      <c r="K40" t="e">
        <f>VLOOKUP($C40,'2000 Place'!$C$2:$Y$523,12,FALSE)</f>
        <v>#N/A</v>
      </c>
      <c r="L40" t="e">
        <f>VLOOKUP($C40,'2000 Place'!$C$2:$Y$523,13,FALSE)</f>
        <v>#N/A</v>
      </c>
      <c r="M40" t="e">
        <f>VLOOKUP($C40,'2000 Place'!$C$2:$Y$523,14,FALSE)</f>
        <v>#N/A</v>
      </c>
      <c r="N40" t="e">
        <f>VLOOKUP($C40,'2000 Place'!$C$2:$Y$523,15,FALSE)</f>
        <v>#N/A</v>
      </c>
      <c r="O40" t="e">
        <f>VLOOKUP($C40,'2000 Place'!$C$2:$Y$523,16,FALSE)</f>
        <v>#N/A</v>
      </c>
      <c r="P40" t="e">
        <f>VLOOKUP($C40,'2000 Place'!$C$2:$Y$523,17,FALSE)</f>
        <v>#N/A</v>
      </c>
      <c r="Q40" t="e">
        <f>VLOOKUP($C40,'2000 Place'!$C$2:$Y$523,18,FALSE)</f>
        <v>#N/A</v>
      </c>
      <c r="R40" t="e">
        <f>VLOOKUP($C40,'2000 Place'!$C$2:$Y$523,19,FALSE)</f>
        <v>#N/A</v>
      </c>
      <c r="S40" t="e">
        <f>VLOOKUP($C40,'2000 Place'!$C$2:$Y$523,20,FALSE)</f>
        <v>#N/A</v>
      </c>
      <c r="T40" t="e">
        <f>VLOOKUP($C40,'2000 Place'!$C$2:$Y$523,21,FALSE)</f>
        <v>#N/A</v>
      </c>
      <c r="U40" t="e">
        <f>VLOOKUP($C40,'2000 Place'!$C$2:$Y$523,22,FALSE)</f>
        <v>#N/A</v>
      </c>
      <c r="V40" t="e">
        <f>VLOOKUP($C40,'2000 Place'!$C$2:$Y$523,23,FALSE)</f>
        <v>#N/A</v>
      </c>
    </row>
    <row r="41" spans="1:22" x14ac:dyDescent="0.25">
      <c r="A41" t="s">
        <v>326</v>
      </c>
      <c r="B41">
        <v>5305210</v>
      </c>
      <c r="C41" t="s">
        <v>327</v>
      </c>
      <c r="D41">
        <f>VLOOKUP($C41,'2000 Place'!$C$2:$Y$523,5,FALSE) + VLOOKUP("West Lake Sammamish CDP, Washington",'2000 Place'!$C$2:$Y$523,5,FALSE)</f>
        <v>115172</v>
      </c>
      <c r="E41">
        <f>VLOOKUP($C41,'2000 Place'!$C$2:$Y$523,6,FALSE)+VLOOKUP("West Lake Sammamish CDP, Washington",'2000 Place'!$C$2:$Y$523,6,FALSE)</f>
        <v>86055</v>
      </c>
      <c r="F41">
        <f>VLOOKUP($C41,'2000 Place'!$C$2:$Y$523,7,FALSE) + VLOOKUP("West Lake Sammamish CDP, Washington",'2000 Place'!$C$2:$Y$523,7,FALSE)</f>
        <v>29117</v>
      </c>
      <c r="G41">
        <f>VLOOKUP($C41,'2000 Place'!$C$2:$Y$523,8,FALSE)+VLOOKUP("West Lake Sammamish CDP, Washington",'2000 Place'!$C$2:$Y$523,8,FALSE)</f>
        <v>73429</v>
      </c>
      <c r="H41">
        <f>VLOOKUP($C41,'2000 Place'!$C$2:$Y$523,9,FALSE)+VLOOKUP("West Lake Sammamish CDP, Washington",'2000 Place'!$C$2:$Y$523,9,FALSE)</f>
        <v>10045</v>
      </c>
      <c r="I41">
        <f>VLOOKUP($C41,'2000 Place'!$C$2:$Y$523,10,FALSE)+VLOOKUP("West Lake Sammamish CDP, Washington",'2000 Place'!$C$2:$Y$523,10,FALSE)</f>
        <v>1237</v>
      </c>
      <c r="J41">
        <f>VLOOKUP($C41,'2000 Place'!$C$2:$Y$523,11,FALSE)+VLOOKUP("West Lake Sammamish CDP, Washington",'2000 Place'!$C$2:$Y$523,11,FALSE)</f>
        <v>1312</v>
      </c>
      <c r="K41">
        <f>VLOOKUP($C41,'2000 Place'!$C$2:$Y$523,12,FALSE)+VLOOKUP("West Lake Sammamish CDP, Washington",'2000 Place'!$C$2:$Y$523,12,FALSE)</f>
        <v>1593</v>
      </c>
      <c r="L41">
        <f>VLOOKUP($C41,'2000 Place'!$C$2:$Y$523,13,FALSE)+VLOOKUP("West Lake Sammamish CDP, Washington",'2000 Place'!$C$2:$Y$523,13,FALSE)</f>
        <v>354</v>
      </c>
      <c r="M41">
        <f>VLOOKUP($C41,'2000 Place'!$C$2:$Y$523,14,FALSE)+VLOOKUP("West Lake Sammamish CDP, Washington",'2000 Place'!$C$2:$Y$523,14,FALSE)</f>
        <v>633</v>
      </c>
      <c r="N41">
        <f>VLOOKUP($C41,'2000 Place'!$C$2:$Y$523,15,FALSE)+VLOOKUP("West Lake Sammamish CDP, Washington",'2000 Place'!$C$2:$Y$523,15,FALSE)</f>
        <v>43</v>
      </c>
      <c r="O41">
        <f>VLOOKUP($C41,'2000 Place'!$C$2:$Y$523,16,FALSE)+VLOOKUP("Lea Hill CDP, Washington",'2000 Place'!$C$2:$Y$523,16,FALSE)</f>
        <v>5435</v>
      </c>
      <c r="P41">
        <f>VLOOKUP($C41,'2000 Place'!$C$2:$Y$523,17,FALSE)+VLOOKUP("Lea Hill CDP, Washington",'2000 Place'!$C$2:$Y$523,17,FALSE)</f>
        <v>13912</v>
      </c>
      <c r="Q41">
        <f>VLOOKUP($C41,'2000 Place'!$C$2:$Y$523,18,FALSE)+VLOOKUP("Lea Hill CDP, Washington",'2000 Place'!$C$2:$Y$523,18,FALSE)</f>
        <v>98</v>
      </c>
      <c r="R41">
        <f>VLOOKUP($C41,'2000 Place'!$C$2:$Y$523,19,FALSE)+VLOOKUP("Lea Hill CDP, Washington",'2000 Place'!$C$2:$Y$523,19,FALSE)</f>
        <v>160</v>
      </c>
      <c r="S41">
        <f>VLOOKUP($C41,'2000 Place'!$C$2:$Y$523,20,FALSE)+VLOOKUP("Lea Hill CDP, Washington",'2000 Place'!$C$2:$Y$523,20,FALSE)</f>
        <v>958</v>
      </c>
      <c r="T41">
        <f>VLOOKUP($C41,'2000 Place'!$C$2:$Y$523,21,FALSE)+VLOOKUP("Lea Hill CDP, Washington",'2000 Place'!$C$2:$Y$523,21,FALSE)</f>
        <v>2129</v>
      </c>
      <c r="U41">
        <f>VLOOKUP($C41,'2000 Place'!$C$2:$Y$523,22,FALSE)+VLOOKUP("Lea Hill CDP, Washington",'2000 Place'!$C$2:$Y$523,22,FALSE)</f>
        <v>2979</v>
      </c>
      <c r="V41">
        <f>VLOOKUP($C41,'2000 Place'!$C$2:$Y$523,23,FALSE)+VLOOKUP("Lea Hill CDP, Washington",'2000 Place'!$C$2:$Y$523,23,FALSE)</f>
        <v>1299</v>
      </c>
    </row>
    <row r="42" spans="1:22" x14ac:dyDescent="0.25">
      <c r="A42" t="s">
        <v>328</v>
      </c>
      <c r="B42">
        <v>5305245</v>
      </c>
      <c r="C42" t="s">
        <v>329</v>
      </c>
      <c r="D42">
        <f>VLOOKUP($C42,'2000 Place'!$C$2:$Y$523,5,FALSE)</f>
        <v>831</v>
      </c>
      <c r="E42">
        <f>VLOOKUP($C42,'2000 Place'!$C$2:$Y$523,6,FALSE)</f>
        <v>741</v>
      </c>
      <c r="F42">
        <f>VLOOKUP($C42,'2000 Place'!$C$2:$Y$523,7,FALSE)</f>
        <v>90</v>
      </c>
      <c r="G42">
        <f>VLOOKUP($C42,'2000 Place'!$C$2:$Y$523,8,FALSE)</f>
        <v>689</v>
      </c>
      <c r="H42">
        <f>VLOOKUP($C42,'2000 Place'!$C$2:$Y$523,9,FALSE)</f>
        <v>77</v>
      </c>
      <c r="I42">
        <f>VLOOKUP($C42,'2000 Place'!$C$2:$Y$523,10,FALSE)</f>
        <v>0</v>
      </c>
      <c r="J42">
        <f>VLOOKUP($C42,'2000 Place'!$C$2:$Y$523,11,FALSE)</f>
        <v>0</v>
      </c>
      <c r="K42">
        <f>VLOOKUP($C42,'2000 Place'!$C$2:$Y$523,12,FALSE)</f>
        <v>0</v>
      </c>
      <c r="L42">
        <f>VLOOKUP($C42,'2000 Place'!$C$2:$Y$523,13,FALSE)</f>
        <v>0</v>
      </c>
      <c r="M42">
        <f>VLOOKUP($C42,'2000 Place'!$C$2:$Y$523,14,FALSE)</f>
        <v>6</v>
      </c>
      <c r="N42">
        <f>VLOOKUP($C42,'2000 Place'!$C$2:$Y$523,15,FALSE)</f>
        <v>0</v>
      </c>
      <c r="O42">
        <f>VLOOKUP($C42,'2000 Place'!$C$2:$Y$523,16,FALSE)</f>
        <v>14</v>
      </c>
      <c r="P42">
        <f>VLOOKUP($C42,'2000 Place'!$C$2:$Y$523,17,FALSE)</f>
        <v>13</v>
      </c>
      <c r="Q42">
        <f>VLOOKUP($C42,'2000 Place'!$C$2:$Y$523,18,FALSE)</f>
        <v>0</v>
      </c>
      <c r="R42">
        <f>VLOOKUP($C42,'2000 Place'!$C$2:$Y$523,19,FALSE)</f>
        <v>0</v>
      </c>
      <c r="S42">
        <f>VLOOKUP($C42,'2000 Place'!$C$2:$Y$523,20,FALSE)</f>
        <v>0</v>
      </c>
      <c r="T42">
        <f>VLOOKUP($C42,'2000 Place'!$C$2:$Y$523,21,FALSE)</f>
        <v>0</v>
      </c>
      <c r="U42">
        <f>VLOOKUP($C42,'2000 Place'!$C$2:$Y$523,22,FALSE)</f>
        <v>32</v>
      </c>
      <c r="V42">
        <f>VLOOKUP($C42,'2000 Place'!$C$2:$Y$523,23,FALSE)</f>
        <v>0</v>
      </c>
    </row>
    <row r="43" spans="1:22" x14ac:dyDescent="0.25">
      <c r="A43" t="s">
        <v>330</v>
      </c>
      <c r="B43">
        <v>5305280</v>
      </c>
      <c r="C43" t="s">
        <v>331</v>
      </c>
      <c r="D43">
        <f>VLOOKUP($C43,'2000 Place'!$C$2:$Y$523,5,FALSE)</f>
        <v>66815</v>
      </c>
      <c r="E43">
        <f>VLOOKUP($C43,'2000 Place'!$C$2:$Y$523,6,FALSE)</f>
        <v>59575</v>
      </c>
      <c r="F43">
        <f>VLOOKUP($C43,'2000 Place'!$C$2:$Y$523,7,FALSE)</f>
        <v>7240</v>
      </c>
      <c r="G43">
        <f>VLOOKUP($C43,'2000 Place'!$C$2:$Y$523,8,FALSE)</f>
        <v>53261</v>
      </c>
      <c r="H43">
        <f>VLOOKUP($C43,'2000 Place'!$C$2:$Y$523,9,FALSE)</f>
        <v>4085</v>
      </c>
      <c r="I43">
        <f>VLOOKUP($C43,'2000 Place'!$C$2:$Y$523,10,FALSE)</f>
        <v>1154</v>
      </c>
      <c r="J43">
        <f>VLOOKUP($C43,'2000 Place'!$C$2:$Y$523,11,FALSE)</f>
        <v>309</v>
      </c>
      <c r="K43">
        <f>VLOOKUP($C43,'2000 Place'!$C$2:$Y$523,12,FALSE)</f>
        <v>525</v>
      </c>
      <c r="L43">
        <f>VLOOKUP($C43,'2000 Place'!$C$2:$Y$523,13,FALSE)</f>
        <v>7</v>
      </c>
      <c r="M43">
        <f>VLOOKUP($C43,'2000 Place'!$C$2:$Y$523,14,FALSE)</f>
        <v>975</v>
      </c>
      <c r="N43">
        <f>VLOOKUP($C43,'2000 Place'!$C$2:$Y$523,15,FALSE)</f>
        <v>31</v>
      </c>
      <c r="O43">
        <f>VLOOKUP($C43,'2000 Place'!$C$2:$Y$523,16,FALSE)</f>
        <v>832</v>
      </c>
      <c r="P43">
        <f>VLOOKUP($C43,'2000 Place'!$C$2:$Y$523,17,FALSE)</f>
        <v>1848</v>
      </c>
      <c r="Q43">
        <f>VLOOKUP($C43,'2000 Place'!$C$2:$Y$523,18,FALSE)</f>
        <v>65</v>
      </c>
      <c r="R43">
        <f>VLOOKUP($C43,'2000 Place'!$C$2:$Y$523,19,FALSE)</f>
        <v>15</v>
      </c>
      <c r="S43">
        <f>VLOOKUP($C43,'2000 Place'!$C$2:$Y$523,20,FALSE)</f>
        <v>753</v>
      </c>
      <c r="T43">
        <f>VLOOKUP($C43,'2000 Place'!$C$2:$Y$523,21,FALSE)</f>
        <v>656</v>
      </c>
      <c r="U43">
        <f>VLOOKUP($C43,'2000 Place'!$C$2:$Y$523,22,FALSE)</f>
        <v>2010</v>
      </c>
      <c r="V43">
        <f>VLOOKUP($C43,'2000 Place'!$C$2:$Y$523,23,FALSE)</f>
        <v>289</v>
      </c>
    </row>
    <row r="44" spans="1:22" x14ac:dyDescent="0.25">
      <c r="A44" t="s">
        <v>332</v>
      </c>
      <c r="B44">
        <v>5305560</v>
      </c>
      <c r="C44" t="s">
        <v>333</v>
      </c>
      <c r="D44">
        <f>VLOOKUP($C44,'2000 Place'!$C$2:$Y$523,5,FALSE)</f>
        <v>2533</v>
      </c>
      <c r="E44">
        <f>VLOOKUP($C44,'2000 Place'!$C$2:$Y$523,6,FALSE)</f>
        <v>2317</v>
      </c>
      <c r="F44">
        <f>VLOOKUP($C44,'2000 Place'!$C$2:$Y$523,7,FALSE)</f>
        <v>216</v>
      </c>
      <c r="G44">
        <f>VLOOKUP($C44,'2000 Place'!$C$2:$Y$523,8,FALSE)</f>
        <v>2037</v>
      </c>
      <c r="H44">
        <f>VLOOKUP($C44,'2000 Place'!$C$2:$Y$523,9,FALSE)</f>
        <v>17</v>
      </c>
      <c r="I44">
        <f>VLOOKUP($C44,'2000 Place'!$C$2:$Y$523,10,FALSE)</f>
        <v>68</v>
      </c>
      <c r="J44">
        <f>VLOOKUP($C44,'2000 Place'!$C$2:$Y$523,11,FALSE)</f>
        <v>103</v>
      </c>
      <c r="K44">
        <f>VLOOKUP($C44,'2000 Place'!$C$2:$Y$523,12,FALSE)</f>
        <v>0</v>
      </c>
      <c r="L44">
        <f>VLOOKUP($C44,'2000 Place'!$C$2:$Y$523,13,FALSE)</f>
        <v>0</v>
      </c>
      <c r="M44">
        <f>VLOOKUP($C44,'2000 Place'!$C$2:$Y$523,14,FALSE)</f>
        <v>36</v>
      </c>
      <c r="N44">
        <f>VLOOKUP($C44,'2000 Place'!$C$2:$Y$523,15,FALSE)</f>
        <v>6</v>
      </c>
      <c r="O44">
        <f>VLOOKUP($C44,'2000 Place'!$C$2:$Y$523,16,FALSE)</f>
        <v>0</v>
      </c>
      <c r="P44">
        <f>VLOOKUP($C44,'2000 Place'!$C$2:$Y$523,17,FALSE)</f>
        <v>6</v>
      </c>
      <c r="Q44">
        <f>VLOOKUP($C44,'2000 Place'!$C$2:$Y$523,18,FALSE)</f>
        <v>0</v>
      </c>
      <c r="R44">
        <f>VLOOKUP($C44,'2000 Place'!$C$2:$Y$523,19,FALSE)</f>
        <v>0</v>
      </c>
      <c r="S44">
        <f>VLOOKUP($C44,'2000 Place'!$C$2:$Y$523,20,FALSE)</f>
        <v>98</v>
      </c>
      <c r="T44">
        <f>VLOOKUP($C44,'2000 Place'!$C$2:$Y$523,21,FALSE)</f>
        <v>77</v>
      </c>
      <c r="U44">
        <f>VLOOKUP($C44,'2000 Place'!$C$2:$Y$523,22,FALSE)</f>
        <v>78</v>
      </c>
      <c r="V44">
        <f>VLOOKUP($C44,'2000 Place'!$C$2:$Y$523,23,FALSE)</f>
        <v>7</v>
      </c>
    </row>
    <row r="45" spans="1:22" x14ac:dyDescent="0.25">
      <c r="A45" t="s">
        <v>334</v>
      </c>
      <c r="B45">
        <v>5305735</v>
      </c>
      <c r="C45" t="s">
        <v>335</v>
      </c>
      <c r="D45" t="e">
        <f>VLOOKUP($C45,'2000 Place'!$C$2:$Y$523,5,FALSE)</f>
        <v>#N/A</v>
      </c>
      <c r="E45" t="e">
        <f>VLOOKUP($C45,'2000 Place'!$C$2:$Y$523,6,FALSE)</f>
        <v>#N/A</v>
      </c>
      <c r="F45" t="e">
        <f>VLOOKUP($C45,'2000 Place'!$C$2:$Y$523,7,FALSE)</f>
        <v>#N/A</v>
      </c>
      <c r="G45" t="e">
        <f>VLOOKUP($C45,'2000 Place'!$C$2:$Y$523,8,FALSE)</f>
        <v>#N/A</v>
      </c>
      <c r="H45" t="e">
        <f>VLOOKUP($C45,'2000 Place'!$C$2:$Y$523,9,FALSE)</f>
        <v>#N/A</v>
      </c>
      <c r="I45" t="e">
        <f>VLOOKUP($C45,'2000 Place'!$C$2:$Y$523,10,FALSE)</f>
        <v>#N/A</v>
      </c>
      <c r="J45" t="e">
        <f>VLOOKUP($C45,'2000 Place'!$C$2:$Y$523,11,FALSE)</f>
        <v>#N/A</v>
      </c>
      <c r="K45" t="e">
        <f>VLOOKUP($C45,'2000 Place'!$C$2:$Y$523,12,FALSE)</f>
        <v>#N/A</v>
      </c>
      <c r="L45" t="e">
        <f>VLOOKUP($C45,'2000 Place'!$C$2:$Y$523,13,FALSE)</f>
        <v>#N/A</v>
      </c>
      <c r="M45" t="e">
        <f>VLOOKUP($C45,'2000 Place'!$C$2:$Y$523,14,FALSE)</f>
        <v>#N/A</v>
      </c>
      <c r="N45" t="e">
        <f>VLOOKUP($C45,'2000 Place'!$C$2:$Y$523,15,FALSE)</f>
        <v>#N/A</v>
      </c>
      <c r="O45" t="e">
        <f>VLOOKUP($C45,'2000 Place'!$C$2:$Y$523,16,FALSE)</f>
        <v>#N/A</v>
      </c>
      <c r="P45" t="e">
        <f>VLOOKUP($C45,'2000 Place'!$C$2:$Y$523,17,FALSE)</f>
        <v>#N/A</v>
      </c>
      <c r="Q45" t="e">
        <f>VLOOKUP($C45,'2000 Place'!$C$2:$Y$523,18,FALSE)</f>
        <v>#N/A</v>
      </c>
      <c r="R45" t="e">
        <f>VLOOKUP($C45,'2000 Place'!$C$2:$Y$523,19,FALSE)</f>
        <v>#N/A</v>
      </c>
      <c r="S45" t="e">
        <f>VLOOKUP($C45,'2000 Place'!$C$2:$Y$523,20,FALSE)</f>
        <v>#N/A</v>
      </c>
      <c r="T45" t="e">
        <f>VLOOKUP($C45,'2000 Place'!$C$2:$Y$523,21,FALSE)</f>
        <v>#N/A</v>
      </c>
      <c r="U45" t="e">
        <f>VLOOKUP($C45,'2000 Place'!$C$2:$Y$523,22,FALSE)</f>
        <v>#N/A</v>
      </c>
      <c r="V45" t="e">
        <f>VLOOKUP($C45,'2000 Place'!$C$2:$Y$523,23,FALSE)</f>
        <v>#N/A</v>
      </c>
    </row>
    <row r="46" spans="1:22" x14ac:dyDescent="0.25">
      <c r="A46" t="s">
        <v>336</v>
      </c>
      <c r="B46">
        <v>5305980</v>
      </c>
      <c r="C46" t="s">
        <v>337</v>
      </c>
      <c r="D46">
        <f>VLOOKUP($C46,'2000 Place'!$C$2:$Y$523,5,FALSE)</f>
        <v>99</v>
      </c>
      <c r="E46">
        <f>VLOOKUP($C46,'2000 Place'!$C$2:$Y$523,6,FALSE)</f>
        <v>96</v>
      </c>
      <c r="F46">
        <f>VLOOKUP($C46,'2000 Place'!$C$2:$Y$523,7,FALSE)</f>
        <v>3</v>
      </c>
      <c r="G46">
        <f>VLOOKUP($C46,'2000 Place'!$C$2:$Y$523,8,FALSE)</f>
        <v>88</v>
      </c>
      <c r="H46">
        <f>VLOOKUP($C46,'2000 Place'!$C$2:$Y$523,9,FALSE)</f>
        <v>3</v>
      </c>
      <c r="I46">
        <f>VLOOKUP($C46,'2000 Place'!$C$2:$Y$523,10,FALSE)</f>
        <v>0</v>
      </c>
      <c r="J46">
        <f>VLOOKUP($C46,'2000 Place'!$C$2:$Y$523,11,FALSE)</f>
        <v>0</v>
      </c>
      <c r="K46">
        <f>VLOOKUP($C46,'2000 Place'!$C$2:$Y$523,12,FALSE)</f>
        <v>0</v>
      </c>
      <c r="L46">
        <f>VLOOKUP($C46,'2000 Place'!$C$2:$Y$523,13,FALSE)</f>
        <v>0</v>
      </c>
      <c r="M46">
        <f>VLOOKUP($C46,'2000 Place'!$C$2:$Y$523,14,FALSE)</f>
        <v>8</v>
      </c>
      <c r="N46">
        <f>VLOOKUP($C46,'2000 Place'!$C$2:$Y$523,15,FALSE)</f>
        <v>0</v>
      </c>
      <c r="O46">
        <f>VLOOKUP($C46,'2000 Place'!$C$2:$Y$523,16,FALSE)</f>
        <v>0</v>
      </c>
      <c r="P46">
        <f>VLOOKUP($C46,'2000 Place'!$C$2:$Y$523,17,FALSE)</f>
        <v>0</v>
      </c>
      <c r="Q46">
        <f>VLOOKUP($C46,'2000 Place'!$C$2:$Y$523,18,FALSE)</f>
        <v>0</v>
      </c>
      <c r="R46">
        <f>VLOOKUP($C46,'2000 Place'!$C$2:$Y$523,19,FALSE)</f>
        <v>0</v>
      </c>
      <c r="S46">
        <f>VLOOKUP($C46,'2000 Place'!$C$2:$Y$523,20,FALSE)</f>
        <v>0</v>
      </c>
      <c r="T46">
        <f>VLOOKUP($C46,'2000 Place'!$C$2:$Y$523,21,FALSE)</f>
        <v>0</v>
      </c>
      <c r="U46">
        <f>VLOOKUP($C46,'2000 Place'!$C$2:$Y$523,22,FALSE)</f>
        <v>0</v>
      </c>
      <c r="V46">
        <f>VLOOKUP($C46,'2000 Place'!$C$2:$Y$523,23,FALSE)</f>
        <v>0</v>
      </c>
    </row>
    <row r="47" spans="1:22" x14ac:dyDescent="0.25">
      <c r="A47" t="s">
        <v>338</v>
      </c>
      <c r="B47">
        <v>5306050</v>
      </c>
      <c r="C47" t="s">
        <v>339</v>
      </c>
      <c r="D47">
        <f>VLOOKUP($C47,'2000 Place'!$C$2:$Y$523,5,FALSE)</f>
        <v>1366</v>
      </c>
      <c r="E47">
        <f>VLOOKUP($C47,'2000 Place'!$C$2:$Y$523,6,FALSE)</f>
        <v>1339</v>
      </c>
      <c r="F47">
        <f>VLOOKUP($C47,'2000 Place'!$C$2:$Y$523,7,FALSE)</f>
        <v>27</v>
      </c>
      <c r="G47">
        <f>VLOOKUP($C47,'2000 Place'!$C$2:$Y$523,8,FALSE)</f>
        <v>1229</v>
      </c>
      <c r="H47">
        <f>VLOOKUP($C47,'2000 Place'!$C$2:$Y$523,9,FALSE)</f>
        <v>20</v>
      </c>
      <c r="I47">
        <f>VLOOKUP($C47,'2000 Place'!$C$2:$Y$523,10,FALSE)</f>
        <v>33</v>
      </c>
      <c r="J47">
        <f>VLOOKUP($C47,'2000 Place'!$C$2:$Y$523,11,FALSE)</f>
        <v>0</v>
      </c>
      <c r="K47">
        <f>VLOOKUP($C47,'2000 Place'!$C$2:$Y$523,12,FALSE)</f>
        <v>0</v>
      </c>
      <c r="L47">
        <f>VLOOKUP($C47,'2000 Place'!$C$2:$Y$523,13,FALSE)</f>
        <v>0</v>
      </c>
      <c r="M47">
        <f>VLOOKUP($C47,'2000 Place'!$C$2:$Y$523,14,FALSE)</f>
        <v>0</v>
      </c>
      <c r="N47">
        <f>VLOOKUP($C47,'2000 Place'!$C$2:$Y$523,15,FALSE)</f>
        <v>0</v>
      </c>
      <c r="O47">
        <f>VLOOKUP($C47,'2000 Place'!$C$2:$Y$523,16,FALSE)</f>
        <v>0</v>
      </c>
      <c r="P47">
        <f>VLOOKUP($C47,'2000 Place'!$C$2:$Y$523,17,FALSE)</f>
        <v>0</v>
      </c>
      <c r="Q47">
        <f>VLOOKUP($C47,'2000 Place'!$C$2:$Y$523,18,FALSE)</f>
        <v>0</v>
      </c>
      <c r="R47">
        <f>VLOOKUP($C47,'2000 Place'!$C$2:$Y$523,19,FALSE)</f>
        <v>0</v>
      </c>
      <c r="S47">
        <f>VLOOKUP($C47,'2000 Place'!$C$2:$Y$523,20,FALSE)</f>
        <v>43</v>
      </c>
      <c r="T47">
        <f>VLOOKUP($C47,'2000 Place'!$C$2:$Y$523,21,FALSE)</f>
        <v>0</v>
      </c>
      <c r="U47">
        <f>VLOOKUP($C47,'2000 Place'!$C$2:$Y$523,22,FALSE)</f>
        <v>34</v>
      </c>
      <c r="V47">
        <f>VLOOKUP($C47,'2000 Place'!$C$2:$Y$523,23,FALSE)</f>
        <v>7</v>
      </c>
    </row>
    <row r="48" spans="1:22" x14ac:dyDescent="0.25">
      <c r="A48" t="s">
        <v>340</v>
      </c>
      <c r="B48">
        <v>5306085</v>
      </c>
      <c r="C48" t="s">
        <v>341</v>
      </c>
      <c r="D48">
        <f>VLOOKUP($C48,'2000 Place'!$C$2:$Y$523,5,FALSE)</f>
        <v>657</v>
      </c>
      <c r="E48">
        <f>VLOOKUP($C48,'2000 Place'!$C$2:$Y$523,6,FALSE)</f>
        <v>553</v>
      </c>
      <c r="F48">
        <f>VLOOKUP($C48,'2000 Place'!$C$2:$Y$523,7,FALSE)</f>
        <v>104</v>
      </c>
      <c r="G48">
        <f>VLOOKUP($C48,'2000 Place'!$C$2:$Y$523,8,FALSE)</f>
        <v>460</v>
      </c>
      <c r="H48">
        <f>VLOOKUP($C48,'2000 Place'!$C$2:$Y$523,9,FALSE)</f>
        <v>6</v>
      </c>
      <c r="I48">
        <f>VLOOKUP($C48,'2000 Place'!$C$2:$Y$523,10,FALSE)</f>
        <v>18</v>
      </c>
      <c r="J48">
        <f>VLOOKUP($C48,'2000 Place'!$C$2:$Y$523,11,FALSE)</f>
        <v>7</v>
      </c>
      <c r="K48">
        <f>VLOOKUP($C48,'2000 Place'!$C$2:$Y$523,12,FALSE)</f>
        <v>2</v>
      </c>
      <c r="L48">
        <f>VLOOKUP($C48,'2000 Place'!$C$2:$Y$523,13,FALSE)</f>
        <v>0</v>
      </c>
      <c r="M48">
        <f>VLOOKUP($C48,'2000 Place'!$C$2:$Y$523,14,FALSE)</f>
        <v>8</v>
      </c>
      <c r="N48">
        <f>VLOOKUP($C48,'2000 Place'!$C$2:$Y$523,15,FALSE)</f>
        <v>0</v>
      </c>
      <c r="O48">
        <f>VLOOKUP($C48,'2000 Place'!$C$2:$Y$523,16,FALSE)</f>
        <v>7</v>
      </c>
      <c r="P48">
        <f>VLOOKUP($C48,'2000 Place'!$C$2:$Y$523,17,FALSE)</f>
        <v>4</v>
      </c>
      <c r="Q48">
        <f>VLOOKUP($C48,'2000 Place'!$C$2:$Y$523,18,FALSE)</f>
        <v>0</v>
      </c>
      <c r="R48">
        <f>VLOOKUP($C48,'2000 Place'!$C$2:$Y$523,19,FALSE)</f>
        <v>0</v>
      </c>
      <c r="S48">
        <f>VLOOKUP($C48,'2000 Place'!$C$2:$Y$523,20,FALSE)</f>
        <v>38</v>
      </c>
      <c r="T48">
        <f>VLOOKUP($C48,'2000 Place'!$C$2:$Y$523,21,FALSE)</f>
        <v>82</v>
      </c>
      <c r="U48">
        <f>VLOOKUP($C48,'2000 Place'!$C$2:$Y$523,22,FALSE)</f>
        <v>20</v>
      </c>
      <c r="V48">
        <f>VLOOKUP($C48,'2000 Place'!$C$2:$Y$523,23,FALSE)</f>
        <v>5</v>
      </c>
    </row>
    <row r="49" spans="1:22" x14ac:dyDescent="0.25">
      <c r="A49" t="s">
        <v>342</v>
      </c>
      <c r="B49">
        <v>5306190</v>
      </c>
      <c r="C49" t="s">
        <v>343</v>
      </c>
      <c r="D49">
        <f>VLOOKUP($C49,'2000 Place'!$C$2:$Y$523,5,FALSE)</f>
        <v>4970</v>
      </c>
      <c r="E49">
        <f>VLOOKUP($C49,'2000 Place'!$C$2:$Y$523,6,FALSE)</f>
        <v>4115</v>
      </c>
      <c r="F49">
        <f>VLOOKUP($C49,'2000 Place'!$C$2:$Y$523,7,FALSE)</f>
        <v>855</v>
      </c>
      <c r="G49">
        <f>VLOOKUP($C49,'2000 Place'!$C$2:$Y$523,8,FALSE)</f>
        <v>3672</v>
      </c>
      <c r="H49">
        <f>VLOOKUP($C49,'2000 Place'!$C$2:$Y$523,9,FALSE)</f>
        <v>735</v>
      </c>
      <c r="I49">
        <f>VLOOKUP($C49,'2000 Place'!$C$2:$Y$523,10,FALSE)</f>
        <v>62</v>
      </c>
      <c r="J49">
        <f>VLOOKUP($C49,'2000 Place'!$C$2:$Y$523,11,FALSE)</f>
        <v>0</v>
      </c>
      <c r="K49">
        <f>VLOOKUP($C49,'2000 Place'!$C$2:$Y$523,12,FALSE)</f>
        <v>119</v>
      </c>
      <c r="L49">
        <f>VLOOKUP($C49,'2000 Place'!$C$2:$Y$523,13,FALSE)</f>
        <v>0</v>
      </c>
      <c r="M49">
        <f>VLOOKUP($C49,'2000 Place'!$C$2:$Y$523,14,FALSE)</f>
        <v>69</v>
      </c>
      <c r="N49">
        <f>VLOOKUP($C49,'2000 Place'!$C$2:$Y$523,15,FALSE)</f>
        <v>0</v>
      </c>
      <c r="O49">
        <f>VLOOKUP($C49,'2000 Place'!$C$2:$Y$523,16,FALSE)</f>
        <v>0</v>
      </c>
      <c r="P49">
        <f>VLOOKUP($C49,'2000 Place'!$C$2:$Y$523,17,FALSE)</f>
        <v>30</v>
      </c>
      <c r="Q49">
        <f>VLOOKUP($C49,'2000 Place'!$C$2:$Y$523,18,FALSE)</f>
        <v>0</v>
      </c>
      <c r="R49">
        <f>VLOOKUP($C49,'2000 Place'!$C$2:$Y$523,19,FALSE)</f>
        <v>0</v>
      </c>
      <c r="S49">
        <f>VLOOKUP($C49,'2000 Place'!$C$2:$Y$523,20,FALSE)</f>
        <v>106</v>
      </c>
      <c r="T49">
        <f>VLOOKUP($C49,'2000 Place'!$C$2:$Y$523,21,FALSE)</f>
        <v>83</v>
      </c>
      <c r="U49">
        <f>VLOOKUP($C49,'2000 Place'!$C$2:$Y$523,22,FALSE)</f>
        <v>87</v>
      </c>
      <c r="V49">
        <f>VLOOKUP($C49,'2000 Place'!$C$2:$Y$523,23,FALSE)</f>
        <v>7</v>
      </c>
    </row>
    <row r="50" spans="1:22" x14ac:dyDescent="0.25">
      <c r="A50" t="s">
        <v>344</v>
      </c>
      <c r="B50">
        <v>5306330</v>
      </c>
      <c r="C50" t="s">
        <v>345</v>
      </c>
      <c r="D50">
        <f>VLOOKUP($C50,'2000 Place'!$C$2:$Y$523,5,FALSE)</f>
        <v>3919</v>
      </c>
      <c r="E50">
        <f>VLOOKUP($C50,'2000 Place'!$C$2:$Y$523,6,FALSE)</f>
        <v>3696</v>
      </c>
      <c r="F50">
        <f>VLOOKUP($C50,'2000 Place'!$C$2:$Y$523,7,FALSE)</f>
        <v>223</v>
      </c>
      <c r="G50">
        <f>VLOOKUP($C50,'2000 Place'!$C$2:$Y$523,8,FALSE)</f>
        <v>3274</v>
      </c>
      <c r="H50">
        <f>VLOOKUP($C50,'2000 Place'!$C$2:$Y$523,9,FALSE)</f>
        <v>106</v>
      </c>
      <c r="I50">
        <f>VLOOKUP($C50,'2000 Place'!$C$2:$Y$523,10,FALSE)</f>
        <v>125</v>
      </c>
      <c r="J50">
        <f>VLOOKUP($C50,'2000 Place'!$C$2:$Y$523,11,FALSE)</f>
        <v>67</v>
      </c>
      <c r="K50">
        <f>VLOOKUP($C50,'2000 Place'!$C$2:$Y$523,12,FALSE)</f>
        <v>0</v>
      </c>
      <c r="L50">
        <f>VLOOKUP($C50,'2000 Place'!$C$2:$Y$523,13,FALSE)</f>
        <v>0</v>
      </c>
      <c r="M50">
        <f>VLOOKUP($C50,'2000 Place'!$C$2:$Y$523,14,FALSE)</f>
        <v>129</v>
      </c>
      <c r="N50">
        <f>VLOOKUP($C50,'2000 Place'!$C$2:$Y$523,15,FALSE)</f>
        <v>0</v>
      </c>
      <c r="O50">
        <f>VLOOKUP($C50,'2000 Place'!$C$2:$Y$523,16,FALSE)</f>
        <v>37</v>
      </c>
      <c r="P50">
        <f>VLOOKUP($C50,'2000 Place'!$C$2:$Y$523,17,FALSE)</f>
        <v>41</v>
      </c>
      <c r="Q50">
        <f>VLOOKUP($C50,'2000 Place'!$C$2:$Y$523,18,FALSE)</f>
        <v>0</v>
      </c>
      <c r="R50">
        <f>VLOOKUP($C50,'2000 Place'!$C$2:$Y$523,19,FALSE)</f>
        <v>6</v>
      </c>
      <c r="S50">
        <f>VLOOKUP($C50,'2000 Place'!$C$2:$Y$523,20,FALSE)</f>
        <v>65</v>
      </c>
      <c r="T50">
        <f>VLOOKUP($C50,'2000 Place'!$C$2:$Y$523,21,FALSE)</f>
        <v>0</v>
      </c>
      <c r="U50">
        <f>VLOOKUP($C50,'2000 Place'!$C$2:$Y$523,22,FALSE)</f>
        <v>66</v>
      </c>
      <c r="V50">
        <f>VLOOKUP($C50,'2000 Place'!$C$2:$Y$523,23,FALSE)</f>
        <v>3</v>
      </c>
    </row>
    <row r="51" spans="1:22" x14ac:dyDescent="0.25">
      <c r="A51" t="s">
        <v>346</v>
      </c>
      <c r="B51">
        <v>5306505</v>
      </c>
      <c r="C51" t="s">
        <v>347</v>
      </c>
      <c r="D51">
        <f>VLOOKUP($C51,'2000 Place'!$C$2:$Y$523,5,FALSE)</f>
        <v>3713</v>
      </c>
      <c r="E51">
        <f>VLOOKUP($C51,'2000 Place'!$C$2:$Y$523,6,FALSE)</f>
        <v>2883</v>
      </c>
      <c r="F51">
        <f>VLOOKUP($C51,'2000 Place'!$C$2:$Y$523,7,FALSE)</f>
        <v>830</v>
      </c>
      <c r="G51">
        <f>VLOOKUP($C51,'2000 Place'!$C$2:$Y$523,8,FALSE)</f>
        <v>2603</v>
      </c>
      <c r="H51">
        <f>VLOOKUP($C51,'2000 Place'!$C$2:$Y$523,9,FALSE)</f>
        <v>580</v>
      </c>
      <c r="I51">
        <f>VLOOKUP($C51,'2000 Place'!$C$2:$Y$523,10,FALSE)</f>
        <v>36</v>
      </c>
      <c r="J51">
        <f>VLOOKUP($C51,'2000 Place'!$C$2:$Y$523,11,FALSE)</f>
        <v>0</v>
      </c>
      <c r="K51">
        <f>VLOOKUP($C51,'2000 Place'!$C$2:$Y$523,12,FALSE)</f>
        <v>106</v>
      </c>
      <c r="L51">
        <f>VLOOKUP($C51,'2000 Place'!$C$2:$Y$523,13,FALSE)</f>
        <v>23</v>
      </c>
      <c r="M51">
        <f>VLOOKUP($C51,'2000 Place'!$C$2:$Y$523,14,FALSE)</f>
        <v>22</v>
      </c>
      <c r="N51">
        <f>VLOOKUP($C51,'2000 Place'!$C$2:$Y$523,15,FALSE)</f>
        <v>0</v>
      </c>
      <c r="O51">
        <f>VLOOKUP($C51,'2000 Place'!$C$2:$Y$523,16,FALSE)</f>
        <v>0</v>
      </c>
      <c r="P51">
        <f>VLOOKUP($C51,'2000 Place'!$C$2:$Y$523,17,FALSE)</f>
        <v>70</v>
      </c>
      <c r="Q51">
        <f>VLOOKUP($C51,'2000 Place'!$C$2:$Y$523,18,FALSE)</f>
        <v>0</v>
      </c>
      <c r="R51">
        <f>VLOOKUP($C51,'2000 Place'!$C$2:$Y$523,19,FALSE)</f>
        <v>0</v>
      </c>
      <c r="S51">
        <f>VLOOKUP($C51,'2000 Place'!$C$2:$Y$523,20,FALSE)</f>
        <v>44</v>
      </c>
      <c r="T51">
        <f>VLOOKUP($C51,'2000 Place'!$C$2:$Y$523,21,FALSE)</f>
        <v>44</v>
      </c>
      <c r="U51">
        <f>VLOOKUP($C51,'2000 Place'!$C$2:$Y$523,22,FALSE)</f>
        <v>72</v>
      </c>
      <c r="V51">
        <f>VLOOKUP($C51,'2000 Place'!$C$2:$Y$523,23,FALSE)</f>
        <v>113</v>
      </c>
    </row>
    <row r="52" spans="1:22" x14ac:dyDescent="0.25">
      <c r="A52" t="s">
        <v>348</v>
      </c>
      <c r="B52">
        <v>5306855</v>
      </c>
      <c r="C52" t="s">
        <v>349</v>
      </c>
      <c r="D52">
        <f>VLOOKUP($C52,'2000 Place'!$C$2:$Y$523,5,FALSE)</f>
        <v>133</v>
      </c>
      <c r="E52">
        <f>VLOOKUP($C52,'2000 Place'!$C$2:$Y$523,6,FALSE)</f>
        <v>133</v>
      </c>
      <c r="F52">
        <f>VLOOKUP($C52,'2000 Place'!$C$2:$Y$523,7,FALSE)</f>
        <v>0</v>
      </c>
      <c r="G52">
        <f>VLOOKUP($C52,'2000 Place'!$C$2:$Y$523,8,FALSE)</f>
        <v>119</v>
      </c>
      <c r="H52">
        <f>VLOOKUP($C52,'2000 Place'!$C$2:$Y$523,9,FALSE)</f>
        <v>0</v>
      </c>
      <c r="I52">
        <f>VLOOKUP($C52,'2000 Place'!$C$2:$Y$523,10,FALSE)</f>
        <v>2</v>
      </c>
      <c r="J52">
        <f>VLOOKUP($C52,'2000 Place'!$C$2:$Y$523,11,FALSE)</f>
        <v>0</v>
      </c>
      <c r="K52">
        <f>VLOOKUP($C52,'2000 Place'!$C$2:$Y$523,12,FALSE)</f>
        <v>0</v>
      </c>
      <c r="L52">
        <f>VLOOKUP($C52,'2000 Place'!$C$2:$Y$523,13,FALSE)</f>
        <v>0</v>
      </c>
      <c r="M52">
        <f>VLOOKUP($C52,'2000 Place'!$C$2:$Y$523,14,FALSE)</f>
        <v>11</v>
      </c>
      <c r="N52">
        <f>VLOOKUP($C52,'2000 Place'!$C$2:$Y$523,15,FALSE)</f>
        <v>0</v>
      </c>
      <c r="O52">
        <f>VLOOKUP($C52,'2000 Place'!$C$2:$Y$523,16,FALSE)</f>
        <v>0</v>
      </c>
      <c r="P52">
        <f>VLOOKUP($C52,'2000 Place'!$C$2:$Y$523,17,FALSE)</f>
        <v>0</v>
      </c>
      <c r="Q52">
        <f>VLOOKUP($C52,'2000 Place'!$C$2:$Y$523,18,FALSE)</f>
        <v>0</v>
      </c>
      <c r="R52">
        <f>VLOOKUP($C52,'2000 Place'!$C$2:$Y$523,19,FALSE)</f>
        <v>0</v>
      </c>
      <c r="S52">
        <f>VLOOKUP($C52,'2000 Place'!$C$2:$Y$523,20,FALSE)</f>
        <v>0</v>
      </c>
      <c r="T52">
        <f>VLOOKUP($C52,'2000 Place'!$C$2:$Y$523,21,FALSE)</f>
        <v>0</v>
      </c>
      <c r="U52">
        <f>VLOOKUP($C52,'2000 Place'!$C$2:$Y$523,22,FALSE)</f>
        <v>1</v>
      </c>
      <c r="V52">
        <f>VLOOKUP($C52,'2000 Place'!$C$2:$Y$523,23,FALSE)</f>
        <v>0</v>
      </c>
    </row>
    <row r="53" spans="1:22" x14ac:dyDescent="0.25">
      <c r="A53" t="s">
        <v>350</v>
      </c>
      <c r="B53">
        <v>5307170</v>
      </c>
      <c r="C53" t="s">
        <v>351</v>
      </c>
      <c r="D53">
        <f>VLOOKUP($C53,'2000 Place'!$C$2:$Y$523,5,FALSE)</f>
        <v>9358</v>
      </c>
      <c r="E53">
        <f>VLOOKUP($C53,'2000 Place'!$C$2:$Y$523,6,FALSE)</f>
        <v>9054</v>
      </c>
      <c r="F53">
        <f>VLOOKUP($C53,'2000 Place'!$C$2:$Y$523,7,FALSE)</f>
        <v>304</v>
      </c>
      <c r="G53">
        <f>VLOOKUP($C53,'2000 Place'!$C$2:$Y$523,8,FALSE)</f>
        <v>8417</v>
      </c>
      <c r="H53">
        <f>VLOOKUP($C53,'2000 Place'!$C$2:$Y$523,9,FALSE)</f>
        <v>271</v>
      </c>
      <c r="I53">
        <f>VLOOKUP($C53,'2000 Place'!$C$2:$Y$523,10,FALSE)</f>
        <v>310</v>
      </c>
      <c r="J53">
        <f>VLOOKUP($C53,'2000 Place'!$C$2:$Y$523,11,FALSE)</f>
        <v>14</v>
      </c>
      <c r="K53">
        <f>VLOOKUP($C53,'2000 Place'!$C$2:$Y$523,12,FALSE)</f>
        <v>18</v>
      </c>
      <c r="L53">
        <f>VLOOKUP($C53,'2000 Place'!$C$2:$Y$523,13,FALSE)</f>
        <v>0</v>
      </c>
      <c r="M53">
        <f>VLOOKUP($C53,'2000 Place'!$C$2:$Y$523,14,FALSE)</f>
        <v>80</v>
      </c>
      <c r="N53">
        <f>VLOOKUP($C53,'2000 Place'!$C$2:$Y$523,15,FALSE)</f>
        <v>0</v>
      </c>
      <c r="O53">
        <f>VLOOKUP($C53,'2000 Place'!$C$2:$Y$523,16,FALSE)</f>
        <v>9</v>
      </c>
      <c r="P53">
        <f>VLOOKUP($C53,'2000 Place'!$C$2:$Y$523,17,FALSE)</f>
        <v>8</v>
      </c>
      <c r="Q53">
        <f>VLOOKUP($C53,'2000 Place'!$C$2:$Y$523,18,FALSE)</f>
        <v>0</v>
      </c>
      <c r="R53">
        <f>VLOOKUP($C53,'2000 Place'!$C$2:$Y$523,19,FALSE)</f>
        <v>5</v>
      </c>
      <c r="S53">
        <f>VLOOKUP($C53,'2000 Place'!$C$2:$Y$523,20,FALSE)</f>
        <v>28</v>
      </c>
      <c r="T53">
        <f>VLOOKUP($C53,'2000 Place'!$C$2:$Y$523,21,FALSE)</f>
        <v>0</v>
      </c>
      <c r="U53">
        <f>VLOOKUP($C53,'2000 Place'!$C$2:$Y$523,22,FALSE)</f>
        <v>192</v>
      </c>
      <c r="V53">
        <f>VLOOKUP($C53,'2000 Place'!$C$2:$Y$523,23,FALSE)</f>
        <v>6</v>
      </c>
    </row>
    <row r="54" spans="1:22" x14ac:dyDescent="0.25">
      <c r="A54" t="s">
        <v>352</v>
      </c>
      <c r="B54">
        <v>5307380</v>
      </c>
      <c r="C54" t="s">
        <v>353</v>
      </c>
      <c r="D54">
        <f>VLOOKUP($C54,'2000 Place'!$C$2:$Y$523,5,FALSE)</f>
        <v>29869</v>
      </c>
      <c r="E54">
        <f>VLOOKUP($C54,'2000 Place'!$C$2:$Y$523,6,FALSE)</f>
        <v>26277</v>
      </c>
      <c r="F54">
        <f>VLOOKUP($C54,'2000 Place'!$C$2:$Y$523,7,FALSE)</f>
        <v>3592</v>
      </c>
      <c r="G54">
        <f>VLOOKUP($C54,'2000 Place'!$C$2:$Y$523,8,FALSE)</f>
        <v>23450</v>
      </c>
      <c r="H54">
        <f>VLOOKUP($C54,'2000 Place'!$C$2:$Y$523,9,FALSE)</f>
        <v>1489</v>
      </c>
      <c r="I54">
        <f>VLOOKUP($C54,'2000 Place'!$C$2:$Y$523,10,FALSE)</f>
        <v>389</v>
      </c>
      <c r="J54">
        <f>VLOOKUP($C54,'2000 Place'!$C$2:$Y$523,11,FALSE)</f>
        <v>323</v>
      </c>
      <c r="K54">
        <f>VLOOKUP($C54,'2000 Place'!$C$2:$Y$523,12,FALSE)</f>
        <v>219</v>
      </c>
      <c r="L54">
        <f>VLOOKUP($C54,'2000 Place'!$C$2:$Y$523,13,FALSE)</f>
        <v>30</v>
      </c>
      <c r="M54">
        <f>VLOOKUP($C54,'2000 Place'!$C$2:$Y$523,14,FALSE)</f>
        <v>213</v>
      </c>
      <c r="N54">
        <f>VLOOKUP($C54,'2000 Place'!$C$2:$Y$523,15,FALSE)</f>
        <v>10</v>
      </c>
      <c r="O54">
        <f>VLOOKUP($C54,'2000 Place'!$C$2:$Y$523,16,FALSE)</f>
        <v>866</v>
      </c>
      <c r="P54">
        <f>VLOOKUP($C54,'2000 Place'!$C$2:$Y$523,17,FALSE)</f>
        <v>1451</v>
      </c>
      <c r="Q54">
        <f>VLOOKUP($C54,'2000 Place'!$C$2:$Y$523,18,FALSE)</f>
        <v>20</v>
      </c>
      <c r="R54">
        <f>VLOOKUP($C54,'2000 Place'!$C$2:$Y$523,19,FALSE)</f>
        <v>24</v>
      </c>
      <c r="S54">
        <f>VLOOKUP($C54,'2000 Place'!$C$2:$Y$523,20,FALSE)</f>
        <v>293</v>
      </c>
      <c r="T54">
        <f>VLOOKUP($C54,'2000 Place'!$C$2:$Y$523,21,FALSE)</f>
        <v>225</v>
      </c>
      <c r="U54">
        <f>VLOOKUP($C54,'2000 Place'!$C$2:$Y$523,22,FALSE)</f>
        <v>827</v>
      </c>
      <c r="V54">
        <f>VLOOKUP($C54,'2000 Place'!$C$2:$Y$523,23,FALSE)</f>
        <v>40</v>
      </c>
    </row>
    <row r="55" spans="1:22" x14ac:dyDescent="0.25">
      <c r="A55" t="s">
        <v>354</v>
      </c>
      <c r="B55">
        <v>5307390</v>
      </c>
      <c r="C55" t="s">
        <v>355</v>
      </c>
      <c r="D55" t="e">
        <f>VLOOKUP($C55,'2000 Place'!$C$2:$Y$523,5,FALSE)</f>
        <v>#N/A</v>
      </c>
      <c r="E55" t="e">
        <f>VLOOKUP($C55,'2000 Place'!$C$2:$Y$523,6,FALSE)</f>
        <v>#N/A</v>
      </c>
      <c r="F55" t="e">
        <f>VLOOKUP($C55,'2000 Place'!$C$2:$Y$523,7,FALSE)</f>
        <v>#N/A</v>
      </c>
      <c r="G55" t="e">
        <f>VLOOKUP($C55,'2000 Place'!$C$2:$Y$523,8,FALSE)</f>
        <v>#N/A</v>
      </c>
      <c r="H55" t="e">
        <f>VLOOKUP($C55,'2000 Place'!$C$2:$Y$523,9,FALSE)</f>
        <v>#N/A</v>
      </c>
      <c r="I55" t="e">
        <f>VLOOKUP($C55,'2000 Place'!$C$2:$Y$523,10,FALSE)</f>
        <v>#N/A</v>
      </c>
      <c r="J55" t="e">
        <f>VLOOKUP($C55,'2000 Place'!$C$2:$Y$523,11,FALSE)</f>
        <v>#N/A</v>
      </c>
      <c r="K55" t="e">
        <f>VLOOKUP($C55,'2000 Place'!$C$2:$Y$523,12,FALSE)</f>
        <v>#N/A</v>
      </c>
      <c r="L55" t="e">
        <f>VLOOKUP($C55,'2000 Place'!$C$2:$Y$523,13,FALSE)</f>
        <v>#N/A</v>
      </c>
      <c r="M55" t="e">
        <f>VLOOKUP($C55,'2000 Place'!$C$2:$Y$523,14,FALSE)</f>
        <v>#N/A</v>
      </c>
      <c r="N55" t="e">
        <f>VLOOKUP($C55,'2000 Place'!$C$2:$Y$523,15,FALSE)</f>
        <v>#N/A</v>
      </c>
      <c r="O55" t="e">
        <f>VLOOKUP($C55,'2000 Place'!$C$2:$Y$523,16,FALSE)</f>
        <v>#N/A</v>
      </c>
      <c r="P55" t="e">
        <f>VLOOKUP($C55,'2000 Place'!$C$2:$Y$523,17,FALSE)</f>
        <v>#N/A</v>
      </c>
      <c r="Q55" t="e">
        <f>VLOOKUP($C55,'2000 Place'!$C$2:$Y$523,18,FALSE)</f>
        <v>#N/A</v>
      </c>
      <c r="R55" t="e">
        <f>VLOOKUP($C55,'2000 Place'!$C$2:$Y$523,19,FALSE)</f>
        <v>#N/A</v>
      </c>
      <c r="S55" t="e">
        <f>VLOOKUP($C55,'2000 Place'!$C$2:$Y$523,20,FALSE)</f>
        <v>#N/A</v>
      </c>
      <c r="T55" t="e">
        <f>VLOOKUP($C55,'2000 Place'!$C$2:$Y$523,21,FALSE)</f>
        <v>#N/A</v>
      </c>
      <c r="U55" t="e">
        <f>VLOOKUP($C55,'2000 Place'!$C$2:$Y$523,22,FALSE)</f>
        <v>#N/A</v>
      </c>
      <c r="V55" t="e">
        <f>VLOOKUP($C55,'2000 Place'!$C$2:$Y$523,23,FALSE)</f>
        <v>#N/A</v>
      </c>
    </row>
    <row r="56" spans="1:22" x14ac:dyDescent="0.25">
      <c r="A56" t="s">
        <v>356</v>
      </c>
      <c r="B56">
        <v>5307395</v>
      </c>
      <c r="C56" t="s">
        <v>357</v>
      </c>
      <c r="D56" t="e">
        <f>VLOOKUP($C56,'2000 Place'!$C$2:$Y$523,5,FALSE)</f>
        <v>#N/A</v>
      </c>
      <c r="E56" t="e">
        <f>VLOOKUP($C56,'2000 Place'!$C$2:$Y$523,6,FALSE)</f>
        <v>#N/A</v>
      </c>
      <c r="F56" t="e">
        <f>VLOOKUP($C56,'2000 Place'!$C$2:$Y$523,7,FALSE)</f>
        <v>#N/A</v>
      </c>
      <c r="G56" t="e">
        <f>VLOOKUP($C56,'2000 Place'!$C$2:$Y$523,8,FALSE)</f>
        <v>#N/A</v>
      </c>
      <c r="H56" t="e">
        <f>VLOOKUP($C56,'2000 Place'!$C$2:$Y$523,9,FALSE)</f>
        <v>#N/A</v>
      </c>
      <c r="I56" t="e">
        <f>VLOOKUP($C56,'2000 Place'!$C$2:$Y$523,10,FALSE)</f>
        <v>#N/A</v>
      </c>
      <c r="J56" t="e">
        <f>VLOOKUP($C56,'2000 Place'!$C$2:$Y$523,11,FALSE)</f>
        <v>#N/A</v>
      </c>
      <c r="K56" t="e">
        <f>VLOOKUP($C56,'2000 Place'!$C$2:$Y$523,12,FALSE)</f>
        <v>#N/A</v>
      </c>
      <c r="L56" t="e">
        <f>VLOOKUP($C56,'2000 Place'!$C$2:$Y$523,13,FALSE)</f>
        <v>#N/A</v>
      </c>
      <c r="M56" t="e">
        <f>VLOOKUP($C56,'2000 Place'!$C$2:$Y$523,14,FALSE)</f>
        <v>#N/A</v>
      </c>
      <c r="N56" t="e">
        <f>VLOOKUP($C56,'2000 Place'!$C$2:$Y$523,15,FALSE)</f>
        <v>#N/A</v>
      </c>
      <c r="O56" t="e">
        <f>VLOOKUP($C56,'2000 Place'!$C$2:$Y$523,16,FALSE)</f>
        <v>#N/A</v>
      </c>
      <c r="P56" t="e">
        <f>VLOOKUP($C56,'2000 Place'!$C$2:$Y$523,17,FALSE)</f>
        <v>#N/A</v>
      </c>
      <c r="Q56" t="e">
        <f>VLOOKUP($C56,'2000 Place'!$C$2:$Y$523,18,FALSE)</f>
        <v>#N/A</v>
      </c>
      <c r="R56" t="e">
        <f>VLOOKUP($C56,'2000 Place'!$C$2:$Y$523,19,FALSE)</f>
        <v>#N/A</v>
      </c>
      <c r="S56" t="e">
        <f>VLOOKUP($C56,'2000 Place'!$C$2:$Y$523,20,FALSE)</f>
        <v>#N/A</v>
      </c>
      <c r="T56" t="e">
        <f>VLOOKUP($C56,'2000 Place'!$C$2:$Y$523,21,FALSE)</f>
        <v>#N/A</v>
      </c>
      <c r="U56" t="e">
        <f>VLOOKUP($C56,'2000 Place'!$C$2:$Y$523,22,FALSE)</f>
        <v>#N/A</v>
      </c>
      <c r="V56" t="e">
        <f>VLOOKUP($C56,'2000 Place'!$C$2:$Y$523,23,FALSE)</f>
        <v>#N/A</v>
      </c>
    </row>
    <row r="57" spans="1:22" x14ac:dyDescent="0.25">
      <c r="A57" t="s">
        <v>358</v>
      </c>
      <c r="B57">
        <v>5307397</v>
      </c>
      <c r="C57" t="s">
        <v>359</v>
      </c>
      <c r="D57">
        <f>VLOOKUP("Riverton-Boulevard Park CDP, Washington",'2000 Place'!$C$2:$Y$523,5,FALSE)/2</f>
        <v>5694.5</v>
      </c>
      <c r="E57">
        <f>VLOOKUP("Riverton-Boulevard Park CDP, Washington",'2000 Place'!$C$2:$Y$523,6,FALSE)/2</f>
        <v>4404.5</v>
      </c>
      <c r="F57">
        <f>VLOOKUP("Riverton-Boulevard Park CDP, Washington",'2000 Place'!$C$2:$Y$523,7,FALSE)/2</f>
        <v>1290</v>
      </c>
      <c r="G57">
        <f>VLOOKUP("Riverton-Boulevard Park CDP, Washington",'2000 Place'!$C$2:$Y$523,8,FALSE)/2</f>
        <v>3033</v>
      </c>
      <c r="H57">
        <f>VLOOKUP("Riverton-Boulevard Park CDP, Washington",'2000 Place'!$C$2:$Y$523,9,FALSE)/2</f>
        <v>165</v>
      </c>
      <c r="I57">
        <f>VLOOKUP("Riverton-Boulevard Park CDP, Washington",'2000 Place'!$C$2:$Y$523,10,FALSE)/2</f>
        <v>88.5</v>
      </c>
      <c r="J57">
        <f>VLOOKUP("Riverton-Boulevard Park CDP, Washington",'2000 Place'!$C$2:$Y$523,11,FALSE)/2</f>
        <v>149</v>
      </c>
      <c r="K57">
        <f>VLOOKUP("Riverton-Boulevard Park CDP, Washington",'2000 Place'!$C$2:$Y$523,12,FALSE)/2</f>
        <v>354</v>
      </c>
      <c r="L57">
        <f>VLOOKUP("Riverton-Boulevard Park CDP, Washington",'2000 Place'!$C$2:$Y$523,13,FALSE)/2</f>
        <v>68.5</v>
      </c>
      <c r="M57">
        <f>VLOOKUP("Riverton-Boulevard Park CDP, Washington",'2000 Place'!$C$2:$Y$523,14,FALSE)/2</f>
        <v>10.5</v>
      </c>
      <c r="N57">
        <f>VLOOKUP("Riverton-Boulevard Park CDP, Washington",'2000 Place'!$C$2:$Y$523,15,FALSE)/2</f>
        <v>0</v>
      </c>
      <c r="O57">
        <f>VLOOKUP("Riverton-Boulevard Park CDP, Washington",'2000 Place'!$C$2:$Y$523,16,FALSE)/2</f>
        <v>257</v>
      </c>
      <c r="P57">
        <f>VLOOKUP("Riverton-Boulevard Park CDP, Washington",'2000 Place'!$C$2:$Y$523,17,FALSE)/2</f>
        <v>505</v>
      </c>
      <c r="Q57">
        <f>VLOOKUP("Riverton-Boulevard Park CDP, Washington",'2000 Place'!$C$2:$Y$523,18,FALSE)/2</f>
        <v>39</v>
      </c>
      <c r="R57">
        <f>VLOOKUP("Riverton-Boulevard Park CDP, Washington",'2000 Place'!$C$2:$Y$523,19,FALSE)/2</f>
        <v>18.5</v>
      </c>
      <c r="S57">
        <f>VLOOKUP("Riverton-Boulevard Park CDP, Washington",'2000 Place'!$C$2:$Y$523,20,FALSE)/2</f>
        <v>297.5</v>
      </c>
      <c r="T57">
        <f>VLOOKUP("Riverton-Boulevard Park CDP, Washington",'2000 Place'!$C$2:$Y$523,21,FALSE)/2</f>
        <v>301</v>
      </c>
      <c r="U57">
        <f>VLOOKUP("Riverton-Boulevard Park CDP, Washington",'2000 Place'!$C$2:$Y$523,22,FALSE)/2</f>
        <v>325</v>
      </c>
      <c r="V57">
        <f>VLOOKUP("Riverton-Boulevard Park CDP, Washington",'2000 Place'!$C$2:$Y$523,23,FALSE)/2</f>
        <v>83</v>
      </c>
    </row>
    <row r="58" spans="1:22" x14ac:dyDescent="0.25">
      <c r="A58" t="s">
        <v>360</v>
      </c>
      <c r="B58">
        <v>5307485</v>
      </c>
      <c r="C58" t="s">
        <v>361</v>
      </c>
      <c r="D58" t="e">
        <f>VLOOKUP($C58,'2000 Place'!$C$2:$Y$523,5,FALSE)</f>
        <v>#N/A</v>
      </c>
      <c r="E58" t="e">
        <f>VLOOKUP($C58,'2000 Place'!$C$2:$Y$523,6,FALSE)</f>
        <v>#N/A</v>
      </c>
      <c r="F58" t="e">
        <f>VLOOKUP($C58,'2000 Place'!$C$2:$Y$523,7,FALSE)</f>
        <v>#N/A</v>
      </c>
      <c r="G58" t="e">
        <f>VLOOKUP($C58,'2000 Place'!$C$2:$Y$523,8,FALSE)</f>
        <v>#N/A</v>
      </c>
      <c r="H58" t="e">
        <f>VLOOKUP($C58,'2000 Place'!$C$2:$Y$523,9,FALSE)</f>
        <v>#N/A</v>
      </c>
      <c r="I58" t="e">
        <f>VLOOKUP($C58,'2000 Place'!$C$2:$Y$523,10,FALSE)</f>
        <v>#N/A</v>
      </c>
      <c r="J58" t="e">
        <f>VLOOKUP($C58,'2000 Place'!$C$2:$Y$523,11,FALSE)</f>
        <v>#N/A</v>
      </c>
      <c r="K58" t="e">
        <f>VLOOKUP($C58,'2000 Place'!$C$2:$Y$523,12,FALSE)</f>
        <v>#N/A</v>
      </c>
      <c r="L58" t="e">
        <f>VLOOKUP($C58,'2000 Place'!$C$2:$Y$523,13,FALSE)</f>
        <v>#N/A</v>
      </c>
      <c r="M58" t="e">
        <f>VLOOKUP($C58,'2000 Place'!$C$2:$Y$523,14,FALSE)</f>
        <v>#N/A</v>
      </c>
      <c r="N58" t="e">
        <f>VLOOKUP($C58,'2000 Place'!$C$2:$Y$523,15,FALSE)</f>
        <v>#N/A</v>
      </c>
      <c r="O58" t="e">
        <f>VLOOKUP($C58,'2000 Place'!$C$2:$Y$523,16,FALSE)</f>
        <v>#N/A</v>
      </c>
      <c r="P58" t="e">
        <f>VLOOKUP($C58,'2000 Place'!$C$2:$Y$523,17,FALSE)</f>
        <v>#N/A</v>
      </c>
      <c r="Q58" t="e">
        <f>VLOOKUP($C58,'2000 Place'!$C$2:$Y$523,18,FALSE)</f>
        <v>#N/A</v>
      </c>
      <c r="R58" t="e">
        <f>VLOOKUP($C58,'2000 Place'!$C$2:$Y$523,19,FALSE)</f>
        <v>#N/A</v>
      </c>
      <c r="S58" t="e">
        <f>VLOOKUP($C58,'2000 Place'!$C$2:$Y$523,20,FALSE)</f>
        <v>#N/A</v>
      </c>
      <c r="T58" t="e">
        <f>VLOOKUP($C58,'2000 Place'!$C$2:$Y$523,21,FALSE)</f>
        <v>#N/A</v>
      </c>
      <c r="U58" t="e">
        <f>VLOOKUP($C58,'2000 Place'!$C$2:$Y$523,22,FALSE)</f>
        <v>#N/A</v>
      </c>
      <c r="V58" t="e">
        <f>VLOOKUP($C58,'2000 Place'!$C$2:$Y$523,23,FALSE)</f>
        <v>#N/A</v>
      </c>
    </row>
    <row r="59" spans="1:22" x14ac:dyDescent="0.25">
      <c r="A59" t="s">
        <v>362</v>
      </c>
      <c r="B59">
        <v>5307590</v>
      </c>
      <c r="C59" t="s">
        <v>363</v>
      </c>
      <c r="D59">
        <f>VLOOKUP($C59,'2000 Place'!$C$2:$Y$523,5,FALSE)</f>
        <v>834</v>
      </c>
      <c r="E59">
        <f>VLOOKUP($C59,'2000 Place'!$C$2:$Y$523,6,FALSE)</f>
        <v>812</v>
      </c>
      <c r="F59">
        <f>VLOOKUP($C59,'2000 Place'!$C$2:$Y$523,7,FALSE)</f>
        <v>22</v>
      </c>
      <c r="G59">
        <f>VLOOKUP($C59,'2000 Place'!$C$2:$Y$523,8,FALSE)</f>
        <v>785</v>
      </c>
      <c r="H59">
        <f>VLOOKUP($C59,'2000 Place'!$C$2:$Y$523,9,FALSE)</f>
        <v>22</v>
      </c>
      <c r="I59">
        <f>VLOOKUP($C59,'2000 Place'!$C$2:$Y$523,10,FALSE)</f>
        <v>0</v>
      </c>
      <c r="J59">
        <f>VLOOKUP($C59,'2000 Place'!$C$2:$Y$523,11,FALSE)</f>
        <v>0</v>
      </c>
      <c r="K59">
        <f>VLOOKUP($C59,'2000 Place'!$C$2:$Y$523,12,FALSE)</f>
        <v>0</v>
      </c>
      <c r="L59">
        <f>VLOOKUP($C59,'2000 Place'!$C$2:$Y$523,13,FALSE)</f>
        <v>0</v>
      </c>
      <c r="M59">
        <f>VLOOKUP($C59,'2000 Place'!$C$2:$Y$523,14,FALSE)</f>
        <v>16</v>
      </c>
      <c r="N59">
        <f>VLOOKUP($C59,'2000 Place'!$C$2:$Y$523,15,FALSE)</f>
        <v>0</v>
      </c>
      <c r="O59">
        <f>VLOOKUP($C59,'2000 Place'!$C$2:$Y$523,16,FALSE)</f>
        <v>0</v>
      </c>
      <c r="P59">
        <f>VLOOKUP($C59,'2000 Place'!$C$2:$Y$523,17,FALSE)</f>
        <v>0</v>
      </c>
      <c r="Q59">
        <f>VLOOKUP($C59,'2000 Place'!$C$2:$Y$523,18,FALSE)</f>
        <v>11</v>
      </c>
      <c r="R59">
        <f>VLOOKUP($C59,'2000 Place'!$C$2:$Y$523,19,FALSE)</f>
        <v>0</v>
      </c>
      <c r="S59">
        <f>VLOOKUP($C59,'2000 Place'!$C$2:$Y$523,20,FALSE)</f>
        <v>0</v>
      </c>
      <c r="T59">
        <f>VLOOKUP($C59,'2000 Place'!$C$2:$Y$523,21,FALSE)</f>
        <v>0</v>
      </c>
      <c r="U59">
        <f>VLOOKUP($C59,'2000 Place'!$C$2:$Y$523,22,FALSE)</f>
        <v>0</v>
      </c>
      <c r="V59">
        <f>VLOOKUP($C59,'2000 Place'!$C$2:$Y$523,23,FALSE)</f>
        <v>0</v>
      </c>
    </row>
    <row r="60" spans="1:22" x14ac:dyDescent="0.25">
      <c r="A60" t="s">
        <v>364</v>
      </c>
      <c r="B60">
        <v>5307695</v>
      </c>
      <c r="C60" t="s">
        <v>365</v>
      </c>
      <c r="D60">
        <f>VLOOKUP($C60,'2000 Place'!$C$2:$Y$523,5,FALSE)</f>
        <v>37054</v>
      </c>
      <c r="E60">
        <f>VLOOKUP($C60,'2000 Place'!$C$2:$Y$523,6,FALSE)</f>
        <v>33590</v>
      </c>
      <c r="F60">
        <f>VLOOKUP($C60,'2000 Place'!$C$2:$Y$523,7,FALSE)</f>
        <v>3464</v>
      </c>
      <c r="G60">
        <f>VLOOKUP($C60,'2000 Place'!$C$2:$Y$523,8,FALSE)</f>
        <v>25614</v>
      </c>
      <c r="H60">
        <f>VLOOKUP($C60,'2000 Place'!$C$2:$Y$523,9,FALSE)</f>
        <v>903</v>
      </c>
      <c r="I60">
        <f>VLOOKUP($C60,'2000 Place'!$C$2:$Y$523,10,FALSE)</f>
        <v>673</v>
      </c>
      <c r="J60">
        <f>VLOOKUP($C60,'2000 Place'!$C$2:$Y$523,11,FALSE)</f>
        <v>164</v>
      </c>
      <c r="K60">
        <f>VLOOKUP($C60,'2000 Place'!$C$2:$Y$523,12,FALSE)</f>
        <v>2442</v>
      </c>
      <c r="L60">
        <f>VLOOKUP($C60,'2000 Place'!$C$2:$Y$523,13,FALSE)</f>
        <v>172</v>
      </c>
      <c r="M60">
        <f>VLOOKUP($C60,'2000 Place'!$C$2:$Y$523,14,FALSE)</f>
        <v>737</v>
      </c>
      <c r="N60">
        <f>VLOOKUP($C60,'2000 Place'!$C$2:$Y$523,15,FALSE)</f>
        <v>22</v>
      </c>
      <c r="O60">
        <f>VLOOKUP($C60,'2000 Place'!$C$2:$Y$523,16,FALSE)</f>
        <v>511</v>
      </c>
      <c r="P60">
        <f>VLOOKUP($C60,'2000 Place'!$C$2:$Y$523,17,FALSE)</f>
        <v>1563</v>
      </c>
      <c r="Q60">
        <f>VLOOKUP($C60,'2000 Place'!$C$2:$Y$523,18,FALSE)</f>
        <v>126</v>
      </c>
      <c r="R60">
        <f>VLOOKUP($C60,'2000 Place'!$C$2:$Y$523,19,FALSE)</f>
        <v>120</v>
      </c>
      <c r="S60">
        <f>VLOOKUP($C60,'2000 Place'!$C$2:$Y$523,20,FALSE)</f>
        <v>805</v>
      </c>
      <c r="T60">
        <f>VLOOKUP($C60,'2000 Place'!$C$2:$Y$523,21,FALSE)</f>
        <v>194</v>
      </c>
      <c r="U60">
        <f>VLOOKUP($C60,'2000 Place'!$C$2:$Y$523,22,FALSE)</f>
        <v>2682</v>
      </c>
      <c r="V60">
        <f>VLOOKUP($C60,'2000 Place'!$C$2:$Y$523,23,FALSE)</f>
        <v>326</v>
      </c>
    </row>
    <row r="61" spans="1:22" x14ac:dyDescent="0.25">
      <c r="A61" t="s">
        <v>366</v>
      </c>
      <c r="B61">
        <v>5307835</v>
      </c>
      <c r="C61" t="s">
        <v>367</v>
      </c>
      <c r="D61">
        <f>VLOOKUP($C61,'2000 Place'!$C$2:$Y$523,5,FALSE)</f>
        <v>2179</v>
      </c>
      <c r="E61">
        <f>VLOOKUP($C61,'2000 Place'!$C$2:$Y$523,6,FALSE)</f>
        <v>1318</v>
      </c>
      <c r="F61">
        <f>VLOOKUP($C61,'2000 Place'!$C$2:$Y$523,7,FALSE)</f>
        <v>861</v>
      </c>
      <c r="G61">
        <f>VLOOKUP($C61,'2000 Place'!$C$2:$Y$523,8,FALSE)</f>
        <v>787</v>
      </c>
      <c r="H61">
        <f>VLOOKUP($C61,'2000 Place'!$C$2:$Y$523,9,FALSE)</f>
        <v>24</v>
      </c>
      <c r="I61">
        <f>VLOOKUP($C61,'2000 Place'!$C$2:$Y$523,10,FALSE)</f>
        <v>157</v>
      </c>
      <c r="J61">
        <f>VLOOKUP($C61,'2000 Place'!$C$2:$Y$523,11,FALSE)</f>
        <v>242</v>
      </c>
      <c r="K61">
        <f>VLOOKUP($C61,'2000 Place'!$C$2:$Y$523,12,FALSE)</f>
        <v>2</v>
      </c>
      <c r="L61">
        <f>VLOOKUP($C61,'2000 Place'!$C$2:$Y$523,13,FALSE)</f>
        <v>18</v>
      </c>
      <c r="M61">
        <f>VLOOKUP($C61,'2000 Place'!$C$2:$Y$523,14,FALSE)</f>
        <v>40</v>
      </c>
      <c r="N61">
        <f>VLOOKUP($C61,'2000 Place'!$C$2:$Y$523,15,FALSE)</f>
        <v>1</v>
      </c>
      <c r="O61">
        <f>VLOOKUP($C61,'2000 Place'!$C$2:$Y$523,16,FALSE)</f>
        <v>0</v>
      </c>
      <c r="P61">
        <f>VLOOKUP($C61,'2000 Place'!$C$2:$Y$523,17,FALSE)</f>
        <v>4</v>
      </c>
      <c r="Q61">
        <f>VLOOKUP($C61,'2000 Place'!$C$2:$Y$523,18,FALSE)</f>
        <v>0</v>
      </c>
      <c r="R61">
        <f>VLOOKUP($C61,'2000 Place'!$C$2:$Y$523,19,FALSE)</f>
        <v>0</v>
      </c>
      <c r="S61">
        <f>VLOOKUP($C61,'2000 Place'!$C$2:$Y$523,20,FALSE)</f>
        <v>312</v>
      </c>
      <c r="T61">
        <f>VLOOKUP($C61,'2000 Place'!$C$2:$Y$523,21,FALSE)</f>
        <v>562</v>
      </c>
      <c r="U61">
        <f>VLOOKUP($C61,'2000 Place'!$C$2:$Y$523,22,FALSE)</f>
        <v>20</v>
      </c>
      <c r="V61">
        <f>VLOOKUP($C61,'2000 Place'!$C$2:$Y$523,23,FALSE)</f>
        <v>10</v>
      </c>
    </row>
    <row r="62" spans="1:22" x14ac:dyDescent="0.25">
      <c r="A62" t="s">
        <v>368</v>
      </c>
      <c r="B62">
        <v>5307870</v>
      </c>
      <c r="C62" t="s">
        <v>369</v>
      </c>
      <c r="D62">
        <f>VLOOKUP($C62,'2000 Place'!$C$2:$Y$523,5,FALSE)</f>
        <v>2099</v>
      </c>
      <c r="E62">
        <f>VLOOKUP($C62,'2000 Place'!$C$2:$Y$523,6,FALSE)</f>
        <v>1203</v>
      </c>
      <c r="F62">
        <f>VLOOKUP($C62,'2000 Place'!$C$2:$Y$523,7,FALSE)</f>
        <v>896</v>
      </c>
      <c r="G62">
        <f>VLOOKUP($C62,'2000 Place'!$C$2:$Y$523,8,FALSE)</f>
        <v>658</v>
      </c>
      <c r="H62">
        <f>VLOOKUP($C62,'2000 Place'!$C$2:$Y$523,9,FALSE)</f>
        <v>19</v>
      </c>
      <c r="I62">
        <f>VLOOKUP($C62,'2000 Place'!$C$2:$Y$523,10,FALSE)</f>
        <v>244</v>
      </c>
      <c r="J62">
        <f>VLOOKUP($C62,'2000 Place'!$C$2:$Y$523,11,FALSE)</f>
        <v>373</v>
      </c>
      <c r="K62">
        <f>VLOOKUP($C62,'2000 Place'!$C$2:$Y$523,12,FALSE)</f>
        <v>1</v>
      </c>
      <c r="L62">
        <f>VLOOKUP($C62,'2000 Place'!$C$2:$Y$523,13,FALSE)</f>
        <v>6</v>
      </c>
      <c r="M62">
        <f>VLOOKUP($C62,'2000 Place'!$C$2:$Y$523,14,FALSE)</f>
        <v>18</v>
      </c>
      <c r="N62">
        <f>VLOOKUP($C62,'2000 Place'!$C$2:$Y$523,15,FALSE)</f>
        <v>2</v>
      </c>
      <c r="O62">
        <f>VLOOKUP($C62,'2000 Place'!$C$2:$Y$523,16,FALSE)</f>
        <v>0</v>
      </c>
      <c r="P62">
        <f>VLOOKUP($C62,'2000 Place'!$C$2:$Y$523,17,FALSE)</f>
        <v>0</v>
      </c>
      <c r="Q62">
        <f>VLOOKUP($C62,'2000 Place'!$C$2:$Y$523,18,FALSE)</f>
        <v>0</v>
      </c>
      <c r="R62">
        <f>VLOOKUP($C62,'2000 Place'!$C$2:$Y$523,19,FALSE)</f>
        <v>0</v>
      </c>
      <c r="S62">
        <f>VLOOKUP($C62,'2000 Place'!$C$2:$Y$523,20,FALSE)</f>
        <v>220</v>
      </c>
      <c r="T62">
        <f>VLOOKUP($C62,'2000 Place'!$C$2:$Y$523,21,FALSE)</f>
        <v>466</v>
      </c>
      <c r="U62">
        <f>VLOOKUP($C62,'2000 Place'!$C$2:$Y$523,22,FALSE)</f>
        <v>62</v>
      </c>
      <c r="V62">
        <f>VLOOKUP($C62,'2000 Place'!$C$2:$Y$523,23,FALSE)</f>
        <v>30</v>
      </c>
    </row>
    <row r="63" spans="1:22" x14ac:dyDescent="0.25">
      <c r="A63" t="s">
        <v>370</v>
      </c>
      <c r="B63">
        <v>5307940</v>
      </c>
      <c r="C63" t="s">
        <v>371</v>
      </c>
      <c r="D63">
        <f>VLOOKUP($C63,'2000 Place'!$C$2:$Y$523,5,FALSE)</f>
        <v>6548</v>
      </c>
      <c r="E63">
        <f>VLOOKUP($C63,'2000 Place'!$C$2:$Y$523,6,FALSE)</f>
        <v>5857</v>
      </c>
      <c r="F63">
        <f>VLOOKUP($C63,'2000 Place'!$C$2:$Y$523,7,FALSE)</f>
        <v>691</v>
      </c>
      <c r="G63">
        <f>VLOOKUP($C63,'2000 Place'!$C$2:$Y$523,8,FALSE)</f>
        <v>5263</v>
      </c>
      <c r="H63">
        <f>VLOOKUP($C63,'2000 Place'!$C$2:$Y$523,9,FALSE)</f>
        <v>266</v>
      </c>
      <c r="I63">
        <f>VLOOKUP($C63,'2000 Place'!$C$2:$Y$523,10,FALSE)</f>
        <v>66</v>
      </c>
      <c r="J63">
        <f>VLOOKUP($C63,'2000 Place'!$C$2:$Y$523,11,FALSE)</f>
        <v>8</v>
      </c>
      <c r="K63">
        <f>VLOOKUP($C63,'2000 Place'!$C$2:$Y$523,12,FALSE)</f>
        <v>82</v>
      </c>
      <c r="L63">
        <f>VLOOKUP($C63,'2000 Place'!$C$2:$Y$523,13,FALSE)</f>
        <v>0</v>
      </c>
      <c r="M63">
        <f>VLOOKUP($C63,'2000 Place'!$C$2:$Y$523,14,FALSE)</f>
        <v>0</v>
      </c>
      <c r="N63">
        <f>VLOOKUP($C63,'2000 Place'!$C$2:$Y$523,15,FALSE)</f>
        <v>0</v>
      </c>
      <c r="O63">
        <f>VLOOKUP($C63,'2000 Place'!$C$2:$Y$523,16,FALSE)</f>
        <v>126</v>
      </c>
      <c r="P63">
        <f>VLOOKUP($C63,'2000 Place'!$C$2:$Y$523,17,FALSE)</f>
        <v>357</v>
      </c>
      <c r="Q63">
        <f>VLOOKUP($C63,'2000 Place'!$C$2:$Y$523,18,FALSE)</f>
        <v>13</v>
      </c>
      <c r="R63">
        <f>VLOOKUP($C63,'2000 Place'!$C$2:$Y$523,19,FALSE)</f>
        <v>0</v>
      </c>
      <c r="S63">
        <f>VLOOKUP($C63,'2000 Place'!$C$2:$Y$523,20,FALSE)</f>
        <v>0</v>
      </c>
      <c r="T63">
        <f>VLOOKUP($C63,'2000 Place'!$C$2:$Y$523,21,FALSE)</f>
        <v>9</v>
      </c>
      <c r="U63">
        <f>VLOOKUP($C63,'2000 Place'!$C$2:$Y$523,22,FALSE)</f>
        <v>307</v>
      </c>
      <c r="V63">
        <f>VLOOKUP($C63,'2000 Place'!$C$2:$Y$523,23,FALSE)</f>
        <v>51</v>
      </c>
    </row>
    <row r="64" spans="1:22" x14ac:dyDescent="0.25">
      <c r="A64" t="s">
        <v>372</v>
      </c>
      <c r="B64">
        <v>5308080</v>
      </c>
      <c r="C64" t="s">
        <v>373</v>
      </c>
      <c r="D64">
        <f>VLOOKUP($C64,'2000 Place'!$C$2:$Y$523,5,FALSE)</f>
        <v>831</v>
      </c>
      <c r="E64">
        <f>VLOOKUP($C64,'2000 Place'!$C$2:$Y$523,6,FALSE)</f>
        <v>796</v>
      </c>
      <c r="F64">
        <f>VLOOKUP($C64,'2000 Place'!$C$2:$Y$523,7,FALSE)</f>
        <v>35</v>
      </c>
      <c r="G64">
        <f>VLOOKUP($C64,'2000 Place'!$C$2:$Y$523,8,FALSE)</f>
        <v>731</v>
      </c>
      <c r="H64">
        <f>VLOOKUP($C64,'2000 Place'!$C$2:$Y$523,9,FALSE)</f>
        <v>33</v>
      </c>
      <c r="I64">
        <f>VLOOKUP($C64,'2000 Place'!$C$2:$Y$523,10,FALSE)</f>
        <v>5</v>
      </c>
      <c r="J64">
        <f>VLOOKUP($C64,'2000 Place'!$C$2:$Y$523,11,FALSE)</f>
        <v>0</v>
      </c>
      <c r="K64">
        <f>VLOOKUP($C64,'2000 Place'!$C$2:$Y$523,12,FALSE)</f>
        <v>2</v>
      </c>
      <c r="L64">
        <f>VLOOKUP($C64,'2000 Place'!$C$2:$Y$523,13,FALSE)</f>
        <v>0</v>
      </c>
      <c r="M64">
        <f>VLOOKUP($C64,'2000 Place'!$C$2:$Y$523,14,FALSE)</f>
        <v>13</v>
      </c>
      <c r="N64">
        <f>VLOOKUP($C64,'2000 Place'!$C$2:$Y$523,15,FALSE)</f>
        <v>0</v>
      </c>
      <c r="O64">
        <f>VLOOKUP($C64,'2000 Place'!$C$2:$Y$523,16,FALSE)</f>
        <v>6</v>
      </c>
      <c r="P64">
        <f>VLOOKUP($C64,'2000 Place'!$C$2:$Y$523,17,FALSE)</f>
        <v>0</v>
      </c>
      <c r="Q64">
        <f>VLOOKUP($C64,'2000 Place'!$C$2:$Y$523,18,FALSE)</f>
        <v>3</v>
      </c>
      <c r="R64">
        <f>VLOOKUP($C64,'2000 Place'!$C$2:$Y$523,19,FALSE)</f>
        <v>0</v>
      </c>
      <c r="S64">
        <f>VLOOKUP($C64,'2000 Place'!$C$2:$Y$523,20,FALSE)</f>
        <v>7</v>
      </c>
      <c r="T64">
        <f>VLOOKUP($C64,'2000 Place'!$C$2:$Y$523,21,FALSE)</f>
        <v>2</v>
      </c>
      <c r="U64">
        <f>VLOOKUP($C64,'2000 Place'!$C$2:$Y$523,22,FALSE)</f>
        <v>29</v>
      </c>
      <c r="V64">
        <f>VLOOKUP($C64,'2000 Place'!$C$2:$Y$523,23,FALSE)</f>
        <v>0</v>
      </c>
    </row>
    <row r="65" spans="1:22" x14ac:dyDescent="0.25">
      <c r="A65" t="s">
        <v>374</v>
      </c>
      <c r="B65">
        <v>5308325</v>
      </c>
      <c r="C65" t="s">
        <v>375</v>
      </c>
      <c r="D65" t="e">
        <f>VLOOKUP($C65,'2000 Place'!$C$2:$Y$523,5,FALSE)</f>
        <v>#N/A</v>
      </c>
      <c r="E65" t="e">
        <f>VLOOKUP($C65,'2000 Place'!$C$2:$Y$523,6,FALSE)</f>
        <v>#N/A</v>
      </c>
      <c r="F65" t="e">
        <f>VLOOKUP($C65,'2000 Place'!$C$2:$Y$523,7,FALSE)</f>
        <v>#N/A</v>
      </c>
      <c r="G65" t="e">
        <f>VLOOKUP($C65,'2000 Place'!$C$2:$Y$523,8,FALSE)</f>
        <v>#N/A</v>
      </c>
      <c r="H65" t="e">
        <f>VLOOKUP($C65,'2000 Place'!$C$2:$Y$523,9,FALSE)</f>
        <v>#N/A</v>
      </c>
      <c r="I65" t="e">
        <f>VLOOKUP($C65,'2000 Place'!$C$2:$Y$523,10,FALSE)</f>
        <v>#N/A</v>
      </c>
      <c r="J65" t="e">
        <f>VLOOKUP($C65,'2000 Place'!$C$2:$Y$523,11,FALSE)</f>
        <v>#N/A</v>
      </c>
      <c r="K65" t="e">
        <f>VLOOKUP($C65,'2000 Place'!$C$2:$Y$523,12,FALSE)</f>
        <v>#N/A</v>
      </c>
      <c r="L65" t="e">
        <f>VLOOKUP($C65,'2000 Place'!$C$2:$Y$523,13,FALSE)</f>
        <v>#N/A</v>
      </c>
      <c r="M65" t="e">
        <f>VLOOKUP($C65,'2000 Place'!$C$2:$Y$523,14,FALSE)</f>
        <v>#N/A</v>
      </c>
      <c r="N65" t="e">
        <f>VLOOKUP($C65,'2000 Place'!$C$2:$Y$523,15,FALSE)</f>
        <v>#N/A</v>
      </c>
      <c r="O65" t="e">
        <f>VLOOKUP($C65,'2000 Place'!$C$2:$Y$523,16,FALSE)</f>
        <v>#N/A</v>
      </c>
      <c r="P65" t="e">
        <f>VLOOKUP($C65,'2000 Place'!$C$2:$Y$523,17,FALSE)</f>
        <v>#N/A</v>
      </c>
      <c r="Q65" t="e">
        <f>VLOOKUP($C65,'2000 Place'!$C$2:$Y$523,18,FALSE)</f>
        <v>#N/A</v>
      </c>
      <c r="R65" t="e">
        <f>VLOOKUP($C65,'2000 Place'!$C$2:$Y$523,19,FALSE)</f>
        <v>#N/A</v>
      </c>
      <c r="S65" t="e">
        <f>VLOOKUP($C65,'2000 Place'!$C$2:$Y$523,20,FALSE)</f>
        <v>#N/A</v>
      </c>
      <c r="T65" t="e">
        <f>VLOOKUP($C65,'2000 Place'!$C$2:$Y$523,21,FALSE)</f>
        <v>#N/A</v>
      </c>
      <c r="U65" t="e">
        <f>VLOOKUP($C65,'2000 Place'!$C$2:$Y$523,22,FALSE)</f>
        <v>#N/A</v>
      </c>
      <c r="V65" t="e">
        <f>VLOOKUP($C65,'2000 Place'!$C$2:$Y$523,23,FALSE)</f>
        <v>#N/A</v>
      </c>
    </row>
    <row r="66" spans="1:22" x14ac:dyDescent="0.25">
      <c r="A66" t="s">
        <v>376</v>
      </c>
      <c r="B66">
        <v>5308465</v>
      </c>
      <c r="C66" t="s">
        <v>377</v>
      </c>
      <c r="D66">
        <f>VLOOKUP($C66,'2000 Place'!$C$2:$Y$523,5,FALSE)</f>
        <v>2415</v>
      </c>
      <c r="E66">
        <f>VLOOKUP($C66,'2000 Place'!$C$2:$Y$523,6,FALSE)</f>
        <v>2267</v>
      </c>
      <c r="F66">
        <f>VLOOKUP($C66,'2000 Place'!$C$2:$Y$523,7,FALSE)</f>
        <v>148</v>
      </c>
      <c r="G66">
        <f>VLOOKUP($C66,'2000 Place'!$C$2:$Y$523,8,FALSE)</f>
        <v>2180</v>
      </c>
      <c r="H66">
        <f>VLOOKUP($C66,'2000 Place'!$C$2:$Y$523,9,FALSE)</f>
        <v>112</v>
      </c>
      <c r="I66">
        <f>VLOOKUP($C66,'2000 Place'!$C$2:$Y$523,10,FALSE)</f>
        <v>23</v>
      </c>
      <c r="J66">
        <f>VLOOKUP($C66,'2000 Place'!$C$2:$Y$523,11,FALSE)</f>
        <v>18</v>
      </c>
      <c r="K66">
        <f>VLOOKUP($C66,'2000 Place'!$C$2:$Y$523,12,FALSE)</f>
        <v>9</v>
      </c>
      <c r="L66">
        <f>VLOOKUP($C66,'2000 Place'!$C$2:$Y$523,13,FALSE)</f>
        <v>0</v>
      </c>
      <c r="M66">
        <f>VLOOKUP($C66,'2000 Place'!$C$2:$Y$523,14,FALSE)</f>
        <v>5</v>
      </c>
      <c r="N66">
        <f>VLOOKUP($C66,'2000 Place'!$C$2:$Y$523,15,FALSE)</f>
        <v>0</v>
      </c>
      <c r="O66">
        <f>VLOOKUP($C66,'2000 Place'!$C$2:$Y$523,16,FALSE)</f>
        <v>7</v>
      </c>
      <c r="P66">
        <f>VLOOKUP($C66,'2000 Place'!$C$2:$Y$523,17,FALSE)</f>
        <v>18</v>
      </c>
      <c r="Q66">
        <f>VLOOKUP($C66,'2000 Place'!$C$2:$Y$523,18,FALSE)</f>
        <v>0</v>
      </c>
      <c r="R66">
        <f>VLOOKUP($C66,'2000 Place'!$C$2:$Y$523,19,FALSE)</f>
        <v>0</v>
      </c>
      <c r="S66">
        <f>VLOOKUP($C66,'2000 Place'!$C$2:$Y$523,20,FALSE)</f>
        <v>0</v>
      </c>
      <c r="T66">
        <f>VLOOKUP($C66,'2000 Place'!$C$2:$Y$523,21,FALSE)</f>
        <v>0</v>
      </c>
      <c r="U66">
        <f>VLOOKUP($C66,'2000 Place'!$C$2:$Y$523,22,FALSE)</f>
        <v>43</v>
      </c>
      <c r="V66">
        <f>VLOOKUP($C66,'2000 Place'!$C$2:$Y$523,23,FALSE)</f>
        <v>0</v>
      </c>
    </row>
    <row r="67" spans="1:22" x14ac:dyDescent="0.25">
      <c r="A67" t="s">
        <v>378</v>
      </c>
      <c r="B67">
        <v>5308500</v>
      </c>
      <c r="C67" t="s">
        <v>379</v>
      </c>
      <c r="D67" t="e">
        <f>VLOOKUP($C67,'2000 Place'!$C$2:$Y$523,5,FALSE)</f>
        <v>#N/A</v>
      </c>
      <c r="E67" t="e">
        <f>VLOOKUP($C67,'2000 Place'!$C$2:$Y$523,6,FALSE)</f>
        <v>#N/A</v>
      </c>
      <c r="F67" t="e">
        <f>VLOOKUP($C67,'2000 Place'!$C$2:$Y$523,7,FALSE)</f>
        <v>#N/A</v>
      </c>
      <c r="G67" t="e">
        <f>VLOOKUP($C67,'2000 Place'!$C$2:$Y$523,8,FALSE)</f>
        <v>#N/A</v>
      </c>
      <c r="H67" t="e">
        <f>VLOOKUP($C67,'2000 Place'!$C$2:$Y$523,9,FALSE)</f>
        <v>#N/A</v>
      </c>
      <c r="I67" t="e">
        <f>VLOOKUP($C67,'2000 Place'!$C$2:$Y$523,10,FALSE)</f>
        <v>#N/A</v>
      </c>
      <c r="J67" t="e">
        <f>VLOOKUP($C67,'2000 Place'!$C$2:$Y$523,11,FALSE)</f>
        <v>#N/A</v>
      </c>
      <c r="K67" t="e">
        <f>VLOOKUP($C67,'2000 Place'!$C$2:$Y$523,12,FALSE)</f>
        <v>#N/A</v>
      </c>
      <c r="L67" t="e">
        <f>VLOOKUP($C67,'2000 Place'!$C$2:$Y$523,13,FALSE)</f>
        <v>#N/A</v>
      </c>
      <c r="M67" t="e">
        <f>VLOOKUP($C67,'2000 Place'!$C$2:$Y$523,14,FALSE)</f>
        <v>#N/A</v>
      </c>
      <c r="N67" t="e">
        <f>VLOOKUP($C67,'2000 Place'!$C$2:$Y$523,15,FALSE)</f>
        <v>#N/A</v>
      </c>
      <c r="O67" t="e">
        <f>VLOOKUP($C67,'2000 Place'!$C$2:$Y$523,16,FALSE)</f>
        <v>#N/A</v>
      </c>
      <c r="P67" t="e">
        <f>VLOOKUP($C67,'2000 Place'!$C$2:$Y$523,17,FALSE)</f>
        <v>#N/A</v>
      </c>
      <c r="Q67" t="e">
        <f>VLOOKUP($C67,'2000 Place'!$C$2:$Y$523,18,FALSE)</f>
        <v>#N/A</v>
      </c>
      <c r="R67" t="e">
        <f>VLOOKUP($C67,'2000 Place'!$C$2:$Y$523,19,FALSE)</f>
        <v>#N/A</v>
      </c>
      <c r="S67" t="e">
        <f>VLOOKUP($C67,'2000 Place'!$C$2:$Y$523,20,FALSE)</f>
        <v>#N/A</v>
      </c>
      <c r="T67" t="e">
        <f>VLOOKUP($C67,'2000 Place'!$C$2:$Y$523,21,FALSE)</f>
        <v>#N/A</v>
      </c>
      <c r="U67" t="e">
        <f>VLOOKUP($C67,'2000 Place'!$C$2:$Y$523,22,FALSE)</f>
        <v>#N/A</v>
      </c>
      <c r="V67" t="e">
        <f>VLOOKUP($C67,'2000 Place'!$C$2:$Y$523,23,FALSE)</f>
        <v>#N/A</v>
      </c>
    </row>
    <row r="68" spans="1:22" x14ac:dyDescent="0.25">
      <c r="A68" t="s">
        <v>380</v>
      </c>
      <c r="B68">
        <v>5308552</v>
      </c>
      <c r="C68" t="s">
        <v>381</v>
      </c>
      <c r="D68">
        <f>VLOOKUP($C68,'2000 Place'!$C$2:$Y$523,5,FALSE)</f>
        <v>14050</v>
      </c>
      <c r="E68">
        <f>VLOOKUP($C68,'2000 Place'!$C$2:$Y$523,6,FALSE)</f>
        <v>11249</v>
      </c>
      <c r="F68">
        <f>VLOOKUP($C68,'2000 Place'!$C$2:$Y$523,7,FALSE)</f>
        <v>2801</v>
      </c>
      <c r="G68">
        <f>VLOOKUP($C68,'2000 Place'!$C$2:$Y$523,8,FALSE)</f>
        <v>5654</v>
      </c>
      <c r="H68">
        <f>VLOOKUP($C68,'2000 Place'!$C$2:$Y$523,9,FALSE)</f>
        <v>326</v>
      </c>
      <c r="I68">
        <f>VLOOKUP($C68,'2000 Place'!$C$2:$Y$523,10,FALSE)</f>
        <v>121</v>
      </c>
      <c r="J68">
        <f>VLOOKUP($C68,'2000 Place'!$C$2:$Y$523,11,FALSE)</f>
        <v>62</v>
      </c>
      <c r="K68">
        <f>VLOOKUP($C68,'2000 Place'!$C$2:$Y$523,12,FALSE)</f>
        <v>3428</v>
      </c>
      <c r="L68">
        <f>VLOOKUP($C68,'2000 Place'!$C$2:$Y$523,13,FALSE)</f>
        <v>133</v>
      </c>
      <c r="M68">
        <f>VLOOKUP($C68,'2000 Place'!$C$2:$Y$523,14,FALSE)</f>
        <v>110</v>
      </c>
      <c r="N68">
        <f>VLOOKUP($C68,'2000 Place'!$C$2:$Y$523,15,FALSE)</f>
        <v>19</v>
      </c>
      <c r="O68">
        <f>VLOOKUP($C68,'2000 Place'!$C$2:$Y$523,16,FALSE)</f>
        <v>1181</v>
      </c>
      <c r="P68">
        <f>VLOOKUP($C68,'2000 Place'!$C$2:$Y$523,17,FALSE)</f>
        <v>1874</v>
      </c>
      <c r="Q68">
        <f>VLOOKUP($C68,'2000 Place'!$C$2:$Y$523,18,FALSE)</f>
        <v>36</v>
      </c>
      <c r="R68">
        <f>VLOOKUP($C68,'2000 Place'!$C$2:$Y$523,19,FALSE)</f>
        <v>108</v>
      </c>
      <c r="S68">
        <f>VLOOKUP($C68,'2000 Place'!$C$2:$Y$523,20,FALSE)</f>
        <v>154</v>
      </c>
      <c r="T68">
        <f>VLOOKUP($C68,'2000 Place'!$C$2:$Y$523,21,FALSE)</f>
        <v>209</v>
      </c>
      <c r="U68">
        <f>VLOOKUP($C68,'2000 Place'!$C$2:$Y$523,22,FALSE)</f>
        <v>565</v>
      </c>
      <c r="V68">
        <f>VLOOKUP($C68,'2000 Place'!$C$2:$Y$523,23,FALSE)</f>
        <v>70</v>
      </c>
    </row>
    <row r="69" spans="1:22" x14ac:dyDescent="0.25">
      <c r="A69" t="s">
        <v>382</v>
      </c>
      <c r="B69">
        <v>5308570</v>
      </c>
      <c r="C69" t="s">
        <v>383</v>
      </c>
      <c r="D69">
        <f>VLOOKUP($C69,'2000 Place'!$C$2:$Y$523,5,FALSE)</f>
        <v>4064</v>
      </c>
      <c r="E69">
        <f>VLOOKUP($C69,'2000 Place'!$C$2:$Y$523,6,FALSE)</f>
        <v>3902</v>
      </c>
      <c r="F69">
        <f>VLOOKUP($C69,'2000 Place'!$C$2:$Y$523,7,FALSE)</f>
        <v>162</v>
      </c>
      <c r="G69">
        <f>VLOOKUP($C69,'2000 Place'!$C$2:$Y$523,8,FALSE)</f>
        <v>3716</v>
      </c>
      <c r="H69">
        <f>VLOOKUP($C69,'2000 Place'!$C$2:$Y$523,9,FALSE)</f>
        <v>109</v>
      </c>
      <c r="I69">
        <f>VLOOKUP($C69,'2000 Place'!$C$2:$Y$523,10,FALSE)</f>
        <v>0</v>
      </c>
      <c r="J69">
        <f>VLOOKUP($C69,'2000 Place'!$C$2:$Y$523,11,FALSE)</f>
        <v>0</v>
      </c>
      <c r="K69">
        <f>VLOOKUP($C69,'2000 Place'!$C$2:$Y$523,12,FALSE)</f>
        <v>44</v>
      </c>
      <c r="L69">
        <f>VLOOKUP($C69,'2000 Place'!$C$2:$Y$523,13,FALSE)</f>
        <v>0</v>
      </c>
      <c r="M69">
        <f>VLOOKUP($C69,'2000 Place'!$C$2:$Y$523,14,FALSE)</f>
        <v>15</v>
      </c>
      <c r="N69">
        <f>VLOOKUP($C69,'2000 Place'!$C$2:$Y$523,15,FALSE)</f>
        <v>0</v>
      </c>
      <c r="O69">
        <f>VLOOKUP($C69,'2000 Place'!$C$2:$Y$523,16,FALSE)</f>
        <v>15</v>
      </c>
      <c r="P69">
        <f>VLOOKUP($C69,'2000 Place'!$C$2:$Y$523,17,FALSE)</f>
        <v>14</v>
      </c>
      <c r="Q69">
        <f>VLOOKUP($C69,'2000 Place'!$C$2:$Y$523,18,FALSE)</f>
        <v>0</v>
      </c>
      <c r="R69">
        <f>VLOOKUP($C69,'2000 Place'!$C$2:$Y$523,19,FALSE)</f>
        <v>24</v>
      </c>
      <c r="S69">
        <f>VLOOKUP($C69,'2000 Place'!$C$2:$Y$523,20,FALSE)</f>
        <v>9</v>
      </c>
      <c r="T69">
        <f>VLOOKUP($C69,'2000 Place'!$C$2:$Y$523,21,FALSE)</f>
        <v>0</v>
      </c>
      <c r="U69">
        <f>VLOOKUP($C69,'2000 Place'!$C$2:$Y$523,22,FALSE)</f>
        <v>103</v>
      </c>
      <c r="V69">
        <f>VLOOKUP($C69,'2000 Place'!$C$2:$Y$523,23,FALSE)</f>
        <v>15</v>
      </c>
    </row>
    <row r="70" spans="1:22" x14ac:dyDescent="0.25">
      <c r="A70" t="s">
        <v>384</v>
      </c>
      <c r="B70">
        <v>5308605</v>
      </c>
      <c r="C70" t="s">
        <v>385</v>
      </c>
      <c r="D70">
        <f>VLOOKUP($C70,'2000 Place'!$C$2:$Y$523,5,FALSE)</f>
        <v>648</v>
      </c>
      <c r="E70">
        <f>VLOOKUP($C70,'2000 Place'!$C$2:$Y$523,6,FALSE)</f>
        <v>627</v>
      </c>
      <c r="F70">
        <f>VLOOKUP($C70,'2000 Place'!$C$2:$Y$523,7,FALSE)</f>
        <v>21</v>
      </c>
      <c r="G70">
        <f>VLOOKUP($C70,'2000 Place'!$C$2:$Y$523,8,FALSE)</f>
        <v>581</v>
      </c>
      <c r="H70">
        <f>VLOOKUP($C70,'2000 Place'!$C$2:$Y$523,9,FALSE)</f>
        <v>5</v>
      </c>
      <c r="I70">
        <f>VLOOKUP($C70,'2000 Place'!$C$2:$Y$523,10,FALSE)</f>
        <v>0</v>
      </c>
      <c r="J70">
        <f>VLOOKUP($C70,'2000 Place'!$C$2:$Y$523,11,FALSE)</f>
        <v>0</v>
      </c>
      <c r="K70">
        <f>VLOOKUP($C70,'2000 Place'!$C$2:$Y$523,12,FALSE)</f>
        <v>0</v>
      </c>
      <c r="L70">
        <f>VLOOKUP($C70,'2000 Place'!$C$2:$Y$523,13,FALSE)</f>
        <v>0</v>
      </c>
      <c r="M70">
        <f>VLOOKUP($C70,'2000 Place'!$C$2:$Y$523,14,FALSE)</f>
        <v>10</v>
      </c>
      <c r="N70">
        <f>VLOOKUP($C70,'2000 Place'!$C$2:$Y$523,15,FALSE)</f>
        <v>0</v>
      </c>
      <c r="O70">
        <f>VLOOKUP($C70,'2000 Place'!$C$2:$Y$523,16,FALSE)</f>
        <v>7</v>
      </c>
      <c r="P70">
        <f>VLOOKUP($C70,'2000 Place'!$C$2:$Y$523,17,FALSE)</f>
        <v>7</v>
      </c>
      <c r="Q70">
        <f>VLOOKUP($C70,'2000 Place'!$C$2:$Y$523,18,FALSE)</f>
        <v>0</v>
      </c>
      <c r="R70">
        <f>VLOOKUP($C70,'2000 Place'!$C$2:$Y$523,19,FALSE)</f>
        <v>0</v>
      </c>
      <c r="S70">
        <f>VLOOKUP($C70,'2000 Place'!$C$2:$Y$523,20,FALSE)</f>
        <v>5</v>
      </c>
      <c r="T70">
        <f>VLOOKUP($C70,'2000 Place'!$C$2:$Y$523,21,FALSE)</f>
        <v>9</v>
      </c>
      <c r="U70">
        <f>VLOOKUP($C70,'2000 Place'!$C$2:$Y$523,22,FALSE)</f>
        <v>24</v>
      </c>
      <c r="V70">
        <f>VLOOKUP($C70,'2000 Place'!$C$2:$Y$523,23,FALSE)</f>
        <v>0</v>
      </c>
    </row>
    <row r="71" spans="1:22" x14ac:dyDescent="0.25">
      <c r="A71" t="s">
        <v>386</v>
      </c>
      <c r="B71">
        <v>5308640</v>
      </c>
      <c r="C71" t="s">
        <v>387</v>
      </c>
      <c r="D71" t="e">
        <f>VLOOKUP($C71,'2000 Place'!$C$2:$Y$523,5,FALSE)</f>
        <v>#N/A</v>
      </c>
      <c r="E71" t="e">
        <f>VLOOKUP($C71,'2000 Place'!$C$2:$Y$523,6,FALSE)</f>
        <v>#N/A</v>
      </c>
      <c r="F71" t="e">
        <f>VLOOKUP($C71,'2000 Place'!$C$2:$Y$523,7,FALSE)</f>
        <v>#N/A</v>
      </c>
      <c r="G71" t="e">
        <f>VLOOKUP($C71,'2000 Place'!$C$2:$Y$523,8,FALSE)</f>
        <v>#N/A</v>
      </c>
      <c r="H71" t="e">
        <f>VLOOKUP($C71,'2000 Place'!$C$2:$Y$523,9,FALSE)</f>
        <v>#N/A</v>
      </c>
      <c r="I71" t="e">
        <f>VLOOKUP($C71,'2000 Place'!$C$2:$Y$523,10,FALSE)</f>
        <v>#N/A</v>
      </c>
      <c r="J71" t="e">
        <f>VLOOKUP($C71,'2000 Place'!$C$2:$Y$523,11,FALSE)</f>
        <v>#N/A</v>
      </c>
      <c r="K71" t="e">
        <f>VLOOKUP($C71,'2000 Place'!$C$2:$Y$523,12,FALSE)</f>
        <v>#N/A</v>
      </c>
      <c r="L71" t="e">
        <f>VLOOKUP($C71,'2000 Place'!$C$2:$Y$523,13,FALSE)</f>
        <v>#N/A</v>
      </c>
      <c r="M71" t="e">
        <f>VLOOKUP($C71,'2000 Place'!$C$2:$Y$523,14,FALSE)</f>
        <v>#N/A</v>
      </c>
      <c r="N71" t="e">
        <f>VLOOKUP($C71,'2000 Place'!$C$2:$Y$523,15,FALSE)</f>
        <v>#N/A</v>
      </c>
      <c r="O71" t="e">
        <f>VLOOKUP($C71,'2000 Place'!$C$2:$Y$523,16,FALSE)</f>
        <v>#N/A</v>
      </c>
      <c r="P71" t="e">
        <f>VLOOKUP($C71,'2000 Place'!$C$2:$Y$523,17,FALSE)</f>
        <v>#N/A</v>
      </c>
      <c r="Q71" t="e">
        <f>VLOOKUP($C71,'2000 Place'!$C$2:$Y$523,18,FALSE)</f>
        <v>#N/A</v>
      </c>
      <c r="R71" t="e">
        <f>VLOOKUP($C71,'2000 Place'!$C$2:$Y$523,19,FALSE)</f>
        <v>#N/A</v>
      </c>
      <c r="S71" t="e">
        <f>VLOOKUP($C71,'2000 Place'!$C$2:$Y$523,20,FALSE)</f>
        <v>#N/A</v>
      </c>
      <c r="T71" t="e">
        <f>VLOOKUP($C71,'2000 Place'!$C$2:$Y$523,21,FALSE)</f>
        <v>#N/A</v>
      </c>
      <c r="U71" t="e">
        <f>VLOOKUP($C71,'2000 Place'!$C$2:$Y$523,22,FALSE)</f>
        <v>#N/A</v>
      </c>
      <c r="V71" t="e">
        <f>VLOOKUP($C71,'2000 Place'!$C$2:$Y$523,23,FALSE)</f>
        <v>#N/A</v>
      </c>
    </row>
    <row r="72" spans="1:22" x14ac:dyDescent="0.25">
      <c r="A72" t="s">
        <v>388</v>
      </c>
      <c r="B72">
        <v>5308770</v>
      </c>
      <c r="C72" t="s">
        <v>389</v>
      </c>
      <c r="D72" t="e">
        <f>VLOOKUP($C72,'2000 Place'!$C$2:$Y$523,5,FALSE)</f>
        <v>#N/A</v>
      </c>
      <c r="E72" t="e">
        <f>VLOOKUP($C72,'2000 Place'!$C$2:$Y$523,6,FALSE)</f>
        <v>#N/A</v>
      </c>
      <c r="F72" t="e">
        <f>VLOOKUP($C72,'2000 Place'!$C$2:$Y$523,7,FALSE)</f>
        <v>#N/A</v>
      </c>
      <c r="G72" t="e">
        <f>VLOOKUP($C72,'2000 Place'!$C$2:$Y$523,8,FALSE)</f>
        <v>#N/A</v>
      </c>
      <c r="H72" t="e">
        <f>VLOOKUP($C72,'2000 Place'!$C$2:$Y$523,9,FALSE)</f>
        <v>#N/A</v>
      </c>
      <c r="I72" t="e">
        <f>VLOOKUP($C72,'2000 Place'!$C$2:$Y$523,10,FALSE)</f>
        <v>#N/A</v>
      </c>
      <c r="J72" t="e">
        <f>VLOOKUP($C72,'2000 Place'!$C$2:$Y$523,11,FALSE)</f>
        <v>#N/A</v>
      </c>
      <c r="K72" t="e">
        <f>VLOOKUP($C72,'2000 Place'!$C$2:$Y$523,12,FALSE)</f>
        <v>#N/A</v>
      </c>
      <c r="L72" t="e">
        <f>VLOOKUP($C72,'2000 Place'!$C$2:$Y$523,13,FALSE)</f>
        <v>#N/A</v>
      </c>
      <c r="M72" t="e">
        <f>VLOOKUP($C72,'2000 Place'!$C$2:$Y$523,14,FALSE)</f>
        <v>#N/A</v>
      </c>
      <c r="N72" t="e">
        <f>VLOOKUP($C72,'2000 Place'!$C$2:$Y$523,15,FALSE)</f>
        <v>#N/A</v>
      </c>
      <c r="O72" t="e">
        <f>VLOOKUP($C72,'2000 Place'!$C$2:$Y$523,16,FALSE)</f>
        <v>#N/A</v>
      </c>
      <c r="P72" t="e">
        <f>VLOOKUP($C72,'2000 Place'!$C$2:$Y$523,17,FALSE)</f>
        <v>#N/A</v>
      </c>
      <c r="Q72" t="e">
        <f>VLOOKUP($C72,'2000 Place'!$C$2:$Y$523,18,FALSE)</f>
        <v>#N/A</v>
      </c>
      <c r="R72" t="e">
        <f>VLOOKUP($C72,'2000 Place'!$C$2:$Y$523,19,FALSE)</f>
        <v>#N/A</v>
      </c>
      <c r="S72" t="e">
        <f>VLOOKUP($C72,'2000 Place'!$C$2:$Y$523,20,FALSE)</f>
        <v>#N/A</v>
      </c>
      <c r="T72" t="e">
        <f>VLOOKUP($C72,'2000 Place'!$C$2:$Y$523,21,FALSE)</f>
        <v>#N/A</v>
      </c>
      <c r="U72" t="e">
        <f>VLOOKUP($C72,'2000 Place'!$C$2:$Y$523,22,FALSE)</f>
        <v>#N/A</v>
      </c>
      <c r="V72" t="e">
        <f>VLOOKUP($C72,'2000 Place'!$C$2:$Y$523,23,FALSE)</f>
        <v>#N/A</v>
      </c>
    </row>
    <row r="73" spans="1:22" x14ac:dyDescent="0.25">
      <c r="A73" t="s">
        <v>390</v>
      </c>
      <c r="B73">
        <v>5308780</v>
      </c>
      <c r="C73" t="s">
        <v>391</v>
      </c>
      <c r="D73">
        <f>VLOOKUP($C73,'2000 Place'!$C$2:$Y$523,5,FALSE)</f>
        <v>3394</v>
      </c>
      <c r="E73">
        <f>VLOOKUP($C73,'2000 Place'!$C$2:$Y$523,6,FALSE)</f>
        <v>3136</v>
      </c>
      <c r="F73">
        <f>VLOOKUP($C73,'2000 Place'!$C$2:$Y$523,7,FALSE)</f>
        <v>258</v>
      </c>
      <c r="G73">
        <f>VLOOKUP($C73,'2000 Place'!$C$2:$Y$523,8,FALSE)</f>
        <v>2790</v>
      </c>
      <c r="H73">
        <f>VLOOKUP($C73,'2000 Place'!$C$2:$Y$523,9,FALSE)</f>
        <v>105</v>
      </c>
      <c r="I73">
        <f>VLOOKUP($C73,'2000 Place'!$C$2:$Y$523,10,FALSE)</f>
        <v>82</v>
      </c>
      <c r="J73">
        <f>VLOOKUP($C73,'2000 Place'!$C$2:$Y$523,11,FALSE)</f>
        <v>18</v>
      </c>
      <c r="K73">
        <f>VLOOKUP($C73,'2000 Place'!$C$2:$Y$523,12,FALSE)</f>
        <v>16</v>
      </c>
      <c r="L73">
        <f>VLOOKUP($C73,'2000 Place'!$C$2:$Y$523,13,FALSE)</f>
        <v>0</v>
      </c>
      <c r="M73">
        <f>VLOOKUP($C73,'2000 Place'!$C$2:$Y$523,14,FALSE)</f>
        <v>46</v>
      </c>
      <c r="N73">
        <f>VLOOKUP($C73,'2000 Place'!$C$2:$Y$523,15,FALSE)</f>
        <v>0</v>
      </c>
      <c r="O73">
        <f>VLOOKUP($C73,'2000 Place'!$C$2:$Y$523,16,FALSE)</f>
        <v>0</v>
      </c>
      <c r="P73">
        <f>VLOOKUP($C73,'2000 Place'!$C$2:$Y$523,17,FALSE)</f>
        <v>45</v>
      </c>
      <c r="Q73">
        <f>VLOOKUP($C73,'2000 Place'!$C$2:$Y$523,18,FALSE)</f>
        <v>0</v>
      </c>
      <c r="R73">
        <f>VLOOKUP($C73,'2000 Place'!$C$2:$Y$523,19,FALSE)</f>
        <v>0</v>
      </c>
      <c r="S73">
        <f>VLOOKUP($C73,'2000 Place'!$C$2:$Y$523,20,FALSE)</f>
        <v>112</v>
      </c>
      <c r="T73">
        <f>VLOOKUP($C73,'2000 Place'!$C$2:$Y$523,21,FALSE)</f>
        <v>76</v>
      </c>
      <c r="U73">
        <f>VLOOKUP($C73,'2000 Place'!$C$2:$Y$523,22,FALSE)</f>
        <v>90</v>
      </c>
      <c r="V73">
        <f>VLOOKUP($C73,'2000 Place'!$C$2:$Y$523,23,FALSE)</f>
        <v>14</v>
      </c>
    </row>
    <row r="74" spans="1:22" x14ac:dyDescent="0.25">
      <c r="A74" t="s">
        <v>392</v>
      </c>
      <c r="B74">
        <v>5308850</v>
      </c>
      <c r="C74" t="s">
        <v>393</v>
      </c>
      <c r="D74">
        <f>VLOOKUP($C74,'2000 Place'!$C$2:$Y$523,5,FALSE) + VLOOKUP("Riverton-Boulevard Park CDP, Washington",'2000 Place'!$C$2:$Y$523,5,FALSE)/2</f>
        <v>37438.5</v>
      </c>
      <c r="E74">
        <f>VLOOKUP($C74,'2000 Place'!$C$2:$Y$523,6,FALSE)+VLOOKUP("Riverton-Boulevard Park CDP, Washington",'2000 Place'!$C$2:$Y$523,6,FALSE)/2</f>
        <v>30934.5</v>
      </c>
      <c r="F74">
        <f>VLOOKUP($C74,'2000 Place'!$C$2:$Y$523,7,FALSE) + VLOOKUP("Riverton-Boulevard Park CDP, Washington",'2000 Place'!$C$2:$Y$523,7,FALSE)/2</f>
        <v>6504</v>
      </c>
      <c r="G74">
        <f>VLOOKUP($C74,'2000 Place'!$C$2:$Y$523,8,FALSE)+VLOOKUP("Riverton-Boulevard Park CDP, Washington",'2000 Place'!$C$2:$Y$523,8,FALSE)/2</f>
        <v>24345</v>
      </c>
      <c r="H74">
        <f>VLOOKUP($C74,'2000 Place'!$C$2:$Y$523,9,FALSE)+VLOOKUP("Riverton-Boulevard Park CDP, Washington",'2000 Place'!$C$2:$Y$523,9,FALSE)/2</f>
        <v>1544</v>
      </c>
      <c r="I74">
        <f>VLOOKUP($C74,'2000 Place'!$C$2:$Y$523,10,FALSE)+VLOOKUP("Riverton-Boulevard Park CDP, Washington",'2000 Place'!$C$2:$Y$523,10,FALSE)/2</f>
        <v>831.5</v>
      </c>
      <c r="J74">
        <f>VLOOKUP($C74,'2000 Place'!$C$2:$Y$523,11,FALSE)+VLOOKUP("Riverton-Boulevard Park CDP, Washington",'2000 Place'!$C$2:$Y$523,11,FALSE)/2</f>
        <v>625</v>
      </c>
      <c r="K74">
        <f>VLOOKUP($C74,'2000 Place'!$C$2:$Y$523,12,FALSE)+VLOOKUP("Riverton-Boulevard Park CDP, Washington",'2000 Place'!$C$2:$Y$523,12,FALSE)/2</f>
        <v>1771</v>
      </c>
      <c r="L74">
        <f>VLOOKUP($C74,'2000 Place'!$C$2:$Y$523,13,FALSE)+VLOOKUP("Riverton-Boulevard Park CDP, Washington",'2000 Place'!$C$2:$Y$523,13,FALSE)/2</f>
        <v>261.5</v>
      </c>
      <c r="M74">
        <f>VLOOKUP($C74,'2000 Place'!$C$2:$Y$523,14,FALSE)+VLOOKUP("Riverton-Boulevard Park CDP, Washington",'2000 Place'!$C$2:$Y$523,14,FALSE)/2</f>
        <v>405.5</v>
      </c>
      <c r="N74">
        <f>VLOOKUP($C74,'2000 Place'!$C$2:$Y$523,15,FALSE)+VLOOKUP("Riverton-Boulevard Park CDP, Washington",'2000 Place'!$C$2:$Y$523,15,FALSE)/2</f>
        <v>0</v>
      </c>
      <c r="O74">
        <f>VLOOKUP($C74,'2000 Place'!$C$2:$Y$523,16,FALSE)+VLOOKUP("Riverton-Boulevard Park CDP, Washington",'2000 Place'!$C$2:$Y$523,16,FALSE)/2</f>
        <v>923</v>
      </c>
      <c r="P74">
        <f>VLOOKUP($C74,'2000 Place'!$C$2:$Y$523,17,FALSE)+VLOOKUP("Riverton-Boulevard Park CDP, Washington",'2000 Place'!$C$2:$Y$523,17,FALSE)/2</f>
        <v>1977</v>
      </c>
      <c r="Q74">
        <f>VLOOKUP($C74,'2000 Place'!$C$2:$Y$523,18,FALSE)+VLOOKUP("Riverton-Boulevard Park CDP, Washington",'2000 Place'!$C$2:$Y$523,18,FALSE)/2</f>
        <v>210</v>
      </c>
      <c r="R74">
        <f>VLOOKUP($C74,'2000 Place'!$C$2:$Y$523,19,FALSE)+VLOOKUP("Riverton-Boulevard Park CDP, Washington",'2000 Place'!$C$2:$Y$523,19,FALSE)/2</f>
        <v>202.5</v>
      </c>
      <c r="S74">
        <f>VLOOKUP($C74,'2000 Place'!$C$2:$Y$523,20,FALSE)+VLOOKUP("Riverton-Boulevard Park CDP, Washington",'2000 Place'!$C$2:$Y$523,20,FALSE)/2</f>
        <v>1056.5</v>
      </c>
      <c r="T74">
        <f>VLOOKUP($C74,'2000 Place'!$C$2:$Y$523,21,FALSE)+VLOOKUP("Riverton-Boulevard Park CDP, Washington",'2000 Place'!$C$2:$Y$523,21,FALSE)/2</f>
        <v>1341</v>
      </c>
      <c r="U74">
        <f>VLOOKUP($C74,'2000 Place'!$C$2:$Y$523,22,FALSE)+VLOOKUP("Riverton-Boulevard Park CDP, Washington",'2000 Place'!$C$2:$Y$523,22,FALSE)/2</f>
        <v>1392</v>
      </c>
      <c r="V74">
        <f>VLOOKUP($C74,'2000 Place'!$C$2:$Y$523,23,FALSE)+VLOOKUP("Riverton-Boulevard Park CDP, Washington",'2000 Place'!$C$2:$Y$523,23,FALSE)/2</f>
        <v>553</v>
      </c>
    </row>
    <row r="75" spans="1:22" x14ac:dyDescent="0.25">
      <c r="A75" t="s">
        <v>394</v>
      </c>
      <c r="B75">
        <v>5308885</v>
      </c>
      <c r="C75" t="s">
        <v>395</v>
      </c>
      <c r="D75" t="e">
        <f>VLOOKUP($C75,'2000 Place'!$C$2:$Y$523,5,FALSE)</f>
        <v>#N/A</v>
      </c>
      <c r="E75" t="e">
        <f>VLOOKUP($C75,'2000 Place'!$C$2:$Y$523,6,FALSE)</f>
        <v>#N/A</v>
      </c>
      <c r="F75" t="e">
        <f>VLOOKUP($C75,'2000 Place'!$C$2:$Y$523,7,FALSE)</f>
        <v>#N/A</v>
      </c>
      <c r="G75" t="e">
        <f>VLOOKUP($C75,'2000 Place'!$C$2:$Y$523,8,FALSE)</f>
        <v>#N/A</v>
      </c>
      <c r="H75" t="e">
        <f>VLOOKUP($C75,'2000 Place'!$C$2:$Y$523,9,FALSE)</f>
        <v>#N/A</v>
      </c>
      <c r="I75" t="e">
        <f>VLOOKUP($C75,'2000 Place'!$C$2:$Y$523,10,FALSE)</f>
        <v>#N/A</v>
      </c>
      <c r="J75" t="e">
        <f>VLOOKUP($C75,'2000 Place'!$C$2:$Y$523,11,FALSE)</f>
        <v>#N/A</v>
      </c>
      <c r="K75" t="e">
        <f>VLOOKUP($C75,'2000 Place'!$C$2:$Y$523,12,FALSE)</f>
        <v>#N/A</v>
      </c>
      <c r="L75" t="e">
        <f>VLOOKUP($C75,'2000 Place'!$C$2:$Y$523,13,FALSE)</f>
        <v>#N/A</v>
      </c>
      <c r="M75" t="e">
        <f>VLOOKUP($C75,'2000 Place'!$C$2:$Y$523,14,FALSE)</f>
        <v>#N/A</v>
      </c>
      <c r="N75" t="e">
        <f>VLOOKUP($C75,'2000 Place'!$C$2:$Y$523,15,FALSE)</f>
        <v>#N/A</v>
      </c>
      <c r="O75" t="e">
        <f>VLOOKUP($C75,'2000 Place'!$C$2:$Y$523,16,FALSE)</f>
        <v>#N/A</v>
      </c>
      <c r="P75" t="e">
        <f>VLOOKUP($C75,'2000 Place'!$C$2:$Y$523,17,FALSE)</f>
        <v>#N/A</v>
      </c>
      <c r="Q75" t="e">
        <f>VLOOKUP($C75,'2000 Place'!$C$2:$Y$523,18,FALSE)</f>
        <v>#N/A</v>
      </c>
      <c r="R75" t="e">
        <f>VLOOKUP($C75,'2000 Place'!$C$2:$Y$523,19,FALSE)</f>
        <v>#N/A</v>
      </c>
      <c r="S75" t="e">
        <f>VLOOKUP($C75,'2000 Place'!$C$2:$Y$523,20,FALSE)</f>
        <v>#N/A</v>
      </c>
      <c r="T75" t="e">
        <f>VLOOKUP($C75,'2000 Place'!$C$2:$Y$523,21,FALSE)</f>
        <v>#N/A</v>
      </c>
      <c r="U75" t="e">
        <f>VLOOKUP($C75,'2000 Place'!$C$2:$Y$523,22,FALSE)</f>
        <v>#N/A</v>
      </c>
      <c r="V75" t="e">
        <f>VLOOKUP($C75,'2000 Place'!$C$2:$Y$523,23,FALSE)</f>
        <v>#N/A</v>
      </c>
    </row>
    <row r="76" spans="1:22" x14ac:dyDescent="0.25">
      <c r="A76" t="s">
        <v>396</v>
      </c>
      <c r="B76">
        <v>5308920</v>
      </c>
      <c r="C76" t="s">
        <v>397</v>
      </c>
      <c r="D76">
        <f>VLOOKUP($C76,'2000 Place'!$C$2:$Y$523,5,FALSE)</f>
        <v>6623</v>
      </c>
      <c r="E76">
        <f>VLOOKUP($C76,'2000 Place'!$C$2:$Y$523,6,FALSE)</f>
        <v>5763</v>
      </c>
      <c r="F76">
        <f>VLOOKUP($C76,'2000 Place'!$C$2:$Y$523,7,FALSE)</f>
        <v>860</v>
      </c>
      <c r="G76">
        <f>VLOOKUP($C76,'2000 Place'!$C$2:$Y$523,8,FALSE)</f>
        <v>4396</v>
      </c>
      <c r="H76">
        <f>VLOOKUP($C76,'2000 Place'!$C$2:$Y$523,9,FALSE)</f>
        <v>93</v>
      </c>
      <c r="I76">
        <f>VLOOKUP($C76,'2000 Place'!$C$2:$Y$523,10,FALSE)</f>
        <v>416</v>
      </c>
      <c r="J76">
        <f>VLOOKUP($C76,'2000 Place'!$C$2:$Y$523,11,FALSE)</f>
        <v>125</v>
      </c>
      <c r="K76">
        <f>VLOOKUP($C76,'2000 Place'!$C$2:$Y$523,12,FALSE)</f>
        <v>60</v>
      </c>
      <c r="L76">
        <f>VLOOKUP($C76,'2000 Place'!$C$2:$Y$523,13,FALSE)</f>
        <v>8</v>
      </c>
      <c r="M76">
        <f>VLOOKUP($C76,'2000 Place'!$C$2:$Y$523,14,FALSE)</f>
        <v>30</v>
      </c>
      <c r="N76">
        <f>VLOOKUP($C76,'2000 Place'!$C$2:$Y$523,15,FALSE)</f>
        <v>14</v>
      </c>
      <c r="O76">
        <f>VLOOKUP($C76,'2000 Place'!$C$2:$Y$523,16,FALSE)</f>
        <v>30</v>
      </c>
      <c r="P76">
        <f>VLOOKUP($C76,'2000 Place'!$C$2:$Y$523,17,FALSE)</f>
        <v>78</v>
      </c>
      <c r="Q76">
        <f>VLOOKUP($C76,'2000 Place'!$C$2:$Y$523,18,FALSE)</f>
        <v>4</v>
      </c>
      <c r="R76">
        <f>VLOOKUP($C76,'2000 Place'!$C$2:$Y$523,19,FALSE)</f>
        <v>0</v>
      </c>
      <c r="S76">
        <f>VLOOKUP($C76,'2000 Place'!$C$2:$Y$523,20,FALSE)</f>
        <v>655</v>
      </c>
      <c r="T76">
        <f>VLOOKUP($C76,'2000 Place'!$C$2:$Y$523,21,FALSE)</f>
        <v>469</v>
      </c>
      <c r="U76">
        <f>VLOOKUP($C76,'2000 Place'!$C$2:$Y$523,22,FALSE)</f>
        <v>172</v>
      </c>
      <c r="V76">
        <f>VLOOKUP($C76,'2000 Place'!$C$2:$Y$523,23,FALSE)</f>
        <v>73</v>
      </c>
    </row>
    <row r="77" spans="1:22" x14ac:dyDescent="0.25">
      <c r="A77" t="s">
        <v>398</v>
      </c>
      <c r="B77">
        <v>5309365</v>
      </c>
      <c r="C77" t="s">
        <v>399</v>
      </c>
      <c r="D77">
        <f>VLOOKUP($C77,'2000 Place'!$C$2:$Y$523,5,FALSE)</f>
        <v>13529</v>
      </c>
      <c r="E77">
        <f>VLOOKUP($C77,'2000 Place'!$C$2:$Y$523,6,FALSE)</f>
        <v>12814</v>
      </c>
      <c r="F77">
        <f>VLOOKUP($C77,'2000 Place'!$C$2:$Y$523,7,FALSE)</f>
        <v>715</v>
      </c>
      <c r="G77">
        <f>VLOOKUP($C77,'2000 Place'!$C$2:$Y$523,8,FALSE)</f>
        <v>12174</v>
      </c>
      <c r="H77">
        <f>VLOOKUP($C77,'2000 Place'!$C$2:$Y$523,9,FALSE)</f>
        <v>567</v>
      </c>
      <c r="I77">
        <f>VLOOKUP($C77,'2000 Place'!$C$2:$Y$523,10,FALSE)</f>
        <v>188</v>
      </c>
      <c r="J77">
        <f>VLOOKUP($C77,'2000 Place'!$C$2:$Y$523,11,FALSE)</f>
        <v>40</v>
      </c>
      <c r="K77">
        <f>VLOOKUP($C77,'2000 Place'!$C$2:$Y$523,12,FALSE)</f>
        <v>61</v>
      </c>
      <c r="L77">
        <f>VLOOKUP($C77,'2000 Place'!$C$2:$Y$523,13,FALSE)</f>
        <v>0</v>
      </c>
      <c r="M77">
        <f>VLOOKUP($C77,'2000 Place'!$C$2:$Y$523,14,FALSE)</f>
        <v>100</v>
      </c>
      <c r="N77">
        <f>VLOOKUP($C77,'2000 Place'!$C$2:$Y$523,15,FALSE)</f>
        <v>0</v>
      </c>
      <c r="O77">
        <f>VLOOKUP($C77,'2000 Place'!$C$2:$Y$523,16,FALSE)</f>
        <v>47</v>
      </c>
      <c r="P77">
        <f>VLOOKUP($C77,'2000 Place'!$C$2:$Y$523,17,FALSE)</f>
        <v>74</v>
      </c>
      <c r="Q77">
        <f>VLOOKUP($C77,'2000 Place'!$C$2:$Y$523,18,FALSE)</f>
        <v>26</v>
      </c>
      <c r="R77">
        <f>VLOOKUP($C77,'2000 Place'!$C$2:$Y$523,19,FALSE)</f>
        <v>5</v>
      </c>
      <c r="S77">
        <f>VLOOKUP($C77,'2000 Place'!$C$2:$Y$523,20,FALSE)</f>
        <v>49</v>
      </c>
      <c r="T77">
        <f>VLOOKUP($C77,'2000 Place'!$C$2:$Y$523,21,FALSE)</f>
        <v>11</v>
      </c>
      <c r="U77">
        <f>VLOOKUP($C77,'2000 Place'!$C$2:$Y$523,22,FALSE)</f>
        <v>169</v>
      </c>
      <c r="V77">
        <f>VLOOKUP($C77,'2000 Place'!$C$2:$Y$523,23,FALSE)</f>
        <v>18</v>
      </c>
    </row>
    <row r="78" spans="1:22" x14ac:dyDescent="0.25">
      <c r="A78" t="s">
        <v>400</v>
      </c>
      <c r="B78">
        <v>5309480</v>
      </c>
      <c r="C78" t="s">
        <v>401</v>
      </c>
      <c r="D78">
        <f>VLOOKUP($C78,'2000 Place'!$C$2:$Y$523,5,FALSE)</f>
        <v>12682</v>
      </c>
      <c r="E78">
        <f>VLOOKUP($C78,'2000 Place'!$C$2:$Y$523,6,FALSE)</f>
        <v>11979</v>
      </c>
      <c r="F78">
        <f>VLOOKUP($C78,'2000 Place'!$C$2:$Y$523,7,FALSE)</f>
        <v>703</v>
      </c>
      <c r="G78">
        <f>VLOOKUP($C78,'2000 Place'!$C$2:$Y$523,8,FALSE)</f>
        <v>11070</v>
      </c>
      <c r="H78">
        <f>VLOOKUP($C78,'2000 Place'!$C$2:$Y$523,9,FALSE)</f>
        <v>359</v>
      </c>
      <c r="I78">
        <f>VLOOKUP($C78,'2000 Place'!$C$2:$Y$523,10,FALSE)</f>
        <v>220</v>
      </c>
      <c r="J78">
        <f>VLOOKUP($C78,'2000 Place'!$C$2:$Y$523,11,FALSE)</f>
        <v>0</v>
      </c>
      <c r="K78">
        <f>VLOOKUP($C78,'2000 Place'!$C$2:$Y$523,12,FALSE)</f>
        <v>51</v>
      </c>
      <c r="L78">
        <f>VLOOKUP($C78,'2000 Place'!$C$2:$Y$523,13,FALSE)</f>
        <v>5</v>
      </c>
      <c r="M78">
        <f>VLOOKUP($C78,'2000 Place'!$C$2:$Y$523,14,FALSE)</f>
        <v>109</v>
      </c>
      <c r="N78">
        <f>VLOOKUP($C78,'2000 Place'!$C$2:$Y$523,15,FALSE)</f>
        <v>0</v>
      </c>
      <c r="O78">
        <f>VLOOKUP($C78,'2000 Place'!$C$2:$Y$523,16,FALSE)</f>
        <v>137</v>
      </c>
      <c r="P78">
        <f>VLOOKUP($C78,'2000 Place'!$C$2:$Y$523,17,FALSE)</f>
        <v>290</v>
      </c>
      <c r="Q78">
        <f>VLOOKUP($C78,'2000 Place'!$C$2:$Y$523,18,FALSE)</f>
        <v>35</v>
      </c>
      <c r="R78">
        <f>VLOOKUP($C78,'2000 Place'!$C$2:$Y$523,19,FALSE)</f>
        <v>20</v>
      </c>
      <c r="S78">
        <f>VLOOKUP($C78,'2000 Place'!$C$2:$Y$523,20,FALSE)</f>
        <v>118</v>
      </c>
      <c r="T78">
        <f>VLOOKUP($C78,'2000 Place'!$C$2:$Y$523,21,FALSE)</f>
        <v>29</v>
      </c>
      <c r="U78">
        <f>VLOOKUP($C78,'2000 Place'!$C$2:$Y$523,22,FALSE)</f>
        <v>239</v>
      </c>
      <c r="V78">
        <f>VLOOKUP($C78,'2000 Place'!$C$2:$Y$523,23,FALSE)</f>
        <v>0</v>
      </c>
    </row>
    <row r="79" spans="1:22" x14ac:dyDescent="0.25">
      <c r="A79" t="s">
        <v>402</v>
      </c>
      <c r="B79">
        <v>5309810</v>
      </c>
      <c r="C79" t="s">
        <v>403</v>
      </c>
      <c r="D79" t="e">
        <f>VLOOKUP($C79,'2000 Place'!$C$2:$Y$523,5,FALSE)</f>
        <v>#N/A</v>
      </c>
      <c r="E79" t="e">
        <f>VLOOKUP($C79,'2000 Place'!$C$2:$Y$523,6,FALSE)</f>
        <v>#N/A</v>
      </c>
      <c r="F79" t="e">
        <f>VLOOKUP($C79,'2000 Place'!$C$2:$Y$523,7,FALSE)</f>
        <v>#N/A</v>
      </c>
      <c r="G79" t="e">
        <f>VLOOKUP($C79,'2000 Place'!$C$2:$Y$523,8,FALSE)</f>
        <v>#N/A</v>
      </c>
      <c r="H79" t="e">
        <f>VLOOKUP($C79,'2000 Place'!$C$2:$Y$523,9,FALSE)</f>
        <v>#N/A</v>
      </c>
      <c r="I79" t="e">
        <f>VLOOKUP($C79,'2000 Place'!$C$2:$Y$523,10,FALSE)</f>
        <v>#N/A</v>
      </c>
      <c r="J79" t="e">
        <f>VLOOKUP($C79,'2000 Place'!$C$2:$Y$523,11,FALSE)</f>
        <v>#N/A</v>
      </c>
      <c r="K79" t="e">
        <f>VLOOKUP($C79,'2000 Place'!$C$2:$Y$523,12,FALSE)</f>
        <v>#N/A</v>
      </c>
      <c r="L79" t="e">
        <f>VLOOKUP($C79,'2000 Place'!$C$2:$Y$523,13,FALSE)</f>
        <v>#N/A</v>
      </c>
      <c r="M79" t="e">
        <f>VLOOKUP($C79,'2000 Place'!$C$2:$Y$523,14,FALSE)</f>
        <v>#N/A</v>
      </c>
      <c r="N79" t="e">
        <f>VLOOKUP($C79,'2000 Place'!$C$2:$Y$523,15,FALSE)</f>
        <v>#N/A</v>
      </c>
      <c r="O79" t="e">
        <f>VLOOKUP($C79,'2000 Place'!$C$2:$Y$523,16,FALSE)</f>
        <v>#N/A</v>
      </c>
      <c r="P79" t="e">
        <f>VLOOKUP($C79,'2000 Place'!$C$2:$Y$523,17,FALSE)</f>
        <v>#N/A</v>
      </c>
      <c r="Q79" t="e">
        <f>VLOOKUP($C79,'2000 Place'!$C$2:$Y$523,18,FALSE)</f>
        <v>#N/A</v>
      </c>
      <c r="R79" t="e">
        <f>VLOOKUP($C79,'2000 Place'!$C$2:$Y$523,19,FALSE)</f>
        <v>#N/A</v>
      </c>
      <c r="S79" t="e">
        <f>VLOOKUP($C79,'2000 Place'!$C$2:$Y$523,20,FALSE)</f>
        <v>#N/A</v>
      </c>
      <c r="T79" t="e">
        <f>VLOOKUP($C79,'2000 Place'!$C$2:$Y$523,21,FALSE)</f>
        <v>#N/A</v>
      </c>
      <c r="U79" t="e">
        <f>VLOOKUP($C79,'2000 Place'!$C$2:$Y$523,22,FALSE)</f>
        <v>#N/A</v>
      </c>
      <c r="V79" t="e">
        <f>VLOOKUP($C79,'2000 Place'!$C$2:$Y$523,23,FALSE)</f>
        <v>#N/A</v>
      </c>
    </row>
    <row r="80" spans="1:22" x14ac:dyDescent="0.25">
      <c r="A80" t="s">
        <v>404</v>
      </c>
      <c r="B80">
        <v>5309820</v>
      </c>
      <c r="C80" t="s">
        <v>405</v>
      </c>
      <c r="D80" t="e">
        <f>VLOOKUP($C80,'2000 Place'!$C$2:$Y$523,5,FALSE)</f>
        <v>#N/A</v>
      </c>
      <c r="E80" t="e">
        <f>VLOOKUP($C80,'2000 Place'!$C$2:$Y$523,6,FALSE)</f>
        <v>#N/A</v>
      </c>
      <c r="F80" t="e">
        <f>VLOOKUP($C80,'2000 Place'!$C$2:$Y$523,7,FALSE)</f>
        <v>#N/A</v>
      </c>
      <c r="G80" t="e">
        <f>VLOOKUP($C80,'2000 Place'!$C$2:$Y$523,8,FALSE)</f>
        <v>#N/A</v>
      </c>
      <c r="H80" t="e">
        <f>VLOOKUP($C80,'2000 Place'!$C$2:$Y$523,9,FALSE)</f>
        <v>#N/A</v>
      </c>
      <c r="I80" t="e">
        <f>VLOOKUP($C80,'2000 Place'!$C$2:$Y$523,10,FALSE)</f>
        <v>#N/A</v>
      </c>
      <c r="J80" t="e">
        <f>VLOOKUP($C80,'2000 Place'!$C$2:$Y$523,11,FALSE)</f>
        <v>#N/A</v>
      </c>
      <c r="K80" t="e">
        <f>VLOOKUP($C80,'2000 Place'!$C$2:$Y$523,12,FALSE)</f>
        <v>#N/A</v>
      </c>
      <c r="L80" t="e">
        <f>VLOOKUP($C80,'2000 Place'!$C$2:$Y$523,13,FALSE)</f>
        <v>#N/A</v>
      </c>
      <c r="M80" t="e">
        <f>VLOOKUP($C80,'2000 Place'!$C$2:$Y$523,14,FALSE)</f>
        <v>#N/A</v>
      </c>
      <c r="N80" t="e">
        <f>VLOOKUP($C80,'2000 Place'!$C$2:$Y$523,15,FALSE)</f>
        <v>#N/A</v>
      </c>
      <c r="O80" t="e">
        <f>VLOOKUP($C80,'2000 Place'!$C$2:$Y$523,16,FALSE)</f>
        <v>#N/A</v>
      </c>
      <c r="P80" t="e">
        <f>VLOOKUP($C80,'2000 Place'!$C$2:$Y$523,17,FALSE)</f>
        <v>#N/A</v>
      </c>
      <c r="Q80" t="e">
        <f>VLOOKUP($C80,'2000 Place'!$C$2:$Y$523,18,FALSE)</f>
        <v>#N/A</v>
      </c>
      <c r="R80" t="e">
        <f>VLOOKUP($C80,'2000 Place'!$C$2:$Y$523,19,FALSE)</f>
        <v>#N/A</v>
      </c>
      <c r="S80" t="e">
        <f>VLOOKUP($C80,'2000 Place'!$C$2:$Y$523,20,FALSE)</f>
        <v>#N/A</v>
      </c>
      <c r="T80" t="e">
        <f>VLOOKUP($C80,'2000 Place'!$C$2:$Y$523,21,FALSE)</f>
        <v>#N/A</v>
      </c>
      <c r="U80" t="e">
        <f>VLOOKUP($C80,'2000 Place'!$C$2:$Y$523,22,FALSE)</f>
        <v>#N/A</v>
      </c>
      <c r="V80" t="e">
        <f>VLOOKUP($C80,'2000 Place'!$C$2:$Y$523,23,FALSE)</f>
        <v>#N/A</v>
      </c>
    </row>
    <row r="81" spans="1:22" x14ac:dyDescent="0.25">
      <c r="A81" t="s">
        <v>406</v>
      </c>
      <c r="B81">
        <v>5309970</v>
      </c>
      <c r="C81" t="s">
        <v>407</v>
      </c>
      <c r="D81">
        <f>VLOOKUP($C81,'2000 Place'!$C$2:$Y$523,5,FALSE)</f>
        <v>784</v>
      </c>
      <c r="E81">
        <f>VLOOKUP($C81,'2000 Place'!$C$2:$Y$523,6,FALSE)</f>
        <v>780</v>
      </c>
      <c r="F81">
        <f>VLOOKUP($C81,'2000 Place'!$C$2:$Y$523,7,FALSE)</f>
        <v>4</v>
      </c>
      <c r="G81">
        <f>VLOOKUP($C81,'2000 Place'!$C$2:$Y$523,8,FALSE)</f>
        <v>751</v>
      </c>
      <c r="H81">
        <f>VLOOKUP($C81,'2000 Place'!$C$2:$Y$523,9,FALSE)</f>
        <v>4</v>
      </c>
      <c r="I81">
        <f>VLOOKUP($C81,'2000 Place'!$C$2:$Y$523,10,FALSE)</f>
        <v>6</v>
      </c>
      <c r="J81">
        <f>VLOOKUP($C81,'2000 Place'!$C$2:$Y$523,11,FALSE)</f>
        <v>0</v>
      </c>
      <c r="K81">
        <f>VLOOKUP($C81,'2000 Place'!$C$2:$Y$523,12,FALSE)</f>
        <v>0</v>
      </c>
      <c r="L81">
        <f>VLOOKUP($C81,'2000 Place'!$C$2:$Y$523,13,FALSE)</f>
        <v>0</v>
      </c>
      <c r="M81">
        <f>VLOOKUP($C81,'2000 Place'!$C$2:$Y$523,14,FALSE)</f>
        <v>3</v>
      </c>
      <c r="N81">
        <f>VLOOKUP($C81,'2000 Place'!$C$2:$Y$523,15,FALSE)</f>
        <v>0</v>
      </c>
      <c r="O81">
        <f>VLOOKUP($C81,'2000 Place'!$C$2:$Y$523,16,FALSE)</f>
        <v>0</v>
      </c>
      <c r="P81">
        <f>VLOOKUP($C81,'2000 Place'!$C$2:$Y$523,17,FALSE)</f>
        <v>0</v>
      </c>
      <c r="Q81">
        <f>VLOOKUP($C81,'2000 Place'!$C$2:$Y$523,18,FALSE)</f>
        <v>0</v>
      </c>
      <c r="R81">
        <f>VLOOKUP($C81,'2000 Place'!$C$2:$Y$523,19,FALSE)</f>
        <v>0</v>
      </c>
      <c r="S81">
        <f>VLOOKUP($C81,'2000 Place'!$C$2:$Y$523,20,FALSE)</f>
        <v>2</v>
      </c>
      <c r="T81">
        <f>VLOOKUP($C81,'2000 Place'!$C$2:$Y$523,21,FALSE)</f>
        <v>0</v>
      </c>
      <c r="U81">
        <f>VLOOKUP($C81,'2000 Place'!$C$2:$Y$523,22,FALSE)</f>
        <v>18</v>
      </c>
      <c r="V81">
        <f>VLOOKUP($C81,'2000 Place'!$C$2:$Y$523,23,FALSE)</f>
        <v>0</v>
      </c>
    </row>
    <row r="82" spans="1:22" x14ac:dyDescent="0.25">
      <c r="A82" t="s">
        <v>408</v>
      </c>
      <c r="B82">
        <v>5310075</v>
      </c>
      <c r="C82" t="s">
        <v>409</v>
      </c>
      <c r="D82">
        <f>VLOOKUP($C82,'2000 Place'!$C$2:$Y$523,5,FALSE)</f>
        <v>762</v>
      </c>
      <c r="E82">
        <f>VLOOKUP($C82,'2000 Place'!$C$2:$Y$523,6,FALSE)</f>
        <v>701</v>
      </c>
      <c r="F82">
        <f>VLOOKUP($C82,'2000 Place'!$C$2:$Y$523,7,FALSE)</f>
        <v>61</v>
      </c>
      <c r="G82">
        <f>VLOOKUP($C82,'2000 Place'!$C$2:$Y$523,8,FALSE)</f>
        <v>669</v>
      </c>
      <c r="H82">
        <f>VLOOKUP($C82,'2000 Place'!$C$2:$Y$523,9,FALSE)</f>
        <v>61</v>
      </c>
      <c r="I82">
        <f>VLOOKUP($C82,'2000 Place'!$C$2:$Y$523,10,FALSE)</f>
        <v>12</v>
      </c>
      <c r="J82">
        <f>VLOOKUP($C82,'2000 Place'!$C$2:$Y$523,11,FALSE)</f>
        <v>0</v>
      </c>
      <c r="K82">
        <f>VLOOKUP($C82,'2000 Place'!$C$2:$Y$523,12,FALSE)</f>
        <v>0</v>
      </c>
      <c r="L82">
        <f>VLOOKUP($C82,'2000 Place'!$C$2:$Y$523,13,FALSE)</f>
        <v>0</v>
      </c>
      <c r="M82">
        <f>VLOOKUP($C82,'2000 Place'!$C$2:$Y$523,14,FALSE)</f>
        <v>8</v>
      </c>
      <c r="N82">
        <f>VLOOKUP($C82,'2000 Place'!$C$2:$Y$523,15,FALSE)</f>
        <v>0</v>
      </c>
      <c r="O82">
        <f>VLOOKUP($C82,'2000 Place'!$C$2:$Y$523,16,FALSE)</f>
        <v>0</v>
      </c>
      <c r="P82">
        <f>VLOOKUP($C82,'2000 Place'!$C$2:$Y$523,17,FALSE)</f>
        <v>0</v>
      </c>
      <c r="Q82">
        <f>VLOOKUP($C82,'2000 Place'!$C$2:$Y$523,18,FALSE)</f>
        <v>0</v>
      </c>
      <c r="R82">
        <f>VLOOKUP($C82,'2000 Place'!$C$2:$Y$523,19,FALSE)</f>
        <v>0</v>
      </c>
      <c r="S82">
        <f>VLOOKUP($C82,'2000 Place'!$C$2:$Y$523,20,FALSE)</f>
        <v>0</v>
      </c>
      <c r="T82">
        <f>VLOOKUP($C82,'2000 Place'!$C$2:$Y$523,21,FALSE)</f>
        <v>0</v>
      </c>
      <c r="U82">
        <f>VLOOKUP($C82,'2000 Place'!$C$2:$Y$523,22,FALSE)</f>
        <v>12</v>
      </c>
      <c r="V82">
        <f>VLOOKUP($C82,'2000 Place'!$C$2:$Y$523,23,FALSE)</f>
        <v>0</v>
      </c>
    </row>
    <row r="83" spans="1:22" x14ac:dyDescent="0.25">
      <c r="A83" t="s">
        <v>410</v>
      </c>
      <c r="B83">
        <v>5310215</v>
      </c>
      <c r="C83" t="s">
        <v>411</v>
      </c>
      <c r="D83">
        <f>VLOOKUP($C83,'2000 Place'!$C$2:$Y$523,5,FALSE)</f>
        <v>1905</v>
      </c>
      <c r="E83">
        <f>VLOOKUP($C83,'2000 Place'!$C$2:$Y$523,6,FALSE)</f>
        <v>1785</v>
      </c>
      <c r="F83">
        <f>VLOOKUP($C83,'2000 Place'!$C$2:$Y$523,7,FALSE)</f>
        <v>120</v>
      </c>
      <c r="G83">
        <f>VLOOKUP($C83,'2000 Place'!$C$2:$Y$523,8,FALSE)</f>
        <v>1673</v>
      </c>
      <c r="H83">
        <f>VLOOKUP($C83,'2000 Place'!$C$2:$Y$523,9,FALSE)</f>
        <v>48</v>
      </c>
      <c r="I83">
        <f>VLOOKUP($C83,'2000 Place'!$C$2:$Y$523,10,FALSE)</f>
        <v>26</v>
      </c>
      <c r="J83">
        <f>VLOOKUP($C83,'2000 Place'!$C$2:$Y$523,11,FALSE)</f>
        <v>16</v>
      </c>
      <c r="K83">
        <f>VLOOKUP($C83,'2000 Place'!$C$2:$Y$523,12,FALSE)</f>
        <v>8</v>
      </c>
      <c r="L83">
        <f>VLOOKUP($C83,'2000 Place'!$C$2:$Y$523,13,FALSE)</f>
        <v>3</v>
      </c>
      <c r="M83">
        <f>VLOOKUP($C83,'2000 Place'!$C$2:$Y$523,14,FALSE)</f>
        <v>10</v>
      </c>
      <c r="N83">
        <f>VLOOKUP($C83,'2000 Place'!$C$2:$Y$523,15,FALSE)</f>
        <v>0</v>
      </c>
      <c r="O83">
        <f>VLOOKUP($C83,'2000 Place'!$C$2:$Y$523,16,FALSE)</f>
        <v>12</v>
      </c>
      <c r="P83">
        <f>VLOOKUP($C83,'2000 Place'!$C$2:$Y$523,17,FALSE)</f>
        <v>35</v>
      </c>
      <c r="Q83">
        <f>VLOOKUP($C83,'2000 Place'!$C$2:$Y$523,18,FALSE)</f>
        <v>0</v>
      </c>
      <c r="R83">
        <f>VLOOKUP($C83,'2000 Place'!$C$2:$Y$523,19,FALSE)</f>
        <v>0</v>
      </c>
      <c r="S83">
        <f>VLOOKUP($C83,'2000 Place'!$C$2:$Y$523,20,FALSE)</f>
        <v>25</v>
      </c>
      <c r="T83">
        <f>VLOOKUP($C83,'2000 Place'!$C$2:$Y$523,21,FALSE)</f>
        <v>14</v>
      </c>
      <c r="U83">
        <f>VLOOKUP($C83,'2000 Place'!$C$2:$Y$523,22,FALSE)</f>
        <v>31</v>
      </c>
      <c r="V83">
        <f>VLOOKUP($C83,'2000 Place'!$C$2:$Y$523,23,FALSE)</f>
        <v>4</v>
      </c>
    </row>
    <row r="84" spans="1:22" x14ac:dyDescent="0.25">
      <c r="A84" t="s">
        <v>412</v>
      </c>
      <c r="B84">
        <v>5310320</v>
      </c>
      <c r="C84" t="s">
        <v>413</v>
      </c>
      <c r="D84" t="e">
        <f>VLOOKUP($C84,'2000 Place'!$C$2:$Y$523,5,FALSE)</f>
        <v>#N/A</v>
      </c>
      <c r="E84" t="e">
        <f>VLOOKUP($C84,'2000 Place'!$C$2:$Y$523,6,FALSE)</f>
        <v>#N/A</v>
      </c>
      <c r="F84" t="e">
        <f>VLOOKUP($C84,'2000 Place'!$C$2:$Y$523,7,FALSE)</f>
        <v>#N/A</v>
      </c>
      <c r="G84" t="e">
        <f>VLOOKUP($C84,'2000 Place'!$C$2:$Y$523,8,FALSE)</f>
        <v>#N/A</v>
      </c>
      <c r="H84" t="e">
        <f>VLOOKUP($C84,'2000 Place'!$C$2:$Y$523,9,FALSE)</f>
        <v>#N/A</v>
      </c>
      <c r="I84" t="e">
        <f>VLOOKUP($C84,'2000 Place'!$C$2:$Y$523,10,FALSE)</f>
        <v>#N/A</v>
      </c>
      <c r="J84" t="e">
        <f>VLOOKUP($C84,'2000 Place'!$C$2:$Y$523,11,FALSE)</f>
        <v>#N/A</v>
      </c>
      <c r="K84" t="e">
        <f>VLOOKUP($C84,'2000 Place'!$C$2:$Y$523,12,FALSE)</f>
        <v>#N/A</v>
      </c>
      <c r="L84" t="e">
        <f>VLOOKUP($C84,'2000 Place'!$C$2:$Y$523,13,FALSE)</f>
        <v>#N/A</v>
      </c>
      <c r="M84" t="e">
        <f>VLOOKUP($C84,'2000 Place'!$C$2:$Y$523,14,FALSE)</f>
        <v>#N/A</v>
      </c>
      <c r="N84" t="e">
        <f>VLOOKUP($C84,'2000 Place'!$C$2:$Y$523,15,FALSE)</f>
        <v>#N/A</v>
      </c>
      <c r="O84" t="e">
        <f>VLOOKUP($C84,'2000 Place'!$C$2:$Y$523,16,FALSE)</f>
        <v>#N/A</v>
      </c>
      <c r="P84" t="e">
        <f>VLOOKUP($C84,'2000 Place'!$C$2:$Y$523,17,FALSE)</f>
        <v>#N/A</v>
      </c>
      <c r="Q84" t="e">
        <f>VLOOKUP($C84,'2000 Place'!$C$2:$Y$523,18,FALSE)</f>
        <v>#N/A</v>
      </c>
      <c r="R84" t="e">
        <f>VLOOKUP($C84,'2000 Place'!$C$2:$Y$523,19,FALSE)</f>
        <v>#N/A</v>
      </c>
      <c r="S84" t="e">
        <f>VLOOKUP($C84,'2000 Place'!$C$2:$Y$523,20,FALSE)</f>
        <v>#N/A</v>
      </c>
      <c r="T84" t="e">
        <f>VLOOKUP($C84,'2000 Place'!$C$2:$Y$523,21,FALSE)</f>
        <v>#N/A</v>
      </c>
      <c r="U84" t="e">
        <f>VLOOKUP($C84,'2000 Place'!$C$2:$Y$523,22,FALSE)</f>
        <v>#N/A</v>
      </c>
      <c r="V84" t="e">
        <f>VLOOKUP($C84,'2000 Place'!$C$2:$Y$523,23,FALSE)</f>
        <v>#N/A</v>
      </c>
    </row>
    <row r="85" spans="1:22" x14ac:dyDescent="0.25">
      <c r="A85" t="s">
        <v>414</v>
      </c>
      <c r="B85">
        <v>5310455</v>
      </c>
      <c r="C85" t="s">
        <v>415</v>
      </c>
      <c r="D85">
        <f>VLOOKUP($C85,'2000 Place'!$C$2:$Y$523,5,FALSE)</f>
        <v>1785</v>
      </c>
      <c r="E85">
        <f>VLOOKUP($C85,'2000 Place'!$C$2:$Y$523,6,FALSE)</f>
        <v>1627</v>
      </c>
      <c r="F85">
        <f>VLOOKUP($C85,'2000 Place'!$C$2:$Y$523,7,FALSE)</f>
        <v>158</v>
      </c>
      <c r="G85">
        <f>VLOOKUP($C85,'2000 Place'!$C$2:$Y$523,8,FALSE)</f>
        <v>1264</v>
      </c>
      <c r="H85">
        <f>VLOOKUP($C85,'2000 Place'!$C$2:$Y$523,9,FALSE)</f>
        <v>0</v>
      </c>
      <c r="I85">
        <f>VLOOKUP($C85,'2000 Place'!$C$2:$Y$523,10,FALSE)</f>
        <v>36</v>
      </c>
      <c r="J85">
        <f>VLOOKUP($C85,'2000 Place'!$C$2:$Y$523,11,FALSE)</f>
        <v>9</v>
      </c>
      <c r="K85">
        <f>VLOOKUP($C85,'2000 Place'!$C$2:$Y$523,12,FALSE)</f>
        <v>78</v>
      </c>
      <c r="L85">
        <f>VLOOKUP($C85,'2000 Place'!$C$2:$Y$523,13,FALSE)</f>
        <v>32</v>
      </c>
      <c r="M85">
        <f>VLOOKUP($C85,'2000 Place'!$C$2:$Y$523,14,FALSE)</f>
        <v>9</v>
      </c>
      <c r="N85">
        <f>VLOOKUP($C85,'2000 Place'!$C$2:$Y$523,15,FALSE)</f>
        <v>0</v>
      </c>
      <c r="O85">
        <f>VLOOKUP($C85,'2000 Place'!$C$2:$Y$523,16,FALSE)</f>
        <v>0</v>
      </c>
      <c r="P85">
        <f>VLOOKUP($C85,'2000 Place'!$C$2:$Y$523,17,FALSE)</f>
        <v>0</v>
      </c>
      <c r="Q85">
        <f>VLOOKUP($C85,'2000 Place'!$C$2:$Y$523,18,FALSE)</f>
        <v>0</v>
      </c>
      <c r="R85">
        <f>VLOOKUP($C85,'2000 Place'!$C$2:$Y$523,19,FALSE)</f>
        <v>0</v>
      </c>
      <c r="S85">
        <f>VLOOKUP($C85,'2000 Place'!$C$2:$Y$523,20,FALSE)</f>
        <v>157</v>
      </c>
      <c r="T85">
        <f>VLOOKUP($C85,'2000 Place'!$C$2:$Y$523,21,FALSE)</f>
        <v>77</v>
      </c>
      <c r="U85">
        <f>VLOOKUP($C85,'2000 Place'!$C$2:$Y$523,22,FALSE)</f>
        <v>83</v>
      </c>
      <c r="V85">
        <f>VLOOKUP($C85,'2000 Place'!$C$2:$Y$523,23,FALSE)</f>
        <v>40</v>
      </c>
    </row>
    <row r="86" spans="1:22" x14ac:dyDescent="0.25">
      <c r="A86" t="s">
        <v>416</v>
      </c>
      <c r="B86">
        <v>5310495</v>
      </c>
      <c r="C86" t="s">
        <v>417</v>
      </c>
      <c r="D86">
        <f>VLOOKUP($C86,'2000 Place'!$C$2:$Y$523,5,FALSE)</f>
        <v>2929</v>
      </c>
      <c r="E86">
        <f>VLOOKUP($C86,'2000 Place'!$C$2:$Y$523,6,FALSE)</f>
        <v>2587</v>
      </c>
      <c r="F86">
        <f>VLOOKUP($C86,'2000 Place'!$C$2:$Y$523,7,FALSE)</f>
        <v>342</v>
      </c>
      <c r="G86">
        <f>VLOOKUP($C86,'2000 Place'!$C$2:$Y$523,8,FALSE)</f>
        <v>2371</v>
      </c>
      <c r="H86">
        <f>VLOOKUP($C86,'2000 Place'!$C$2:$Y$523,9,FALSE)</f>
        <v>38</v>
      </c>
      <c r="I86">
        <f>VLOOKUP($C86,'2000 Place'!$C$2:$Y$523,10,FALSE)</f>
        <v>85</v>
      </c>
      <c r="J86">
        <f>VLOOKUP($C86,'2000 Place'!$C$2:$Y$523,11,FALSE)</f>
        <v>154</v>
      </c>
      <c r="K86">
        <f>VLOOKUP($C86,'2000 Place'!$C$2:$Y$523,12,FALSE)</f>
        <v>9</v>
      </c>
      <c r="L86">
        <f>VLOOKUP($C86,'2000 Place'!$C$2:$Y$523,13,FALSE)</f>
        <v>5</v>
      </c>
      <c r="M86">
        <f>VLOOKUP($C86,'2000 Place'!$C$2:$Y$523,14,FALSE)</f>
        <v>25</v>
      </c>
      <c r="N86">
        <f>VLOOKUP($C86,'2000 Place'!$C$2:$Y$523,15,FALSE)</f>
        <v>0</v>
      </c>
      <c r="O86">
        <f>VLOOKUP($C86,'2000 Place'!$C$2:$Y$523,16,FALSE)</f>
        <v>0</v>
      </c>
      <c r="P86">
        <f>VLOOKUP($C86,'2000 Place'!$C$2:$Y$523,17,FALSE)</f>
        <v>4</v>
      </c>
      <c r="Q86">
        <f>VLOOKUP($C86,'2000 Place'!$C$2:$Y$523,18,FALSE)</f>
        <v>3</v>
      </c>
      <c r="R86">
        <f>VLOOKUP($C86,'2000 Place'!$C$2:$Y$523,19,FALSE)</f>
        <v>0</v>
      </c>
      <c r="S86">
        <f>VLOOKUP($C86,'2000 Place'!$C$2:$Y$523,20,FALSE)</f>
        <v>61</v>
      </c>
      <c r="T86">
        <f>VLOOKUP($C86,'2000 Place'!$C$2:$Y$523,21,FALSE)</f>
        <v>134</v>
      </c>
      <c r="U86">
        <f>VLOOKUP($C86,'2000 Place'!$C$2:$Y$523,22,FALSE)</f>
        <v>33</v>
      </c>
      <c r="V86">
        <f>VLOOKUP($C86,'2000 Place'!$C$2:$Y$523,23,FALSE)</f>
        <v>7</v>
      </c>
    </row>
    <row r="87" spans="1:22" x14ac:dyDescent="0.25">
      <c r="A87" t="s">
        <v>418</v>
      </c>
      <c r="B87">
        <v>5310565</v>
      </c>
      <c r="C87" t="s">
        <v>419</v>
      </c>
      <c r="D87">
        <f>VLOOKUP($C87,'2000 Place'!$C$2:$Y$523,5,FALSE)</f>
        <v>2145</v>
      </c>
      <c r="E87">
        <f>VLOOKUP($C87,'2000 Place'!$C$2:$Y$523,6,FALSE)</f>
        <v>2118</v>
      </c>
      <c r="F87">
        <f>VLOOKUP($C87,'2000 Place'!$C$2:$Y$523,7,FALSE)</f>
        <v>27</v>
      </c>
      <c r="G87">
        <f>VLOOKUP($C87,'2000 Place'!$C$2:$Y$523,8,FALSE)</f>
        <v>1913</v>
      </c>
      <c r="H87">
        <f>VLOOKUP($C87,'2000 Place'!$C$2:$Y$523,9,FALSE)</f>
        <v>18</v>
      </c>
      <c r="I87">
        <f>VLOOKUP($C87,'2000 Place'!$C$2:$Y$523,10,FALSE)</f>
        <v>27</v>
      </c>
      <c r="J87">
        <f>VLOOKUP($C87,'2000 Place'!$C$2:$Y$523,11,FALSE)</f>
        <v>0</v>
      </c>
      <c r="K87">
        <f>VLOOKUP($C87,'2000 Place'!$C$2:$Y$523,12,FALSE)</f>
        <v>23</v>
      </c>
      <c r="L87">
        <f>VLOOKUP($C87,'2000 Place'!$C$2:$Y$523,13,FALSE)</f>
        <v>0</v>
      </c>
      <c r="M87">
        <f>VLOOKUP($C87,'2000 Place'!$C$2:$Y$523,14,FALSE)</f>
        <v>98</v>
      </c>
      <c r="N87">
        <f>VLOOKUP($C87,'2000 Place'!$C$2:$Y$523,15,FALSE)</f>
        <v>0</v>
      </c>
      <c r="O87">
        <f>VLOOKUP($C87,'2000 Place'!$C$2:$Y$523,16,FALSE)</f>
        <v>0</v>
      </c>
      <c r="P87">
        <f>VLOOKUP($C87,'2000 Place'!$C$2:$Y$523,17,FALSE)</f>
        <v>0</v>
      </c>
      <c r="Q87">
        <f>VLOOKUP($C87,'2000 Place'!$C$2:$Y$523,18,FALSE)</f>
        <v>0</v>
      </c>
      <c r="R87">
        <f>VLOOKUP($C87,'2000 Place'!$C$2:$Y$523,19,FALSE)</f>
        <v>5</v>
      </c>
      <c r="S87">
        <f>VLOOKUP($C87,'2000 Place'!$C$2:$Y$523,20,FALSE)</f>
        <v>21</v>
      </c>
      <c r="T87">
        <f>VLOOKUP($C87,'2000 Place'!$C$2:$Y$523,21,FALSE)</f>
        <v>4</v>
      </c>
      <c r="U87">
        <f>VLOOKUP($C87,'2000 Place'!$C$2:$Y$523,22,FALSE)</f>
        <v>36</v>
      </c>
      <c r="V87">
        <f>VLOOKUP($C87,'2000 Place'!$C$2:$Y$523,23,FALSE)</f>
        <v>0</v>
      </c>
    </row>
    <row r="88" spans="1:22" x14ac:dyDescent="0.25">
      <c r="A88" t="s">
        <v>420</v>
      </c>
      <c r="B88">
        <v>5310600</v>
      </c>
      <c r="C88" t="s">
        <v>421</v>
      </c>
      <c r="D88">
        <f>VLOOKUP($C88,'2000 Place'!$C$2:$Y$523,5,FALSE)</f>
        <v>2837</v>
      </c>
      <c r="E88">
        <f>VLOOKUP($C88,'2000 Place'!$C$2:$Y$523,6,FALSE)</f>
        <v>2738</v>
      </c>
      <c r="F88">
        <f>VLOOKUP($C88,'2000 Place'!$C$2:$Y$523,7,FALSE)</f>
        <v>99</v>
      </c>
      <c r="G88">
        <f>VLOOKUP($C88,'2000 Place'!$C$2:$Y$523,8,FALSE)</f>
        <v>2514</v>
      </c>
      <c r="H88">
        <f>VLOOKUP($C88,'2000 Place'!$C$2:$Y$523,9,FALSE)</f>
        <v>85</v>
      </c>
      <c r="I88">
        <f>VLOOKUP($C88,'2000 Place'!$C$2:$Y$523,10,FALSE)</f>
        <v>60</v>
      </c>
      <c r="J88">
        <f>VLOOKUP($C88,'2000 Place'!$C$2:$Y$523,11,FALSE)</f>
        <v>0</v>
      </c>
      <c r="K88">
        <f>VLOOKUP($C88,'2000 Place'!$C$2:$Y$523,12,FALSE)</f>
        <v>8</v>
      </c>
      <c r="L88">
        <f>VLOOKUP($C88,'2000 Place'!$C$2:$Y$523,13,FALSE)</f>
        <v>0</v>
      </c>
      <c r="M88">
        <f>VLOOKUP($C88,'2000 Place'!$C$2:$Y$523,14,FALSE)</f>
        <v>0</v>
      </c>
      <c r="N88">
        <f>VLOOKUP($C88,'2000 Place'!$C$2:$Y$523,15,FALSE)</f>
        <v>0</v>
      </c>
      <c r="O88">
        <f>VLOOKUP($C88,'2000 Place'!$C$2:$Y$523,16,FALSE)</f>
        <v>27</v>
      </c>
      <c r="P88">
        <f>VLOOKUP($C88,'2000 Place'!$C$2:$Y$523,17,FALSE)</f>
        <v>14</v>
      </c>
      <c r="Q88">
        <f>VLOOKUP($C88,'2000 Place'!$C$2:$Y$523,18,FALSE)</f>
        <v>0</v>
      </c>
      <c r="R88">
        <f>VLOOKUP($C88,'2000 Place'!$C$2:$Y$523,19,FALSE)</f>
        <v>0</v>
      </c>
      <c r="S88">
        <f>VLOOKUP($C88,'2000 Place'!$C$2:$Y$523,20,FALSE)</f>
        <v>0</v>
      </c>
      <c r="T88">
        <f>VLOOKUP($C88,'2000 Place'!$C$2:$Y$523,21,FALSE)</f>
        <v>0</v>
      </c>
      <c r="U88">
        <f>VLOOKUP($C88,'2000 Place'!$C$2:$Y$523,22,FALSE)</f>
        <v>129</v>
      </c>
      <c r="V88">
        <f>VLOOKUP($C88,'2000 Place'!$C$2:$Y$523,23,FALSE)</f>
        <v>0</v>
      </c>
    </row>
    <row r="89" spans="1:22" x14ac:dyDescent="0.25">
      <c r="A89" t="s">
        <v>422</v>
      </c>
      <c r="B89">
        <v>5310635</v>
      </c>
      <c r="C89" t="s">
        <v>423</v>
      </c>
      <c r="D89">
        <f>VLOOKUP($C89,'2000 Place'!$C$2:$Y$523,5,FALSE)</f>
        <v>548</v>
      </c>
      <c r="E89">
        <f>VLOOKUP($C89,'2000 Place'!$C$2:$Y$523,6,FALSE)</f>
        <v>528</v>
      </c>
      <c r="F89">
        <f>VLOOKUP($C89,'2000 Place'!$C$2:$Y$523,7,FALSE)</f>
        <v>20</v>
      </c>
      <c r="G89">
        <f>VLOOKUP($C89,'2000 Place'!$C$2:$Y$523,8,FALSE)</f>
        <v>498</v>
      </c>
      <c r="H89">
        <f>VLOOKUP($C89,'2000 Place'!$C$2:$Y$523,9,FALSE)</f>
        <v>17</v>
      </c>
      <c r="I89">
        <f>VLOOKUP($C89,'2000 Place'!$C$2:$Y$523,10,FALSE)</f>
        <v>0</v>
      </c>
      <c r="J89">
        <f>VLOOKUP($C89,'2000 Place'!$C$2:$Y$523,11,FALSE)</f>
        <v>0</v>
      </c>
      <c r="K89">
        <f>VLOOKUP($C89,'2000 Place'!$C$2:$Y$523,12,FALSE)</f>
        <v>0</v>
      </c>
      <c r="L89">
        <f>VLOOKUP($C89,'2000 Place'!$C$2:$Y$523,13,FALSE)</f>
        <v>0</v>
      </c>
      <c r="M89">
        <f>VLOOKUP($C89,'2000 Place'!$C$2:$Y$523,14,FALSE)</f>
        <v>15</v>
      </c>
      <c r="N89">
        <f>VLOOKUP($C89,'2000 Place'!$C$2:$Y$523,15,FALSE)</f>
        <v>0</v>
      </c>
      <c r="O89">
        <f>VLOOKUP($C89,'2000 Place'!$C$2:$Y$523,16,FALSE)</f>
        <v>6</v>
      </c>
      <c r="P89">
        <f>VLOOKUP($C89,'2000 Place'!$C$2:$Y$523,17,FALSE)</f>
        <v>0</v>
      </c>
      <c r="Q89">
        <f>VLOOKUP($C89,'2000 Place'!$C$2:$Y$523,18,FALSE)</f>
        <v>0</v>
      </c>
      <c r="R89">
        <f>VLOOKUP($C89,'2000 Place'!$C$2:$Y$523,19,FALSE)</f>
        <v>0</v>
      </c>
      <c r="S89">
        <f>VLOOKUP($C89,'2000 Place'!$C$2:$Y$523,20,FALSE)</f>
        <v>6</v>
      </c>
      <c r="T89">
        <f>VLOOKUP($C89,'2000 Place'!$C$2:$Y$523,21,FALSE)</f>
        <v>3</v>
      </c>
      <c r="U89">
        <f>VLOOKUP($C89,'2000 Place'!$C$2:$Y$523,22,FALSE)</f>
        <v>3</v>
      </c>
      <c r="V89">
        <f>VLOOKUP($C89,'2000 Place'!$C$2:$Y$523,23,FALSE)</f>
        <v>0</v>
      </c>
    </row>
    <row r="90" spans="1:22" x14ac:dyDescent="0.25">
      <c r="A90" t="s">
        <v>424</v>
      </c>
      <c r="B90">
        <v>5310645</v>
      </c>
      <c r="C90" t="s">
        <v>425</v>
      </c>
      <c r="D90" t="e">
        <f>VLOOKUP($C90,'2000 Place'!$C$2:$Y$523,5,FALSE)</f>
        <v>#N/A</v>
      </c>
      <c r="E90" t="e">
        <f>VLOOKUP($C90,'2000 Place'!$C$2:$Y$523,6,FALSE)</f>
        <v>#N/A</v>
      </c>
      <c r="F90" t="e">
        <f>VLOOKUP($C90,'2000 Place'!$C$2:$Y$523,7,FALSE)</f>
        <v>#N/A</v>
      </c>
      <c r="G90" t="e">
        <f>VLOOKUP($C90,'2000 Place'!$C$2:$Y$523,8,FALSE)</f>
        <v>#N/A</v>
      </c>
      <c r="H90" t="e">
        <f>VLOOKUP($C90,'2000 Place'!$C$2:$Y$523,9,FALSE)</f>
        <v>#N/A</v>
      </c>
      <c r="I90" t="e">
        <f>VLOOKUP($C90,'2000 Place'!$C$2:$Y$523,10,FALSE)</f>
        <v>#N/A</v>
      </c>
      <c r="J90" t="e">
        <f>VLOOKUP($C90,'2000 Place'!$C$2:$Y$523,11,FALSE)</f>
        <v>#N/A</v>
      </c>
      <c r="K90" t="e">
        <f>VLOOKUP($C90,'2000 Place'!$C$2:$Y$523,12,FALSE)</f>
        <v>#N/A</v>
      </c>
      <c r="L90" t="e">
        <f>VLOOKUP($C90,'2000 Place'!$C$2:$Y$523,13,FALSE)</f>
        <v>#N/A</v>
      </c>
      <c r="M90" t="e">
        <f>VLOOKUP($C90,'2000 Place'!$C$2:$Y$523,14,FALSE)</f>
        <v>#N/A</v>
      </c>
      <c r="N90" t="e">
        <f>VLOOKUP($C90,'2000 Place'!$C$2:$Y$523,15,FALSE)</f>
        <v>#N/A</v>
      </c>
      <c r="O90" t="e">
        <f>VLOOKUP($C90,'2000 Place'!$C$2:$Y$523,16,FALSE)</f>
        <v>#N/A</v>
      </c>
      <c r="P90" t="e">
        <f>VLOOKUP($C90,'2000 Place'!$C$2:$Y$523,17,FALSE)</f>
        <v>#N/A</v>
      </c>
      <c r="Q90" t="e">
        <f>VLOOKUP($C90,'2000 Place'!$C$2:$Y$523,18,FALSE)</f>
        <v>#N/A</v>
      </c>
      <c r="R90" t="e">
        <f>VLOOKUP($C90,'2000 Place'!$C$2:$Y$523,19,FALSE)</f>
        <v>#N/A</v>
      </c>
      <c r="S90" t="e">
        <f>VLOOKUP($C90,'2000 Place'!$C$2:$Y$523,20,FALSE)</f>
        <v>#N/A</v>
      </c>
      <c r="T90" t="e">
        <f>VLOOKUP($C90,'2000 Place'!$C$2:$Y$523,21,FALSE)</f>
        <v>#N/A</v>
      </c>
      <c r="U90" t="e">
        <f>VLOOKUP($C90,'2000 Place'!$C$2:$Y$523,22,FALSE)</f>
        <v>#N/A</v>
      </c>
      <c r="V90" t="e">
        <f>VLOOKUP($C90,'2000 Place'!$C$2:$Y$523,23,FALSE)</f>
        <v>#N/A</v>
      </c>
    </row>
    <row r="91" spans="1:22" x14ac:dyDescent="0.25">
      <c r="A91" t="s">
        <v>426</v>
      </c>
      <c r="B91">
        <v>5311090</v>
      </c>
      <c r="C91" t="s">
        <v>427</v>
      </c>
      <c r="D91">
        <f>VLOOKUP($C91,'2000 Place'!$C$2:$Y$523,5,FALSE)</f>
        <v>104</v>
      </c>
      <c r="E91">
        <f>VLOOKUP($C91,'2000 Place'!$C$2:$Y$523,6,FALSE)</f>
        <v>102</v>
      </c>
      <c r="F91">
        <f>VLOOKUP($C91,'2000 Place'!$C$2:$Y$523,7,FALSE)</f>
        <v>2</v>
      </c>
      <c r="G91">
        <f>VLOOKUP($C91,'2000 Place'!$C$2:$Y$523,8,FALSE)</f>
        <v>97</v>
      </c>
      <c r="H91">
        <f>VLOOKUP($C91,'2000 Place'!$C$2:$Y$523,9,FALSE)</f>
        <v>2</v>
      </c>
      <c r="I91">
        <f>VLOOKUP($C91,'2000 Place'!$C$2:$Y$523,10,FALSE)</f>
        <v>0</v>
      </c>
      <c r="J91">
        <f>VLOOKUP($C91,'2000 Place'!$C$2:$Y$523,11,FALSE)</f>
        <v>0</v>
      </c>
      <c r="K91">
        <f>VLOOKUP($C91,'2000 Place'!$C$2:$Y$523,12,FALSE)</f>
        <v>0</v>
      </c>
      <c r="L91">
        <f>VLOOKUP($C91,'2000 Place'!$C$2:$Y$523,13,FALSE)</f>
        <v>0</v>
      </c>
      <c r="M91">
        <f>VLOOKUP($C91,'2000 Place'!$C$2:$Y$523,14,FALSE)</f>
        <v>3</v>
      </c>
      <c r="N91">
        <f>VLOOKUP($C91,'2000 Place'!$C$2:$Y$523,15,FALSE)</f>
        <v>0</v>
      </c>
      <c r="O91">
        <f>VLOOKUP($C91,'2000 Place'!$C$2:$Y$523,16,FALSE)</f>
        <v>0</v>
      </c>
      <c r="P91">
        <f>VLOOKUP($C91,'2000 Place'!$C$2:$Y$523,17,FALSE)</f>
        <v>0</v>
      </c>
      <c r="Q91">
        <f>VLOOKUP($C91,'2000 Place'!$C$2:$Y$523,18,FALSE)</f>
        <v>0</v>
      </c>
      <c r="R91">
        <f>VLOOKUP($C91,'2000 Place'!$C$2:$Y$523,19,FALSE)</f>
        <v>0</v>
      </c>
      <c r="S91">
        <f>VLOOKUP($C91,'2000 Place'!$C$2:$Y$523,20,FALSE)</f>
        <v>2</v>
      </c>
      <c r="T91">
        <f>VLOOKUP($C91,'2000 Place'!$C$2:$Y$523,21,FALSE)</f>
        <v>0</v>
      </c>
      <c r="U91">
        <f>VLOOKUP($C91,'2000 Place'!$C$2:$Y$523,22,FALSE)</f>
        <v>0</v>
      </c>
      <c r="V91">
        <f>VLOOKUP($C91,'2000 Place'!$C$2:$Y$523,23,FALSE)</f>
        <v>0</v>
      </c>
    </row>
    <row r="92" spans="1:22" x14ac:dyDescent="0.25">
      <c r="A92" t="s">
        <v>428</v>
      </c>
      <c r="B92">
        <v>5311160</v>
      </c>
      <c r="C92" t="s">
        <v>429</v>
      </c>
      <c r="D92">
        <f>VLOOKUP($C92,'2000 Place'!$C$2:$Y$523,5,FALSE)</f>
        <v>14720</v>
      </c>
      <c r="E92">
        <f>VLOOKUP($C92,'2000 Place'!$C$2:$Y$523,6,FALSE)</f>
        <v>13438</v>
      </c>
      <c r="F92">
        <f>VLOOKUP($C92,'2000 Place'!$C$2:$Y$523,7,FALSE)</f>
        <v>1282</v>
      </c>
      <c r="G92">
        <f>VLOOKUP($C92,'2000 Place'!$C$2:$Y$523,8,FALSE)</f>
        <v>12239</v>
      </c>
      <c r="H92">
        <f>VLOOKUP($C92,'2000 Place'!$C$2:$Y$523,9,FALSE)</f>
        <v>202</v>
      </c>
      <c r="I92">
        <f>VLOOKUP($C92,'2000 Place'!$C$2:$Y$523,10,FALSE)</f>
        <v>210</v>
      </c>
      <c r="J92">
        <f>VLOOKUP($C92,'2000 Place'!$C$2:$Y$523,11,FALSE)</f>
        <v>457</v>
      </c>
      <c r="K92">
        <f>VLOOKUP($C92,'2000 Place'!$C$2:$Y$523,12,FALSE)</f>
        <v>55</v>
      </c>
      <c r="L92">
        <f>VLOOKUP($C92,'2000 Place'!$C$2:$Y$523,13,FALSE)</f>
        <v>0</v>
      </c>
      <c r="M92">
        <f>VLOOKUP($C92,'2000 Place'!$C$2:$Y$523,14,FALSE)</f>
        <v>183</v>
      </c>
      <c r="N92">
        <f>VLOOKUP($C92,'2000 Place'!$C$2:$Y$523,15,FALSE)</f>
        <v>0</v>
      </c>
      <c r="O92">
        <f>VLOOKUP($C92,'2000 Place'!$C$2:$Y$523,16,FALSE)</f>
        <v>36</v>
      </c>
      <c r="P92">
        <f>VLOOKUP($C92,'2000 Place'!$C$2:$Y$523,17,FALSE)</f>
        <v>45</v>
      </c>
      <c r="Q92">
        <f>VLOOKUP($C92,'2000 Place'!$C$2:$Y$523,18,FALSE)</f>
        <v>31</v>
      </c>
      <c r="R92">
        <f>VLOOKUP($C92,'2000 Place'!$C$2:$Y$523,19,FALSE)</f>
        <v>51</v>
      </c>
      <c r="S92">
        <f>VLOOKUP($C92,'2000 Place'!$C$2:$Y$523,20,FALSE)</f>
        <v>336</v>
      </c>
      <c r="T92">
        <f>VLOOKUP($C92,'2000 Place'!$C$2:$Y$523,21,FALSE)</f>
        <v>470</v>
      </c>
      <c r="U92">
        <f>VLOOKUP($C92,'2000 Place'!$C$2:$Y$523,22,FALSE)</f>
        <v>348</v>
      </c>
      <c r="V92">
        <f>VLOOKUP($C92,'2000 Place'!$C$2:$Y$523,23,FALSE)</f>
        <v>57</v>
      </c>
    </row>
    <row r="93" spans="1:22" x14ac:dyDescent="0.25">
      <c r="A93" t="s">
        <v>430</v>
      </c>
      <c r="B93">
        <v>5311195</v>
      </c>
      <c r="C93" t="s">
        <v>431</v>
      </c>
      <c r="D93">
        <f>VLOOKUP($C93,'2000 Place'!$C$2:$Y$523,5,FALSE)</f>
        <v>2542</v>
      </c>
      <c r="E93">
        <f>VLOOKUP($C93,'2000 Place'!$C$2:$Y$523,6,FALSE)</f>
        <v>2463</v>
      </c>
      <c r="F93">
        <f>VLOOKUP($C93,'2000 Place'!$C$2:$Y$523,7,FALSE)</f>
        <v>79</v>
      </c>
      <c r="G93">
        <f>VLOOKUP($C93,'2000 Place'!$C$2:$Y$523,8,FALSE)</f>
        <v>2292</v>
      </c>
      <c r="H93">
        <f>VLOOKUP($C93,'2000 Place'!$C$2:$Y$523,9,FALSE)</f>
        <v>47</v>
      </c>
      <c r="I93">
        <f>VLOOKUP($C93,'2000 Place'!$C$2:$Y$523,10,FALSE)</f>
        <v>6</v>
      </c>
      <c r="J93">
        <f>VLOOKUP($C93,'2000 Place'!$C$2:$Y$523,11,FALSE)</f>
        <v>0</v>
      </c>
      <c r="K93">
        <f>VLOOKUP($C93,'2000 Place'!$C$2:$Y$523,12,FALSE)</f>
        <v>0</v>
      </c>
      <c r="L93">
        <f>VLOOKUP($C93,'2000 Place'!$C$2:$Y$523,13,FALSE)</f>
        <v>0</v>
      </c>
      <c r="M93">
        <f>VLOOKUP($C93,'2000 Place'!$C$2:$Y$523,14,FALSE)</f>
        <v>37</v>
      </c>
      <c r="N93">
        <f>VLOOKUP($C93,'2000 Place'!$C$2:$Y$523,15,FALSE)</f>
        <v>0</v>
      </c>
      <c r="O93">
        <f>VLOOKUP($C93,'2000 Place'!$C$2:$Y$523,16,FALSE)</f>
        <v>0</v>
      </c>
      <c r="P93">
        <f>VLOOKUP($C93,'2000 Place'!$C$2:$Y$523,17,FALSE)</f>
        <v>24</v>
      </c>
      <c r="Q93">
        <f>VLOOKUP($C93,'2000 Place'!$C$2:$Y$523,18,FALSE)</f>
        <v>0</v>
      </c>
      <c r="R93">
        <f>VLOOKUP($C93,'2000 Place'!$C$2:$Y$523,19,FALSE)</f>
        <v>0</v>
      </c>
      <c r="S93">
        <f>VLOOKUP($C93,'2000 Place'!$C$2:$Y$523,20,FALSE)</f>
        <v>0</v>
      </c>
      <c r="T93">
        <f>VLOOKUP($C93,'2000 Place'!$C$2:$Y$523,21,FALSE)</f>
        <v>8</v>
      </c>
      <c r="U93">
        <f>VLOOKUP($C93,'2000 Place'!$C$2:$Y$523,22,FALSE)</f>
        <v>128</v>
      </c>
      <c r="V93">
        <f>VLOOKUP($C93,'2000 Place'!$C$2:$Y$523,23,FALSE)</f>
        <v>0</v>
      </c>
    </row>
    <row r="94" spans="1:22" x14ac:dyDescent="0.25">
      <c r="A94" t="s">
        <v>432</v>
      </c>
      <c r="B94">
        <v>5311325</v>
      </c>
      <c r="C94" t="s">
        <v>433</v>
      </c>
      <c r="D94" t="e">
        <f>VLOOKUP($C94,'2000 Place'!$C$2:$Y$523,5,FALSE)</f>
        <v>#N/A</v>
      </c>
      <c r="E94" t="e">
        <f>VLOOKUP($C94,'2000 Place'!$C$2:$Y$523,6,FALSE)</f>
        <v>#N/A</v>
      </c>
      <c r="F94" t="e">
        <f>VLOOKUP($C94,'2000 Place'!$C$2:$Y$523,7,FALSE)</f>
        <v>#N/A</v>
      </c>
      <c r="G94" t="e">
        <f>VLOOKUP($C94,'2000 Place'!$C$2:$Y$523,8,FALSE)</f>
        <v>#N/A</v>
      </c>
      <c r="H94" t="e">
        <f>VLOOKUP($C94,'2000 Place'!$C$2:$Y$523,9,FALSE)</f>
        <v>#N/A</v>
      </c>
      <c r="I94" t="e">
        <f>VLOOKUP($C94,'2000 Place'!$C$2:$Y$523,10,FALSE)</f>
        <v>#N/A</v>
      </c>
      <c r="J94" t="e">
        <f>VLOOKUP($C94,'2000 Place'!$C$2:$Y$523,11,FALSE)</f>
        <v>#N/A</v>
      </c>
      <c r="K94" t="e">
        <f>VLOOKUP($C94,'2000 Place'!$C$2:$Y$523,12,FALSE)</f>
        <v>#N/A</v>
      </c>
      <c r="L94" t="e">
        <f>VLOOKUP($C94,'2000 Place'!$C$2:$Y$523,13,FALSE)</f>
        <v>#N/A</v>
      </c>
      <c r="M94" t="e">
        <f>VLOOKUP($C94,'2000 Place'!$C$2:$Y$523,14,FALSE)</f>
        <v>#N/A</v>
      </c>
      <c r="N94" t="e">
        <f>VLOOKUP($C94,'2000 Place'!$C$2:$Y$523,15,FALSE)</f>
        <v>#N/A</v>
      </c>
      <c r="O94" t="e">
        <f>VLOOKUP($C94,'2000 Place'!$C$2:$Y$523,16,FALSE)</f>
        <v>#N/A</v>
      </c>
      <c r="P94" t="e">
        <f>VLOOKUP($C94,'2000 Place'!$C$2:$Y$523,17,FALSE)</f>
        <v>#N/A</v>
      </c>
      <c r="Q94" t="e">
        <f>VLOOKUP($C94,'2000 Place'!$C$2:$Y$523,18,FALSE)</f>
        <v>#N/A</v>
      </c>
      <c r="R94" t="e">
        <f>VLOOKUP($C94,'2000 Place'!$C$2:$Y$523,19,FALSE)</f>
        <v>#N/A</v>
      </c>
      <c r="S94" t="e">
        <f>VLOOKUP($C94,'2000 Place'!$C$2:$Y$523,20,FALSE)</f>
        <v>#N/A</v>
      </c>
      <c r="T94" t="e">
        <f>VLOOKUP($C94,'2000 Place'!$C$2:$Y$523,21,FALSE)</f>
        <v>#N/A</v>
      </c>
      <c r="U94" t="e">
        <f>VLOOKUP($C94,'2000 Place'!$C$2:$Y$523,22,FALSE)</f>
        <v>#N/A</v>
      </c>
      <c r="V94" t="e">
        <f>VLOOKUP($C94,'2000 Place'!$C$2:$Y$523,23,FALSE)</f>
        <v>#N/A</v>
      </c>
    </row>
    <row r="95" spans="1:22" x14ac:dyDescent="0.25">
      <c r="A95" t="s">
        <v>434</v>
      </c>
      <c r="B95">
        <v>5311475</v>
      </c>
      <c r="C95" t="s">
        <v>435</v>
      </c>
      <c r="D95">
        <f>VLOOKUP($C95,'2000 Place'!$C$2:$Y$523,5,FALSE)</f>
        <v>7003</v>
      </c>
      <c r="E95">
        <f>VLOOKUP($C95,'2000 Place'!$C$2:$Y$523,6,FALSE)</f>
        <v>6530</v>
      </c>
      <c r="F95">
        <f>VLOOKUP($C95,'2000 Place'!$C$2:$Y$523,7,FALSE)</f>
        <v>473</v>
      </c>
      <c r="G95">
        <f>VLOOKUP($C95,'2000 Place'!$C$2:$Y$523,8,FALSE)</f>
        <v>5857</v>
      </c>
      <c r="H95">
        <f>VLOOKUP($C95,'2000 Place'!$C$2:$Y$523,9,FALSE)</f>
        <v>170</v>
      </c>
      <c r="I95">
        <f>VLOOKUP($C95,'2000 Place'!$C$2:$Y$523,10,FALSE)</f>
        <v>104</v>
      </c>
      <c r="J95">
        <f>VLOOKUP($C95,'2000 Place'!$C$2:$Y$523,11,FALSE)</f>
        <v>45</v>
      </c>
      <c r="K95">
        <f>VLOOKUP($C95,'2000 Place'!$C$2:$Y$523,12,FALSE)</f>
        <v>90</v>
      </c>
      <c r="L95">
        <f>VLOOKUP($C95,'2000 Place'!$C$2:$Y$523,13,FALSE)</f>
        <v>4</v>
      </c>
      <c r="M95">
        <f>VLOOKUP($C95,'2000 Place'!$C$2:$Y$523,14,FALSE)</f>
        <v>123</v>
      </c>
      <c r="N95">
        <f>VLOOKUP($C95,'2000 Place'!$C$2:$Y$523,15,FALSE)</f>
        <v>6</v>
      </c>
      <c r="O95">
        <f>VLOOKUP($C95,'2000 Place'!$C$2:$Y$523,16,FALSE)</f>
        <v>11</v>
      </c>
      <c r="P95">
        <f>VLOOKUP($C95,'2000 Place'!$C$2:$Y$523,17,FALSE)</f>
        <v>17</v>
      </c>
      <c r="Q95">
        <f>VLOOKUP($C95,'2000 Place'!$C$2:$Y$523,18,FALSE)</f>
        <v>9</v>
      </c>
      <c r="R95">
        <f>VLOOKUP($C95,'2000 Place'!$C$2:$Y$523,19,FALSE)</f>
        <v>6</v>
      </c>
      <c r="S95">
        <f>VLOOKUP($C95,'2000 Place'!$C$2:$Y$523,20,FALSE)</f>
        <v>149</v>
      </c>
      <c r="T95">
        <f>VLOOKUP($C95,'2000 Place'!$C$2:$Y$523,21,FALSE)</f>
        <v>168</v>
      </c>
      <c r="U95">
        <f>VLOOKUP($C95,'2000 Place'!$C$2:$Y$523,22,FALSE)</f>
        <v>187</v>
      </c>
      <c r="V95">
        <f>VLOOKUP($C95,'2000 Place'!$C$2:$Y$523,23,FALSE)</f>
        <v>57</v>
      </c>
    </row>
    <row r="96" spans="1:22" x14ac:dyDescent="0.25">
      <c r="A96" t="s">
        <v>436</v>
      </c>
      <c r="B96">
        <v>5311615</v>
      </c>
      <c r="C96" t="s">
        <v>437</v>
      </c>
      <c r="D96">
        <f>VLOOKUP($C96,'2000 Place'!$C$2:$Y$523,5,FALSE)</f>
        <v>3594</v>
      </c>
      <c r="E96">
        <f>VLOOKUP($C96,'2000 Place'!$C$2:$Y$523,6,FALSE)</f>
        <v>3150</v>
      </c>
      <c r="F96">
        <f>VLOOKUP($C96,'2000 Place'!$C$2:$Y$523,7,FALSE)</f>
        <v>444</v>
      </c>
      <c r="G96">
        <f>VLOOKUP($C96,'2000 Place'!$C$2:$Y$523,8,FALSE)</f>
        <v>2741</v>
      </c>
      <c r="H96">
        <f>VLOOKUP($C96,'2000 Place'!$C$2:$Y$523,9,FALSE)</f>
        <v>101</v>
      </c>
      <c r="I96">
        <f>VLOOKUP($C96,'2000 Place'!$C$2:$Y$523,10,FALSE)</f>
        <v>134</v>
      </c>
      <c r="J96">
        <f>VLOOKUP($C96,'2000 Place'!$C$2:$Y$523,11,FALSE)</f>
        <v>60</v>
      </c>
      <c r="K96">
        <f>VLOOKUP($C96,'2000 Place'!$C$2:$Y$523,12,FALSE)</f>
        <v>9</v>
      </c>
      <c r="L96">
        <f>VLOOKUP($C96,'2000 Place'!$C$2:$Y$523,13,FALSE)</f>
        <v>0</v>
      </c>
      <c r="M96">
        <f>VLOOKUP($C96,'2000 Place'!$C$2:$Y$523,14,FALSE)</f>
        <v>65</v>
      </c>
      <c r="N96">
        <f>VLOOKUP($C96,'2000 Place'!$C$2:$Y$523,15,FALSE)</f>
        <v>0</v>
      </c>
      <c r="O96">
        <f>VLOOKUP($C96,'2000 Place'!$C$2:$Y$523,16,FALSE)</f>
        <v>3</v>
      </c>
      <c r="P96">
        <f>VLOOKUP($C96,'2000 Place'!$C$2:$Y$523,17,FALSE)</f>
        <v>6</v>
      </c>
      <c r="Q96">
        <f>VLOOKUP($C96,'2000 Place'!$C$2:$Y$523,18,FALSE)</f>
        <v>0</v>
      </c>
      <c r="R96">
        <f>VLOOKUP($C96,'2000 Place'!$C$2:$Y$523,19,FALSE)</f>
        <v>0</v>
      </c>
      <c r="S96">
        <f>VLOOKUP($C96,'2000 Place'!$C$2:$Y$523,20,FALSE)</f>
        <v>127</v>
      </c>
      <c r="T96">
        <f>VLOOKUP($C96,'2000 Place'!$C$2:$Y$523,21,FALSE)</f>
        <v>277</v>
      </c>
      <c r="U96">
        <f>VLOOKUP($C96,'2000 Place'!$C$2:$Y$523,22,FALSE)</f>
        <v>71</v>
      </c>
      <c r="V96">
        <f>VLOOKUP($C96,'2000 Place'!$C$2:$Y$523,23,FALSE)</f>
        <v>0</v>
      </c>
    </row>
    <row r="97" spans="1:22" x14ac:dyDescent="0.25">
      <c r="A97" t="s">
        <v>438</v>
      </c>
      <c r="B97">
        <v>5311685</v>
      </c>
      <c r="C97" t="s">
        <v>439</v>
      </c>
      <c r="D97" t="e">
        <f>VLOOKUP($C97,'2000 Place'!$C$2:$Y$523,5,FALSE)</f>
        <v>#N/A</v>
      </c>
      <c r="E97" t="e">
        <f>VLOOKUP($C97,'2000 Place'!$C$2:$Y$523,6,FALSE)</f>
        <v>#N/A</v>
      </c>
      <c r="F97" t="e">
        <f>VLOOKUP($C97,'2000 Place'!$C$2:$Y$523,7,FALSE)</f>
        <v>#N/A</v>
      </c>
      <c r="G97" t="e">
        <f>VLOOKUP($C97,'2000 Place'!$C$2:$Y$523,8,FALSE)</f>
        <v>#N/A</v>
      </c>
      <c r="H97" t="e">
        <f>VLOOKUP($C97,'2000 Place'!$C$2:$Y$523,9,FALSE)</f>
        <v>#N/A</v>
      </c>
      <c r="I97" t="e">
        <f>VLOOKUP($C97,'2000 Place'!$C$2:$Y$523,10,FALSE)</f>
        <v>#N/A</v>
      </c>
      <c r="J97" t="e">
        <f>VLOOKUP($C97,'2000 Place'!$C$2:$Y$523,11,FALSE)</f>
        <v>#N/A</v>
      </c>
      <c r="K97" t="e">
        <f>VLOOKUP($C97,'2000 Place'!$C$2:$Y$523,12,FALSE)</f>
        <v>#N/A</v>
      </c>
      <c r="L97" t="e">
        <f>VLOOKUP($C97,'2000 Place'!$C$2:$Y$523,13,FALSE)</f>
        <v>#N/A</v>
      </c>
      <c r="M97" t="e">
        <f>VLOOKUP($C97,'2000 Place'!$C$2:$Y$523,14,FALSE)</f>
        <v>#N/A</v>
      </c>
      <c r="N97" t="e">
        <f>VLOOKUP($C97,'2000 Place'!$C$2:$Y$523,15,FALSE)</f>
        <v>#N/A</v>
      </c>
      <c r="O97" t="e">
        <f>VLOOKUP($C97,'2000 Place'!$C$2:$Y$523,16,FALSE)</f>
        <v>#N/A</v>
      </c>
      <c r="P97" t="e">
        <f>VLOOKUP($C97,'2000 Place'!$C$2:$Y$523,17,FALSE)</f>
        <v>#N/A</v>
      </c>
      <c r="Q97" t="e">
        <f>VLOOKUP($C97,'2000 Place'!$C$2:$Y$523,18,FALSE)</f>
        <v>#N/A</v>
      </c>
      <c r="R97" t="e">
        <f>VLOOKUP($C97,'2000 Place'!$C$2:$Y$523,19,FALSE)</f>
        <v>#N/A</v>
      </c>
      <c r="S97" t="e">
        <f>VLOOKUP($C97,'2000 Place'!$C$2:$Y$523,20,FALSE)</f>
        <v>#N/A</v>
      </c>
      <c r="T97" t="e">
        <f>VLOOKUP($C97,'2000 Place'!$C$2:$Y$523,21,FALSE)</f>
        <v>#N/A</v>
      </c>
      <c r="U97" t="e">
        <f>VLOOKUP($C97,'2000 Place'!$C$2:$Y$523,22,FALSE)</f>
        <v>#N/A</v>
      </c>
      <c r="V97" t="e">
        <f>VLOOKUP($C97,'2000 Place'!$C$2:$Y$523,23,FALSE)</f>
        <v>#N/A</v>
      </c>
    </row>
    <row r="98" spans="1:22" x14ac:dyDescent="0.25">
      <c r="A98" t="s">
        <v>440</v>
      </c>
      <c r="B98">
        <v>5311825</v>
      </c>
      <c r="C98" t="s">
        <v>441</v>
      </c>
      <c r="D98">
        <f>VLOOKUP($C98,'2000 Place'!$C$2:$Y$523,5,FALSE)</f>
        <v>8972</v>
      </c>
      <c r="E98">
        <f>VLOOKUP($C98,'2000 Place'!$C$2:$Y$523,6,FALSE)</f>
        <v>8171</v>
      </c>
      <c r="F98">
        <f>VLOOKUP($C98,'2000 Place'!$C$2:$Y$523,7,FALSE)</f>
        <v>801</v>
      </c>
      <c r="G98">
        <f>VLOOKUP($C98,'2000 Place'!$C$2:$Y$523,8,FALSE)</f>
        <v>7128</v>
      </c>
      <c r="H98">
        <f>VLOOKUP($C98,'2000 Place'!$C$2:$Y$523,9,FALSE)</f>
        <v>340</v>
      </c>
      <c r="I98">
        <f>VLOOKUP($C98,'2000 Place'!$C$2:$Y$523,10,FALSE)</f>
        <v>161</v>
      </c>
      <c r="J98">
        <f>VLOOKUP($C98,'2000 Place'!$C$2:$Y$523,11,FALSE)</f>
        <v>39</v>
      </c>
      <c r="K98">
        <f>VLOOKUP($C98,'2000 Place'!$C$2:$Y$523,12,FALSE)</f>
        <v>187</v>
      </c>
      <c r="L98">
        <f>VLOOKUP($C98,'2000 Place'!$C$2:$Y$523,13,FALSE)</f>
        <v>0</v>
      </c>
      <c r="M98">
        <f>VLOOKUP($C98,'2000 Place'!$C$2:$Y$523,14,FALSE)</f>
        <v>118</v>
      </c>
      <c r="N98">
        <f>VLOOKUP($C98,'2000 Place'!$C$2:$Y$523,15,FALSE)</f>
        <v>7</v>
      </c>
      <c r="O98">
        <f>VLOOKUP($C98,'2000 Place'!$C$2:$Y$523,16,FALSE)</f>
        <v>132</v>
      </c>
      <c r="P98">
        <f>VLOOKUP($C98,'2000 Place'!$C$2:$Y$523,17,FALSE)</f>
        <v>360</v>
      </c>
      <c r="Q98">
        <f>VLOOKUP($C98,'2000 Place'!$C$2:$Y$523,18,FALSE)</f>
        <v>0</v>
      </c>
      <c r="R98">
        <f>VLOOKUP($C98,'2000 Place'!$C$2:$Y$523,19,FALSE)</f>
        <v>0</v>
      </c>
      <c r="S98">
        <f>VLOOKUP($C98,'2000 Place'!$C$2:$Y$523,20,FALSE)</f>
        <v>109</v>
      </c>
      <c r="T98">
        <f>VLOOKUP($C98,'2000 Place'!$C$2:$Y$523,21,FALSE)</f>
        <v>35</v>
      </c>
      <c r="U98">
        <f>VLOOKUP($C98,'2000 Place'!$C$2:$Y$523,22,FALSE)</f>
        <v>336</v>
      </c>
      <c r="V98">
        <f>VLOOKUP($C98,'2000 Place'!$C$2:$Y$523,23,FALSE)</f>
        <v>20</v>
      </c>
    </row>
    <row r="99" spans="1:22" x14ac:dyDescent="0.25">
      <c r="A99" t="s">
        <v>442</v>
      </c>
      <c r="B99">
        <v>5312015</v>
      </c>
      <c r="C99" t="s">
        <v>443</v>
      </c>
      <c r="D99">
        <f>VLOOKUP($C99,'2000 Place'!$C$2:$Y$523,5,FALSE)</f>
        <v>642</v>
      </c>
      <c r="E99">
        <f>VLOOKUP($C99,'2000 Place'!$C$2:$Y$523,6,FALSE)</f>
        <v>642</v>
      </c>
      <c r="F99">
        <f>VLOOKUP($C99,'2000 Place'!$C$2:$Y$523,7,FALSE)</f>
        <v>0</v>
      </c>
      <c r="G99">
        <f>VLOOKUP($C99,'2000 Place'!$C$2:$Y$523,8,FALSE)</f>
        <v>598</v>
      </c>
      <c r="H99">
        <f>VLOOKUP($C99,'2000 Place'!$C$2:$Y$523,9,FALSE)</f>
        <v>0</v>
      </c>
      <c r="I99">
        <f>VLOOKUP($C99,'2000 Place'!$C$2:$Y$523,10,FALSE)</f>
        <v>11</v>
      </c>
      <c r="J99">
        <f>VLOOKUP($C99,'2000 Place'!$C$2:$Y$523,11,FALSE)</f>
        <v>0</v>
      </c>
      <c r="K99">
        <f>VLOOKUP($C99,'2000 Place'!$C$2:$Y$523,12,FALSE)</f>
        <v>6</v>
      </c>
      <c r="L99">
        <f>VLOOKUP($C99,'2000 Place'!$C$2:$Y$523,13,FALSE)</f>
        <v>0</v>
      </c>
      <c r="M99">
        <f>VLOOKUP($C99,'2000 Place'!$C$2:$Y$523,14,FALSE)</f>
        <v>0</v>
      </c>
      <c r="N99">
        <f>VLOOKUP($C99,'2000 Place'!$C$2:$Y$523,15,FALSE)</f>
        <v>0</v>
      </c>
      <c r="O99">
        <f>VLOOKUP($C99,'2000 Place'!$C$2:$Y$523,16,FALSE)</f>
        <v>0</v>
      </c>
      <c r="P99">
        <f>VLOOKUP($C99,'2000 Place'!$C$2:$Y$523,17,FALSE)</f>
        <v>0</v>
      </c>
      <c r="Q99">
        <f>VLOOKUP($C99,'2000 Place'!$C$2:$Y$523,18,FALSE)</f>
        <v>0</v>
      </c>
      <c r="R99">
        <f>VLOOKUP($C99,'2000 Place'!$C$2:$Y$523,19,FALSE)</f>
        <v>0</v>
      </c>
      <c r="S99">
        <f>VLOOKUP($C99,'2000 Place'!$C$2:$Y$523,20,FALSE)</f>
        <v>0</v>
      </c>
      <c r="T99">
        <f>VLOOKUP($C99,'2000 Place'!$C$2:$Y$523,21,FALSE)</f>
        <v>0</v>
      </c>
      <c r="U99">
        <f>VLOOKUP($C99,'2000 Place'!$C$2:$Y$523,22,FALSE)</f>
        <v>27</v>
      </c>
      <c r="V99">
        <f>VLOOKUP($C99,'2000 Place'!$C$2:$Y$523,23,FALSE)</f>
        <v>0</v>
      </c>
    </row>
    <row r="100" spans="1:22" x14ac:dyDescent="0.25">
      <c r="A100" t="s">
        <v>444</v>
      </c>
      <c r="B100">
        <v>5312140</v>
      </c>
      <c r="C100" t="s">
        <v>445</v>
      </c>
      <c r="D100">
        <f>VLOOKUP($C100,'2000 Place'!$C$2:$Y$523,5,FALSE)</f>
        <v>2196</v>
      </c>
      <c r="E100">
        <f>VLOOKUP($C100,'2000 Place'!$C$2:$Y$523,6,FALSE)</f>
        <v>2100</v>
      </c>
      <c r="F100">
        <f>VLOOKUP($C100,'2000 Place'!$C$2:$Y$523,7,FALSE)</f>
        <v>96</v>
      </c>
      <c r="G100">
        <f>VLOOKUP($C100,'2000 Place'!$C$2:$Y$523,8,FALSE)</f>
        <v>1918</v>
      </c>
      <c r="H100">
        <f>VLOOKUP($C100,'2000 Place'!$C$2:$Y$523,9,FALSE)</f>
        <v>72</v>
      </c>
      <c r="I100">
        <f>VLOOKUP($C100,'2000 Place'!$C$2:$Y$523,10,FALSE)</f>
        <v>39</v>
      </c>
      <c r="J100">
        <f>VLOOKUP($C100,'2000 Place'!$C$2:$Y$523,11,FALSE)</f>
        <v>6</v>
      </c>
      <c r="K100">
        <f>VLOOKUP($C100,'2000 Place'!$C$2:$Y$523,12,FALSE)</f>
        <v>0</v>
      </c>
      <c r="L100">
        <f>VLOOKUP($C100,'2000 Place'!$C$2:$Y$523,13,FALSE)</f>
        <v>0</v>
      </c>
      <c r="M100">
        <f>VLOOKUP($C100,'2000 Place'!$C$2:$Y$523,14,FALSE)</f>
        <v>28</v>
      </c>
      <c r="N100">
        <f>VLOOKUP($C100,'2000 Place'!$C$2:$Y$523,15,FALSE)</f>
        <v>0</v>
      </c>
      <c r="O100">
        <f>VLOOKUP($C100,'2000 Place'!$C$2:$Y$523,16,FALSE)</f>
        <v>8</v>
      </c>
      <c r="P100">
        <f>VLOOKUP($C100,'2000 Place'!$C$2:$Y$523,17,FALSE)</f>
        <v>18</v>
      </c>
      <c r="Q100">
        <f>VLOOKUP($C100,'2000 Place'!$C$2:$Y$523,18,FALSE)</f>
        <v>0</v>
      </c>
      <c r="R100">
        <f>VLOOKUP($C100,'2000 Place'!$C$2:$Y$523,19,FALSE)</f>
        <v>0</v>
      </c>
      <c r="S100">
        <f>VLOOKUP($C100,'2000 Place'!$C$2:$Y$523,20,FALSE)</f>
        <v>14</v>
      </c>
      <c r="T100">
        <f>VLOOKUP($C100,'2000 Place'!$C$2:$Y$523,21,FALSE)</f>
        <v>0</v>
      </c>
      <c r="U100">
        <f>VLOOKUP($C100,'2000 Place'!$C$2:$Y$523,22,FALSE)</f>
        <v>93</v>
      </c>
      <c r="V100">
        <f>VLOOKUP($C100,'2000 Place'!$C$2:$Y$523,23,FALSE)</f>
        <v>0</v>
      </c>
    </row>
    <row r="101" spans="1:22" x14ac:dyDescent="0.25">
      <c r="A101" t="s">
        <v>446</v>
      </c>
      <c r="B101">
        <v>5312175</v>
      </c>
      <c r="C101" t="s">
        <v>447</v>
      </c>
      <c r="D101" t="e">
        <f>VLOOKUP($C101,'2000 Place'!$C$2:$Y$523,5,FALSE)</f>
        <v>#N/A</v>
      </c>
      <c r="E101" t="e">
        <f>VLOOKUP($C101,'2000 Place'!$C$2:$Y$523,6,FALSE)</f>
        <v>#N/A</v>
      </c>
      <c r="F101" t="e">
        <f>VLOOKUP($C101,'2000 Place'!$C$2:$Y$523,7,FALSE)</f>
        <v>#N/A</v>
      </c>
      <c r="G101" t="e">
        <f>VLOOKUP($C101,'2000 Place'!$C$2:$Y$523,8,FALSE)</f>
        <v>#N/A</v>
      </c>
      <c r="H101" t="e">
        <f>VLOOKUP($C101,'2000 Place'!$C$2:$Y$523,9,FALSE)</f>
        <v>#N/A</v>
      </c>
      <c r="I101" t="e">
        <f>VLOOKUP($C101,'2000 Place'!$C$2:$Y$523,10,FALSE)</f>
        <v>#N/A</v>
      </c>
      <c r="J101" t="e">
        <f>VLOOKUP($C101,'2000 Place'!$C$2:$Y$523,11,FALSE)</f>
        <v>#N/A</v>
      </c>
      <c r="K101" t="e">
        <f>VLOOKUP($C101,'2000 Place'!$C$2:$Y$523,12,FALSE)</f>
        <v>#N/A</v>
      </c>
      <c r="L101" t="e">
        <f>VLOOKUP($C101,'2000 Place'!$C$2:$Y$523,13,FALSE)</f>
        <v>#N/A</v>
      </c>
      <c r="M101" t="e">
        <f>VLOOKUP($C101,'2000 Place'!$C$2:$Y$523,14,FALSE)</f>
        <v>#N/A</v>
      </c>
      <c r="N101" t="e">
        <f>VLOOKUP($C101,'2000 Place'!$C$2:$Y$523,15,FALSE)</f>
        <v>#N/A</v>
      </c>
      <c r="O101" t="e">
        <f>VLOOKUP($C101,'2000 Place'!$C$2:$Y$523,16,FALSE)</f>
        <v>#N/A</v>
      </c>
      <c r="P101" t="e">
        <f>VLOOKUP($C101,'2000 Place'!$C$2:$Y$523,17,FALSE)</f>
        <v>#N/A</v>
      </c>
      <c r="Q101" t="e">
        <f>VLOOKUP($C101,'2000 Place'!$C$2:$Y$523,18,FALSE)</f>
        <v>#N/A</v>
      </c>
      <c r="R101" t="e">
        <f>VLOOKUP($C101,'2000 Place'!$C$2:$Y$523,19,FALSE)</f>
        <v>#N/A</v>
      </c>
      <c r="S101" t="e">
        <f>VLOOKUP($C101,'2000 Place'!$C$2:$Y$523,20,FALSE)</f>
        <v>#N/A</v>
      </c>
      <c r="T101" t="e">
        <f>VLOOKUP($C101,'2000 Place'!$C$2:$Y$523,21,FALSE)</f>
        <v>#N/A</v>
      </c>
      <c r="U101" t="e">
        <f>VLOOKUP($C101,'2000 Place'!$C$2:$Y$523,22,FALSE)</f>
        <v>#N/A</v>
      </c>
      <c r="V101" t="e">
        <f>VLOOKUP($C101,'2000 Place'!$C$2:$Y$523,23,FALSE)</f>
        <v>#N/A</v>
      </c>
    </row>
    <row r="102" spans="1:22" x14ac:dyDescent="0.25">
      <c r="A102" t="s">
        <v>448</v>
      </c>
      <c r="B102">
        <v>5312315</v>
      </c>
      <c r="C102" t="s">
        <v>449</v>
      </c>
      <c r="D102">
        <f>VLOOKUP($C102,'2000 Place'!$C$2:$Y$523,5,FALSE)</f>
        <v>417</v>
      </c>
      <c r="E102">
        <f>VLOOKUP($C102,'2000 Place'!$C$2:$Y$523,6,FALSE)</f>
        <v>395</v>
      </c>
      <c r="F102">
        <f>VLOOKUP($C102,'2000 Place'!$C$2:$Y$523,7,FALSE)</f>
        <v>22</v>
      </c>
      <c r="G102">
        <f>VLOOKUP($C102,'2000 Place'!$C$2:$Y$523,8,FALSE)</f>
        <v>377</v>
      </c>
      <c r="H102">
        <f>VLOOKUP($C102,'2000 Place'!$C$2:$Y$523,9,FALSE)</f>
        <v>22</v>
      </c>
      <c r="I102">
        <f>VLOOKUP($C102,'2000 Place'!$C$2:$Y$523,10,FALSE)</f>
        <v>0</v>
      </c>
      <c r="J102">
        <f>VLOOKUP($C102,'2000 Place'!$C$2:$Y$523,11,FALSE)</f>
        <v>0</v>
      </c>
      <c r="K102">
        <f>VLOOKUP($C102,'2000 Place'!$C$2:$Y$523,12,FALSE)</f>
        <v>0</v>
      </c>
      <c r="L102">
        <f>VLOOKUP($C102,'2000 Place'!$C$2:$Y$523,13,FALSE)</f>
        <v>0</v>
      </c>
      <c r="M102">
        <f>VLOOKUP($C102,'2000 Place'!$C$2:$Y$523,14,FALSE)</f>
        <v>0</v>
      </c>
      <c r="N102">
        <f>VLOOKUP($C102,'2000 Place'!$C$2:$Y$523,15,FALSE)</f>
        <v>0</v>
      </c>
      <c r="O102">
        <f>VLOOKUP($C102,'2000 Place'!$C$2:$Y$523,16,FALSE)</f>
        <v>0</v>
      </c>
      <c r="P102">
        <f>VLOOKUP($C102,'2000 Place'!$C$2:$Y$523,17,FALSE)</f>
        <v>0</v>
      </c>
      <c r="Q102">
        <f>VLOOKUP($C102,'2000 Place'!$C$2:$Y$523,18,FALSE)</f>
        <v>0</v>
      </c>
      <c r="R102">
        <f>VLOOKUP($C102,'2000 Place'!$C$2:$Y$523,19,FALSE)</f>
        <v>0</v>
      </c>
      <c r="S102">
        <f>VLOOKUP($C102,'2000 Place'!$C$2:$Y$523,20,FALSE)</f>
        <v>0</v>
      </c>
      <c r="T102">
        <f>VLOOKUP($C102,'2000 Place'!$C$2:$Y$523,21,FALSE)</f>
        <v>0</v>
      </c>
      <c r="U102">
        <f>VLOOKUP($C102,'2000 Place'!$C$2:$Y$523,22,FALSE)</f>
        <v>18</v>
      </c>
      <c r="V102">
        <f>VLOOKUP($C102,'2000 Place'!$C$2:$Y$523,23,FALSE)</f>
        <v>0</v>
      </c>
    </row>
    <row r="103" spans="1:22" x14ac:dyDescent="0.25">
      <c r="A103" t="s">
        <v>450</v>
      </c>
      <c r="B103">
        <v>5312525</v>
      </c>
      <c r="C103" t="s">
        <v>451</v>
      </c>
      <c r="D103" t="e">
        <f>VLOOKUP($C103,'2000 Place'!$C$2:$Y$523,5,FALSE)</f>
        <v>#N/A</v>
      </c>
      <c r="E103" t="e">
        <f>VLOOKUP($C103,'2000 Place'!$C$2:$Y$523,6,FALSE)</f>
        <v>#N/A</v>
      </c>
      <c r="F103" t="e">
        <f>VLOOKUP($C103,'2000 Place'!$C$2:$Y$523,7,FALSE)</f>
        <v>#N/A</v>
      </c>
      <c r="G103" t="e">
        <f>VLOOKUP($C103,'2000 Place'!$C$2:$Y$523,8,FALSE)</f>
        <v>#N/A</v>
      </c>
      <c r="H103" t="e">
        <f>VLOOKUP($C103,'2000 Place'!$C$2:$Y$523,9,FALSE)</f>
        <v>#N/A</v>
      </c>
      <c r="I103" t="e">
        <f>VLOOKUP($C103,'2000 Place'!$C$2:$Y$523,10,FALSE)</f>
        <v>#N/A</v>
      </c>
      <c r="J103" t="e">
        <f>VLOOKUP($C103,'2000 Place'!$C$2:$Y$523,11,FALSE)</f>
        <v>#N/A</v>
      </c>
      <c r="K103" t="e">
        <f>VLOOKUP($C103,'2000 Place'!$C$2:$Y$523,12,FALSE)</f>
        <v>#N/A</v>
      </c>
      <c r="L103" t="e">
        <f>VLOOKUP($C103,'2000 Place'!$C$2:$Y$523,13,FALSE)</f>
        <v>#N/A</v>
      </c>
      <c r="M103" t="e">
        <f>VLOOKUP($C103,'2000 Place'!$C$2:$Y$523,14,FALSE)</f>
        <v>#N/A</v>
      </c>
      <c r="N103" t="e">
        <f>VLOOKUP($C103,'2000 Place'!$C$2:$Y$523,15,FALSE)</f>
        <v>#N/A</v>
      </c>
      <c r="O103" t="e">
        <f>VLOOKUP($C103,'2000 Place'!$C$2:$Y$523,16,FALSE)</f>
        <v>#N/A</v>
      </c>
      <c r="P103" t="e">
        <f>VLOOKUP($C103,'2000 Place'!$C$2:$Y$523,17,FALSE)</f>
        <v>#N/A</v>
      </c>
      <c r="Q103" t="e">
        <f>VLOOKUP($C103,'2000 Place'!$C$2:$Y$523,18,FALSE)</f>
        <v>#N/A</v>
      </c>
      <c r="R103" t="e">
        <f>VLOOKUP($C103,'2000 Place'!$C$2:$Y$523,19,FALSE)</f>
        <v>#N/A</v>
      </c>
      <c r="S103" t="e">
        <f>VLOOKUP($C103,'2000 Place'!$C$2:$Y$523,20,FALSE)</f>
        <v>#N/A</v>
      </c>
      <c r="T103" t="e">
        <f>VLOOKUP($C103,'2000 Place'!$C$2:$Y$523,21,FALSE)</f>
        <v>#N/A</v>
      </c>
      <c r="U103" t="e">
        <f>VLOOKUP($C103,'2000 Place'!$C$2:$Y$523,22,FALSE)</f>
        <v>#N/A</v>
      </c>
      <c r="V103" t="e">
        <f>VLOOKUP($C103,'2000 Place'!$C$2:$Y$523,23,FALSE)</f>
        <v>#N/A</v>
      </c>
    </row>
    <row r="104" spans="1:22" x14ac:dyDescent="0.25">
      <c r="A104" t="s">
        <v>452</v>
      </c>
      <c r="B104">
        <v>5312630</v>
      </c>
      <c r="C104" t="s">
        <v>453</v>
      </c>
      <c r="D104">
        <f>VLOOKUP($C104,'2000 Place'!$C$2:$Y$523,5,FALSE)</f>
        <v>7351</v>
      </c>
      <c r="E104">
        <f>VLOOKUP($C104,'2000 Place'!$C$2:$Y$523,6,FALSE)</f>
        <v>7194</v>
      </c>
      <c r="F104">
        <f>VLOOKUP($C104,'2000 Place'!$C$2:$Y$523,7,FALSE)</f>
        <v>157</v>
      </c>
      <c r="G104">
        <f>VLOOKUP($C104,'2000 Place'!$C$2:$Y$523,8,FALSE)</f>
        <v>6836</v>
      </c>
      <c r="H104">
        <f>VLOOKUP($C104,'2000 Place'!$C$2:$Y$523,9,FALSE)</f>
        <v>110</v>
      </c>
      <c r="I104">
        <f>VLOOKUP($C104,'2000 Place'!$C$2:$Y$523,10,FALSE)</f>
        <v>30</v>
      </c>
      <c r="J104">
        <f>VLOOKUP($C104,'2000 Place'!$C$2:$Y$523,11,FALSE)</f>
        <v>18</v>
      </c>
      <c r="K104">
        <f>VLOOKUP($C104,'2000 Place'!$C$2:$Y$523,12,FALSE)</f>
        <v>6</v>
      </c>
      <c r="L104">
        <f>VLOOKUP($C104,'2000 Place'!$C$2:$Y$523,13,FALSE)</f>
        <v>0</v>
      </c>
      <c r="M104">
        <f>VLOOKUP($C104,'2000 Place'!$C$2:$Y$523,14,FALSE)</f>
        <v>39</v>
      </c>
      <c r="N104">
        <f>VLOOKUP($C104,'2000 Place'!$C$2:$Y$523,15,FALSE)</f>
        <v>0</v>
      </c>
      <c r="O104">
        <f>VLOOKUP($C104,'2000 Place'!$C$2:$Y$523,16,FALSE)</f>
        <v>35</v>
      </c>
      <c r="P104">
        <f>VLOOKUP($C104,'2000 Place'!$C$2:$Y$523,17,FALSE)</f>
        <v>20</v>
      </c>
      <c r="Q104">
        <f>VLOOKUP($C104,'2000 Place'!$C$2:$Y$523,18,FALSE)</f>
        <v>0</v>
      </c>
      <c r="R104">
        <f>VLOOKUP($C104,'2000 Place'!$C$2:$Y$523,19,FALSE)</f>
        <v>0</v>
      </c>
      <c r="S104">
        <f>VLOOKUP($C104,'2000 Place'!$C$2:$Y$523,20,FALSE)</f>
        <v>58</v>
      </c>
      <c r="T104">
        <f>VLOOKUP($C104,'2000 Place'!$C$2:$Y$523,21,FALSE)</f>
        <v>9</v>
      </c>
      <c r="U104">
        <f>VLOOKUP($C104,'2000 Place'!$C$2:$Y$523,22,FALSE)</f>
        <v>190</v>
      </c>
      <c r="V104">
        <f>VLOOKUP($C104,'2000 Place'!$C$2:$Y$523,23,FALSE)</f>
        <v>0</v>
      </c>
    </row>
    <row r="105" spans="1:22" x14ac:dyDescent="0.25">
      <c r="A105" t="s">
        <v>454</v>
      </c>
      <c r="B105">
        <v>5312680</v>
      </c>
      <c r="C105" t="s">
        <v>455</v>
      </c>
      <c r="D105">
        <f>VLOOKUP($C105,'2000 Place'!$C$2:$Y$523,5,FALSE)</f>
        <v>6166</v>
      </c>
      <c r="E105">
        <f>VLOOKUP($C105,'2000 Place'!$C$2:$Y$523,6,FALSE)</f>
        <v>5997</v>
      </c>
      <c r="F105">
        <f>VLOOKUP($C105,'2000 Place'!$C$2:$Y$523,7,FALSE)</f>
        <v>169</v>
      </c>
      <c r="G105">
        <f>VLOOKUP($C105,'2000 Place'!$C$2:$Y$523,8,FALSE)</f>
        <v>5769</v>
      </c>
      <c r="H105">
        <f>VLOOKUP($C105,'2000 Place'!$C$2:$Y$523,9,FALSE)</f>
        <v>108</v>
      </c>
      <c r="I105">
        <f>VLOOKUP($C105,'2000 Place'!$C$2:$Y$523,10,FALSE)</f>
        <v>45</v>
      </c>
      <c r="J105">
        <f>VLOOKUP($C105,'2000 Place'!$C$2:$Y$523,11,FALSE)</f>
        <v>10</v>
      </c>
      <c r="K105">
        <f>VLOOKUP($C105,'2000 Place'!$C$2:$Y$523,12,FALSE)</f>
        <v>13</v>
      </c>
      <c r="L105">
        <f>VLOOKUP($C105,'2000 Place'!$C$2:$Y$523,13,FALSE)</f>
        <v>0</v>
      </c>
      <c r="M105">
        <f>VLOOKUP($C105,'2000 Place'!$C$2:$Y$523,14,FALSE)</f>
        <v>63</v>
      </c>
      <c r="N105">
        <f>VLOOKUP($C105,'2000 Place'!$C$2:$Y$523,15,FALSE)</f>
        <v>0</v>
      </c>
      <c r="O105">
        <f>VLOOKUP($C105,'2000 Place'!$C$2:$Y$523,16,FALSE)</f>
        <v>0</v>
      </c>
      <c r="P105">
        <f>VLOOKUP($C105,'2000 Place'!$C$2:$Y$523,17,FALSE)</f>
        <v>16</v>
      </c>
      <c r="Q105">
        <f>VLOOKUP($C105,'2000 Place'!$C$2:$Y$523,18,FALSE)</f>
        <v>0</v>
      </c>
      <c r="R105">
        <f>VLOOKUP($C105,'2000 Place'!$C$2:$Y$523,19,FALSE)</f>
        <v>6</v>
      </c>
      <c r="S105">
        <f>VLOOKUP($C105,'2000 Place'!$C$2:$Y$523,20,FALSE)</f>
        <v>13</v>
      </c>
      <c r="T105">
        <f>VLOOKUP($C105,'2000 Place'!$C$2:$Y$523,21,FALSE)</f>
        <v>3</v>
      </c>
      <c r="U105">
        <f>VLOOKUP($C105,'2000 Place'!$C$2:$Y$523,22,FALSE)</f>
        <v>94</v>
      </c>
      <c r="V105">
        <f>VLOOKUP($C105,'2000 Place'!$C$2:$Y$523,23,FALSE)</f>
        <v>26</v>
      </c>
    </row>
    <row r="106" spans="1:22" x14ac:dyDescent="0.25">
      <c r="A106" t="s">
        <v>456</v>
      </c>
      <c r="B106">
        <v>5312735</v>
      </c>
      <c r="C106" t="s">
        <v>457</v>
      </c>
      <c r="D106" t="e">
        <f>VLOOKUP($C106,'2000 Place'!$C$2:$Y$523,5,FALSE)</f>
        <v>#N/A</v>
      </c>
      <c r="E106" t="e">
        <f>VLOOKUP($C106,'2000 Place'!$C$2:$Y$523,6,FALSE)</f>
        <v>#N/A</v>
      </c>
      <c r="F106" t="e">
        <f>VLOOKUP($C106,'2000 Place'!$C$2:$Y$523,7,FALSE)</f>
        <v>#N/A</v>
      </c>
      <c r="G106" t="e">
        <f>VLOOKUP($C106,'2000 Place'!$C$2:$Y$523,8,FALSE)</f>
        <v>#N/A</v>
      </c>
      <c r="H106" t="e">
        <f>VLOOKUP($C106,'2000 Place'!$C$2:$Y$523,9,FALSE)</f>
        <v>#N/A</v>
      </c>
      <c r="I106" t="e">
        <f>VLOOKUP($C106,'2000 Place'!$C$2:$Y$523,10,FALSE)</f>
        <v>#N/A</v>
      </c>
      <c r="J106" t="e">
        <f>VLOOKUP($C106,'2000 Place'!$C$2:$Y$523,11,FALSE)</f>
        <v>#N/A</v>
      </c>
      <c r="K106" t="e">
        <f>VLOOKUP($C106,'2000 Place'!$C$2:$Y$523,12,FALSE)</f>
        <v>#N/A</v>
      </c>
      <c r="L106" t="e">
        <f>VLOOKUP($C106,'2000 Place'!$C$2:$Y$523,13,FALSE)</f>
        <v>#N/A</v>
      </c>
      <c r="M106" t="e">
        <f>VLOOKUP($C106,'2000 Place'!$C$2:$Y$523,14,FALSE)</f>
        <v>#N/A</v>
      </c>
      <c r="N106" t="e">
        <f>VLOOKUP($C106,'2000 Place'!$C$2:$Y$523,15,FALSE)</f>
        <v>#N/A</v>
      </c>
      <c r="O106" t="e">
        <f>VLOOKUP($C106,'2000 Place'!$C$2:$Y$523,16,FALSE)</f>
        <v>#N/A</v>
      </c>
      <c r="P106" t="e">
        <f>VLOOKUP($C106,'2000 Place'!$C$2:$Y$523,17,FALSE)</f>
        <v>#N/A</v>
      </c>
      <c r="Q106" t="e">
        <f>VLOOKUP($C106,'2000 Place'!$C$2:$Y$523,18,FALSE)</f>
        <v>#N/A</v>
      </c>
      <c r="R106" t="e">
        <f>VLOOKUP($C106,'2000 Place'!$C$2:$Y$523,19,FALSE)</f>
        <v>#N/A</v>
      </c>
      <c r="S106" t="e">
        <f>VLOOKUP($C106,'2000 Place'!$C$2:$Y$523,20,FALSE)</f>
        <v>#N/A</v>
      </c>
      <c r="T106" t="e">
        <f>VLOOKUP($C106,'2000 Place'!$C$2:$Y$523,21,FALSE)</f>
        <v>#N/A</v>
      </c>
      <c r="U106" t="e">
        <f>VLOOKUP($C106,'2000 Place'!$C$2:$Y$523,22,FALSE)</f>
        <v>#N/A</v>
      </c>
      <c r="V106" t="e">
        <f>VLOOKUP($C106,'2000 Place'!$C$2:$Y$523,23,FALSE)</f>
        <v>#N/A</v>
      </c>
    </row>
    <row r="107" spans="1:22" x14ac:dyDescent="0.25">
      <c r="A107" t="s">
        <v>458</v>
      </c>
      <c r="B107">
        <v>5312820</v>
      </c>
      <c r="C107" t="s">
        <v>459</v>
      </c>
      <c r="D107" t="e">
        <f>VLOOKUP($C107,'2000 Place'!$C$2:$Y$523,5,FALSE)</f>
        <v>#N/A</v>
      </c>
      <c r="E107" t="e">
        <f>VLOOKUP($C107,'2000 Place'!$C$2:$Y$523,6,FALSE)</f>
        <v>#N/A</v>
      </c>
      <c r="F107" t="e">
        <f>VLOOKUP($C107,'2000 Place'!$C$2:$Y$523,7,FALSE)</f>
        <v>#N/A</v>
      </c>
      <c r="G107" t="e">
        <f>VLOOKUP($C107,'2000 Place'!$C$2:$Y$523,8,FALSE)</f>
        <v>#N/A</v>
      </c>
      <c r="H107" t="e">
        <f>VLOOKUP($C107,'2000 Place'!$C$2:$Y$523,9,FALSE)</f>
        <v>#N/A</v>
      </c>
      <c r="I107" t="e">
        <f>VLOOKUP($C107,'2000 Place'!$C$2:$Y$523,10,FALSE)</f>
        <v>#N/A</v>
      </c>
      <c r="J107" t="e">
        <f>VLOOKUP($C107,'2000 Place'!$C$2:$Y$523,11,FALSE)</f>
        <v>#N/A</v>
      </c>
      <c r="K107" t="e">
        <f>VLOOKUP($C107,'2000 Place'!$C$2:$Y$523,12,FALSE)</f>
        <v>#N/A</v>
      </c>
      <c r="L107" t="e">
        <f>VLOOKUP($C107,'2000 Place'!$C$2:$Y$523,13,FALSE)</f>
        <v>#N/A</v>
      </c>
      <c r="M107" t="e">
        <f>VLOOKUP($C107,'2000 Place'!$C$2:$Y$523,14,FALSE)</f>
        <v>#N/A</v>
      </c>
      <c r="N107" t="e">
        <f>VLOOKUP($C107,'2000 Place'!$C$2:$Y$523,15,FALSE)</f>
        <v>#N/A</v>
      </c>
      <c r="O107" t="e">
        <f>VLOOKUP($C107,'2000 Place'!$C$2:$Y$523,16,FALSE)</f>
        <v>#N/A</v>
      </c>
      <c r="P107" t="e">
        <f>VLOOKUP($C107,'2000 Place'!$C$2:$Y$523,17,FALSE)</f>
        <v>#N/A</v>
      </c>
      <c r="Q107" t="e">
        <f>VLOOKUP($C107,'2000 Place'!$C$2:$Y$523,18,FALSE)</f>
        <v>#N/A</v>
      </c>
      <c r="R107" t="e">
        <f>VLOOKUP($C107,'2000 Place'!$C$2:$Y$523,19,FALSE)</f>
        <v>#N/A</v>
      </c>
      <c r="S107" t="e">
        <f>VLOOKUP($C107,'2000 Place'!$C$2:$Y$523,20,FALSE)</f>
        <v>#N/A</v>
      </c>
      <c r="T107" t="e">
        <f>VLOOKUP($C107,'2000 Place'!$C$2:$Y$523,21,FALSE)</f>
        <v>#N/A</v>
      </c>
      <c r="U107" t="e">
        <f>VLOOKUP($C107,'2000 Place'!$C$2:$Y$523,22,FALSE)</f>
        <v>#N/A</v>
      </c>
      <c r="V107" t="e">
        <f>VLOOKUP($C107,'2000 Place'!$C$2:$Y$523,23,FALSE)</f>
        <v>#N/A</v>
      </c>
    </row>
    <row r="108" spans="1:22" x14ac:dyDescent="0.25">
      <c r="A108" t="s">
        <v>460</v>
      </c>
      <c r="B108">
        <v>5312840</v>
      </c>
      <c r="C108" t="s">
        <v>461</v>
      </c>
      <c r="D108" t="e">
        <f>VLOOKUP($C108,'2000 Place'!$C$2:$Y$523,5,FALSE)</f>
        <v>#N/A</v>
      </c>
      <c r="E108" t="e">
        <f>VLOOKUP($C108,'2000 Place'!$C$2:$Y$523,6,FALSE)</f>
        <v>#N/A</v>
      </c>
      <c r="F108" t="e">
        <f>VLOOKUP($C108,'2000 Place'!$C$2:$Y$523,7,FALSE)</f>
        <v>#N/A</v>
      </c>
      <c r="G108" t="e">
        <f>VLOOKUP($C108,'2000 Place'!$C$2:$Y$523,8,FALSE)</f>
        <v>#N/A</v>
      </c>
      <c r="H108" t="e">
        <f>VLOOKUP($C108,'2000 Place'!$C$2:$Y$523,9,FALSE)</f>
        <v>#N/A</v>
      </c>
      <c r="I108" t="e">
        <f>VLOOKUP($C108,'2000 Place'!$C$2:$Y$523,10,FALSE)</f>
        <v>#N/A</v>
      </c>
      <c r="J108" t="e">
        <f>VLOOKUP($C108,'2000 Place'!$C$2:$Y$523,11,FALSE)</f>
        <v>#N/A</v>
      </c>
      <c r="K108" t="e">
        <f>VLOOKUP($C108,'2000 Place'!$C$2:$Y$523,12,FALSE)</f>
        <v>#N/A</v>
      </c>
      <c r="L108" t="e">
        <f>VLOOKUP($C108,'2000 Place'!$C$2:$Y$523,13,FALSE)</f>
        <v>#N/A</v>
      </c>
      <c r="M108" t="e">
        <f>VLOOKUP($C108,'2000 Place'!$C$2:$Y$523,14,FALSE)</f>
        <v>#N/A</v>
      </c>
      <c r="N108" t="e">
        <f>VLOOKUP($C108,'2000 Place'!$C$2:$Y$523,15,FALSE)</f>
        <v>#N/A</v>
      </c>
      <c r="O108" t="e">
        <f>VLOOKUP($C108,'2000 Place'!$C$2:$Y$523,16,FALSE)</f>
        <v>#N/A</v>
      </c>
      <c r="P108" t="e">
        <f>VLOOKUP($C108,'2000 Place'!$C$2:$Y$523,17,FALSE)</f>
        <v>#N/A</v>
      </c>
      <c r="Q108" t="e">
        <f>VLOOKUP($C108,'2000 Place'!$C$2:$Y$523,18,FALSE)</f>
        <v>#N/A</v>
      </c>
      <c r="R108" t="e">
        <f>VLOOKUP($C108,'2000 Place'!$C$2:$Y$523,19,FALSE)</f>
        <v>#N/A</v>
      </c>
      <c r="S108" t="e">
        <f>VLOOKUP($C108,'2000 Place'!$C$2:$Y$523,20,FALSE)</f>
        <v>#N/A</v>
      </c>
      <c r="T108" t="e">
        <f>VLOOKUP($C108,'2000 Place'!$C$2:$Y$523,21,FALSE)</f>
        <v>#N/A</v>
      </c>
      <c r="U108" t="e">
        <f>VLOOKUP($C108,'2000 Place'!$C$2:$Y$523,22,FALSE)</f>
        <v>#N/A</v>
      </c>
      <c r="V108" t="e">
        <f>VLOOKUP($C108,'2000 Place'!$C$2:$Y$523,23,FALSE)</f>
        <v>#N/A</v>
      </c>
    </row>
    <row r="109" spans="1:22" x14ac:dyDescent="0.25">
      <c r="A109" t="s">
        <v>462</v>
      </c>
      <c r="B109">
        <v>5312875</v>
      </c>
      <c r="C109" t="s">
        <v>463</v>
      </c>
      <c r="D109" t="e">
        <f>VLOOKUP($C109,'2000 Place'!$C$2:$Y$523,5,FALSE)</f>
        <v>#N/A</v>
      </c>
      <c r="E109" t="e">
        <f>VLOOKUP($C109,'2000 Place'!$C$2:$Y$523,6,FALSE)</f>
        <v>#N/A</v>
      </c>
      <c r="F109" t="e">
        <f>VLOOKUP($C109,'2000 Place'!$C$2:$Y$523,7,FALSE)</f>
        <v>#N/A</v>
      </c>
      <c r="G109" t="e">
        <f>VLOOKUP($C109,'2000 Place'!$C$2:$Y$523,8,FALSE)</f>
        <v>#N/A</v>
      </c>
      <c r="H109" t="e">
        <f>VLOOKUP($C109,'2000 Place'!$C$2:$Y$523,9,FALSE)</f>
        <v>#N/A</v>
      </c>
      <c r="I109" t="e">
        <f>VLOOKUP($C109,'2000 Place'!$C$2:$Y$523,10,FALSE)</f>
        <v>#N/A</v>
      </c>
      <c r="J109" t="e">
        <f>VLOOKUP($C109,'2000 Place'!$C$2:$Y$523,11,FALSE)</f>
        <v>#N/A</v>
      </c>
      <c r="K109" t="e">
        <f>VLOOKUP($C109,'2000 Place'!$C$2:$Y$523,12,FALSE)</f>
        <v>#N/A</v>
      </c>
      <c r="L109" t="e">
        <f>VLOOKUP($C109,'2000 Place'!$C$2:$Y$523,13,FALSE)</f>
        <v>#N/A</v>
      </c>
      <c r="M109" t="e">
        <f>VLOOKUP($C109,'2000 Place'!$C$2:$Y$523,14,FALSE)</f>
        <v>#N/A</v>
      </c>
      <c r="N109" t="e">
        <f>VLOOKUP($C109,'2000 Place'!$C$2:$Y$523,15,FALSE)</f>
        <v>#N/A</v>
      </c>
      <c r="O109" t="e">
        <f>VLOOKUP($C109,'2000 Place'!$C$2:$Y$523,16,FALSE)</f>
        <v>#N/A</v>
      </c>
      <c r="P109" t="e">
        <f>VLOOKUP($C109,'2000 Place'!$C$2:$Y$523,17,FALSE)</f>
        <v>#N/A</v>
      </c>
      <c r="Q109" t="e">
        <f>VLOOKUP($C109,'2000 Place'!$C$2:$Y$523,18,FALSE)</f>
        <v>#N/A</v>
      </c>
      <c r="R109" t="e">
        <f>VLOOKUP($C109,'2000 Place'!$C$2:$Y$523,19,FALSE)</f>
        <v>#N/A</v>
      </c>
      <c r="S109" t="e">
        <f>VLOOKUP($C109,'2000 Place'!$C$2:$Y$523,20,FALSE)</f>
        <v>#N/A</v>
      </c>
      <c r="T109" t="e">
        <f>VLOOKUP($C109,'2000 Place'!$C$2:$Y$523,21,FALSE)</f>
        <v>#N/A</v>
      </c>
      <c r="U109" t="e">
        <f>VLOOKUP($C109,'2000 Place'!$C$2:$Y$523,22,FALSE)</f>
        <v>#N/A</v>
      </c>
      <c r="V109" t="e">
        <f>VLOOKUP($C109,'2000 Place'!$C$2:$Y$523,23,FALSE)</f>
        <v>#N/A</v>
      </c>
    </row>
    <row r="110" spans="1:22" x14ac:dyDescent="0.25">
      <c r="A110" t="s">
        <v>464</v>
      </c>
      <c r="B110">
        <v>5312945</v>
      </c>
      <c r="C110" t="s">
        <v>465</v>
      </c>
      <c r="D110">
        <f>VLOOKUP($C110,'2000 Place'!$C$2:$Y$523,5,FALSE)</f>
        <v>1787</v>
      </c>
      <c r="E110">
        <f>VLOOKUP($C110,'2000 Place'!$C$2:$Y$523,6,FALSE)</f>
        <v>1701</v>
      </c>
      <c r="F110">
        <f>VLOOKUP($C110,'2000 Place'!$C$2:$Y$523,7,FALSE)</f>
        <v>86</v>
      </c>
      <c r="G110">
        <f>VLOOKUP($C110,'2000 Place'!$C$2:$Y$523,8,FALSE)</f>
        <v>1619</v>
      </c>
      <c r="H110">
        <f>VLOOKUP($C110,'2000 Place'!$C$2:$Y$523,9,FALSE)</f>
        <v>40</v>
      </c>
      <c r="I110">
        <f>VLOOKUP($C110,'2000 Place'!$C$2:$Y$523,10,FALSE)</f>
        <v>24</v>
      </c>
      <c r="J110">
        <f>VLOOKUP($C110,'2000 Place'!$C$2:$Y$523,11,FALSE)</f>
        <v>8</v>
      </c>
      <c r="K110">
        <f>VLOOKUP($C110,'2000 Place'!$C$2:$Y$523,12,FALSE)</f>
        <v>0</v>
      </c>
      <c r="L110">
        <f>VLOOKUP($C110,'2000 Place'!$C$2:$Y$523,13,FALSE)</f>
        <v>0</v>
      </c>
      <c r="M110">
        <f>VLOOKUP($C110,'2000 Place'!$C$2:$Y$523,14,FALSE)</f>
        <v>7</v>
      </c>
      <c r="N110">
        <f>VLOOKUP($C110,'2000 Place'!$C$2:$Y$523,15,FALSE)</f>
        <v>5</v>
      </c>
      <c r="O110">
        <f>VLOOKUP($C110,'2000 Place'!$C$2:$Y$523,16,FALSE)</f>
        <v>0</v>
      </c>
      <c r="P110">
        <f>VLOOKUP($C110,'2000 Place'!$C$2:$Y$523,17,FALSE)</f>
        <v>11</v>
      </c>
      <c r="Q110">
        <f>VLOOKUP($C110,'2000 Place'!$C$2:$Y$523,18,FALSE)</f>
        <v>14</v>
      </c>
      <c r="R110">
        <f>VLOOKUP($C110,'2000 Place'!$C$2:$Y$523,19,FALSE)</f>
        <v>15</v>
      </c>
      <c r="S110">
        <f>VLOOKUP($C110,'2000 Place'!$C$2:$Y$523,20,FALSE)</f>
        <v>9</v>
      </c>
      <c r="T110">
        <f>VLOOKUP($C110,'2000 Place'!$C$2:$Y$523,21,FALSE)</f>
        <v>4</v>
      </c>
      <c r="U110">
        <f>VLOOKUP($C110,'2000 Place'!$C$2:$Y$523,22,FALSE)</f>
        <v>28</v>
      </c>
      <c r="V110">
        <f>VLOOKUP($C110,'2000 Place'!$C$2:$Y$523,23,FALSE)</f>
        <v>3</v>
      </c>
    </row>
    <row r="111" spans="1:22" x14ac:dyDescent="0.25">
      <c r="A111" t="s">
        <v>466</v>
      </c>
      <c r="B111">
        <v>5313015</v>
      </c>
      <c r="C111" t="s">
        <v>467</v>
      </c>
      <c r="D111" t="e">
        <f>VLOOKUP($C111,'2000 Place'!$C$2:$Y$523,5,FALSE)</f>
        <v>#N/A</v>
      </c>
      <c r="E111" t="e">
        <f>VLOOKUP($C111,'2000 Place'!$C$2:$Y$523,6,FALSE)</f>
        <v>#N/A</v>
      </c>
      <c r="F111" t="e">
        <f>VLOOKUP($C111,'2000 Place'!$C$2:$Y$523,7,FALSE)</f>
        <v>#N/A</v>
      </c>
      <c r="G111" t="e">
        <f>VLOOKUP($C111,'2000 Place'!$C$2:$Y$523,8,FALSE)</f>
        <v>#N/A</v>
      </c>
      <c r="H111" t="e">
        <f>VLOOKUP($C111,'2000 Place'!$C$2:$Y$523,9,FALSE)</f>
        <v>#N/A</v>
      </c>
      <c r="I111" t="e">
        <f>VLOOKUP($C111,'2000 Place'!$C$2:$Y$523,10,FALSE)</f>
        <v>#N/A</v>
      </c>
      <c r="J111" t="e">
        <f>VLOOKUP($C111,'2000 Place'!$C$2:$Y$523,11,FALSE)</f>
        <v>#N/A</v>
      </c>
      <c r="K111" t="e">
        <f>VLOOKUP($C111,'2000 Place'!$C$2:$Y$523,12,FALSE)</f>
        <v>#N/A</v>
      </c>
      <c r="L111" t="e">
        <f>VLOOKUP($C111,'2000 Place'!$C$2:$Y$523,13,FALSE)</f>
        <v>#N/A</v>
      </c>
      <c r="M111" t="e">
        <f>VLOOKUP($C111,'2000 Place'!$C$2:$Y$523,14,FALSE)</f>
        <v>#N/A</v>
      </c>
      <c r="N111" t="e">
        <f>VLOOKUP($C111,'2000 Place'!$C$2:$Y$523,15,FALSE)</f>
        <v>#N/A</v>
      </c>
      <c r="O111" t="e">
        <f>VLOOKUP($C111,'2000 Place'!$C$2:$Y$523,16,FALSE)</f>
        <v>#N/A</v>
      </c>
      <c r="P111" t="e">
        <f>VLOOKUP($C111,'2000 Place'!$C$2:$Y$523,17,FALSE)</f>
        <v>#N/A</v>
      </c>
      <c r="Q111" t="e">
        <f>VLOOKUP($C111,'2000 Place'!$C$2:$Y$523,18,FALSE)</f>
        <v>#N/A</v>
      </c>
      <c r="R111" t="e">
        <f>VLOOKUP($C111,'2000 Place'!$C$2:$Y$523,19,FALSE)</f>
        <v>#N/A</v>
      </c>
      <c r="S111" t="e">
        <f>VLOOKUP($C111,'2000 Place'!$C$2:$Y$523,20,FALSE)</f>
        <v>#N/A</v>
      </c>
      <c r="T111" t="e">
        <f>VLOOKUP($C111,'2000 Place'!$C$2:$Y$523,21,FALSE)</f>
        <v>#N/A</v>
      </c>
      <c r="U111" t="e">
        <f>VLOOKUP($C111,'2000 Place'!$C$2:$Y$523,22,FALSE)</f>
        <v>#N/A</v>
      </c>
      <c r="V111" t="e">
        <f>VLOOKUP($C111,'2000 Place'!$C$2:$Y$523,23,FALSE)</f>
        <v>#N/A</v>
      </c>
    </row>
    <row r="112" spans="1:22" x14ac:dyDescent="0.25">
      <c r="A112" t="s">
        <v>468</v>
      </c>
      <c r="B112">
        <v>5313155</v>
      </c>
      <c r="C112" t="s">
        <v>469</v>
      </c>
      <c r="D112">
        <f>VLOOKUP($C112,'2000 Place'!$C$2:$Y$523,5,FALSE)</f>
        <v>789</v>
      </c>
      <c r="E112">
        <f>VLOOKUP($C112,'2000 Place'!$C$2:$Y$523,6,FALSE)</f>
        <v>769</v>
      </c>
      <c r="F112">
        <f>VLOOKUP($C112,'2000 Place'!$C$2:$Y$523,7,FALSE)</f>
        <v>20</v>
      </c>
      <c r="G112">
        <f>VLOOKUP($C112,'2000 Place'!$C$2:$Y$523,8,FALSE)</f>
        <v>726</v>
      </c>
      <c r="H112">
        <f>VLOOKUP($C112,'2000 Place'!$C$2:$Y$523,9,FALSE)</f>
        <v>9</v>
      </c>
      <c r="I112">
        <f>VLOOKUP($C112,'2000 Place'!$C$2:$Y$523,10,FALSE)</f>
        <v>0</v>
      </c>
      <c r="J112">
        <f>VLOOKUP($C112,'2000 Place'!$C$2:$Y$523,11,FALSE)</f>
        <v>0</v>
      </c>
      <c r="K112">
        <f>VLOOKUP($C112,'2000 Place'!$C$2:$Y$523,12,FALSE)</f>
        <v>9</v>
      </c>
      <c r="L112">
        <f>VLOOKUP($C112,'2000 Place'!$C$2:$Y$523,13,FALSE)</f>
        <v>0</v>
      </c>
      <c r="M112">
        <f>VLOOKUP($C112,'2000 Place'!$C$2:$Y$523,14,FALSE)</f>
        <v>9</v>
      </c>
      <c r="N112">
        <f>VLOOKUP($C112,'2000 Place'!$C$2:$Y$523,15,FALSE)</f>
        <v>0</v>
      </c>
      <c r="O112">
        <f>VLOOKUP($C112,'2000 Place'!$C$2:$Y$523,16,FALSE)</f>
        <v>0</v>
      </c>
      <c r="P112">
        <f>VLOOKUP($C112,'2000 Place'!$C$2:$Y$523,17,FALSE)</f>
        <v>11</v>
      </c>
      <c r="Q112">
        <f>VLOOKUP($C112,'2000 Place'!$C$2:$Y$523,18,FALSE)</f>
        <v>0</v>
      </c>
      <c r="R112">
        <f>VLOOKUP($C112,'2000 Place'!$C$2:$Y$523,19,FALSE)</f>
        <v>0</v>
      </c>
      <c r="S112">
        <f>VLOOKUP($C112,'2000 Place'!$C$2:$Y$523,20,FALSE)</f>
        <v>0</v>
      </c>
      <c r="T112">
        <f>VLOOKUP($C112,'2000 Place'!$C$2:$Y$523,21,FALSE)</f>
        <v>0</v>
      </c>
      <c r="U112">
        <f>VLOOKUP($C112,'2000 Place'!$C$2:$Y$523,22,FALSE)</f>
        <v>25</v>
      </c>
      <c r="V112">
        <f>VLOOKUP($C112,'2000 Place'!$C$2:$Y$523,23,FALSE)</f>
        <v>0</v>
      </c>
    </row>
    <row r="113" spans="1:22" x14ac:dyDescent="0.25">
      <c r="A113" t="s">
        <v>470</v>
      </c>
      <c r="B113">
        <v>5313215</v>
      </c>
      <c r="C113" t="s">
        <v>471</v>
      </c>
      <c r="D113" t="e">
        <f>VLOOKUP($C113,'2000 Place'!$C$2:$Y$523,5,FALSE)</f>
        <v>#N/A</v>
      </c>
      <c r="E113" t="e">
        <f>VLOOKUP($C113,'2000 Place'!$C$2:$Y$523,6,FALSE)</f>
        <v>#N/A</v>
      </c>
      <c r="F113" t="e">
        <f>VLOOKUP($C113,'2000 Place'!$C$2:$Y$523,7,FALSE)</f>
        <v>#N/A</v>
      </c>
      <c r="G113" t="e">
        <f>VLOOKUP($C113,'2000 Place'!$C$2:$Y$523,8,FALSE)</f>
        <v>#N/A</v>
      </c>
      <c r="H113" t="e">
        <f>VLOOKUP($C113,'2000 Place'!$C$2:$Y$523,9,FALSE)</f>
        <v>#N/A</v>
      </c>
      <c r="I113" t="e">
        <f>VLOOKUP($C113,'2000 Place'!$C$2:$Y$523,10,FALSE)</f>
        <v>#N/A</v>
      </c>
      <c r="J113" t="e">
        <f>VLOOKUP($C113,'2000 Place'!$C$2:$Y$523,11,FALSE)</f>
        <v>#N/A</v>
      </c>
      <c r="K113" t="e">
        <f>VLOOKUP($C113,'2000 Place'!$C$2:$Y$523,12,FALSE)</f>
        <v>#N/A</v>
      </c>
      <c r="L113" t="e">
        <f>VLOOKUP($C113,'2000 Place'!$C$2:$Y$523,13,FALSE)</f>
        <v>#N/A</v>
      </c>
      <c r="M113" t="e">
        <f>VLOOKUP($C113,'2000 Place'!$C$2:$Y$523,14,FALSE)</f>
        <v>#N/A</v>
      </c>
      <c r="N113" t="e">
        <f>VLOOKUP($C113,'2000 Place'!$C$2:$Y$523,15,FALSE)</f>
        <v>#N/A</v>
      </c>
      <c r="O113" t="e">
        <f>VLOOKUP($C113,'2000 Place'!$C$2:$Y$523,16,FALSE)</f>
        <v>#N/A</v>
      </c>
      <c r="P113" t="e">
        <f>VLOOKUP($C113,'2000 Place'!$C$2:$Y$523,17,FALSE)</f>
        <v>#N/A</v>
      </c>
      <c r="Q113" t="e">
        <f>VLOOKUP($C113,'2000 Place'!$C$2:$Y$523,18,FALSE)</f>
        <v>#N/A</v>
      </c>
      <c r="R113" t="e">
        <f>VLOOKUP($C113,'2000 Place'!$C$2:$Y$523,19,FALSE)</f>
        <v>#N/A</v>
      </c>
      <c r="S113" t="e">
        <f>VLOOKUP($C113,'2000 Place'!$C$2:$Y$523,20,FALSE)</f>
        <v>#N/A</v>
      </c>
      <c r="T113" t="e">
        <f>VLOOKUP($C113,'2000 Place'!$C$2:$Y$523,21,FALSE)</f>
        <v>#N/A</v>
      </c>
      <c r="U113" t="e">
        <f>VLOOKUP($C113,'2000 Place'!$C$2:$Y$523,22,FALSE)</f>
        <v>#N/A</v>
      </c>
      <c r="V113" t="e">
        <f>VLOOKUP($C113,'2000 Place'!$C$2:$Y$523,23,FALSE)</f>
        <v>#N/A</v>
      </c>
    </row>
    <row r="114" spans="1:22" x14ac:dyDescent="0.25">
      <c r="A114" t="s">
        <v>472</v>
      </c>
      <c r="B114">
        <v>5313365</v>
      </c>
      <c r="C114" t="s">
        <v>473</v>
      </c>
      <c r="D114">
        <f>VLOOKUP($C114,'2000 Place'!$C$2:$Y$523,5,FALSE)</f>
        <v>2890</v>
      </c>
      <c r="E114">
        <f>VLOOKUP($C114,'2000 Place'!$C$2:$Y$523,6,FALSE)</f>
        <v>2501</v>
      </c>
      <c r="F114">
        <f>VLOOKUP($C114,'2000 Place'!$C$2:$Y$523,7,FALSE)</f>
        <v>389</v>
      </c>
      <c r="G114">
        <f>VLOOKUP($C114,'2000 Place'!$C$2:$Y$523,8,FALSE)</f>
        <v>2375</v>
      </c>
      <c r="H114">
        <f>VLOOKUP($C114,'2000 Place'!$C$2:$Y$523,9,FALSE)</f>
        <v>221</v>
      </c>
      <c r="I114">
        <f>VLOOKUP($C114,'2000 Place'!$C$2:$Y$523,10,FALSE)</f>
        <v>16</v>
      </c>
      <c r="J114">
        <f>VLOOKUP($C114,'2000 Place'!$C$2:$Y$523,11,FALSE)</f>
        <v>0</v>
      </c>
      <c r="K114">
        <f>VLOOKUP($C114,'2000 Place'!$C$2:$Y$523,12,FALSE)</f>
        <v>0</v>
      </c>
      <c r="L114">
        <f>VLOOKUP($C114,'2000 Place'!$C$2:$Y$523,13,FALSE)</f>
        <v>0</v>
      </c>
      <c r="M114">
        <f>VLOOKUP($C114,'2000 Place'!$C$2:$Y$523,14,FALSE)</f>
        <v>0</v>
      </c>
      <c r="N114">
        <f>VLOOKUP($C114,'2000 Place'!$C$2:$Y$523,15,FALSE)</f>
        <v>0</v>
      </c>
      <c r="O114">
        <f>VLOOKUP($C114,'2000 Place'!$C$2:$Y$523,16,FALSE)</f>
        <v>29</v>
      </c>
      <c r="P114">
        <f>VLOOKUP($C114,'2000 Place'!$C$2:$Y$523,17,FALSE)</f>
        <v>151</v>
      </c>
      <c r="Q114">
        <f>VLOOKUP($C114,'2000 Place'!$C$2:$Y$523,18,FALSE)</f>
        <v>0</v>
      </c>
      <c r="R114">
        <f>VLOOKUP($C114,'2000 Place'!$C$2:$Y$523,19,FALSE)</f>
        <v>0</v>
      </c>
      <c r="S114">
        <f>VLOOKUP($C114,'2000 Place'!$C$2:$Y$523,20,FALSE)</f>
        <v>23</v>
      </c>
      <c r="T114">
        <f>VLOOKUP($C114,'2000 Place'!$C$2:$Y$523,21,FALSE)</f>
        <v>4</v>
      </c>
      <c r="U114">
        <f>VLOOKUP($C114,'2000 Place'!$C$2:$Y$523,22,FALSE)</f>
        <v>58</v>
      </c>
      <c r="V114">
        <f>VLOOKUP($C114,'2000 Place'!$C$2:$Y$523,23,FALSE)</f>
        <v>13</v>
      </c>
    </row>
    <row r="115" spans="1:22" x14ac:dyDescent="0.25">
      <c r="A115" t="s">
        <v>474</v>
      </c>
      <c r="B115">
        <v>5313595</v>
      </c>
      <c r="C115" t="s">
        <v>475</v>
      </c>
      <c r="D115">
        <f>VLOOKUP($C115,'2000 Place'!$C$2:$Y$523,5,FALSE)</f>
        <v>621</v>
      </c>
      <c r="E115">
        <f>VLOOKUP($C115,'2000 Place'!$C$2:$Y$523,6,FALSE)</f>
        <v>607</v>
      </c>
      <c r="F115">
        <f>VLOOKUP($C115,'2000 Place'!$C$2:$Y$523,7,FALSE)</f>
        <v>14</v>
      </c>
      <c r="G115">
        <f>VLOOKUP($C115,'2000 Place'!$C$2:$Y$523,8,FALSE)</f>
        <v>579</v>
      </c>
      <c r="H115">
        <f>VLOOKUP($C115,'2000 Place'!$C$2:$Y$523,9,FALSE)</f>
        <v>14</v>
      </c>
      <c r="I115">
        <f>VLOOKUP($C115,'2000 Place'!$C$2:$Y$523,10,FALSE)</f>
        <v>0</v>
      </c>
      <c r="J115">
        <f>VLOOKUP($C115,'2000 Place'!$C$2:$Y$523,11,FALSE)</f>
        <v>0</v>
      </c>
      <c r="K115">
        <f>VLOOKUP($C115,'2000 Place'!$C$2:$Y$523,12,FALSE)</f>
        <v>0</v>
      </c>
      <c r="L115">
        <f>VLOOKUP($C115,'2000 Place'!$C$2:$Y$523,13,FALSE)</f>
        <v>0</v>
      </c>
      <c r="M115">
        <f>VLOOKUP($C115,'2000 Place'!$C$2:$Y$523,14,FALSE)</f>
        <v>5</v>
      </c>
      <c r="N115">
        <f>VLOOKUP($C115,'2000 Place'!$C$2:$Y$523,15,FALSE)</f>
        <v>0</v>
      </c>
      <c r="O115">
        <f>VLOOKUP($C115,'2000 Place'!$C$2:$Y$523,16,FALSE)</f>
        <v>0</v>
      </c>
      <c r="P115">
        <f>VLOOKUP($C115,'2000 Place'!$C$2:$Y$523,17,FALSE)</f>
        <v>0</v>
      </c>
      <c r="Q115">
        <f>VLOOKUP($C115,'2000 Place'!$C$2:$Y$523,18,FALSE)</f>
        <v>0</v>
      </c>
      <c r="R115">
        <f>VLOOKUP($C115,'2000 Place'!$C$2:$Y$523,19,FALSE)</f>
        <v>0</v>
      </c>
      <c r="S115">
        <f>VLOOKUP($C115,'2000 Place'!$C$2:$Y$523,20,FALSE)</f>
        <v>0</v>
      </c>
      <c r="T115">
        <f>VLOOKUP($C115,'2000 Place'!$C$2:$Y$523,21,FALSE)</f>
        <v>0</v>
      </c>
      <c r="U115">
        <f>VLOOKUP($C115,'2000 Place'!$C$2:$Y$523,22,FALSE)</f>
        <v>23</v>
      </c>
      <c r="V115">
        <f>VLOOKUP($C115,'2000 Place'!$C$2:$Y$523,23,FALSE)</f>
        <v>0</v>
      </c>
    </row>
    <row r="116" spans="1:22" x14ac:dyDescent="0.25">
      <c r="A116" t="s">
        <v>476</v>
      </c>
      <c r="B116">
        <v>5313785</v>
      </c>
      <c r="C116" t="s">
        <v>477</v>
      </c>
      <c r="D116">
        <f>VLOOKUP($C116,'2000 Place'!$C$2:$Y$523,5,FALSE)</f>
        <v>2846</v>
      </c>
      <c r="E116">
        <f>VLOOKUP($C116,'2000 Place'!$C$2:$Y$523,6,FALSE)</f>
        <v>2693</v>
      </c>
      <c r="F116">
        <f>VLOOKUP($C116,'2000 Place'!$C$2:$Y$523,7,FALSE)</f>
        <v>153</v>
      </c>
      <c r="G116">
        <f>VLOOKUP($C116,'2000 Place'!$C$2:$Y$523,8,FALSE)</f>
        <v>2554</v>
      </c>
      <c r="H116">
        <f>VLOOKUP($C116,'2000 Place'!$C$2:$Y$523,9,FALSE)</f>
        <v>61</v>
      </c>
      <c r="I116">
        <f>VLOOKUP($C116,'2000 Place'!$C$2:$Y$523,10,FALSE)</f>
        <v>4</v>
      </c>
      <c r="J116">
        <f>VLOOKUP($C116,'2000 Place'!$C$2:$Y$523,11,FALSE)</f>
        <v>6</v>
      </c>
      <c r="K116">
        <f>VLOOKUP($C116,'2000 Place'!$C$2:$Y$523,12,FALSE)</f>
        <v>3</v>
      </c>
      <c r="L116">
        <f>VLOOKUP($C116,'2000 Place'!$C$2:$Y$523,13,FALSE)</f>
        <v>0</v>
      </c>
      <c r="M116">
        <f>VLOOKUP($C116,'2000 Place'!$C$2:$Y$523,14,FALSE)</f>
        <v>50</v>
      </c>
      <c r="N116">
        <f>VLOOKUP($C116,'2000 Place'!$C$2:$Y$523,15,FALSE)</f>
        <v>0</v>
      </c>
      <c r="O116">
        <f>VLOOKUP($C116,'2000 Place'!$C$2:$Y$523,16,FALSE)</f>
        <v>44</v>
      </c>
      <c r="P116">
        <f>VLOOKUP($C116,'2000 Place'!$C$2:$Y$523,17,FALSE)</f>
        <v>80</v>
      </c>
      <c r="Q116">
        <f>VLOOKUP($C116,'2000 Place'!$C$2:$Y$523,18,FALSE)</f>
        <v>0</v>
      </c>
      <c r="R116">
        <f>VLOOKUP($C116,'2000 Place'!$C$2:$Y$523,19,FALSE)</f>
        <v>0</v>
      </c>
      <c r="S116">
        <f>VLOOKUP($C116,'2000 Place'!$C$2:$Y$523,20,FALSE)</f>
        <v>6</v>
      </c>
      <c r="T116">
        <f>VLOOKUP($C116,'2000 Place'!$C$2:$Y$523,21,FALSE)</f>
        <v>6</v>
      </c>
      <c r="U116">
        <f>VLOOKUP($C116,'2000 Place'!$C$2:$Y$523,22,FALSE)</f>
        <v>32</v>
      </c>
      <c r="V116">
        <f>VLOOKUP($C116,'2000 Place'!$C$2:$Y$523,23,FALSE)</f>
        <v>0</v>
      </c>
    </row>
    <row r="117" spans="1:22" x14ac:dyDescent="0.25">
      <c r="A117" t="s">
        <v>478</v>
      </c>
      <c r="B117">
        <v>5313855</v>
      </c>
      <c r="C117" t="s">
        <v>479</v>
      </c>
      <c r="D117">
        <f>VLOOKUP($C117,'2000 Place'!$C$2:$Y$523,5,FALSE)</f>
        <v>7814</v>
      </c>
      <c r="E117">
        <f>VLOOKUP($C117,'2000 Place'!$C$2:$Y$523,6,FALSE)</f>
        <v>6931</v>
      </c>
      <c r="F117">
        <f>VLOOKUP($C117,'2000 Place'!$C$2:$Y$523,7,FALSE)</f>
        <v>883</v>
      </c>
      <c r="G117">
        <f>VLOOKUP($C117,'2000 Place'!$C$2:$Y$523,8,FALSE)</f>
        <v>6053</v>
      </c>
      <c r="H117">
        <f>VLOOKUP($C117,'2000 Place'!$C$2:$Y$523,9,FALSE)</f>
        <v>326</v>
      </c>
      <c r="I117">
        <f>VLOOKUP($C117,'2000 Place'!$C$2:$Y$523,10,FALSE)</f>
        <v>255</v>
      </c>
      <c r="J117">
        <f>VLOOKUP($C117,'2000 Place'!$C$2:$Y$523,11,FALSE)</f>
        <v>158</v>
      </c>
      <c r="K117">
        <f>VLOOKUP($C117,'2000 Place'!$C$2:$Y$523,12,FALSE)</f>
        <v>90</v>
      </c>
      <c r="L117">
        <f>VLOOKUP($C117,'2000 Place'!$C$2:$Y$523,13,FALSE)</f>
        <v>66</v>
      </c>
      <c r="M117">
        <f>VLOOKUP($C117,'2000 Place'!$C$2:$Y$523,14,FALSE)</f>
        <v>81</v>
      </c>
      <c r="N117">
        <f>VLOOKUP($C117,'2000 Place'!$C$2:$Y$523,15,FALSE)</f>
        <v>20</v>
      </c>
      <c r="O117">
        <f>VLOOKUP($C117,'2000 Place'!$C$2:$Y$523,16,FALSE)</f>
        <v>31</v>
      </c>
      <c r="P117">
        <f>VLOOKUP($C117,'2000 Place'!$C$2:$Y$523,17,FALSE)</f>
        <v>100</v>
      </c>
      <c r="Q117">
        <f>VLOOKUP($C117,'2000 Place'!$C$2:$Y$523,18,FALSE)</f>
        <v>0</v>
      </c>
      <c r="R117">
        <f>VLOOKUP($C117,'2000 Place'!$C$2:$Y$523,19,FALSE)</f>
        <v>14</v>
      </c>
      <c r="S117">
        <f>VLOOKUP($C117,'2000 Place'!$C$2:$Y$523,20,FALSE)</f>
        <v>334</v>
      </c>
      <c r="T117">
        <f>VLOOKUP($C117,'2000 Place'!$C$2:$Y$523,21,FALSE)</f>
        <v>184</v>
      </c>
      <c r="U117">
        <f>VLOOKUP($C117,'2000 Place'!$C$2:$Y$523,22,FALSE)</f>
        <v>87</v>
      </c>
      <c r="V117">
        <f>VLOOKUP($C117,'2000 Place'!$C$2:$Y$523,23,FALSE)</f>
        <v>15</v>
      </c>
    </row>
    <row r="118" spans="1:22" x14ac:dyDescent="0.25">
      <c r="A118" t="s">
        <v>480</v>
      </c>
      <c r="B118">
        <v>5313890</v>
      </c>
      <c r="C118" t="s">
        <v>481</v>
      </c>
      <c r="D118">
        <f>VLOOKUP($C118,'2000 Place'!$C$2:$Y$523,5,FALSE)</f>
        <v>406</v>
      </c>
      <c r="E118">
        <f>VLOOKUP($C118,'2000 Place'!$C$2:$Y$523,6,FALSE)</f>
        <v>406</v>
      </c>
      <c r="F118">
        <f>VLOOKUP($C118,'2000 Place'!$C$2:$Y$523,7,FALSE)</f>
        <v>0</v>
      </c>
      <c r="G118">
        <f>VLOOKUP($C118,'2000 Place'!$C$2:$Y$523,8,FALSE)</f>
        <v>385</v>
      </c>
      <c r="H118">
        <f>VLOOKUP($C118,'2000 Place'!$C$2:$Y$523,9,FALSE)</f>
        <v>0</v>
      </c>
      <c r="I118">
        <f>VLOOKUP($C118,'2000 Place'!$C$2:$Y$523,10,FALSE)</f>
        <v>4</v>
      </c>
      <c r="J118">
        <f>VLOOKUP($C118,'2000 Place'!$C$2:$Y$523,11,FALSE)</f>
        <v>0</v>
      </c>
      <c r="K118">
        <f>VLOOKUP($C118,'2000 Place'!$C$2:$Y$523,12,FALSE)</f>
        <v>0</v>
      </c>
      <c r="L118">
        <f>VLOOKUP($C118,'2000 Place'!$C$2:$Y$523,13,FALSE)</f>
        <v>0</v>
      </c>
      <c r="M118">
        <f>VLOOKUP($C118,'2000 Place'!$C$2:$Y$523,14,FALSE)</f>
        <v>4</v>
      </c>
      <c r="N118">
        <f>VLOOKUP($C118,'2000 Place'!$C$2:$Y$523,15,FALSE)</f>
        <v>0</v>
      </c>
      <c r="O118">
        <f>VLOOKUP($C118,'2000 Place'!$C$2:$Y$523,16,FALSE)</f>
        <v>0</v>
      </c>
      <c r="P118">
        <f>VLOOKUP($C118,'2000 Place'!$C$2:$Y$523,17,FALSE)</f>
        <v>0</v>
      </c>
      <c r="Q118">
        <f>VLOOKUP($C118,'2000 Place'!$C$2:$Y$523,18,FALSE)</f>
        <v>0</v>
      </c>
      <c r="R118">
        <f>VLOOKUP($C118,'2000 Place'!$C$2:$Y$523,19,FALSE)</f>
        <v>0</v>
      </c>
      <c r="S118">
        <f>VLOOKUP($C118,'2000 Place'!$C$2:$Y$523,20,FALSE)</f>
        <v>0</v>
      </c>
      <c r="T118">
        <f>VLOOKUP($C118,'2000 Place'!$C$2:$Y$523,21,FALSE)</f>
        <v>0</v>
      </c>
      <c r="U118">
        <f>VLOOKUP($C118,'2000 Place'!$C$2:$Y$523,22,FALSE)</f>
        <v>13</v>
      </c>
      <c r="V118">
        <f>VLOOKUP($C118,'2000 Place'!$C$2:$Y$523,23,FALSE)</f>
        <v>0</v>
      </c>
    </row>
    <row r="119" spans="1:22" x14ac:dyDescent="0.25">
      <c r="A119" t="s">
        <v>482</v>
      </c>
      <c r="B119">
        <v>5314170</v>
      </c>
      <c r="C119" t="s">
        <v>483</v>
      </c>
      <c r="D119">
        <f>VLOOKUP($C119,'2000 Place'!$C$2:$Y$523,5,FALSE)</f>
        <v>5004</v>
      </c>
      <c r="E119">
        <f>VLOOKUP($C119,'2000 Place'!$C$2:$Y$523,6,FALSE)</f>
        <v>4848</v>
      </c>
      <c r="F119">
        <f>VLOOKUP($C119,'2000 Place'!$C$2:$Y$523,7,FALSE)</f>
        <v>156</v>
      </c>
      <c r="G119">
        <f>VLOOKUP($C119,'2000 Place'!$C$2:$Y$523,8,FALSE)</f>
        <v>4487</v>
      </c>
      <c r="H119">
        <f>VLOOKUP($C119,'2000 Place'!$C$2:$Y$523,9,FALSE)</f>
        <v>122</v>
      </c>
      <c r="I119">
        <f>VLOOKUP($C119,'2000 Place'!$C$2:$Y$523,10,FALSE)</f>
        <v>57</v>
      </c>
      <c r="J119">
        <f>VLOOKUP($C119,'2000 Place'!$C$2:$Y$523,11,FALSE)</f>
        <v>7</v>
      </c>
      <c r="K119">
        <f>VLOOKUP($C119,'2000 Place'!$C$2:$Y$523,12,FALSE)</f>
        <v>0</v>
      </c>
      <c r="L119">
        <f>VLOOKUP($C119,'2000 Place'!$C$2:$Y$523,13,FALSE)</f>
        <v>0</v>
      </c>
      <c r="M119">
        <f>VLOOKUP($C119,'2000 Place'!$C$2:$Y$523,14,FALSE)</f>
        <v>104</v>
      </c>
      <c r="N119">
        <f>VLOOKUP($C119,'2000 Place'!$C$2:$Y$523,15,FALSE)</f>
        <v>0</v>
      </c>
      <c r="O119">
        <f>VLOOKUP($C119,'2000 Place'!$C$2:$Y$523,16,FALSE)</f>
        <v>12</v>
      </c>
      <c r="P119">
        <f>VLOOKUP($C119,'2000 Place'!$C$2:$Y$523,17,FALSE)</f>
        <v>0</v>
      </c>
      <c r="Q119">
        <f>VLOOKUP($C119,'2000 Place'!$C$2:$Y$523,18,FALSE)</f>
        <v>8</v>
      </c>
      <c r="R119">
        <f>VLOOKUP($C119,'2000 Place'!$C$2:$Y$523,19,FALSE)</f>
        <v>0</v>
      </c>
      <c r="S119">
        <f>VLOOKUP($C119,'2000 Place'!$C$2:$Y$523,20,FALSE)</f>
        <v>12</v>
      </c>
      <c r="T119">
        <f>VLOOKUP($C119,'2000 Place'!$C$2:$Y$523,21,FALSE)</f>
        <v>21</v>
      </c>
      <c r="U119">
        <f>VLOOKUP($C119,'2000 Place'!$C$2:$Y$523,22,FALSE)</f>
        <v>168</v>
      </c>
      <c r="V119">
        <f>VLOOKUP($C119,'2000 Place'!$C$2:$Y$523,23,FALSE)</f>
        <v>6</v>
      </c>
    </row>
    <row r="120" spans="1:22" x14ac:dyDescent="0.25">
      <c r="A120" t="s">
        <v>484</v>
      </c>
      <c r="B120">
        <v>5314310</v>
      </c>
      <c r="C120" t="s">
        <v>485</v>
      </c>
      <c r="D120">
        <f>VLOOKUP($C120,'2000 Place'!$C$2:$Y$523,5,FALSE)</f>
        <v>209</v>
      </c>
      <c r="E120">
        <f>VLOOKUP($C120,'2000 Place'!$C$2:$Y$523,6,FALSE)</f>
        <v>205</v>
      </c>
      <c r="F120">
        <f>VLOOKUP($C120,'2000 Place'!$C$2:$Y$523,7,FALSE)</f>
        <v>4</v>
      </c>
      <c r="G120">
        <f>VLOOKUP($C120,'2000 Place'!$C$2:$Y$523,8,FALSE)</f>
        <v>193</v>
      </c>
      <c r="H120">
        <f>VLOOKUP($C120,'2000 Place'!$C$2:$Y$523,9,FALSE)</f>
        <v>4</v>
      </c>
      <c r="I120">
        <f>VLOOKUP($C120,'2000 Place'!$C$2:$Y$523,10,FALSE)</f>
        <v>0</v>
      </c>
      <c r="J120">
        <f>VLOOKUP($C120,'2000 Place'!$C$2:$Y$523,11,FALSE)</f>
        <v>0</v>
      </c>
      <c r="K120">
        <f>VLOOKUP($C120,'2000 Place'!$C$2:$Y$523,12,FALSE)</f>
        <v>0</v>
      </c>
      <c r="L120">
        <f>VLOOKUP($C120,'2000 Place'!$C$2:$Y$523,13,FALSE)</f>
        <v>0</v>
      </c>
      <c r="M120">
        <f>VLOOKUP($C120,'2000 Place'!$C$2:$Y$523,14,FALSE)</f>
        <v>10</v>
      </c>
      <c r="N120">
        <f>VLOOKUP($C120,'2000 Place'!$C$2:$Y$523,15,FALSE)</f>
        <v>0</v>
      </c>
      <c r="O120">
        <f>VLOOKUP($C120,'2000 Place'!$C$2:$Y$523,16,FALSE)</f>
        <v>0</v>
      </c>
      <c r="P120">
        <f>VLOOKUP($C120,'2000 Place'!$C$2:$Y$523,17,FALSE)</f>
        <v>0</v>
      </c>
      <c r="Q120">
        <f>VLOOKUP($C120,'2000 Place'!$C$2:$Y$523,18,FALSE)</f>
        <v>0</v>
      </c>
      <c r="R120">
        <f>VLOOKUP($C120,'2000 Place'!$C$2:$Y$523,19,FALSE)</f>
        <v>0</v>
      </c>
      <c r="S120">
        <f>VLOOKUP($C120,'2000 Place'!$C$2:$Y$523,20,FALSE)</f>
        <v>0</v>
      </c>
      <c r="T120">
        <f>VLOOKUP($C120,'2000 Place'!$C$2:$Y$523,21,FALSE)</f>
        <v>0</v>
      </c>
      <c r="U120">
        <f>VLOOKUP($C120,'2000 Place'!$C$2:$Y$523,22,FALSE)</f>
        <v>2</v>
      </c>
      <c r="V120">
        <f>VLOOKUP($C120,'2000 Place'!$C$2:$Y$523,23,FALSE)</f>
        <v>0</v>
      </c>
    </row>
    <row r="121" spans="1:22" x14ac:dyDescent="0.25">
      <c r="A121" t="s">
        <v>486</v>
      </c>
      <c r="B121">
        <v>5314380</v>
      </c>
      <c r="C121" t="s">
        <v>487</v>
      </c>
      <c r="D121">
        <f>VLOOKUP($C121,'2000 Place'!$C$2:$Y$523,5,FALSE)</f>
        <v>832</v>
      </c>
      <c r="E121">
        <f>VLOOKUP($C121,'2000 Place'!$C$2:$Y$523,6,FALSE)</f>
        <v>812</v>
      </c>
      <c r="F121">
        <f>VLOOKUP($C121,'2000 Place'!$C$2:$Y$523,7,FALSE)</f>
        <v>20</v>
      </c>
      <c r="G121">
        <f>VLOOKUP($C121,'2000 Place'!$C$2:$Y$523,8,FALSE)</f>
        <v>765</v>
      </c>
      <c r="H121">
        <f>VLOOKUP($C121,'2000 Place'!$C$2:$Y$523,9,FALSE)</f>
        <v>17</v>
      </c>
      <c r="I121">
        <f>VLOOKUP($C121,'2000 Place'!$C$2:$Y$523,10,FALSE)</f>
        <v>0</v>
      </c>
      <c r="J121">
        <f>VLOOKUP($C121,'2000 Place'!$C$2:$Y$523,11,FALSE)</f>
        <v>3</v>
      </c>
      <c r="K121">
        <f>VLOOKUP($C121,'2000 Place'!$C$2:$Y$523,12,FALSE)</f>
        <v>0</v>
      </c>
      <c r="L121">
        <f>VLOOKUP($C121,'2000 Place'!$C$2:$Y$523,13,FALSE)</f>
        <v>0</v>
      </c>
      <c r="M121">
        <f>VLOOKUP($C121,'2000 Place'!$C$2:$Y$523,14,FALSE)</f>
        <v>14</v>
      </c>
      <c r="N121">
        <f>VLOOKUP($C121,'2000 Place'!$C$2:$Y$523,15,FALSE)</f>
        <v>0</v>
      </c>
      <c r="O121">
        <f>VLOOKUP($C121,'2000 Place'!$C$2:$Y$523,16,FALSE)</f>
        <v>0</v>
      </c>
      <c r="P121">
        <f>VLOOKUP($C121,'2000 Place'!$C$2:$Y$523,17,FALSE)</f>
        <v>0</v>
      </c>
      <c r="Q121">
        <f>VLOOKUP($C121,'2000 Place'!$C$2:$Y$523,18,FALSE)</f>
        <v>0</v>
      </c>
      <c r="R121">
        <f>VLOOKUP($C121,'2000 Place'!$C$2:$Y$523,19,FALSE)</f>
        <v>0</v>
      </c>
      <c r="S121">
        <f>VLOOKUP($C121,'2000 Place'!$C$2:$Y$523,20,FALSE)</f>
        <v>0</v>
      </c>
      <c r="T121">
        <f>VLOOKUP($C121,'2000 Place'!$C$2:$Y$523,21,FALSE)</f>
        <v>0</v>
      </c>
      <c r="U121">
        <f>VLOOKUP($C121,'2000 Place'!$C$2:$Y$523,22,FALSE)</f>
        <v>33</v>
      </c>
      <c r="V121">
        <f>VLOOKUP($C121,'2000 Place'!$C$2:$Y$523,23,FALSE)</f>
        <v>0</v>
      </c>
    </row>
    <row r="122" spans="1:22" x14ac:dyDescent="0.25">
      <c r="A122" t="s">
        <v>488</v>
      </c>
      <c r="B122">
        <v>5314485</v>
      </c>
      <c r="C122" t="s">
        <v>489</v>
      </c>
      <c r="D122">
        <f>VLOOKUP($C122,'2000 Place'!$C$2:$Y$523,5,FALSE)</f>
        <v>2930</v>
      </c>
      <c r="E122">
        <f>VLOOKUP($C122,'2000 Place'!$C$2:$Y$523,6,FALSE)</f>
        <v>2162</v>
      </c>
      <c r="F122">
        <f>VLOOKUP($C122,'2000 Place'!$C$2:$Y$523,7,FALSE)</f>
        <v>768</v>
      </c>
      <c r="G122">
        <f>VLOOKUP($C122,'2000 Place'!$C$2:$Y$523,8,FALSE)</f>
        <v>1384</v>
      </c>
      <c r="H122">
        <f>VLOOKUP($C122,'2000 Place'!$C$2:$Y$523,9,FALSE)</f>
        <v>31</v>
      </c>
      <c r="I122">
        <f>VLOOKUP($C122,'2000 Place'!$C$2:$Y$523,10,FALSE)</f>
        <v>179</v>
      </c>
      <c r="J122">
        <f>VLOOKUP($C122,'2000 Place'!$C$2:$Y$523,11,FALSE)</f>
        <v>208</v>
      </c>
      <c r="K122">
        <f>VLOOKUP($C122,'2000 Place'!$C$2:$Y$523,12,FALSE)</f>
        <v>86</v>
      </c>
      <c r="L122">
        <f>VLOOKUP($C122,'2000 Place'!$C$2:$Y$523,13,FALSE)</f>
        <v>5</v>
      </c>
      <c r="M122">
        <f>VLOOKUP($C122,'2000 Place'!$C$2:$Y$523,14,FALSE)</f>
        <v>47</v>
      </c>
      <c r="N122">
        <f>VLOOKUP($C122,'2000 Place'!$C$2:$Y$523,15,FALSE)</f>
        <v>6</v>
      </c>
      <c r="O122">
        <f>VLOOKUP($C122,'2000 Place'!$C$2:$Y$523,16,FALSE)</f>
        <v>33</v>
      </c>
      <c r="P122">
        <f>VLOOKUP($C122,'2000 Place'!$C$2:$Y$523,17,FALSE)</f>
        <v>92</v>
      </c>
      <c r="Q122">
        <f>VLOOKUP($C122,'2000 Place'!$C$2:$Y$523,18,FALSE)</f>
        <v>0</v>
      </c>
      <c r="R122">
        <f>VLOOKUP($C122,'2000 Place'!$C$2:$Y$523,19,FALSE)</f>
        <v>0</v>
      </c>
      <c r="S122">
        <f>VLOOKUP($C122,'2000 Place'!$C$2:$Y$523,20,FALSE)</f>
        <v>303</v>
      </c>
      <c r="T122">
        <f>VLOOKUP($C122,'2000 Place'!$C$2:$Y$523,21,FALSE)</f>
        <v>337</v>
      </c>
      <c r="U122">
        <f>VLOOKUP($C122,'2000 Place'!$C$2:$Y$523,22,FALSE)</f>
        <v>130</v>
      </c>
      <c r="V122">
        <f>VLOOKUP($C122,'2000 Place'!$C$2:$Y$523,23,FALSE)</f>
        <v>89</v>
      </c>
    </row>
    <row r="123" spans="1:22" x14ac:dyDescent="0.25">
      <c r="A123" t="s">
        <v>490</v>
      </c>
      <c r="B123">
        <v>5314520</v>
      </c>
      <c r="C123" t="s">
        <v>491</v>
      </c>
      <c r="D123">
        <f>VLOOKUP($C123,'2000 Place'!$C$2:$Y$523,5,FALSE)</f>
        <v>49</v>
      </c>
      <c r="E123">
        <f>VLOOKUP($C123,'2000 Place'!$C$2:$Y$523,6,FALSE)</f>
        <v>49</v>
      </c>
      <c r="F123">
        <f>VLOOKUP($C123,'2000 Place'!$C$2:$Y$523,7,FALSE)</f>
        <v>0</v>
      </c>
      <c r="G123">
        <f>VLOOKUP($C123,'2000 Place'!$C$2:$Y$523,8,FALSE)</f>
        <v>49</v>
      </c>
      <c r="H123">
        <f>VLOOKUP($C123,'2000 Place'!$C$2:$Y$523,9,FALSE)</f>
        <v>0</v>
      </c>
      <c r="I123">
        <f>VLOOKUP($C123,'2000 Place'!$C$2:$Y$523,10,FALSE)</f>
        <v>0</v>
      </c>
      <c r="J123">
        <f>VLOOKUP($C123,'2000 Place'!$C$2:$Y$523,11,FALSE)</f>
        <v>0</v>
      </c>
      <c r="K123">
        <f>VLOOKUP($C123,'2000 Place'!$C$2:$Y$523,12,FALSE)</f>
        <v>0</v>
      </c>
      <c r="L123">
        <f>VLOOKUP($C123,'2000 Place'!$C$2:$Y$523,13,FALSE)</f>
        <v>0</v>
      </c>
      <c r="M123">
        <f>VLOOKUP($C123,'2000 Place'!$C$2:$Y$523,14,FALSE)</f>
        <v>0</v>
      </c>
      <c r="N123">
        <f>VLOOKUP($C123,'2000 Place'!$C$2:$Y$523,15,FALSE)</f>
        <v>0</v>
      </c>
      <c r="O123">
        <f>VLOOKUP($C123,'2000 Place'!$C$2:$Y$523,16,FALSE)</f>
        <v>0</v>
      </c>
      <c r="P123">
        <f>VLOOKUP($C123,'2000 Place'!$C$2:$Y$523,17,FALSE)</f>
        <v>0</v>
      </c>
      <c r="Q123">
        <f>VLOOKUP($C123,'2000 Place'!$C$2:$Y$523,18,FALSE)</f>
        <v>0</v>
      </c>
      <c r="R123">
        <f>VLOOKUP($C123,'2000 Place'!$C$2:$Y$523,19,FALSE)</f>
        <v>0</v>
      </c>
      <c r="S123">
        <f>VLOOKUP($C123,'2000 Place'!$C$2:$Y$523,20,FALSE)</f>
        <v>0</v>
      </c>
      <c r="T123">
        <f>VLOOKUP($C123,'2000 Place'!$C$2:$Y$523,21,FALSE)</f>
        <v>0</v>
      </c>
      <c r="U123">
        <f>VLOOKUP($C123,'2000 Place'!$C$2:$Y$523,22,FALSE)</f>
        <v>0</v>
      </c>
      <c r="V123">
        <f>VLOOKUP($C123,'2000 Place'!$C$2:$Y$523,23,FALSE)</f>
        <v>0</v>
      </c>
    </row>
    <row r="124" spans="1:22" x14ac:dyDescent="0.25">
      <c r="A124" t="s">
        <v>492</v>
      </c>
      <c r="B124">
        <v>5314660</v>
      </c>
      <c r="C124" t="s">
        <v>493</v>
      </c>
      <c r="D124">
        <f>VLOOKUP($C124,'2000 Place'!$C$2:$Y$523,5,FALSE)</f>
        <v>448</v>
      </c>
      <c r="E124">
        <f>VLOOKUP($C124,'2000 Place'!$C$2:$Y$523,6,FALSE)</f>
        <v>435</v>
      </c>
      <c r="F124">
        <f>VLOOKUP($C124,'2000 Place'!$C$2:$Y$523,7,FALSE)</f>
        <v>13</v>
      </c>
      <c r="G124">
        <f>VLOOKUP($C124,'2000 Place'!$C$2:$Y$523,8,FALSE)</f>
        <v>425</v>
      </c>
      <c r="H124">
        <f>VLOOKUP($C124,'2000 Place'!$C$2:$Y$523,9,FALSE)</f>
        <v>13</v>
      </c>
      <c r="I124">
        <f>VLOOKUP($C124,'2000 Place'!$C$2:$Y$523,10,FALSE)</f>
        <v>0</v>
      </c>
      <c r="J124">
        <f>VLOOKUP($C124,'2000 Place'!$C$2:$Y$523,11,FALSE)</f>
        <v>0</v>
      </c>
      <c r="K124">
        <f>VLOOKUP($C124,'2000 Place'!$C$2:$Y$523,12,FALSE)</f>
        <v>0</v>
      </c>
      <c r="L124">
        <f>VLOOKUP($C124,'2000 Place'!$C$2:$Y$523,13,FALSE)</f>
        <v>0</v>
      </c>
      <c r="M124">
        <f>VLOOKUP($C124,'2000 Place'!$C$2:$Y$523,14,FALSE)</f>
        <v>0</v>
      </c>
      <c r="N124">
        <f>VLOOKUP($C124,'2000 Place'!$C$2:$Y$523,15,FALSE)</f>
        <v>0</v>
      </c>
      <c r="O124">
        <f>VLOOKUP($C124,'2000 Place'!$C$2:$Y$523,16,FALSE)</f>
        <v>0</v>
      </c>
      <c r="P124">
        <f>VLOOKUP($C124,'2000 Place'!$C$2:$Y$523,17,FALSE)</f>
        <v>0</v>
      </c>
      <c r="Q124">
        <f>VLOOKUP($C124,'2000 Place'!$C$2:$Y$523,18,FALSE)</f>
        <v>0</v>
      </c>
      <c r="R124">
        <f>VLOOKUP($C124,'2000 Place'!$C$2:$Y$523,19,FALSE)</f>
        <v>0</v>
      </c>
      <c r="S124">
        <f>VLOOKUP($C124,'2000 Place'!$C$2:$Y$523,20,FALSE)</f>
        <v>0</v>
      </c>
      <c r="T124">
        <f>VLOOKUP($C124,'2000 Place'!$C$2:$Y$523,21,FALSE)</f>
        <v>0</v>
      </c>
      <c r="U124">
        <f>VLOOKUP($C124,'2000 Place'!$C$2:$Y$523,22,FALSE)</f>
        <v>10</v>
      </c>
      <c r="V124">
        <f>VLOOKUP($C124,'2000 Place'!$C$2:$Y$523,23,FALSE)</f>
        <v>0</v>
      </c>
    </row>
    <row r="125" spans="1:22" x14ac:dyDescent="0.25">
      <c r="A125" t="s">
        <v>494</v>
      </c>
      <c r="B125">
        <v>5314870</v>
      </c>
      <c r="C125" t="s">
        <v>495</v>
      </c>
      <c r="D125">
        <f>VLOOKUP($C125,'2000 Place'!$C$2:$Y$523,5,FALSE)</f>
        <v>1595</v>
      </c>
      <c r="E125">
        <f>VLOOKUP($C125,'2000 Place'!$C$2:$Y$523,6,FALSE)</f>
        <v>1510</v>
      </c>
      <c r="F125">
        <f>VLOOKUP($C125,'2000 Place'!$C$2:$Y$523,7,FALSE)</f>
        <v>85</v>
      </c>
      <c r="G125">
        <f>VLOOKUP($C125,'2000 Place'!$C$2:$Y$523,8,FALSE)</f>
        <v>1398</v>
      </c>
      <c r="H125">
        <f>VLOOKUP($C125,'2000 Place'!$C$2:$Y$523,9,FALSE)</f>
        <v>44</v>
      </c>
      <c r="I125">
        <f>VLOOKUP($C125,'2000 Place'!$C$2:$Y$523,10,FALSE)</f>
        <v>22</v>
      </c>
      <c r="J125">
        <f>VLOOKUP($C125,'2000 Place'!$C$2:$Y$523,11,FALSE)</f>
        <v>12</v>
      </c>
      <c r="K125">
        <f>VLOOKUP($C125,'2000 Place'!$C$2:$Y$523,12,FALSE)</f>
        <v>0</v>
      </c>
      <c r="L125">
        <f>VLOOKUP($C125,'2000 Place'!$C$2:$Y$523,13,FALSE)</f>
        <v>0</v>
      </c>
      <c r="M125">
        <f>VLOOKUP($C125,'2000 Place'!$C$2:$Y$523,14,FALSE)</f>
        <v>29</v>
      </c>
      <c r="N125">
        <f>VLOOKUP($C125,'2000 Place'!$C$2:$Y$523,15,FALSE)</f>
        <v>0</v>
      </c>
      <c r="O125">
        <f>VLOOKUP($C125,'2000 Place'!$C$2:$Y$523,16,FALSE)</f>
        <v>5</v>
      </c>
      <c r="P125">
        <f>VLOOKUP($C125,'2000 Place'!$C$2:$Y$523,17,FALSE)</f>
        <v>9</v>
      </c>
      <c r="Q125">
        <f>VLOOKUP($C125,'2000 Place'!$C$2:$Y$523,18,FALSE)</f>
        <v>0</v>
      </c>
      <c r="R125">
        <f>VLOOKUP($C125,'2000 Place'!$C$2:$Y$523,19,FALSE)</f>
        <v>0</v>
      </c>
      <c r="S125">
        <f>VLOOKUP($C125,'2000 Place'!$C$2:$Y$523,20,FALSE)</f>
        <v>20</v>
      </c>
      <c r="T125">
        <f>VLOOKUP($C125,'2000 Place'!$C$2:$Y$523,21,FALSE)</f>
        <v>20</v>
      </c>
      <c r="U125">
        <f>VLOOKUP($C125,'2000 Place'!$C$2:$Y$523,22,FALSE)</f>
        <v>36</v>
      </c>
      <c r="V125">
        <f>VLOOKUP($C125,'2000 Place'!$C$2:$Y$523,23,FALSE)</f>
        <v>0</v>
      </c>
    </row>
    <row r="126" spans="1:22" x14ac:dyDescent="0.25">
      <c r="A126" t="s">
        <v>496</v>
      </c>
      <c r="B126">
        <v>5314940</v>
      </c>
      <c r="C126" t="s">
        <v>497</v>
      </c>
      <c r="D126">
        <f>VLOOKUP($C126,'2000 Place'!$C$2:$Y$523,5,FALSE)</f>
        <v>24299</v>
      </c>
      <c r="E126">
        <f>VLOOKUP($C126,'2000 Place'!$C$2:$Y$523,6,FALSE)</f>
        <v>22344</v>
      </c>
      <c r="F126">
        <f>VLOOKUP($C126,'2000 Place'!$C$2:$Y$523,7,FALSE)</f>
        <v>1955</v>
      </c>
      <c r="G126">
        <f>VLOOKUP($C126,'2000 Place'!$C$2:$Y$523,8,FALSE)</f>
        <v>20590</v>
      </c>
      <c r="H126">
        <f>VLOOKUP($C126,'2000 Place'!$C$2:$Y$523,9,FALSE)</f>
        <v>1158</v>
      </c>
      <c r="I126">
        <f>VLOOKUP($C126,'2000 Place'!$C$2:$Y$523,10,FALSE)</f>
        <v>221</v>
      </c>
      <c r="J126">
        <f>VLOOKUP($C126,'2000 Place'!$C$2:$Y$523,11,FALSE)</f>
        <v>45</v>
      </c>
      <c r="K126">
        <f>VLOOKUP($C126,'2000 Place'!$C$2:$Y$523,12,FALSE)</f>
        <v>181</v>
      </c>
      <c r="L126">
        <f>VLOOKUP($C126,'2000 Place'!$C$2:$Y$523,13,FALSE)</f>
        <v>13</v>
      </c>
      <c r="M126">
        <f>VLOOKUP($C126,'2000 Place'!$C$2:$Y$523,14,FALSE)</f>
        <v>85</v>
      </c>
      <c r="N126">
        <f>VLOOKUP($C126,'2000 Place'!$C$2:$Y$523,15,FALSE)</f>
        <v>0</v>
      </c>
      <c r="O126">
        <f>VLOOKUP($C126,'2000 Place'!$C$2:$Y$523,16,FALSE)</f>
        <v>469</v>
      </c>
      <c r="P126">
        <f>VLOOKUP($C126,'2000 Place'!$C$2:$Y$523,17,FALSE)</f>
        <v>582</v>
      </c>
      <c r="Q126">
        <f>VLOOKUP($C126,'2000 Place'!$C$2:$Y$523,18,FALSE)</f>
        <v>17</v>
      </c>
      <c r="R126">
        <f>VLOOKUP($C126,'2000 Place'!$C$2:$Y$523,19,FALSE)</f>
        <v>0</v>
      </c>
      <c r="S126">
        <f>VLOOKUP($C126,'2000 Place'!$C$2:$Y$523,20,FALSE)</f>
        <v>218</v>
      </c>
      <c r="T126">
        <f>VLOOKUP($C126,'2000 Place'!$C$2:$Y$523,21,FALSE)</f>
        <v>50</v>
      </c>
      <c r="U126">
        <f>VLOOKUP($C126,'2000 Place'!$C$2:$Y$523,22,FALSE)</f>
        <v>563</v>
      </c>
      <c r="V126">
        <f>VLOOKUP($C126,'2000 Place'!$C$2:$Y$523,23,FALSE)</f>
        <v>107</v>
      </c>
    </row>
    <row r="127" spans="1:22" x14ac:dyDescent="0.25">
      <c r="A127" t="s">
        <v>498</v>
      </c>
      <c r="B127">
        <v>5315080</v>
      </c>
      <c r="C127" t="s">
        <v>499</v>
      </c>
      <c r="D127">
        <f>VLOOKUP($C127,'2000 Place'!$C$2:$Y$523,5,FALSE)</f>
        <v>615</v>
      </c>
      <c r="E127">
        <f>VLOOKUP($C127,'2000 Place'!$C$2:$Y$523,6,FALSE)</f>
        <v>607</v>
      </c>
      <c r="F127">
        <f>VLOOKUP($C127,'2000 Place'!$C$2:$Y$523,7,FALSE)</f>
        <v>8</v>
      </c>
      <c r="G127">
        <f>VLOOKUP($C127,'2000 Place'!$C$2:$Y$523,8,FALSE)</f>
        <v>576</v>
      </c>
      <c r="H127">
        <f>VLOOKUP($C127,'2000 Place'!$C$2:$Y$523,9,FALSE)</f>
        <v>6</v>
      </c>
      <c r="I127">
        <f>VLOOKUP($C127,'2000 Place'!$C$2:$Y$523,10,FALSE)</f>
        <v>18</v>
      </c>
      <c r="J127">
        <f>VLOOKUP($C127,'2000 Place'!$C$2:$Y$523,11,FALSE)</f>
        <v>0</v>
      </c>
      <c r="K127">
        <f>VLOOKUP($C127,'2000 Place'!$C$2:$Y$523,12,FALSE)</f>
        <v>5</v>
      </c>
      <c r="L127">
        <f>VLOOKUP($C127,'2000 Place'!$C$2:$Y$523,13,FALSE)</f>
        <v>0</v>
      </c>
      <c r="M127">
        <f>VLOOKUP($C127,'2000 Place'!$C$2:$Y$523,14,FALSE)</f>
        <v>2</v>
      </c>
      <c r="N127">
        <f>VLOOKUP($C127,'2000 Place'!$C$2:$Y$523,15,FALSE)</f>
        <v>0</v>
      </c>
      <c r="O127">
        <f>VLOOKUP($C127,'2000 Place'!$C$2:$Y$523,16,FALSE)</f>
        <v>0</v>
      </c>
      <c r="P127">
        <f>VLOOKUP($C127,'2000 Place'!$C$2:$Y$523,17,FALSE)</f>
        <v>0</v>
      </c>
      <c r="Q127">
        <f>VLOOKUP($C127,'2000 Place'!$C$2:$Y$523,18,FALSE)</f>
        <v>0</v>
      </c>
      <c r="R127">
        <f>VLOOKUP($C127,'2000 Place'!$C$2:$Y$523,19,FALSE)</f>
        <v>0</v>
      </c>
      <c r="S127">
        <f>VLOOKUP($C127,'2000 Place'!$C$2:$Y$523,20,FALSE)</f>
        <v>0</v>
      </c>
      <c r="T127">
        <f>VLOOKUP($C127,'2000 Place'!$C$2:$Y$523,21,FALSE)</f>
        <v>2</v>
      </c>
      <c r="U127">
        <f>VLOOKUP($C127,'2000 Place'!$C$2:$Y$523,22,FALSE)</f>
        <v>6</v>
      </c>
      <c r="V127">
        <f>VLOOKUP($C127,'2000 Place'!$C$2:$Y$523,23,FALSE)</f>
        <v>0</v>
      </c>
    </row>
    <row r="128" spans="1:22" x14ac:dyDescent="0.25">
      <c r="A128" t="s">
        <v>500</v>
      </c>
      <c r="B128">
        <v>5315115</v>
      </c>
      <c r="C128" t="s">
        <v>501</v>
      </c>
      <c r="D128">
        <f>VLOOKUP($C128,'2000 Place'!$C$2:$Y$523,5,FALSE)</f>
        <v>1047</v>
      </c>
      <c r="E128">
        <f>VLOOKUP($C128,'2000 Place'!$C$2:$Y$523,6,FALSE)</f>
        <v>1028</v>
      </c>
      <c r="F128">
        <f>VLOOKUP($C128,'2000 Place'!$C$2:$Y$523,7,FALSE)</f>
        <v>19</v>
      </c>
      <c r="G128">
        <f>VLOOKUP($C128,'2000 Place'!$C$2:$Y$523,8,FALSE)</f>
        <v>662</v>
      </c>
      <c r="H128">
        <f>VLOOKUP($C128,'2000 Place'!$C$2:$Y$523,9,FALSE)</f>
        <v>8</v>
      </c>
      <c r="I128">
        <f>VLOOKUP($C128,'2000 Place'!$C$2:$Y$523,10,FALSE)</f>
        <v>5</v>
      </c>
      <c r="J128">
        <f>VLOOKUP($C128,'2000 Place'!$C$2:$Y$523,11,FALSE)</f>
        <v>0</v>
      </c>
      <c r="K128">
        <f>VLOOKUP($C128,'2000 Place'!$C$2:$Y$523,12,FALSE)</f>
        <v>0</v>
      </c>
      <c r="L128">
        <f>VLOOKUP($C128,'2000 Place'!$C$2:$Y$523,13,FALSE)</f>
        <v>0</v>
      </c>
      <c r="M128">
        <f>VLOOKUP($C128,'2000 Place'!$C$2:$Y$523,14,FALSE)</f>
        <v>295</v>
      </c>
      <c r="N128">
        <f>VLOOKUP($C128,'2000 Place'!$C$2:$Y$523,15,FALSE)</f>
        <v>0</v>
      </c>
      <c r="O128">
        <f>VLOOKUP($C128,'2000 Place'!$C$2:$Y$523,16,FALSE)</f>
        <v>0</v>
      </c>
      <c r="P128">
        <f>VLOOKUP($C128,'2000 Place'!$C$2:$Y$523,17,FALSE)</f>
        <v>7</v>
      </c>
      <c r="Q128">
        <f>VLOOKUP($C128,'2000 Place'!$C$2:$Y$523,18,FALSE)</f>
        <v>3</v>
      </c>
      <c r="R128">
        <f>VLOOKUP($C128,'2000 Place'!$C$2:$Y$523,19,FALSE)</f>
        <v>0</v>
      </c>
      <c r="S128">
        <f>VLOOKUP($C128,'2000 Place'!$C$2:$Y$523,20,FALSE)</f>
        <v>5</v>
      </c>
      <c r="T128">
        <f>VLOOKUP($C128,'2000 Place'!$C$2:$Y$523,21,FALSE)</f>
        <v>4</v>
      </c>
      <c r="U128">
        <f>VLOOKUP($C128,'2000 Place'!$C$2:$Y$523,22,FALSE)</f>
        <v>58</v>
      </c>
      <c r="V128">
        <f>VLOOKUP($C128,'2000 Place'!$C$2:$Y$523,23,FALSE)</f>
        <v>0</v>
      </c>
    </row>
    <row r="129" spans="1:22" x14ac:dyDescent="0.25">
      <c r="A129" t="s">
        <v>502</v>
      </c>
      <c r="B129">
        <v>5315150</v>
      </c>
      <c r="C129" t="s">
        <v>503</v>
      </c>
      <c r="D129">
        <f>VLOOKUP($C129,'2000 Place'!$C$2:$Y$523,5,FALSE)</f>
        <v>5203</v>
      </c>
      <c r="E129">
        <f>VLOOKUP($C129,'2000 Place'!$C$2:$Y$523,6,FALSE)</f>
        <v>5027</v>
      </c>
      <c r="F129">
        <f>VLOOKUP($C129,'2000 Place'!$C$2:$Y$523,7,FALSE)</f>
        <v>176</v>
      </c>
      <c r="G129">
        <f>VLOOKUP($C129,'2000 Place'!$C$2:$Y$523,8,FALSE)</f>
        <v>4582</v>
      </c>
      <c r="H129">
        <f>VLOOKUP($C129,'2000 Place'!$C$2:$Y$523,9,FALSE)</f>
        <v>117</v>
      </c>
      <c r="I129">
        <f>VLOOKUP($C129,'2000 Place'!$C$2:$Y$523,10,FALSE)</f>
        <v>8</v>
      </c>
      <c r="J129">
        <f>VLOOKUP($C129,'2000 Place'!$C$2:$Y$523,11,FALSE)</f>
        <v>0</v>
      </c>
      <c r="K129">
        <f>VLOOKUP($C129,'2000 Place'!$C$2:$Y$523,12,FALSE)</f>
        <v>24</v>
      </c>
      <c r="L129">
        <f>VLOOKUP($C129,'2000 Place'!$C$2:$Y$523,13,FALSE)</f>
        <v>0</v>
      </c>
      <c r="M129">
        <f>VLOOKUP($C129,'2000 Place'!$C$2:$Y$523,14,FALSE)</f>
        <v>33</v>
      </c>
      <c r="N129">
        <f>VLOOKUP($C129,'2000 Place'!$C$2:$Y$523,15,FALSE)</f>
        <v>0</v>
      </c>
      <c r="O129">
        <f>VLOOKUP($C129,'2000 Place'!$C$2:$Y$523,16,FALSE)</f>
        <v>80</v>
      </c>
      <c r="P129">
        <f>VLOOKUP($C129,'2000 Place'!$C$2:$Y$523,17,FALSE)</f>
        <v>17</v>
      </c>
      <c r="Q129">
        <f>VLOOKUP($C129,'2000 Place'!$C$2:$Y$523,18,FALSE)</f>
        <v>53</v>
      </c>
      <c r="R129">
        <f>VLOOKUP($C129,'2000 Place'!$C$2:$Y$523,19,FALSE)</f>
        <v>0</v>
      </c>
      <c r="S129">
        <f>VLOOKUP($C129,'2000 Place'!$C$2:$Y$523,20,FALSE)</f>
        <v>56</v>
      </c>
      <c r="T129">
        <f>VLOOKUP($C129,'2000 Place'!$C$2:$Y$523,21,FALSE)</f>
        <v>16</v>
      </c>
      <c r="U129">
        <f>VLOOKUP($C129,'2000 Place'!$C$2:$Y$523,22,FALSE)</f>
        <v>191</v>
      </c>
      <c r="V129">
        <f>VLOOKUP($C129,'2000 Place'!$C$2:$Y$523,23,FALSE)</f>
        <v>26</v>
      </c>
    </row>
    <row r="130" spans="1:22" x14ac:dyDescent="0.25">
      <c r="A130" t="s">
        <v>504</v>
      </c>
      <c r="B130">
        <v>5315185</v>
      </c>
      <c r="C130" t="s">
        <v>505</v>
      </c>
      <c r="D130">
        <f>VLOOKUP($C130,'2000 Place'!$C$2:$Y$523,5,FALSE)</f>
        <v>1738</v>
      </c>
      <c r="E130">
        <f>VLOOKUP($C130,'2000 Place'!$C$2:$Y$523,6,FALSE)</f>
        <v>1587</v>
      </c>
      <c r="F130">
        <f>VLOOKUP($C130,'2000 Place'!$C$2:$Y$523,7,FALSE)</f>
        <v>151</v>
      </c>
      <c r="G130">
        <f>VLOOKUP($C130,'2000 Place'!$C$2:$Y$523,8,FALSE)</f>
        <v>1444</v>
      </c>
      <c r="H130">
        <f>VLOOKUP($C130,'2000 Place'!$C$2:$Y$523,9,FALSE)</f>
        <v>76</v>
      </c>
      <c r="I130">
        <f>VLOOKUP($C130,'2000 Place'!$C$2:$Y$523,10,FALSE)</f>
        <v>36</v>
      </c>
      <c r="J130">
        <f>VLOOKUP($C130,'2000 Place'!$C$2:$Y$523,11,FALSE)</f>
        <v>10</v>
      </c>
      <c r="K130">
        <f>VLOOKUP($C130,'2000 Place'!$C$2:$Y$523,12,FALSE)</f>
        <v>26</v>
      </c>
      <c r="L130">
        <f>VLOOKUP($C130,'2000 Place'!$C$2:$Y$523,13,FALSE)</f>
        <v>1</v>
      </c>
      <c r="M130">
        <f>VLOOKUP($C130,'2000 Place'!$C$2:$Y$523,14,FALSE)</f>
        <v>8</v>
      </c>
      <c r="N130">
        <f>VLOOKUP($C130,'2000 Place'!$C$2:$Y$523,15,FALSE)</f>
        <v>0</v>
      </c>
      <c r="O130">
        <f>VLOOKUP($C130,'2000 Place'!$C$2:$Y$523,16,FALSE)</f>
        <v>28</v>
      </c>
      <c r="P130">
        <f>VLOOKUP($C130,'2000 Place'!$C$2:$Y$523,17,FALSE)</f>
        <v>24</v>
      </c>
      <c r="Q130">
        <f>VLOOKUP($C130,'2000 Place'!$C$2:$Y$523,18,FALSE)</f>
        <v>0</v>
      </c>
      <c r="R130">
        <f>VLOOKUP($C130,'2000 Place'!$C$2:$Y$523,19,FALSE)</f>
        <v>0</v>
      </c>
      <c r="S130">
        <f>VLOOKUP($C130,'2000 Place'!$C$2:$Y$523,20,FALSE)</f>
        <v>2</v>
      </c>
      <c r="T130">
        <f>VLOOKUP($C130,'2000 Place'!$C$2:$Y$523,21,FALSE)</f>
        <v>38</v>
      </c>
      <c r="U130">
        <f>VLOOKUP($C130,'2000 Place'!$C$2:$Y$523,22,FALSE)</f>
        <v>43</v>
      </c>
      <c r="V130">
        <f>VLOOKUP($C130,'2000 Place'!$C$2:$Y$523,23,FALSE)</f>
        <v>2</v>
      </c>
    </row>
    <row r="131" spans="1:22" x14ac:dyDescent="0.25">
      <c r="A131" t="s">
        <v>506</v>
      </c>
      <c r="B131">
        <v>5315290</v>
      </c>
      <c r="C131" t="s">
        <v>507</v>
      </c>
      <c r="D131">
        <f>VLOOKUP($C131,'2000 Place'!$C$2:$Y$523,5,FALSE)</f>
        <v>13768</v>
      </c>
      <c r="E131">
        <f>VLOOKUP($C131,'2000 Place'!$C$2:$Y$523,6,FALSE)</f>
        <v>12779</v>
      </c>
      <c r="F131">
        <f>VLOOKUP($C131,'2000 Place'!$C$2:$Y$523,7,FALSE)</f>
        <v>989</v>
      </c>
      <c r="G131">
        <f>VLOOKUP($C131,'2000 Place'!$C$2:$Y$523,8,FALSE)</f>
        <v>11286</v>
      </c>
      <c r="H131">
        <f>VLOOKUP($C131,'2000 Place'!$C$2:$Y$523,9,FALSE)</f>
        <v>601</v>
      </c>
      <c r="I131">
        <f>VLOOKUP($C131,'2000 Place'!$C$2:$Y$523,10,FALSE)</f>
        <v>224</v>
      </c>
      <c r="J131">
        <f>VLOOKUP($C131,'2000 Place'!$C$2:$Y$523,11,FALSE)</f>
        <v>9</v>
      </c>
      <c r="K131">
        <f>VLOOKUP($C131,'2000 Place'!$C$2:$Y$523,12,FALSE)</f>
        <v>297</v>
      </c>
      <c r="L131">
        <f>VLOOKUP($C131,'2000 Place'!$C$2:$Y$523,13,FALSE)</f>
        <v>7</v>
      </c>
      <c r="M131">
        <f>VLOOKUP($C131,'2000 Place'!$C$2:$Y$523,14,FALSE)</f>
        <v>41</v>
      </c>
      <c r="N131">
        <f>VLOOKUP($C131,'2000 Place'!$C$2:$Y$523,15,FALSE)</f>
        <v>8</v>
      </c>
      <c r="O131">
        <f>VLOOKUP($C131,'2000 Place'!$C$2:$Y$523,16,FALSE)</f>
        <v>137</v>
      </c>
      <c r="P131">
        <f>VLOOKUP($C131,'2000 Place'!$C$2:$Y$523,17,FALSE)</f>
        <v>221</v>
      </c>
      <c r="Q131">
        <f>VLOOKUP($C131,'2000 Place'!$C$2:$Y$523,18,FALSE)</f>
        <v>30</v>
      </c>
      <c r="R131">
        <f>VLOOKUP($C131,'2000 Place'!$C$2:$Y$523,19,FALSE)</f>
        <v>19</v>
      </c>
      <c r="S131">
        <f>VLOOKUP($C131,'2000 Place'!$C$2:$Y$523,20,FALSE)</f>
        <v>250</v>
      </c>
      <c r="T131">
        <f>VLOOKUP($C131,'2000 Place'!$C$2:$Y$523,21,FALSE)</f>
        <v>77</v>
      </c>
      <c r="U131">
        <f>VLOOKUP($C131,'2000 Place'!$C$2:$Y$523,22,FALSE)</f>
        <v>514</v>
      </c>
      <c r="V131">
        <f>VLOOKUP($C131,'2000 Place'!$C$2:$Y$523,23,FALSE)</f>
        <v>47</v>
      </c>
    </row>
    <row r="132" spans="1:22" x14ac:dyDescent="0.25">
      <c r="A132" t="s">
        <v>508</v>
      </c>
      <c r="B132">
        <v>5315325</v>
      </c>
      <c r="C132" t="s">
        <v>509</v>
      </c>
      <c r="D132" t="e">
        <f>VLOOKUP($C132,'2000 Place'!$C$2:$Y$523,5,FALSE)</f>
        <v>#N/A</v>
      </c>
      <c r="E132" t="e">
        <f>VLOOKUP($C132,'2000 Place'!$C$2:$Y$523,6,FALSE)</f>
        <v>#N/A</v>
      </c>
      <c r="F132" t="e">
        <f>VLOOKUP($C132,'2000 Place'!$C$2:$Y$523,7,FALSE)</f>
        <v>#N/A</v>
      </c>
      <c r="G132" t="e">
        <f>VLOOKUP($C132,'2000 Place'!$C$2:$Y$523,8,FALSE)</f>
        <v>#N/A</v>
      </c>
      <c r="H132" t="e">
        <f>VLOOKUP($C132,'2000 Place'!$C$2:$Y$523,9,FALSE)</f>
        <v>#N/A</v>
      </c>
      <c r="I132" t="e">
        <f>VLOOKUP($C132,'2000 Place'!$C$2:$Y$523,10,FALSE)</f>
        <v>#N/A</v>
      </c>
      <c r="J132" t="e">
        <f>VLOOKUP($C132,'2000 Place'!$C$2:$Y$523,11,FALSE)</f>
        <v>#N/A</v>
      </c>
      <c r="K132" t="e">
        <f>VLOOKUP($C132,'2000 Place'!$C$2:$Y$523,12,FALSE)</f>
        <v>#N/A</v>
      </c>
      <c r="L132" t="e">
        <f>VLOOKUP($C132,'2000 Place'!$C$2:$Y$523,13,FALSE)</f>
        <v>#N/A</v>
      </c>
      <c r="M132" t="e">
        <f>VLOOKUP($C132,'2000 Place'!$C$2:$Y$523,14,FALSE)</f>
        <v>#N/A</v>
      </c>
      <c r="N132" t="e">
        <f>VLOOKUP($C132,'2000 Place'!$C$2:$Y$523,15,FALSE)</f>
        <v>#N/A</v>
      </c>
      <c r="O132" t="e">
        <f>VLOOKUP($C132,'2000 Place'!$C$2:$Y$523,16,FALSE)</f>
        <v>#N/A</v>
      </c>
      <c r="P132" t="e">
        <f>VLOOKUP($C132,'2000 Place'!$C$2:$Y$523,17,FALSE)</f>
        <v>#N/A</v>
      </c>
      <c r="Q132" t="e">
        <f>VLOOKUP($C132,'2000 Place'!$C$2:$Y$523,18,FALSE)</f>
        <v>#N/A</v>
      </c>
      <c r="R132" t="e">
        <f>VLOOKUP($C132,'2000 Place'!$C$2:$Y$523,19,FALSE)</f>
        <v>#N/A</v>
      </c>
      <c r="S132" t="e">
        <f>VLOOKUP($C132,'2000 Place'!$C$2:$Y$523,20,FALSE)</f>
        <v>#N/A</v>
      </c>
      <c r="T132" t="e">
        <f>VLOOKUP($C132,'2000 Place'!$C$2:$Y$523,21,FALSE)</f>
        <v>#N/A</v>
      </c>
      <c r="U132" t="e">
        <f>VLOOKUP($C132,'2000 Place'!$C$2:$Y$523,22,FALSE)</f>
        <v>#N/A</v>
      </c>
      <c r="V132" t="e">
        <f>VLOOKUP($C132,'2000 Place'!$C$2:$Y$523,23,FALSE)</f>
        <v>#N/A</v>
      </c>
    </row>
    <row r="133" spans="1:22" x14ac:dyDescent="0.25">
      <c r="A133" t="s">
        <v>510</v>
      </c>
      <c r="B133">
        <v>5315710</v>
      </c>
      <c r="C133" t="s">
        <v>511</v>
      </c>
      <c r="D133">
        <f>VLOOKUP($C133,'2000 Place'!$C$2:$Y$523,5,FALSE)</f>
        <v>230</v>
      </c>
      <c r="E133">
        <f>VLOOKUP($C133,'2000 Place'!$C$2:$Y$523,6,FALSE)</f>
        <v>230</v>
      </c>
      <c r="F133">
        <f>VLOOKUP($C133,'2000 Place'!$C$2:$Y$523,7,FALSE)</f>
        <v>0</v>
      </c>
      <c r="G133">
        <f>VLOOKUP($C133,'2000 Place'!$C$2:$Y$523,8,FALSE)</f>
        <v>208</v>
      </c>
      <c r="H133">
        <f>VLOOKUP($C133,'2000 Place'!$C$2:$Y$523,9,FALSE)</f>
        <v>0</v>
      </c>
      <c r="I133">
        <f>VLOOKUP($C133,'2000 Place'!$C$2:$Y$523,10,FALSE)</f>
        <v>0</v>
      </c>
      <c r="J133">
        <f>VLOOKUP($C133,'2000 Place'!$C$2:$Y$523,11,FALSE)</f>
        <v>0</v>
      </c>
      <c r="K133">
        <f>VLOOKUP($C133,'2000 Place'!$C$2:$Y$523,12,FALSE)</f>
        <v>4</v>
      </c>
      <c r="L133">
        <f>VLOOKUP($C133,'2000 Place'!$C$2:$Y$523,13,FALSE)</f>
        <v>0</v>
      </c>
      <c r="M133">
        <f>VLOOKUP($C133,'2000 Place'!$C$2:$Y$523,14,FALSE)</f>
        <v>15</v>
      </c>
      <c r="N133">
        <f>VLOOKUP($C133,'2000 Place'!$C$2:$Y$523,15,FALSE)</f>
        <v>0</v>
      </c>
      <c r="O133">
        <f>VLOOKUP($C133,'2000 Place'!$C$2:$Y$523,16,FALSE)</f>
        <v>0</v>
      </c>
      <c r="P133">
        <f>VLOOKUP($C133,'2000 Place'!$C$2:$Y$523,17,FALSE)</f>
        <v>0</v>
      </c>
      <c r="Q133">
        <f>VLOOKUP($C133,'2000 Place'!$C$2:$Y$523,18,FALSE)</f>
        <v>0</v>
      </c>
      <c r="R133">
        <f>VLOOKUP($C133,'2000 Place'!$C$2:$Y$523,19,FALSE)</f>
        <v>0</v>
      </c>
      <c r="S133">
        <f>VLOOKUP($C133,'2000 Place'!$C$2:$Y$523,20,FALSE)</f>
        <v>0</v>
      </c>
      <c r="T133">
        <f>VLOOKUP($C133,'2000 Place'!$C$2:$Y$523,21,FALSE)</f>
        <v>0</v>
      </c>
      <c r="U133">
        <f>VLOOKUP($C133,'2000 Place'!$C$2:$Y$523,22,FALSE)</f>
        <v>3</v>
      </c>
      <c r="V133">
        <f>VLOOKUP($C133,'2000 Place'!$C$2:$Y$523,23,FALSE)</f>
        <v>0</v>
      </c>
    </row>
    <row r="134" spans="1:22" x14ac:dyDescent="0.25">
      <c r="A134" t="s">
        <v>512</v>
      </c>
      <c r="B134">
        <v>5315780</v>
      </c>
      <c r="C134" t="s">
        <v>513</v>
      </c>
      <c r="D134" t="e">
        <f>VLOOKUP($C134,'2000 Place'!$C$2:$Y$523,5,FALSE)</f>
        <v>#N/A</v>
      </c>
      <c r="E134" t="e">
        <f>VLOOKUP($C134,'2000 Place'!$C$2:$Y$523,6,FALSE)</f>
        <v>#N/A</v>
      </c>
      <c r="F134" t="e">
        <f>VLOOKUP($C134,'2000 Place'!$C$2:$Y$523,7,FALSE)</f>
        <v>#N/A</v>
      </c>
      <c r="G134" t="e">
        <f>VLOOKUP($C134,'2000 Place'!$C$2:$Y$523,8,FALSE)</f>
        <v>#N/A</v>
      </c>
      <c r="H134" t="e">
        <f>VLOOKUP($C134,'2000 Place'!$C$2:$Y$523,9,FALSE)</f>
        <v>#N/A</v>
      </c>
      <c r="I134" t="e">
        <f>VLOOKUP($C134,'2000 Place'!$C$2:$Y$523,10,FALSE)</f>
        <v>#N/A</v>
      </c>
      <c r="J134" t="e">
        <f>VLOOKUP($C134,'2000 Place'!$C$2:$Y$523,11,FALSE)</f>
        <v>#N/A</v>
      </c>
      <c r="K134" t="e">
        <f>VLOOKUP($C134,'2000 Place'!$C$2:$Y$523,12,FALSE)</f>
        <v>#N/A</v>
      </c>
      <c r="L134" t="e">
        <f>VLOOKUP($C134,'2000 Place'!$C$2:$Y$523,13,FALSE)</f>
        <v>#N/A</v>
      </c>
      <c r="M134" t="e">
        <f>VLOOKUP($C134,'2000 Place'!$C$2:$Y$523,14,FALSE)</f>
        <v>#N/A</v>
      </c>
      <c r="N134" t="e">
        <f>VLOOKUP($C134,'2000 Place'!$C$2:$Y$523,15,FALSE)</f>
        <v>#N/A</v>
      </c>
      <c r="O134" t="e">
        <f>VLOOKUP($C134,'2000 Place'!$C$2:$Y$523,16,FALSE)</f>
        <v>#N/A</v>
      </c>
      <c r="P134" t="e">
        <f>VLOOKUP($C134,'2000 Place'!$C$2:$Y$523,17,FALSE)</f>
        <v>#N/A</v>
      </c>
      <c r="Q134" t="e">
        <f>VLOOKUP($C134,'2000 Place'!$C$2:$Y$523,18,FALSE)</f>
        <v>#N/A</v>
      </c>
      <c r="R134" t="e">
        <f>VLOOKUP($C134,'2000 Place'!$C$2:$Y$523,19,FALSE)</f>
        <v>#N/A</v>
      </c>
      <c r="S134" t="e">
        <f>VLOOKUP($C134,'2000 Place'!$C$2:$Y$523,20,FALSE)</f>
        <v>#N/A</v>
      </c>
      <c r="T134" t="e">
        <f>VLOOKUP($C134,'2000 Place'!$C$2:$Y$523,21,FALSE)</f>
        <v>#N/A</v>
      </c>
      <c r="U134" t="e">
        <f>VLOOKUP($C134,'2000 Place'!$C$2:$Y$523,22,FALSE)</f>
        <v>#N/A</v>
      </c>
      <c r="V134" t="e">
        <f>VLOOKUP($C134,'2000 Place'!$C$2:$Y$523,23,FALSE)</f>
        <v>#N/A</v>
      </c>
    </row>
    <row r="135" spans="1:22" x14ac:dyDescent="0.25">
      <c r="A135" t="s">
        <v>514</v>
      </c>
      <c r="B135">
        <v>5316165</v>
      </c>
      <c r="C135" t="s">
        <v>515</v>
      </c>
      <c r="D135" t="e">
        <f>VLOOKUP($C135,'2000 Place'!$C$2:$Y$523,5,FALSE)</f>
        <v>#N/A</v>
      </c>
      <c r="E135" t="e">
        <f>VLOOKUP($C135,'2000 Place'!$C$2:$Y$523,6,FALSE)</f>
        <v>#N/A</v>
      </c>
      <c r="F135" t="e">
        <f>VLOOKUP($C135,'2000 Place'!$C$2:$Y$523,7,FALSE)</f>
        <v>#N/A</v>
      </c>
      <c r="G135" t="e">
        <f>VLOOKUP($C135,'2000 Place'!$C$2:$Y$523,8,FALSE)</f>
        <v>#N/A</v>
      </c>
      <c r="H135" t="e">
        <f>VLOOKUP($C135,'2000 Place'!$C$2:$Y$523,9,FALSE)</f>
        <v>#N/A</v>
      </c>
      <c r="I135" t="e">
        <f>VLOOKUP($C135,'2000 Place'!$C$2:$Y$523,10,FALSE)</f>
        <v>#N/A</v>
      </c>
      <c r="J135" t="e">
        <f>VLOOKUP($C135,'2000 Place'!$C$2:$Y$523,11,FALSE)</f>
        <v>#N/A</v>
      </c>
      <c r="K135" t="e">
        <f>VLOOKUP($C135,'2000 Place'!$C$2:$Y$523,12,FALSE)</f>
        <v>#N/A</v>
      </c>
      <c r="L135" t="e">
        <f>VLOOKUP($C135,'2000 Place'!$C$2:$Y$523,13,FALSE)</f>
        <v>#N/A</v>
      </c>
      <c r="M135" t="e">
        <f>VLOOKUP($C135,'2000 Place'!$C$2:$Y$523,14,FALSE)</f>
        <v>#N/A</v>
      </c>
      <c r="N135" t="e">
        <f>VLOOKUP($C135,'2000 Place'!$C$2:$Y$523,15,FALSE)</f>
        <v>#N/A</v>
      </c>
      <c r="O135" t="e">
        <f>VLOOKUP($C135,'2000 Place'!$C$2:$Y$523,16,FALSE)</f>
        <v>#N/A</v>
      </c>
      <c r="P135" t="e">
        <f>VLOOKUP($C135,'2000 Place'!$C$2:$Y$523,17,FALSE)</f>
        <v>#N/A</v>
      </c>
      <c r="Q135" t="e">
        <f>VLOOKUP($C135,'2000 Place'!$C$2:$Y$523,18,FALSE)</f>
        <v>#N/A</v>
      </c>
      <c r="R135" t="e">
        <f>VLOOKUP($C135,'2000 Place'!$C$2:$Y$523,19,FALSE)</f>
        <v>#N/A</v>
      </c>
      <c r="S135" t="e">
        <f>VLOOKUP($C135,'2000 Place'!$C$2:$Y$523,20,FALSE)</f>
        <v>#N/A</v>
      </c>
      <c r="T135" t="e">
        <f>VLOOKUP($C135,'2000 Place'!$C$2:$Y$523,21,FALSE)</f>
        <v>#N/A</v>
      </c>
      <c r="U135" t="e">
        <f>VLOOKUP($C135,'2000 Place'!$C$2:$Y$523,22,FALSE)</f>
        <v>#N/A</v>
      </c>
      <c r="V135" t="e">
        <f>VLOOKUP($C135,'2000 Place'!$C$2:$Y$523,23,FALSE)</f>
        <v>#N/A</v>
      </c>
    </row>
    <row r="136" spans="1:22" x14ac:dyDescent="0.25">
      <c r="A136" t="s">
        <v>516</v>
      </c>
      <c r="B136">
        <v>5316170</v>
      </c>
      <c r="C136" t="s">
        <v>517</v>
      </c>
      <c r="D136" t="e">
        <f>VLOOKUP($C136,'2000 Place'!$C$2:$Y$523,5,FALSE)</f>
        <v>#N/A</v>
      </c>
      <c r="E136" t="e">
        <f>VLOOKUP($C136,'2000 Place'!$C$2:$Y$523,6,FALSE)</f>
        <v>#N/A</v>
      </c>
      <c r="F136" t="e">
        <f>VLOOKUP($C136,'2000 Place'!$C$2:$Y$523,7,FALSE)</f>
        <v>#N/A</v>
      </c>
      <c r="G136" t="e">
        <f>VLOOKUP($C136,'2000 Place'!$C$2:$Y$523,8,FALSE)</f>
        <v>#N/A</v>
      </c>
      <c r="H136" t="e">
        <f>VLOOKUP($C136,'2000 Place'!$C$2:$Y$523,9,FALSE)</f>
        <v>#N/A</v>
      </c>
      <c r="I136" t="e">
        <f>VLOOKUP($C136,'2000 Place'!$C$2:$Y$523,10,FALSE)</f>
        <v>#N/A</v>
      </c>
      <c r="J136" t="e">
        <f>VLOOKUP($C136,'2000 Place'!$C$2:$Y$523,11,FALSE)</f>
        <v>#N/A</v>
      </c>
      <c r="K136" t="e">
        <f>VLOOKUP($C136,'2000 Place'!$C$2:$Y$523,12,FALSE)</f>
        <v>#N/A</v>
      </c>
      <c r="L136" t="e">
        <f>VLOOKUP($C136,'2000 Place'!$C$2:$Y$523,13,FALSE)</f>
        <v>#N/A</v>
      </c>
      <c r="M136" t="e">
        <f>VLOOKUP($C136,'2000 Place'!$C$2:$Y$523,14,FALSE)</f>
        <v>#N/A</v>
      </c>
      <c r="N136" t="e">
        <f>VLOOKUP($C136,'2000 Place'!$C$2:$Y$523,15,FALSE)</f>
        <v>#N/A</v>
      </c>
      <c r="O136" t="e">
        <f>VLOOKUP($C136,'2000 Place'!$C$2:$Y$523,16,FALSE)</f>
        <v>#N/A</v>
      </c>
      <c r="P136" t="e">
        <f>VLOOKUP($C136,'2000 Place'!$C$2:$Y$523,17,FALSE)</f>
        <v>#N/A</v>
      </c>
      <c r="Q136" t="e">
        <f>VLOOKUP($C136,'2000 Place'!$C$2:$Y$523,18,FALSE)</f>
        <v>#N/A</v>
      </c>
      <c r="R136" t="e">
        <f>VLOOKUP($C136,'2000 Place'!$C$2:$Y$523,19,FALSE)</f>
        <v>#N/A</v>
      </c>
      <c r="S136" t="e">
        <f>VLOOKUP($C136,'2000 Place'!$C$2:$Y$523,20,FALSE)</f>
        <v>#N/A</v>
      </c>
      <c r="T136" t="e">
        <f>VLOOKUP($C136,'2000 Place'!$C$2:$Y$523,21,FALSE)</f>
        <v>#N/A</v>
      </c>
      <c r="U136" t="e">
        <f>VLOOKUP($C136,'2000 Place'!$C$2:$Y$523,22,FALSE)</f>
        <v>#N/A</v>
      </c>
      <c r="V136" t="e">
        <f>VLOOKUP($C136,'2000 Place'!$C$2:$Y$523,23,FALSE)</f>
        <v>#N/A</v>
      </c>
    </row>
    <row r="137" spans="1:22" x14ac:dyDescent="0.25">
      <c r="A137" t="s">
        <v>518</v>
      </c>
      <c r="B137">
        <v>5316340</v>
      </c>
      <c r="C137" t="s">
        <v>519</v>
      </c>
      <c r="D137">
        <f>VLOOKUP($C137,'2000 Place'!$C$2:$Y$523,5,FALSE)</f>
        <v>211</v>
      </c>
      <c r="E137">
        <f>VLOOKUP($C137,'2000 Place'!$C$2:$Y$523,6,FALSE)</f>
        <v>211</v>
      </c>
      <c r="F137">
        <f>VLOOKUP($C137,'2000 Place'!$C$2:$Y$523,7,FALSE)</f>
        <v>0</v>
      </c>
      <c r="G137">
        <f>VLOOKUP($C137,'2000 Place'!$C$2:$Y$523,8,FALSE)</f>
        <v>195</v>
      </c>
      <c r="H137">
        <f>VLOOKUP($C137,'2000 Place'!$C$2:$Y$523,9,FALSE)</f>
        <v>0</v>
      </c>
      <c r="I137">
        <f>VLOOKUP($C137,'2000 Place'!$C$2:$Y$523,10,FALSE)</f>
        <v>0</v>
      </c>
      <c r="J137">
        <f>VLOOKUP($C137,'2000 Place'!$C$2:$Y$523,11,FALSE)</f>
        <v>0</v>
      </c>
      <c r="K137">
        <f>VLOOKUP($C137,'2000 Place'!$C$2:$Y$523,12,FALSE)</f>
        <v>0</v>
      </c>
      <c r="L137">
        <f>VLOOKUP($C137,'2000 Place'!$C$2:$Y$523,13,FALSE)</f>
        <v>0</v>
      </c>
      <c r="M137">
        <f>VLOOKUP($C137,'2000 Place'!$C$2:$Y$523,14,FALSE)</f>
        <v>11</v>
      </c>
      <c r="N137">
        <f>VLOOKUP($C137,'2000 Place'!$C$2:$Y$523,15,FALSE)</f>
        <v>0</v>
      </c>
      <c r="O137">
        <f>VLOOKUP($C137,'2000 Place'!$C$2:$Y$523,16,FALSE)</f>
        <v>0</v>
      </c>
      <c r="P137">
        <f>VLOOKUP($C137,'2000 Place'!$C$2:$Y$523,17,FALSE)</f>
        <v>0</v>
      </c>
      <c r="Q137">
        <f>VLOOKUP($C137,'2000 Place'!$C$2:$Y$523,18,FALSE)</f>
        <v>0</v>
      </c>
      <c r="R137">
        <f>VLOOKUP($C137,'2000 Place'!$C$2:$Y$523,19,FALSE)</f>
        <v>0</v>
      </c>
      <c r="S137">
        <f>VLOOKUP($C137,'2000 Place'!$C$2:$Y$523,20,FALSE)</f>
        <v>0</v>
      </c>
      <c r="T137">
        <f>VLOOKUP($C137,'2000 Place'!$C$2:$Y$523,21,FALSE)</f>
        <v>0</v>
      </c>
      <c r="U137">
        <f>VLOOKUP($C137,'2000 Place'!$C$2:$Y$523,22,FALSE)</f>
        <v>5</v>
      </c>
      <c r="V137">
        <f>VLOOKUP($C137,'2000 Place'!$C$2:$Y$523,23,FALSE)</f>
        <v>0</v>
      </c>
    </row>
    <row r="138" spans="1:22" x14ac:dyDescent="0.25">
      <c r="A138" t="s">
        <v>520</v>
      </c>
      <c r="B138">
        <v>5316375</v>
      </c>
      <c r="C138" t="s">
        <v>521</v>
      </c>
      <c r="D138">
        <f>VLOOKUP($C138,'2000 Place'!$C$2:$Y$523,5,FALSE)</f>
        <v>188</v>
      </c>
      <c r="E138">
        <f>VLOOKUP($C138,'2000 Place'!$C$2:$Y$523,6,FALSE)</f>
        <v>182</v>
      </c>
      <c r="F138">
        <f>VLOOKUP($C138,'2000 Place'!$C$2:$Y$523,7,FALSE)</f>
        <v>6</v>
      </c>
      <c r="G138">
        <f>VLOOKUP($C138,'2000 Place'!$C$2:$Y$523,8,FALSE)</f>
        <v>162</v>
      </c>
      <c r="H138">
        <f>VLOOKUP($C138,'2000 Place'!$C$2:$Y$523,9,FALSE)</f>
        <v>6</v>
      </c>
      <c r="I138">
        <f>VLOOKUP($C138,'2000 Place'!$C$2:$Y$523,10,FALSE)</f>
        <v>0</v>
      </c>
      <c r="J138">
        <f>VLOOKUP($C138,'2000 Place'!$C$2:$Y$523,11,FALSE)</f>
        <v>0</v>
      </c>
      <c r="K138">
        <f>VLOOKUP($C138,'2000 Place'!$C$2:$Y$523,12,FALSE)</f>
        <v>0</v>
      </c>
      <c r="L138">
        <f>VLOOKUP($C138,'2000 Place'!$C$2:$Y$523,13,FALSE)</f>
        <v>0</v>
      </c>
      <c r="M138">
        <f>VLOOKUP($C138,'2000 Place'!$C$2:$Y$523,14,FALSE)</f>
        <v>0</v>
      </c>
      <c r="N138">
        <f>VLOOKUP($C138,'2000 Place'!$C$2:$Y$523,15,FALSE)</f>
        <v>0</v>
      </c>
      <c r="O138">
        <f>VLOOKUP($C138,'2000 Place'!$C$2:$Y$523,16,FALSE)</f>
        <v>0</v>
      </c>
      <c r="P138">
        <f>VLOOKUP($C138,'2000 Place'!$C$2:$Y$523,17,FALSE)</f>
        <v>0</v>
      </c>
      <c r="Q138">
        <f>VLOOKUP($C138,'2000 Place'!$C$2:$Y$523,18,FALSE)</f>
        <v>0</v>
      </c>
      <c r="R138">
        <f>VLOOKUP($C138,'2000 Place'!$C$2:$Y$523,19,FALSE)</f>
        <v>0</v>
      </c>
      <c r="S138">
        <f>VLOOKUP($C138,'2000 Place'!$C$2:$Y$523,20,FALSE)</f>
        <v>0</v>
      </c>
      <c r="T138">
        <f>VLOOKUP($C138,'2000 Place'!$C$2:$Y$523,21,FALSE)</f>
        <v>0</v>
      </c>
      <c r="U138">
        <f>VLOOKUP($C138,'2000 Place'!$C$2:$Y$523,22,FALSE)</f>
        <v>20</v>
      </c>
      <c r="V138">
        <f>VLOOKUP($C138,'2000 Place'!$C$2:$Y$523,23,FALSE)</f>
        <v>0</v>
      </c>
    </row>
    <row r="139" spans="1:22" x14ac:dyDescent="0.25">
      <c r="A139" t="s">
        <v>522</v>
      </c>
      <c r="B139">
        <v>5316550</v>
      </c>
      <c r="C139" t="s">
        <v>523</v>
      </c>
      <c r="D139">
        <f>VLOOKUP($C139,'2000 Place'!$C$2:$Y$523,5,FALSE)</f>
        <v>1241</v>
      </c>
      <c r="E139">
        <f>VLOOKUP($C139,'2000 Place'!$C$2:$Y$523,6,FALSE)</f>
        <v>1164</v>
      </c>
      <c r="F139">
        <f>VLOOKUP($C139,'2000 Place'!$C$2:$Y$523,7,FALSE)</f>
        <v>77</v>
      </c>
      <c r="G139">
        <f>VLOOKUP($C139,'2000 Place'!$C$2:$Y$523,8,FALSE)</f>
        <v>1057</v>
      </c>
      <c r="H139">
        <f>VLOOKUP($C139,'2000 Place'!$C$2:$Y$523,9,FALSE)</f>
        <v>32</v>
      </c>
      <c r="I139">
        <f>VLOOKUP($C139,'2000 Place'!$C$2:$Y$523,10,FALSE)</f>
        <v>5</v>
      </c>
      <c r="J139">
        <f>VLOOKUP($C139,'2000 Place'!$C$2:$Y$523,11,FALSE)</f>
        <v>0</v>
      </c>
      <c r="K139">
        <f>VLOOKUP($C139,'2000 Place'!$C$2:$Y$523,12,FALSE)</f>
        <v>4</v>
      </c>
      <c r="L139">
        <f>VLOOKUP($C139,'2000 Place'!$C$2:$Y$523,13,FALSE)</f>
        <v>0</v>
      </c>
      <c r="M139">
        <f>VLOOKUP($C139,'2000 Place'!$C$2:$Y$523,14,FALSE)</f>
        <v>21</v>
      </c>
      <c r="N139">
        <f>VLOOKUP($C139,'2000 Place'!$C$2:$Y$523,15,FALSE)</f>
        <v>0</v>
      </c>
      <c r="O139">
        <f>VLOOKUP($C139,'2000 Place'!$C$2:$Y$523,16,FALSE)</f>
        <v>9</v>
      </c>
      <c r="P139">
        <f>VLOOKUP($C139,'2000 Place'!$C$2:$Y$523,17,FALSE)</f>
        <v>5</v>
      </c>
      <c r="Q139">
        <f>VLOOKUP($C139,'2000 Place'!$C$2:$Y$523,18,FALSE)</f>
        <v>0</v>
      </c>
      <c r="R139">
        <f>VLOOKUP($C139,'2000 Place'!$C$2:$Y$523,19,FALSE)</f>
        <v>0</v>
      </c>
      <c r="S139">
        <f>VLOOKUP($C139,'2000 Place'!$C$2:$Y$523,20,FALSE)</f>
        <v>29</v>
      </c>
      <c r="T139">
        <f>VLOOKUP($C139,'2000 Place'!$C$2:$Y$523,21,FALSE)</f>
        <v>36</v>
      </c>
      <c r="U139">
        <f>VLOOKUP($C139,'2000 Place'!$C$2:$Y$523,22,FALSE)</f>
        <v>39</v>
      </c>
      <c r="V139">
        <f>VLOOKUP($C139,'2000 Place'!$C$2:$Y$523,23,FALSE)</f>
        <v>4</v>
      </c>
    </row>
    <row r="140" spans="1:22" x14ac:dyDescent="0.25">
      <c r="A140" t="s">
        <v>524</v>
      </c>
      <c r="B140">
        <v>5316585</v>
      </c>
      <c r="C140" t="s">
        <v>525</v>
      </c>
      <c r="D140" t="e">
        <f>VLOOKUP($C140,'2000 Place'!$C$2:$Y$523,5,FALSE)</f>
        <v>#N/A</v>
      </c>
      <c r="E140" t="e">
        <f>VLOOKUP($C140,'2000 Place'!$C$2:$Y$523,6,FALSE)</f>
        <v>#N/A</v>
      </c>
      <c r="F140" t="e">
        <f>VLOOKUP($C140,'2000 Place'!$C$2:$Y$523,7,FALSE)</f>
        <v>#N/A</v>
      </c>
      <c r="G140" t="e">
        <f>VLOOKUP($C140,'2000 Place'!$C$2:$Y$523,8,FALSE)</f>
        <v>#N/A</v>
      </c>
      <c r="H140" t="e">
        <f>VLOOKUP($C140,'2000 Place'!$C$2:$Y$523,9,FALSE)</f>
        <v>#N/A</v>
      </c>
      <c r="I140" t="e">
        <f>VLOOKUP($C140,'2000 Place'!$C$2:$Y$523,10,FALSE)</f>
        <v>#N/A</v>
      </c>
      <c r="J140" t="e">
        <f>VLOOKUP($C140,'2000 Place'!$C$2:$Y$523,11,FALSE)</f>
        <v>#N/A</v>
      </c>
      <c r="K140" t="e">
        <f>VLOOKUP($C140,'2000 Place'!$C$2:$Y$523,12,FALSE)</f>
        <v>#N/A</v>
      </c>
      <c r="L140" t="e">
        <f>VLOOKUP($C140,'2000 Place'!$C$2:$Y$523,13,FALSE)</f>
        <v>#N/A</v>
      </c>
      <c r="M140" t="e">
        <f>VLOOKUP($C140,'2000 Place'!$C$2:$Y$523,14,FALSE)</f>
        <v>#N/A</v>
      </c>
      <c r="N140" t="e">
        <f>VLOOKUP($C140,'2000 Place'!$C$2:$Y$523,15,FALSE)</f>
        <v>#N/A</v>
      </c>
      <c r="O140" t="e">
        <f>VLOOKUP($C140,'2000 Place'!$C$2:$Y$523,16,FALSE)</f>
        <v>#N/A</v>
      </c>
      <c r="P140" t="e">
        <f>VLOOKUP($C140,'2000 Place'!$C$2:$Y$523,17,FALSE)</f>
        <v>#N/A</v>
      </c>
      <c r="Q140" t="e">
        <f>VLOOKUP($C140,'2000 Place'!$C$2:$Y$523,18,FALSE)</f>
        <v>#N/A</v>
      </c>
      <c r="R140" t="e">
        <f>VLOOKUP($C140,'2000 Place'!$C$2:$Y$523,19,FALSE)</f>
        <v>#N/A</v>
      </c>
      <c r="S140" t="e">
        <f>VLOOKUP($C140,'2000 Place'!$C$2:$Y$523,20,FALSE)</f>
        <v>#N/A</v>
      </c>
      <c r="T140" t="e">
        <f>VLOOKUP($C140,'2000 Place'!$C$2:$Y$523,21,FALSE)</f>
        <v>#N/A</v>
      </c>
      <c r="U140" t="e">
        <f>VLOOKUP($C140,'2000 Place'!$C$2:$Y$523,22,FALSE)</f>
        <v>#N/A</v>
      </c>
      <c r="V140" t="e">
        <f>VLOOKUP($C140,'2000 Place'!$C$2:$Y$523,23,FALSE)</f>
        <v>#N/A</v>
      </c>
    </row>
    <row r="141" spans="1:22" x14ac:dyDescent="0.25">
      <c r="A141" t="s">
        <v>526</v>
      </c>
      <c r="B141">
        <v>5316690</v>
      </c>
      <c r="C141" t="s">
        <v>527</v>
      </c>
      <c r="D141">
        <f>VLOOKUP($C141,'2000 Place'!$C$2:$Y$523,5,FALSE)</f>
        <v>1169</v>
      </c>
      <c r="E141">
        <f>VLOOKUP($C141,'2000 Place'!$C$2:$Y$523,6,FALSE)</f>
        <v>1137</v>
      </c>
      <c r="F141">
        <f>VLOOKUP($C141,'2000 Place'!$C$2:$Y$523,7,FALSE)</f>
        <v>32</v>
      </c>
      <c r="G141">
        <f>VLOOKUP($C141,'2000 Place'!$C$2:$Y$523,8,FALSE)</f>
        <v>1083</v>
      </c>
      <c r="H141">
        <f>VLOOKUP($C141,'2000 Place'!$C$2:$Y$523,9,FALSE)</f>
        <v>27</v>
      </c>
      <c r="I141">
        <f>VLOOKUP($C141,'2000 Place'!$C$2:$Y$523,10,FALSE)</f>
        <v>5</v>
      </c>
      <c r="J141">
        <f>VLOOKUP($C141,'2000 Place'!$C$2:$Y$523,11,FALSE)</f>
        <v>5</v>
      </c>
      <c r="K141">
        <f>VLOOKUP($C141,'2000 Place'!$C$2:$Y$523,12,FALSE)</f>
        <v>0</v>
      </c>
      <c r="L141">
        <f>VLOOKUP($C141,'2000 Place'!$C$2:$Y$523,13,FALSE)</f>
        <v>0</v>
      </c>
      <c r="M141">
        <f>VLOOKUP($C141,'2000 Place'!$C$2:$Y$523,14,FALSE)</f>
        <v>17</v>
      </c>
      <c r="N141">
        <f>VLOOKUP($C141,'2000 Place'!$C$2:$Y$523,15,FALSE)</f>
        <v>0</v>
      </c>
      <c r="O141">
        <f>VLOOKUP($C141,'2000 Place'!$C$2:$Y$523,16,FALSE)</f>
        <v>3</v>
      </c>
      <c r="P141">
        <f>VLOOKUP($C141,'2000 Place'!$C$2:$Y$523,17,FALSE)</f>
        <v>0</v>
      </c>
      <c r="Q141">
        <f>VLOOKUP($C141,'2000 Place'!$C$2:$Y$523,18,FALSE)</f>
        <v>2</v>
      </c>
      <c r="R141">
        <f>VLOOKUP($C141,'2000 Place'!$C$2:$Y$523,19,FALSE)</f>
        <v>0</v>
      </c>
      <c r="S141">
        <f>VLOOKUP($C141,'2000 Place'!$C$2:$Y$523,20,FALSE)</f>
        <v>0</v>
      </c>
      <c r="T141">
        <f>VLOOKUP($C141,'2000 Place'!$C$2:$Y$523,21,FALSE)</f>
        <v>0</v>
      </c>
      <c r="U141">
        <f>VLOOKUP($C141,'2000 Place'!$C$2:$Y$523,22,FALSE)</f>
        <v>27</v>
      </c>
      <c r="V141">
        <f>VLOOKUP($C141,'2000 Place'!$C$2:$Y$523,23,FALSE)</f>
        <v>0</v>
      </c>
    </row>
    <row r="142" spans="1:22" x14ac:dyDescent="0.25">
      <c r="A142" t="s">
        <v>528</v>
      </c>
      <c r="B142">
        <v>5316760</v>
      </c>
      <c r="C142" t="s">
        <v>529</v>
      </c>
      <c r="D142" t="e">
        <f>VLOOKUP($C142,'2000 Place'!$C$2:$Y$523,5,FALSE)</f>
        <v>#N/A</v>
      </c>
      <c r="E142" t="e">
        <f>VLOOKUP($C142,'2000 Place'!$C$2:$Y$523,6,FALSE)</f>
        <v>#N/A</v>
      </c>
      <c r="F142" t="e">
        <f>VLOOKUP($C142,'2000 Place'!$C$2:$Y$523,7,FALSE)</f>
        <v>#N/A</v>
      </c>
      <c r="G142" t="e">
        <f>VLOOKUP($C142,'2000 Place'!$C$2:$Y$523,8,FALSE)</f>
        <v>#N/A</v>
      </c>
      <c r="H142" t="e">
        <f>VLOOKUP($C142,'2000 Place'!$C$2:$Y$523,9,FALSE)</f>
        <v>#N/A</v>
      </c>
      <c r="I142" t="e">
        <f>VLOOKUP($C142,'2000 Place'!$C$2:$Y$523,10,FALSE)</f>
        <v>#N/A</v>
      </c>
      <c r="J142" t="e">
        <f>VLOOKUP($C142,'2000 Place'!$C$2:$Y$523,11,FALSE)</f>
        <v>#N/A</v>
      </c>
      <c r="K142" t="e">
        <f>VLOOKUP($C142,'2000 Place'!$C$2:$Y$523,12,FALSE)</f>
        <v>#N/A</v>
      </c>
      <c r="L142" t="e">
        <f>VLOOKUP($C142,'2000 Place'!$C$2:$Y$523,13,FALSE)</f>
        <v>#N/A</v>
      </c>
      <c r="M142" t="e">
        <f>VLOOKUP($C142,'2000 Place'!$C$2:$Y$523,14,FALSE)</f>
        <v>#N/A</v>
      </c>
      <c r="N142" t="e">
        <f>VLOOKUP($C142,'2000 Place'!$C$2:$Y$523,15,FALSE)</f>
        <v>#N/A</v>
      </c>
      <c r="O142" t="e">
        <f>VLOOKUP($C142,'2000 Place'!$C$2:$Y$523,16,FALSE)</f>
        <v>#N/A</v>
      </c>
      <c r="P142" t="e">
        <f>VLOOKUP($C142,'2000 Place'!$C$2:$Y$523,17,FALSE)</f>
        <v>#N/A</v>
      </c>
      <c r="Q142" t="e">
        <f>VLOOKUP($C142,'2000 Place'!$C$2:$Y$523,18,FALSE)</f>
        <v>#N/A</v>
      </c>
      <c r="R142" t="e">
        <f>VLOOKUP($C142,'2000 Place'!$C$2:$Y$523,19,FALSE)</f>
        <v>#N/A</v>
      </c>
      <c r="S142" t="e">
        <f>VLOOKUP($C142,'2000 Place'!$C$2:$Y$523,20,FALSE)</f>
        <v>#N/A</v>
      </c>
      <c r="T142" t="e">
        <f>VLOOKUP($C142,'2000 Place'!$C$2:$Y$523,21,FALSE)</f>
        <v>#N/A</v>
      </c>
      <c r="U142" t="e">
        <f>VLOOKUP($C142,'2000 Place'!$C$2:$Y$523,22,FALSE)</f>
        <v>#N/A</v>
      </c>
      <c r="V142" t="e">
        <f>VLOOKUP($C142,'2000 Place'!$C$2:$Y$523,23,FALSE)</f>
        <v>#N/A</v>
      </c>
    </row>
    <row r="143" spans="1:22" x14ac:dyDescent="0.25">
      <c r="A143" t="s">
        <v>530</v>
      </c>
      <c r="B143">
        <v>5316795</v>
      </c>
      <c r="C143" t="s">
        <v>531</v>
      </c>
      <c r="D143">
        <f>VLOOKUP($C143,'2000 Place'!$C$2:$Y$523,5,FALSE)</f>
        <v>1738</v>
      </c>
      <c r="E143">
        <f>VLOOKUP($C143,'2000 Place'!$C$2:$Y$523,6,FALSE)</f>
        <v>1702</v>
      </c>
      <c r="F143">
        <f>VLOOKUP($C143,'2000 Place'!$C$2:$Y$523,7,FALSE)</f>
        <v>36</v>
      </c>
      <c r="G143">
        <f>VLOOKUP($C143,'2000 Place'!$C$2:$Y$523,8,FALSE)</f>
        <v>1633</v>
      </c>
      <c r="H143">
        <f>VLOOKUP($C143,'2000 Place'!$C$2:$Y$523,9,FALSE)</f>
        <v>32</v>
      </c>
      <c r="I143">
        <f>VLOOKUP($C143,'2000 Place'!$C$2:$Y$523,10,FALSE)</f>
        <v>15</v>
      </c>
      <c r="J143">
        <f>VLOOKUP($C143,'2000 Place'!$C$2:$Y$523,11,FALSE)</f>
        <v>0</v>
      </c>
      <c r="K143">
        <f>VLOOKUP($C143,'2000 Place'!$C$2:$Y$523,12,FALSE)</f>
        <v>4</v>
      </c>
      <c r="L143">
        <f>VLOOKUP($C143,'2000 Place'!$C$2:$Y$523,13,FALSE)</f>
        <v>0</v>
      </c>
      <c r="M143">
        <f>VLOOKUP($C143,'2000 Place'!$C$2:$Y$523,14,FALSE)</f>
        <v>15</v>
      </c>
      <c r="N143">
        <f>VLOOKUP($C143,'2000 Place'!$C$2:$Y$523,15,FALSE)</f>
        <v>2</v>
      </c>
      <c r="O143">
        <f>VLOOKUP($C143,'2000 Place'!$C$2:$Y$523,16,FALSE)</f>
        <v>0</v>
      </c>
      <c r="P143">
        <f>VLOOKUP($C143,'2000 Place'!$C$2:$Y$523,17,FALSE)</f>
        <v>0</v>
      </c>
      <c r="Q143">
        <f>VLOOKUP($C143,'2000 Place'!$C$2:$Y$523,18,FALSE)</f>
        <v>0</v>
      </c>
      <c r="R143">
        <f>VLOOKUP($C143,'2000 Place'!$C$2:$Y$523,19,FALSE)</f>
        <v>0</v>
      </c>
      <c r="S143">
        <f>VLOOKUP($C143,'2000 Place'!$C$2:$Y$523,20,FALSE)</f>
        <v>7</v>
      </c>
      <c r="T143">
        <f>VLOOKUP($C143,'2000 Place'!$C$2:$Y$523,21,FALSE)</f>
        <v>0</v>
      </c>
      <c r="U143">
        <f>VLOOKUP($C143,'2000 Place'!$C$2:$Y$523,22,FALSE)</f>
        <v>28</v>
      </c>
      <c r="V143">
        <f>VLOOKUP($C143,'2000 Place'!$C$2:$Y$523,23,FALSE)</f>
        <v>2</v>
      </c>
    </row>
    <row r="144" spans="1:22" x14ac:dyDescent="0.25">
      <c r="A144" t="s">
        <v>532</v>
      </c>
      <c r="B144">
        <v>5316970</v>
      </c>
      <c r="C144" t="s">
        <v>533</v>
      </c>
      <c r="D144">
        <f>VLOOKUP($C144,'2000 Place'!$C$2:$Y$523,5,FALSE)</f>
        <v>2650</v>
      </c>
      <c r="E144">
        <f>VLOOKUP($C144,'2000 Place'!$C$2:$Y$523,6,FALSE)</f>
        <v>2520</v>
      </c>
      <c r="F144">
        <f>VLOOKUP($C144,'2000 Place'!$C$2:$Y$523,7,FALSE)</f>
        <v>130</v>
      </c>
      <c r="G144">
        <f>VLOOKUP($C144,'2000 Place'!$C$2:$Y$523,8,FALSE)</f>
        <v>2275</v>
      </c>
      <c r="H144">
        <f>VLOOKUP($C144,'2000 Place'!$C$2:$Y$523,9,FALSE)</f>
        <v>36</v>
      </c>
      <c r="I144">
        <f>VLOOKUP($C144,'2000 Place'!$C$2:$Y$523,10,FALSE)</f>
        <v>77</v>
      </c>
      <c r="J144">
        <f>VLOOKUP($C144,'2000 Place'!$C$2:$Y$523,11,FALSE)</f>
        <v>12</v>
      </c>
      <c r="K144">
        <f>VLOOKUP($C144,'2000 Place'!$C$2:$Y$523,12,FALSE)</f>
        <v>0</v>
      </c>
      <c r="L144">
        <f>VLOOKUP($C144,'2000 Place'!$C$2:$Y$523,13,FALSE)</f>
        <v>0</v>
      </c>
      <c r="M144">
        <f>VLOOKUP($C144,'2000 Place'!$C$2:$Y$523,14,FALSE)</f>
        <v>23</v>
      </c>
      <c r="N144">
        <f>VLOOKUP($C144,'2000 Place'!$C$2:$Y$523,15,FALSE)</f>
        <v>0</v>
      </c>
      <c r="O144">
        <f>VLOOKUP($C144,'2000 Place'!$C$2:$Y$523,16,FALSE)</f>
        <v>11</v>
      </c>
      <c r="P144">
        <f>VLOOKUP($C144,'2000 Place'!$C$2:$Y$523,17,FALSE)</f>
        <v>14</v>
      </c>
      <c r="Q144">
        <f>VLOOKUP($C144,'2000 Place'!$C$2:$Y$523,18,FALSE)</f>
        <v>0</v>
      </c>
      <c r="R144">
        <f>VLOOKUP($C144,'2000 Place'!$C$2:$Y$523,19,FALSE)</f>
        <v>0</v>
      </c>
      <c r="S144">
        <f>VLOOKUP($C144,'2000 Place'!$C$2:$Y$523,20,FALSE)</f>
        <v>80</v>
      </c>
      <c r="T144">
        <f>VLOOKUP($C144,'2000 Place'!$C$2:$Y$523,21,FALSE)</f>
        <v>65</v>
      </c>
      <c r="U144">
        <f>VLOOKUP($C144,'2000 Place'!$C$2:$Y$523,22,FALSE)</f>
        <v>54</v>
      </c>
      <c r="V144">
        <f>VLOOKUP($C144,'2000 Place'!$C$2:$Y$523,23,FALSE)</f>
        <v>3</v>
      </c>
    </row>
    <row r="145" spans="1:22" x14ac:dyDescent="0.25">
      <c r="A145" t="s">
        <v>534</v>
      </c>
      <c r="B145">
        <v>5317215</v>
      </c>
      <c r="C145" t="s">
        <v>535</v>
      </c>
      <c r="D145" t="e">
        <f>VLOOKUP($C145,'2000 Place'!$C$2:$Y$523,5,FALSE)</f>
        <v>#N/A</v>
      </c>
      <c r="E145" t="e">
        <f>VLOOKUP($C145,'2000 Place'!$C$2:$Y$523,6,FALSE)</f>
        <v>#N/A</v>
      </c>
      <c r="F145" t="e">
        <f>VLOOKUP($C145,'2000 Place'!$C$2:$Y$523,7,FALSE)</f>
        <v>#N/A</v>
      </c>
      <c r="G145" t="e">
        <f>VLOOKUP($C145,'2000 Place'!$C$2:$Y$523,8,FALSE)</f>
        <v>#N/A</v>
      </c>
      <c r="H145" t="e">
        <f>VLOOKUP($C145,'2000 Place'!$C$2:$Y$523,9,FALSE)</f>
        <v>#N/A</v>
      </c>
      <c r="I145" t="e">
        <f>VLOOKUP($C145,'2000 Place'!$C$2:$Y$523,10,FALSE)</f>
        <v>#N/A</v>
      </c>
      <c r="J145" t="e">
        <f>VLOOKUP($C145,'2000 Place'!$C$2:$Y$523,11,FALSE)</f>
        <v>#N/A</v>
      </c>
      <c r="K145" t="e">
        <f>VLOOKUP($C145,'2000 Place'!$C$2:$Y$523,12,FALSE)</f>
        <v>#N/A</v>
      </c>
      <c r="L145" t="e">
        <f>VLOOKUP($C145,'2000 Place'!$C$2:$Y$523,13,FALSE)</f>
        <v>#N/A</v>
      </c>
      <c r="M145" t="e">
        <f>VLOOKUP($C145,'2000 Place'!$C$2:$Y$523,14,FALSE)</f>
        <v>#N/A</v>
      </c>
      <c r="N145" t="e">
        <f>VLOOKUP($C145,'2000 Place'!$C$2:$Y$523,15,FALSE)</f>
        <v>#N/A</v>
      </c>
      <c r="O145" t="e">
        <f>VLOOKUP($C145,'2000 Place'!$C$2:$Y$523,16,FALSE)</f>
        <v>#N/A</v>
      </c>
      <c r="P145" t="e">
        <f>VLOOKUP($C145,'2000 Place'!$C$2:$Y$523,17,FALSE)</f>
        <v>#N/A</v>
      </c>
      <c r="Q145" t="e">
        <f>VLOOKUP($C145,'2000 Place'!$C$2:$Y$523,18,FALSE)</f>
        <v>#N/A</v>
      </c>
      <c r="R145" t="e">
        <f>VLOOKUP($C145,'2000 Place'!$C$2:$Y$523,19,FALSE)</f>
        <v>#N/A</v>
      </c>
      <c r="S145" t="e">
        <f>VLOOKUP($C145,'2000 Place'!$C$2:$Y$523,20,FALSE)</f>
        <v>#N/A</v>
      </c>
      <c r="T145" t="e">
        <f>VLOOKUP($C145,'2000 Place'!$C$2:$Y$523,21,FALSE)</f>
        <v>#N/A</v>
      </c>
      <c r="U145" t="e">
        <f>VLOOKUP($C145,'2000 Place'!$C$2:$Y$523,22,FALSE)</f>
        <v>#N/A</v>
      </c>
      <c r="V145" t="e">
        <f>VLOOKUP($C145,'2000 Place'!$C$2:$Y$523,23,FALSE)</f>
        <v>#N/A</v>
      </c>
    </row>
    <row r="146" spans="1:22" x14ac:dyDescent="0.25">
      <c r="A146" t="s">
        <v>536</v>
      </c>
      <c r="B146">
        <v>5317320</v>
      </c>
      <c r="C146" t="s">
        <v>537</v>
      </c>
      <c r="D146">
        <f>VLOOKUP($C146,'2000 Place'!$C$2:$Y$523,5,FALSE)</f>
        <v>3028</v>
      </c>
      <c r="E146">
        <f>VLOOKUP($C146,'2000 Place'!$C$2:$Y$523,6,FALSE)</f>
        <v>2954</v>
      </c>
      <c r="F146">
        <f>VLOOKUP($C146,'2000 Place'!$C$2:$Y$523,7,FALSE)</f>
        <v>74</v>
      </c>
      <c r="G146">
        <f>VLOOKUP($C146,'2000 Place'!$C$2:$Y$523,8,FALSE)</f>
        <v>2780</v>
      </c>
      <c r="H146">
        <f>VLOOKUP($C146,'2000 Place'!$C$2:$Y$523,9,FALSE)</f>
        <v>59</v>
      </c>
      <c r="I146">
        <f>VLOOKUP($C146,'2000 Place'!$C$2:$Y$523,10,FALSE)</f>
        <v>29</v>
      </c>
      <c r="J146">
        <f>VLOOKUP($C146,'2000 Place'!$C$2:$Y$523,11,FALSE)</f>
        <v>5</v>
      </c>
      <c r="K146">
        <f>VLOOKUP($C146,'2000 Place'!$C$2:$Y$523,12,FALSE)</f>
        <v>4</v>
      </c>
      <c r="L146">
        <f>VLOOKUP($C146,'2000 Place'!$C$2:$Y$523,13,FALSE)</f>
        <v>0</v>
      </c>
      <c r="M146">
        <f>VLOOKUP($C146,'2000 Place'!$C$2:$Y$523,14,FALSE)</f>
        <v>45</v>
      </c>
      <c r="N146">
        <f>VLOOKUP($C146,'2000 Place'!$C$2:$Y$523,15,FALSE)</f>
        <v>0</v>
      </c>
      <c r="O146">
        <f>VLOOKUP($C146,'2000 Place'!$C$2:$Y$523,16,FALSE)</f>
        <v>0</v>
      </c>
      <c r="P146">
        <f>VLOOKUP($C146,'2000 Place'!$C$2:$Y$523,17,FALSE)</f>
        <v>0</v>
      </c>
      <c r="Q146">
        <f>VLOOKUP($C146,'2000 Place'!$C$2:$Y$523,18,FALSE)</f>
        <v>0</v>
      </c>
      <c r="R146">
        <f>VLOOKUP($C146,'2000 Place'!$C$2:$Y$523,19,FALSE)</f>
        <v>0</v>
      </c>
      <c r="S146">
        <f>VLOOKUP($C146,'2000 Place'!$C$2:$Y$523,20,FALSE)</f>
        <v>34</v>
      </c>
      <c r="T146">
        <f>VLOOKUP($C146,'2000 Place'!$C$2:$Y$523,21,FALSE)</f>
        <v>10</v>
      </c>
      <c r="U146">
        <f>VLOOKUP($C146,'2000 Place'!$C$2:$Y$523,22,FALSE)</f>
        <v>62</v>
      </c>
      <c r="V146">
        <f>VLOOKUP($C146,'2000 Place'!$C$2:$Y$523,23,FALSE)</f>
        <v>0</v>
      </c>
    </row>
    <row r="147" spans="1:22" x14ac:dyDescent="0.25">
      <c r="A147" t="s">
        <v>538</v>
      </c>
      <c r="B147">
        <v>5317495</v>
      </c>
      <c r="C147" t="s">
        <v>539</v>
      </c>
      <c r="D147">
        <f>VLOOKUP($C147,'2000 Place'!$C$2:$Y$523,5,FALSE)</f>
        <v>181</v>
      </c>
      <c r="E147">
        <f>VLOOKUP($C147,'2000 Place'!$C$2:$Y$523,6,FALSE)</f>
        <v>179</v>
      </c>
      <c r="F147">
        <f>VLOOKUP($C147,'2000 Place'!$C$2:$Y$523,7,FALSE)</f>
        <v>2</v>
      </c>
      <c r="G147">
        <f>VLOOKUP($C147,'2000 Place'!$C$2:$Y$523,8,FALSE)</f>
        <v>179</v>
      </c>
      <c r="H147">
        <f>VLOOKUP($C147,'2000 Place'!$C$2:$Y$523,9,FALSE)</f>
        <v>0</v>
      </c>
      <c r="I147">
        <f>VLOOKUP($C147,'2000 Place'!$C$2:$Y$523,10,FALSE)</f>
        <v>0</v>
      </c>
      <c r="J147">
        <f>VLOOKUP($C147,'2000 Place'!$C$2:$Y$523,11,FALSE)</f>
        <v>0</v>
      </c>
      <c r="K147">
        <f>VLOOKUP($C147,'2000 Place'!$C$2:$Y$523,12,FALSE)</f>
        <v>0</v>
      </c>
      <c r="L147">
        <f>VLOOKUP($C147,'2000 Place'!$C$2:$Y$523,13,FALSE)</f>
        <v>0</v>
      </c>
      <c r="M147">
        <f>VLOOKUP($C147,'2000 Place'!$C$2:$Y$523,14,FALSE)</f>
        <v>0</v>
      </c>
      <c r="N147">
        <f>VLOOKUP($C147,'2000 Place'!$C$2:$Y$523,15,FALSE)</f>
        <v>0</v>
      </c>
      <c r="O147">
        <f>VLOOKUP($C147,'2000 Place'!$C$2:$Y$523,16,FALSE)</f>
        <v>0</v>
      </c>
      <c r="P147">
        <f>VLOOKUP($C147,'2000 Place'!$C$2:$Y$523,17,FALSE)</f>
        <v>0</v>
      </c>
      <c r="Q147">
        <f>VLOOKUP($C147,'2000 Place'!$C$2:$Y$523,18,FALSE)</f>
        <v>0</v>
      </c>
      <c r="R147">
        <f>VLOOKUP($C147,'2000 Place'!$C$2:$Y$523,19,FALSE)</f>
        <v>0</v>
      </c>
      <c r="S147">
        <f>VLOOKUP($C147,'2000 Place'!$C$2:$Y$523,20,FALSE)</f>
        <v>0</v>
      </c>
      <c r="T147">
        <f>VLOOKUP($C147,'2000 Place'!$C$2:$Y$523,21,FALSE)</f>
        <v>2</v>
      </c>
      <c r="U147">
        <f>VLOOKUP($C147,'2000 Place'!$C$2:$Y$523,22,FALSE)</f>
        <v>0</v>
      </c>
      <c r="V147">
        <f>VLOOKUP($C147,'2000 Place'!$C$2:$Y$523,23,FALSE)</f>
        <v>0</v>
      </c>
    </row>
    <row r="148" spans="1:22" x14ac:dyDescent="0.25">
      <c r="A148" t="s">
        <v>540</v>
      </c>
      <c r="B148">
        <v>5317617</v>
      </c>
      <c r="C148" t="s">
        <v>541</v>
      </c>
      <c r="D148">
        <f>VLOOKUP($C148,'2000 Place'!$C$2:$Y$523,5,FALSE)</f>
        <v>1421</v>
      </c>
      <c r="E148">
        <f>VLOOKUP($C148,'2000 Place'!$C$2:$Y$523,6,FALSE)</f>
        <v>946</v>
      </c>
      <c r="F148">
        <f>VLOOKUP($C148,'2000 Place'!$C$2:$Y$523,7,FALSE)</f>
        <v>475</v>
      </c>
      <c r="G148">
        <f>VLOOKUP($C148,'2000 Place'!$C$2:$Y$523,8,FALSE)</f>
        <v>586</v>
      </c>
      <c r="H148">
        <f>VLOOKUP($C148,'2000 Place'!$C$2:$Y$523,9,FALSE)</f>
        <v>0</v>
      </c>
      <c r="I148">
        <f>VLOOKUP($C148,'2000 Place'!$C$2:$Y$523,10,FALSE)</f>
        <v>111</v>
      </c>
      <c r="J148">
        <f>VLOOKUP($C148,'2000 Place'!$C$2:$Y$523,11,FALSE)</f>
        <v>116</v>
      </c>
      <c r="K148">
        <f>VLOOKUP($C148,'2000 Place'!$C$2:$Y$523,12,FALSE)</f>
        <v>0</v>
      </c>
      <c r="L148">
        <f>VLOOKUP($C148,'2000 Place'!$C$2:$Y$523,13,FALSE)</f>
        <v>0</v>
      </c>
      <c r="M148">
        <f>VLOOKUP($C148,'2000 Place'!$C$2:$Y$523,14,FALSE)</f>
        <v>0</v>
      </c>
      <c r="N148">
        <f>VLOOKUP($C148,'2000 Place'!$C$2:$Y$523,15,FALSE)</f>
        <v>0</v>
      </c>
      <c r="O148">
        <f>VLOOKUP($C148,'2000 Place'!$C$2:$Y$523,16,FALSE)</f>
        <v>0</v>
      </c>
      <c r="P148">
        <f>VLOOKUP($C148,'2000 Place'!$C$2:$Y$523,17,FALSE)</f>
        <v>0</v>
      </c>
      <c r="Q148">
        <f>VLOOKUP($C148,'2000 Place'!$C$2:$Y$523,18,FALSE)</f>
        <v>0</v>
      </c>
      <c r="R148">
        <f>VLOOKUP($C148,'2000 Place'!$C$2:$Y$523,19,FALSE)</f>
        <v>0</v>
      </c>
      <c r="S148">
        <f>VLOOKUP($C148,'2000 Place'!$C$2:$Y$523,20,FALSE)</f>
        <v>226</v>
      </c>
      <c r="T148">
        <f>VLOOKUP($C148,'2000 Place'!$C$2:$Y$523,21,FALSE)</f>
        <v>359</v>
      </c>
      <c r="U148">
        <f>VLOOKUP($C148,'2000 Place'!$C$2:$Y$523,22,FALSE)</f>
        <v>23</v>
      </c>
      <c r="V148">
        <f>VLOOKUP($C148,'2000 Place'!$C$2:$Y$523,23,FALSE)</f>
        <v>0</v>
      </c>
    </row>
    <row r="149" spans="1:22" x14ac:dyDescent="0.25">
      <c r="A149" t="s">
        <v>542</v>
      </c>
      <c r="B149">
        <v>5317635</v>
      </c>
      <c r="C149" t="s">
        <v>543</v>
      </c>
      <c r="D149">
        <f>VLOOKUP($C149,'2000 Place'!$C$2:$Y$523,5,FALSE)</f>
        <v>29409</v>
      </c>
      <c r="E149">
        <f>VLOOKUP($C149,'2000 Place'!$C$2:$Y$523,6,FALSE)</f>
        <v>25399</v>
      </c>
      <c r="F149">
        <f>VLOOKUP($C149,'2000 Place'!$C$2:$Y$523,7,FALSE)</f>
        <v>4010</v>
      </c>
      <c r="G149">
        <f>VLOOKUP($C149,'2000 Place'!$C$2:$Y$523,8,FALSE)</f>
        <v>20304</v>
      </c>
      <c r="H149">
        <f>VLOOKUP($C149,'2000 Place'!$C$2:$Y$523,9,FALSE)</f>
        <v>958</v>
      </c>
      <c r="I149">
        <f>VLOOKUP($C149,'2000 Place'!$C$2:$Y$523,10,FALSE)</f>
        <v>497</v>
      </c>
      <c r="J149">
        <f>VLOOKUP($C149,'2000 Place'!$C$2:$Y$523,11,FALSE)</f>
        <v>203</v>
      </c>
      <c r="K149">
        <f>VLOOKUP($C149,'2000 Place'!$C$2:$Y$523,12,FALSE)</f>
        <v>1948</v>
      </c>
      <c r="L149">
        <f>VLOOKUP($C149,'2000 Place'!$C$2:$Y$523,13,FALSE)</f>
        <v>216</v>
      </c>
      <c r="M149">
        <f>VLOOKUP($C149,'2000 Place'!$C$2:$Y$523,14,FALSE)</f>
        <v>188</v>
      </c>
      <c r="N149">
        <f>VLOOKUP($C149,'2000 Place'!$C$2:$Y$523,15,FALSE)</f>
        <v>29</v>
      </c>
      <c r="O149">
        <f>VLOOKUP($C149,'2000 Place'!$C$2:$Y$523,16,FALSE)</f>
        <v>854</v>
      </c>
      <c r="P149">
        <f>VLOOKUP($C149,'2000 Place'!$C$2:$Y$523,17,FALSE)</f>
        <v>1611</v>
      </c>
      <c r="Q149">
        <f>VLOOKUP($C149,'2000 Place'!$C$2:$Y$523,18,FALSE)</f>
        <v>127</v>
      </c>
      <c r="R149">
        <f>VLOOKUP($C149,'2000 Place'!$C$2:$Y$523,19,FALSE)</f>
        <v>263</v>
      </c>
      <c r="S149">
        <f>VLOOKUP($C149,'2000 Place'!$C$2:$Y$523,20,FALSE)</f>
        <v>345</v>
      </c>
      <c r="T149">
        <f>VLOOKUP($C149,'2000 Place'!$C$2:$Y$523,21,FALSE)</f>
        <v>572</v>
      </c>
      <c r="U149">
        <f>VLOOKUP($C149,'2000 Place'!$C$2:$Y$523,22,FALSE)</f>
        <v>1136</v>
      </c>
      <c r="V149">
        <f>VLOOKUP($C149,'2000 Place'!$C$2:$Y$523,23,FALSE)</f>
        <v>158</v>
      </c>
    </row>
    <row r="150" spans="1:22" x14ac:dyDescent="0.25">
      <c r="A150" t="s">
        <v>544</v>
      </c>
      <c r="B150">
        <v>5317880</v>
      </c>
      <c r="C150" t="s">
        <v>545</v>
      </c>
      <c r="D150" t="e">
        <f>VLOOKUP($C150,'2000 Place'!$C$2:$Y$523,5,FALSE)</f>
        <v>#N/A</v>
      </c>
      <c r="E150" t="e">
        <f>VLOOKUP($C150,'2000 Place'!$C$2:$Y$523,6,FALSE)</f>
        <v>#N/A</v>
      </c>
      <c r="F150" t="e">
        <f>VLOOKUP($C150,'2000 Place'!$C$2:$Y$523,7,FALSE)</f>
        <v>#N/A</v>
      </c>
      <c r="G150" t="e">
        <f>VLOOKUP($C150,'2000 Place'!$C$2:$Y$523,8,FALSE)</f>
        <v>#N/A</v>
      </c>
      <c r="H150" t="e">
        <f>VLOOKUP($C150,'2000 Place'!$C$2:$Y$523,9,FALSE)</f>
        <v>#N/A</v>
      </c>
      <c r="I150" t="e">
        <f>VLOOKUP($C150,'2000 Place'!$C$2:$Y$523,10,FALSE)</f>
        <v>#N/A</v>
      </c>
      <c r="J150" t="e">
        <f>VLOOKUP($C150,'2000 Place'!$C$2:$Y$523,11,FALSE)</f>
        <v>#N/A</v>
      </c>
      <c r="K150" t="e">
        <f>VLOOKUP($C150,'2000 Place'!$C$2:$Y$523,12,FALSE)</f>
        <v>#N/A</v>
      </c>
      <c r="L150" t="e">
        <f>VLOOKUP($C150,'2000 Place'!$C$2:$Y$523,13,FALSE)</f>
        <v>#N/A</v>
      </c>
      <c r="M150" t="e">
        <f>VLOOKUP($C150,'2000 Place'!$C$2:$Y$523,14,FALSE)</f>
        <v>#N/A</v>
      </c>
      <c r="N150" t="e">
        <f>VLOOKUP($C150,'2000 Place'!$C$2:$Y$523,15,FALSE)</f>
        <v>#N/A</v>
      </c>
      <c r="O150" t="e">
        <f>VLOOKUP($C150,'2000 Place'!$C$2:$Y$523,16,FALSE)</f>
        <v>#N/A</v>
      </c>
      <c r="P150" t="e">
        <f>VLOOKUP($C150,'2000 Place'!$C$2:$Y$523,17,FALSE)</f>
        <v>#N/A</v>
      </c>
      <c r="Q150" t="e">
        <f>VLOOKUP($C150,'2000 Place'!$C$2:$Y$523,18,FALSE)</f>
        <v>#N/A</v>
      </c>
      <c r="R150" t="e">
        <f>VLOOKUP($C150,'2000 Place'!$C$2:$Y$523,19,FALSE)</f>
        <v>#N/A</v>
      </c>
      <c r="S150" t="e">
        <f>VLOOKUP($C150,'2000 Place'!$C$2:$Y$523,20,FALSE)</f>
        <v>#N/A</v>
      </c>
      <c r="T150" t="e">
        <f>VLOOKUP($C150,'2000 Place'!$C$2:$Y$523,21,FALSE)</f>
        <v>#N/A</v>
      </c>
      <c r="U150" t="e">
        <f>VLOOKUP($C150,'2000 Place'!$C$2:$Y$523,22,FALSE)</f>
        <v>#N/A</v>
      </c>
      <c r="V150" t="e">
        <f>VLOOKUP($C150,'2000 Place'!$C$2:$Y$523,23,FALSE)</f>
        <v>#N/A</v>
      </c>
    </row>
    <row r="151" spans="1:22" x14ac:dyDescent="0.25">
      <c r="A151" t="s">
        <v>546</v>
      </c>
      <c r="B151">
        <v>5318055</v>
      </c>
      <c r="C151" t="s">
        <v>547</v>
      </c>
      <c r="D151">
        <f>VLOOKUP($C151,'2000 Place'!$C$2:$Y$523,5,FALSE)</f>
        <v>214</v>
      </c>
      <c r="E151">
        <f>VLOOKUP($C151,'2000 Place'!$C$2:$Y$523,6,FALSE)</f>
        <v>214</v>
      </c>
      <c r="F151">
        <f>VLOOKUP($C151,'2000 Place'!$C$2:$Y$523,7,FALSE)</f>
        <v>0</v>
      </c>
      <c r="G151">
        <f>VLOOKUP($C151,'2000 Place'!$C$2:$Y$523,8,FALSE)</f>
        <v>209</v>
      </c>
      <c r="H151">
        <f>VLOOKUP($C151,'2000 Place'!$C$2:$Y$523,9,FALSE)</f>
        <v>0</v>
      </c>
      <c r="I151">
        <f>VLOOKUP($C151,'2000 Place'!$C$2:$Y$523,10,FALSE)</f>
        <v>0</v>
      </c>
      <c r="J151">
        <f>VLOOKUP($C151,'2000 Place'!$C$2:$Y$523,11,FALSE)</f>
        <v>0</v>
      </c>
      <c r="K151">
        <f>VLOOKUP($C151,'2000 Place'!$C$2:$Y$523,12,FALSE)</f>
        <v>0</v>
      </c>
      <c r="L151">
        <f>VLOOKUP($C151,'2000 Place'!$C$2:$Y$523,13,FALSE)</f>
        <v>0</v>
      </c>
      <c r="M151">
        <f>VLOOKUP($C151,'2000 Place'!$C$2:$Y$523,14,FALSE)</f>
        <v>0</v>
      </c>
      <c r="N151">
        <f>VLOOKUP($C151,'2000 Place'!$C$2:$Y$523,15,FALSE)</f>
        <v>0</v>
      </c>
      <c r="O151">
        <f>VLOOKUP($C151,'2000 Place'!$C$2:$Y$523,16,FALSE)</f>
        <v>0</v>
      </c>
      <c r="P151">
        <f>VLOOKUP($C151,'2000 Place'!$C$2:$Y$523,17,FALSE)</f>
        <v>0</v>
      </c>
      <c r="Q151">
        <f>VLOOKUP($C151,'2000 Place'!$C$2:$Y$523,18,FALSE)</f>
        <v>0</v>
      </c>
      <c r="R151">
        <f>VLOOKUP($C151,'2000 Place'!$C$2:$Y$523,19,FALSE)</f>
        <v>0</v>
      </c>
      <c r="S151">
        <f>VLOOKUP($C151,'2000 Place'!$C$2:$Y$523,20,FALSE)</f>
        <v>0</v>
      </c>
      <c r="T151">
        <f>VLOOKUP($C151,'2000 Place'!$C$2:$Y$523,21,FALSE)</f>
        <v>0</v>
      </c>
      <c r="U151">
        <f>VLOOKUP($C151,'2000 Place'!$C$2:$Y$523,22,FALSE)</f>
        <v>5</v>
      </c>
      <c r="V151">
        <f>VLOOKUP($C151,'2000 Place'!$C$2:$Y$523,23,FALSE)</f>
        <v>0</v>
      </c>
    </row>
    <row r="152" spans="1:22" x14ac:dyDescent="0.25">
      <c r="A152" t="s">
        <v>548</v>
      </c>
      <c r="B152">
        <v>5318198</v>
      </c>
      <c r="C152" t="s">
        <v>549</v>
      </c>
      <c r="D152" t="e">
        <f>VLOOKUP($C152,'2000 Place'!$C$2:$Y$523,5,FALSE)</f>
        <v>#N/A</v>
      </c>
      <c r="E152" t="e">
        <f>VLOOKUP($C152,'2000 Place'!$C$2:$Y$523,6,FALSE)</f>
        <v>#N/A</v>
      </c>
      <c r="F152" t="e">
        <f>VLOOKUP($C152,'2000 Place'!$C$2:$Y$523,7,FALSE)</f>
        <v>#N/A</v>
      </c>
      <c r="G152" t="e">
        <f>VLOOKUP($C152,'2000 Place'!$C$2:$Y$523,8,FALSE)</f>
        <v>#N/A</v>
      </c>
      <c r="H152" t="e">
        <f>VLOOKUP($C152,'2000 Place'!$C$2:$Y$523,9,FALSE)</f>
        <v>#N/A</v>
      </c>
      <c r="I152" t="e">
        <f>VLOOKUP($C152,'2000 Place'!$C$2:$Y$523,10,FALSE)</f>
        <v>#N/A</v>
      </c>
      <c r="J152" t="e">
        <f>VLOOKUP($C152,'2000 Place'!$C$2:$Y$523,11,FALSE)</f>
        <v>#N/A</v>
      </c>
      <c r="K152" t="e">
        <f>VLOOKUP($C152,'2000 Place'!$C$2:$Y$523,12,FALSE)</f>
        <v>#N/A</v>
      </c>
      <c r="L152" t="e">
        <f>VLOOKUP($C152,'2000 Place'!$C$2:$Y$523,13,FALSE)</f>
        <v>#N/A</v>
      </c>
      <c r="M152" t="e">
        <f>VLOOKUP($C152,'2000 Place'!$C$2:$Y$523,14,FALSE)</f>
        <v>#N/A</v>
      </c>
      <c r="N152" t="e">
        <f>VLOOKUP($C152,'2000 Place'!$C$2:$Y$523,15,FALSE)</f>
        <v>#N/A</v>
      </c>
      <c r="O152" t="e">
        <f>VLOOKUP($C152,'2000 Place'!$C$2:$Y$523,16,FALSE)</f>
        <v>#N/A</v>
      </c>
      <c r="P152" t="e">
        <f>VLOOKUP($C152,'2000 Place'!$C$2:$Y$523,17,FALSE)</f>
        <v>#N/A</v>
      </c>
      <c r="Q152" t="e">
        <f>VLOOKUP($C152,'2000 Place'!$C$2:$Y$523,18,FALSE)</f>
        <v>#N/A</v>
      </c>
      <c r="R152" t="e">
        <f>VLOOKUP($C152,'2000 Place'!$C$2:$Y$523,19,FALSE)</f>
        <v>#N/A</v>
      </c>
      <c r="S152" t="e">
        <f>VLOOKUP($C152,'2000 Place'!$C$2:$Y$523,20,FALSE)</f>
        <v>#N/A</v>
      </c>
      <c r="T152" t="e">
        <f>VLOOKUP($C152,'2000 Place'!$C$2:$Y$523,21,FALSE)</f>
        <v>#N/A</v>
      </c>
      <c r="U152" t="e">
        <f>VLOOKUP($C152,'2000 Place'!$C$2:$Y$523,22,FALSE)</f>
        <v>#N/A</v>
      </c>
      <c r="V152" t="e">
        <f>VLOOKUP($C152,'2000 Place'!$C$2:$Y$523,23,FALSE)</f>
        <v>#N/A</v>
      </c>
    </row>
    <row r="153" spans="1:22" x14ac:dyDescent="0.25">
      <c r="A153" t="s">
        <v>550</v>
      </c>
      <c r="B153">
        <v>5318265</v>
      </c>
      <c r="C153" t="s">
        <v>551</v>
      </c>
      <c r="D153" t="e">
        <f>VLOOKUP($C153,'2000 Place'!$C$2:$Y$523,5,FALSE)</f>
        <v>#N/A</v>
      </c>
      <c r="E153" t="e">
        <f>VLOOKUP($C153,'2000 Place'!$C$2:$Y$523,6,FALSE)</f>
        <v>#N/A</v>
      </c>
      <c r="F153" t="e">
        <f>VLOOKUP($C153,'2000 Place'!$C$2:$Y$523,7,FALSE)</f>
        <v>#N/A</v>
      </c>
      <c r="G153" t="e">
        <f>VLOOKUP($C153,'2000 Place'!$C$2:$Y$523,8,FALSE)</f>
        <v>#N/A</v>
      </c>
      <c r="H153" t="e">
        <f>VLOOKUP($C153,'2000 Place'!$C$2:$Y$523,9,FALSE)</f>
        <v>#N/A</v>
      </c>
      <c r="I153" t="e">
        <f>VLOOKUP($C153,'2000 Place'!$C$2:$Y$523,10,FALSE)</f>
        <v>#N/A</v>
      </c>
      <c r="J153" t="e">
        <f>VLOOKUP($C153,'2000 Place'!$C$2:$Y$523,11,FALSE)</f>
        <v>#N/A</v>
      </c>
      <c r="K153" t="e">
        <f>VLOOKUP($C153,'2000 Place'!$C$2:$Y$523,12,FALSE)</f>
        <v>#N/A</v>
      </c>
      <c r="L153" t="e">
        <f>VLOOKUP($C153,'2000 Place'!$C$2:$Y$523,13,FALSE)</f>
        <v>#N/A</v>
      </c>
      <c r="M153" t="e">
        <f>VLOOKUP($C153,'2000 Place'!$C$2:$Y$523,14,FALSE)</f>
        <v>#N/A</v>
      </c>
      <c r="N153" t="e">
        <f>VLOOKUP($C153,'2000 Place'!$C$2:$Y$523,15,FALSE)</f>
        <v>#N/A</v>
      </c>
      <c r="O153" t="e">
        <f>VLOOKUP($C153,'2000 Place'!$C$2:$Y$523,16,FALSE)</f>
        <v>#N/A</v>
      </c>
      <c r="P153" t="e">
        <f>VLOOKUP($C153,'2000 Place'!$C$2:$Y$523,17,FALSE)</f>
        <v>#N/A</v>
      </c>
      <c r="Q153" t="e">
        <f>VLOOKUP($C153,'2000 Place'!$C$2:$Y$523,18,FALSE)</f>
        <v>#N/A</v>
      </c>
      <c r="R153" t="e">
        <f>VLOOKUP($C153,'2000 Place'!$C$2:$Y$523,19,FALSE)</f>
        <v>#N/A</v>
      </c>
      <c r="S153" t="e">
        <f>VLOOKUP($C153,'2000 Place'!$C$2:$Y$523,20,FALSE)</f>
        <v>#N/A</v>
      </c>
      <c r="T153" t="e">
        <f>VLOOKUP($C153,'2000 Place'!$C$2:$Y$523,21,FALSE)</f>
        <v>#N/A</v>
      </c>
      <c r="U153" t="e">
        <f>VLOOKUP($C153,'2000 Place'!$C$2:$Y$523,22,FALSE)</f>
        <v>#N/A</v>
      </c>
      <c r="V153" t="e">
        <f>VLOOKUP($C153,'2000 Place'!$C$2:$Y$523,23,FALSE)</f>
        <v>#N/A</v>
      </c>
    </row>
    <row r="154" spans="1:22" x14ac:dyDescent="0.25">
      <c r="A154" t="s">
        <v>552</v>
      </c>
      <c r="B154">
        <v>5318775</v>
      </c>
      <c r="C154" t="s">
        <v>553</v>
      </c>
      <c r="D154" t="e">
        <f>VLOOKUP($C154,'2000 Place'!$C$2:$Y$523,5,FALSE)</f>
        <v>#N/A</v>
      </c>
      <c r="E154" t="e">
        <f>VLOOKUP($C154,'2000 Place'!$C$2:$Y$523,6,FALSE)</f>
        <v>#N/A</v>
      </c>
      <c r="F154" t="e">
        <f>VLOOKUP($C154,'2000 Place'!$C$2:$Y$523,7,FALSE)</f>
        <v>#N/A</v>
      </c>
      <c r="G154" t="e">
        <f>VLOOKUP($C154,'2000 Place'!$C$2:$Y$523,8,FALSE)</f>
        <v>#N/A</v>
      </c>
      <c r="H154" t="e">
        <f>VLOOKUP($C154,'2000 Place'!$C$2:$Y$523,9,FALSE)</f>
        <v>#N/A</v>
      </c>
      <c r="I154" t="e">
        <f>VLOOKUP($C154,'2000 Place'!$C$2:$Y$523,10,FALSE)</f>
        <v>#N/A</v>
      </c>
      <c r="J154" t="e">
        <f>VLOOKUP($C154,'2000 Place'!$C$2:$Y$523,11,FALSE)</f>
        <v>#N/A</v>
      </c>
      <c r="K154" t="e">
        <f>VLOOKUP($C154,'2000 Place'!$C$2:$Y$523,12,FALSE)</f>
        <v>#N/A</v>
      </c>
      <c r="L154" t="e">
        <f>VLOOKUP($C154,'2000 Place'!$C$2:$Y$523,13,FALSE)</f>
        <v>#N/A</v>
      </c>
      <c r="M154" t="e">
        <f>VLOOKUP($C154,'2000 Place'!$C$2:$Y$523,14,FALSE)</f>
        <v>#N/A</v>
      </c>
      <c r="N154" t="e">
        <f>VLOOKUP($C154,'2000 Place'!$C$2:$Y$523,15,FALSE)</f>
        <v>#N/A</v>
      </c>
      <c r="O154" t="e">
        <f>VLOOKUP($C154,'2000 Place'!$C$2:$Y$523,16,FALSE)</f>
        <v>#N/A</v>
      </c>
      <c r="P154" t="e">
        <f>VLOOKUP($C154,'2000 Place'!$C$2:$Y$523,17,FALSE)</f>
        <v>#N/A</v>
      </c>
      <c r="Q154" t="e">
        <f>VLOOKUP($C154,'2000 Place'!$C$2:$Y$523,18,FALSE)</f>
        <v>#N/A</v>
      </c>
      <c r="R154" t="e">
        <f>VLOOKUP($C154,'2000 Place'!$C$2:$Y$523,19,FALSE)</f>
        <v>#N/A</v>
      </c>
      <c r="S154" t="e">
        <f>VLOOKUP($C154,'2000 Place'!$C$2:$Y$523,20,FALSE)</f>
        <v>#N/A</v>
      </c>
      <c r="T154" t="e">
        <f>VLOOKUP($C154,'2000 Place'!$C$2:$Y$523,21,FALSE)</f>
        <v>#N/A</v>
      </c>
      <c r="U154" t="e">
        <f>VLOOKUP($C154,'2000 Place'!$C$2:$Y$523,22,FALSE)</f>
        <v>#N/A</v>
      </c>
      <c r="V154" t="e">
        <f>VLOOKUP($C154,'2000 Place'!$C$2:$Y$523,23,FALSE)</f>
        <v>#N/A</v>
      </c>
    </row>
    <row r="155" spans="1:22" x14ac:dyDescent="0.25">
      <c r="A155" t="s">
        <v>554</v>
      </c>
      <c r="B155">
        <v>5318965</v>
      </c>
      <c r="C155" t="s">
        <v>555</v>
      </c>
      <c r="D155">
        <f>VLOOKUP($C155,'2000 Place'!$C$2:$Y$523,5,FALSE)</f>
        <v>2464</v>
      </c>
      <c r="E155">
        <f>VLOOKUP($C155,'2000 Place'!$C$2:$Y$523,6,FALSE)</f>
        <v>2080</v>
      </c>
      <c r="F155">
        <f>VLOOKUP($C155,'2000 Place'!$C$2:$Y$523,7,FALSE)</f>
        <v>384</v>
      </c>
      <c r="G155">
        <f>VLOOKUP($C155,'2000 Place'!$C$2:$Y$523,8,FALSE)</f>
        <v>1594</v>
      </c>
      <c r="H155">
        <f>VLOOKUP($C155,'2000 Place'!$C$2:$Y$523,9,FALSE)</f>
        <v>151</v>
      </c>
      <c r="I155">
        <f>VLOOKUP($C155,'2000 Place'!$C$2:$Y$523,10,FALSE)</f>
        <v>82</v>
      </c>
      <c r="J155">
        <f>VLOOKUP($C155,'2000 Place'!$C$2:$Y$523,11,FALSE)</f>
        <v>31</v>
      </c>
      <c r="K155">
        <f>VLOOKUP($C155,'2000 Place'!$C$2:$Y$523,12,FALSE)</f>
        <v>194</v>
      </c>
      <c r="L155">
        <f>VLOOKUP($C155,'2000 Place'!$C$2:$Y$523,13,FALSE)</f>
        <v>13</v>
      </c>
      <c r="M155">
        <f>VLOOKUP($C155,'2000 Place'!$C$2:$Y$523,14,FALSE)</f>
        <v>2</v>
      </c>
      <c r="N155">
        <f>VLOOKUP($C155,'2000 Place'!$C$2:$Y$523,15,FALSE)</f>
        <v>0</v>
      </c>
      <c r="O155">
        <f>VLOOKUP($C155,'2000 Place'!$C$2:$Y$523,16,FALSE)</f>
        <v>32</v>
      </c>
      <c r="P155">
        <f>VLOOKUP($C155,'2000 Place'!$C$2:$Y$523,17,FALSE)</f>
        <v>152</v>
      </c>
      <c r="Q155">
        <f>VLOOKUP($C155,'2000 Place'!$C$2:$Y$523,18,FALSE)</f>
        <v>0</v>
      </c>
      <c r="R155">
        <f>VLOOKUP($C155,'2000 Place'!$C$2:$Y$523,19,FALSE)</f>
        <v>0</v>
      </c>
      <c r="S155">
        <f>VLOOKUP($C155,'2000 Place'!$C$2:$Y$523,20,FALSE)</f>
        <v>23</v>
      </c>
      <c r="T155">
        <f>VLOOKUP($C155,'2000 Place'!$C$2:$Y$523,21,FALSE)</f>
        <v>12</v>
      </c>
      <c r="U155">
        <f>VLOOKUP($C155,'2000 Place'!$C$2:$Y$523,22,FALSE)</f>
        <v>153</v>
      </c>
      <c r="V155">
        <f>VLOOKUP($C155,'2000 Place'!$C$2:$Y$523,23,FALSE)</f>
        <v>25</v>
      </c>
    </row>
    <row r="156" spans="1:22" x14ac:dyDescent="0.25">
      <c r="A156" t="s">
        <v>556</v>
      </c>
      <c r="B156">
        <v>5319035</v>
      </c>
      <c r="C156" t="s">
        <v>557</v>
      </c>
      <c r="D156">
        <f>VLOOKUP($C156,'2000 Place'!$C$2:$Y$523,5,FALSE)</f>
        <v>4647</v>
      </c>
      <c r="E156">
        <f>VLOOKUP($C156,'2000 Place'!$C$2:$Y$523,6,FALSE)</f>
        <v>4472</v>
      </c>
      <c r="F156">
        <f>VLOOKUP($C156,'2000 Place'!$C$2:$Y$523,7,FALSE)</f>
        <v>175</v>
      </c>
      <c r="G156">
        <f>VLOOKUP($C156,'2000 Place'!$C$2:$Y$523,8,FALSE)</f>
        <v>4053</v>
      </c>
      <c r="H156">
        <f>VLOOKUP($C156,'2000 Place'!$C$2:$Y$523,9,FALSE)</f>
        <v>87</v>
      </c>
      <c r="I156">
        <f>VLOOKUP($C156,'2000 Place'!$C$2:$Y$523,10,FALSE)</f>
        <v>59</v>
      </c>
      <c r="J156">
        <f>VLOOKUP($C156,'2000 Place'!$C$2:$Y$523,11,FALSE)</f>
        <v>8</v>
      </c>
      <c r="K156">
        <f>VLOOKUP($C156,'2000 Place'!$C$2:$Y$523,12,FALSE)</f>
        <v>138</v>
      </c>
      <c r="L156">
        <f>VLOOKUP($C156,'2000 Place'!$C$2:$Y$523,13,FALSE)</f>
        <v>0</v>
      </c>
      <c r="M156">
        <f>VLOOKUP($C156,'2000 Place'!$C$2:$Y$523,14,FALSE)</f>
        <v>19</v>
      </c>
      <c r="N156">
        <f>VLOOKUP($C156,'2000 Place'!$C$2:$Y$523,15,FALSE)</f>
        <v>0</v>
      </c>
      <c r="O156">
        <f>VLOOKUP($C156,'2000 Place'!$C$2:$Y$523,16,FALSE)</f>
        <v>8</v>
      </c>
      <c r="P156">
        <f>VLOOKUP($C156,'2000 Place'!$C$2:$Y$523,17,FALSE)</f>
        <v>0</v>
      </c>
      <c r="Q156">
        <f>VLOOKUP($C156,'2000 Place'!$C$2:$Y$523,18,FALSE)</f>
        <v>0</v>
      </c>
      <c r="R156">
        <f>VLOOKUP($C156,'2000 Place'!$C$2:$Y$523,19,FALSE)</f>
        <v>29</v>
      </c>
      <c r="S156">
        <f>VLOOKUP($C156,'2000 Place'!$C$2:$Y$523,20,FALSE)</f>
        <v>18</v>
      </c>
      <c r="T156">
        <f>VLOOKUP($C156,'2000 Place'!$C$2:$Y$523,21,FALSE)</f>
        <v>23</v>
      </c>
      <c r="U156">
        <f>VLOOKUP($C156,'2000 Place'!$C$2:$Y$523,22,FALSE)</f>
        <v>177</v>
      </c>
      <c r="V156">
        <f>VLOOKUP($C156,'2000 Place'!$C$2:$Y$523,23,FALSE)</f>
        <v>28</v>
      </c>
    </row>
    <row r="157" spans="1:22" x14ac:dyDescent="0.25">
      <c r="A157" t="s">
        <v>558</v>
      </c>
      <c r="B157">
        <v>5319290</v>
      </c>
      <c r="C157" t="s">
        <v>559</v>
      </c>
      <c r="D157">
        <f>VLOOKUP($C157,'2000 Place'!$C$2:$Y$523,5,FALSE)</f>
        <v>535</v>
      </c>
      <c r="E157">
        <f>VLOOKUP($C157,'2000 Place'!$C$2:$Y$523,6,FALSE)</f>
        <v>528</v>
      </c>
      <c r="F157">
        <f>VLOOKUP($C157,'2000 Place'!$C$2:$Y$523,7,FALSE)</f>
        <v>7</v>
      </c>
      <c r="G157">
        <f>VLOOKUP($C157,'2000 Place'!$C$2:$Y$523,8,FALSE)</f>
        <v>515</v>
      </c>
      <c r="H157">
        <f>VLOOKUP($C157,'2000 Place'!$C$2:$Y$523,9,FALSE)</f>
        <v>7</v>
      </c>
      <c r="I157">
        <f>VLOOKUP($C157,'2000 Place'!$C$2:$Y$523,10,FALSE)</f>
        <v>0</v>
      </c>
      <c r="J157">
        <f>VLOOKUP($C157,'2000 Place'!$C$2:$Y$523,11,FALSE)</f>
        <v>0</v>
      </c>
      <c r="K157">
        <f>VLOOKUP($C157,'2000 Place'!$C$2:$Y$523,12,FALSE)</f>
        <v>0</v>
      </c>
      <c r="L157">
        <f>VLOOKUP($C157,'2000 Place'!$C$2:$Y$523,13,FALSE)</f>
        <v>0</v>
      </c>
      <c r="M157">
        <f>VLOOKUP($C157,'2000 Place'!$C$2:$Y$523,14,FALSE)</f>
        <v>6</v>
      </c>
      <c r="N157">
        <f>VLOOKUP($C157,'2000 Place'!$C$2:$Y$523,15,FALSE)</f>
        <v>0</v>
      </c>
      <c r="O157">
        <f>VLOOKUP($C157,'2000 Place'!$C$2:$Y$523,16,FALSE)</f>
        <v>0</v>
      </c>
      <c r="P157">
        <f>VLOOKUP($C157,'2000 Place'!$C$2:$Y$523,17,FALSE)</f>
        <v>0</v>
      </c>
      <c r="Q157">
        <f>VLOOKUP($C157,'2000 Place'!$C$2:$Y$523,18,FALSE)</f>
        <v>0</v>
      </c>
      <c r="R157">
        <f>VLOOKUP($C157,'2000 Place'!$C$2:$Y$523,19,FALSE)</f>
        <v>0</v>
      </c>
      <c r="S157">
        <f>VLOOKUP($C157,'2000 Place'!$C$2:$Y$523,20,FALSE)</f>
        <v>7</v>
      </c>
      <c r="T157">
        <f>VLOOKUP($C157,'2000 Place'!$C$2:$Y$523,21,FALSE)</f>
        <v>0</v>
      </c>
      <c r="U157">
        <f>VLOOKUP($C157,'2000 Place'!$C$2:$Y$523,22,FALSE)</f>
        <v>0</v>
      </c>
      <c r="V157">
        <f>VLOOKUP($C157,'2000 Place'!$C$2:$Y$523,23,FALSE)</f>
        <v>0</v>
      </c>
    </row>
    <row r="158" spans="1:22" x14ac:dyDescent="0.25">
      <c r="A158" t="s">
        <v>560</v>
      </c>
      <c r="B158">
        <v>5319630</v>
      </c>
      <c r="C158" t="s">
        <v>561</v>
      </c>
      <c r="D158" t="e">
        <f>VLOOKUP($C158,'2000 Place'!$C$2:$Y$523,5,FALSE)</f>
        <v>#N/A</v>
      </c>
      <c r="E158" t="e">
        <f>VLOOKUP($C158,'2000 Place'!$C$2:$Y$523,6,FALSE)</f>
        <v>#N/A</v>
      </c>
      <c r="F158" t="e">
        <f>VLOOKUP($C158,'2000 Place'!$C$2:$Y$523,7,FALSE)</f>
        <v>#N/A</v>
      </c>
      <c r="G158" t="e">
        <f>VLOOKUP($C158,'2000 Place'!$C$2:$Y$523,8,FALSE)</f>
        <v>#N/A</v>
      </c>
      <c r="H158" t="e">
        <f>VLOOKUP($C158,'2000 Place'!$C$2:$Y$523,9,FALSE)</f>
        <v>#N/A</v>
      </c>
      <c r="I158" t="e">
        <f>VLOOKUP($C158,'2000 Place'!$C$2:$Y$523,10,FALSE)</f>
        <v>#N/A</v>
      </c>
      <c r="J158" t="e">
        <f>VLOOKUP($C158,'2000 Place'!$C$2:$Y$523,11,FALSE)</f>
        <v>#N/A</v>
      </c>
      <c r="K158" t="e">
        <f>VLOOKUP($C158,'2000 Place'!$C$2:$Y$523,12,FALSE)</f>
        <v>#N/A</v>
      </c>
      <c r="L158" t="e">
        <f>VLOOKUP($C158,'2000 Place'!$C$2:$Y$523,13,FALSE)</f>
        <v>#N/A</v>
      </c>
      <c r="M158" t="e">
        <f>VLOOKUP($C158,'2000 Place'!$C$2:$Y$523,14,FALSE)</f>
        <v>#N/A</v>
      </c>
      <c r="N158" t="e">
        <f>VLOOKUP($C158,'2000 Place'!$C$2:$Y$523,15,FALSE)</f>
        <v>#N/A</v>
      </c>
      <c r="O158" t="e">
        <f>VLOOKUP($C158,'2000 Place'!$C$2:$Y$523,16,FALSE)</f>
        <v>#N/A</v>
      </c>
      <c r="P158" t="e">
        <f>VLOOKUP($C158,'2000 Place'!$C$2:$Y$523,17,FALSE)</f>
        <v>#N/A</v>
      </c>
      <c r="Q158" t="e">
        <f>VLOOKUP($C158,'2000 Place'!$C$2:$Y$523,18,FALSE)</f>
        <v>#N/A</v>
      </c>
      <c r="R158" t="e">
        <f>VLOOKUP($C158,'2000 Place'!$C$2:$Y$523,19,FALSE)</f>
        <v>#N/A</v>
      </c>
      <c r="S158" t="e">
        <f>VLOOKUP($C158,'2000 Place'!$C$2:$Y$523,20,FALSE)</f>
        <v>#N/A</v>
      </c>
      <c r="T158" t="e">
        <f>VLOOKUP($C158,'2000 Place'!$C$2:$Y$523,21,FALSE)</f>
        <v>#N/A</v>
      </c>
      <c r="U158" t="e">
        <f>VLOOKUP($C158,'2000 Place'!$C$2:$Y$523,22,FALSE)</f>
        <v>#N/A</v>
      </c>
      <c r="V158" t="e">
        <f>VLOOKUP($C158,'2000 Place'!$C$2:$Y$523,23,FALSE)</f>
        <v>#N/A</v>
      </c>
    </row>
    <row r="159" spans="1:22" x14ac:dyDescent="0.25">
      <c r="A159" t="s">
        <v>562</v>
      </c>
      <c r="B159">
        <v>5319700</v>
      </c>
      <c r="C159" t="s">
        <v>563</v>
      </c>
      <c r="D159">
        <f>VLOOKUP($C159,'2000 Place'!$C$2:$Y$523,5,FALSE)</f>
        <v>418</v>
      </c>
      <c r="E159">
        <f>VLOOKUP($C159,'2000 Place'!$C$2:$Y$523,6,FALSE)</f>
        <v>394</v>
      </c>
      <c r="F159">
        <f>VLOOKUP($C159,'2000 Place'!$C$2:$Y$523,7,FALSE)</f>
        <v>24</v>
      </c>
      <c r="G159">
        <f>VLOOKUP($C159,'2000 Place'!$C$2:$Y$523,8,FALSE)</f>
        <v>361</v>
      </c>
      <c r="H159">
        <f>VLOOKUP($C159,'2000 Place'!$C$2:$Y$523,9,FALSE)</f>
        <v>5</v>
      </c>
      <c r="I159">
        <f>VLOOKUP($C159,'2000 Place'!$C$2:$Y$523,10,FALSE)</f>
        <v>7</v>
      </c>
      <c r="J159">
        <f>VLOOKUP($C159,'2000 Place'!$C$2:$Y$523,11,FALSE)</f>
        <v>13</v>
      </c>
      <c r="K159">
        <f>VLOOKUP($C159,'2000 Place'!$C$2:$Y$523,12,FALSE)</f>
        <v>0</v>
      </c>
      <c r="L159">
        <f>VLOOKUP($C159,'2000 Place'!$C$2:$Y$523,13,FALSE)</f>
        <v>0</v>
      </c>
      <c r="M159">
        <f>VLOOKUP($C159,'2000 Place'!$C$2:$Y$523,14,FALSE)</f>
        <v>8</v>
      </c>
      <c r="N159">
        <f>VLOOKUP($C159,'2000 Place'!$C$2:$Y$523,15,FALSE)</f>
        <v>0</v>
      </c>
      <c r="O159">
        <f>VLOOKUP($C159,'2000 Place'!$C$2:$Y$523,16,FALSE)</f>
        <v>0</v>
      </c>
      <c r="P159">
        <f>VLOOKUP($C159,'2000 Place'!$C$2:$Y$523,17,FALSE)</f>
        <v>0</v>
      </c>
      <c r="Q159">
        <f>VLOOKUP($C159,'2000 Place'!$C$2:$Y$523,18,FALSE)</f>
        <v>0</v>
      </c>
      <c r="R159">
        <f>VLOOKUP($C159,'2000 Place'!$C$2:$Y$523,19,FALSE)</f>
        <v>0</v>
      </c>
      <c r="S159">
        <f>VLOOKUP($C159,'2000 Place'!$C$2:$Y$523,20,FALSE)</f>
        <v>12</v>
      </c>
      <c r="T159">
        <f>VLOOKUP($C159,'2000 Place'!$C$2:$Y$523,21,FALSE)</f>
        <v>6</v>
      </c>
      <c r="U159">
        <f>VLOOKUP($C159,'2000 Place'!$C$2:$Y$523,22,FALSE)</f>
        <v>6</v>
      </c>
      <c r="V159">
        <f>VLOOKUP($C159,'2000 Place'!$C$2:$Y$523,23,FALSE)</f>
        <v>0</v>
      </c>
    </row>
    <row r="160" spans="1:22" x14ac:dyDescent="0.25">
      <c r="A160" t="s">
        <v>564</v>
      </c>
      <c r="B160">
        <v>5319770</v>
      </c>
      <c r="C160" t="s">
        <v>565</v>
      </c>
      <c r="D160">
        <f>VLOOKUP($C160,'2000 Place'!$C$2:$Y$523,5,FALSE)</f>
        <v>5092</v>
      </c>
      <c r="E160">
        <f>VLOOKUP($C160,'2000 Place'!$C$2:$Y$523,6,FALSE)</f>
        <v>4683</v>
      </c>
      <c r="F160">
        <f>VLOOKUP($C160,'2000 Place'!$C$2:$Y$523,7,FALSE)</f>
        <v>409</v>
      </c>
      <c r="G160">
        <f>VLOOKUP($C160,'2000 Place'!$C$2:$Y$523,8,FALSE)</f>
        <v>4144</v>
      </c>
      <c r="H160">
        <f>VLOOKUP($C160,'2000 Place'!$C$2:$Y$523,9,FALSE)</f>
        <v>72</v>
      </c>
      <c r="I160">
        <f>VLOOKUP($C160,'2000 Place'!$C$2:$Y$523,10,FALSE)</f>
        <v>66</v>
      </c>
      <c r="J160">
        <f>VLOOKUP($C160,'2000 Place'!$C$2:$Y$523,11,FALSE)</f>
        <v>29</v>
      </c>
      <c r="K160">
        <f>VLOOKUP($C160,'2000 Place'!$C$2:$Y$523,12,FALSE)</f>
        <v>193</v>
      </c>
      <c r="L160">
        <f>VLOOKUP($C160,'2000 Place'!$C$2:$Y$523,13,FALSE)</f>
        <v>0</v>
      </c>
      <c r="M160">
        <f>VLOOKUP($C160,'2000 Place'!$C$2:$Y$523,14,FALSE)</f>
        <v>35</v>
      </c>
      <c r="N160">
        <f>VLOOKUP($C160,'2000 Place'!$C$2:$Y$523,15,FALSE)</f>
        <v>0</v>
      </c>
      <c r="O160">
        <f>VLOOKUP($C160,'2000 Place'!$C$2:$Y$523,16,FALSE)</f>
        <v>30</v>
      </c>
      <c r="P160">
        <f>VLOOKUP($C160,'2000 Place'!$C$2:$Y$523,17,FALSE)</f>
        <v>103</v>
      </c>
      <c r="Q160">
        <f>VLOOKUP($C160,'2000 Place'!$C$2:$Y$523,18,FALSE)</f>
        <v>0</v>
      </c>
      <c r="R160">
        <f>VLOOKUP($C160,'2000 Place'!$C$2:$Y$523,19,FALSE)</f>
        <v>71</v>
      </c>
      <c r="S160">
        <f>VLOOKUP($C160,'2000 Place'!$C$2:$Y$523,20,FALSE)</f>
        <v>59</v>
      </c>
      <c r="T160">
        <f>VLOOKUP($C160,'2000 Place'!$C$2:$Y$523,21,FALSE)</f>
        <v>38</v>
      </c>
      <c r="U160">
        <f>VLOOKUP($C160,'2000 Place'!$C$2:$Y$523,22,FALSE)</f>
        <v>156</v>
      </c>
      <c r="V160">
        <f>VLOOKUP($C160,'2000 Place'!$C$2:$Y$523,23,FALSE)</f>
        <v>96</v>
      </c>
    </row>
    <row r="161" spans="1:22" x14ac:dyDescent="0.25">
      <c r="A161" t="s">
        <v>566</v>
      </c>
      <c r="B161">
        <v>5319857</v>
      </c>
      <c r="C161" t="s">
        <v>567</v>
      </c>
      <c r="D161">
        <f>VLOOKUP($C161,'2000 Place'!$C$2:$Y$523,5,FALSE)</f>
        <v>13106</v>
      </c>
      <c r="E161">
        <f>VLOOKUP($C161,'2000 Place'!$C$2:$Y$523,6,FALSE)</f>
        <v>12228</v>
      </c>
      <c r="F161">
        <f>VLOOKUP($C161,'2000 Place'!$C$2:$Y$523,7,FALSE)</f>
        <v>878</v>
      </c>
      <c r="G161">
        <f>VLOOKUP($C161,'2000 Place'!$C$2:$Y$523,8,FALSE)</f>
        <v>11246</v>
      </c>
      <c r="H161">
        <f>VLOOKUP($C161,'2000 Place'!$C$2:$Y$523,9,FALSE)</f>
        <v>478</v>
      </c>
      <c r="I161">
        <f>VLOOKUP($C161,'2000 Place'!$C$2:$Y$523,10,FALSE)</f>
        <v>153</v>
      </c>
      <c r="J161">
        <f>VLOOKUP($C161,'2000 Place'!$C$2:$Y$523,11,FALSE)</f>
        <v>147</v>
      </c>
      <c r="K161">
        <f>VLOOKUP($C161,'2000 Place'!$C$2:$Y$523,12,FALSE)</f>
        <v>190</v>
      </c>
      <c r="L161">
        <f>VLOOKUP($C161,'2000 Place'!$C$2:$Y$523,13,FALSE)</f>
        <v>59</v>
      </c>
      <c r="M161">
        <f>VLOOKUP($C161,'2000 Place'!$C$2:$Y$523,14,FALSE)</f>
        <v>175</v>
      </c>
      <c r="N161">
        <f>VLOOKUP($C161,'2000 Place'!$C$2:$Y$523,15,FALSE)</f>
        <v>0</v>
      </c>
      <c r="O161">
        <f>VLOOKUP($C161,'2000 Place'!$C$2:$Y$523,16,FALSE)</f>
        <v>185</v>
      </c>
      <c r="P161">
        <f>VLOOKUP($C161,'2000 Place'!$C$2:$Y$523,17,FALSE)</f>
        <v>182</v>
      </c>
      <c r="Q161">
        <f>VLOOKUP($C161,'2000 Place'!$C$2:$Y$523,18,FALSE)</f>
        <v>12</v>
      </c>
      <c r="R161">
        <f>VLOOKUP($C161,'2000 Place'!$C$2:$Y$523,19,FALSE)</f>
        <v>0</v>
      </c>
      <c r="S161">
        <f>VLOOKUP($C161,'2000 Place'!$C$2:$Y$523,20,FALSE)</f>
        <v>52</v>
      </c>
      <c r="T161">
        <f>VLOOKUP($C161,'2000 Place'!$C$2:$Y$523,21,FALSE)</f>
        <v>7</v>
      </c>
      <c r="U161">
        <f>VLOOKUP($C161,'2000 Place'!$C$2:$Y$523,22,FALSE)</f>
        <v>215</v>
      </c>
      <c r="V161">
        <f>VLOOKUP($C161,'2000 Place'!$C$2:$Y$523,23,FALSE)</f>
        <v>5</v>
      </c>
    </row>
    <row r="162" spans="1:22" x14ac:dyDescent="0.25">
      <c r="A162" t="s">
        <v>568</v>
      </c>
      <c r="B162">
        <v>5320155</v>
      </c>
      <c r="C162" t="s">
        <v>569</v>
      </c>
      <c r="D162">
        <f>VLOOKUP($C162,'2000 Place'!$C$2:$Y$523,5,FALSE)</f>
        <v>5813</v>
      </c>
      <c r="E162">
        <f>VLOOKUP($C162,'2000 Place'!$C$2:$Y$523,6,FALSE)</f>
        <v>5290</v>
      </c>
      <c r="F162">
        <f>VLOOKUP($C162,'2000 Place'!$C$2:$Y$523,7,FALSE)</f>
        <v>523</v>
      </c>
      <c r="G162">
        <f>VLOOKUP($C162,'2000 Place'!$C$2:$Y$523,8,FALSE)</f>
        <v>4788</v>
      </c>
      <c r="H162">
        <f>VLOOKUP($C162,'2000 Place'!$C$2:$Y$523,9,FALSE)</f>
        <v>124</v>
      </c>
      <c r="I162">
        <f>VLOOKUP($C162,'2000 Place'!$C$2:$Y$523,10,FALSE)</f>
        <v>136</v>
      </c>
      <c r="J162">
        <f>VLOOKUP($C162,'2000 Place'!$C$2:$Y$523,11,FALSE)</f>
        <v>143</v>
      </c>
      <c r="K162">
        <f>VLOOKUP($C162,'2000 Place'!$C$2:$Y$523,12,FALSE)</f>
        <v>16</v>
      </c>
      <c r="L162">
        <f>VLOOKUP($C162,'2000 Place'!$C$2:$Y$523,13,FALSE)</f>
        <v>0</v>
      </c>
      <c r="M162">
        <f>VLOOKUP($C162,'2000 Place'!$C$2:$Y$523,14,FALSE)</f>
        <v>14</v>
      </c>
      <c r="N162">
        <f>VLOOKUP($C162,'2000 Place'!$C$2:$Y$523,15,FALSE)</f>
        <v>0</v>
      </c>
      <c r="O162">
        <f>VLOOKUP($C162,'2000 Place'!$C$2:$Y$523,16,FALSE)</f>
        <v>55</v>
      </c>
      <c r="P162">
        <f>VLOOKUP($C162,'2000 Place'!$C$2:$Y$523,17,FALSE)</f>
        <v>18</v>
      </c>
      <c r="Q162">
        <f>VLOOKUP($C162,'2000 Place'!$C$2:$Y$523,18,FALSE)</f>
        <v>14</v>
      </c>
      <c r="R162">
        <f>VLOOKUP($C162,'2000 Place'!$C$2:$Y$523,19,FALSE)</f>
        <v>0</v>
      </c>
      <c r="S162">
        <f>VLOOKUP($C162,'2000 Place'!$C$2:$Y$523,20,FALSE)</f>
        <v>206</v>
      </c>
      <c r="T162">
        <f>VLOOKUP($C162,'2000 Place'!$C$2:$Y$523,21,FALSE)</f>
        <v>200</v>
      </c>
      <c r="U162">
        <f>VLOOKUP($C162,'2000 Place'!$C$2:$Y$523,22,FALSE)</f>
        <v>61</v>
      </c>
      <c r="V162">
        <f>VLOOKUP($C162,'2000 Place'!$C$2:$Y$523,23,FALSE)</f>
        <v>38</v>
      </c>
    </row>
    <row r="163" spans="1:22" x14ac:dyDescent="0.25">
      <c r="A163" t="s">
        <v>570</v>
      </c>
      <c r="B163">
        <v>5320260</v>
      </c>
      <c r="C163" t="s">
        <v>571</v>
      </c>
      <c r="D163">
        <f>VLOOKUP($C163,'2000 Place'!$C$2:$Y$523,5,FALSE)</f>
        <v>1970</v>
      </c>
      <c r="E163">
        <f>VLOOKUP($C163,'2000 Place'!$C$2:$Y$523,6,FALSE)</f>
        <v>1859</v>
      </c>
      <c r="F163">
        <f>VLOOKUP($C163,'2000 Place'!$C$2:$Y$523,7,FALSE)</f>
        <v>111</v>
      </c>
      <c r="G163">
        <f>VLOOKUP($C163,'2000 Place'!$C$2:$Y$523,8,FALSE)</f>
        <v>1697</v>
      </c>
      <c r="H163">
        <f>VLOOKUP($C163,'2000 Place'!$C$2:$Y$523,9,FALSE)</f>
        <v>60</v>
      </c>
      <c r="I163">
        <f>VLOOKUP($C163,'2000 Place'!$C$2:$Y$523,10,FALSE)</f>
        <v>34</v>
      </c>
      <c r="J163">
        <f>VLOOKUP($C163,'2000 Place'!$C$2:$Y$523,11,FALSE)</f>
        <v>0</v>
      </c>
      <c r="K163">
        <f>VLOOKUP($C163,'2000 Place'!$C$2:$Y$523,12,FALSE)</f>
        <v>0</v>
      </c>
      <c r="L163">
        <f>VLOOKUP($C163,'2000 Place'!$C$2:$Y$523,13,FALSE)</f>
        <v>0</v>
      </c>
      <c r="M163">
        <f>VLOOKUP($C163,'2000 Place'!$C$2:$Y$523,14,FALSE)</f>
        <v>23</v>
      </c>
      <c r="N163">
        <f>VLOOKUP($C163,'2000 Place'!$C$2:$Y$523,15,FALSE)</f>
        <v>0</v>
      </c>
      <c r="O163">
        <f>VLOOKUP($C163,'2000 Place'!$C$2:$Y$523,16,FALSE)</f>
        <v>13</v>
      </c>
      <c r="P163">
        <f>VLOOKUP($C163,'2000 Place'!$C$2:$Y$523,17,FALSE)</f>
        <v>10</v>
      </c>
      <c r="Q163">
        <f>VLOOKUP($C163,'2000 Place'!$C$2:$Y$523,18,FALSE)</f>
        <v>2</v>
      </c>
      <c r="R163">
        <f>VLOOKUP($C163,'2000 Place'!$C$2:$Y$523,19,FALSE)</f>
        <v>0</v>
      </c>
      <c r="S163">
        <f>VLOOKUP($C163,'2000 Place'!$C$2:$Y$523,20,FALSE)</f>
        <v>5</v>
      </c>
      <c r="T163">
        <f>VLOOKUP($C163,'2000 Place'!$C$2:$Y$523,21,FALSE)</f>
        <v>37</v>
      </c>
      <c r="U163">
        <f>VLOOKUP($C163,'2000 Place'!$C$2:$Y$523,22,FALSE)</f>
        <v>85</v>
      </c>
      <c r="V163">
        <f>VLOOKUP($C163,'2000 Place'!$C$2:$Y$523,23,FALSE)</f>
        <v>4</v>
      </c>
    </row>
    <row r="164" spans="1:22" x14ac:dyDescent="0.25">
      <c r="A164" t="s">
        <v>572</v>
      </c>
      <c r="B164">
        <v>5320645</v>
      </c>
      <c r="C164" t="s">
        <v>573</v>
      </c>
      <c r="D164">
        <f>VLOOKUP($C164,'2000 Place'!$C$2:$Y$523,5,FALSE)</f>
        <v>9110</v>
      </c>
      <c r="E164">
        <f>VLOOKUP($C164,'2000 Place'!$C$2:$Y$523,6,FALSE)</f>
        <v>8637</v>
      </c>
      <c r="F164">
        <f>VLOOKUP($C164,'2000 Place'!$C$2:$Y$523,7,FALSE)</f>
        <v>473</v>
      </c>
      <c r="G164">
        <f>VLOOKUP($C164,'2000 Place'!$C$2:$Y$523,8,FALSE)</f>
        <v>8009</v>
      </c>
      <c r="H164">
        <f>VLOOKUP($C164,'2000 Place'!$C$2:$Y$523,9,FALSE)</f>
        <v>289</v>
      </c>
      <c r="I164">
        <f>VLOOKUP($C164,'2000 Place'!$C$2:$Y$523,10,FALSE)</f>
        <v>102</v>
      </c>
      <c r="J164">
        <f>VLOOKUP($C164,'2000 Place'!$C$2:$Y$523,11,FALSE)</f>
        <v>29</v>
      </c>
      <c r="K164">
        <f>VLOOKUP($C164,'2000 Place'!$C$2:$Y$523,12,FALSE)</f>
        <v>50</v>
      </c>
      <c r="L164">
        <f>VLOOKUP($C164,'2000 Place'!$C$2:$Y$523,13,FALSE)</f>
        <v>0</v>
      </c>
      <c r="M164">
        <f>VLOOKUP($C164,'2000 Place'!$C$2:$Y$523,14,FALSE)</f>
        <v>73</v>
      </c>
      <c r="N164">
        <f>VLOOKUP($C164,'2000 Place'!$C$2:$Y$523,15,FALSE)</f>
        <v>0</v>
      </c>
      <c r="O164">
        <f>VLOOKUP($C164,'2000 Place'!$C$2:$Y$523,16,FALSE)</f>
        <v>96</v>
      </c>
      <c r="P164">
        <f>VLOOKUP($C164,'2000 Place'!$C$2:$Y$523,17,FALSE)</f>
        <v>114</v>
      </c>
      <c r="Q164">
        <f>VLOOKUP($C164,'2000 Place'!$C$2:$Y$523,18,FALSE)</f>
        <v>33</v>
      </c>
      <c r="R164">
        <f>VLOOKUP($C164,'2000 Place'!$C$2:$Y$523,19,FALSE)</f>
        <v>33</v>
      </c>
      <c r="S164">
        <f>VLOOKUP($C164,'2000 Place'!$C$2:$Y$523,20,FALSE)</f>
        <v>53</v>
      </c>
      <c r="T164">
        <f>VLOOKUP($C164,'2000 Place'!$C$2:$Y$523,21,FALSE)</f>
        <v>8</v>
      </c>
      <c r="U164">
        <f>VLOOKUP($C164,'2000 Place'!$C$2:$Y$523,22,FALSE)</f>
        <v>221</v>
      </c>
      <c r="V164">
        <f>VLOOKUP($C164,'2000 Place'!$C$2:$Y$523,23,FALSE)</f>
        <v>0</v>
      </c>
    </row>
    <row r="165" spans="1:22" x14ac:dyDescent="0.25">
      <c r="A165" t="s">
        <v>574</v>
      </c>
      <c r="B165">
        <v>5320680</v>
      </c>
      <c r="C165" t="s">
        <v>575</v>
      </c>
      <c r="D165">
        <f>VLOOKUP($C165,'2000 Place'!$C$2:$Y$523,5,FALSE)</f>
        <v>142</v>
      </c>
      <c r="E165">
        <f>VLOOKUP($C165,'2000 Place'!$C$2:$Y$523,6,FALSE)</f>
        <v>142</v>
      </c>
      <c r="F165">
        <f>VLOOKUP($C165,'2000 Place'!$C$2:$Y$523,7,FALSE)</f>
        <v>0</v>
      </c>
      <c r="G165">
        <f>VLOOKUP($C165,'2000 Place'!$C$2:$Y$523,8,FALSE)</f>
        <v>95</v>
      </c>
      <c r="H165">
        <f>VLOOKUP($C165,'2000 Place'!$C$2:$Y$523,9,FALSE)</f>
        <v>0</v>
      </c>
      <c r="I165">
        <f>VLOOKUP($C165,'2000 Place'!$C$2:$Y$523,10,FALSE)</f>
        <v>0</v>
      </c>
      <c r="J165">
        <f>VLOOKUP($C165,'2000 Place'!$C$2:$Y$523,11,FALSE)</f>
        <v>0</v>
      </c>
      <c r="K165">
        <f>VLOOKUP($C165,'2000 Place'!$C$2:$Y$523,12,FALSE)</f>
        <v>0</v>
      </c>
      <c r="L165">
        <f>VLOOKUP($C165,'2000 Place'!$C$2:$Y$523,13,FALSE)</f>
        <v>0</v>
      </c>
      <c r="M165">
        <f>VLOOKUP($C165,'2000 Place'!$C$2:$Y$523,14,FALSE)</f>
        <v>7</v>
      </c>
      <c r="N165">
        <f>VLOOKUP($C165,'2000 Place'!$C$2:$Y$523,15,FALSE)</f>
        <v>0</v>
      </c>
      <c r="O165">
        <f>VLOOKUP($C165,'2000 Place'!$C$2:$Y$523,16,FALSE)</f>
        <v>0</v>
      </c>
      <c r="P165">
        <f>VLOOKUP($C165,'2000 Place'!$C$2:$Y$523,17,FALSE)</f>
        <v>0</v>
      </c>
      <c r="Q165">
        <f>VLOOKUP($C165,'2000 Place'!$C$2:$Y$523,18,FALSE)</f>
        <v>0</v>
      </c>
      <c r="R165">
        <f>VLOOKUP($C165,'2000 Place'!$C$2:$Y$523,19,FALSE)</f>
        <v>0</v>
      </c>
      <c r="S165">
        <f>VLOOKUP($C165,'2000 Place'!$C$2:$Y$523,20,FALSE)</f>
        <v>0</v>
      </c>
      <c r="T165">
        <f>VLOOKUP($C165,'2000 Place'!$C$2:$Y$523,21,FALSE)</f>
        <v>0</v>
      </c>
      <c r="U165">
        <f>VLOOKUP($C165,'2000 Place'!$C$2:$Y$523,22,FALSE)</f>
        <v>40</v>
      </c>
      <c r="V165">
        <f>VLOOKUP($C165,'2000 Place'!$C$2:$Y$523,23,FALSE)</f>
        <v>0</v>
      </c>
    </row>
    <row r="166" spans="1:22" x14ac:dyDescent="0.25">
      <c r="A166" t="s">
        <v>576</v>
      </c>
      <c r="B166">
        <v>5320750</v>
      </c>
      <c r="C166" t="s">
        <v>577</v>
      </c>
      <c r="D166">
        <f>VLOOKUP($C166,'2000 Place'!$C$2:$Y$523,5,FALSE)</f>
        <v>39610</v>
      </c>
      <c r="E166">
        <f>VLOOKUP($C166,'2000 Place'!$C$2:$Y$523,6,FALSE)</f>
        <v>34766</v>
      </c>
      <c r="F166">
        <f>VLOOKUP($C166,'2000 Place'!$C$2:$Y$523,7,FALSE)</f>
        <v>4844</v>
      </c>
      <c r="G166">
        <f>VLOOKUP($C166,'2000 Place'!$C$2:$Y$523,8,FALSE)</f>
        <v>31848</v>
      </c>
      <c r="H166">
        <f>VLOOKUP($C166,'2000 Place'!$C$2:$Y$523,9,FALSE)</f>
        <v>2451</v>
      </c>
      <c r="I166">
        <f>VLOOKUP($C166,'2000 Place'!$C$2:$Y$523,10,FALSE)</f>
        <v>374</v>
      </c>
      <c r="J166">
        <f>VLOOKUP($C166,'2000 Place'!$C$2:$Y$523,11,FALSE)</f>
        <v>232</v>
      </c>
      <c r="K166">
        <f>VLOOKUP($C166,'2000 Place'!$C$2:$Y$523,12,FALSE)</f>
        <v>299</v>
      </c>
      <c r="L166">
        <f>VLOOKUP($C166,'2000 Place'!$C$2:$Y$523,13,FALSE)</f>
        <v>90</v>
      </c>
      <c r="M166">
        <f>VLOOKUP($C166,'2000 Place'!$C$2:$Y$523,14,FALSE)</f>
        <v>309</v>
      </c>
      <c r="N166">
        <f>VLOOKUP($C166,'2000 Place'!$C$2:$Y$523,15,FALSE)</f>
        <v>20</v>
      </c>
      <c r="O166">
        <f>VLOOKUP($C166,'2000 Place'!$C$2:$Y$523,16,FALSE)</f>
        <v>651</v>
      </c>
      <c r="P166">
        <f>VLOOKUP($C166,'2000 Place'!$C$2:$Y$523,17,FALSE)</f>
        <v>1536</v>
      </c>
      <c r="Q166">
        <f>VLOOKUP($C166,'2000 Place'!$C$2:$Y$523,18,FALSE)</f>
        <v>87</v>
      </c>
      <c r="R166">
        <f>VLOOKUP($C166,'2000 Place'!$C$2:$Y$523,19,FALSE)</f>
        <v>66</v>
      </c>
      <c r="S166">
        <f>VLOOKUP($C166,'2000 Place'!$C$2:$Y$523,20,FALSE)</f>
        <v>224</v>
      </c>
      <c r="T166">
        <f>VLOOKUP($C166,'2000 Place'!$C$2:$Y$523,21,FALSE)</f>
        <v>273</v>
      </c>
      <c r="U166">
        <f>VLOOKUP($C166,'2000 Place'!$C$2:$Y$523,22,FALSE)</f>
        <v>974</v>
      </c>
      <c r="V166">
        <f>VLOOKUP($C166,'2000 Place'!$C$2:$Y$523,23,FALSE)</f>
        <v>176</v>
      </c>
    </row>
    <row r="167" spans="1:22" x14ac:dyDescent="0.25">
      <c r="A167" t="s">
        <v>578</v>
      </c>
      <c r="B167">
        <v>5320890</v>
      </c>
      <c r="C167" t="s">
        <v>579</v>
      </c>
      <c r="D167">
        <f>VLOOKUP($C167,'2000 Place'!$C$2:$Y$523,5,FALSE)</f>
        <v>8</v>
      </c>
      <c r="E167">
        <f>VLOOKUP($C167,'2000 Place'!$C$2:$Y$523,6,FALSE)</f>
        <v>8</v>
      </c>
      <c r="F167">
        <f>VLOOKUP($C167,'2000 Place'!$C$2:$Y$523,7,FALSE)</f>
        <v>0</v>
      </c>
      <c r="G167">
        <f>VLOOKUP($C167,'2000 Place'!$C$2:$Y$523,8,FALSE)</f>
        <v>8</v>
      </c>
      <c r="H167">
        <f>VLOOKUP($C167,'2000 Place'!$C$2:$Y$523,9,FALSE)</f>
        <v>0</v>
      </c>
      <c r="I167">
        <f>VLOOKUP($C167,'2000 Place'!$C$2:$Y$523,10,FALSE)</f>
        <v>0</v>
      </c>
      <c r="J167">
        <f>VLOOKUP($C167,'2000 Place'!$C$2:$Y$523,11,FALSE)</f>
        <v>0</v>
      </c>
      <c r="K167">
        <f>VLOOKUP($C167,'2000 Place'!$C$2:$Y$523,12,FALSE)</f>
        <v>0</v>
      </c>
      <c r="L167">
        <f>VLOOKUP($C167,'2000 Place'!$C$2:$Y$523,13,FALSE)</f>
        <v>0</v>
      </c>
      <c r="M167">
        <f>VLOOKUP($C167,'2000 Place'!$C$2:$Y$523,14,FALSE)</f>
        <v>0</v>
      </c>
      <c r="N167">
        <f>VLOOKUP($C167,'2000 Place'!$C$2:$Y$523,15,FALSE)</f>
        <v>0</v>
      </c>
      <c r="O167">
        <f>VLOOKUP($C167,'2000 Place'!$C$2:$Y$523,16,FALSE)</f>
        <v>0</v>
      </c>
      <c r="P167">
        <f>VLOOKUP($C167,'2000 Place'!$C$2:$Y$523,17,FALSE)</f>
        <v>0</v>
      </c>
      <c r="Q167">
        <f>VLOOKUP($C167,'2000 Place'!$C$2:$Y$523,18,FALSE)</f>
        <v>0</v>
      </c>
      <c r="R167">
        <f>VLOOKUP($C167,'2000 Place'!$C$2:$Y$523,19,FALSE)</f>
        <v>0</v>
      </c>
      <c r="S167">
        <f>VLOOKUP($C167,'2000 Place'!$C$2:$Y$523,20,FALSE)</f>
        <v>0</v>
      </c>
      <c r="T167">
        <f>VLOOKUP($C167,'2000 Place'!$C$2:$Y$523,21,FALSE)</f>
        <v>0</v>
      </c>
      <c r="U167">
        <f>VLOOKUP($C167,'2000 Place'!$C$2:$Y$523,22,FALSE)</f>
        <v>0</v>
      </c>
      <c r="V167">
        <f>VLOOKUP($C167,'2000 Place'!$C$2:$Y$523,23,FALSE)</f>
        <v>0</v>
      </c>
    </row>
    <row r="168" spans="1:22" x14ac:dyDescent="0.25">
      <c r="A168" t="s">
        <v>580</v>
      </c>
      <c r="B168">
        <v>5321030</v>
      </c>
      <c r="C168" t="s">
        <v>581</v>
      </c>
      <c r="D168" t="e">
        <f>VLOOKUP($C168,'2000 Place'!$C$2:$Y$523,5,FALSE)</f>
        <v>#N/A</v>
      </c>
      <c r="E168" t="e">
        <f>VLOOKUP($C168,'2000 Place'!$C$2:$Y$523,6,FALSE)</f>
        <v>#N/A</v>
      </c>
      <c r="F168" t="e">
        <f>VLOOKUP($C168,'2000 Place'!$C$2:$Y$523,7,FALSE)</f>
        <v>#N/A</v>
      </c>
      <c r="G168" t="e">
        <f>VLOOKUP($C168,'2000 Place'!$C$2:$Y$523,8,FALSE)</f>
        <v>#N/A</v>
      </c>
      <c r="H168" t="e">
        <f>VLOOKUP($C168,'2000 Place'!$C$2:$Y$523,9,FALSE)</f>
        <v>#N/A</v>
      </c>
      <c r="I168" t="e">
        <f>VLOOKUP($C168,'2000 Place'!$C$2:$Y$523,10,FALSE)</f>
        <v>#N/A</v>
      </c>
      <c r="J168" t="e">
        <f>VLOOKUP($C168,'2000 Place'!$C$2:$Y$523,11,FALSE)</f>
        <v>#N/A</v>
      </c>
      <c r="K168" t="e">
        <f>VLOOKUP($C168,'2000 Place'!$C$2:$Y$523,12,FALSE)</f>
        <v>#N/A</v>
      </c>
      <c r="L168" t="e">
        <f>VLOOKUP($C168,'2000 Place'!$C$2:$Y$523,13,FALSE)</f>
        <v>#N/A</v>
      </c>
      <c r="M168" t="e">
        <f>VLOOKUP($C168,'2000 Place'!$C$2:$Y$523,14,FALSE)</f>
        <v>#N/A</v>
      </c>
      <c r="N168" t="e">
        <f>VLOOKUP($C168,'2000 Place'!$C$2:$Y$523,15,FALSE)</f>
        <v>#N/A</v>
      </c>
      <c r="O168" t="e">
        <f>VLOOKUP($C168,'2000 Place'!$C$2:$Y$523,16,FALSE)</f>
        <v>#N/A</v>
      </c>
      <c r="P168" t="e">
        <f>VLOOKUP($C168,'2000 Place'!$C$2:$Y$523,17,FALSE)</f>
        <v>#N/A</v>
      </c>
      <c r="Q168" t="e">
        <f>VLOOKUP($C168,'2000 Place'!$C$2:$Y$523,18,FALSE)</f>
        <v>#N/A</v>
      </c>
      <c r="R168" t="e">
        <f>VLOOKUP($C168,'2000 Place'!$C$2:$Y$523,19,FALSE)</f>
        <v>#N/A</v>
      </c>
      <c r="S168" t="e">
        <f>VLOOKUP($C168,'2000 Place'!$C$2:$Y$523,20,FALSE)</f>
        <v>#N/A</v>
      </c>
      <c r="T168" t="e">
        <f>VLOOKUP($C168,'2000 Place'!$C$2:$Y$523,21,FALSE)</f>
        <v>#N/A</v>
      </c>
      <c r="U168" t="e">
        <f>VLOOKUP($C168,'2000 Place'!$C$2:$Y$523,22,FALSE)</f>
        <v>#N/A</v>
      </c>
      <c r="V168" t="e">
        <f>VLOOKUP($C168,'2000 Place'!$C$2:$Y$523,23,FALSE)</f>
        <v>#N/A</v>
      </c>
    </row>
    <row r="169" spans="1:22" x14ac:dyDescent="0.25">
      <c r="A169" t="s">
        <v>582</v>
      </c>
      <c r="B169">
        <v>5321205</v>
      </c>
      <c r="C169" t="s">
        <v>583</v>
      </c>
      <c r="D169">
        <f>VLOOKUP($C169,'2000 Place'!$C$2:$Y$523,5,FALSE)</f>
        <v>15687</v>
      </c>
      <c r="E169">
        <f>VLOOKUP($C169,'2000 Place'!$C$2:$Y$523,6,FALSE)</f>
        <v>14089</v>
      </c>
      <c r="F169">
        <f>VLOOKUP($C169,'2000 Place'!$C$2:$Y$523,7,FALSE)</f>
        <v>1598</v>
      </c>
      <c r="G169">
        <f>VLOOKUP($C169,'2000 Place'!$C$2:$Y$523,8,FALSE)</f>
        <v>11611</v>
      </c>
      <c r="H169">
        <f>VLOOKUP($C169,'2000 Place'!$C$2:$Y$523,9,FALSE)</f>
        <v>740</v>
      </c>
      <c r="I169">
        <f>VLOOKUP($C169,'2000 Place'!$C$2:$Y$523,10,FALSE)</f>
        <v>277</v>
      </c>
      <c r="J169">
        <f>VLOOKUP($C169,'2000 Place'!$C$2:$Y$523,11,FALSE)</f>
        <v>30</v>
      </c>
      <c r="K169">
        <f>VLOOKUP($C169,'2000 Place'!$C$2:$Y$523,12,FALSE)</f>
        <v>766</v>
      </c>
      <c r="L169">
        <f>VLOOKUP($C169,'2000 Place'!$C$2:$Y$523,13,FALSE)</f>
        <v>96</v>
      </c>
      <c r="M169">
        <f>VLOOKUP($C169,'2000 Place'!$C$2:$Y$523,14,FALSE)</f>
        <v>286</v>
      </c>
      <c r="N169">
        <f>VLOOKUP($C169,'2000 Place'!$C$2:$Y$523,15,FALSE)</f>
        <v>0</v>
      </c>
      <c r="O169">
        <f>VLOOKUP($C169,'2000 Place'!$C$2:$Y$523,16,FALSE)</f>
        <v>241</v>
      </c>
      <c r="P169">
        <f>VLOOKUP($C169,'2000 Place'!$C$2:$Y$523,17,FALSE)</f>
        <v>386</v>
      </c>
      <c r="Q169">
        <f>VLOOKUP($C169,'2000 Place'!$C$2:$Y$523,18,FALSE)</f>
        <v>72</v>
      </c>
      <c r="R169">
        <f>VLOOKUP($C169,'2000 Place'!$C$2:$Y$523,19,FALSE)</f>
        <v>146</v>
      </c>
      <c r="S169">
        <f>VLOOKUP($C169,'2000 Place'!$C$2:$Y$523,20,FALSE)</f>
        <v>125</v>
      </c>
      <c r="T169">
        <f>VLOOKUP($C169,'2000 Place'!$C$2:$Y$523,21,FALSE)</f>
        <v>72</v>
      </c>
      <c r="U169">
        <f>VLOOKUP($C169,'2000 Place'!$C$2:$Y$523,22,FALSE)</f>
        <v>711</v>
      </c>
      <c r="V169">
        <f>VLOOKUP($C169,'2000 Place'!$C$2:$Y$523,23,FALSE)</f>
        <v>128</v>
      </c>
    </row>
    <row r="170" spans="1:22" x14ac:dyDescent="0.25">
      <c r="A170" t="s">
        <v>584</v>
      </c>
      <c r="B170">
        <v>5321240</v>
      </c>
      <c r="C170" t="s">
        <v>585</v>
      </c>
      <c r="D170">
        <f>VLOOKUP($C170,'2000 Place'!$C$2:$Y$523,5,FALSE)</f>
        <v>15369</v>
      </c>
      <c r="E170">
        <f>VLOOKUP($C170,'2000 Place'!$C$2:$Y$523,6,FALSE)</f>
        <v>14170</v>
      </c>
      <c r="F170">
        <f>VLOOKUP($C170,'2000 Place'!$C$2:$Y$523,7,FALSE)</f>
        <v>1199</v>
      </c>
      <c r="G170">
        <f>VLOOKUP($C170,'2000 Place'!$C$2:$Y$523,8,FALSE)</f>
        <v>12805</v>
      </c>
      <c r="H170">
        <f>VLOOKUP($C170,'2000 Place'!$C$2:$Y$523,9,FALSE)</f>
        <v>351</v>
      </c>
      <c r="I170">
        <f>VLOOKUP($C170,'2000 Place'!$C$2:$Y$523,10,FALSE)</f>
        <v>360</v>
      </c>
      <c r="J170">
        <f>VLOOKUP($C170,'2000 Place'!$C$2:$Y$523,11,FALSE)</f>
        <v>189</v>
      </c>
      <c r="K170">
        <f>VLOOKUP($C170,'2000 Place'!$C$2:$Y$523,12,FALSE)</f>
        <v>214</v>
      </c>
      <c r="L170">
        <f>VLOOKUP($C170,'2000 Place'!$C$2:$Y$523,13,FALSE)</f>
        <v>4</v>
      </c>
      <c r="M170">
        <f>VLOOKUP($C170,'2000 Place'!$C$2:$Y$523,14,FALSE)</f>
        <v>148</v>
      </c>
      <c r="N170">
        <f>VLOOKUP($C170,'2000 Place'!$C$2:$Y$523,15,FALSE)</f>
        <v>0</v>
      </c>
      <c r="O170">
        <f>VLOOKUP($C170,'2000 Place'!$C$2:$Y$523,16,FALSE)</f>
        <v>76</v>
      </c>
      <c r="P170">
        <f>VLOOKUP($C170,'2000 Place'!$C$2:$Y$523,17,FALSE)</f>
        <v>400</v>
      </c>
      <c r="Q170">
        <f>VLOOKUP($C170,'2000 Place'!$C$2:$Y$523,18,FALSE)</f>
        <v>58</v>
      </c>
      <c r="R170">
        <f>VLOOKUP($C170,'2000 Place'!$C$2:$Y$523,19,FALSE)</f>
        <v>57</v>
      </c>
      <c r="S170">
        <f>VLOOKUP($C170,'2000 Place'!$C$2:$Y$523,20,FALSE)</f>
        <v>130</v>
      </c>
      <c r="T170">
        <f>VLOOKUP($C170,'2000 Place'!$C$2:$Y$523,21,FALSE)</f>
        <v>132</v>
      </c>
      <c r="U170">
        <f>VLOOKUP($C170,'2000 Place'!$C$2:$Y$523,22,FALSE)</f>
        <v>379</v>
      </c>
      <c r="V170">
        <f>VLOOKUP($C170,'2000 Place'!$C$2:$Y$523,23,FALSE)</f>
        <v>66</v>
      </c>
    </row>
    <row r="171" spans="1:22" x14ac:dyDescent="0.25">
      <c r="A171" t="s">
        <v>586</v>
      </c>
      <c r="B171">
        <v>5321450</v>
      </c>
      <c r="C171" t="s">
        <v>587</v>
      </c>
      <c r="D171">
        <f>VLOOKUP($C171,'2000 Place'!$C$2:$Y$523,5,FALSE)</f>
        <v>2955</v>
      </c>
      <c r="E171">
        <f>VLOOKUP($C171,'2000 Place'!$C$2:$Y$523,6,FALSE)</f>
        <v>2868</v>
      </c>
      <c r="F171">
        <f>VLOOKUP($C171,'2000 Place'!$C$2:$Y$523,7,FALSE)</f>
        <v>87</v>
      </c>
      <c r="G171">
        <f>VLOOKUP($C171,'2000 Place'!$C$2:$Y$523,8,FALSE)</f>
        <v>2631</v>
      </c>
      <c r="H171">
        <f>VLOOKUP($C171,'2000 Place'!$C$2:$Y$523,9,FALSE)</f>
        <v>30</v>
      </c>
      <c r="I171">
        <f>VLOOKUP($C171,'2000 Place'!$C$2:$Y$523,10,FALSE)</f>
        <v>34</v>
      </c>
      <c r="J171">
        <f>VLOOKUP($C171,'2000 Place'!$C$2:$Y$523,11,FALSE)</f>
        <v>8</v>
      </c>
      <c r="K171">
        <f>VLOOKUP($C171,'2000 Place'!$C$2:$Y$523,12,FALSE)</f>
        <v>0</v>
      </c>
      <c r="L171">
        <f>VLOOKUP($C171,'2000 Place'!$C$2:$Y$523,13,FALSE)</f>
        <v>0</v>
      </c>
      <c r="M171">
        <f>VLOOKUP($C171,'2000 Place'!$C$2:$Y$523,14,FALSE)</f>
        <v>44</v>
      </c>
      <c r="N171">
        <f>VLOOKUP($C171,'2000 Place'!$C$2:$Y$523,15,FALSE)</f>
        <v>11</v>
      </c>
      <c r="O171">
        <f>VLOOKUP($C171,'2000 Place'!$C$2:$Y$523,16,FALSE)</f>
        <v>6</v>
      </c>
      <c r="P171">
        <f>VLOOKUP($C171,'2000 Place'!$C$2:$Y$523,17,FALSE)</f>
        <v>10</v>
      </c>
      <c r="Q171">
        <f>VLOOKUP($C171,'2000 Place'!$C$2:$Y$523,18,FALSE)</f>
        <v>0</v>
      </c>
      <c r="R171">
        <f>VLOOKUP($C171,'2000 Place'!$C$2:$Y$523,19,FALSE)</f>
        <v>0</v>
      </c>
      <c r="S171">
        <f>VLOOKUP($C171,'2000 Place'!$C$2:$Y$523,20,FALSE)</f>
        <v>17</v>
      </c>
      <c r="T171">
        <f>VLOOKUP($C171,'2000 Place'!$C$2:$Y$523,21,FALSE)</f>
        <v>12</v>
      </c>
      <c r="U171">
        <f>VLOOKUP($C171,'2000 Place'!$C$2:$Y$523,22,FALSE)</f>
        <v>136</v>
      </c>
      <c r="V171">
        <f>VLOOKUP($C171,'2000 Place'!$C$2:$Y$523,23,FALSE)</f>
        <v>16</v>
      </c>
    </row>
    <row r="172" spans="1:22" x14ac:dyDescent="0.25">
      <c r="A172" t="s">
        <v>588</v>
      </c>
      <c r="B172">
        <v>5321485</v>
      </c>
      <c r="C172" t="s">
        <v>589</v>
      </c>
      <c r="D172">
        <f>VLOOKUP($C172,'2000 Place'!$C$2:$Y$523,5,FALSE)</f>
        <v>290</v>
      </c>
      <c r="E172">
        <f>VLOOKUP($C172,'2000 Place'!$C$2:$Y$523,6,FALSE)</f>
        <v>284</v>
      </c>
      <c r="F172">
        <f>VLOOKUP($C172,'2000 Place'!$C$2:$Y$523,7,FALSE)</f>
        <v>6</v>
      </c>
      <c r="G172">
        <f>VLOOKUP($C172,'2000 Place'!$C$2:$Y$523,8,FALSE)</f>
        <v>156</v>
      </c>
      <c r="H172">
        <f>VLOOKUP($C172,'2000 Place'!$C$2:$Y$523,9,FALSE)</f>
        <v>6</v>
      </c>
      <c r="I172">
        <f>VLOOKUP($C172,'2000 Place'!$C$2:$Y$523,10,FALSE)</f>
        <v>8</v>
      </c>
      <c r="J172">
        <f>VLOOKUP($C172,'2000 Place'!$C$2:$Y$523,11,FALSE)</f>
        <v>0</v>
      </c>
      <c r="K172">
        <f>VLOOKUP($C172,'2000 Place'!$C$2:$Y$523,12,FALSE)</f>
        <v>0</v>
      </c>
      <c r="L172">
        <f>VLOOKUP($C172,'2000 Place'!$C$2:$Y$523,13,FALSE)</f>
        <v>0</v>
      </c>
      <c r="M172">
        <f>VLOOKUP($C172,'2000 Place'!$C$2:$Y$523,14,FALSE)</f>
        <v>114</v>
      </c>
      <c r="N172">
        <f>VLOOKUP($C172,'2000 Place'!$C$2:$Y$523,15,FALSE)</f>
        <v>0</v>
      </c>
      <c r="O172">
        <f>VLOOKUP($C172,'2000 Place'!$C$2:$Y$523,16,FALSE)</f>
        <v>0</v>
      </c>
      <c r="P172">
        <f>VLOOKUP($C172,'2000 Place'!$C$2:$Y$523,17,FALSE)</f>
        <v>0</v>
      </c>
      <c r="Q172">
        <f>VLOOKUP($C172,'2000 Place'!$C$2:$Y$523,18,FALSE)</f>
        <v>0</v>
      </c>
      <c r="R172">
        <f>VLOOKUP($C172,'2000 Place'!$C$2:$Y$523,19,FALSE)</f>
        <v>0</v>
      </c>
      <c r="S172">
        <f>VLOOKUP($C172,'2000 Place'!$C$2:$Y$523,20,FALSE)</f>
        <v>0</v>
      </c>
      <c r="T172">
        <f>VLOOKUP($C172,'2000 Place'!$C$2:$Y$523,21,FALSE)</f>
        <v>0</v>
      </c>
      <c r="U172">
        <f>VLOOKUP($C172,'2000 Place'!$C$2:$Y$523,22,FALSE)</f>
        <v>6</v>
      </c>
      <c r="V172">
        <f>VLOOKUP($C172,'2000 Place'!$C$2:$Y$523,23,FALSE)</f>
        <v>0</v>
      </c>
    </row>
    <row r="173" spans="1:22" x14ac:dyDescent="0.25">
      <c r="A173" t="s">
        <v>590</v>
      </c>
      <c r="B173">
        <v>5321730</v>
      </c>
      <c r="C173" t="s">
        <v>591</v>
      </c>
      <c r="D173">
        <f>VLOOKUP($C173,'2000 Place'!$C$2:$Y$523,5,FALSE)</f>
        <v>621</v>
      </c>
      <c r="E173">
        <f>VLOOKUP($C173,'2000 Place'!$C$2:$Y$523,6,FALSE)</f>
        <v>610</v>
      </c>
      <c r="F173">
        <f>VLOOKUP($C173,'2000 Place'!$C$2:$Y$523,7,FALSE)</f>
        <v>11</v>
      </c>
      <c r="G173">
        <f>VLOOKUP($C173,'2000 Place'!$C$2:$Y$523,8,FALSE)</f>
        <v>535</v>
      </c>
      <c r="H173">
        <f>VLOOKUP($C173,'2000 Place'!$C$2:$Y$523,9,FALSE)</f>
        <v>11</v>
      </c>
      <c r="I173">
        <f>VLOOKUP($C173,'2000 Place'!$C$2:$Y$523,10,FALSE)</f>
        <v>2</v>
      </c>
      <c r="J173">
        <f>VLOOKUP($C173,'2000 Place'!$C$2:$Y$523,11,FALSE)</f>
        <v>0</v>
      </c>
      <c r="K173">
        <f>VLOOKUP($C173,'2000 Place'!$C$2:$Y$523,12,FALSE)</f>
        <v>0</v>
      </c>
      <c r="L173">
        <f>VLOOKUP($C173,'2000 Place'!$C$2:$Y$523,13,FALSE)</f>
        <v>0</v>
      </c>
      <c r="M173">
        <f>VLOOKUP($C173,'2000 Place'!$C$2:$Y$523,14,FALSE)</f>
        <v>6</v>
      </c>
      <c r="N173">
        <f>VLOOKUP($C173,'2000 Place'!$C$2:$Y$523,15,FALSE)</f>
        <v>0</v>
      </c>
      <c r="O173">
        <f>VLOOKUP($C173,'2000 Place'!$C$2:$Y$523,16,FALSE)</f>
        <v>65</v>
      </c>
      <c r="P173">
        <f>VLOOKUP($C173,'2000 Place'!$C$2:$Y$523,17,FALSE)</f>
        <v>0</v>
      </c>
      <c r="Q173">
        <f>VLOOKUP($C173,'2000 Place'!$C$2:$Y$523,18,FALSE)</f>
        <v>0</v>
      </c>
      <c r="R173">
        <f>VLOOKUP($C173,'2000 Place'!$C$2:$Y$523,19,FALSE)</f>
        <v>0</v>
      </c>
      <c r="S173">
        <f>VLOOKUP($C173,'2000 Place'!$C$2:$Y$523,20,FALSE)</f>
        <v>0</v>
      </c>
      <c r="T173">
        <f>VLOOKUP($C173,'2000 Place'!$C$2:$Y$523,21,FALSE)</f>
        <v>0</v>
      </c>
      <c r="U173">
        <f>VLOOKUP($C173,'2000 Place'!$C$2:$Y$523,22,FALSE)</f>
        <v>2</v>
      </c>
      <c r="V173">
        <f>VLOOKUP($C173,'2000 Place'!$C$2:$Y$523,23,FALSE)</f>
        <v>0</v>
      </c>
    </row>
    <row r="174" spans="1:22" x14ac:dyDescent="0.25">
      <c r="A174" t="s">
        <v>592</v>
      </c>
      <c r="B174">
        <v>5321800</v>
      </c>
      <c r="C174" t="s">
        <v>593</v>
      </c>
      <c r="D174" t="e">
        <f>VLOOKUP($C174,'2000 Place'!$C$2:$Y$523,5,FALSE)</f>
        <v>#N/A</v>
      </c>
      <c r="E174" t="e">
        <f>VLOOKUP($C174,'2000 Place'!$C$2:$Y$523,6,FALSE)</f>
        <v>#N/A</v>
      </c>
      <c r="F174" t="e">
        <f>VLOOKUP($C174,'2000 Place'!$C$2:$Y$523,7,FALSE)</f>
        <v>#N/A</v>
      </c>
      <c r="G174" t="e">
        <f>VLOOKUP($C174,'2000 Place'!$C$2:$Y$523,8,FALSE)</f>
        <v>#N/A</v>
      </c>
      <c r="H174" t="e">
        <f>VLOOKUP($C174,'2000 Place'!$C$2:$Y$523,9,FALSE)</f>
        <v>#N/A</v>
      </c>
      <c r="I174" t="e">
        <f>VLOOKUP($C174,'2000 Place'!$C$2:$Y$523,10,FALSE)</f>
        <v>#N/A</v>
      </c>
      <c r="J174" t="e">
        <f>VLOOKUP($C174,'2000 Place'!$C$2:$Y$523,11,FALSE)</f>
        <v>#N/A</v>
      </c>
      <c r="K174" t="e">
        <f>VLOOKUP($C174,'2000 Place'!$C$2:$Y$523,12,FALSE)</f>
        <v>#N/A</v>
      </c>
      <c r="L174" t="e">
        <f>VLOOKUP($C174,'2000 Place'!$C$2:$Y$523,13,FALSE)</f>
        <v>#N/A</v>
      </c>
      <c r="M174" t="e">
        <f>VLOOKUP($C174,'2000 Place'!$C$2:$Y$523,14,FALSE)</f>
        <v>#N/A</v>
      </c>
      <c r="N174" t="e">
        <f>VLOOKUP($C174,'2000 Place'!$C$2:$Y$523,15,FALSE)</f>
        <v>#N/A</v>
      </c>
      <c r="O174" t="e">
        <f>VLOOKUP($C174,'2000 Place'!$C$2:$Y$523,16,FALSE)</f>
        <v>#N/A</v>
      </c>
      <c r="P174" t="e">
        <f>VLOOKUP($C174,'2000 Place'!$C$2:$Y$523,17,FALSE)</f>
        <v>#N/A</v>
      </c>
      <c r="Q174" t="e">
        <f>VLOOKUP($C174,'2000 Place'!$C$2:$Y$523,18,FALSE)</f>
        <v>#N/A</v>
      </c>
      <c r="R174" t="e">
        <f>VLOOKUP($C174,'2000 Place'!$C$2:$Y$523,19,FALSE)</f>
        <v>#N/A</v>
      </c>
      <c r="S174" t="e">
        <f>VLOOKUP($C174,'2000 Place'!$C$2:$Y$523,20,FALSE)</f>
        <v>#N/A</v>
      </c>
      <c r="T174" t="e">
        <f>VLOOKUP($C174,'2000 Place'!$C$2:$Y$523,21,FALSE)</f>
        <v>#N/A</v>
      </c>
      <c r="U174" t="e">
        <f>VLOOKUP($C174,'2000 Place'!$C$2:$Y$523,22,FALSE)</f>
        <v>#N/A</v>
      </c>
      <c r="V174" t="e">
        <f>VLOOKUP($C174,'2000 Place'!$C$2:$Y$523,23,FALSE)</f>
        <v>#N/A</v>
      </c>
    </row>
    <row r="175" spans="1:22" x14ac:dyDescent="0.25">
      <c r="A175" t="s">
        <v>594</v>
      </c>
      <c r="B175">
        <v>5322010</v>
      </c>
      <c r="C175" t="s">
        <v>595</v>
      </c>
      <c r="D175">
        <f>VLOOKUP($C175,'2000 Place'!$C$2:$Y$523,5,FALSE)</f>
        <v>959</v>
      </c>
      <c r="E175">
        <f>VLOOKUP($C175,'2000 Place'!$C$2:$Y$523,6,FALSE)</f>
        <v>852</v>
      </c>
      <c r="F175">
        <f>VLOOKUP($C175,'2000 Place'!$C$2:$Y$523,7,FALSE)</f>
        <v>107</v>
      </c>
      <c r="G175">
        <f>VLOOKUP($C175,'2000 Place'!$C$2:$Y$523,8,FALSE)</f>
        <v>680</v>
      </c>
      <c r="H175">
        <f>VLOOKUP($C175,'2000 Place'!$C$2:$Y$523,9,FALSE)</f>
        <v>19</v>
      </c>
      <c r="I175">
        <f>VLOOKUP($C175,'2000 Place'!$C$2:$Y$523,10,FALSE)</f>
        <v>32</v>
      </c>
      <c r="J175">
        <f>VLOOKUP($C175,'2000 Place'!$C$2:$Y$523,11,FALSE)</f>
        <v>24</v>
      </c>
      <c r="K175">
        <f>VLOOKUP($C175,'2000 Place'!$C$2:$Y$523,12,FALSE)</f>
        <v>1</v>
      </c>
      <c r="L175">
        <f>VLOOKUP($C175,'2000 Place'!$C$2:$Y$523,13,FALSE)</f>
        <v>2</v>
      </c>
      <c r="M175">
        <f>VLOOKUP($C175,'2000 Place'!$C$2:$Y$523,14,FALSE)</f>
        <v>33</v>
      </c>
      <c r="N175">
        <f>VLOOKUP($C175,'2000 Place'!$C$2:$Y$523,15,FALSE)</f>
        <v>0</v>
      </c>
      <c r="O175">
        <f>VLOOKUP($C175,'2000 Place'!$C$2:$Y$523,16,FALSE)</f>
        <v>0</v>
      </c>
      <c r="P175">
        <f>VLOOKUP($C175,'2000 Place'!$C$2:$Y$523,17,FALSE)</f>
        <v>0</v>
      </c>
      <c r="Q175">
        <f>VLOOKUP($C175,'2000 Place'!$C$2:$Y$523,18,FALSE)</f>
        <v>0</v>
      </c>
      <c r="R175">
        <f>VLOOKUP($C175,'2000 Place'!$C$2:$Y$523,19,FALSE)</f>
        <v>0</v>
      </c>
      <c r="S175">
        <f>VLOOKUP($C175,'2000 Place'!$C$2:$Y$523,20,FALSE)</f>
        <v>76</v>
      </c>
      <c r="T175">
        <f>VLOOKUP($C175,'2000 Place'!$C$2:$Y$523,21,FALSE)</f>
        <v>56</v>
      </c>
      <c r="U175">
        <f>VLOOKUP($C175,'2000 Place'!$C$2:$Y$523,22,FALSE)</f>
        <v>30</v>
      </c>
      <c r="V175">
        <f>VLOOKUP($C175,'2000 Place'!$C$2:$Y$523,23,FALSE)</f>
        <v>6</v>
      </c>
    </row>
    <row r="176" spans="1:22" x14ac:dyDescent="0.25">
      <c r="A176" t="s">
        <v>596</v>
      </c>
      <c r="B176">
        <v>5322045</v>
      </c>
      <c r="C176" t="s">
        <v>597</v>
      </c>
      <c r="D176">
        <f>VLOOKUP($C176,'2000 Place'!$C$2:$Y$523,5,FALSE)</f>
        <v>11183</v>
      </c>
      <c r="E176">
        <f>VLOOKUP($C176,'2000 Place'!$C$2:$Y$523,6,FALSE)</f>
        <v>10694</v>
      </c>
      <c r="F176">
        <f>VLOOKUP($C176,'2000 Place'!$C$2:$Y$523,7,FALSE)</f>
        <v>489</v>
      </c>
      <c r="G176">
        <f>VLOOKUP($C176,'2000 Place'!$C$2:$Y$523,8,FALSE)</f>
        <v>9860</v>
      </c>
      <c r="H176">
        <f>VLOOKUP($C176,'2000 Place'!$C$2:$Y$523,9,FALSE)</f>
        <v>314</v>
      </c>
      <c r="I176">
        <f>VLOOKUP($C176,'2000 Place'!$C$2:$Y$523,10,FALSE)</f>
        <v>242</v>
      </c>
      <c r="J176">
        <f>VLOOKUP($C176,'2000 Place'!$C$2:$Y$523,11,FALSE)</f>
        <v>13</v>
      </c>
      <c r="K176">
        <f>VLOOKUP($C176,'2000 Place'!$C$2:$Y$523,12,FALSE)</f>
        <v>85</v>
      </c>
      <c r="L176">
        <f>VLOOKUP($C176,'2000 Place'!$C$2:$Y$523,13,FALSE)</f>
        <v>0</v>
      </c>
      <c r="M176">
        <f>VLOOKUP($C176,'2000 Place'!$C$2:$Y$523,14,FALSE)</f>
        <v>80</v>
      </c>
      <c r="N176">
        <f>VLOOKUP($C176,'2000 Place'!$C$2:$Y$523,15,FALSE)</f>
        <v>0</v>
      </c>
      <c r="O176">
        <f>VLOOKUP($C176,'2000 Place'!$C$2:$Y$523,16,FALSE)</f>
        <v>38</v>
      </c>
      <c r="P176">
        <f>VLOOKUP($C176,'2000 Place'!$C$2:$Y$523,17,FALSE)</f>
        <v>8</v>
      </c>
      <c r="Q176">
        <f>VLOOKUP($C176,'2000 Place'!$C$2:$Y$523,18,FALSE)</f>
        <v>0</v>
      </c>
      <c r="R176">
        <f>VLOOKUP($C176,'2000 Place'!$C$2:$Y$523,19,FALSE)</f>
        <v>0</v>
      </c>
      <c r="S176">
        <f>VLOOKUP($C176,'2000 Place'!$C$2:$Y$523,20,FALSE)</f>
        <v>52</v>
      </c>
      <c r="T176">
        <f>VLOOKUP($C176,'2000 Place'!$C$2:$Y$523,21,FALSE)</f>
        <v>117</v>
      </c>
      <c r="U176">
        <f>VLOOKUP($C176,'2000 Place'!$C$2:$Y$523,22,FALSE)</f>
        <v>337</v>
      </c>
      <c r="V176">
        <f>VLOOKUP($C176,'2000 Place'!$C$2:$Y$523,23,FALSE)</f>
        <v>37</v>
      </c>
    </row>
    <row r="177" spans="1:22" x14ac:dyDescent="0.25">
      <c r="A177" t="s">
        <v>598</v>
      </c>
      <c r="B177">
        <v>5322080</v>
      </c>
      <c r="C177" t="s">
        <v>599</v>
      </c>
      <c r="D177">
        <f>VLOOKUP($C177,'2000 Place'!$C$2:$Y$523,5,FALSE)</f>
        <v>6818</v>
      </c>
      <c r="E177">
        <f>VLOOKUP($C177,'2000 Place'!$C$2:$Y$523,6,FALSE)</f>
        <v>6216</v>
      </c>
      <c r="F177">
        <f>VLOOKUP($C177,'2000 Place'!$C$2:$Y$523,7,FALSE)</f>
        <v>602</v>
      </c>
      <c r="G177">
        <f>VLOOKUP($C177,'2000 Place'!$C$2:$Y$523,8,FALSE)</f>
        <v>5633</v>
      </c>
      <c r="H177">
        <f>VLOOKUP($C177,'2000 Place'!$C$2:$Y$523,9,FALSE)</f>
        <v>168</v>
      </c>
      <c r="I177">
        <f>VLOOKUP($C177,'2000 Place'!$C$2:$Y$523,10,FALSE)</f>
        <v>149</v>
      </c>
      <c r="J177">
        <f>VLOOKUP($C177,'2000 Place'!$C$2:$Y$523,11,FALSE)</f>
        <v>108</v>
      </c>
      <c r="K177">
        <f>VLOOKUP($C177,'2000 Place'!$C$2:$Y$523,12,FALSE)</f>
        <v>20</v>
      </c>
      <c r="L177">
        <f>VLOOKUP($C177,'2000 Place'!$C$2:$Y$523,13,FALSE)</f>
        <v>0</v>
      </c>
      <c r="M177">
        <f>VLOOKUP($C177,'2000 Place'!$C$2:$Y$523,14,FALSE)</f>
        <v>25</v>
      </c>
      <c r="N177">
        <f>VLOOKUP($C177,'2000 Place'!$C$2:$Y$523,15,FALSE)</f>
        <v>0</v>
      </c>
      <c r="O177">
        <f>VLOOKUP($C177,'2000 Place'!$C$2:$Y$523,16,FALSE)</f>
        <v>26</v>
      </c>
      <c r="P177">
        <f>VLOOKUP($C177,'2000 Place'!$C$2:$Y$523,17,FALSE)</f>
        <v>34</v>
      </c>
      <c r="Q177">
        <f>VLOOKUP($C177,'2000 Place'!$C$2:$Y$523,18,FALSE)</f>
        <v>8</v>
      </c>
      <c r="R177">
        <f>VLOOKUP($C177,'2000 Place'!$C$2:$Y$523,19,FALSE)</f>
        <v>0</v>
      </c>
      <c r="S177">
        <f>VLOOKUP($C177,'2000 Place'!$C$2:$Y$523,20,FALSE)</f>
        <v>264</v>
      </c>
      <c r="T177">
        <f>VLOOKUP($C177,'2000 Place'!$C$2:$Y$523,21,FALSE)</f>
        <v>283</v>
      </c>
      <c r="U177">
        <f>VLOOKUP($C177,'2000 Place'!$C$2:$Y$523,22,FALSE)</f>
        <v>91</v>
      </c>
      <c r="V177">
        <f>VLOOKUP($C177,'2000 Place'!$C$2:$Y$523,23,FALSE)</f>
        <v>9</v>
      </c>
    </row>
    <row r="178" spans="1:22" x14ac:dyDescent="0.25">
      <c r="A178" t="s">
        <v>600</v>
      </c>
      <c r="B178">
        <v>5322118</v>
      </c>
      <c r="C178" t="s">
        <v>601</v>
      </c>
      <c r="D178">
        <f>VLOOKUP($C178,'2000 Place'!$C$2:$Y$523,5,FALSE)</f>
        <v>2678</v>
      </c>
      <c r="E178">
        <f>VLOOKUP($C178,'2000 Place'!$C$2:$Y$523,6,FALSE)</f>
        <v>2492</v>
      </c>
      <c r="F178">
        <f>VLOOKUP($C178,'2000 Place'!$C$2:$Y$523,7,FALSE)</f>
        <v>186</v>
      </c>
      <c r="G178">
        <f>VLOOKUP($C178,'2000 Place'!$C$2:$Y$523,8,FALSE)</f>
        <v>2299</v>
      </c>
      <c r="H178">
        <f>VLOOKUP($C178,'2000 Place'!$C$2:$Y$523,9,FALSE)</f>
        <v>52</v>
      </c>
      <c r="I178">
        <f>VLOOKUP($C178,'2000 Place'!$C$2:$Y$523,10,FALSE)</f>
        <v>33</v>
      </c>
      <c r="J178">
        <f>VLOOKUP($C178,'2000 Place'!$C$2:$Y$523,11,FALSE)</f>
        <v>11</v>
      </c>
      <c r="K178">
        <f>VLOOKUP($C178,'2000 Place'!$C$2:$Y$523,12,FALSE)</f>
        <v>0</v>
      </c>
      <c r="L178">
        <f>VLOOKUP($C178,'2000 Place'!$C$2:$Y$523,13,FALSE)</f>
        <v>13</v>
      </c>
      <c r="M178">
        <f>VLOOKUP($C178,'2000 Place'!$C$2:$Y$523,14,FALSE)</f>
        <v>62</v>
      </c>
      <c r="N178">
        <f>VLOOKUP($C178,'2000 Place'!$C$2:$Y$523,15,FALSE)</f>
        <v>0</v>
      </c>
      <c r="O178">
        <f>VLOOKUP($C178,'2000 Place'!$C$2:$Y$523,16,FALSE)</f>
        <v>24</v>
      </c>
      <c r="P178">
        <f>VLOOKUP($C178,'2000 Place'!$C$2:$Y$523,17,FALSE)</f>
        <v>95</v>
      </c>
      <c r="Q178">
        <f>VLOOKUP($C178,'2000 Place'!$C$2:$Y$523,18,FALSE)</f>
        <v>0</v>
      </c>
      <c r="R178">
        <f>VLOOKUP($C178,'2000 Place'!$C$2:$Y$523,19,FALSE)</f>
        <v>0</v>
      </c>
      <c r="S178">
        <f>VLOOKUP($C178,'2000 Place'!$C$2:$Y$523,20,FALSE)</f>
        <v>43</v>
      </c>
      <c r="T178">
        <f>VLOOKUP($C178,'2000 Place'!$C$2:$Y$523,21,FALSE)</f>
        <v>0</v>
      </c>
      <c r="U178">
        <f>VLOOKUP($C178,'2000 Place'!$C$2:$Y$523,22,FALSE)</f>
        <v>31</v>
      </c>
      <c r="V178">
        <f>VLOOKUP($C178,'2000 Place'!$C$2:$Y$523,23,FALSE)</f>
        <v>15</v>
      </c>
    </row>
    <row r="179" spans="1:22" x14ac:dyDescent="0.25">
      <c r="A179" t="s">
        <v>602</v>
      </c>
      <c r="B179">
        <v>5322150</v>
      </c>
      <c r="C179" t="s">
        <v>603</v>
      </c>
      <c r="D179">
        <f>VLOOKUP($C179,'2000 Place'!$C$2:$Y$523,5,FALSE)</f>
        <v>424</v>
      </c>
      <c r="E179">
        <f>VLOOKUP($C179,'2000 Place'!$C$2:$Y$523,6,FALSE)</f>
        <v>409</v>
      </c>
      <c r="F179">
        <f>VLOOKUP($C179,'2000 Place'!$C$2:$Y$523,7,FALSE)</f>
        <v>15</v>
      </c>
      <c r="G179">
        <f>VLOOKUP($C179,'2000 Place'!$C$2:$Y$523,8,FALSE)</f>
        <v>348</v>
      </c>
      <c r="H179">
        <f>VLOOKUP($C179,'2000 Place'!$C$2:$Y$523,9,FALSE)</f>
        <v>0</v>
      </c>
      <c r="I179">
        <f>VLOOKUP($C179,'2000 Place'!$C$2:$Y$523,10,FALSE)</f>
        <v>17</v>
      </c>
      <c r="J179">
        <f>VLOOKUP($C179,'2000 Place'!$C$2:$Y$523,11,FALSE)</f>
        <v>11</v>
      </c>
      <c r="K179">
        <f>VLOOKUP($C179,'2000 Place'!$C$2:$Y$523,12,FALSE)</f>
        <v>0</v>
      </c>
      <c r="L179">
        <f>VLOOKUP($C179,'2000 Place'!$C$2:$Y$523,13,FALSE)</f>
        <v>0</v>
      </c>
      <c r="M179">
        <f>VLOOKUP($C179,'2000 Place'!$C$2:$Y$523,14,FALSE)</f>
        <v>7</v>
      </c>
      <c r="N179">
        <f>VLOOKUP($C179,'2000 Place'!$C$2:$Y$523,15,FALSE)</f>
        <v>0</v>
      </c>
      <c r="O179">
        <f>VLOOKUP($C179,'2000 Place'!$C$2:$Y$523,16,FALSE)</f>
        <v>0</v>
      </c>
      <c r="P179">
        <f>VLOOKUP($C179,'2000 Place'!$C$2:$Y$523,17,FALSE)</f>
        <v>0</v>
      </c>
      <c r="Q179">
        <f>VLOOKUP($C179,'2000 Place'!$C$2:$Y$523,18,FALSE)</f>
        <v>0</v>
      </c>
      <c r="R179">
        <f>VLOOKUP($C179,'2000 Place'!$C$2:$Y$523,19,FALSE)</f>
        <v>0</v>
      </c>
      <c r="S179">
        <f>VLOOKUP($C179,'2000 Place'!$C$2:$Y$523,20,FALSE)</f>
        <v>28</v>
      </c>
      <c r="T179">
        <f>VLOOKUP($C179,'2000 Place'!$C$2:$Y$523,21,FALSE)</f>
        <v>4</v>
      </c>
      <c r="U179">
        <f>VLOOKUP($C179,'2000 Place'!$C$2:$Y$523,22,FALSE)</f>
        <v>9</v>
      </c>
      <c r="V179">
        <f>VLOOKUP($C179,'2000 Place'!$C$2:$Y$523,23,FALSE)</f>
        <v>0</v>
      </c>
    </row>
    <row r="180" spans="1:22" x14ac:dyDescent="0.25">
      <c r="A180" t="s">
        <v>604</v>
      </c>
      <c r="B180">
        <v>5322255</v>
      </c>
      <c r="C180" t="s">
        <v>605</v>
      </c>
      <c r="D180">
        <f>VLOOKUP($C180,'2000 Place'!$C$2:$Y$523,5,FALSE)</f>
        <v>3581</v>
      </c>
      <c r="E180">
        <f>VLOOKUP($C180,'2000 Place'!$C$2:$Y$523,6,FALSE)</f>
        <v>3161</v>
      </c>
      <c r="F180">
        <f>VLOOKUP($C180,'2000 Place'!$C$2:$Y$523,7,FALSE)</f>
        <v>420</v>
      </c>
      <c r="G180">
        <f>VLOOKUP($C180,'2000 Place'!$C$2:$Y$523,8,FALSE)</f>
        <v>2845</v>
      </c>
      <c r="H180">
        <f>VLOOKUP($C180,'2000 Place'!$C$2:$Y$523,9,FALSE)</f>
        <v>145</v>
      </c>
      <c r="I180">
        <f>VLOOKUP($C180,'2000 Place'!$C$2:$Y$523,10,FALSE)</f>
        <v>46</v>
      </c>
      <c r="J180">
        <f>VLOOKUP($C180,'2000 Place'!$C$2:$Y$523,11,FALSE)</f>
        <v>29</v>
      </c>
      <c r="K180">
        <f>VLOOKUP($C180,'2000 Place'!$C$2:$Y$523,12,FALSE)</f>
        <v>0</v>
      </c>
      <c r="L180">
        <f>VLOOKUP($C180,'2000 Place'!$C$2:$Y$523,13,FALSE)</f>
        <v>0</v>
      </c>
      <c r="M180">
        <f>VLOOKUP($C180,'2000 Place'!$C$2:$Y$523,14,FALSE)</f>
        <v>31</v>
      </c>
      <c r="N180">
        <f>VLOOKUP($C180,'2000 Place'!$C$2:$Y$523,15,FALSE)</f>
        <v>0</v>
      </c>
      <c r="O180">
        <f>VLOOKUP($C180,'2000 Place'!$C$2:$Y$523,16,FALSE)</f>
        <v>103</v>
      </c>
      <c r="P180">
        <f>VLOOKUP($C180,'2000 Place'!$C$2:$Y$523,17,FALSE)</f>
        <v>202</v>
      </c>
      <c r="Q180">
        <f>VLOOKUP($C180,'2000 Place'!$C$2:$Y$523,18,FALSE)</f>
        <v>0</v>
      </c>
      <c r="R180">
        <f>VLOOKUP($C180,'2000 Place'!$C$2:$Y$523,19,FALSE)</f>
        <v>0</v>
      </c>
      <c r="S180">
        <f>VLOOKUP($C180,'2000 Place'!$C$2:$Y$523,20,FALSE)</f>
        <v>46</v>
      </c>
      <c r="T180">
        <f>VLOOKUP($C180,'2000 Place'!$C$2:$Y$523,21,FALSE)</f>
        <v>38</v>
      </c>
      <c r="U180">
        <f>VLOOKUP($C180,'2000 Place'!$C$2:$Y$523,22,FALSE)</f>
        <v>90</v>
      </c>
      <c r="V180">
        <f>VLOOKUP($C180,'2000 Place'!$C$2:$Y$523,23,FALSE)</f>
        <v>6</v>
      </c>
    </row>
    <row r="181" spans="1:22" x14ac:dyDescent="0.25">
      <c r="A181" t="s">
        <v>606</v>
      </c>
      <c r="B181">
        <v>5322640</v>
      </c>
      <c r="C181" t="s">
        <v>607</v>
      </c>
      <c r="D181">
        <f>VLOOKUP($C181,'2000 Place'!$C$2:$Y$523,5,FALSE)</f>
        <v>91290</v>
      </c>
      <c r="E181">
        <f>VLOOKUP($C181,'2000 Place'!$C$2:$Y$523,6,FALSE)</f>
        <v>78771</v>
      </c>
      <c r="F181">
        <f>VLOOKUP($C181,'2000 Place'!$C$2:$Y$523,7,FALSE)</f>
        <v>12519</v>
      </c>
      <c r="G181">
        <f>VLOOKUP($C181,'2000 Place'!$C$2:$Y$523,8,FALSE)</f>
        <v>66639</v>
      </c>
      <c r="H181">
        <f>VLOOKUP($C181,'2000 Place'!$C$2:$Y$523,9,FALSE)</f>
        <v>4540</v>
      </c>
      <c r="I181">
        <f>VLOOKUP($C181,'2000 Place'!$C$2:$Y$523,10,FALSE)</f>
        <v>1810</v>
      </c>
      <c r="J181">
        <f>VLOOKUP($C181,'2000 Place'!$C$2:$Y$523,11,FALSE)</f>
        <v>812</v>
      </c>
      <c r="K181">
        <f>VLOOKUP($C181,'2000 Place'!$C$2:$Y$523,12,FALSE)</f>
        <v>2550</v>
      </c>
      <c r="L181">
        <f>VLOOKUP($C181,'2000 Place'!$C$2:$Y$523,13,FALSE)</f>
        <v>317</v>
      </c>
      <c r="M181">
        <f>VLOOKUP($C181,'2000 Place'!$C$2:$Y$523,14,FALSE)</f>
        <v>1632</v>
      </c>
      <c r="N181">
        <f>VLOOKUP($C181,'2000 Place'!$C$2:$Y$523,15,FALSE)</f>
        <v>59</v>
      </c>
      <c r="O181">
        <f>VLOOKUP($C181,'2000 Place'!$C$2:$Y$523,16,FALSE)</f>
        <v>1553</v>
      </c>
      <c r="P181">
        <f>VLOOKUP($C181,'2000 Place'!$C$2:$Y$523,17,FALSE)</f>
        <v>4504</v>
      </c>
      <c r="Q181">
        <f>VLOOKUP($C181,'2000 Place'!$C$2:$Y$523,18,FALSE)</f>
        <v>147</v>
      </c>
      <c r="R181">
        <f>VLOOKUP($C181,'2000 Place'!$C$2:$Y$523,19,FALSE)</f>
        <v>96</v>
      </c>
      <c r="S181">
        <f>VLOOKUP($C181,'2000 Place'!$C$2:$Y$523,20,FALSE)</f>
        <v>1532</v>
      </c>
      <c r="T181">
        <f>VLOOKUP($C181,'2000 Place'!$C$2:$Y$523,21,FALSE)</f>
        <v>1410</v>
      </c>
      <c r="U181">
        <f>VLOOKUP($C181,'2000 Place'!$C$2:$Y$523,22,FALSE)</f>
        <v>2908</v>
      </c>
      <c r="V181">
        <f>VLOOKUP($C181,'2000 Place'!$C$2:$Y$523,23,FALSE)</f>
        <v>781</v>
      </c>
    </row>
    <row r="182" spans="1:22" x14ac:dyDescent="0.25">
      <c r="A182" t="s">
        <v>608</v>
      </c>
      <c r="B182">
        <v>5322745</v>
      </c>
      <c r="C182" t="s">
        <v>609</v>
      </c>
      <c r="D182">
        <f>VLOOKUP($C182,'2000 Place'!$C$2:$Y$523,5,FALSE)</f>
        <v>2048</v>
      </c>
      <c r="E182">
        <f>VLOOKUP($C182,'2000 Place'!$C$2:$Y$523,6,FALSE)</f>
        <v>1743</v>
      </c>
      <c r="F182">
        <f>VLOOKUP($C182,'2000 Place'!$C$2:$Y$523,7,FALSE)</f>
        <v>305</v>
      </c>
      <c r="G182">
        <f>VLOOKUP($C182,'2000 Place'!$C$2:$Y$523,8,FALSE)</f>
        <v>1429</v>
      </c>
      <c r="H182">
        <f>VLOOKUP($C182,'2000 Place'!$C$2:$Y$523,9,FALSE)</f>
        <v>62</v>
      </c>
      <c r="I182">
        <f>VLOOKUP($C182,'2000 Place'!$C$2:$Y$523,10,FALSE)</f>
        <v>117</v>
      </c>
      <c r="J182">
        <f>VLOOKUP($C182,'2000 Place'!$C$2:$Y$523,11,FALSE)</f>
        <v>119</v>
      </c>
      <c r="K182">
        <f>VLOOKUP($C182,'2000 Place'!$C$2:$Y$523,12,FALSE)</f>
        <v>15</v>
      </c>
      <c r="L182">
        <f>VLOOKUP($C182,'2000 Place'!$C$2:$Y$523,13,FALSE)</f>
        <v>2</v>
      </c>
      <c r="M182">
        <f>VLOOKUP($C182,'2000 Place'!$C$2:$Y$523,14,FALSE)</f>
        <v>31</v>
      </c>
      <c r="N182">
        <f>VLOOKUP($C182,'2000 Place'!$C$2:$Y$523,15,FALSE)</f>
        <v>16</v>
      </c>
      <c r="O182">
        <f>VLOOKUP($C182,'2000 Place'!$C$2:$Y$523,16,FALSE)</f>
        <v>7</v>
      </c>
      <c r="P182">
        <f>VLOOKUP($C182,'2000 Place'!$C$2:$Y$523,17,FALSE)</f>
        <v>34</v>
      </c>
      <c r="Q182">
        <f>VLOOKUP($C182,'2000 Place'!$C$2:$Y$523,18,FALSE)</f>
        <v>0</v>
      </c>
      <c r="R182">
        <f>VLOOKUP($C182,'2000 Place'!$C$2:$Y$523,19,FALSE)</f>
        <v>0</v>
      </c>
      <c r="S182">
        <f>VLOOKUP($C182,'2000 Place'!$C$2:$Y$523,20,FALSE)</f>
        <v>79</v>
      </c>
      <c r="T182">
        <f>VLOOKUP($C182,'2000 Place'!$C$2:$Y$523,21,FALSE)</f>
        <v>61</v>
      </c>
      <c r="U182">
        <f>VLOOKUP($C182,'2000 Place'!$C$2:$Y$523,22,FALSE)</f>
        <v>65</v>
      </c>
      <c r="V182">
        <f>VLOOKUP($C182,'2000 Place'!$C$2:$Y$523,23,FALSE)</f>
        <v>11</v>
      </c>
    </row>
    <row r="183" spans="1:22" x14ac:dyDescent="0.25">
      <c r="A183" t="s">
        <v>610</v>
      </c>
      <c r="B183">
        <v>5322955</v>
      </c>
      <c r="C183" t="s">
        <v>611</v>
      </c>
      <c r="D183">
        <f>VLOOKUP($C183,'2000 Place'!$C$2:$Y$523,5,FALSE)</f>
        <v>4357</v>
      </c>
      <c r="E183">
        <f>VLOOKUP($C183,'2000 Place'!$C$2:$Y$523,6,FALSE)</f>
        <v>3992</v>
      </c>
      <c r="F183">
        <f>VLOOKUP($C183,'2000 Place'!$C$2:$Y$523,7,FALSE)</f>
        <v>365</v>
      </c>
      <c r="G183">
        <f>VLOOKUP($C183,'2000 Place'!$C$2:$Y$523,8,FALSE)</f>
        <v>3124</v>
      </c>
      <c r="H183">
        <f>VLOOKUP($C183,'2000 Place'!$C$2:$Y$523,9,FALSE)</f>
        <v>178</v>
      </c>
      <c r="I183">
        <f>VLOOKUP($C183,'2000 Place'!$C$2:$Y$523,10,FALSE)</f>
        <v>86</v>
      </c>
      <c r="J183">
        <f>VLOOKUP($C183,'2000 Place'!$C$2:$Y$523,11,FALSE)</f>
        <v>19</v>
      </c>
      <c r="K183">
        <f>VLOOKUP($C183,'2000 Place'!$C$2:$Y$523,12,FALSE)</f>
        <v>301</v>
      </c>
      <c r="L183">
        <f>VLOOKUP($C183,'2000 Place'!$C$2:$Y$523,13,FALSE)</f>
        <v>38</v>
      </c>
      <c r="M183">
        <f>VLOOKUP($C183,'2000 Place'!$C$2:$Y$523,14,FALSE)</f>
        <v>68</v>
      </c>
      <c r="N183">
        <f>VLOOKUP($C183,'2000 Place'!$C$2:$Y$523,15,FALSE)</f>
        <v>0</v>
      </c>
      <c r="O183">
        <f>VLOOKUP($C183,'2000 Place'!$C$2:$Y$523,16,FALSE)</f>
        <v>19</v>
      </c>
      <c r="P183">
        <f>VLOOKUP($C183,'2000 Place'!$C$2:$Y$523,17,FALSE)</f>
        <v>101</v>
      </c>
      <c r="Q183">
        <f>VLOOKUP($C183,'2000 Place'!$C$2:$Y$523,18,FALSE)</f>
        <v>25</v>
      </c>
      <c r="R183">
        <f>VLOOKUP($C183,'2000 Place'!$C$2:$Y$523,19,FALSE)</f>
        <v>5</v>
      </c>
      <c r="S183">
        <f>VLOOKUP($C183,'2000 Place'!$C$2:$Y$523,20,FALSE)</f>
        <v>137</v>
      </c>
      <c r="T183">
        <f>VLOOKUP($C183,'2000 Place'!$C$2:$Y$523,21,FALSE)</f>
        <v>11</v>
      </c>
      <c r="U183">
        <f>VLOOKUP($C183,'2000 Place'!$C$2:$Y$523,22,FALSE)</f>
        <v>232</v>
      </c>
      <c r="V183">
        <f>VLOOKUP($C183,'2000 Place'!$C$2:$Y$523,23,FALSE)</f>
        <v>13</v>
      </c>
    </row>
    <row r="184" spans="1:22" x14ac:dyDescent="0.25">
      <c r="A184" t="s">
        <v>612</v>
      </c>
      <c r="B184">
        <v>5322990</v>
      </c>
      <c r="C184" t="s">
        <v>613</v>
      </c>
      <c r="D184">
        <f>VLOOKUP($C184,'2000 Place'!$C$2:$Y$523,5,FALSE)</f>
        <v>487</v>
      </c>
      <c r="E184">
        <f>VLOOKUP($C184,'2000 Place'!$C$2:$Y$523,6,FALSE)</f>
        <v>480</v>
      </c>
      <c r="F184">
        <f>VLOOKUP($C184,'2000 Place'!$C$2:$Y$523,7,FALSE)</f>
        <v>7</v>
      </c>
      <c r="G184">
        <f>VLOOKUP($C184,'2000 Place'!$C$2:$Y$523,8,FALSE)</f>
        <v>430</v>
      </c>
      <c r="H184">
        <f>VLOOKUP($C184,'2000 Place'!$C$2:$Y$523,9,FALSE)</f>
        <v>4</v>
      </c>
      <c r="I184">
        <f>VLOOKUP($C184,'2000 Place'!$C$2:$Y$523,10,FALSE)</f>
        <v>7</v>
      </c>
      <c r="J184">
        <f>VLOOKUP($C184,'2000 Place'!$C$2:$Y$523,11,FALSE)</f>
        <v>0</v>
      </c>
      <c r="K184">
        <f>VLOOKUP($C184,'2000 Place'!$C$2:$Y$523,12,FALSE)</f>
        <v>1</v>
      </c>
      <c r="L184">
        <f>VLOOKUP($C184,'2000 Place'!$C$2:$Y$523,13,FALSE)</f>
        <v>0</v>
      </c>
      <c r="M184">
        <f>VLOOKUP($C184,'2000 Place'!$C$2:$Y$523,14,FALSE)</f>
        <v>5</v>
      </c>
      <c r="N184">
        <f>VLOOKUP($C184,'2000 Place'!$C$2:$Y$523,15,FALSE)</f>
        <v>0</v>
      </c>
      <c r="O184">
        <f>VLOOKUP($C184,'2000 Place'!$C$2:$Y$523,16,FALSE)</f>
        <v>3</v>
      </c>
      <c r="P184">
        <f>VLOOKUP($C184,'2000 Place'!$C$2:$Y$523,17,FALSE)</f>
        <v>0</v>
      </c>
      <c r="Q184">
        <f>VLOOKUP($C184,'2000 Place'!$C$2:$Y$523,18,FALSE)</f>
        <v>0</v>
      </c>
      <c r="R184">
        <f>VLOOKUP($C184,'2000 Place'!$C$2:$Y$523,19,FALSE)</f>
        <v>0</v>
      </c>
      <c r="S184">
        <f>VLOOKUP($C184,'2000 Place'!$C$2:$Y$523,20,FALSE)</f>
        <v>7</v>
      </c>
      <c r="T184">
        <f>VLOOKUP($C184,'2000 Place'!$C$2:$Y$523,21,FALSE)</f>
        <v>3</v>
      </c>
      <c r="U184">
        <f>VLOOKUP($C184,'2000 Place'!$C$2:$Y$523,22,FALSE)</f>
        <v>27</v>
      </c>
      <c r="V184">
        <f>VLOOKUP($C184,'2000 Place'!$C$2:$Y$523,23,FALSE)</f>
        <v>0</v>
      </c>
    </row>
    <row r="185" spans="1:22" x14ac:dyDescent="0.25">
      <c r="A185" t="s">
        <v>614</v>
      </c>
      <c r="B185">
        <v>5323160</v>
      </c>
      <c r="C185" t="s">
        <v>1528</v>
      </c>
      <c r="D185">
        <f>VLOOKUP("Cascade-Fairwood CDP, Washington",'2000 Place'!$C$2:$Y$523,5,FALSE)/2</f>
        <v>17216.5</v>
      </c>
      <c r="E185">
        <f>VLOOKUP("Cascade-Fairwood CDP, Washington",'2000 Place'!$C$2:$Y$523,6,FALSE)/2</f>
        <v>14603</v>
      </c>
      <c r="F185">
        <f>VLOOKUP("Cascade-Fairwood CDP, Washington",'2000 Place'!$C$2:$Y$523,7,FALSE)/2</f>
        <v>2613.5</v>
      </c>
      <c r="G185">
        <f>VLOOKUP("Cascade-Fairwood CDP, Washington",'2000 Place'!$C$2:$Y$523,8,FALSE)/2</f>
        <v>11514</v>
      </c>
      <c r="H185">
        <f>VLOOKUP("Cascade-Fairwood CDP, Washington",'2000 Place'!$C$2:$Y$523,9,FALSE)/2</f>
        <v>731</v>
      </c>
      <c r="I185">
        <f>VLOOKUP("Cascade-Fairwood CDP, Washington",'2000 Place'!$C$2:$Y$523,10,FALSE)/2</f>
        <v>177.5</v>
      </c>
      <c r="J185">
        <f>VLOOKUP("Cascade-Fairwood CDP, Washington",'2000 Place'!$C$2:$Y$523,11,FALSE)/2</f>
        <v>50</v>
      </c>
      <c r="K185">
        <f>VLOOKUP("Cascade-Fairwood CDP, Washington",'2000 Place'!$C$2:$Y$523,12,FALSE)/2</f>
        <v>886.5</v>
      </c>
      <c r="L185">
        <f>VLOOKUP("Cascade-Fairwood CDP, Washington",'2000 Place'!$C$2:$Y$523,13,FALSE)/2</f>
        <v>128</v>
      </c>
      <c r="M185">
        <f>VLOOKUP("Cascade-Fairwood CDP, Washington",'2000 Place'!$C$2:$Y$523,14,FALSE)/2</f>
        <v>81</v>
      </c>
      <c r="N185">
        <f>VLOOKUP("Cascade-Fairwood CDP, Washington",'2000 Place'!$C$2:$Y$523,15,FALSE)/2</f>
        <v>5.5</v>
      </c>
      <c r="O185">
        <f>VLOOKUP("Cascade-Fairwood CDP, Washington",'2000 Place'!$C$2:$Y$523,16,FALSE)/2</f>
        <v>875.5</v>
      </c>
      <c r="P185">
        <f>VLOOKUP("Cascade-Fairwood CDP, Washington",'2000 Place'!$C$2:$Y$523,17,FALSE)/2</f>
        <v>1448</v>
      </c>
      <c r="Q185">
        <f>VLOOKUP("Cascade-Fairwood CDP, Washington",'2000 Place'!$C$2:$Y$523,18,FALSE)/2</f>
        <v>56</v>
      </c>
      <c r="R185">
        <f>VLOOKUP("Cascade-Fairwood CDP, Washington",'2000 Place'!$C$2:$Y$523,19,FALSE)/2</f>
        <v>16</v>
      </c>
      <c r="S185">
        <f>VLOOKUP("Cascade-Fairwood CDP, Washington",'2000 Place'!$C$2:$Y$523,20,FALSE)/2</f>
        <v>266.5</v>
      </c>
      <c r="T185">
        <f>VLOOKUP("Cascade-Fairwood CDP, Washington",'2000 Place'!$C$2:$Y$523,21,FALSE)/2</f>
        <v>128.5</v>
      </c>
      <c r="U185">
        <f>VLOOKUP("Cascade-Fairwood CDP, Washington",'2000 Place'!$C$2:$Y$523,22,FALSE)/2</f>
        <v>746</v>
      </c>
      <c r="V185">
        <f>VLOOKUP("Cascade-Fairwood CDP, Washington",'2000 Place'!$C$2:$Y$523,23,FALSE)/2</f>
        <v>106.5</v>
      </c>
    </row>
    <row r="186" spans="1:22" x14ac:dyDescent="0.25">
      <c r="A186" t="s">
        <v>616</v>
      </c>
      <c r="B186">
        <v>5323165</v>
      </c>
      <c r="C186" t="s">
        <v>617</v>
      </c>
      <c r="D186" t="e">
        <f>VLOOKUP($C186,'2000 Place'!$C$2:$Y$523,5,FALSE)</f>
        <v>#N/A</v>
      </c>
      <c r="E186" t="e">
        <f>VLOOKUP($C186,'2000 Place'!$C$2:$Y$523,6,FALSE)</f>
        <v>#N/A</v>
      </c>
      <c r="F186" t="e">
        <f>VLOOKUP($C186,'2000 Place'!$C$2:$Y$523,7,FALSE)</f>
        <v>#N/A</v>
      </c>
      <c r="G186" t="e">
        <f>VLOOKUP($C186,'2000 Place'!$C$2:$Y$523,8,FALSE)</f>
        <v>#N/A</v>
      </c>
      <c r="H186" t="e">
        <f>VLOOKUP($C186,'2000 Place'!$C$2:$Y$523,9,FALSE)</f>
        <v>#N/A</v>
      </c>
      <c r="I186" t="e">
        <f>VLOOKUP($C186,'2000 Place'!$C$2:$Y$523,10,FALSE)</f>
        <v>#N/A</v>
      </c>
      <c r="J186" t="e">
        <f>VLOOKUP($C186,'2000 Place'!$C$2:$Y$523,11,FALSE)</f>
        <v>#N/A</v>
      </c>
      <c r="K186" t="e">
        <f>VLOOKUP($C186,'2000 Place'!$C$2:$Y$523,12,FALSE)</f>
        <v>#N/A</v>
      </c>
      <c r="L186" t="e">
        <f>VLOOKUP($C186,'2000 Place'!$C$2:$Y$523,13,FALSE)</f>
        <v>#N/A</v>
      </c>
      <c r="M186" t="e">
        <f>VLOOKUP($C186,'2000 Place'!$C$2:$Y$523,14,FALSE)</f>
        <v>#N/A</v>
      </c>
      <c r="N186" t="e">
        <f>VLOOKUP($C186,'2000 Place'!$C$2:$Y$523,15,FALSE)</f>
        <v>#N/A</v>
      </c>
      <c r="O186" t="e">
        <f>VLOOKUP($C186,'2000 Place'!$C$2:$Y$523,16,FALSE)</f>
        <v>#N/A</v>
      </c>
      <c r="P186" t="e">
        <f>VLOOKUP($C186,'2000 Place'!$C$2:$Y$523,17,FALSE)</f>
        <v>#N/A</v>
      </c>
      <c r="Q186" t="e">
        <f>VLOOKUP($C186,'2000 Place'!$C$2:$Y$523,18,FALSE)</f>
        <v>#N/A</v>
      </c>
      <c r="R186" t="e">
        <f>VLOOKUP($C186,'2000 Place'!$C$2:$Y$523,19,FALSE)</f>
        <v>#N/A</v>
      </c>
      <c r="S186" t="e">
        <f>VLOOKUP($C186,'2000 Place'!$C$2:$Y$523,20,FALSE)</f>
        <v>#N/A</v>
      </c>
      <c r="T186" t="e">
        <f>VLOOKUP($C186,'2000 Place'!$C$2:$Y$523,21,FALSE)</f>
        <v>#N/A</v>
      </c>
      <c r="U186" t="e">
        <f>VLOOKUP($C186,'2000 Place'!$C$2:$Y$523,22,FALSE)</f>
        <v>#N/A</v>
      </c>
      <c r="V186" t="e">
        <f>VLOOKUP($C186,'2000 Place'!$C$2:$Y$523,23,FALSE)</f>
        <v>#N/A</v>
      </c>
    </row>
    <row r="187" spans="1:22" x14ac:dyDescent="0.25">
      <c r="A187" t="s">
        <v>618</v>
      </c>
      <c r="B187">
        <v>5323200</v>
      </c>
      <c r="C187" t="s">
        <v>619</v>
      </c>
      <c r="D187">
        <f>VLOOKUP($C187,'2000 Place'!$C$2:$Y$523,5,FALSE)</f>
        <v>1651</v>
      </c>
      <c r="E187">
        <f>VLOOKUP($C187,'2000 Place'!$C$2:$Y$523,6,FALSE)</f>
        <v>1593</v>
      </c>
      <c r="F187">
        <f>VLOOKUP($C187,'2000 Place'!$C$2:$Y$523,7,FALSE)</f>
        <v>58</v>
      </c>
      <c r="G187">
        <f>VLOOKUP($C187,'2000 Place'!$C$2:$Y$523,8,FALSE)</f>
        <v>1524</v>
      </c>
      <c r="H187">
        <f>VLOOKUP($C187,'2000 Place'!$C$2:$Y$523,9,FALSE)</f>
        <v>29</v>
      </c>
      <c r="I187">
        <f>VLOOKUP($C187,'2000 Place'!$C$2:$Y$523,10,FALSE)</f>
        <v>5</v>
      </c>
      <c r="J187">
        <f>VLOOKUP($C187,'2000 Place'!$C$2:$Y$523,11,FALSE)</f>
        <v>9</v>
      </c>
      <c r="K187">
        <f>VLOOKUP($C187,'2000 Place'!$C$2:$Y$523,12,FALSE)</f>
        <v>14</v>
      </c>
      <c r="L187">
        <f>VLOOKUP($C187,'2000 Place'!$C$2:$Y$523,13,FALSE)</f>
        <v>6</v>
      </c>
      <c r="M187">
        <f>VLOOKUP($C187,'2000 Place'!$C$2:$Y$523,14,FALSE)</f>
        <v>19</v>
      </c>
      <c r="N187">
        <f>VLOOKUP($C187,'2000 Place'!$C$2:$Y$523,15,FALSE)</f>
        <v>0</v>
      </c>
      <c r="O187">
        <f>VLOOKUP($C187,'2000 Place'!$C$2:$Y$523,16,FALSE)</f>
        <v>0</v>
      </c>
      <c r="P187">
        <f>VLOOKUP($C187,'2000 Place'!$C$2:$Y$523,17,FALSE)</f>
        <v>0</v>
      </c>
      <c r="Q187">
        <f>VLOOKUP($C187,'2000 Place'!$C$2:$Y$523,18,FALSE)</f>
        <v>0</v>
      </c>
      <c r="R187">
        <f>VLOOKUP($C187,'2000 Place'!$C$2:$Y$523,19,FALSE)</f>
        <v>0</v>
      </c>
      <c r="S187">
        <f>VLOOKUP($C187,'2000 Place'!$C$2:$Y$523,20,FALSE)</f>
        <v>0</v>
      </c>
      <c r="T187">
        <f>VLOOKUP($C187,'2000 Place'!$C$2:$Y$523,21,FALSE)</f>
        <v>14</v>
      </c>
      <c r="U187">
        <f>VLOOKUP($C187,'2000 Place'!$C$2:$Y$523,22,FALSE)</f>
        <v>31</v>
      </c>
      <c r="V187">
        <f>VLOOKUP($C187,'2000 Place'!$C$2:$Y$523,23,FALSE)</f>
        <v>0</v>
      </c>
    </row>
    <row r="188" spans="1:22" x14ac:dyDescent="0.25">
      <c r="A188" t="s">
        <v>620</v>
      </c>
      <c r="B188">
        <v>5323340</v>
      </c>
      <c r="C188" t="s">
        <v>621</v>
      </c>
      <c r="D188">
        <f>VLOOKUP($C188,'2000 Place'!$C$2:$Y$523,5,FALSE)</f>
        <v>117</v>
      </c>
      <c r="E188">
        <f>VLOOKUP($C188,'2000 Place'!$C$2:$Y$523,6,FALSE)</f>
        <v>117</v>
      </c>
      <c r="F188">
        <f>VLOOKUP($C188,'2000 Place'!$C$2:$Y$523,7,FALSE)</f>
        <v>0</v>
      </c>
      <c r="G188">
        <f>VLOOKUP($C188,'2000 Place'!$C$2:$Y$523,8,FALSE)</f>
        <v>116</v>
      </c>
      <c r="H188">
        <f>VLOOKUP($C188,'2000 Place'!$C$2:$Y$523,9,FALSE)</f>
        <v>0</v>
      </c>
      <c r="I188">
        <f>VLOOKUP($C188,'2000 Place'!$C$2:$Y$523,10,FALSE)</f>
        <v>0</v>
      </c>
      <c r="J188">
        <f>VLOOKUP($C188,'2000 Place'!$C$2:$Y$523,11,FALSE)</f>
        <v>0</v>
      </c>
      <c r="K188">
        <f>VLOOKUP($C188,'2000 Place'!$C$2:$Y$523,12,FALSE)</f>
        <v>0</v>
      </c>
      <c r="L188">
        <f>VLOOKUP($C188,'2000 Place'!$C$2:$Y$523,13,FALSE)</f>
        <v>0</v>
      </c>
      <c r="M188">
        <f>VLOOKUP($C188,'2000 Place'!$C$2:$Y$523,14,FALSE)</f>
        <v>1</v>
      </c>
      <c r="N188">
        <f>VLOOKUP($C188,'2000 Place'!$C$2:$Y$523,15,FALSE)</f>
        <v>0</v>
      </c>
      <c r="O188">
        <f>VLOOKUP($C188,'2000 Place'!$C$2:$Y$523,16,FALSE)</f>
        <v>0</v>
      </c>
      <c r="P188">
        <f>VLOOKUP($C188,'2000 Place'!$C$2:$Y$523,17,FALSE)</f>
        <v>0</v>
      </c>
      <c r="Q188">
        <f>VLOOKUP($C188,'2000 Place'!$C$2:$Y$523,18,FALSE)</f>
        <v>0</v>
      </c>
      <c r="R188">
        <f>VLOOKUP($C188,'2000 Place'!$C$2:$Y$523,19,FALSE)</f>
        <v>0</v>
      </c>
      <c r="S188">
        <f>VLOOKUP($C188,'2000 Place'!$C$2:$Y$523,20,FALSE)</f>
        <v>0</v>
      </c>
      <c r="T188">
        <f>VLOOKUP($C188,'2000 Place'!$C$2:$Y$523,21,FALSE)</f>
        <v>0</v>
      </c>
      <c r="U188">
        <f>VLOOKUP($C188,'2000 Place'!$C$2:$Y$523,22,FALSE)</f>
        <v>0</v>
      </c>
      <c r="V188">
        <f>VLOOKUP($C188,'2000 Place'!$C$2:$Y$523,23,FALSE)</f>
        <v>0</v>
      </c>
    </row>
    <row r="189" spans="1:22" x14ac:dyDescent="0.25">
      <c r="A189" t="s">
        <v>622</v>
      </c>
      <c r="B189">
        <v>5323515</v>
      </c>
      <c r="C189" t="s">
        <v>623</v>
      </c>
      <c r="D189">
        <f>VLOOKUP($C189,'2000 Place'!$C$2:$Y$523,5,FALSE)</f>
        <v>83233</v>
      </c>
      <c r="E189">
        <f>VLOOKUP($C189,'2000 Place'!$C$2:$Y$523,6,FALSE)</f>
        <v>67469</v>
      </c>
      <c r="F189">
        <f>VLOOKUP($C189,'2000 Place'!$C$2:$Y$523,7,FALSE)</f>
        <v>15764</v>
      </c>
      <c r="G189">
        <f>VLOOKUP($C189,'2000 Place'!$C$2:$Y$523,8,FALSE)</f>
        <v>50312</v>
      </c>
      <c r="H189">
        <f>VLOOKUP($C189,'2000 Place'!$C$2:$Y$523,9,FALSE)</f>
        <v>4414</v>
      </c>
      <c r="I189">
        <f>VLOOKUP($C189,'2000 Place'!$C$2:$Y$523,10,FALSE)</f>
        <v>1479</v>
      </c>
      <c r="J189">
        <f>VLOOKUP($C189,'2000 Place'!$C$2:$Y$523,11,FALSE)</f>
        <v>732</v>
      </c>
      <c r="K189">
        <f>VLOOKUP($C189,'2000 Place'!$C$2:$Y$523,12,FALSE)</f>
        <v>5706</v>
      </c>
      <c r="L189">
        <f>VLOOKUP($C189,'2000 Place'!$C$2:$Y$523,13,FALSE)</f>
        <v>534</v>
      </c>
      <c r="M189">
        <f>VLOOKUP($C189,'2000 Place'!$C$2:$Y$523,14,FALSE)</f>
        <v>673</v>
      </c>
      <c r="N189">
        <f>VLOOKUP($C189,'2000 Place'!$C$2:$Y$523,15,FALSE)</f>
        <v>41</v>
      </c>
      <c r="O189">
        <f>VLOOKUP($C189,'2000 Place'!$C$2:$Y$523,16,FALSE)</f>
        <v>3016</v>
      </c>
      <c r="P189">
        <f>VLOOKUP($C189,'2000 Place'!$C$2:$Y$523,17,FALSE)</f>
        <v>7146</v>
      </c>
      <c r="Q189">
        <f>VLOOKUP($C189,'2000 Place'!$C$2:$Y$523,18,FALSE)</f>
        <v>490</v>
      </c>
      <c r="R189">
        <f>VLOOKUP($C189,'2000 Place'!$C$2:$Y$523,19,FALSE)</f>
        <v>405</v>
      </c>
      <c r="S189">
        <f>VLOOKUP($C189,'2000 Place'!$C$2:$Y$523,20,FALSE)</f>
        <v>1690</v>
      </c>
      <c r="T189">
        <f>VLOOKUP($C189,'2000 Place'!$C$2:$Y$523,21,FALSE)</f>
        <v>1391</v>
      </c>
      <c r="U189">
        <f>VLOOKUP($C189,'2000 Place'!$C$2:$Y$523,22,FALSE)</f>
        <v>4103</v>
      </c>
      <c r="V189">
        <f>VLOOKUP($C189,'2000 Place'!$C$2:$Y$523,23,FALSE)</f>
        <v>1101</v>
      </c>
    </row>
    <row r="190" spans="1:22" x14ac:dyDescent="0.25">
      <c r="A190" t="s">
        <v>624</v>
      </c>
      <c r="B190">
        <v>5323550</v>
      </c>
      <c r="C190" t="s">
        <v>625</v>
      </c>
      <c r="D190">
        <f>VLOOKUP($C190,'2000 Place'!$C$2:$Y$523,5,FALSE)</f>
        <v>5783</v>
      </c>
      <c r="E190">
        <f>VLOOKUP($C190,'2000 Place'!$C$2:$Y$523,6,FALSE)</f>
        <v>5390</v>
      </c>
      <c r="F190">
        <f>VLOOKUP($C190,'2000 Place'!$C$2:$Y$523,7,FALSE)</f>
        <v>393</v>
      </c>
      <c r="G190">
        <f>VLOOKUP($C190,'2000 Place'!$C$2:$Y$523,8,FALSE)</f>
        <v>5063</v>
      </c>
      <c r="H190">
        <f>VLOOKUP($C190,'2000 Place'!$C$2:$Y$523,9,FALSE)</f>
        <v>221</v>
      </c>
      <c r="I190">
        <f>VLOOKUP($C190,'2000 Place'!$C$2:$Y$523,10,FALSE)</f>
        <v>47</v>
      </c>
      <c r="J190">
        <f>VLOOKUP($C190,'2000 Place'!$C$2:$Y$523,11,FALSE)</f>
        <v>9</v>
      </c>
      <c r="K190">
        <f>VLOOKUP($C190,'2000 Place'!$C$2:$Y$523,12,FALSE)</f>
        <v>28</v>
      </c>
      <c r="L190">
        <f>VLOOKUP($C190,'2000 Place'!$C$2:$Y$523,13,FALSE)</f>
        <v>8</v>
      </c>
      <c r="M190">
        <f>VLOOKUP($C190,'2000 Place'!$C$2:$Y$523,14,FALSE)</f>
        <v>0</v>
      </c>
      <c r="N190">
        <f>VLOOKUP($C190,'2000 Place'!$C$2:$Y$523,15,FALSE)</f>
        <v>0</v>
      </c>
      <c r="O190">
        <f>VLOOKUP($C190,'2000 Place'!$C$2:$Y$523,16,FALSE)</f>
        <v>30</v>
      </c>
      <c r="P190">
        <f>VLOOKUP($C190,'2000 Place'!$C$2:$Y$523,17,FALSE)</f>
        <v>155</v>
      </c>
      <c r="Q190">
        <f>VLOOKUP($C190,'2000 Place'!$C$2:$Y$523,18,FALSE)</f>
        <v>8</v>
      </c>
      <c r="R190">
        <f>VLOOKUP($C190,'2000 Place'!$C$2:$Y$523,19,FALSE)</f>
        <v>0</v>
      </c>
      <c r="S190">
        <f>VLOOKUP($C190,'2000 Place'!$C$2:$Y$523,20,FALSE)</f>
        <v>0</v>
      </c>
      <c r="T190">
        <f>VLOOKUP($C190,'2000 Place'!$C$2:$Y$523,21,FALSE)</f>
        <v>0</v>
      </c>
      <c r="U190">
        <f>VLOOKUP($C190,'2000 Place'!$C$2:$Y$523,22,FALSE)</f>
        <v>214</v>
      </c>
      <c r="V190">
        <f>VLOOKUP($C190,'2000 Place'!$C$2:$Y$523,23,FALSE)</f>
        <v>0</v>
      </c>
    </row>
    <row r="191" spans="1:22" x14ac:dyDescent="0.25">
      <c r="A191" t="s">
        <v>626</v>
      </c>
      <c r="B191">
        <v>5323620</v>
      </c>
      <c r="C191" t="s">
        <v>627</v>
      </c>
      <c r="D191">
        <f>VLOOKUP($C191,'2000 Place'!$C$2:$Y$523,5,FALSE)</f>
        <v>8813</v>
      </c>
      <c r="E191">
        <f>VLOOKUP($C191,'2000 Place'!$C$2:$Y$523,6,FALSE)</f>
        <v>7511</v>
      </c>
      <c r="F191">
        <f>VLOOKUP($C191,'2000 Place'!$C$2:$Y$523,7,FALSE)</f>
        <v>1302</v>
      </c>
      <c r="G191">
        <f>VLOOKUP($C191,'2000 Place'!$C$2:$Y$523,8,FALSE)</f>
        <v>6474</v>
      </c>
      <c r="H191">
        <f>VLOOKUP($C191,'2000 Place'!$C$2:$Y$523,9,FALSE)</f>
        <v>708</v>
      </c>
      <c r="I191">
        <f>VLOOKUP($C191,'2000 Place'!$C$2:$Y$523,10,FALSE)</f>
        <v>200</v>
      </c>
      <c r="J191">
        <f>VLOOKUP($C191,'2000 Place'!$C$2:$Y$523,11,FALSE)</f>
        <v>58</v>
      </c>
      <c r="K191">
        <f>VLOOKUP($C191,'2000 Place'!$C$2:$Y$523,12,FALSE)</f>
        <v>6</v>
      </c>
      <c r="L191">
        <f>VLOOKUP($C191,'2000 Place'!$C$2:$Y$523,13,FALSE)</f>
        <v>0</v>
      </c>
      <c r="M191">
        <f>VLOOKUP($C191,'2000 Place'!$C$2:$Y$523,14,FALSE)</f>
        <v>294</v>
      </c>
      <c r="N191">
        <f>VLOOKUP($C191,'2000 Place'!$C$2:$Y$523,15,FALSE)</f>
        <v>0</v>
      </c>
      <c r="O191">
        <f>VLOOKUP($C191,'2000 Place'!$C$2:$Y$523,16,FALSE)</f>
        <v>67</v>
      </c>
      <c r="P191">
        <f>VLOOKUP($C191,'2000 Place'!$C$2:$Y$523,17,FALSE)</f>
        <v>158</v>
      </c>
      <c r="Q191">
        <f>VLOOKUP($C191,'2000 Place'!$C$2:$Y$523,18,FALSE)</f>
        <v>0</v>
      </c>
      <c r="R191">
        <f>VLOOKUP($C191,'2000 Place'!$C$2:$Y$523,19,FALSE)</f>
        <v>0</v>
      </c>
      <c r="S191">
        <f>VLOOKUP($C191,'2000 Place'!$C$2:$Y$523,20,FALSE)</f>
        <v>186</v>
      </c>
      <c r="T191">
        <f>VLOOKUP($C191,'2000 Place'!$C$2:$Y$523,21,FALSE)</f>
        <v>238</v>
      </c>
      <c r="U191">
        <f>VLOOKUP($C191,'2000 Place'!$C$2:$Y$523,22,FALSE)</f>
        <v>284</v>
      </c>
      <c r="V191">
        <f>VLOOKUP($C191,'2000 Place'!$C$2:$Y$523,23,FALSE)</f>
        <v>140</v>
      </c>
    </row>
    <row r="192" spans="1:22" x14ac:dyDescent="0.25">
      <c r="A192" t="s">
        <v>628</v>
      </c>
      <c r="B192">
        <v>5323690</v>
      </c>
      <c r="C192" t="s">
        <v>629</v>
      </c>
      <c r="D192" t="e">
        <f>VLOOKUP($C192,'2000 Place'!$C$2:$Y$523,5,FALSE)</f>
        <v>#N/A</v>
      </c>
      <c r="E192" t="e">
        <f>VLOOKUP($C192,'2000 Place'!$C$2:$Y$523,6,FALSE)</f>
        <v>#N/A</v>
      </c>
      <c r="F192" t="e">
        <f>VLOOKUP($C192,'2000 Place'!$C$2:$Y$523,7,FALSE)</f>
        <v>#N/A</v>
      </c>
      <c r="G192" t="e">
        <f>VLOOKUP($C192,'2000 Place'!$C$2:$Y$523,8,FALSE)</f>
        <v>#N/A</v>
      </c>
      <c r="H192" t="e">
        <f>VLOOKUP($C192,'2000 Place'!$C$2:$Y$523,9,FALSE)</f>
        <v>#N/A</v>
      </c>
      <c r="I192" t="e">
        <f>VLOOKUP($C192,'2000 Place'!$C$2:$Y$523,10,FALSE)</f>
        <v>#N/A</v>
      </c>
      <c r="J192" t="e">
        <f>VLOOKUP($C192,'2000 Place'!$C$2:$Y$523,11,FALSE)</f>
        <v>#N/A</v>
      </c>
      <c r="K192" t="e">
        <f>VLOOKUP($C192,'2000 Place'!$C$2:$Y$523,12,FALSE)</f>
        <v>#N/A</v>
      </c>
      <c r="L192" t="e">
        <f>VLOOKUP($C192,'2000 Place'!$C$2:$Y$523,13,FALSE)</f>
        <v>#N/A</v>
      </c>
      <c r="M192" t="e">
        <f>VLOOKUP($C192,'2000 Place'!$C$2:$Y$523,14,FALSE)</f>
        <v>#N/A</v>
      </c>
      <c r="N192" t="e">
        <f>VLOOKUP($C192,'2000 Place'!$C$2:$Y$523,15,FALSE)</f>
        <v>#N/A</v>
      </c>
      <c r="O192" t="e">
        <f>VLOOKUP($C192,'2000 Place'!$C$2:$Y$523,16,FALSE)</f>
        <v>#N/A</v>
      </c>
      <c r="P192" t="e">
        <f>VLOOKUP($C192,'2000 Place'!$C$2:$Y$523,17,FALSE)</f>
        <v>#N/A</v>
      </c>
      <c r="Q192" t="e">
        <f>VLOOKUP($C192,'2000 Place'!$C$2:$Y$523,18,FALSE)</f>
        <v>#N/A</v>
      </c>
      <c r="R192" t="e">
        <f>VLOOKUP($C192,'2000 Place'!$C$2:$Y$523,19,FALSE)</f>
        <v>#N/A</v>
      </c>
      <c r="S192" t="e">
        <f>VLOOKUP($C192,'2000 Place'!$C$2:$Y$523,20,FALSE)</f>
        <v>#N/A</v>
      </c>
      <c r="T192" t="e">
        <f>VLOOKUP($C192,'2000 Place'!$C$2:$Y$523,21,FALSE)</f>
        <v>#N/A</v>
      </c>
      <c r="U192" t="e">
        <f>VLOOKUP($C192,'2000 Place'!$C$2:$Y$523,22,FALSE)</f>
        <v>#N/A</v>
      </c>
      <c r="V192" t="e">
        <f>VLOOKUP($C192,'2000 Place'!$C$2:$Y$523,23,FALSE)</f>
        <v>#N/A</v>
      </c>
    </row>
    <row r="193" spans="1:22" x14ac:dyDescent="0.25">
      <c r="A193" t="s">
        <v>630</v>
      </c>
      <c r="B193">
        <v>5323795</v>
      </c>
      <c r="C193" t="s">
        <v>631</v>
      </c>
      <c r="D193">
        <f>VLOOKUP($C193,'2000 Place'!$C$2:$Y$523,5,FALSE)</f>
        <v>4760</v>
      </c>
      <c r="E193">
        <f>VLOOKUP($C193,'2000 Place'!$C$2:$Y$523,6,FALSE)</f>
        <v>4078</v>
      </c>
      <c r="F193">
        <f>VLOOKUP($C193,'2000 Place'!$C$2:$Y$523,7,FALSE)</f>
        <v>682</v>
      </c>
      <c r="G193">
        <f>VLOOKUP($C193,'2000 Place'!$C$2:$Y$523,8,FALSE)</f>
        <v>2949</v>
      </c>
      <c r="H193">
        <f>VLOOKUP($C193,'2000 Place'!$C$2:$Y$523,9,FALSE)</f>
        <v>91</v>
      </c>
      <c r="I193">
        <f>VLOOKUP($C193,'2000 Place'!$C$2:$Y$523,10,FALSE)</f>
        <v>135</v>
      </c>
      <c r="J193">
        <f>VLOOKUP($C193,'2000 Place'!$C$2:$Y$523,11,FALSE)</f>
        <v>108</v>
      </c>
      <c r="K193">
        <f>VLOOKUP($C193,'2000 Place'!$C$2:$Y$523,12,FALSE)</f>
        <v>263</v>
      </c>
      <c r="L193">
        <f>VLOOKUP($C193,'2000 Place'!$C$2:$Y$523,13,FALSE)</f>
        <v>9</v>
      </c>
      <c r="M193">
        <f>VLOOKUP($C193,'2000 Place'!$C$2:$Y$523,14,FALSE)</f>
        <v>213</v>
      </c>
      <c r="N193">
        <f>VLOOKUP($C193,'2000 Place'!$C$2:$Y$523,15,FALSE)</f>
        <v>2</v>
      </c>
      <c r="O193">
        <f>VLOOKUP($C193,'2000 Place'!$C$2:$Y$523,16,FALSE)</f>
        <v>126</v>
      </c>
      <c r="P193">
        <f>VLOOKUP($C193,'2000 Place'!$C$2:$Y$523,17,FALSE)</f>
        <v>153</v>
      </c>
      <c r="Q193">
        <f>VLOOKUP($C193,'2000 Place'!$C$2:$Y$523,18,FALSE)</f>
        <v>37</v>
      </c>
      <c r="R193">
        <f>VLOOKUP($C193,'2000 Place'!$C$2:$Y$523,19,FALSE)</f>
        <v>32</v>
      </c>
      <c r="S193">
        <f>VLOOKUP($C193,'2000 Place'!$C$2:$Y$523,20,FALSE)</f>
        <v>103</v>
      </c>
      <c r="T193">
        <f>VLOOKUP($C193,'2000 Place'!$C$2:$Y$523,21,FALSE)</f>
        <v>234</v>
      </c>
      <c r="U193">
        <f>VLOOKUP($C193,'2000 Place'!$C$2:$Y$523,22,FALSE)</f>
        <v>252</v>
      </c>
      <c r="V193">
        <f>VLOOKUP($C193,'2000 Place'!$C$2:$Y$523,23,FALSE)</f>
        <v>53</v>
      </c>
    </row>
    <row r="194" spans="1:22" x14ac:dyDescent="0.25">
      <c r="A194" t="s">
        <v>632</v>
      </c>
      <c r="B194">
        <v>5323830</v>
      </c>
      <c r="C194" t="s">
        <v>633</v>
      </c>
      <c r="D194" t="e">
        <f>VLOOKUP($C194,'2000 Place'!$C$2:$Y$523,5,FALSE)</f>
        <v>#N/A</v>
      </c>
      <c r="E194" t="e">
        <f>VLOOKUP($C194,'2000 Place'!$C$2:$Y$523,6,FALSE)</f>
        <v>#N/A</v>
      </c>
      <c r="F194" t="e">
        <f>VLOOKUP($C194,'2000 Place'!$C$2:$Y$523,7,FALSE)</f>
        <v>#N/A</v>
      </c>
      <c r="G194" t="e">
        <f>VLOOKUP($C194,'2000 Place'!$C$2:$Y$523,8,FALSE)</f>
        <v>#N/A</v>
      </c>
      <c r="H194" t="e">
        <f>VLOOKUP($C194,'2000 Place'!$C$2:$Y$523,9,FALSE)</f>
        <v>#N/A</v>
      </c>
      <c r="I194" t="e">
        <f>VLOOKUP($C194,'2000 Place'!$C$2:$Y$523,10,FALSE)</f>
        <v>#N/A</v>
      </c>
      <c r="J194" t="e">
        <f>VLOOKUP($C194,'2000 Place'!$C$2:$Y$523,11,FALSE)</f>
        <v>#N/A</v>
      </c>
      <c r="K194" t="e">
        <f>VLOOKUP($C194,'2000 Place'!$C$2:$Y$523,12,FALSE)</f>
        <v>#N/A</v>
      </c>
      <c r="L194" t="e">
        <f>VLOOKUP($C194,'2000 Place'!$C$2:$Y$523,13,FALSE)</f>
        <v>#N/A</v>
      </c>
      <c r="M194" t="e">
        <f>VLOOKUP($C194,'2000 Place'!$C$2:$Y$523,14,FALSE)</f>
        <v>#N/A</v>
      </c>
      <c r="N194" t="e">
        <f>VLOOKUP($C194,'2000 Place'!$C$2:$Y$523,15,FALSE)</f>
        <v>#N/A</v>
      </c>
      <c r="O194" t="e">
        <f>VLOOKUP($C194,'2000 Place'!$C$2:$Y$523,16,FALSE)</f>
        <v>#N/A</v>
      </c>
      <c r="P194" t="e">
        <f>VLOOKUP($C194,'2000 Place'!$C$2:$Y$523,17,FALSE)</f>
        <v>#N/A</v>
      </c>
      <c r="Q194" t="e">
        <f>VLOOKUP($C194,'2000 Place'!$C$2:$Y$523,18,FALSE)</f>
        <v>#N/A</v>
      </c>
      <c r="R194" t="e">
        <f>VLOOKUP($C194,'2000 Place'!$C$2:$Y$523,19,FALSE)</f>
        <v>#N/A</v>
      </c>
      <c r="S194" t="e">
        <f>VLOOKUP($C194,'2000 Place'!$C$2:$Y$523,20,FALSE)</f>
        <v>#N/A</v>
      </c>
      <c r="T194" t="e">
        <f>VLOOKUP($C194,'2000 Place'!$C$2:$Y$523,21,FALSE)</f>
        <v>#N/A</v>
      </c>
      <c r="U194" t="e">
        <f>VLOOKUP($C194,'2000 Place'!$C$2:$Y$523,22,FALSE)</f>
        <v>#N/A</v>
      </c>
      <c r="V194" t="e">
        <f>VLOOKUP($C194,'2000 Place'!$C$2:$Y$523,23,FALSE)</f>
        <v>#N/A</v>
      </c>
    </row>
    <row r="195" spans="1:22" x14ac:dyDescent="0.25">
      <c r="A195" t="s">
        <v>634</v>
      </c>
      <c r="B195">
        <v>5323865</v>
      </c>
      <c r="C195" t="s">
        <v>635</v>
      </c>
      <c r="D195">
        <f>VLOOKUP($C195,'2000 Place'!$C$2:$Y$523,5,FALSE)</f>
        <v>5664</v>
      </c>
      <c r="E195">
        <f>VLOOKUP($C195,'2000 Place'!$C$2:$Y$523,6,FALSE)</f>
        <v>5344</v>
      </c>
      <c r="F195">
        <f>VLOOKUP($C195,'2000 Place'!$C$2:$Y$523,7,FALSE)</f>
        <v>320</v>
      </c>
      <c r="G195">
        <f>VLOOKUP($C195,'2000 Place'!$C$2:$Y$523,8,FALSE)</f>
        <v>4836</v>
      </c>
      <c r="H195">
        <f>VLOOKUP($C195,'2000 Place'!$C$2:$Y$523,9,FALSE)</f>
        <v>79</v>
      </c>
      <c r="I195">
        <f>VLOOKUP($C195,'2000 Place'!$C$2:$Y$523,10,FALSE)</f>
        <v>138</v>
      </c>
      <c r="J195">
        <f>VLOOKUP($C195,'2000 Place'!$C$2:$Y$523,11,FALSE)</f>
        <v>71</v>
      </c>
      <c r="K195">
        <f>VLOOKUP($C195,'2000 Place'!$C$2:$Y$523,12,FALSE)</f>
        <v>0</v>
      </c>
      <c r="L195">
        <f>VLOOKUP($C195,'2000 Place'!$C$2:$Y$523,13,FALSE)</f>
        <v>0</v>
      </c>
      <c r="M195">
        <f>VLOOKUP($C195,'2000 Place'!$C$2:$Y$523,14,FALSE)</f>
        <v>10</v>
      </c>
      <c r="N195">
        <f>VLOOKUP($C195,'2000 Place'!$C$2:$Y$523,15,FALSE)</f>
        <v>0</v>
      </c>
      <c r="O195">
        <f>VLOOKUP($C195,'2000 Place'!$C$2:$Y$523,16,FALSE)</f>
        <v>0</v>
      </c>
      <c r="P195">
        <f>VLOOKUP($C195,'2000 Place'!$C$2:$Y$523,17,FALSE)</f>
        <v>29</v>
      </c>
      <c r="Q195">
        <f>VLOOKUP($C195,'2000 Place'!$C$2:$Y$523,18,FALSE)</f>
        <v>26</v>
      </c>
      <c r="R195">
        <f>VLOOKUP($C195,'2000 Place'!$C$2:$Y$523,19,FALSE)</f>
        <v>0</v>
      </c>
      <c r="S195">
        <f>VLOOKUP($C195,'2000 Place'!$C$2:$Y$523,20,FALSE)</f>
        <v>160</v>
      </c>
      <c r="T195">
        <f>VLOOKUP($C195,'2000 Place'!$C$2:$Y$523,21,FALSE)</f>
        <v>91</v>
      </c>
      <c r="U195">
        <f>VLOOKUP($C195,'2000 Place'!$C$2:$Y$523,22,FALSE)</f>
        <v>174</v>
      </c>
      <c r="V195">
        <f>VLOOKUP($C195,'2000 Place'!$C$2:$Y$523,23,FALSE)</f>
        <v>50</v>
      </c>
    </row>
    <row r="196" spans="1:22" x14ac:dyDescent="0.25">
      <c r="A196" t="s">
        <v>636</v>
      </c>
      <c r="B196">
        <v>5323970</v>
      </c>
      <c r="C196" t="s">
        <v>637</v>
      </c>
      <c r="D196">
        <f>VLOOKUP($C196,'2000 Place'!$C$2:$Y$523,5,FALSE)</f>
        <v>5849</v>
      </c>
      <c r="E196">
        <f>VLOOKUP($C196,'2000 Place'!$C$2:$Y$523,6,FALSE)</f>
        <v>5466</v>
      </c>
      <c r="F196">
        <f>VLOOKUP($C196,'2000 Place'!$C$2:$Y$523,7,FALSE)</f>
        <v>383</v>
      </c>
      <c r="G196">
        <f>VLOOKUP($C196,'2000 Place'!$C$2:$Y$523,8,FALSE)</f>
        <v>4829</v>
      </c>
      <c r="H196">
        <f>VLOOKUP($C196,'2000 Place'!$C$2:$Y$523,9,FALSE)</f>
        <v>210</v>
      </c>
      <c r="I196">
        <f>VLOOKUP($C196,'2000 Place'!$C$2:$Y$523,10,FALSE)</f>
        <v>48</v>
      </c>
      <c r="J196">
        <f>VLOOKUP($C196,'2000 Place'!$C$2:$Y$523,11,FALSE)</f>
        <v>16</v>
      </c>
      <c r="K196">
        <f>VLOOKUP($C196,'2000 Place'!$C$2:$Y$523,12,FALSE)</f>
        <v>229</v>
      </c>
      <c r="L196">
        <f>VLOOKUP($C196,'2000 Place'!$C$2:$Y$523,13,FALSE)</f>
        <v>0</v>
      </c>
      <c r="M196">
        <f>VLOOKUP($C196,'2000 Place'!$C$2:$Y$523,14,FALSE)</f>
        <v>22</v>
      </c>
      <c r="N196">
        <f>VLOOKUP($C196,'2000 Place'!$C$2:$Y$523,15,FALSE)</f>
        <v>0</v>
      </c>
      <c r="O196">
        <f>VLOOKUP($C196,'2000 Place'!$C$2:$Y$523,16,FALSE)</f>
        <v>68</v>
      </c>
      <c r="P196">
        <f>VLOOKUP($C196,'2000 Place'!$C$2:$Y$523,17,FALSE)</f>
        <v>130</v>
      </c>
      <c r="Q196">
        <f>VLOOKUP($C196,'2000 Place'!$C$2:$Y$523,18,FALSE)</f>
        <v>0</v>
      </c>
      <c r="R196">
        <f>VLOOKUP($C196,'2000 Place'!$C$2:$Y$523,19,FALSE)</f>
        <v>0</v>
      </c>
      <c r="S196">
        <f>VLOOKUP($C196,'2000 Place'!$C$2:$Y$523,20,FALSE)</f>
        <v>39</v>
      </c>
      <c r="T196">
        <f>VLOOKUP($C196,'2000 Place'!$C$2:$Y$523,21,FALSE)</f>
        <v>11</v>
      </c>
      <c r="U196">
        <f>VLOOKUP($C196,'2000 Place'!$C$2:$Y$523,22,FALSE)</f>
        <v>231</v>
      </c>
      <c r="V196">
        <f>VLOOKUP($C196,'2000 Place'!$C$2:$Y$523,23,FALSE)</f>
        <v>16</v>
      </c>
    </row>
    <row r="197" spans="1:22" x14ac:dyDescent="0.25">
      <c r="A197" t="s">
        <v>638</v>
      </c>
      <c r="B197">
        <v>5324188</v>
      </c>
      <c r="C197" t="s">
        <v>639</v>
      </c>
      <c r="D197">
        <f>VLOOKUP($C197,'2000 Place'!$C$2:$Y$523,5,FALSE)</f>
        <v>12119</v>
      </c>
      <c r="E197">
        <f>VLOOKUP($C197,'2000 Place'!$C$2:$Y$523,6,FALSE)</f>
        <v>11061</v>
      </c>
      <c r="F197">
        <f>VLOOKUP($C197,'2000 Place'!$C$2:$Y$523,7,FALSE)</f>
        <v>1058</v>
      </c>
      <c r="G197">
        <f>VLOOKUP($C197,'2000 Place'!$C$2:$Y$523,8,FALSE)</f>
        <v>10013</v>
      </c>
      <c r="H197">
        <f>VLOOKUP($C197,'2000 Place'!$C$2:$Y$523,9,FALSE)</f>
        <v>406</v>
      </c>
      <c r="I197">
        <f>VLOOKUP($C197,'2000 Place'!$C$2:$Y$523,10,FALSE)</f>
        <v>161</v>
      </c>
      <c r="J197">
        <f>VLOOKUP($C197,'2000 Place'!$C$2:$Y$523,11,FALSE)</f>
        <v>61</v>
      </c>
      <c r="K197">
        <f>VLOOKUP($C197,'2000 Place'!$C$2:$Y$523,12,FALSE)</f>
        <v>235</v>
      </c>
      <c r="L197">
        <f>VLOOKUP($C197,'2000 Place'!$C$2:$Y$523,13,FALSE)</f>
        <v>54</v>
      </c>
      <c r="M197">
        <f>VLOOKUP($C197,'2000 Place'!$C$2:$Y$523,14,FALSE)</f>
        <v>112</v>
      </c>
      <c r="N197">
        <f>VLOOKUP($C197,'2000 Place'!$C$2:$Y$523,15,FALSE)</f>
        <v>0</v>
      </c>
      <c r="O197">
        <f>VLOOKUP($C197,'2000 Place'!$C$2:$Y$523,16,FALSE)</f>
        <v>171</v>
      </c>
      <c r="P197">
        <f>VLOOKUP($C197,'2000 Place'!$C$2:$Y$523,17,FALSE)</f>
        <v>414</v>
      </c>
      <c r="Q197">
        <f>VLOOKUP($C197,'2000 Place'!$C$2:$Y$523,18,FALSE)</f>
        <v>11</v>
      </c>
      <c r="R197">
        <f>VLOOKUP($C197,'2000 Place'!$C$2:$Y$523,19,FALSE)</f>
        <v>0</v>
      </c>
      <c r="S197">
        <f>VLOOKUP($C197,'2000 Place'!$C$2:$Y$523,20,FALSE)</f>
        <v>72</v>
      </c>
      <c r="T197">
        <f>VLOOKUP($C197,'2000 Place'!$C$2:$Y$523,21,FALSE)</f>
        <v>83</v>
      </c>
      <c r="U197">
        <f>VLOOKUP($C197,'2000 Place'!$C$2:$Y$523,22,FALSE)</f>
        <v>286</v>
      </c>
      <c r="V197">
        <f>VLOOKUP($C197,'2000 Place'!$C$2:$Y$523,23,FALSE)</f>
        <v>40</v>
      </c>
    </row>
    <row r="198" spans="1:22" x14ac:dyDescent="0.25">
      <c r="A198" t="s">
        <v>640</v>
      </c>
      <c r="B198">
        <v>5324425</v>
      </c>
      <c r="C198" t="s">
        <v>641</v>
      </c>
      <c r="D198" t="e">
        <f>VLOOKUP($C198,'2000 Place'!$C$2:$Y$523,5,FALSE)</f>
        <v>#N/A</v>
      </c>
      <c r="E198" t="e">
        <f>VLOOKUP($C198,'2000 Place'!$C$2:$Y$523,6,FALSE)</f>
        <v>#N/A</v>
      </c>
      <c r="F198" t="e">
        <f>VLOOKUP($C198,'2000 Place'!$C$2:$Y$523,7,FALSE)</f>
        <v>#N/A</v>
      </c>
      <c r="G198" t="e">
        <f>VLOOKUP($C198,'2000 Place'!$C$2:$Y$523,8,FALSE)</f>
        <v>#N/A</v>
      </c>
      <c r="H198" t="e">
        <f>VLOOKUP($C198,'2000 Place'!$C$2:$Y$523,9,FALSE)</f>
        <v>#N/A</v>
      </c>
      <c r="I198" t="e">
        <f>VLOOKUP($C198,'2000 Place'!$C$2:$Y$523,10,FALSE)</f>
        <v>#N/A</v>
      </c>
      <c r="J198" t="e">
        <f>VLOOKUP($C198,'2000 Place'!$C$2:$Y$523,11,FALSE)</f>
        <v>#N/A</v>
      </c>
      <c r="K198" t="e">
        <f>VLOOKUP($C198,'2000 Place'!$C$2:$Y$523,12,FALSE)</f>
        <v>#N/A</v>
      </c>
      <c r="L198" t="e">
        <f>VLOOKUP($C198,'2000 Place'!$C$2:$Y$523,13,FALSE)</f>
        <v>#N/A</v>
      </c>
      <c r="M198" t="e">
        <f>VLOOKUP($C198,'2000 Place'!$C$2:$Y$523,14,FALSE)</f>
        <v>#N/A</v>
      </c>
      <c r="N198" t="e">
        <f>VLOOKUP($C198,'2000 Place'!$C$2:$Y$523,15,FALSE)</f>
        <v>#N/A</v>
      </c>
      <c r="O198" t="e">
        <f>VLOOKUP($C198,'2000 Place'!$C$2:$Y$523,16,FALSE)</f>
        <v>#N/A</v>
      </c>
      <c r="P198" t="e">
        <f>VLOOKUP($C198,'2000 Place'!$C$2:$Y$523,17,FALSE)</f>
        <v>#N/A</v>
      </c>
      <c r="Q198" t="e">
        <f>VLOOKUP($C198,'2000 Place'!$C$2:$Y$523,18,FALSE)</f>
        <v>#N/A</v>
      </c>
      <c r="R198" t="e">
        <f>VLOOKUP($C198,'2000 Place'!$C$2:$Y$523,19,FALSE)</f>
        <v>#N/A</v>
      </c>
      <c r="S198" t="e">
        <f>VLOOKUP($C198,'2000 Place'!$C$2:$Y$523,20,FALSE)</f>
        <v>#N/A</v>
      </c>
      <c r="T198" t="e">
        <f>VLOOKUP($C198,'2000 Place'!$C$2:$Y$523,21,FALSE)</f>
        <v>#N/A</v>
      </c>
      <c r="U198" t="e">
        <f>VLOOKUP($C198,'2000 Place'!$C$2:$Y$523,22,FALSE)</f>
        <v>#N/A</v>
      </c>
      <c r="V198" t="e">
        <f>VLOOKUP($C198,'2000 Place'!$C$2:$Y$523,23,FALSE)</f>
        <v>#N/A</v>
      </c>
    </row>
    <row r="199" spans="1:22" x14ac:dyDescent="0.25">
      <c r="A199" t="s">
        <v>642</v>
      </c>
      <c r="B199">
        <v>5324565</v>
      </c>
      <c r="C199" t="s">
        <v>643</v>
      </c>
      <c r="D199">
        <f>VLOOKUP($C199,'2000 Place'!$C$2:$Y$523,5,FALSE)</f>
        <v>1917</v>
      </c>
      <c r="E199">
        <f>VLOOKUP($C199,'2000 Place'!$C$2:$Y$523,6,FALSE)</f>
        <v>1855</v>
      </c>
      <c r="F199">
        <f>VLOOKUP($C199,'2000 Place'!$C$2:$Y$523,7,FALSE)</f>
        <v>62</v>
      </c>
      <c r="G199">
        <f>VLOOKUP($C199,'2000 Place'!$C$2:$Y$523,8,FALSE)</f>
        <v>1731</v>
      </c>
      <c r="H199">
        <f>VLOOKUP($C199,'2000 Place'!$C$2:$Y$523,9,FALSE)</f>
        <v>54</v>
      </c>
      <c r="I199">
        <f>VLOOKUP($C199,'2000 Place'!$C$2:$Y$523,10,FALSE)</f>
        <v>47</v>
      </c>
      <c r="J199">
        <f>VLOOKUP($C199,'2000 Place'!$C$2:$Y$523,11,FALSE)</f>
        <v>0</v>
      </c>
      <c r="K199">
        <f>VLOOKUP($C199,'2000 Place'!$C$2:$Y$523,12,FALSE)</f>
        <v>0</v>
      </c>
      <c r="L199">
        <f>VLOOKUP($C199,'2000 Place'!$C$2:$Y$523,13,FALSE)</f>
        <v>0</v>
      </c>
      <c r="M199">
        <f>VLOOKUP($C199,'2000 Place'!$C$2:$Y$523,14,FALSE)</f>
        <v>16</v>
      </c>
      <c r="N199">
        <f>VLOOKUP($C199,'2000 Place'!$C$2:$Y$523,15,FALSE)</f>
        <v>0</v>
      </c>
      <c r="O199">
        <f>VLOOKUP($C199,'2000 Place'!$C$2:$Y$523,16,FALSE)</f>
        <v>0</v>
      </c>
      <c r="P199">
        <f>VLOOKUP($C199,'2000 Place'!$C$2:$Y$523,17,FALSE)</f>
        <v>0</v>
      </c>
      <c r="Q199">
        <f>VLOOKUP($C199,'2000 Place'!$C$2:$Y$523,18,FALSE)</f>
        <v>4</v>
      </c>
      <c r="R199">
        <f>VLOOKUP($C199,'2000 Place'!$C$2:$Y$523,19,FALSE)</f>
        <v>0</v>
      </c>
      <c r="S199">
        <f>VLOOKUP($C199,'2000 Place'!$C$2:$Y$523,20,FALSE)</f>
        <v>18</v>
      </c>
      <c r="T199">
        <f>VLOOKUP($C199,'2000 Place'!$C$2:$Y$523,21,FALSE)</f>
        <v>8</v>
      </c>
      <c r="U199">
        <f>VLOOKUP($C199,'2000 Place'!$C$2:$Y$523,22,FALSE)</f>
        <v>39</v>
      </c>
      <c r="V199">
        <f>VLOOKUP($C199,'2000 Place'!$C$2:$Y$523,23,FALSE)</f>
        <v>0</v>
      </c>
    </row>
    <row r="200" spans="1:22" x14ac:dyDescent="0.25">
      <c r="A200" t="s">
        <v>644</v>
      </c>
      <c r="B200">
        <v>5324810</v>
      </c>
      <c r="C200" t="s">
        <v>645</v>
      </c>
      <c r="D200">
        <f>VLOOKUP($C200,'2000 Place'!$C$2:$Y$523,5,FALSE)</f>
        <v>3047</v>
      </c>
      <c r="E200">
        <f>VLOOKUP($C200,'2000 Place'!$C$2:$Y$523,6,FALSE)</f>
        <v>2716</v>
      </c>
      <c r="F200">
        <f>VLOOKUP($C200,'2000 Place'!$C$2:$Y$523,7,FALSE)</f>
        <v>331</v>
      </c>
      <c r="G200">
        <f>VLOOKUP($C200,'2000 Place'!$C$2:$Y$523,8,FALSE)</f>
        <v>2322</v>
      </c>
      <c r="H200">
        <f>VLOOKUP($C200,'2000 Place'!$C$2:$Y$523,9,FALSE)</f>
        <v>33</v>
      </c>
      <c r="I200">
        <f>VLOOKUP($C200,'2000 Place'!$C$2:$Y$523,10,FALSE)</f>
        <v>77</v>
      </c>
      <c r="J200">
        <f>VLOOKUP($C200,'2000 Place'!$C$2:$Y$523,11,FALSE)</f>
        <v>74</v>
      </c>
      <c r="K200">
        <f>VLOOKUP($C200,'2000 Place'!$C$2:$Y$523,12,FALSE)</f>
        <v>12</v>
      </c>
      <c r="L200">
        <f>VLOOKUP($C200,'2000 Place'!$C$2:$Y$523,13,FALSE)</f>
        <v>0</v>
      </c>
      <c r="M200">
        <f>VLOOKUP($C200,'2000 Place'!$C$2:$Y$523,14,FALSE)</f>
        <v>178</v>
      </c>
      <c r="N200">
        <f>VLOOKUP($C200,'2000 Place'!$C$2:$Y$523,15,FALSE)</f>
        <v>6</v>
      </c>
      <c r="O200">
        <f>VLOOKUP($C200,'2000 Place'!$C$2:$Y$523,16,FALSE)</f>
        <v>8</v>
      </c>
      <c r="P200">
        <f>VLOOKUP($C200,'2000 Place'!$C$2:$Y$523,17,FALSE)</f>
        <v>16</v>
      </c>
      <c r="Q200">
        <f>VLOOKUP($C200,'2000 Place'!$C$2:$Y$523,18,FALSE)</f>
        <v>0</v>
      </c>
      <c r="R200">
        <f>VLOOKUP($C200,'2000 Place'!$C$2:$Y$523,19,FALSE)</f>
        <v>0</v>
      </c>
      <c r="S200">
        <f>VLOOKUP($C200,'2000 Place'!$C$2:$Y$523,20,FALSE)</f>
        <v>52</v>
      </c>
      <c r="T200">
        <f>VLOOKUP($C200,'2000 Place'!$C$2:$Y$523,21,FALSE)</f>
        <v>202</v>
      </c>
      <c r="U200">
        <f>VLOOKUP($C200,'2000 Place'!$C$2:$Y$523,22,FALSE)</f>
        <v>67</v>
      </c>
      <c r="V200">
        <f>VLOOKUP($C200,'2000 Place'!$C$2:$Y$523,23,FALSE)</f>
        <v>0</v>
      </c>
    </row>
    <row r="201" spans="1:22" x14ac:dyDescent="0.25">
      <c r="A201" t="s">
        <v>646</v>
      </c>
      <c r="B201">
        <v>5324915</v>
      </c>
      <c r="C201" t="s">
        <v>647</v>
      </c>
      <c r="D201">
        <f>VLOOKUP($C201,'2000 Place'!$C$2:$Y$523,5,FALSE)</f>
        <v>19026</v>
      </c>
      <c r="E201">
        <f>VLOOKUP($C201,'2000 Place'!$C$2:$Y$523,6,FALSE)</f>
        <v>16424</v>
      </c>
      <c r="F201">
        <f>VLOOKUP($C201,'2000 Place'!$C$2:$Y$523,7,FALSE)</f>
        <v>2602</v>
      </c>
      <c r="G201">
        <f>VLOOKUP($C201,'2000 Place'!$C$2:$Y$523,8,FALSE)</f>
        <v>9908</v>
      </c>
      <c r="H201">
        <f>VLOOKUP($C201,'2000 Place'!$C$2:$Y$523,9,FALSE)</f>
        <v>632</v>
      </c>
      <c r="I201">
        <f>VLOOKUP($C201,'2000 Place'!$C$2:$Y$523,10,FALSE)</f>
        <v>610</v>
      </c>
      <c r="J201">
        <f>VLOOKUP($C201,'2000 Place'!$C$2:$Y$523,11,FALSE)</f>
        <v>248</v>
      </c>
      <c r="K201">
        <f>VLOOKUP($C201,'2000 Place'!$C$2:$Y$523,12,FALSE)</f>
        <v>3422</v>
      </c>
      <c r="L201">
        <f>VLOOKUP($C201,'2000 Place'!$C$2:$Y$523,13,FALSE)</f>
        <v>442</v>
      </c>
      <c r="M201">
        <f>VLOOKUP($C201,'2000 Place'!$C$2:$Y$523,14,FALSE)</f>
        <v>187</v>
      </c>
      <c r="N201">
        <f>VLOOKUP($C201,'2000 Place'!$C$2:$Y$523,15,FALSE)</f>
        <v>46</v>
      </c>
      <c r="O201">
        <f>VLOOKUP($C201,'2000 Place'!$C$2:$Y$523,16,FALSE)</f>
        <v>206</v>
      </c>
      <c r="P201">
        <f>VLOOKUP($C201,'2000 Place'!$C$2:$Y$523,17,FALSE)</f>
        <v>453</v>
      </c>
      <c r="Q201">
        <f>VLOOKUP($C201,'2000 Place'!$C$2:$Y$523,18,FALSE)</f>
        <v>68</v>
      </c>
      <c r="R201">
        <f>VLOOKUP($C201,'2000 Place'!$C$2:$Y$523,19,FALSE)</f>
        <v>249</v>
      </c>
      <c r="S201">
        <f>VLOOKUP($C201,'2000 Place'!$C$2:$Y$523,20,FALSE)</f>
        <v>867</v>
      </c>
      <c r="T201">
        <f>VLOOKUP($C201,'2000 Place'!$C$2:$Y$523,21,FALSE)</f>
        <v>293</v>
      </c>
      <c r="U201">
        <f>VLOOKUP($C201,'2000 Place'!$C$2:$Y$523,22,FALSE)</f>
        <v>1156</v>
      </c>
      <c r="V201">
        <f>VLOOKUP($C201,'2000 Place'!$C$2:$Y$523,23,FALSE)</f>
        <v>239</v>
      </c>
    </row>
    <row r="202" spans="1:22" x14ac:dyDescent="0.25">
      <c r="A202" t="s">
        <v>648</v>
      </c>
      <c r="B202">
        <v>5325300</v>
      </c>
      <c r="C202" t="s">
        <v>649</v>
      </c>
      <c r="D202" t="e">
        <f>VLOOKUP($C202,'2000 Place'!$C$2:$Y$523,5,FALSE)</f>
        <v>#N/A</v>
      </c>
      <c r="E202" t="e">
        <f>VLOOKUP($C202,'2000 Place'!$C$2:$Y$523,6,FALSE)</f>
        <v>#N/A</v>
      </c>
      <c r="F202" t="e">
        <f>VLOOKUP($C202,'2000 Place'!$C$2:$Y$523,7,FALSE)</f>
        <v>#N/A</v>
      </c>
      <c r="G202" t="e">
        <f>VLOOKUP($C202,'2000 Place'!$C$2:$Y$523,8,FALSE)</f>
        <v>#N/A</v>
      </c>
      <c r="H202" t="e">
        <f>VLOOKUP($C202,'2000 Place'!$C$2:$Y$523,9,FALSE)</f>
        <v>#N/A</v>
      </c>
      <c r="I202" t="e">
        <f>VLOOKUP($C202,'2000 Place'!$C$2:$Y$523,10,FALSE)</f>
        <v>#N/A</v>
      </c>
      <c r="J202" t="e">
        <f>VLOOKUP($C202,'2000 Place'!$C$2:$Y$523,11,FALSE)</f>
        <v>#N/A</v>
      </c>
      <c r="K202" t="e">
        <f>VLOOKUP($C202,'2000 Place'!$C$2:$Y$523,12,FALSE)</f>
        <v>#N/A</v>
      </c>
      <c r="L202" t="e">
        <f>VLOOKUP($C202,'2000 Place'!$C$2:$Y$523,13,FALSE)</f>
        <v>#N/A</v>
      </c>
      <c r="M202" t="e">
        <f>VLOOKUP($C202,'2000 Place'!$C$2:$Y$523,14,FALSE)</f>
        <v>#N/A</v>
      </c>
      <c r="N202" t="e">
        <f>VLOOKUP($C202,'2000 Place'!$C$2:$Y$523,15,FALSE)</f>
        <v>#N/A</v>
      </c>
      <c r="O202" t="e">
        <f>VLOOKUP($C202,'2000 Place'!$C$2:$Y$523,16,FALSE)</f>
        <v>#N/A</v>
      </c>
      <c r="P202" t="e">
        <f>VLOOKUP($C202,'2000 Place'!$C$2:$Y$523,17,FALSE)</f>
        <v>#N/A</v>
      </c>
      <c r="Q202" t="e">
        <f>VLOOKUP($C202,'2000 Place'!$C$2:$Y$523,18,FALSE)</f>
        <v>#N/A</v>
      </c>
      <c r="R202" t="e">
        <f>VLOOKUP($C202,'2000 Place'!$C$2:$Y$523,19,FALSE)</f>
        <v>#N/A</v>
      </c>
      <c r="S202" t="e">
        <f>VLOOKUP($C202,'2000 Place'!$C$2:$Y$523,20,FALSE)</f>
        <v>#N/A</v>
      </c>
      <c r="T202" t="e">
        <f>VLOOKUP($C202,'2000 Place'!$C$2:$Y$523,21,FALSE)</f>
        <v>#N/A</v>
      </c>
      <c r="U202" t="e">
        <f>VLOOKUP($C202,'2000 Place'!$C$2:$Y$523,22,FALSE)</f>
        <v>#N/A</v>
      </c>
      <c r="V202" t="e">
        <f>VLOOKUP($C202,'2000 Place'!$C$2:$Y$523,23,FALSE)</f>
        <v>#N/A</v>
      </c>
    </row>
    <row r="203" spans="1:22" x14ac:dyDescent="0.25">
      <c r="A203" t="s">
        <v>650</v>
      </c>
      <c r="B203">
        <v>5325370</v>
      </c>
      <c r="C203" t="s">
        <v>651</v>
      </c>
      <c r="D203">
        <f>VLOOKUP($C203,'2000 Place'!$C$2:$Y$523,5,FALSE)</f>
        <v>2803</v>
      </c>
      <c r="E203">
        <f>VLOOKUP($C203,'2000 Place'!$C$2:$Y$523,6,FALSE)</f>
        <v>2732</v>
      </c>
      <c r="F203">
        <f>VLOOKUP($C203,'2000 Place'!$C$2:$Y$523,7,FALSE)</f>
        <v>71</v>
      </c>
      <c r="G203">
        <f>VLOOKUP($C203,'2000 Place'!$C$2:$Y$523,8,FALSE)</f>
        <v>2555</v>
      </c>
      <c r="H203">
        <f>VLOOKUP($C203,'2000 Place'!$C$2:$Y$523,9,FALSE)</f>
        <v>71</v>
      </c>
      <c r="I203">
        <f>VLOOKUP($C203,'2000 Place'!$C$2:$Y$523,10,FALSE)</f>
        <v>37</v>
      </c>
      <c r="J203">
        <f>VLOOKUP($C203,'2000 Place'!$C$2:$Y$523,11,FALSE)</f>
        <v>0</v>
      </c>
      <c r="K203">
        <f>VLOOKUP($C203,'2000 Place'!$C$2:$Y$523,12,FALSE)</f>
        <v>53</v>
      </c>
      <c r="L203">
        <f>VLOOKUP($C203,'2000 Place'!$C$2:$Y$523,13,FALSE)</f>
        <v>0</v>
      </c>
      <c r="M203">
        <f>VLOOKUP($C203,'2000 Place'!$C$2:$Y$523,14,FALSE)</f>
        <v>26</v>
      </c>
      <c r="N203">
        <f>VLOOKUP($C203,'2000 Place'!$C$2:$Y$523,15,FALSE)</f>
        <v>0</v>
      </c>
      <c r="O203">
        <f>VLOOKUP($C203,'2000 Place'!$C$2:$Y$523,16,FALSE)</f>
        <v>0</v>
      </c>
      <c r="P203">
        <f>VLOOKUP($C203,'2000 Place'!$C$2:$Y$523,17,FALSE)</f>
        <v>0</v>
      </c>
      <c r="Q203">
        <f>VLOOKUP($C203,'2000 Place'!$C$2:$Y$523,18,FALSE)</f>
        <v>0</v>
      </c>
      <c r="R203">
        <f>VLOOKUP($C203,'2000 Place'!$C$2:$Y$523,19,FALSE)</f>
        <v>0</v>
      </c>
      <c r="S203">
        <f>VLOOKUP($C203,'2000 Place'!$C$2:$Y$523,20,FALSE)</f>
        <v>6</v>
      </c>
      <c r="T203">
        <f>VLOOKUP($C203,'2000 Place'!$C$2:$Y$523,21,FALSE)</f>
        <v>0</v>
      </c>
      <c r="U203">
        <f>VLOOKUP($C203,'2000 Place'!$C$2:$Y$523,22,FALSE)</f>
        <v>55</v>
      </c>
      <c r="V203">
        <f>VLOOKUP($C203,'2000 Place'!$C$2:$Y$523,23,FALSE)</f>
        <v>0</v>
      </c>
    </row>
    <row r="204" spans="1:22" x14ac:dyDescent="0.25">
      <c r="A204" t="s">
        <v>652</v>
      </c>
      <c r="B204">
        <v>5325475</v>
      </c>
      <c r="C204" t="s">
        <v>653</v>
      </c>
      <c r="D204">
        <f>VLOOKUP($C204,'2000 Place'!$C$2:$Y$523,5,FALSE)</f>
        <v>5804</v>
      </c>
      <c r="E204">
        <f>VLOOKUP($C204,'2000 Place'!$C$2:$Y$523,6,FALSE)</f>
        <v>5436</v>
      </c>
      <c r="F204">
        <f>VLOOKUP($C204,'2000 Place'!$C$2:$Y$523,7,FALSE)</f>
        <v>368</v>
      </c>
      <c r="G204">
        <f>VLOOKUP($C204,'2000 Place'!$C$2:$Y$523,8,FALSE)</f>
        <v>4688</v>
      </c>
      <c r="H204">
        <f>VLOOKUP($C204,'2000 Place'!$C$2:$Y$523,9,FALSE)</f>
        <v>197</v>
      </c>
      <c r="I204">
        <f>VLOOKUP($C204,'2000 Place'!$C$2:$Y$523,10,FALSE)</f>
        <v>107</v>
      </c>
      <c r="J204">
        <f>VLOOKUP($C204,'2000 Place'!$C$2:$Y$523,11,FALSE)</f>
        <v>59</v>
      </c>
      <c r="K204">
        <f>VLOOKUP($C204,'2000 Place'!$C$2:$Y$523,12,FALSE)</f>
        <v>204</v>
      </c>
      <c r="L204">
        <f>VLOOKUP($C204,'2000 Place'!$C$2:$Y$523,13,FALSE)</f>
        <v>13</v>
      </c>
      <c r="M204">
        <f>VLOOKUP($C204,'2000 Place'!$C$2:$Y$523,14,FALSE)</f>
        <v>112</v>
      </c>
      <c r="N204">
        <f>VLOOKUP($C204,'2000 Place'!$C$2:$Y$523,15,FALSE)</f>
        <v>0</v>
      </c>
      <c r="O204">
        <f>VLOOKUP($C204,'2000 Place'!$C$2:$Y$523,16,FALSE)</f>
        <v>19</v>
      </c>
      <c r="P204">
        <f>VLOOKUP($C204,'2000 Place'!$C$2:$Y$523,17,FALSE)</f>
        <v>87</v>
      </c>
      <c r="Q204">
        <f>VLOOKUP($C204,'2000 Place'!$C$2:$Y$523,18,FALSE)</f>
        <v>0</v>
      </c>
      <c r="R204">
        <f>VLOOKUP($C204,'2000 Place'!$C$2:$Y$523,19,FALSE)</f>
        <v>0</v>
      </c>
      <c r="S204">
        <f>VLOOKUP($C204,'2000 Place'!$C$2:$Y$523,20,FALSE)</f>
        <v>41</v>
      </c>
      <c r="T204">
        <f>VLOOKUP($C204,'2000 Place'!$C$2:$Y$523,21,FALSE)</f>
        <v>7</v>
      </c>
      <c r="U204">
        <f>VLOOKUP($C204,'2000 Place'!$C$2:$Y$523,22,FALSE)</f>
        <v>265</v>
      </c>
      <c r="V204">
        <f>VLOOKUP($C204,'2000 Place'!$C$2:$Y$523,23,FALSE)</f>
        <v>5</v>
      </c>
    </row>
    <row r="205" spans="1:22" x14ac:dyDescent="0.25">
      <c r="A205" t="s">
        <v>654</v>
      </c>
      <c r="B205">
        <v>5325510</v>
      </c>
      <c r="C205" t="s">
        <v>655</v>
      </c>
      <c r="D205">
        <f>VLOOKUP($C205,'2000 Place'!$C$2:$Y$523,5,FALSE)</f>
        <v>1320</v>
      </c>
      <c r="E205">
        <f>VLOOKUP($C205,'2000 Place'!$C$2:$Y$523,6,FALSE)</f>
        <v>1253</v>
      </c>
      <c r="F205">
        <f>VLOOKUP($C205,'2000 Place'!$C$2:$Y$523,7,FALSE)</f>
        <v>67</v>
      </c>
      <c r="G205">
        <f>VLOOKUP($C205,'2000 Place'!$C$2:$Y$523,8,FALSE)</f>
        <v>1217</v>
      </c>
      <c r="H205">
        <f>VLOOKUP($C205,'2000 Place'!$C$2:$Y$523,9,FALSE)</f>
        <v>67</v>
      </c>
      <c r="I205">
        <f>VLOOKUP($C205,'2000 Place'!$C$2:$Y$523,10,FALSE)</f>
        <v>0</v>
      </c>
      <c r="J205">
        <f>VLOOKUP($C205,'2000 Place'!$C$2:$Y$523,11,FALSE)</f>
        <v>0</v>
      </c>
      <c r="K205">
        <f>VLOOKUP($C205,'2000 Place'!$C$2:$Y$523,12,FALSE)</f>
        <v>0</v>
      </c>
      <c r="L205">
        <f>VLOOKUP($C205,'2000 Place'!$C$2:$Y$523,13,FALSE)</f>
        <v>0</v>
      </c>
      <c r="M205">
        <f>VLOOKUP($C205,'2000 Place'!$C$2:$Y$523,14,FALSE)</f>
        <v>13</v>
      </c>
      <c r="N205">
        <f>VLOOKUP($C205,'2000 Place'!$C$2:$Y$523,15,FALSE)</f>
        <v>0</v>
      </c>
      <c r="O205">
        <f>VLOOKUP($C205,'2000 Place'!$C$2:$Y$523,16,FALSE)</f>
        <v>0</v>
      </c>
      <c r="P205">
        <f>VLOOKUP($C205,'2000 Place'!$C$2:$Y$523,17,FALSE)</f>
        <v>0</v>
      </c>
      <c r="Q205">
        <f>VLOOKUP($C205,'2000 Place'!$C$2:$Y$523,18,FALSE)</f>
        <v>0</v>
      </c>
      <c r="R205">
        <f>VLOOKUP($C205,'2000 Place'!$C$2:$Y$523,19,FALSE)</f>
        <v>0</v>
      </c>
      <c r="S205">
        <f>VLOOKUP($C205,'2000 Place'!$C$2:$Y$523,20,FALSE)</f>
        <v>0</v>
      </c>
      <c r="T205">
        <f>VLOOKUP($C205,'2000 Place'!$C$2:$Y$523,21,FALSE)</f>
        <v>0</v>
      </c>
      <c r="U205">
        <f>VLOOKUP($C205,'2000 Place'!$C$2:$Y$523,22,FALSE)</f>
        <v>23</v>
      </c>
      <c r="V205">
        <f>VLOOKUP($C205,'2000 Place'!$C$2:$Y$523,23,FALSE)</f>
        <v>0</v>
      </c>
    </row>
    <row r="206" spans="1:22" x14ac:dyDescent="0.25">
      <c r="A206" t="s">
        <v>656</v>
      </c>
      <c r="B206">
        <v>5325615</v>
      </c>
      <c r="C206" t="s">
        <v>657</v>
      </c>
      <c r="D206">
        <f>VLOOKUP($C206,'2000 Place'!$C$2:$Y$523,5,FALSE)</f>
        <v>2008</v>
      </c>
      <c r="E206">
        <f>VLOOKUP($C206,'2000 Place'!$C$2:$Y$523,6,FALSE)</f>
        <v>1836</v>
      </c>
      <c r="F206">
        <f>VLOOKUP($C206,'2000 Place'!$C$2:$Y$523,7,FALSE)</f>
        <v>172</v>
      </c>
      <c r="G206">
        <f>VLOOKUP($C206,'2000 Place'!$C$2:$Y$523,8,FALSE)</f>
        <v>1697</v>
      </c>
      <c r="H206">
        <f>VLOOKUP($C206,'2000 Place'!$C$2:$Y$523,9,FALSE)</f>
        <v>108</v>
      </c>
      <c r="I206">
        <f>VLOOKUP($C206,'2000 Place'!$C$2:$Y$523,10,FALSE)</f>
        <v>62</v>
      </c>
      <c r="J206">
        <f>VLOOKUP($C206,'2000 Place'!$C$2:$Y$523,11,FALSE)</f>
        <v>0</v>
      </c>
      <c r="K206">
        <f>VLOOKUP($C206,'2000 Place'!$C$2:$Y$523,12,FALSE)</f>
        <v>0</v>
      </c>
      <c r="L206">
        <f>VLOOKUP($C206,'2000 Place'!$C$2:$Y$523,13,FALSE)</f>
        <v>0</v>
      </c>
      <c r="M206">
        <f>VLOOKUP($C206,'2000 Place'!$C$2:$Y$523,14,FALSE)</f>
        <v>43</v>
      </c>
      <c r="N206">
        <f>VLOOKUP($C206,'2000 Place'!$C$2:$Y$523,15,FALSE)</f>
        <v>0</v>
      </c>
      <c r="O206">
        <f>VLOOKUP($C206,'2000 Place'!$C$2:$Y$523,16,FALSE)</f>
        <v>4</v>
      </c>
      <c r="P206">
        <f>VLOOKUP($C206,'2000 Place'!$C$2:$Y$523,17,FALSE)</f>
        <v>13</v>
      </c>
      <c r="Q206">
        <f>VLOOKUP($C206,'2000 Place'!$C$2:$Y$523,18,FALSE)</f>
        <v>0</v>
      </c>
      <c r="R206">
        <f>VLOOKUP($C206,'2000 Place'!$C$2:$Y$523,19,FALSE)</f>
        <v>0</v>
      </c>
      <c r="S206">
        <f>VLOOKUP($C206,'2000 Place'!$C$2:$Y$523,20,FALSE)</f>
        <v>13</v>
      </c>
      <c r="T206">
        <f>VLOOKUP($C206,'2000 Place'!$C$2:$Y$523,21,FALSE)</f>
        <v>44</v>
      </c>
      <c r="U206">
        <f>VLOOKUP($C206,'2000 Place'!$C$2:$Y$523,22,FALSE)</f>
        <v>17</v>
      </c>
      <c r="V206">
        <f>VLOOKUP($C206,'2000 Place'!$C$2:$Y$523,23,FALSE)</f>
        <v>7</v>
      </c>
    </row>
    <row r="207" spans="1:22" x14ac:dyDescent="0.25">
      <c r="A207" t="s">
        <v>658</v>
      </c>
      <c r="B207">
        <v>5326140</v>
      </c>
      <c r="C207" t="s">
        <v>659</v>
      </c>
      <c r="D207">
        <f>VLOOKUP($C207,'2000 Place'!$C$2:$Y$523,5,FALSE)</f>
        <v>607</v>
      </c>
      <c r="E207">
        <f>VLOOKUP($C207,'2000 Place'!$C$2:$Y$523,6,FALSE)</f>
        <v>592</v>
      </c>
      <c r="F207">
        <f>VLOOKUP($C207,'2000 Place'!$C$2:$Y$523,7,FALSE)</f>
        <v>15</v>
      </c>
      <c r="G207">
        <f>VLOOKUP($C207,'2000 Place'!$C$2:$Y$523,8,FALSE)</f>
        <v>585</v>
      </c>
      <c r="H207">
        <f>VLOOKUP($C207,'2000 Place'!$C$2:$Y$523,9,FALSE)</f>
        <v>15</v>
      </c>
      <c r="I207">
        <f>VLOOKUP($C207,'2000 Place'!$C$2:$Y$523,10,FALSE)</f>
        <v>0</v>
      </c>
      <c r="J207">
        <f>VLOOKUP($C207,'2000 Place'!$C$2:$Y$523,11,FALSE)</f>
        <v>0</v>
      </c>
      <c r="K207">
        <f>VLOOKUP($C207,'2000 Place'!$C$2:$Y$523,12,FALSE)</f>
        <v>0</v>
      </c>
      <c r="L207">
        <f>VLOOKUP($C207,'2000 Place'!$C$2:$Y$523,13,FALSE)</f>
        <v>0</v>
      </c>
      <c r="M207">
        <f>VLOOKUP($C207,'2000 Place'!$C$2:$Y$523,14,FALSE)</f>
        <v>7</v>
      </c>
      <c r="N207">
        <f>VLOOKUP($C207,'2000 Place'!$C$2:$Y$523,15,FALSE)</f>
        <v>0</v>
      </c>
      <c r="O207">
        <f>VLOOKUP($C207,'2000 Place'!$C$2:$Y$523,16,FALSE)</f>
        <v>0</v>
      </c>
      <c r="P207">
        <f>VLOOKUP($C207,'2000 Place'!$C$2:$Y$523,17,FALSE)</f>
        <v>0</v>
      </c>
      <c r="Q207">
        <f>VLOOKUP($C207,'2000 Place'!$C$2:$Y$523,18,FALSE)</f>
        <v>0</v>
      </c>
      <c r="R207">
        <f>VLOOKUP($C207,'2000 Place'!$C$2:$Y$523,19,FALSE)</f>
        <v>0</v>
      </c>
      <c r="S207">
        <f>VLOOKUP($C207,'2000 Place'!$C$2:$Y$523,20,FALSE)</f>
        <v>0</v>
      </c>
      <c r="T207">
        <f>VLOOKUP($C207,'2000 Place'!$C$2:$Y$523,21,FALSE)</f>
        <v>0</v>
      </c>
      <c r="U207">
        <f>VLOOKUP($C207,'2000 Place'!$C$2:$Y$523,22,FALSE)</f>
        <v>0</v>
      </c>
      <c r="V207">
        <f>VLOOKUP($C207,'2000 Place'!$C$2:$Y$523,23,FALSE)</f>
        <v>0</v>
      </c>
    </row>
    <row r="208" spans="1:22" x14ac:dyDescent="0.25">
      <c r="A208" t="s">
        <v>660</v>
      </c>
      <c r="B208">
        <v>5326245</v>
      </c>
      <c r="C208" t="s">
        <v>661</v>
      </c>
      <c r="D208">
        <f>VLOOKUP($C208,'2000 Place'!$C$2:$Y$523,5,FALSE)</f>
        <v>954</v>
      </c>
      <c r="E208">
        <f>VLOOKUP($C208,'2000 Place'!$C$2:$Y$523,6,FALSE)</f>
        <v>935</v>
      </c>
      <c r="F208">
        <f>VLOOKUP($C208,'2000 Place'!$C$2:$Y$523,7,FALSE)</f>
        <v>19</v>
      </c>
      <c r="G208">
        <f>VLOOKUP($C208,'2000 Place'!$C$2:$Y$523,8,FALSE)</f>
        <v>928</v>
      </c>
      <c r="H208">
        <f>VLOOKUP($C208,'2000 Place'!$C$2:$Y$523,9,FALSE)</f>
        <v>19</v>
      </c>
      <c r="I208">
        <f>VLOOKUP($C208,'2000 Place'!$C$2:$Y$523,10,FALSE)</f>
        <v>0</v>
      </c>
      <c r="J208">
        <f>VLOOKUP($C208,'2000 Place'!$C$2:$Y$523,11,FALSE)</f>
        <v>0</v>
      </c>
      <c r="K208">
        <f>VLOOKUP($C208,'2000 Place'!$C$2:$Y$523,12,FALSE)</f>
        <v>0</v>
      </c>
      <c r="L208">
        <f>VLOOKUP($C208,'2000 Place'!$C$2:$Y$523,13,FALSE)</f>
        <v>0</v>
      </c>
      <c r="M208">
        <f>VLOOKUP($C208,'2000 Place'!$C$2:$Y$523,14,FALSE)</f>
        <v>0</v>
      </c>
      <c r="N208">
        <f>VLOOKUP($C208,'2000 Place'!$C$2:$Y$523,15,FALSE)</f>
        <v>0</v>
      </c>
      <c r="O208">
        <f>VLOOKUP($C208,'2000 Place'!$C$2:$Y$523,16,FALSE)</f>
        <v>0</v>
      </c>
      <c r="P208">
        <f>VLOOKUP($C208,'2000 Place'!$C$2:$Y$523,17,FALSE)</f>
        <v>0</v>
      </c>
      <c r="Q208">
        <f>VLOOKUP($C208,'2000 Place'!$C$2:$Y$523,18,FALSE)</f>
        <v>0</v>
      </c>
      <c r="R208">
        <f>VLOOKUP($C208,'2000 Place'!$C$2:$Y$523,19,FALSE)</f>
        <v>0</v>
      </c>
      <c r="S208">
        <f>VLOOKUP($C208,'2000 Place'!$C$2:$Y$523,20,FALSE)</f>
        <v>7</v>
      </c>
      <c r="T208">
        <f>VLOOKUP($C208,'2000 Place'!$C$2:$Y$523,21,FALSE)</f>
        <v>0</v>
      </c>
      <c r="U208">
        <f>VLOOKUP($C208,'2000 Place'!$C$2:$Y$523,22,FALSE)</f>
        <v>0</v>
      </c>
      <c r="V208">
        <f>VLOOKUP($C208,'2000 Place'!$C$2:$Y$523,23,FALSE)</f>
        <v>0</v>
      </c>
    </row>
    <row r="209" spans="1:22" x14ac:dyDescent="0.25">
      <c r="A209" t="s">
        <v>662</v>
      </c>
      <c r="B209">
        <v>5326420</v>
      </c>
      <c r="C209" t="s">
        <v>663</v>
      </c>
      <c r="D209">
        <f>VLOOKUP($C209,'2000 Place'!$C$2:$Y$523,5,FALSE)</f>
        <v>2082</v>
      </c>
      <c r="E209">
        <f>VLOOKUP($C209,'2000 Place'!$C$2:$Y$523,6,FALSE)</f>
        <v>1971</v>
      </c>
      <c r="F209">
        <f>VLOOKUP($C209,'2000 Place'!$C$2:$Y$523,7,FALSE)</f>
        <v>111</v>
      </c>
      <c r="G209">
        <f>VLOOKUP($C209,'2000 Place'!$C$2:$Y$523,8,FALSE)</f>
        <v>1873</v>
      </c>
      <c r="H209">
        <f>VLOOKUP($C209,'2000 Place'!$C$2:$Y$523,9,FALSE)</f>
        <v>89</v>
      </c>
      <c r="I209">
        <f>VLOOKUP($C209,'2000 Place'!$C$2:$Y$523,10,FALSE)</f>
        <v>21</v>
      </c>
      <c r="J209">
        <f>VLOOKUP($C209,'2000 Place'!$C$2:$Y$523,11,FALSE)</f>
        <v>0</v>
      </c>
      <c r="K209">
        <f>VLOOKUP($C209,'2000 Place'!$C$2:$Y$523,12,FALSE)</f>
        <v>10</v>
      </c>
      <c r="L209">
        <f>VLOOKUP($C209,'2000 Place'!$C$2:$Y$523,13,FALSE)</f>
        <v>0</v>
      </c>
      <c r="M209">
        <f>VLOOKUP($C209,'2000 Place'!$C$2:$Y$523,14,FALSE)</f>
        <v>8</v>
      </c>
      <c r="N209">
        <f>VLOOKUP($C209,'2000 Place'!$C$2:$Y$523,15,FALSE)</f>
        <v>0</v>
      </c>
      <c r="O209">
        <f>VLOOKUP($C209,'2000 Place'!$C$2:$Y$523,16,FALSE)</f>
        <v>0</v>
      </c>
      <c r="P209">
        <f>VLOOKUP($C209,'2000 Place'!$C$2:$Y$523,17,FALSE)</f>
        <v>14</v>
      </c>
      <c r="Q209">
        <f>VLOOKUP($C209,'2000 Place'!$C$2:$Y$523,18,FALSE)</f>
        <v>0</v>
      </c>
      <c r="R209">
        <f>VLOOKUP($C209,'2000 Place'!$C$2:$Y$523,19,FALSE)</f>
        <v>0</v>
      </c>
      <c r="S209">
        <f>VLOOKUP($C209,'2000 Place'!$C$2:$Y$523,20,FALSE)</f>
        <v>0</v>
      </c>
      <c r="T209">
        <f>VLOOKUP($C209,'2000 Place'!$C$2:$Y$523,21,FALSE)</f>
        <v>0</v>
      </c>
      <c r="U209">
        <f>VLOOKUP($C209,'2000 Place'!$C$2:$Y$523,22,FALSE)</f>
        <v>59</v>
      </c>
      <c r="V209">
        <f>VLOOKUP($C209,'2000 Place'!$C$2:$Y$523,23,FALSE)</f>
        <v>8</v>
      </c>
    </row>
    <row r="210" spans="1:22" x14ac:dyDescent="0.25">
      <c r="A210" t="s">
        <v>664</v>
      </c>
      <c r="B210">
        <v>5326455</v>
      </c>
      <c r="C210" t="s">
        <v>665</v>
      </c>
      <c r="D210">
        <f>VLOOKUP($C210,'2000 Place'!$C$2:$Y$523,5,FALSE)</f>
        <v>510</v>
      </c>
      <c r="E210">
        <f>VLOOKUP($C210,'2000 Place'!$C$2:$Y$523,6,FALSE)</f>
        <v>263</v>
      </c>
      <c r="F210">
        <f>VLOOKUP($C210,'2000 Place'!$C$2:$Y$523,7,FALSE)</f>
        <v>247</v>
      </c>
      <c r="G210">
        <f>VLOOKUP($C210,'2000 Place'!$C$2:$Y$523,8,FALSE)</f>
        <v>154</v>
      </c>
      <c r="H210">
        <f>VLOOKUP($C210,'2000 Place'!$C$2:$Y$523,9,FALSE)</f>
        <v>9</v>
      </c>
      <c r="I210">
        <f>VLOOKUP($C210,'2000 Place'!$C$2:$Y$523,10,FALSE)</f>
        <v>69</v>
      </c>
      <c r="J210">
        <f>VLOOKUP($C210,'2000 Place'!$C$2:$Y$523,11,FALSE)</f>
        <v>143</v>
      </c>
      <c r="K210">
        <f>VLOOKUP($C210,'2000 Place'!$C$2:$Y$523,12,FALSE)</f>
        <v>0</v>
      </c>
      <c r="L210">
        <f>VLOOKUP($C210,'2000 Place'!$C$2:$Y$523,13,FALSE)</f>
        <v>0</v>
      </c>
      <c r="M210">
        <f>VLOOKUP($C210,'2000 Place'!$C$2:$Y$523,14,FALSE)</f>
        <v>0</v>
      </c>
      <c r="N210">
        <f>VLOOKUP($C210,'2000 Place'!$C$2:$Y$523,15,FALSE)</f>
        <v>6</v>
      </c>
      <c r="O210">
        <f>VLOOKUP($C210,'2000 Place'!$C$2:$Y$523,16,FALSE)</f>
        <v>6</v>
      </c>
      <c r="P210">
        <f>VLOOKUP($C210,'2000 Place'!$C$2:$Y$523,17,FALSE)</f>
        <v>3</v>
      </c>
      <c r="Q210">
        <f>VLOOKUP($C210,'2000 Place'!$C$2:$Y$523,18,FALSE)</f>
        <v>0</v>
      </c>
      <c r="R210">
        <f>VLOOKUP($C210,'2000 Place'!$C$2:$Y$523,19,FALSE)</f>
        <v>0</v>
      </c>
      <c r="S210">
        <f>VLOOKUP($C210,'2000 Place'!$C$2:$Y$523,20,FALSE)</f>
        <v>19</v>
      </c>
      <c r="T210">
        <f>VLOOKUP($C210,'2000 Place'!$C$2:$Y$523,21,FALSE)</f>
        <v>67</v>
      </c>
      <c r="U210">
        <f>VLOOKUP($C210,'2000 Place'!$C$2:$Y$523,22,FALSE)</f>
        <v>15</v>
      </c>
      <c r="V210">
        <f>VLOOKUP($C210,'2000 Place'!$C$2:$Y$523,23,FALSE)</f>
        <v>19</v>
      </c>
    </row>
    <row r="211" spans="1:22" x14ac:dyDescent="0.25">
      <c r="A211" t="s">
        <v>666</v>
      </c>
      <c r="B211">
        <v>5326735</v>
      </c>
      <c r="C211" t="s">
        <v>667</v>
      </c>
      <c r="D211">
        <f>VLOOKUP($C211,'2000 Place'!$C$2:$Y$523,5,FALSE)</f>
        <v>6593</v>
      </c>
      <c r="E211">
        <f>VLOOKUP($C211,'2000 Place'!$C$2:$Y$523,6,FALSE)</f>
        <v>6195</v>
      </c>
      <c r="F211">
        <f>VLOOKUP($C211,'2000 Place'!$C$2:$Y$523,7,FALSE)</f>
        <v>398</v>
      </c>
      <c r="G211">
        <f>VLOOKUP($C211,'2000 Place'!$C$2:$Y$523,8,FALSE)</f>
        <v>5778</v>
      </c>
      <c r="H211">
        <f>VLOOKUP($C211,'2000 Place'!$C$2:$Y$523,9,FALSE)</f>
        <v>210</v>
      </c>
      <c r="I211">
        <f>VLOOKUP($C211,'2000 Place'!$C$2:$Y$523,10,FALSE)</f>
        <v>43</v>
      </c>
      <c r="J211">
        <f>VLOOKUP($C211,'2000 Place'!$C$2:$Y$523,11,FALSE)</f>
        <v>57</v>
      </c>
      <c r="K211">
        <f>VLOOKUP($C211,'2000 Place'!$C$2:$Y$523,12,FALSE)</f>
        <v>93</v>
      </c>
      <c r="L211">
        <f>VLOOKUP($C211,'2000 Place'!$C$2:$Y$523,13,FALSE)</f>
        <v>11</v>
      </c>
      <c r="M211">
        <f>VLOOKUP($C211,'2000 Place'!$C$2:$Y$523,14,FALSE)</f>
        <v>15</v>
      </c>
      <c r="N211">
        <f>VLOOKUP($C211,'2000 Place'!$C$2:$Y$523,15,FALSE)</f>
        <v>0</v>
      </c>
      <c r="O211">
        <f>VLOOKUP($C211,'2000 Place'!$C$2:$Y$523,16,FALSE)</f>
        <v>91</v>
      </c>
      <c r="P211">
        <f>VLOOKUP($C211,'2000 Place'!$C$2:$Y$523,17,FALSE)</f>
        <v>63</v>
      </c>
      <c r="Q211">
        <f>VLOOKUP($C211,'2000 Place'!$C$2:$Y$523,18,FALSE)</f>
        <v>40</v>
      </c>
      <c r="R211">
        <f>VLOOKUP($C211,'2000 Place'!$C$2:$Y$523,19,FALSE)</f>
        <v>19</v>
      </c>
      <c r="S211">
        <f>VLOOKUP($C211,'2000 Place'!$C$2:$Y$523,20,FALSE)</f>
        <v>16</v>
      </c>
      <c r="T211">
        <f>VLOOKUP($C211,'2000 Place'!$C$2:$Y$523,21,FALSE)</f>
        <v>4</v>
      </c>
      <c r="U211">
        <f>VLOOKUP($C211,'2000 Place'!$C$2:$Y$523,22,FALSE)</f>
        <v>119</v>
      </c>
      <c r="V211">
        <f>VLOOKUP($C211,'2000 Place'!$C$2:$Y$523,23,FALSE)</f>
        <v>34</v>
      </c>
    </row>
    <row r="212" spans="1:22" x14ac:dyDescent="0.25">
      <c r="A212" t="s">
        <v>668</v>
      </c>
      <c r="B212">
        <v>5326875</v>
      </c>
      <c r="C212" t="s">
        <v>669</v>
      </c>
      <c r="D212">
        <f>VLOOKUP($C212,'2000 Place'!$C$2:$Y$523,5,FALSE)</f>
        <v>73</v>
      </c>
      <c r="E212">
        <f>VLOOKUP($C212,'2000 Place'!$C$2:$Y$523,6,FALSE)</f>
        <v>73</v>
      </c>
      <c r="F212">
        <f>VLOOKUP($C212,'2000 Place'!$C$2:$Y$523,7,FALSE)</f>
        <v>0</v>
      </c>
      <c r="G212">
        <f>VLOOKUP($C212,'2000 Place'!$C$2:$Y$523,8,FALSE)</f>
        <v>35</v>
      </c>
      <c r="H212">
        <f>VLOOKUP($C212,'2000 Place'!$C$2:$Y$523,9,FALSE)</f>
        <v>0</v>
      </c>
      <c r="I212">
        <f>VLOOKUP($C212,'2000 Place'!$C$2:$Y$523,10,FALSE)</f>
        <v>0</v>
      </c>
      <c r="J212">
        <f>VLOOKUP($C212,'2000 Place'!$C$2:$Y$523,11,FALSE)</f>
        <v>0</v>
      </c>
      <c r="K212">
        <f>VLOOKUP($C212,'2000 Place'!$C$2:$Y$523,12,FALSE)</f>
        <v>0</v>
      </c>
      <c r="L212">
        <f>VLOOKUP($C212,'2000 Place'!$C$2:$Y$523,13,FALSE)</f>
        <v>0</v>
      </c>
      <c r="M212">
        <f>VLOOKUP($C212,'2000 Place'!$C$2:$Y$523,14,FALSE)</f>
        <v>0</v>
      </c>
      <c r="N212">
        <f>VLOOKUP($C212,'2000 Place'!$C$2:$Y$523,15,FALSE)</f>
        <v>0</v>
      </c>
      <c r="O212">
        <f>VLOOKUP($C212,'2000 Place'!$C$2:$Y$523,16,FALSE)</f>
        <v>0</v>
      </c>
      <c r="P212">
        <f>VLOOKUP($C212,'2000 Place'!$C$2:$Y$523,17,FALSE)</f>
        <v>0</v>
      </c>
      <c r="Q212">
        <f>VLOOKUP($C212,'2000 Place'!$C$2:$Y$523,18,FALSE)</f>
        <v>0</v>
      </c>
      <c r="R212">
        <f>VLOOKUP($C212,'2000 Place'!$C$2:$Y$523,19,FALSE)</f>
        <v>0</v>
      </c>
      <c r="S212">
        <f>VLOOKUP($C212,'2000 Place'!$C$2:$Y$523,20,FALSE)</f>
        <v>9</v>
      </c>
      <c r="T212">
        <f>VLOOKUP($C212,'2000 Place'!$C$2:$Y$523,21,FALSE)</f>
        <v>0</v>
      </c>
      <c r="U212">
        <f>VLOOKUP($C212,'2000 Place'!$C$2:$Y$523,22,FALSE)</f>
        <v>29</v>
      </c>
      <c r="V212">
        <f>VLOOKUP($C212,'2000 Place'!$C$2:$Y$523,23,FALSE)</f>
        <v>0</v>
      </c>
    </row>
    <row r="213" spans="1:22" x14ac:dyDescent="0.25">
      <c r="A213" t="s">
        <v>670</v>
      </c>
      <c r="B213">
        <v>5326945</v>
      </c>
      <c r="C213" t="s">
        <v>671</v>
      </c>
      <c r="D213">
        <f>VLOOKUP($C213,'2000 Place'!$C$2:$Y$523,5,FALSE)</f>
        <v>2593</v>
      </c>
      <c r="E213">
        <f>VLOOKUP($C213,'2000 Place'!$C$2:$Y$523,6,FALSE)</f>
        <v>2459</v>
      </c>
      <c r="F213">
        <f>VLOOKUP($C213,'2000 Place'!$C$2:$Y$523,7,FALSE)</f>
        <v>134</v>
      </c>
      <c r="G213">
        <f>VLOOKUP($C213,'2000 Place'!$C$2:$Y$523,8,FALSE)</f>
        <v>2231</v>
      </c>
      <c r="H213">
        <f>VLOOKUP($C213,'2000 Place'!$C$2:$Y$523,9,FALSE)</f>
        <v>22</v>
      </c>
      <c r="I213">
        <f>VLOOKUP($C213,'2000 Place'!$C$2:$Y$523,10,FALSE)</f>
        <v>14</v>
      </c>
      <c r="J213">
        <f>VLOOKUP($C213,'2000 Place'!$C$2:$Y$523,11,FALSE)</f>
        <v>0</v>
      </c>
      <c r="K213">
        <f>VLOOKUP($C213,'2000 Place'!$C$2:$Y$523,12,FALSE)</f>
        <v>0</v>
      </c>
      <c r="L213">
        <f>VLOOKUP($C213,'2000 Place'!$C$2:$Y$523,13,FALSE)</f>
        <v>0</v>
      </c>
      <c r="M213">
        <f>VLOOKUP($C213,'2000 Place'!$C$2:$Y$523,14,FALSE)</f>
        <v>0</v>
      </c>
      <c r="N213">
        <f>VLOOKUP($C213,'2000 Place'!$C$2:$Y$523,15,FALSE)</f>
        <v>0</v>
      </c>
      <c r="O213">
        <f>VLOOKUP($C213,'2000 Place'!$C$2:$Y$523,16,FALSE)</f>
        <v>0</v>
      </c>
      <c r="P213">
        <f>VLOOKUP($C213,'2000 Place'!$C$2:$Y$523,17,FALSE)</f>
        <v>9</v>
      </c>
      <c r="Q213">
        <f>VLOOKUP($C213,'2000 Place'!$C$2:$Y$523,18,FALSE)</f>
        <v>0</v>
      </c>
      <c r="R213">
        <f>VLOOKUP($C213,'2000 Place'!$C$2:$Y$523,19,FALSE)</f>
        <v>0</v>
      </c>
      <c r="S213">
        <f>VLOOKUP($C213,'2000 Place'!$C$2:$Y$523,20,FALSE)</f>
        <v>116</v>
      </c>
      <c r="T213">
        <f>VLOOKUP($C213,'2000 Place'!$C$2:$Y$523,21,FALSE)</f>
        <v>95</v>
      </c>
      <c r="U213">
        <f>VLOOKUP($C213,'2000 Place'!$C$2:$Y$523,22,FALSE)</f>
        <v>98</v>
      </c>
      <c r="V213">
        <f>VLOOKUP($C213,'2000 Place'!$C$2:$Y$523,23,FALSE)</f>
        <v>8</v>
      </c>
    </row>
    <row r="214" spans="1:22" x14ac:dyDescent="0.25">
      <c r="A214" t="s">
        <v>672</v>
      </c>
      <c r="B214">
        <v>5327225</v>
      </c>
      <c r="C214" t="s">
        <v>673</v>
      </c>
      <c r="D214" t="e">
        <f>VLOOKUP($C214,'2000 Place'!$C$2:$Y$523,5,FALSE)</f>
        <v>#N/A</v>
      </c>
      <c r="E214" t="e">
        <f>VLOOKUP($C214,'2000 Place'!$C$2:$Y$523,6,FALSE)</f>
        <v>#N/A</v>
      </c>
      <c r="F214" t="e">
        <f>VLOOKUP($C214,'2000 Place'!$C$2:$Y$523,7,FALSE)</f>
        <v>#N/A</v>
      </c>
      <c r="G214" t="e">
        <f>VLOOKUP($C214,'2000 Place'!$C$2:$Y$523,8,FALSE)</f>
        <v>#N/A</v>
      </c>
      <c r="H214" t="e">
        <f>VLOOKUP($C214,'2000 Place'!$C$2:$Y$523,9,FALSE)</f>
        <v>#N/A</v>
      </c>
      <c r="I214" t="e">
        <f>VLOOKUP($C214,'2000 Place'!$C$2:$Y$523,10,FALSE)</f>
        <v>#N/A</v>
      </c>
      <c r="J214" t="e">
        <f>VLOOKUP($C214,'2000 Place'!$C$2:$Y$523,11,FALSE)</f>
        <v>#N/A</v>
      </c>
      <c r="K214" t="e">
        <f>VLOOKUP($C214,'2000 Place'!$C$2:$Y$523,12,FALSE)</f>
        <v>#N/A</v>
      </c>
      <c r="L214" t="e">
        <f>VLOOKUP($C214,'2000 Place'!$C$2:$Y$523,13,FALSE)</f>
        <v>#N/A</v>
      </c>
      <c r="M214" t="e">
        <f>VLOOKUP($C214,'2000 Place'!$C$2:$Y$523,14,FALSE)</f>
        <v>#N/A</v>
      </c>
      <c r="N214" t="e">
        <f>VLOOKUP($C214,'2000 Place'!$C$2:$Y$523,15,FALSE)</f>
        <v>#N/A</v>
      </c>
      <c r="O214" t="e">
        <f>VLOOKUP($C214,'2000 Place'!$C$2:$Y$523,16,FALSE)</f>
        <v>#N/A</v>
      </c>
      <c r="P214" t="e">
        <f>VLOOKUP($C214,'2000 Place'!$C$2:$Y$523,17,FALSE)</f>
        <v>#N/A</v>
      </c>
      <c r="Q214" t="e">
        <f>VLOOKUP($C214,'2000 Place'!$C$2:$Y$523,18,FALSE)</f>
        <v>#N/A</v>
      </c>
      <c r="R214" t="e">
        <f>VLOOKUP($C214,'2000 Place'!$C$2:$Y$523,19,FALSE)</f>
        <v>#N/A</v>
      </c>
      <c r="S214" t="e">
        <f>VLOOKUP($C214,'2000 Place'!$C$2:$Y$523,20,FALSE)</f>
        <v>#N/A</v>
      </c>
      <c r="T214" t="e">
        <f>VLOOKUP($C214,'2000 Place'!$C$2:$Y$523,21,FALSE)</f>
        <v>#N/A</v>
      </c>
      <c r="U214" t="e">
        <f>VLOOKUP($C214,'2000 Place'!$C$2:$Y$523,22,FALSE)</f>
        <v>#N/A</v>
      </c>
      <c r="V214" t="e">
        <f>VLOOKUP($C214,'2000 Place'!$C$2:$Y$523,23,FALSE)</f>
        <v>#N/A</v>
      </c>
    </row>
    <row r="215" spans="1:22" x14ac:dyDescent="0.25">
      <c r="A215" t="s">
        <v>674</v>
      </c>
      <c r="B215">
        <v>5327365</v>
      </c>
      <c r="C215" t="s">
        <v>675</v>
      </c>
      <c r="D215">
        <f>VLOOKUP($C215,'2000 Place'!$C$2:$Y$523,5,FALSE)</f>
        <v>1969</v>
      </c>
      <c r="E215">
        <f>VLOOKUP($C215,'2000 Place'!$C$2:$Y$523,6,FALSE)</f>
        <v>1873</v>
      </c>
      <c r="F215">
        <f>VLOOKUP($C215,'2000 Place'!$C$2:$Y$523,7,FALSE)</f>
        <v>96</v>
      </c>
      <c r="G215">
        <f>VLOOKUP($C215,'2000 Place'!$C$2:$Y$523,8,FALSE)</f>
        <v>1688</v>
      </c>
      <c r="H215">
        <f>VLOOKUP($C215,'2000 Place'!$C$2:$Y$523,9,FALSE)</f>
        <v>48</v>
      </c>
      <c r="I215">
        <f>VLOOKUP($C215,'2000 Place'!$C$2:$Y$523,10,FALSE)</f>
        <v>40</v>
      </c>
      <c r="J215">
        <f>VLOOKUP($C215,'2000 Place'!$C$2:$Y$523,11,FALSE)</f>
        <v>0</v>
      </c>
      <c r="K215">
        <f>VLOOKUP($C215,'2000 Place'!$C$2:$Y$523,12,FALSE)</f>
        <v>2</v>
      </c>
      <c r="L215">
        <f>VLOOKUP($C215,'2000 Place'!$C$2:$Y$523,13,FALSE)</f>
        <v>0</v>
      </c>
      <c r="M215">
        <f>VLOOKUP($C215,'2000 Place'!$C$2:$Y$523,14,FALSE)</f>
        <v>41</v>
      </c>
      <c r="N215">
        <f>VLOOKUP($C215,'2000 Place'!$C$2:$Y$523,15,FALSE)</f>
        <v>0</v>
      </c>
      <c r="O215">
        <f>VLOOKUP($C215,'2000 Place'!$C$2:$Y$523,16,FALSE)</f>
        <v>0</v>
      </c>
      <c r="P215">
        <f>VLOOKUP($C215,'2000 Place'!$C$2:$Y$523,17,FALSE)</f>
        <v>31</v>
      </c>
      <c r="Q215">
        <f>VLOOKUP($C215,'2000 Place'!$C$2:$Y$523,18,FALSE)</f>
        <v>0</v>
      </c>
      <c r="R215">
        <f>VLOOKUP($C215,'2000 Place'!$C$2:$Y$523,19,FALSE)</f>
        <v>0</v>
      </c>
      <c r="S215">
        <f>VLOOKUP($C215,'2000 Place'!$C$2:$Y$523,20,FALSE)</f>
        <v>21</v>
      </c>
      <c r="T215">
        <f>VLOOKUP($C215,'2000 Place'!$C$2:$Y$523,21,FALSE)</f>
        <v>2</v>
      </c>
      <c r="U215">
        <f>VLOOKUP($C215,'2000 Place'!$C$2:$Y$523,22,FALSE)</f>
        <v>81</v>
      </c>
      <c r="V215">
        <f>VLOOKUP($C215,'2000 Place'!$C$2:$Y$523,23,FALSE)</f>
        <v>15</v>
      </c>
    </row>
    <row r="216" spans="1:22" x14ac:dyDescent="0.25">
      <c r="A216" t="s">
        <v>676</v>
      </c>
      <c r="B216">
        <v>5327435</v>
      </c>
      <c r="C216" t="s">
        <v>677</v>
      </c>
      <c r="D216">
        <f>VLOOKUP($C216,'2000 Place'!$C$2:$Y$523,5,FALSE)</f>
        <v>3776</v>
      </c>
      <c r="E216">
        <f>VLOOKUP($C216,'2000 Place'!$C$2:$Y$523,6,FALSE)</f>
        <v>3597</v>
      </c>
      <c r="F216">
        <f>VLOOKUP($C216,'2000 Place'!$C$2:$Y$523,7,FALSE)</f>
        <v>179</v>
      </c>
      <c r="G216">
        <f>VLOOKUP($C216,'2000 Place'!$C$2:$Y$523,8,FALSE)</f>
        <v>3192</v>
      </c>
      <c r="H216">
        <f>VLOOKUP($C216,'2000 Place'!$C$2:$Y$523,9,FALSE)</f>
        <v>57</v>
      </c>
      <c r="I216">
        <f>VLOOKUP($C216,'2000 Place'!$C$2:$Y$523,10,FALSE)</f>
        <v>20</v>
      </c>
      <c r="J216">
        <f>VLOOKUP($C216,'2000 Place'!$C$2:$Y$523,11,FALSE)</f>
        <v>0</v>
      </c>
      <c r="K216">
        <f>VLOOKUP($C216,'2000 Place'!$C$2:$Y$523,12,FALSE)</f>
        <v>10</v>
      </c>
      <c r="L216">
        <f>VLOOKUP($C216,'2000 Place'!$C$2:$Y$523,13,FALSE)</f>
        <v>0</v>
      </c>
      <c r="M216">
        <f>VLOOKUP($C216,'2000 Place'!$C$2:$Y$523,14,FALSE)</f>
        <v>201</v>
      </c>
      <c r="N216">
        <f>VLOOKUP($C216,'2000 Place'!$C$2:$Y$523,15,FALSE)</f>
        <v>0</v>
      </c>
      <c r="O216">
        <f>VLOOKUP($C216,'2000 Place'!$C$2:$Y$523,16,FALSE)</f>
        <v>10</v>
      </c>
      <c r="P216">
        <f>VLOOKUP($C216,'2000 Place'!$C$2:$Y$523,17,FALSE)</f>
        <v>0</v>
      </c>
      <c r="Q216">
        <f>VLOOKUP($C216,'2000 Place'!$C$2:$Y$523,18,FALSE)</f>
        <v>29</v>
      </c>
      <c r="R216">
        <f>VLOOKUP($C216,'2000 Place'!$C$2:$Y$523,19,FALSE)</f>
        <v>0</v>
      </c>
      <c r="S216">
        <f>VLOOKUP($C216,'2000 Place'!$C$2:$Y$523,20,FALSE)</f>
        <v>104</v>
      </c>
      <c r="T216">
        <f>VLOOKUP($C216,'2000 Place'!$C$2:$Y$523,21,FALSE)</f>
        <v>122</v>
      </c>
      <c r="U216">
        <f>VLOOKUP($C216,'2000 Place'!$C$2:$Y$523,22,FALSE)</f>
        <v>31</v>
      </c>
      <c r="V216">
        <f>VLOOKUP($C216,'2000 Place'!$C$2:$Y$523,23,FALSE)</f>
        <v>0</v>
      </c>
    </row>
    <row r="217" spans="1:22" x14ac:dyDescent="0.25">
      <c r="A217" t="s">
        <v>678</v>
      </c>
      <c r="B217">
        <v>5327680</v>
      </c>
      <c r="C217" t="s">
        <v>679</v>
      </c>
      <c r="D217" t="e">
        <f>VLOOKUP($C217,'2000 Place'!$C$2:$Y$523,5,FALSE)</f>
        <v>#N/A</v>
      </c>
      <c r="E217" t="e">
        <f>VLOOKUP($C217,'2000 Place'!$C$2:$Y$523,6,FALSE)</f>
        <v>#N/A</v>
      </c>
      <c r="F217" t="e">
        <f>VLOOKUP($C217,'2000 Place'!$C$2:$Y$523,7,FALSE)</f>
        <v>#N/A</v>
      </c>
      <c r="G217" t="e">
        <f>VLOOKUP($C217,'2000 Place'!$C$2:$Y$523,8,FALSE)</f>
        <v>#N/A</v>
      </c>
      <c r="H217" t="e">
        <f>VLOOKUP($C217,'2000 Place'!$C$2:$Y$523,9,FALSE)</f>
        <v>#N/A</v>
      </c>
      <c r="I217" t="e">
        <f>VLOOKUP($C217,'2000 Place'!$C$2:$Y$523,10,FALSE)</f>
        <v>#N/A</v>
      </c>
      <c r="J217" t="e">
        <f>VLOOKUP($C217,'2000 Place'!$C$2:$Y$523,11,FALSE)</f>
        <v>#N/A</v>
      </c>
      <c r="K217" t="e">
        <f>VLOOKUP($C217,'2000 Place'!$C$2:$Y$523,12,FALSE)</f>
        <v>#N/A</v>
      </c>
      <c r="L217" t="e">
        <f>VLOOKUP($C217,'2000 Place'!$C$2:$Y$523,13,FALSE)</f>
        <v>#N/A</v>
      </c>
      <c r="M217" t="e">
        <f>VLOOKUP($C217,'2000 Place'!$C$2:$Y$523,14,FALSE)</f>
        <v>#N/A</v>
      </c>
      <c r="N217" t="e">
        <f>VLOOKUP($C217,'2000 Place'!$C$2:$Y$523,15,FALSE)</f>
        <v>#N/A</v>
      </c>
      <c r="O217" t="e">
        <f>VLOOKUP($C217,'2000 Place'!$C$2:$Y$523,16,FALSE)</f>
        <v>#N/A</v>
      </c>
      <c r="P217" t="e">
        <f>VLOOKUP($C217,'2000 Place'!$C$2:$Y$523,17,FALSE)</f>
        <v>#N/A</v>
      </c>
      <c r="Q217" t="e">
        <f>VLOOKUP($C217,'2000 Place'!$C$2:$Y$523,18,FALSE)</f>
        <v>#N/A</v>
      </c>
      <c r="R217" t="e">
        <f>VLOOKUP($C217,'2000 Place'!$C$2:$Y$523,19,FALSE)</f>
        <v>#N/A</v>
      </c>
      <c r="S217" t="e">
        <f>VLOOKUP($C217,'2000 Place'!$C$2:$Y$523,20,FALSE)</f>
        <v>#N/A</v>
      </c>
      <c r="T217" t="e">
        <f>VLOOKUP($C217,'2000 Place'!$C$2:$Y$523,21,FALSE)</f>
        <v>#N/A</v>
      </c>
      <c r="U217" t="e">
        <f>VLOOKUP($C217,'2000 Place'!$C$2:$Y$523,22,FALSE)</f>
        <v>#N/A</v>
      </c>
      <c r="V217" t="e">
        <f>VLOOKUP($C217,'2000 Place'!$C$2:$Y$523,23,FALSE)</f>
        <v>#N/A</v>
      </c>
    </row>
    <row r="218" spans="1:22" x14ac:dyDescent="0.25">
      <c r="A218" t="s">
        <v>680</v>
      </c>
      <c r="B218">
        <v>5327785</v>
      </c>
      <c r="C218" t="s">
        <v>681</v>
      </c>
      <c r="D218">
        <f>VLOOKUP($C218,'2000 Place'!$C$2:$Y$523,5,FALSE)</f>
        <v>8880</v>
      </c>
      <c r="E218">
        <f>VLOOKUP($C218,'2000 Place'!$C$2:$Y$523,6,FALSE)</f>
        <v>8526</v>
      </c>
      <c r="F218">
        <f>VLOOKUP($C218,'2000 Place'!$C$2:$Y$523,7,FALSE)</f>
        <v>354</v>
      </c>
      <c r="G218">
        <f>VLOOKUP($C218,'2000 Place'!$C$2:$Y$523,8,FALSE)</f>
        <v>7668</v>
      </c>
      <c r="H218">
        <f>VLOOKUP($C218,'2000 Place'!$C$2:$Y$523,9,FALSE)</f>
        <v>228</v>
      </c>
      <c r="I218">
        <f>VLOOKUP($C218,'2000 Place'!$C$2:$Y$523,10,FALSE)</f>
        <v>123</v>
      </c>
      <c r="J218">
        <f>VLOOKUP($C218,'2000 Place'!$C$2:$Y$523,11,FALSE)</f>
        <v>11</v>
      </c>
      <c r="K218">
        <f>VLOOKUP($C218,'2000 Place'!$C$2:$Y$523,12,FALSE)</f>
        <v>213</v>
      </c>
      <c r="L218">
        <f>VLOOKUP($C218,'2000 Place'!$C$2:$Y$523,13,FALSE)</f>
        <v>8</v>
      </c>
      <c r="M218">
        <f>VLOOKUP($C218,'2000 Place'!$C$2:$Y$523,14,FALSE)</f>
        <v>83</v>
      </c>
      <c r="N218">
        <f>VLOOKUP($C218,'2000 Place'!$C$2:$Y$523,15,FALSE)</f>
        <v>0</v>
      </c>
      <c r="O218">
        <f>VLOOKUP($C218,'2000 Place'!$C$2:$Y$523,16,FALSE)</f>
        <v>9</v>
      </c>
      <c r="P218">
        <f>VLOOKUP($C218,'2000 Place'!$C$2:$Y$523,17,FALSE)</f>
        <v>60</v>
      </c>
      <c r="Q218">
        <f>VLOOKUP($C218,'2000 Place'!$C$2:$Y$523,18,FALSE)</f>
        <v>0</v>
      </c>
      <c r="R218">
        <f>VLOOKUP($C218,'2000 Place'!$C$2:$Y$523,19,FALSE)</f>
        <v>0</v>
      </c>
      <c r="S218">
        <f>VLOOKUP($C218,'2000 Place'!$C$2:$Y$523,20,FALSE)</f>
        <v>71</v>
      </c>
      <c r="T218">
        <f>VLOOKUP($C218,'2000 Place'!$C$2:$Y$523,21,FALSE)</f>
        <v>28</v>
      </c>
      <c r="U218">
        <f>VLOOKUP($C218,'2000 Place'!$C$2:$Y$523,22,FALSE)</f>
        <v>359</v>
      </c>
      <c r="V218">
        <f>VLOOKUP($C218,'2000 Place'!$C$2:$Y$523,23,FALSE)</f>
        <v>19</v>
      </c>
    </row>
    <row r="219" spans="1:22" x14ac:dyDescent="0.25">
      <c r="A219" t="s">
        <v>682</v>
      </c>
      <c r="B219">
        <v>5327855</v>
      </c>
      <c r="C219" t="s">
        <v>683</v>
      </c>
      <c r="D219">
        <f>VLOOKUP($C219,'2000 Place'!$C$2:$Y$523,5,FALSE)</f>
        <v>902</v>
      </c>
      <c r="E219">
        <f>VLOOKUP($C219,'2000 Place'!$C$2:$Y$523,6,FALSE)</f>
        <v>870</v>
      </c>
      <c r="F219">
        <f>VLOOKUP($C219,'2000 Place'!$C$2:$Y$523,7,FALSE)</f>
        <v>32</v>
      </c>
      <c r="G219">
        <f>VLOOKUP($C219,'2000 Place'!$C$2:$Y$523,8,FALSE)</f>
        <v>692</v>
      </c>
      <c r="H219">
        <f>VLOOKUP($C219,'2000 Place'!$C$2:$Y$523,9,FALSE)</f>
        <v>12</v>
      </c>
      <c r="I219">
        <f>VLOOKUP($C219,'2000 Place'!$C$2:$Y$523,10,FALSE)</f>
        <v>16</v>
      </c>
      <c r="J219">
        <f>VLOOKUP($C219,'2000 Place'!$C$2:$Y$523,11,FALSE)</f>
        <v>0</v>
      </c>
      <c r="K219">
        <f>VLOOKUP($C219,'2000 Place'!$C$2:$Y$523,12,FALSE)</f>
        <v>11</v>
      </c>
      <c r="L219">
        <f>VLOOKUP($C219,'2000 Place'!$C$2:$Y$523,13,FALSE)</f>
        <v>0</v>
      </c>
      <c r="M219">
        <f>VLOOKUP($C219,'2000 Place'!$C$2:$Y$523,14,FALSE)</f>
        <v>124</v>
      </c>
      <c r="N219">
        <f>VLOOKUP($C219,'2000 Place'!$C$2:$Y$523,15,FALSE)</f>
        <v>0</v>
      </c>
      <c r="O219">
        <f>VLOOKUP($C219,'2000 Place'!$C$2:$Y$523,16,FALSE)</f>
        <v>3</v>
      </c>
      <c r="P219">
        <f>VLOOKUP($C219,'2000 Place'!$C$2:$Y$523,17,FALSE)</f>
        <v>14</v>
      </c>
      <c r="Q219">
        <f>VLOOKUP($C219,'2000 Place'!$C$2:$Y$523,18,FALSE)</f>
        <v>0</v>
      </c>
      <c r="R219">
        <f>VLOOKUP($C219,'2000 Place'!$C$2:$Y$523,19,FALSE)</f>
        <v>0</v>
      </c>
      <c r="S219">
        <f>VLOOKUP($C219,'2000 Place'!$C$2:$Y$523,20,FALSE)</f>
        <v>10</v>
      </c>
      <c r="T219">
        <f>VLOOKUP($C219,'2000 Place'!$C$2:$Y$523,21,FALSE)</f>
        <v>6</v>
      </c>
      <c r="U219">
        <f>VLOOKUP($C219,'2000 Place'!$C$2:$Y$523,22,FALSE)</f>
        <v>14</v>
      </c>
      <c r="V219">
        <f>VLOOKUP($C219,'2000 Place'!$C$2:$Y$523,23,FALSE)</f>
        <v>0</v>
      </c>
    </row>
    <row r="220" spans="1:22" x14ac:dyDescent="0.25">
      <c r="A220" t="s">
        <v>684</v>
      </c>
      <c r="B220">
        <v>5327890</v>
      </c>
      <c r="C220" t="s">
        <v>685</v>
      </c>
      <c r="D220">
        <f>VLOOKUP($C220,'2000 Place'!$C$2:$Y$523,5,FALSE)</f>
        <v>2072</v>
      </c>
      <c r="E220">
        <f>VLOOKUP($C220,'2000 Place'!$C$2:$Y$523,6,FALSE)</f>
        <v>1986</v>
      </c>
      <c r="F220">
        <f>VLOOKUP($C220,'2000 Place'!$C$2:$Y$523,7,FALSE)</f>
        <v>86</v>
      </c>
      <c r="G220">
        <f>VLOOKUP($C220,'2000 Place'!$C$2:$Y$523,8,FALSE)</f>
        <v>1771</v>
      </c>
      <c r="H220">
        <f>VLOOKUP($C220,'2000 Place'!$C$2:$Y$523,9,FALSE)</f>
        <v>11</v>
      </c>
      <c r="I220">
        <f>VLOOKUP($C220,'2000 Place'!$C$2:$Y$523,10,FALSE)</f>
        <v>7</v>
      </c>
      <c r="J220">
        <f>VLOOKUP($C220,'2000 Place'!$C$2:$Y$523,11,FALSE)</f>
        <v>0</v>
      </c>
      <c r="K220">
        <f>VLOOKUP($C220,'2000 Place'!$C$2:$Y$523,12,FALSE)</f>
        <v>0</v>
      </c>
      <c r="L220">
        <f>VLOOKUP($C220,'2000 Place'!$C$2:$Y$523,13,FALSE)</f>
        <v>0</v>
      </c>
      <c r="M220">
        <f>VLOOKUP($C220,'2000 Place'!$C$2:$Y$523,14,FALSE)</f>
        <v>32</v>
      </c>
      <c r="N220">
        <f>VLOOKUP($C220,'2000 Place'!$C$2:$Y$523,15,FALSE)</f>
        <v>0</v>
      </c>
      <c r="O220">
        <f>VLOOKUP($C220,'2000 Place'!$C$2:$Y$523,16,FALSE)</f>
        <v>0</v>
      </c>
      <c r="P220">
        <f>VLOOKUP($C220,'2000 Place'!$C$2:$Y$523,17,FALSE)</f>
        <v>0</v>
      </c>
      <c r="Q220">
        <f>VLOOKUP($C220,'2000 Place'!$C$2:$Y$523,18,FALSE)</f>
        <v>10</v>
      </c>
      <c r="R220">
        <f>VLOOKUP($C220,'2000 Place'!$C$2:$Y$523,19,FALSE)</f>
        <v>50</v>
      </c>
      <c r="S220">
        <f>VLOOKUP($C220,'2000 Place'!$C$2:$Y$523,20,FALSE)</f>
        <v>94</v>
      </c>
      <c r="T220">
        <f>VLOOKUP($C220,'2000 Place'!$C$2:$Y$523,21,FALSE)</f>
        <v>25</v>
      </c>
      <c r="U220">
        <f>VLOOKUP($C220,'2000 Place'!$C$2:$Y$523,22,FALSE)</f>
        <v>72</v>
      </c>
      <c r="V220">
        <f>VLOOKUP($C220,'2000 Place'!$C$2:$Y$523,23,FALSE)</f>
        <v>0</v>
      </c>
    </row>
    <row r="221" spans="1:22" x14ac:dyDescent="0.25">
      <c r="A221" t="s">
        <v>686</v>
      </c>
      <c r="B221">
        <v>5327925</v>
      </c>
      <c r="C221" t="s">
        <v>687</v>
      </c>
      <c r="D221">
        <f>VLOOKUP($C221,'2000 Place'!$C$2:$Y$523,5,FALSE)</f>
        <v>8377</v>
      </c>
      <c r="E221">
        <f>VLOOKUP($C221,'2000 Place'!$C$2:$Y$523,6,FALSE)</f>
        <v>6091</v>
      </c>
      <c r="F221">
        <f>VLOOKUP($C221,'2000 Place'!$C$2:$Y$523,7,FALSE)</f>
        <v>2286</v>
      </c>
      <c r="G221">
        <f>VLOOKUP($C221,'2000 Place'!$C$2:$Y$523,8,FALSE)</f>
        <v>2365</v>
      </c>
      <c r="H221">
        <f>VLOOKUP($C221,'2000 Place'!$C$2:$Y$523,9,FALSE)</f>
        <v>71</v>
      </c>
      <c r="I221">
        <f>VLOOKUP($C221,'2000 Place'!$C$2:$Y$523,10,FALSE)</f>
        <v>1062</v>
      </c>
      <c r="J221">
        <f>VLOOKUP($C221,'2000 Place'!$C$2:$Y$523,11,FALSE)</f>
        <v>738</v>
      </c>
      <c r="K221">
        <f>VLOOKUP($C221,'2000 Place'!$C$2:$Y$523,12,FALSE)</f>
        <v>15</v>
      </c>
      <c r="L221">
        <f>VLOOKUP($C221,'2000 Place'!$C$2:$Y$523,13,FALSE)</f>
        <v>22</v>
      </c>
      <c r="M221">
        <f>VLOOKUP($C221,'2000 Place'!$C$2:$Y$523,14,FALSE)</f>
        <v>51</v>
      </c>
      <c r="N221">
        <f>VLOOKUP($C221,'2000 Place'!$C$2:$Y$523,15,FALSE)</f>
        <v>0</v>
      </c>
      <c r="O221">
        <f>VLOOKUP($C221,'2000 Place'!$C$2:$Y$523,16,FALSE)</f>
        <v>34</v>
      </c>
      <c r="P221">
        <f>VLOOKUP($C221,'2000 Place'!$C$2:$Y$523,17,FALSE)</f>
        <v>107</v>
      </c>
      <c r="Q221">
        <f>VLOOKUP($C221,'2000 Place'!$C$2:$Y$523,18,FALSE)</f>
        <v>0</v>
      </c>
      <c r="R221">
        <f>VLOOKUP($C221,'2000 Place'!$C$2:$Y$523,19,FALSE)</f>
        <v>0</v>
      </c>
      <c r="S221">
        <f>VLOOKUP($C221,'2000 Place'!$C$2:$Y$523,20,FALSE)</f>
        <v>2336</v>
      </c>
      <c r="T221">
        <f>VLOOKUP($C221,'2000 Place'!$C$2:$Y$523,21,FALSE)</f>
        <v>1282</v>
      </c>
      <c r="U221">
        <f>VLOOKUP($C221,'2000 Place'!$C$2:$Y$523,22,FALSE)</f>
        <v>228</v>
      </c>
      <c r="V221">
        <f>VLOOKUP($C221,'2000 Place'!$C$2:$Y$523,23,FALSE)</f>
        <v>66</v>
      </c>
    </row>
    <row r="222" spans="1:22" x14ac:dyDescent="0.25">
      <c r="A222" t="s">
        <v>688</v>
      </c>
      <c r="B222">
        <v>5327960</v>
      </c>
      <c r="C222" t="s">
        <v>689</v>
      </c>
      <c r="D222" t="e">
        <f>VLOOKUP($C222,'2000 Place'!$C$2:$Y$523,5,FALSE)</f>
        <v>#N/A</v>
      </c>
      <c r="E222" t="e">
        <f>VLOOKUP($C222,'2000 Place'!$C$2:$Y$523,6,FALSE)</f>
        <v>#N/A</v>
      </c>
      <c r="F222" t="e">
        <f>VLOOKUP($C222,'2000 Place'!$C$2:$Y$523,7,FALSE)</f>
        <v>#N/A</v>
      </c>
      <c r="G222" t="e">
        <f>VLOOKUP($C222,'2000 Place'!$C$2:$Y$523,8,FALSE)</f>
        <v>#N/A</v>
      </c>
      <c r="H222" t="e">
        <f>VLOOKUP($C222,'2000 Place'!$C$2:$Y$523,9,FALSE)</f>
        <v>#N/A</v>
      </c>
      <c r="I222" t="e">
        <f>VLOOKUP($C222,'2000 Place'!$C$2:$Y$523,10,FALSE)</f>
        <v>#N/A</v>
      </c>
      <c r="J222" t="e">
        <f>VLOOKUP($C222,'2000 Place'!$C$2:$Y$523,11,FALSE)</f>
        <v>#N/A</v>
      </c>
      <c r="K222" t="e">
        <f>VLOOKUP($C222,'2000 Place'!$C$2:$Y$523,12,FALSE)</f>
        <v>#N/A</v>
      </c>
      <c r="L222" t="e">
        <f>VLOOKUP($C222,'2000 Place'!$C$2:$Y$523,13,FALSE)</f>
        <v>#N/A</v>
      </c>
      <c r="M222" t="e">
        <f>VLOOKUP($C222,'2000 Place'!$C$2:$Y$523,14,FALSE)</f>
        <v>#N/A</v>
      </c>
      <c r="N222" t="e">
        <f>VLOOKUP($C222,'2000 Place'!$C$2:$Y$523,15,FALSE)</f>
        <v>#N/A</v>
      </c>
      <c r="O222" t="e">
        <f>VLOOKUP($C222,'2000 Place'!$C$2:$Y$523,16,FALSE)</f>
        <v>#N/A</v>
      </c>
      <c r="P222" t="e">
        <f>VLOOKUP($C222,'2000 Place'!$C$2:$Y$523,17,FALSE)</f>
        <v>#N/A</v>
      </c>
      <c r="Q222" t="e">
        <f>VLOOKUP($C222,'2000 Place'!$C$2:$Y$523,18,FALSE)</f>
        <v>#N/A</v>
      </c>
      <c r="R222" t="e">
        <f>VLOOKUP($C222,'2000 Place'!$C$2:$Y$523,19,FALSE)</f>
        <v>#N/A</v>
      </c>
      <c r="S222" t="e">
        <f>VLOOKUP($C222,'2000 Place'!$C$2:$Y$523,20,FALSE)</f>
        <v>#N/A</v>
      </c>
      <c r="T222" t="e">
        <f>VLOOKUP($C222,'2000 Place'!$C$2:$Y$523,21,FALSE)</f>
        <v>#N/A</v>
      </c>
      <c r="U222" t="e">
        <f>VLOOKUP($C222,'2000 Place'!$C$2:$Y$523,22,FALSE)</f>
        <v>#N/A</v>
      </c>
      <c r="V222" t="e">
        <f>VLOOKUP($C222,'2000 Place'!$C$2:$Y$523,23,FALSE)</f>
        <v>#N/A</v>
      </c>
    </row>
    <row r="223" spans="1:22" x14ac:dyDescent="0.25">
      <c r="A223" t="s">
        <v>690</v>
      </c>
      <c r="B223">
        <v>5327995</v>
      </c>
      <c r="C223" t="s">
        <v>691</v>
      </c>
      <c r="D223">
        <f>VLOOKUP($C223,'2000 Place'!$C$2:$Y$523,5,FALSE)</f>
        <v>2352</v>
      </c>
      <c r="E223">
        <f>VLOOKUP($C223,'2000 Place'!$C$2:$Y$523,6,FALSE)</f>
        <v>2279</v>
      </c>
      <c r="F223">
        <f>VLOOKUP($C223,'2000 Place'!$C$2:$Y$523,7,FALSE)</f>
        <v>73</v>
      </c>
      <c r="G223">
        <f>VLOOKUP($C223,'2000 Place'!$C$2:$Y$523,8,FALSE)</f>
        <v>2057</v>
      </c>
      <c r="H223">
        <f>VLOOKUP($C223,'2000 Place'!$C$2:$Y$523,9,FALSE)</f>
        <v>37</v>
      </c>
      <c r="I223">
        <f>VLOOKUP($C223,'2000 Place'!$C$2:$Y$523,10,FALSE)</f>
        <v>51</v>
      </c>
      <c r="J223">
        <f>VLOOKUP($C223,'2000 Place'!$C$2:$Y$523,11,FALSE)</f>
        <v>19</v>
      </c>
      <c r="K223">
        <f>VLOOKUP($C223,'2000 Place'!$C$2:$Y$523,12,FALSE)</f>
        <v>10</v>
      </c>
      <c r="L223">
        <f>VLOOKUP($C223,'2000 Place'!$C$2:$Y$523,13,FALSE)</f>
        <v>0</v>
      </c>
      <c r="M223">
        <f>VLOOKUP($C223,'2000 Place'!$C$2:$Y$523,14,FALSE)</f>
        <v>64</v>
      </c>
      <c r="N223">
        <f>VLOOKUP($C223,'2000 Place'!$C$2:$Y$523,15,FALSE)</f>
        <v>0</v>
      </c>
      <c r="O223">
        <f>VLOOKUP($C223,'2000 Place'!$C$2:$Y$523,16,FALSE)</f>
        <v>6</v>
      </c>
      <c r="P223">
        <f>VLOOKUP($C223,'2000 Place'!$C$2:$Y$523,17,FALSE)</f>
        <v>6</v>
      </c>
      <c r="Q223">
        <f>VLOOKUP($C223,'2000 Place'!$C$2:$Y$523,18,FALSE)</f>
        <v>5</v>
      </c>
      <c r="R223">
        <f>VLOOKUP($C223,'2000 Place'!$C$2:$Y$523,19,FALSE)</f>
        <v>0</v>
      </c>
      <c r="S223">
        <f>VLOOKUP($C223,'2000 Place'!$C$2:$Y$523,20,FALSE)</f>
        <v>16</v>
      </c>
      <c r="T223">
        <f>VLOOKUP($C223,'2000 Place'!$C$2:$Y$523,21,FALSE)</f>
        <v>8</v>
      </c>
      <c r="U223">
        <f>VLOOKUP($C223,'2000 Place'!$C$2:$Y$523,22,FALSE)</f>
        <v>70</v>
      </c>
      <c r="V223">
        <f>VLOOKUP($C223,'2000 Place'!$C$2:$Y$523,23,FALSE)</f>
        <v>3</v>
      </c>
    </row>
    <row r="224" spans="1:22" x14ac:dyDescent="0.25">
      <c r="A224" t="s">
        <v>692</v>
      </c>
      <c r="B224">
        <v>5328135</v>
      </c>
      <c r="C224" t="s">
        <v>693</v>
      </c>
      <c r="D224" t="e">
        <f>VLOOKUP($C224,'2000 Place'!$C$2:$Y$523,5,FALSE)</f>
        <v>#N/A</v>
      </c>
      <c r="E224" t="e">
        <f>VLOOKUP($C224,'2000 Place'!$C$2:$Y$523,6,FALSE)</f>
        <v>#N/A</v>
      </c>
      <c r="F224" t="e">
        <f>VLOOKUP($C224,'2000 Place'!$C$2:$Y$523,7,FALSE)</f>
        <v>#N/A</v>
      </c>
      <c r="G224" t="e">
        <f>VLOOKUP($C224,'2000 Place'!$C$2:$Y$523,8,FALSE)</f>
        <v>#N/A</v>
      </c>
      <c r="H224" t="e">
        <f>VLOOKUP($C224,'2000 Place'!$C$2:$Y$523,9,FALSE)</f>
        <v>#N/A</v>
      </c>
      <c r="I224" t="e">
        <f>VLOOKUP($C224,'2000 Place'!$C$2:$Y$523,10,FALSE)</f>
        <v>#N/A</v>
      </c>
      <c r="J224" t="e">
        <f>VLOOKUP($C224,'2000 Place'!$C$2:$Y$523,11,FALSE)</f>
        <v>#N/A</v>
      </c>
      <c r="K224" t="e">
        <f>VLOOKUP($C224,'2000 Place'!$C$2:$Y$523,12,FALSE)</f>
        <v>#N/A</v>
      </c>
      <c r="L224" t="e">
        <f>VLOOKUP($C224,'2000 Place'!$C$2:$Y$523,13,FALSE)</f>
        <v>#N/A</v>
      </c>
      <c r="M224" t="e">
        <f>VLOOKUP($C224,'2000 Place'!$C$2:$Y$523,14,FALSE)</f>
        <v>#N/A</v>
      </c>
      <c r="N224" t="e">
        <f>VLOOKUP($C224,'2000 Place'!$C$2:$Y$523,15,FALSE)</f>
        <v>#N/A</v>
      </c>
      <c r="O224" t="e">
        <f>VLOOKUP($C224,'2000 Place'!$C$2:$Y$523,16,FALSE)</f>
        <v>#N/A</v>
      </c>
      <c r="P224" t="e">
        <f>VLOOKUP($C224,'2000 Place'!$C$2:$Y$523,17,FALSE)</f>
        <v>#N/A</v>
      </c>
      <c r="Q224" t="e">
        <f>VLOOKUP($C224,'2000 Place'!$C$2:$Y$523,18,FALSE)</f>
        <v>#N/A</v>
      </c>
      <c r="R224" t="e">
        <f>VLOOKUP($C224,'2000 Place'!$C$2:$Y$523,19,FALSE)</f>
        <v>#N/A</v>
      </c>
      <c r="S224" t="e">
        <f>VLOOKUP($C224,'2000 Place'!$C$2:$Y$523,20,FALSE)</f>
        <v>#N/A</v>
      </c>
      <c r="T224" t="e">
        <f>VLOOKUP($C224,'2000 Place'!$C$2:$Y$523,21,FALSE)</f>
        <v>#N/A</v>
      </c>
      <c r="U224" t="e">
        <f>VLOOKUP($C224,'2000 Place'!$C$2:$Y$523,22,FALSE)</f>
        <v>#N/A</v>
      </c>
      <c r="V224" t="e">
        <f>VLOOKUP($C224,'2000 Place'!$C$2:$Y$523,23,FALSE)</f>
        <v>#N/A</v>
      </c>
    </row>
    <row r="225" spans="1:22" x14ac:dyDescent="0.25">
      <c r="A225" t="s">
        <v>694</v>
      </c>
      <c r="B225">
        <v>5328345</v>
      </c>
      <c r="C225" t="s">
        <v>695</v>
      </c>
      <c r="D225">
        <f>VLOOKUP($C225,'2000 Place'!$C$2:$Y$523,5,FALSE)</f>
        <v>992</v>
      </c>
      <c r="E225">
        <f>VLOOKUP($C225,'2000 Place'!$C$2:$Y$523,6,FALSE)</f>
        <v>931</v>
      </c>
      <c r="F225">
        <f>VLOOKUP($C225,'2000 Place'!$C$2:$Y$523,7,FALSE)</f>
        <v>61</v>
      </c>
      <c r="G225">
        <f>VLOOKUP($C225,'2000 Place'!$C$2:$Y$523,8,FALSE)</f>
        <v>878</v>
      </c>
      <c r="H225">
        <f>VLOOKUP($C225,'2000 Place'!$C$2:$Y$523,9,FALSE)</f>
        <v>24</v>
      </c>
      <c r="I225">
        <f>VLOOKUP($C225,'2000 Place'!$C$2:$Y$523,10,FALSE)</f>
        <v>31</v>
      </c>
      <c r="J225">
        <f>VLOOKUP($C225,'2000 Place'!$C$2:$Y$523,11,FALSE)</f>
        <v>22</v>
      </c>
      <c r="K225">
        <f>VLOOKUP($C225,'2000 Place'!$C$2:$Y$523,12,FALSE)</f>
        <v>0</v>
      </c>
      <c r="L225">
        <f>VLOOKUP($C225,'2000 Place'!$C$2:$Y$523,13,FALSE)</f>
        <v>0</v>
      </c>
      <c r="M225">
        <f>VLOOKUP($C225,'2000 Place'!$C$2:$Y$523,14,FALSE)</f>
        <v>8</v>
      </c>
      <c r="N225">
        <f>VLOOKUP($C225,'2000 Place'!$C$2:$Y$523,15,FALSE)</f>
        <v>0</v>
      </c>
      <c r="O225">
        <f>VLOOKUP($C225,'2000 Place'!$C$2:$Y$523,16,FALSE)</f>
        <v>0</v>
      </c>
      <c r="P225">
        <f>VLOOKUP($C225,'2000 Place'!$C$2:$Y$523,17,FALSE)</f>
        <v>6</v>
      </c>
      <c r="Q225">
        <f>VLOOKUP($C225,'2000 Place'!$C$2:$Y$523,18,FALSE)</f>
        <v>14</v>
      </c>
      <c r="R225">
        <f>VLOOKUP($C225,'2000 Place'!$C$2:$Y$523,19,FALSE)</f>
        <v>0</v>
      </c>
      <c r="S225">
        <f>VLOOKUP($C225,'2000 Place'!$C$2:$Y$523,20,FALSE)</f>
        <v>0</v>
      </c>
      <c r="T225">
        <f>VLOOKUP($C225,'2000 Place'!$C$2:$Y$523,21,FALSE)</f>
        <v>9</v>
      </c>
      <c r="U225">
        <f>VLOOKUP($C225,'2000 Place'!$C$2:$Y$523,22,FALSE)</f>
        <v>0</v>
      </c>
      <c r="V225">
        <f>VLOOKUP($C225,'2000 Place'!$C$2:$Y$523,23,FALSE)</f>
        <v>0</v>
      </c>
    </row>
    <row r="226" spans="1:22" x14ac:dyDescent="0.25">
      <c r="A226" t="s">
        <v>696</v>
      </c>
      <c r="B226">
        <v>5328450</v>
      </c>
      <c r="C226" t="s">
        <v>697</v>
      </c>
      <c r="D226" t="e">
        <f>VLOOKUP($C226,'2000 Place'!$C$2:$Y$523,5,FALSE)</f>
        <v>#N/A</v>
      </c>
      <c r="E226" t="e">
        <f>VLOOKUP($C226,'2000 Place'!$C$2:$Y$523,6,FALSE)</f>
        <v>#N/A</v>
      </c>
      <c r="F226" t="e">
        <f>VLOOKUP($C226,'2000 Place'!$C$2:$Y$523,7,FALSE)</f>
        <v>#N/A</v>
      </c>
      <c r="G226" t="e">
        <f>VLOOKUP($C226,'2000 Place'!$C$2:$Y$523,8,FALSE)</f>
        <v>#N/A</v>
      </c>
      <c r="H226" t="e">
        <f>VLOOKUP($C226,'2000 Place'!$C$2:$Y$523,9,FALSE)</f>
        <v>#N/A</v>
      </c>
      <c r="I226" t="e">
        <f>VLOOKUP($C226,'2000 Place'!$C$2:$Y$523,10,FALSE)</f>
        <v>#N/A</v>
      </c>
      <c r="J226" t="e">
        <f>VLOOKUP($C226,'2000 Place'!$C$2:$Y$523,11,FALSE)</f>
        <v>#N/A</v>
      </c>
      <c r="K226" t="e">
        <f>VLOOKUP($C226,'2000 Place'!$C$2:$Y$523,12,FALSE)</f>
        <v>#N/A</v>
      </c>
      <c r="L226" t="e">
        <f>VLOOKUP($C226,'2000 Place'!$C$2:$Y$523,13,FALSE)</f>
        <v>#N/A</v>
      </c>
      <c r="M226" t="e">
        <f>VLOOKUP($C226,'2000 Place'!$C$2:$Y$523,14,FALSE)</f>
        <v>#N/A</v>
      </c>
      <c r="N226" t="e">
        <f>VLOOKUP($C226,'2000 Place'!$C$2:$Y$523,15,FALSE)</f>
        <v>#N/A</v>
      </c>
      <c r="O226" t="e">
        <f>VLOOKUP($C226,'2000 Place'!$C$2:$Y$523,16,FALSE)</f>
        <v>#N/A</v>
      </c>
      <c r="P226" t="e">
        <f>VLOOKUP($C226,'2000 Place'!$C$2:$Y$523,17,FALSE)</f>
        <v>#N/A</v>
      </c>
      <c r="Q226" t="e">
        <f>VLOOKUP($C226,'2000 Place'!$C$2:$Y$523,18,FALSE)</f>
        <v>#N/A</v>
      </c>
      <c r="R226" t="e">
        <f>VLOOKUP($C226,'2000 Place'!$C$2:$Y$523,19,FALSE)</f>
        <v>#N/A</v>
      </c>
      <c r="S226" t="e">
        <f>VLOOKUP($C226,'2000 Place'!$C$2:$Y$523,20,FALSE)</f>
        <v>#N/A</v>
      </c>
      <c r="T226" t="e">
        <f>VLOOKUP($C226,'2000 Place'!$C$2:$Y$523,21,FALSE)</f>
        <v>#N/A</v>
      </c>
      <c r="U226" t="e">
        <f>VLOOKUP($C226,'2000 Place'!$C$2:$Y$523,22,FALSE)</f>
        <v>#N/A</v>
      </c>
      <c r="V226" t="e">
        <f>VLOOKUP($C226,'2000 Place'!$C$2:$Y$523,23,FALSE)</f>
        <v>#N/A</v>
      </c>
    </row>
    <row r="227" spans="1:22" x14ac:dyDescent="0.25">
      <c r="A227" t="s">
        <v>698</v>
      </c>
      <c r="B227">
        <v>5328590</v>
      </c>
      <c r="C227" t="s">
        <v>699</v>
      </c>
      <c r="D227" t="e">
        <f>VLOOKUP($C227,'2000 Place'!$C$2:$Y$523,5,FALSE)</f>
        <v>#N/A</v>
      </c>
      <c r="E227" t="e">
        <f>VLOOKUP($C227,'2000 Place'!$C$2:$Y$523,6,FALSE)</f>
        <v>#N/A</v>
      </c>
      <c r="F227" t="e">
        <f>VLOOKUP($C227,'2000 Place'!$C$2:$Y$523,7,FALSE)</f>
        <v>#N/A</v>
      </c>
      <c r="G227" t="e">
        <f>VLOOKUP($C227,'2000 Place'!$C$2:$Y$523,8,FALSE)</f>
        <v>#N/A</v>
      </c>
      <c r="H227" t="e">
        <f>VLOOKUP($C227,'2000 Place'!$C$2:$Y$523,9,FALSE)</f>
        <v>#N/A</v>
      </c>
      <c r="I227" t="e">
        <f>VLOOKUP($C227,'2000 Place'!$C$2:$Y$523,10,FALSE)</f>
        <v>#N/A</v>
      </c>
      <c r="J227" t="e">
        <f>VLOOKUP($C227,'2000 Place'!$C$2:$Y$523,11,FALSE)</f>
        <v>#N/A</v>
      </c>
      <c r="K227" t="e">
        <f>VLOOKUP($C227,'2000 Place'!$C$2:$Y$523,12,FALSE)</f>
        <v>#N/A</v>
      </c>
      <c r="L227" t="e">
        <f>VLOOKUP($C227,'2000 Place'!$C$2:$Y$523,13,FALSE)</f>
        <v>#N/A</v>
      </c>
      <c r="M227" t="e">
        <f>VLOOKUP($C227,'2000 Place'!$C$2:$Y$523,14,FALSE)</f>
        <v>#N/A</v>
      </c>
      <c r="N227" t="e">
        <f>VLOOKUP($C227,'2000 Place'!$C$2:$Y$523,15,FALSE)</f>
        <v>#N/A</v>
      </c>
      <c r="O227" t="e">
        <f>VLOOKUP($C227,'2000 Place'!$C$2:$Y$523,16,FALSE)</f>
        <v>#N/A</v>
      </c>
      <c r="P227" t="e">
        <f>VLOOKUP($C227,'2000 Place'!$C$2:$Y$523,17,FALSE)</f>
        <v>#N/A</v>
      </c>
      <c r="Q227" t="e">
        <f>VLOOKUP($C227,'2000 Place'!$C$2:$Y$523,18,FALSE)</f>
        <v>#N/A</v>
      </c>
      <c r="R227" t="e">
        <f>VLOOKUP($C227,'2000 Place'!$C$2:$Y$523,19,FALSE)</f>
        <v>#N/A</v>
      </c>
      <c r="S227" t="e">
        <f>VLOOKUP($C227,'2000 Place'!$C$2:$Y$523,20,FALSE)</f>
        <v>#N/A</v>
      </c>
      <c r="T227" t="e">
        <f>VLOOKUP($C227,'2000 Place'!$C$2:$Y$523,21,FALSE)</f>
        <v>#N/A</v>
      </c>
      <c r="U227" t="e">
        <f>VLOOKUP($C227,'2000 Place'!$C$2:$Y$523,22,FALSE)</f>
        <v>#N/A</v>
      </c>
      <c r="V227" t="e">
        <f>VLOOKUP($C227,'2000 Place'!$C$2:$Y$523,23,FALSE)</f>
        <v>#N/A</v>
      </c>
    </row>
    <row r="228" spans="1:22" x14ac:dyDescent="0.25">
      <c r="A228" t="s">
        <v>700</v>
      </c>
      <c r="B228">
        <v>5328695</v>
      </c>
      <c r="C228" t="s">
        <v>701</v>
      </c>
      <c r="D228">
        <f>VLOOKUP($C228,'2000 Place'!$C$2:$Y$523,5,FALSE)</f>
        <v>67</v>
      </c>
      <c r="E228">
        <f>VLOOKUP($C228,'2000 Place'!$C$2:$Y$523,6,FALSE)</f>
        <v>63</v>
      </c>
      <c r="F228">
        <f>VLOOKUP($C228,'2000 Place'!$C$2:$Y$523,7,FALSE)</f>
        <v>4</v>
      </c>
      <c r="G228">
        <f>VLOOKUP($C228,'2000 Place'!$C$2:$Y$523,8,FALSE)</f>
        <v>63</v>
      </c>
      <c r="H228">
        <f>VLOOKUP($C228,'2000 Place'!$C$2:$Y$523,9,FALSE)</f>
        <v>4</v>
      </c>
      <c r="I228">
        <f>VLOOKUP($C228,'2000 Place'!$C$2:$Y$523,10,FALSE)</f>
        <v>0</v>
      </c>
      <c r="J228">
        <f>VLOOKUP($C228,'2000 Place'!$C$2:$Y$523,11,FALSE)</f>
        <v>0</v>
      </c>
      <c r="K228">
        <f>VLOOKUP($C228,'2000 Place'!$C$2:$Y$523,12,FALSE)</f>
        <v>0</v>
      </c>
      <c r="L228">
        <f>VLOOKUP($C228,'2000 Place'!$C$2:$Y$523,13,FALSE)</f>
        <v>0</v>
      </c>
      <c r="M228">
        <f>VLOOKUP($C228,'2000 Place'!$C$2:$Y$523,14,FALSE)</f>
        <v>0</v>
      </c>
      <c r="N228">
        <f>VLOOKUP($C228,'2000 Place'!$C$2:$Y$523,15,FALSE)</f>
        <v>0</v>
      </c>
      <c r="O228">
        <f>VLOOKUP($C228,'2000 Place'!$C$2:$Y$523,16,FALSE)</f>
        <v>0</v>
      </c>
      <c r="P228">
        <f>VLOOKUP($C228,'2000 Place'!$C$2:$Y$523,17,FALSE)</f>
        <v>0</v>
      </c>
      <c r="Q228">
        <f>VLOOKUP($C228,'2000 Place'!$C$2:$Y$523,18,FALSE)</f>
        <v>0</v>
      </c>
      <c r="R228">
        <f>VLOOKUP($C228,'2000 Place'!$C$2:$Y$523,19,FALSE)</f>
        <v>0</v>
      </c>
      <c r="S228">
        <f>VLOOKUP($C228,'2000 Place'!$C$2:$Y$523,20,FALSE)</f>
        <v>0</v>
      </c>
      <c r="T228">
        <f>VLOOKUP($C228,'2000 Place'!$C$2:$Y$523,21,FALSE)</f>
        <v>0</v>
      </c>
      <c r="U228">
        <f>VLOOKUP($C228,'2000 Place'!$C$2:$Y$523,22,FALSE)</f>
        <v>0</v>
      </c>
      <c r="V228">
        <f>VLOOKUP($C228,'2000 Place'!$C$2:$Y$523,23,FALSE)</f>
        <v>0</v>
      </c>
    </row>
    <row r="229" spans="1:22" x14ac:dyDescent="0.25">
      <c r="A229" t="s">
        <v>702</v>
      </c>
      <c r="B229">
        <v>5329255</v>
      </c>
      <c r="C229" t="s">
        <v>703</v>
      </c>
      <c r="D229">
        <f>VLOOKUP($C229,'2000 Place'!$C$2:$Y$523,5,FALSE)</f>
        <v>330</v>
      </c>
      <c r="E229">
        <f>VLOOKUP($C229,'2000 Place'!$C$2:$Y$523,6,FALSE)</f>
        <v>316</v>
      </c>
      <c r="F229">
        <f>VLOOKUP($C229,'2000 Place'!$C$2:$Y$523,7,FALSE)</f>
        <v>14</v>
      </c>
      <c r="G229">
        <f>VLOOKUP($C229,'2000 Place'!$C$2:$Y$523,8,FALSE)</f>
        <v>295</v>
      </c>
      <c r="H229">
        <f>VLOOKUP($C229,'2000 Place'!$C$2:$Y$523,9,FALSE)</f>
        <v>7</v>
      </c>
      <c r="I229">
        <f>VLOOKUP($C229,'2000 Place'!$C$2:$Y$523,10,FALSE)</f>
        <v>3</v>
      </c>
      <c r="J229">
        <f>VLOOKUP($C229,'2000 Place'!$C$2:$Y$523,11,FALSE)</f>
        <v>0</v>
      </c>
      <c r="K229">
        <f>VLOOKUP($C229,'2000 Place'!$C$2:$Y$523,12,FALSE)</f>
        <v>0</v>
      </c>
      <c r="L229">
        <f>VLOOKUP($C229,'2000 Place'!$C$2:$Y$523,13,FALSE)</f>
        <v>0</v>
      </c>
      <c r="M229">
        <f>VLOOKUP($C229,'2000 Place'!$C$2:$Y$523,14,FALSE)</f>
        <v>6</v>
      </c>
      <c r="N229">
        <f>VLOOKUP($C229,'2000 Place'!$C$2:$Y$523,15,FALSE)</f>
        <v>0</v>
      </c>
      <c r="O229">
        <f>VLOOKUP($C229,'2000 Place'!$C$2:$Y$523,16,FALSE)</f>
        <v>0</v>
      </c>
      <c r="P229">
        <f>VLOOKUP($C229,'2000 Place'!$C$2:$Y$523,17,FALSE)</f>
        <v>1</v>
      </c>
      <c r="Q229">
        <f>VLOOKUP($C229,'2000 Place'!$C$2:$Y$523,18,FALSE)</f>
        <v>0</v>
      </c>
      <c r="R229">
        <f>VLOOKUP($C229,'2000 Place'!$C$2:$Y$523,19,FALSE)</f>
        <v>0</v>
      </c>
      <c r="S229">
        <f>VLOOKUP($C229,'2000 Place'!$C$2:$Y$523,20,FALSE)</f>
        <v>3</v>
      </c>
      <c r="T229">
        <f>VLOOKUP($C229,'2000 Place'!$C$2:$Y$523,21,FALSE)</f>
        <v>1</v>
      </c>
      <c r="U229">
        <f>VLOOKUP($C229,'2000 Place'!$C$2:$Y$523,22,FALSE)</f>
        <v>9</v>
      </c>
      <c r="V229">
        <f>VLOOKUP($C229,'2000 Place'!$C$2:$Y$523,23,FALSE)</f>
        <v>5</v>
      </c>
    </row>
    <row r="230" spans="1:22" x14ac:dyDescent="0.25">
      <c r="A230" t="s">
        <v>704</v>
      </c>
      <c r="B230">
        <v>5329430</v>
      </c>
      <c r="C230" t="s">
        <v>705</v>
      </c>
      <c r="D230" t="e">
        <f>VLOOKUP($C230,'2000 Place'!$C$2:$Y$523,5,FALSE)</f>
        <v>#N/A</v>
      </c>
      <c r="E230" t="e">
        <f>VLOOKUP($C230,'2000 Place'!$C$2:$Y$523,6,FALSE)</f>
        <v>#N/A</v>
      </c>
      <c r="F230" t="e">
        <f>VLOOKUP($C230,'2000 Place'!$C$2:$Y$523,7,FALSE)</f>
        <v>#N/A</v>
      </c>
      <c r="G230" t="e">
        <f>VLOOKUP($C230,'2000 Place'!$C$2:$Y$523,8,FALSE)</f>
        <v>#N/A</v>
      </c>
      <c r="H230" t="e">
        <f>VLOOKUP($C230,'2000 Place'!$C$2:$Y$523,9,FALSE)</f>
        <v>#N/A</v>
      </c>
      <c r="I230" t="e">
        <f>VLOOKUP($C230,'2000 Place'!$C$2:$Y$523,10,FALSE)</f>
        <v>#N/A</v>
      </c>
      <c r="J230" t="e">
        <f>VLOOKUP($C230,'2000 Place'!$C$2:$Y$523,11,FALSE)</f>
        <v>#N/A</v>
      </c>
      <c r="K230" t="e">
        <f>VLOOKUP($C230,'2000 Place'!$C$2:$Y$523,12,FALSE)</f>
        <v>#N/A</v>
      </c>
      <c r="L230" t="e">
        <f>VLOOKUP($C230,'2000 Place'!$C$2:$Y$523,13,FALSE)</f>
        <v>#N/A</v>
      </c>
      <c r="M230" t="e">
        <f>VLOOKUP($C230,'2000 Place'!$C$2:$Y$523,14,FALSE)</f>
        <v>#N/A</v>
      </c>
      <c r="N230" t="e">
        <f>VLOOKUP($C230,'2000 Place'!$C$2:$Y$523,15,FALSE)</f>
        <v>#N/A</v>
      </c>
      <c r="O230" t="e">
        <f>VLOOKUP($C230,'2000 Place'!$C$2:$Y$523,16,FALSE)</f>
        <v>#N/A</v>
      </c>
      <c r="P230" t="e">
        <f>VLOOKUP($C230,'2000 Place'!$C$2:$Y$523,17,FALSE)</f>
        <v>#N/A</v>
      </c>
      <c r="Q230" t="e">
        <f>VLOOKUP($C230,'2000 Place'!$C$2:$Y$523,18,FALSE)</f>
        <v>#N/A</v>
      </c>
      <c r="R230" t="e">
        <f>VLOOKUP($C230,'2000 Place'!$C$2:$Y$523,19,FALSE)</f>
        <v>#N/A</v>
      </c>
      <c r="S230" t="e">
        <f>VLOOKUP($C230,'2000 Place'!$C$2:$Y$523,20,FALSE)</f>
        <v>#N/A</v>
      </c>
      <c r="T230" t="e">
        <f>VLOOKUP($C230,'2000 Place'!$C$2:$Y$523,21,FALSE)</f>
        <v>#N/A</v>
      </c>
      <c r="U230" t="e">
        <f>VLOOKUP($C230,'2000 Place'!$C$2:$Y$523,22,FALSE)</f>
        <v>#N/A</v>
      </c>
      <c r="V230" t="e">
        <f>VLOOKUP($C230,'2000 Place'!$C$2:$Y$523,23,FALSE)</f>
        <v>#N/A</v>
      </c>
    </row>
    <row r="231" spans="1:22" x14ac:dyDescent="0.25">
      <c r="A231" t="s">
        <v>706</v>
      </c>
      <c r="B231">
        <v>5329710</v>
      </c>
      <c r="C231" t="s">
        <v>707</v>
      </c>
      <c r="D231">
        <f>VLOOKUP($C231,'2000 Place'!$C$2:$Y$523,5,FALSE)</f>
        <v>532</v>
      </c>
      <c r="E231">
        <f>VLOOKUP($C231,'2000 Place'!$C$2:$Y$523,6,FALSE)</f>
        <v>432</v>
      </c>
      <c r="F231">
        <f>VLOOKUP($C231,'2000 Place'!$C$2:$Y$523,7,FALSE)</f>
        <v>100</v>
      </c>
      <c r="G231">
        <f>VLOOKUP($C231,'2000 Place'!$C$2:$Y$523,8,FALSE)</f>
        <v>169</v>
      </c>
      <c r="H231">
        <f>VLOOKUP($C231,'2000 Place'!$C$2:$Y$523,9,FALSE)</f>
        <v>3</v>
      </c>
      <c r="I231">
        <f>VLOOKUP($C231,'2000 Place'!$C$2:$Y$523,10,FALSE)</f>
        <v>25</v>
      </c>
      <c r="J231">
        <f>VLOOKUP($C231,'2000 Place'!$C$2:$Y$523,11,FALSE)</f>
        <v>20</v>
      </c>
      <c r="K231">
        <f>VLOOKUP($C231,'2000 Place'!$C$2:$Y$523,12,FALSE)</f>
        <v>4</v>
      </c>
      <c r="L231">
        <f>VLOOKUP($C231,'2000 Place'!$C$2:$Y$523,13,FALSE)</f>
        <v>0</v>
      </c>
      <c r="M231">
        <f>VLOOKUP($C231,'2000 Place'!$C$2:$Y$523,14,FALSE)</f>
        <v>47</v>
      </c>
      <c r="N231">
        <f>VLOOKUP($C231,'2000 Place'!$C$2:$Y$523,15,FALSE)</f>
        <v>0</v>
      </c>
      <c r="O231">
        <f>VLOOKUP($C231,'2000 Place'!$C$2:$Y$523,16,FALSE)</f>
        <v>0</v>
      </c>
      <c r="P231">
        <f>VLOOKUP($C231,'2000 Place'!$C$2:$Y$523,17,FALSE)</f>
        <v>0</v>
      </c>
      <c r="Q231">
        <f>VLOOKUP($C231,'2000 Place'!$C$2:$Y$523,18,FALSE)</f>
        <v>0</v>
      </c>
      <c r="R231">
        <f>VLOOKUP($C231,'2000 Place'!$C$2:$Y$523,19,FALSE)</f>
        <v>0</v>
      </c>
      <c r="S231">
        <f>VLOOKUP($C231,'2000 Place'!$C$2:$Y$523,20,FALSE)</f>
        <v>155</v>
      </c>
      <c r="T231">
        <f>VLOOKUP($C231,'2000 Place'!$C$2:$Y$523,21,FALSE)</f>
        <v>77</v>
      </c>
      <c r="U231">
        <f>VLOOKUP($C231,'2000 Place'!$C$2:$Y$523,22,FALSE)</f>
        <v>32</v>
      </c>
      <c r="V231">
        <f>VLOOKUP($C231,'2000 Place'!$C$2:$Y$523,23,FALSE)</f>
        <v>0</v>
      </c>
    </row>
    <row r="232" spans="1:22" x14ac:dyDescent="0.25">
      <c r="A232" t="s">
        <v>708</v>
      </c>
      <c r="B232">
        <v>5329745</v>
      </c>
      <c r="C232" t="s">
        <v>709</v>
      </c>
      <c r="D232">
        <f>VLOOKUP($C232,'2000 Place'!$C$2:$Y$523,5,FALSE)</f>
        <v>384</v>
      </c>
      <c r="E232">
        <f>VLOOKUP($C232,'2000 Place'!$C$2:$Y$523,6,FALSE)</f>
        <v>378</v>
      </c>
      <c r="F232">
        <f>VLOOKUP($C232,'2000 Place'!$C$2:$Y$523,7,FALSE)</f>
        <v>6</v>
      </c>
      <c r="G232">
        <f>VLOOKUP($C232,'2000 Place'!$C$2:$Y$523,8,FALSE)</f>
        <v>327</v>
      </c>
      <c r="H232">
        <f>VLOOKUP($C232,'2000 Place'!$C$2:$Y$523,9,FALSE)</f>
        <v>6</v>
      </c>
      <c r="I232">
        <f>VLOOKUP($C232,'2000 Place'!$C$2:$Y$523,10,FALSE)</f>
        <v>0</v>
      </c>
      <c r="J232">
        <f>VLOOKUP($C232,'2000 Place'!$C$2:$Y$523,11,FALSE)</f>
        <v>0</v>
      </c>
      <c r="K232">
        <f>VLOOKUP($C232,'2000 Place'!$C$2:$Y$523,12,FALSE)</f>
        <v>0</v>
      </c>
      <c r="L232">
        <f>VLOOKUP($C232,'2000 Place'!$C$2:$Y$523,13,FALSE)</f>
        <v>0</v>
      </c>
      <c r="M232">
        <f>VLOOKUP($C232,'2000 Place'!$C$2:$Y$523,14,FALSE)</f>
        <v>4</v>
      </c>
      <c r="N232">
        <f>VLOOKUP($C232,'2000 Place'!$C$2:$Y$523,15,FALSE)</f>
        <v>0</v>
      </c>
      <c r="O232">
        <f>VLOOKUP($C232,'2000 Place'!$C$2:$Y$523,16,FALSE)</f>
        <v>0</v>
      </c>
      <c r="P232">
        <f>VLOOKUP($C232,'2000 Place'!$C$2:$Y$523,17,FALSE)</f>
        <v>0</v>
      </c>
      <c r="Q232">
        <f>VLOOKUP($C232,'2000 Place'!$C$2:$Y$523,18,FALSE)</f>
        <v>0</v>
      </c>
      <c r="R232">
        <f>VLOOKUP($C232,'2000 Place'!$C$2:$Y$523,19,FALSE)</f>
        <v>0</v>
      </c>
      <c r="S232">
        <f>VLOOKUP($C232,'2000 Place'!$C$2:$Y$523,20,FALSE)</f>
        <v>0</v>
      </c>
      <c r="T232">
        <f>VLOOKUP($C232,'2000 Place'!$C$2:$Y$523,21,FALSE)</f>
        <v>0</v>
      </c>
      <c r="U232">
        <f>VLOOKUP($C232,'2000 Place'!$C$2:$Y$523,22,FALSE)</f>
        <v>47</v>
      </c>
      <c r="V232">
        <f>VLOOKUP($C232,'2000 Place'!$C$2:$Y$523,23,FALSE)</f>
        <v>0</v>
      </c>
    </row>
    <row r="233" spans="1:22" x14ac:dyDescent="0.25">
      <c r="A233" t="s">
        <v>710</v>
      </c>
      <c r="B233">
        <v>5329920</v>
      </c>
      <c r="C233" t="s">
        <v>711</v>
      </c>
      <c r="D233">
        <f>VLOOKUP($C233,'2000 Place'!$C$2:$Y$523,5,FALSE)</f>
        <v>142</v>
      </c>
      <c r="E233">
        <f>VLOOKUP($C233,'2000 Place'!$C$2:$Y$523,6,FALSE)</f>
        <v>139</v>
      </c>
      <c r="F233">
        <f>VLOOKUP($C233,'2000 Place'!$C$2:$Y$523,7,FALSE)</f>
        <v>3</v>
      </c>
      <c r="G233">
        <f>VLOOKUP($C233,'2000 Place'!$C$2:$Y$523,8,FALSE)</f>
        <v>131</v>
      </c>
      <c r="H233">
        <f>VLOOKUP($C233,'2000 Place'!$C$2:$Y$523,9,FALSE)</f>
        <v>3</v>
      </c>
      <c r="I233">
        <f>VLOOKUP($C233,'2000 Place'!$C$2:$Y$523,10,FALSE)</f>
        <v>0</v>
      </c>
      <c r="J233">
        <f>VLOOKUP($C233,'2000 Place'!$C$2:$Y$523,11,FALSE)</f>
        <v>0</v>
      </c>
      <c r="K233">
        <f>VLOOKUP($C233,'2000 Place'!$C$2:$Y$523,12,FALSE)</f>
        <v>0</v>
      </c>
      <c r="L233">
        <f>VLOOKUP($C233,'2000 Place'!$C$2:$Y$523,13,FALSE)</f>
        <v>0</v>
      </c>
      <c r="M233">
        <f>VLOOKUP($C233,'2000 Place'!$C$2:$Y$523,14,FALSE)</f>
        <v>1</v>
      </c>
      <c r="N233">
        <f>VLOOKUP($C233,'2000 Place'!$C$2:$Y$523,15,FALSE)</f>
        <v>0</v>
      </c>
      <c r="O233">
        <f>VLOOKUP($C233,'2000 Place'!$C$2:$Y$523,16,FALSE)</f>
        <v>0</v>
      </c>
      <c r="P233">
        <f>VLOOKUP($C233,'2000 Place'!$C$2:$Y$523,17,FALSE)</f>
        <v>0</v>
      </c>
      <c r="Q233">
        <f>VLOOKUP($C233,'2000 Place'!$C$2:$Y$523,18,FALSE)</f>
        <v>0</v>
      </c>
      <c r="R233">
        <f>VLOOKUP($C233,'2000 Place'!$C$2:$Y$523,19,FALSE)</f>
        <v>0</v>
      </c>
      <c r="S233">
        <f>VLOOKUP($C233,'2000 Place'!$C$2:$Y$523,20,FALSE)</f>
        <v>0</v>
      </c>
      <c r="T233">
        <f>VLOOKUP($C233,'2000 Place'!$C$2:$Y$523,21,FALSE)</f>
        <v>0</v>
      </c>
      <c r="U233">
        <f>VLOOKUP($C233,'2000 Place'!$C$2:$Y$523,22,FALSE)</f>
        <v>7</v>
      </c>
      <c r="V233">
        <f>VLOOKUP($C233,'2000 Place'!$C$2:$Y$523,23,FALSE)</f>
        <v>0</v>
      </c>
    </row>
    <row r="234" spans="1:22" x14ac:dyDescent="0.25">
      <c r="A234" t="s">
        <v>712</v>
      </c>
      <c r="B234">
        <v>5330030</v>
      </c>
      <c r="C234" t="s">
        <v>713</v>
      </c>
      <c r="D234" t="e">
        <f>VLOOKUP($C234,'2000 Place'!$C$2:$Y$523,5,FALSE)</f>
        <v>#N/A</v>
      </c>
      <c r="E234" t="e">
        <f>VLOOKUP($C234,'2000 Place'!$C$2:$Y$523,6,FALSE)</f>
        <v>#N/A</v>
      </c>
      <c r="F234" t="e">
        <f>VLOOKUP($C234,'2000 Place'!$C$2:$Y$523,7,FALSE)</f>
        <v>#N/A</v>
      </c>
      <c r="G234" t="e">
        <f>VLOOKUP($C234,'2000 Place'!$C$2:$Y$523,8,FALSE)</f>
        <v>#N/A</v>
      </c>
      <c r="H234" t="e">
        <f>VLOOKUP($C234,'2000 Place'!$C$2:$Y$523,9,FALSE)</f>
        <v>#N/A</v>
      </c>
      <c r="I234" t="e">
        <f>VLOOKUP($C234,'2000 Place'!$C$2:$Y$523,10,FALSE)</f>
        <v>#N/A</v>
      </c>
      <c r="J234" t="e">
        <f>VLOOKUP($C234,'2000 Place'!$C$2:$Y$523,11,FALSE)</f>
        <v>#N/A</v>
      </c>
      <c r="K234" t="e">
        <f>VLOOKUP($C234,'2000 Place'!$C$2:$Y$523,12,FALSE)</f>
        <v>#N/A</v>
      </c>
      <c r="L234" t="e">
        <f>VLOOKUP($C234,'2000 Place'!$C$2:$Y$523,13,FALSE)</f>
        <v>#N/A</v>
      </c>
      <c r="M234" t="e">
        <f>VLOOKUP($C234,'2000 Place'!$C$2:$Y$523,14,FALSE)</f>
        <v>#N/A</v>
      </c>
      <c r="N234" t="e">
        <f>VLOOKUP($C234,'2000 Place'!$C$2:$Y$523,15,FALSE)</f>
        <v>#N/A</v>
      </c>
      <c r="O234" t="e">
        <f>VLOOKUP($C234,'2000 Place'!$C$2:$Y$523,16,FALSE)</f>
        <v>#N/A</v>
      </c>
      <c r="P234" t="e">
        <f>VLOOKUP($C234,'2000 Place'!$C$2:$Y$523,17,FALSE)</f>
        <v>#N/A</v>
      </c>
      <c r="Q234" t="e">
        <f>VLOOKUP($C234,'2000 Place'!$C$2:$Y$523,18,FALSE)</f>
        <v>#N/A</v>
      </c>
      <c r="R234" t="e">
        <f>VLOOKUP($C234,'2000 Place'!$C$2:$Y$523,19,FALSE)</f>
        <v>#N/A</v>
      </c>
      <c r="S234" t="e">
        <f>VLOOKUP($C234,'2000 Place'!$C$2:$Y$523,20,FALSE)</f>
        <v>#N/A</v>
      </c>
      <c r="T234" t="e">
        <f>VLOOKUP($C234,'2000 Place'!$C$2:$Y$523,21,FALSE)</f>
        <v>#N/A</v>
      </c>
      <c r="U234" t="e">
        <f>VLOOKUP($C234,'2000 Place'!$C$2:$Y$523,22,FALSE)</f>
        <v>#N/A</v>
      </c>
      <c r="V234" t="e">
        <f>VLOOKUP($C234,'2000 Place'!$C$2:$Y$523,23,FALSE)</f>
        <v>#N/A</v>
      </c>
    </row>
    <row r="235" spans="1:22" x14ac:dyDescent="0.25">
      <c r="A235" t="s">
        <v>714</v>
      </c>
      <c r="B235">
        <v>5330060</v>
      </c>
      <c r="C235" t="s">
        <v>715</v>
      </c>
      <c r="D235">
        <f>VLOOKUP($C235,'2000 Place'!$C$2:$Y$523,5,FALSE)</f>
        <v>118</v>
      </c>
      <c r="E235">
        <f>VLOOKUP($C235,'2000 Place'!$C$2:$Y$523,6,FALSE)</f>
        <v>83</v>
      </c>
      <c r="F235">
        <f>VLOOKUP($C235,'2000 Place'!$C$2:$Y$523,7,FALSE)</f>
        <v>35</v>
      </c>
      <c r="G235">
        <f>VLOOKUP($C235,'2000 Place'!$C$2:$Y$523,8,FALSE)</f>
        <v>71</v>
      </c>
      <c r="H235">
        <f>VLOOKUP($C235,'2000 Place'!$C$2:$Y$523,9,FALSE)</f>
        <v>0</v>
      </c>
      <c r="I235">
        <f>VLOOKUP($C235,'2000 Place'!$C$2:$Y$523,10,FALSE)</f>
        <v>0</v>
      </c>
      <c r="J235">
        <f>VLOOKUP($C235,'2000 Place'!$C$2:$Y$523,11,FALSE)</f>
        <v>0</v>
      </c>
      <c r="K235">
        <f>VLOOKUP($C235,'2000 Place'!$C$2:$Y$523,12,FALSE)</f>
        <v>0</v>
      </c>
      <c r="L235">
        <f>VLOOKUP($C235,'2000 Place'!$C$2:$Y$523,13,FALSE)</f>
        <v>0</v>
      </c>
      <c r="M235">
        <f>VLOOKUP($C235,'2000 Place'!$C$2:$Y$523,14,FALSE)</f>
        <v>0</v>
      </c>
      <c r="N235">
        <f>VLOOKUP($C235,'2000 Place'!$C$2:$Y$523,15,FALSE)</f>
        <v>0</v>
      </c>
      <c r="O235">
        <f>VLOOKUP($C235,'2000 Place'!$C$2:$Y$523,16,FALSE)</f>
        <v>0</v>
      </c>
      <c r="P235">
        <f>VLOOKUP($C235,'2000 Place'!$C$2:$Y$523,17,FALSE)</f>
        <v>0</v>
      </c>
      <c r="Q235">
        <f>VLOOKUP($C235,'2000 Place'!$C$2:$Y$523,18,FALSE)</f>
        <v>0</v>
      </c>
      <c r="R235">
        <f>VLOOKUP($C235,'2000 Place'!$C$2:$Y$523,19,FALSE)</f>
        <v>0</v>
      </c>
      <c r="S235">
        <f>VLOOKUP($C235,'2000 Place'!$C$2:$Y$523,20,FALSE)</f>
        <v>12</v>
      </c>
      <c r="T235">
        <f>VLOOKUP($C235,'2000 Place'!$C$2:$Y$523,21,FALSE)</f>
        <v>35</v>
      </c>
      <c r="U235">
        <f>VLOOKUP($C235,'2000 Place'!$C$2:$Y$523,22,FALSE)</f>
        <v>0</v>
      </c>
      <c r="V235">
        <f>VLOOKUP($C235,'2000 Place'!$C$2:$Y$523,23,FALSE)</f>
        <v>0</v>
      </c>
    </row>
    <row r="236" spans="1:22" x14ac:dyDescent="0.25">
      <c r="A236" t="s">
        <v>716</v>
      </c>
      <c r="B236">
        <v>5330305</v>
      </c>
      <c r="C236" t="s">
        <v>717</v>
      </c>
      <c r="D236" t="e">
        <f>VLOOKUP($C236,'2000 Place'!$C$2:$Y$523,5,FALSE)</f>
        <v>#N/A</v>
      </c>
      <c r="E236" t="e">
        <f>VLOOKUP($C236,'2000 Place'!$C$2:$Y$523,6,FALSE)</f>
        <v>#N/A</v>
      </c>
      <c r="F236" t="e">
        <f>VLOOKUP($C236,'2000 Place'!$C$2:$Y$523,7,FALSE)</f>
        <v>#N/A</v>
      </c>
      <c r="G236" t="e">
        <f>VLOOKUP($C236,'2000 Place'!$C$2:$Y$523,8,FALSE)</f>
        <v>#N/A</v>
      </c>
      <c r="H236" t="e">
        <f>VLOOKUP($C236,'2000 Place'!$C$2:$Y$523,9,FALSE)</f>
        <v>#N/A</v>
      </c>
      <c r="I236" t="e">
        <f>VLOOKUP($C236,'2000 Place'!$C$2:$Y$523,10,FALSE)</f>
        <v>#N/A</v>
      </c>
      <c r="J236" t="e">
        <f>VLOOKUP($C236,'2000 Place'!$C$2:$Y$523,11,FALSE)</f>
        <v>#N/A</v>
      </c>
      <c r="K236" t="e">
        <f>VLOOKUP($C236,'2000 Place'!$C$2:$Y$523,12,FALSE)</f>
        <v>#N/A</v>
      </c>
      <c r="L236" t="e">
        <f>VLOOKUP($C236,'2000 Place'!$C$2:$Y$523,13,FALSE)</f>
        <v>#N/A</v>
      </c>
      <c r="M236" t="e">
        <f>VLOOKUP($C236,'2000 Place'!$C$2:$Y$523,14,FALSE)</f>
        <v>#N/A</v>
      </c>
      <c r="N236" t="e">
        <f>VLOOKUP($C236,'2000 Place'!$C$2:$Y$523,15,FALSE)</f>
        <v>#N/A</v>
      </c>
      <c r="O236" t="e">
        <f>VLOOKUP($C236,'2000 Place'!$C$2:$Y$523,16,FALSE)</f>
        <v>#N/A</v>
      </c>
      <c r="P236" t="e">
        <f>VLOOKUP($C236,'2000 Place'!$C$2:$Y$523,17,FALSE)</f>
        <v>#N/A</v>
      </c>
      <c r="Q236" t="e">
        <f>VLOOKUP($C236,'2000 Place'!$C$2:$Y$523,18,FALSE)</f>
        <v>#N/A</v>
      </c>
      <c r="R236" t="e">
        <f>VLOOKUP($C236,'2000 Place'!$C$2:$Y$523,19,FALSE)</f>
        <v>#N/A</v>
      </c>
      <c r="S236" t="e">
        <f>VLOOKUP($C236,'2000 Place'!$C$2:$Y$523,20,FALSE)</f>
        <v>#N/A</v>
      </c>
      <c r="T236" t="e">
        <f>VLOOKUP($C236,'2000 Place'!$C$2:$Y$523,21,FALSE)</f>
        <v>#N/A</v>
      </c>
      <c r="U236" t="e">
        <f>VLOOKUP($C236,'2000 Place'!$C$2:$Y$523,22,FALSE)</f>
        <v>#N/A</v>
      </c>
      <c r="V236" t="e">
        <f>VLOOKUP($C236,'2000 Place'!$C$2:$Y$523,23,FALSE)</f>
        <v>#N/A</v>
      </c>
    </row>
    <row r="237" spans="1:22" x14ac:dyDescent="0.25">
      <c r="A237" t="s">
        <v>718</v>
      </c>
      <c r="B237">
        <v>5330690</v>
      </c>
      <c r="C237" t="s">
        <v>719</v>
      </c>
      <c r="D237" t="e">
        <f>VLOOKUP($C237,'2000 Place'!$C$2:$Y$523,5,FALSE)</f>
        <v>#N/A</v>
      </c>
      <c r="E237" t="e">
        <f>VLOOKUP($C237,'2000 Place'!$C$2:$Y$523,6,FALSE)</f>
        <v>#N/A</v>
      </c>
      <c r="F237" t="e">
        <f>VLOOKUP($C237,'2000 Place'!$C$2:$Y$523,7,FALSE)</f>
        <v>#N/A</v>
      </c>
      <c r="G237" t="e">
        <f>VLOOKUP($C237,'2000 Place'!$C$2:$Y$523,8,FALSE)</f>
        <v>#N/A</v>
      </c>
      <c r="H237" t="e">
        <f>VLOOKUP($C237,'2000 Place'!$C$2:$Y$523,9,FALSE)</f>
        <v>#N/A</v>
      </c>
      <c r="I237" t="e">
        <f>VLOOKUP($C237,'2000 Place'!$C$2:$Y$523,10,FALSE)</f>
        <v>#N/A</v>
      </c>
      <c r="J237" t="e">
        <f>VLOOKUP($C237,'2000 Place'!$C$2:$Y$523,11,FALSE)</f>
        <v>#N/A</v>
      </c>
      <c r="K237" t="e">
        <f>VLOOKUP($C237,'2000 Place'!$C$2:$Y$523,12,FALSE)</f>
        <v>#N/A</v>
      </c>
      <c r="L237" t="e">
        <f>VLOOKUP($C237,'2000 Place'!$C$2:$Y$523,13,FALSE)</f>
        <v>#N/A</v>
      </c>
      <c r="M237" t="e">
        <f>VLOOKUP($C237,'2000 Place'!$C$2:$Y$523,14,FALSE)</f>
        <v>#N/A</v>
      </c>
      <c r="N237" t="e">
        <f>VLOOKUP($C237,'2000 Place'!$C$2:$Y$523,15,FALSE)</f>
        <v>#N/A</v>
      </c>
      <c r="O237" t="e">
        <f>VLOOKUP($C237,'2000 Place'!$C$2:$Y$523,16,FALSE)</f>
        <v>#N/A</v>
      </c>
      <c r="P237" t="e">
        <f>VLOOKUP($C237,'2000 Place'!$C$2:$Y$523,17,FALSE)</f>
        <v>#N/A</v>
      </c>
      <c r="Q237" t="e">
        <f>VLOOKUP($C237,'2000 Place'!$C$2:$Y$523,18,FALSE)</f>
        <v>#N/A</v>
      </c>
      <c r="R237" t="e">
        <f>VLOOKUP($C237,'2000 Place'!$C$2:$Y$523,19,FALSE)</f>
        <v>#N/A</v>
      </c>
      <c r="S237" t="e">
        <f>VLOOKUP($C237,'2000 Place'!$C$2:$Y$523,20,FALSE)</f>
        <v>#N/A</v>
      </c>
      <c r="T237" t="e">
        <f>VLOOKUP($C237,'2000 Place'!$C$2:$Y$523,21,FALSE)</f>
        <v>#N/A</v>
      </c>
      <c r="U237" t="e">
        <f>VLOOKUP($C237,'2000 Place'!$C$2:$Y$523,22,FALSE)</f>
        <v>#N/A</v>
      </c>
      <c r="V237" t="e">
        <f>VLOOKUP($C237,'2000 Place'!$C$2:$Y$523,23,FALSE)</f>
        <v>#N/A</v>
      </c>
    </row>
    <row r="238" spans="1:22" x14ac:dyDescent="0.25">
      <c r="A238" t="s">
        <v>720</v>
      </c>
      <c r="B238">
        <v>5330750</v>
      </c>
      <c r="C238" t="s">
        <v>721</v>
      </c>
      <c r="D238" t="e">
        <f>VLOOKUP($C238,'2000 Place'!$C$2:$Y$523,5,FALSE)</f>
        <v>#N/A</v>
      </c>
      <c r="E238" t="e">
        <f>VLOOKUP($C238,'2000 Place'!$C$2:$Y$523,6,FALSE)</f>
        <v>#N/A</v>
      </c>
      <c r="F238" t="e">
        <f>VLOOKUP($C238,'2000 Place'!$C$2:$Y$523,7,FALSE)</f>
        <v>#N/A</v>
      </c>
      <c r="G238" t="e">
        <f>VLOOKUP($C238,'2000 Place'!$C$2:$Y$523,8,FALSE)</f>
        <v>#N/A</v>
      </c>
      <c r="H238" t="e">
        <f>VLOOKUP($C238,'2000 Place'!$C$2:$Y$523,9,FALSE)</f>
        <v>#N/A</v>
      </c>
      <c r="I238" t="e">
        <f>VLOOKUP($C238,'2000 Place'!$C$2:$Y$523,10,FALSE)</f>
        <v>#N/A</v>
      </c>
      <c r="J238" t="e">
        <f>VLOOKUP($C238,'2000 Place'!$C$2:$Y$523,11,FALSE)</f>
        <v>#N/A</v>
      </c>
      <c r="K238" t="e">
        <f>VLOOKUP($C238,'2000 Place'!$C$2:$Y$523,12,FALSE)</f>
        <v>#N/A</v>
      </c>
      <c r="L238" t="e">
        <f>VLOOKUP($C238,'2000 Place'!$C$2:$Y$523,13,FALSE)</f>
        <v>#N/A</v>
      </c>
      <c r="M238" t="e">
        <f>VLOOKUP($C238,'2000 Place'!$C$2:$Y$523,14,FALSE)</f>
        <v>#N/A</v>
      </c>
      <c r="N238" t="e">
        <f>VLOOKUP($C238,'2000 Place'!$C$2:$Y$523,15,FALSE)</f>
        <v>#N/A</v>
      </c>
      <c r="O238" t="e">
        <f>VLOOKUP($C238,'2000 Place'!$C$2:$Y$523,16,FALSE)</f>
        <v>#N/A</v>
      </c>
      <c r="P238" t="e">
        <f>VLOOKUP($C238,'2000 Place'!$C$2:$Y$523,17,FALSE)</f>
        <v>#N/A</v>
      </c>
      <c r="Q238" t="e">
        <f>VLOOKUP($C238,'2000 Place'!$C$2:$Y$523,18,FALSE)</f>
        <v>#N/A</v>
      </c>
      <c r="R238" t="e">
        <f>VLOOKUP($C238,'2000 Place'!$C$2:$Y$523,19,FALSE)</f>
        <v>#N/A</v>
      </c>
      <c r="S238" t="e">
        <f>VLOOKUP($C238,'2000 Place'!$C$2:$Y$523,20,FALSE)</f>
        <v>#N/A</v>
      </c>
      <c r="T238" t="e">
        <f>VLOOKUP($C238,'2000 Place'!$C$2:$Y$523,21,FALSE)</f>
        <v>#N/A</v>
      </c>
      <c r="U238" t="e">
        <f>VLOOKUP($C238,'2000 Place'!$C$2:$Y$523,22,FALSE)</f>
        <v>#N/A</v>
      </c>
      <c r="V238" t="e">
        <f>VLOOKUP($C238,'2000 Place'!$C$2:$Y$523,23,FALSE)</f>
        <v>#N/A</v>
      </c>
    </row>
    <row r="239" spans="1:22" x14ac:dyDescent="0.25">
      <c r="A239" t="s">
        <v>722</v>
      </c>
      <c r="B239">
        <v>5331495</v>
      </c>
      <c r="C239" t="s">
        <v>723</v>
      </c>
      <c r="D239">
        <f>VLOOKUP($C239,'2000 Place'!$C$2:$Y$523,5,FALSE)</f>
        <v>6152</v>
      </c>
      <c r="E239">
        <f>VLOOKUP($C239,'2000 Place'!$C$2:$Y$523,6,FALSE)</f>
        <v>5853</v>
      </c>
      <c r="F239">
        <f>VLOOKUP($C239,'2000 Place'!$C$2:$Y$523,7,FALSE)</f>
        <v>299</v>
      </c>
      <c r="G239">
        <f>VLOOKUP($C239,'2000 Place'!$C$2:$Y$523,8,FALSE)</f>
        <v>5554</v>
      </c>
      <c r="H239">
        <f>VLOOKUP($C239,'2000 Place'!$C$2:$Y$523,9,FALSE)</f>
        <v>189</v>
      </c>
      <c r="I239">
        <f>VLOOKUP($C239,'2000 Place'!$C$2:$Y$523,10,FALSE)</f>
        <v>65</v>
      </c>
      <c r="J239">
        <f>VLOOKUP($C239,'2000 Place'!$C$2:$Y$523,11,FALSE)</f>
        <v>17</v>
      </c>
      <c r="K239">
        <f>VLOOKUP($C239,'2000 Place'!$C$2:$Y$523,12,FALSE)</f>
        <v>30</v>
      </c>
      <c r="L239">
        <f>VLOOKUP($C239,'2000 Place'!$C$2:$Y$523,13,FALSE)</f>
        <v>5</v>
      </c>
      <c r="M239">
        <f>VLOOKUP($C239,'2000 Place'!$C$2:$Y$523,14,FALSE)</f>
        <v>26</v>
      </c>
      <c r="N239">
        <f>VLOOKUP($C239,'2000 Place'!$C$2:$Y$523,15,FALSE)</f>
        <v>3</v>
      </c>
      <c r="O239">
        <f>VLOOKUP($C239,'2000 Place'!$C$2:$Y$523,16,FALSE)</f>
        <v>33</v>
      </c>
      <c r="P239">
        <f>VLOOKUP($C239,'2000 Place'!$C$2:$Y$523,17,FALSE)</f>
        <v>20</v>
      </c>
      <c r="Q239">
        <f>VLOOKUP($C239,'2000 Place'!$C$2:$Y$523,18,FALSE)</f>
        <v>0</v>
      </c>
      <c r="R239">
        <f>VLOOKUP($C239,'2000 Place'!$C$2:$Y$523,19,FALSE)</f>
        <v>47</v>
      </c>
      <c r="S239">
        <f>VLOOKUP($C239,'2000 Place'!$C$2:$Y$523,20,FALSE)</f>
        <v>6</v>
      </c>
      <c r="T239">
        <f>VLOOKUP($C239,'2000 Place'!$C$2:$Y$523,21,FALSE)</f>
        <v>9</v>
      </c>
      <c r="U239">
        <f>VLOOKUP($C239,'2000 Place'!$C$2:$Y$523,22,FALSE)</f>
        <v>139</v>
      </c>
      <c r="V239">
        <f>VLOOKUP($C239,'2000 Place'!$C$2:$Y$523,23,FALSE)</f>
        <v>9</v>
      </c>
    </row>
    <row r="240" spans="1:22" x14ac:dyDescent="0.25">
      <c r="A240" t="s">
        <v>724</v>
      </c>
      <c r="B240">
        <v>5331530</v>
      </c>
      <c r="C240" t="s">
        <v>725</v>
      </c>
      <c r="D240">
        <f>VLOOKUP($C240,'2000 Place'!$C$2:$Y$523,5,FALSE)</f>
        <v>5024</v>
      </c>
      <c r="E240">
        <f>VLOOKUP($C240,'2000 Place'!$C$2:$Y$523,6,FALSE)</f>
        <v>4772</v>
      </c>
      <c r="F240">
        <f>VLOOKUP($C240,'2000 Place'!$C$2:$Y$523,7,FALSE)</f>
        <v>252</v>
      </c>
      <c r="G240">
        <f>VLOOKUP($C240,'2000 Place'!$C$2:$Y$523,8,FALSE)</f>
        <v>4543</v>
      </c>
      <c r="H240">
        <f>VLOOKUP($C240,'2000 Place'!$C$2:$Y$523,9,FALSE)</f>
        <v>161</v>
      </c>
      <c r="I240">
        <f>VLOOKUP($C240,'2000 Place'!$C$2:$Y$523,10,FALSE)</f>
        <v>32</v>
      </c>
      <c r="J240">
        <f>VLOOKUP($C240,'2000 Place'!$C$2:$Y$523,11,FALSE)</f>
        <v>17</v>
      </c>
      <c r="K240">
        <f>VLOOKUP($C240,'2000 Place'!$C$2:$Y$523,12,FALSE)</f>
        <v>0</v>
      </c>
      <c r="L240">
        <f>VLOOKUP($C240,'2000 Place'!$C$2:$Y$523,13,FALSE)</f>
        <v>12</v>
      </c>
      <c r="M240">
        <f>VLOOKUP($C240,'2000 Place'!$C$2:$Y$523,14,FALSE)</f>
        <v>4</v>
      </c>
      <c r="N240">
        <f>VLOOKUP($C240,'2000 Place'!$C$2:$Y$523,15,FALSE)</f>
        <v>0</v>
      </c>
      <c r="O240">
        <f>VLOOKUP($C240,'2000 Place'!$C$2:$Y$523,16,FALSE)</f>
        <v>5</v>
      </c>
      <c r="P240">
        <f>VLOOKUP($C240,'2000 Place'!$C$2:$Y$523,17,FALSE)</f>
        <v>40</v>
      </c>
      <c r="Q240">
        <f>VLOOKUP($C240,'2000 Place'!$C$2:$Y$523,18,FALSE)</f>
        <v>0</v>
      </c>
      <c r="R240">
        <f>VLOOKUP($C240,'2000 Place'!$C$2:$Y$523,19,FALSE)</f>
        <v>0</v>
      </c>
      <c r="S240">
        <f>VLOOKUP($C240,'2000 Place'!$C$2:$Y$523,20,FALSE)</f>
        <v>49</v>
      </c>
      <c r="T240">
        <f>VLOOKUP($C240,'2000 Place'!$C$2:$Y$523,21,FALSE)</f>
        <v>12</v>
      </c>
      <c r="U240">
        <f>VLOOKUP($C240,'2000 Place'!$C$2:$Y$523,22,FALSE)</f>
        <v>139</v>
      </c>
      <c r="V240">
        <f>VLOOKUP($C240,'2000 Place'!$C$2:$Y$523,23,FALSE)</f>
        <v>10</v>
      </c>
    </row>
    <row r="241" spans="1:22" x14ac:dyDescent="0.25">
      <c r="A241" t="s">
        <v>726</v>
      </c>
      <c r="B241">
        <v>5331540</v>
      </c>
      <c r="C241" t="s">
        <v>727</v>
      </c>
      <c r="D241" t="e">
        <f>VLOOKUP($C241,'2000 Place'!$C$2:$Y$523,5,FALSE)</f>
        <v>#N/A</v>
      </c>
      <c r="E241" t="e">
        <f>VLOOKUP($C241,'2000 Place'!$C$2:$Y$523,6,FALSE)</f>
        <v>#N/A</v>
      </c>
      <c r="F241" t="e">
        <f>VLOOKUP($C241,'2000 Place'!$C$2:$Y$523,7,FALSE)</f>
        <v>#N/A</v>
      </c>
      <c r="G241" t="e">
        <f>VLOOKUP($C241,'2000 Place'!$C$2:$Y$523,8,FALSE)</f>
        <v>#N/A</v>
      </c>
      <c r="H241" t="e">
        <f>VLOOKUP($C241,'2000 Place'!$C$2:$Y$523,9,FALSE)</f>
        <v>#N/A</v>
      </c>
      <c r="I241" t="e">
        <f>VLOOKUP($C241,'2000 Place'!$C$2:$Y$523,10,FALSE)</f>
        <v>#N/A</v>
      </c>
      <c r="J241" t="e">
        <f>VLOOKUP($C241,'2000 Place'!$C$2:$Y$523,11,FALSE)</f>
        <v>#N/A</v>
      </c>
      <c r="K241" t="e">
        <f>VLOOKUP($C241,'2000 Place'!$C$2:$Y$523,12,FALSE)</f>
        <v>#N/A</v>
      </c>
      <c r="L241" t="e">
        <f>VLOOKUP($C241,'2000 Place'!$C$2:$Y$523,13,FALSE)</f>
        <v>#N/A</v>
      </c>
      <c r="M241" t="e">
        <f>VLOOKUP($C241,'2000 Place'!$C$2:$Y$523,14,FALSE)</f>
        <v>#N/A</v>
      </c>
      <c r="N241" t="e">
        <f>VLOOKUP($C241,'2000 Place'!$C$2:$Y$523,15,FALSE)</f>
        <v>#N/A</v>
      </c>
      <c r="O241" t="e">
        <f>VLOOKUP($C241,'2000 Place'!$C$2:$Y$523,16,FALSE)</f>
        <v>#N/A</v>
      </c>
      <c r="P241" t="e">
        <f>VLOOKUP($C241,'2000 Place'!$C$2:$Y$523,17,FALSE)</f>
        <v>#N/A</v>
      </c>
      <c r="Q241" t="e">
        <f>VLOOKUP($C241,'2000 Place'!$C$2:$Y$523,18,FALSE)</f>
        <v>#N/A</v>
      </c>
      <c r="R241" t="e">
        <f>VLOOKUP($C241,'2000 Place'!$C$2:$Y$523,19,FALSE)</f>
        <v>#N/A</v>
      </c>
      <c r="S241" t="e">
        <f>VLOOKUP($C241,'2000 Place'!$C$2:$Y$523,20,FALSE)</f>
        <v>#N/A</v>
      </c>
      <c r="T241" t="e">
        <f>VLOOKUP($C241,'2000 Place'!$C$2:$Y$523,21,FALSE)</f>
        <v>#N/A</v>
      </c>
      <c r="U241" t="e">
        <f>VLOOKUP($C241,'2000 Place'!$C$2:$Y$523,22,FALSE)</f>
        <v>#N/A</v>
      </c>
      <c r="V241" t="e">
        <f>VLOOKUP($C241,'2000 Place'!$C$2:$Y$523,23,FALSE)</f>
        <v>#N/A</v>
      </c>
    </row>
    <row r="242" spans="1:22" x14ac:dyDescent="0.25">
      <c r="A242" t="s">
        <v>728</v>
      </c>
      <c r="B242">
        <v>5331985</v>
      </c>
      <c r="C242" t="s">
        <v>729</v>
      </c>
      <c r="D242" t="e">
        <f>VLOOKUP($C242,'2000 Place'!$C$2:$Y$523,5,FALSE)</f>
        <v>#N/A</v>
      </c>
      <c r="E242" t="e">
        <f>VLOOKUP($C242,'2000 Place'!$C$2:$Y$523,6,FALSE)</f>
        <v>#N/A</v>
      </c>
      <c r="F242" t="e">
        <f>VLOOKUP($C242,'2000 Place'!$C$2:$Y$523,7,FALSE)</f>
        <v>#N/A</v>
      </c>
      <c r="G242" t="e">
        <f>VLOOKUP($C242,'2000 Place'!$C$2:$Y$523,8,FALSE)</f>
        <v>#N/A</v>
      </c>
      <c r="H242" t="e">
        <f>VLOOKUP($C242,'2000 Place'!$C$2:$Y$523,9,FALSE)</f>
        <v>#N/A</v>
      </c>
      <c r="I242" t="e">
        <f>VLOOKUP($C242,'2000 Place'!$C$2:$Y$523,10,FALSE)</f>
        <v>#N/A</v>
      </c>
      <c r="J242" t="e">
        <f>VLOOKUP($C242,'2000 Place'!$C$2:$Y$523,11,FALSE)</f>
        <v>#N/A</v>
      </c>
      <c r="K242" t="e">
        <f>VLOOKUP($C242,'2000 Place'!$C$2:$Y$523,12,FALSE)</f>
        <v>#N/A</v>
      </c>
      <c r="L242" t="e">
        <f>VLOOKUP($C242,'2000 Place'!$C$2:$Y$523,13,FALSE)</f>
        <v>#N/A</v>
      </c>
      <c r="M242" t="e">
        <f>VLOOKUP($C242,'2000 Place'!$C$2:$Y$523,14,FALSE)</f>
        <v>#N/A</v>
      </c>
      <c r="N242" t="e">
        <f>VLOOKUP($C242,'2000 Place'!$C$2:$Y$523,15,FALSE)</f>
        <v>#N/A</v>
      </c>
      <c r="O242" t="e">
        <f>VLOOKUP($C242,'2000 Place'!$C$2:$Y$523,16,FALSE)</f>
        <v>#N/A</v>
      </c>
      <c r="P242" t="e">
        <f>VLOOKUP($C242,'2000 Place'!$C$2:$Y$523,17,FALSE)</f>
        <v>#N/A</v>
      </c>
      <c r="Q242" t="e">
        <f>VLOOKUP($C242,'2000 Place'!$C$2:$Y$523,18,FALSE)</f>
        <v>#N/A</v>
      </c>
      <c r="R242" t="e">
        <f>VLOOKUP($C242,'2000 Place'!$C$2:$Y$523,19,FALSE)</f>
        <v>#N/A</v>
      </c>
      <c r="S242" t="e">
        <f>VLOOKUP($C242,'2000 Place'!$C$2:$Y$523,20,FALSE)</f>
        <v>#N/A</v>
      </c>
      <c r="T242" t="e">
        <f>VLOOKUP($C242,'2000 Place'!$C$2:$Y$523,21,FALSE)</f>
        <v>#N/A</v>
      </c>
      <c r="U242" t="e">
        <f>VLOOKUP($C242,'2000 Place'!$C$2:$Y$523,22,FALSE)</f>
        <v>#N/A</v>
      </c>
      <c r="V242" t="e">
        <f>VLOOKUP($C242,'2000 Place'!$C$2:$Y$523,23,FALSE)</f>
        <v>#N/A</v>
      </c>
    </row>
    <row r="243" spans="1:22" x14ac:dyDescent="0.25">
      <c r="A243" t="s">
        <v>730</v>
      </c>
      <c r="B243">
        <v>5332125</v>
      </c>
      <c r="C243" t="s">
        <v>731</v>
      </c>
      <c r="D243" t="e">
        <f>VLOOKUP($C243,'2000 Place'!$C$2:$Y$523,5,FALSE)</f>
        <v>#N/A</v>
      </c>
      <c r="E243" t="e">
        <f>VLOOKUP($C243,'2000 Place'!$C$2:$Y$523,6,FALSE)</f>
        <v>#N/A</v>
      </c>
      <c r="F243" t="e">
        <f>VLOOKUP($C243,'2000 Place'!$C$2:$Y$523,7,FALSE)</f>
        <v>#N/A</v>
      </c>
      <c r="G243" t="e">
        <f>VLOOKUP($C243,'2000 Place'!$C$2:$Y$523,8,FALSE)</f>
        <v>#N/A</v>
      </c>
      <c r="H243" t="e">
        <f>VLOOKUP($C243,'2000 Place'!$C$2:$Y$523,9,FALSE)</f>
        <v>#N/A</v>
      </c>
      <c r="I243" t="e">
        <f>VLOOKUP($C243,'2000 Place'!$C$2:$Y$523,10,FALSE)</f>
        <v>#N/A</v>
      </c>
      <c r="J243" t="e">
        <f>VLOOKUP($C243,'2000 Place'!$C$2:$Y$523,11,FALSE)</f>
        <v>#N/A</v>
      </c>
      <c r="K243" t="e">
        <f>VLOOKUP($C243,'2000 Place'!$C$2:$Y$523,12,FALSE)</f>
        <v>#N/A</v>
      </c>
      <c r="L243" t="e">
        <f>VLOOKUP($C243,'2000 Place'!$C$2:$Y$523,13,FALSE)</f>
        <v>#N/A</v>
      </c>
      <c r="M243" t="e">
        <f>VLOOKUP($C243,'2000 Place'!$C$2:$Y$523,14,FALSE)</f>
        <v>#N/A</v>
      </c>
      <c r="N243" t="e">
        <f>VLOOKUP($C243,'2000 Place'!$C$2:$Y$523,15,FALSE)</f>
        <v>#N/A</v>
      </c>
      <c r="O243" t="e">
        <f>VLOOKUP($C243,'2000 Place'!$C$2:$Y$523,16,FALSE)</f>
        <v>#N/A</v>
      </c>
      <c r="P243" t="e">
        <f>VLOOKUP($C243,'2000 Place'!$C$2:$Y$523,17,FALSE)</f>
        <v>#N/A</v>
      </c>
      <c r="Q243" t="e">
        <f>VLOOKUP($C243,'2000 Place'!$C$2:$Y$523,18,FALSE)</f>
        <v>#N/A</v>
      </c>
      <c r="R243" t="e">
        <f>VLOOKUP($C243,'2000 Place'!$C$2:$Y$523,19,FALSE)</f>
        <v>#N/A</v>
      </c>
      <c r="S243" t="e">
        <f>VLOOKUP($C243,'2000 Place'!$C$2:$Y$523,20,FALSE)</f>
        <v>#N/A</v>
      </c>
      <c r="T243" t="e">
        <f>VLOOKUP($C243,'2000 Place'!$C$2:$Y$523,21,FALSE)</f>
        <v>#N/A</v>
      </c>
      <c r="U243" t="e">
        <f>VLOOKUP($C243,'2000 Place'!$C$2:$Y$523,22,FALSE)</f>
        <v>#N/A</v>
      </c>
      <c r="V243" t="e">
        <f>VLOOKUP($C243,'2000 Place'!$C$2:$Y$523,23,FALSE)</f>
        <v>#N/A</v>
      </c>
    </row>
    <row r="244" spans="1:22" x14ac:dyDescent="0.25">
      <c r="A244" t="s">
        <v>732</v>
      </c>
      <c r="B244">
        <v>5332300</v>
      </c>
      <c r="C244" t="s">
        <v>733</v>
      </c>
      <c r="D244">
        <f>VLOOKUP($C244,'2000 Place'!$C$2:$Y$523,5,FALSE)</f>
        <v>9088</v>
      </c>
      <c r="E244">
        <f>VLOOKUP($C244,'2000 Place'!$C$2:$Y$523,6,FALSE)</f>
        <v>8554</v>
      </c>
      <c r="F244">
        <f>VLOOKUP($C244,'2000 Place'!$C$2:$Y$523,7,FALSE)</f>
        <v>534</v>
      </c>
      <c r="G244">
        <f>VLOOKUP($C244,'2000 Place'!$C$2:$Y$523,8,FALSE)</f>
        <v>7579</v>
      </c>
      <c r="H244">
        <f>VLOOKUP($C244,'2000 Place'!$C$2:$Y$523,9,FALSE)</f>
        <v>239</v>
      </c>
      <c r="I244">
        <f>VLOOKUP($C244,'2000 Place'!$C$2:$Y$523,10,FALSE)</f>
        <v>169</v>
      </c>
      <c r="J244">
        <f>VLOOKUP($C244,'2000 Place'!$C$2:$Y$523,11,FALSE)</f>
        <v>82</v>
      </c>
      <c r="K244">
        <f>VLOOKUP($C244,'2000 Place'!$C$2:$Y$523,12,FALSE)</f>
        <v>38</v>
      </c>
      <c r="L244">
        <f>VLOOKUP($C244,'2000 Place'!$C$2:$Y$523,13,FALSE)</f>
        <v>0</v>
      </c>
      <c r="M244">
        <f>VLOOKUP($C244,'2000 Place'!$C$2:$Y$523,14,FALSE)</f>
        <v>416</v>
      </c>
      <c r="N244">
        <f>VLOOKUP($C244,'2000 Place'!$C$2:$Y$523,15,FALSE)</f>
        <v>6</v>
      </c>
      <c r="O244">
        <f>VLOOKUP($C244,'2000 Place'!$C$2:$Y$523,16,FALSE)</f>
        <v>41</v>
      </c>
      <c r="P244">
        <f>VLOOKUP($C244,'2000 Place'!$C$2:$Y$523,17,FALSE)</f>
        <v>59</v>
      </c>
      <c r="Q244">
        <f>VLOOKUP($C244,'2000 Place'!$C$2:$Y$523,18,FALSE)</f>
        <v>0</v>
      </c>
      <c r="R244">
        <f>VLOOKUP($C244,'2000 Place'!$C$2:$Y$523,19,FALSE)</f>
        <v>9</v>
      </c>
      <c r="S244">
        <f>VLOOKUP($C244,'2000 Place'!$C$2:$Y$523,20,FALSE)</f>
        <v>107</v>
      </c>
      <c r="T244">
        <f>VLOOKUP($C244,'2000 Place'!$C$2:$Y$523,21,FALSE)</f>
        <v>114</v>
      </c>
      <c r="U244">
        <f>VLOOKUP($C244,'2000 Place'!$C$2:$Y$523,22,FALSE)</f>
        <v>204</v>
      </c>
      <c r="V244">
        <f>VLOOKUP($C244,'2000 Place'!$C$2:$Y$523,23,FALSE)</f>
        <v>25</v>
      </c>
    </row>
    <row r="245" spans="1:22" x14ac:dyDescent="0.25">
      <c r="A245" t="s">
        <v>734</v>
      </c>
      <c r="B245">
        <v>5332650</v>
      </c>
      <c r="C245" t="s">
        <v>735</v>
      </c>
      <c r="D245">
        <f>VLOOKUP($C245,'2000 Place'!$C$2:$Y$523,5,FALSE)</f>
        <v>227</v>
      </c>
      <c r="E245">
        <f>VLOOKUP($C245,'2000 Place'!$C$2:$Y$523,6,FALSE)</f>
        <v>205</v>
      </c>
      <c r="F245">
        <f>VLOOKUP($C245,'2000 Place'!$C$2:$Y$523,7,FALSE)</f>
        <v>22</v>
      </c>
      <c r="G245">
        <f>VLOOKUP($C245,'2000 Place'!$C$2:$Y$523,8,FALSE)</f>
        <v>165</v>
      </c>
      <c r="H245">
        <f>VLOOKUP($C245,'2000 Place'!$C$2:$Y$523,9,FALSE)</f>
        <v>4</v>
      </c>
      <c r="I245">
        <f>VLOOKUP($C245,'2000 Place'!$C$2:$Y$523,10,FALSE)</f>
        <v>2</v>
      </c>
      <c r="J245">
        <f>VLOOKUP($C245,'2000 Place'!$C$2:$Y$523,11,FALSE)</f>
        <v>0</v>
      </c>
      <c r="K245">
        <f>VLOOKUP($C245,'2000 Place'!$C$2:$Y$523,12,FALSE)</f>
        <v>0</v>
      </c>
      <c r="L245">
        <f>VLOOKUP($C245,'2000 Place'!$C$2:$Y$523,13,FALSE)</f>
        <v>0</v>
      </c>
      <c r="M245">
        <f>VLOOKUP($C245,'2000 Place'!$C$2:$Y$523,14,FALSE)</f>
        <v>16</v>
      </c>
      <c r="N245">
        <f>VLOOKUP($C245,'2000 Place'!$C$2:$Y$523,15,FALSE)</f>
        <v>0</v>
      </c>
      <c r="O245">
        <f>VLOOKUP($C245,'2000 Place'!$C$2:$Y$523,16,FALSE)</f>
        <v>0</v>
      </c>
      <c r="P245">
        <f>VLOOKUP($C245,'2000 Place'!$C$2:$Y$523,17,FALSE)</f>
        <v>3</v>
      </c>
      <c r="Q245">
        <f>VLOOKUP($C245,'2000 Place'!$C$2:$Y$523,18,FALSE)</f>
        <v>0</v>
      </c>
      <c r="R245">
        <f>VLOOKUP($C245,'2000 Place'!$C$2:$Y$523,19,FALSE)</f>
        <v>0</v>
      </c>
      <c r="S245">
        <f>VLOOKUP($C245,'2000 Place'!$C$2:$Y$523,20,FALSE)</f>
        <v>16</v>
      </c>
      <c r="T245">
        <f>VLOOKUP($C245,'2000 Place'!$C$2:$Y$523,21,FALSE)</f>
        <v>15</v>
      </c>
      <c r="U245">
        <f>VLOOKUP($C245,'2000 Place'!$C$2:$Y$523,22,FALSE)</f>
        <v>6</v>
      </c>
      <c r="V245">
        <f>VLOOKUP($C245,'2000 Place'!$C$2:$Y$523,23,FALSE)</f>
        <v>0</v>
      </c>
    </row>
    <row r="246" spans="1:22" x14ac:dyDescent="0.25">
      <c r="A246" t="s">
        <v>736</v>
      </c>
      <c r="B246">
        <v>5332755</v>
      </c>
      <c r="C246" t="s">
        <v>737</v>
      </c>
      <c r="D246">
        <f>VLOOKUP($C246,'2000 Place'!$C$2:$Y$523,5,FALSE)</f>
        <v>444</v>
      </c>
      <c r="E246">
        <f>VLOOKUP($C246,'2000 Place'!$C$2:$Y$523,6,FALSE)</f>
        <v>405</v>
      </c>
      <c r="F246">
        <f>VLOOKUP($C246,'2000 Place'!$C$2:$Y$523,7,FALSE)</f>
        <v>39</v>
      </c>
      <c r="G246">
        <f>VLOOKUP($C246,'2000 Place'!$C$2:$Y$523,8,FALSE)</f>
        <v>366</v>
      </c>
      <c r="H246">
        <f>VLOOKUP($C246,'2000 Place'!$C$2:$Y$523,9,FALSE)</f>
        <v>19</v>
      </c>
      <c r="I246">
        <f>VLOOKUP($C246,'2000 Place'!$C$2:$Y$523,10,FALSE)</f>
        <v>9</v>
      </c>
      <c r="J246">
        <f>VLOOKUP($C246,'2000 Place'!$C$2:$Y$523,11,FALSE)</f>
        <v>6</v>
      </c>
      <c r="K246">
        <f>VLOOKUP($C246,'2000 Place'!$C$2:$Y$523,12,FALSE)</f>
        <v>3</v>
      </c>
      <c r="L246">
        <f>VLOOKUP($C246,'2000 Place'!$C$2:$Y$523,13,FALSE)</f>
        <v>0</v>
      </c>
      <c r="M246">
        <f>VLOOKUP($C246,'2000 Place'!$C$2:$Y$523,14,FALSE)</f>
        <v>0</v>
      </c>
      <c r="N246">
        <f>VLOOKUP($C246,'2000 Place'!$C$2:$Y$523,15,FALSE)</f>
        <v>0</v>
      </c>
      <c r="O246">
        <f>VLOOKUP($C246,'2000 Place'!$C$2:$Y$523,16,FALSE)</f>
        <v>12</v>
      </c>
      <c r="P246">
        <f>VLOOKUP($C246,'2000 Place'!$C$2:$Y$523,17,FALSE)</f>
        <v>14</v>
      </c>
      <c r="Q246">
        <f>VLOOKUP($C246,'2000 Place'!$C$2:$Y$523,18,FALSE)</f>
        <v>0</v>
      </c>
      <c r="R246">
        <f>VLOOKUP($C246,'2000 Place'!$C$2:$Y$523,19,FALSE)</f>
        <v>0</v>
      </c>
      <c r="S246">
        <f>VLOOKUP($C246,'2000 Place'!$C$2:$Y$523,20,FALSE)</f>
        <v>0</v>
      </c>
      <c r="T246">
        <f>VLOOKUP($C246,'2000 Place'!$C$2:$Y$523,21,FALSE)</f>
        <v>0</v>
      </c>
      <c r="U246">
        <f>VLOOKUP($C246,'2000 Place'!$C$2:$Y$523,22,FALSE)</f>
        <v>15</v>
      </c>
      <c r="V246">
        <f>VLOOKUP($C246,'2000 Place'!$C$2:$Y$523,23,FALSE)</f>
        <v>0</v>
      </c>
    </row>
    <row r="247" spans="1:22" x14ac:dyDescent="0.25">
      <c r="A247" t="s">
        <v>738</v>
      </c>
      <c r="B247">
        <v>5333000</v>
      </c>
      <c r="C247" t="s">
        <v>739</v>
      </c>
      <c r="D247">
        <f>VLOOKUP($C247,'2000 Place'!$C$2:$Y$523,5,FALSE)</f>
        <v>974</v>
      </c>
      <c r="E247">
        <f>VLOOKUP($C247,'2000 Place'!$C$2:$Y$523,6,FALSE)</f>
        <v>885</v>
      </c>
      <c r="F247">
        <f>VLOOKUP($C247,'2000 Place'!$C$2:$Y$523,7,FALSE)</f>
        <v>89</v>
      </c>
      <c r="G247">
        <f>VLOOKUP($C247,'2000 Place'!$C$2:$Y$523,8,FALSE)</f>
        <v>799</v>
      </c>
      <c r="H247">
        <f>VLOOKUP($C247,'2000 Place'!$C$2:$Y$523,9,FALSE)</f>
        <v>34</v>
      </c>
      <c r="I247">
        <f>VLOOKUP($C247,'2000 Place'!$C$2:$Y$523,10,FALSE)</f>
        <v>8</v>
      </c>
      <c r="J247">
        <f>VLOOKUP($C247,'2000 Place'!$C$2:$Y$523,11,FALSE)</f>
        <v>8</v>
      </c>
      <c r="K247">
        <f>VLOOKUP($C247,'2000 Place'!$C$2:$Y$523,12,FALSE)</f>
        <v>0</v>
      </c>
      <c r="L247">
        <f>VLOOKUP($C247,'2000 Place'!$C$2:$Y$523,13,FALSE)</f>
        <v>0</v>
      </c>
      <c r="M247">
        <f>VLOOKUP($C247,'2000 Place'!$C$2:$Y$523,14,FALSE)</f>
        <v>13</v>
      </c>
      <c r="N247">
        <f>VLOOKUP($C247,'2000 Place'!$C$2:$Y$523,15,FALSE)</f>
        <v>0</v>
      </c>
      <c r="O247">
        <f>VLOOKUP($C247,'2000 Place'!$C$2:$Y$523,16,FALSE)</f>
        <v>0</v>
      </c>
      <c r="P247">
        <f>VLOOKUP($C247,'2000 Place'!$C$2:$Y$523,17,FALSE)</f>
        <v>3</v>
      </c>
      <c r="Q247">
        <f>VLOOKUP($C247,'2000 Place'!$C$2:$Y$523,18,FALSE)</f>
        <v>0</v>
      </c>
      <c r="R247">
        <f>VLOOKUP($C247,'2000 Place'!$C$2:$Y$523,19,FALSE)</f>
        <v>0</v>
      </c>
      <c r="S247">
        <f>VLOOKUP($C247,'2000 Place'!$C$2:$Y$523,20,FALSE)</f>
        <v>30</v>
      </c>
      <c r="T247">
        <f>VLOOKUP($C247,'2000 Place'!$C$2:$Y$523,21,FALSE)</f>
        <v>43</v>
      </c>
      <c r="U247">
        <f>VLOOKUP($C247,'2000 Place'!$C$2:$Y$523,22,FALSE)</f>
        <v>35</v>
      </c>
      <c r="V247">
        <f>VLOOKUP($C247,'2000 Place'!$C$2:$Y$523,23,FALSE)</f>
        <v>1</v>
      </c>
    </row>
    <row r="248" spans="1:22" x14ac:dyDescent="0.25">
      <c r="A248" t="s">
        <v>740</v>
      </c>
      <c r="B248">
        <v>5333105</v>
      </c>
      <c r="C248" t="s">
        <v>741</v>
      </c>
      <c r="D248">
        <f>VLOOKUP($C248,'2000 Place'!$C$2:$Y$523,5,FALSE)</f>
        <v>410</v>
      </c>
      <c r="E248">
        <f>VLOOKUP($C248,'2000 Place'!$C$2:$Y$523,6,FALSE)</f>
        <v>408</v>
      </c>
      <c r="F248">
        <f>VLOOKUP($C248,'2000 Place'!$C$2:$Y$523,7,FALSE)</f>
        <v>2</v>
      </c>
      <c r="G248">
        <f>VLOOKUP($C248,'2000 Place'!$C$2:$Y$523,8,FALSE)</f>
        <v>107</v>
      </c>
      <c r="H248">
        <f>VLOOKUP($C248,'2000 Place'!$C$2:$Y$523,9,FALSE)</f>
        <v>0</v>
      </c>
      <c r="I248">
        <f>VLOOKUP($C248,'2000 Place'!$C$2:$Y$523,10,FALSE)</f>
        <v>0</v>
      </c>
      <c r="J248">
        <f>VLOOKUP($C248,'2000 Place'!$C$2:$Y$523,11,FALSE)</f>
        <v>0</v>
      </c>
      <c r="K248">
        <f>VLOOKUP($C248,'2000 Place'!$C$2:$Y$523,12,FALSE)</f>
        <v>0</v>
      </c>
      <c r="L248">
        <f>VLOOKUP($C248,'2000 Place'!$C$2:$Y$523,13,FALSE)</f>
        <v>0</v>
      </c>
      <c r="M248">
        <f>VLOOKUP($C248,'2000 Place'!$C$2:$Y$523,14,FALSE)</f>
        <v>286</v>
      </c>
      <c r="N248">
        <f>VLOOKUP($C248,'2000 Place'!$C$2:$Y$523,15,FALSE)</f>
        <v>2</v>
      </c>
      <c r="O248">
        <f>VLOOKUP($C248,'2000 Place'!$C$2:$Y$523,16,FALSE)</f>
        <v>0</v>
      </c>
      <c r="P248">
        <f>VLOOKUP($C248,'2000 Place'!$C$2:$Y$523,17,FALSE)</f>
        <v>0</v>
      </c>
      <c r="Q248">
        <f>VLOOKUP($C248,'2000 Place'!$C$2:$Y$523,18,FALSE)</f>
        <v>0</v>
      </c>
      <c r="R248">
        <f>VLOOKUP($C248,'2000 Place'!$C$2:$Y$523,19,FALSE)</f>
        <v>0</v>
      </c>
      <c r="S248">
        <f>VLOOKUP($C248,'2000 Place'!$C$2:$Y$523,20,FALSE)</f>
        <v>0</v>
      </c>
      <c r="T248">
        <f>VLOOKUP($C248,'2000 Place'!$C$2:$Y$523,21,FALSE)</f>
        <v>0</v>
      </c>
      <c r="U248">
        <f>VLOOKUP($C248,'2000 Place'!$C$2:$Y$523,22,FALSE)</f>
        <v>15</v>
      </c>
      <c r="V248">
        <f>VLOOKUP($C248,'2000 Place'!$C$2:$Y$523,23,FALSE)</f>
        <v>0</v>
      </c>
    </row>
    <row r="249" spans="1:22" x14ac:dyDescent="0.25">
      <c r="A249" t="s">
        <v>742</v>
      </c>
      <c r="B249">
        <v>5333175</v>
      </c>
      <c r="C249" t="s">
        <v>743</v>
      </c>
      <c r="D249">
        <f>VLOOKUP($C249,'2000 Place'!$C$2:$Y$523,5,FALSE)</f>
        <v>154</v>
      </c>
      <c r="E249">
        <f>VLOOKUP($C249,'2000 Place'!$C$2:$Y$523,6,FALSE)</f>
        <v>150</v>
      </c>
      <c r="F249">
        <f>VLOOKUP($C249,'2000 Place'!$C$2:$Y$523,7,FALSE)</f>
        <v>4</v>
      </c>
      <c r="G249">
        <f>VLOOKUP($C249,'2000 Place'!$C$2:$Y$523,8,FALSE)</f>
        <v>138</v>
      </c>
      <c r="H249">
        <f>VLOOKUP($C249,'2000 Place'!$C$2:$Y$523,9,FALSE)</f>
        <v>2</v>
      </c>
      <c r="I249">
        <f>VLOOKUP($C249,'2000 Place'!$C$2:$Y$523,10,FALSE)</f>
        <v>2</v>
      </c>
      <c r="J249">
        <f>VLOOKUP($C249,'2000 Place'!$C$2:$Y$523,11,FALSE)</f>
        <v>0</v>
      </c>
      <c r="K249">
        <f>VLOOKUP($C249,'2000 Place'!$C$2:$Y$523,12,FALSE)</f>
        <v>0</v>
      </c>
      <c r="L249">
        <f>VLOOKUP($C249,'2000 Place'!$C$2:$Y$523,13,FALSE)</f>
        <v>0</v>
      </c>
      <c r="M249">
        <f>VLOOKUP($C249,'2000 Place'!$C$2:$Y$523,14,FALSE)</f>
        <v>4</v>
      </c>
      <c r="N249">
        <f>VLOOKUP($C249,'2000 Place'!$C$2:$Y$523,15,FALSE)</f>
        <v>0</v>
      </c>
      <c r="O249">
        <f>VLOOKUP($C249,'2000 Place'!$C$2:$Y$523,16,FALSE)</f>
        <v>0</v>
      </c>
      <c r="P249">
        <f>VLOOKUP($C249,'2000 Place'!$C$2:$Y$523,17,FALSE)</f>
        <v>2</v>
      </c>
      <c r="Q249">
        <f>VLOOKUP($C249,'2000 Place'!$C$2:$Y$523,18,FALSE)</f>
        <v>0</v>
      </c>
      <c r="R249">
        <f>VLOOKUP($C249,'2000 Place'!$C$2:$Y$523,19,FALSE)</f>
        <v>0</v>
      </c>
      <c r="S249">
        <f>VLOOKUP($C249,'2000 Place'!$C$2:$Y$523,20,FALSE)</f>
        <v>0</v>
      </c>
      <c r="T249">
        <f>VLOOKUP($C249,'2000 Place'!$C$2:$Y$523,21,FALSE)</f>
        <v>0</v>
      </c>
      <c r="U249">
        <f>VLOOKUP($C249,'2000 Place'!$C$2:$Y$523,22,FALSE)</f>
        <v>6</v>
      </c>
      <c r="V249">
        <f>VLOOKUP($C249,'2000 Place'!$C$2:$Y$523,23,FALSE)</f>
        <v>0</v>
      </c>
    </row>
    <row r="250" spans="1:22" x14ac:dyDescent="0.25">
      <c r="A250" t="s">
        <v>744</v>
      </c>
      <c r="B250">
        <v>5333280</v>
      </c>
      <c r="C250" t="s">
        <v>745</v>
      </c>
      <c r="D250">
        <f>VLOOKUP($C250,'2000 Place'!$C$2:$Y$523,5,FALSE)</f>
        <v>3026</v>
      </c>
      <c r="E250">
        <f>VLOOKUP($C250,'2000 Place'!$C$2:$Y$523,6,FALSE)</f>
        <v>2889</v>
      </c>
      <c r="F250">
        <f>VLOOKUP($C250,'2000 Place'!$C$2:$Y$523,7,FALSE)</f>
        <v>137</v>
      </c>
      <c r="G250">
        <f>VLOOKUP($C250,'2000 Place'!$C$2:$Y$523,8,FALSE)</f>
        <v>2522</v>
      </c>
      <c r="H250">
        <f>VLOOKUP($C250,'2000 Place'!$C$2:$Y$523,9,FALSE)</f>
        <v>91</v>
      </c>
      <c r="I250">
        <f>VLOOKUP($C250,'2000 Place'!$C$2:$Y$523,10,FALSE)</f>
        <v>36</v>
      </c>
      <c r="J250">
        <f>VLOOKUP($C250,'2000 Place'!$C$2:$Y$523,11,FALSE)</f>
        <v>10</v>
      </c>
      <c r="K250">
        <f>VLOOKUP($C250,'2000 Place'!$C$2:$Y$523,12,FALSE)</f>
        <v>13</v>
      </c>
      <c r="L250">
        <f>VLOOKUP($C250,'2000 Place'!$C$2:$Y$523,13,FALSE)</f>
        <v>0</v>
      </c>
      <c r="M250">
        <f>VLOOKUP($C250,'2000 Place'!$C$2:$Y$523,14,FALSE)</f>
        <v>147</v>
      </c>
      <c r="N250">
        <f>VLOOKUP($C250,'2000 Place'!$C$2:$Y$523,15,FALSE)</f>
        <v>0</v>
      </c>
      <c r="O250">
        <f>VLOOKUP($C250,'2000 Place'!$C$2:$Y$523,16,FALSE)</f>
        <v>19</v>
      </c>
      <c r="P250">
        <f>VLOOKUP($C250,'2000 Place'!$C$2:$Y$523,17,FALSE)</f>
        <v>17</v>
      </c>
      <c r="Q250">
        <f>VLOOKUP($C250,'2000 Place'!$C$2:$Y$523,18,FALSE)</f>
        <v>1</v>
      </c>
      <c r="R250">
        <f>VLOOKUP($C250,'2000 Place'!$C$2:$Y$523,19,FALSE)</f>
        <v>7</v>
      </c>
      <c r="S250">
        <f>VLOOKUP($C250,'2000 Place'!$C$2:$Y$523,20,FALSE)</f>
        <v>13</v>
      </c>
      <c r="T250">
        <f>VLOOKUP($C250,'2000 Place'!$C$2:$Y$523,21,FALSE)</f>
        <v>0</v>
      </c>
      <c r="U250">
        <f>VLOOKUP($C250,'2000 Place'!$C$2:$Y$523,22,FALSE)</f>
        <v>138</v>
      </c>
      <c r="V250">
        <f>VLOOKUP($C250,'2000 Place'!$C$2:$Y$523,23,FALSE)</f>
        <v>12</v>
      </c>
    </row>
    <row r="251" spans="1:22" x14ac:dyDescent="0.25">
      <c r="A251" t="s">
        <v>746</v>
      </c>
      <c r="B251">
        <v>5333560</v>
      </c>
      <c r="C251" t="s">
        <v>747</v>
      </c>
      <c r="D251">
        <f>VLOOKUP($C251,'2000 Place'!$C$2:$Y$523,5,FALSE)</f>
        <v>506</v>
      </c>
      <c r="E251">
        <f>VLOOKUP($C251,'2000 Place'!$C$2:$Y$523,6,FALSE)</f>
        <v>487</v>
      </c>
      <c r="F251">
        <f>VLOOKUP($C251,'2000 Place'!$C$2:$Y$523,7,FALSE)</f>
        <v>19</v>
      </c>
      <c r="G251">
        <f>VLOOKUP($C251,'2000 Place'!$C$2:$Y$523,8,FALSE)</f>
        <v>426</v>
      </c>
      <c r="H251">
        <f>VLOOKUP($C251,'2000 Place'!$C$2:$Y$523,9,FALSE)</f>
        <v>18</v>
      </c>
      <c r="I251">
        <f>VLOOKUP($C251,'2000 Place'!$C$2:$Y$523,10,FALSE)</f>
        <v>13</v>
      </c>
      <c r="J251">
        <f>VLOOKUP($C251,'2000 Place'!$C$2:$Y$523,11,FALSE)</f>
        <v>0</v>
      </c>
      <c r="K251">
        <f>VLOOKUP($C251,'2000 Place'!$C$2:$Y$523,12,FALSE)</f>
        <v>4</v>
      </c>
      <c r="L251">
        <f>VLOOKUP($C251,'2000 Place'!$C$2:$Y$523,13,FALSE)</f>
        <v>0</v>
      </c>
      <c r="M251">
        <f>VLOOKUP($C251,'2000 Place'!$C$2:$Y$523,14,FALSE)</f>
        <v>7</v>
      </c>
      <c r="N251">
        <f>VLOOKUP($C251,'2000 Place'!$C$2:$Y$523,15,FALSE)</f>
        <v>0</v>
      </c>
      <c r="O251">
        <f>VLOOKUP($C251,'2000 Place'!$C$2:$Y$523,16,FALSE)</f>
        <v>4</v>
      </c>
      <c r="P251">
        <f>VLOOKUP($C251,'2000 Place'!$C$2:$Y$523,17,FALSE)</f>
        <v>1</v>
      </c>
      <c r="Q251">
        <f>VLOOKUP($C251,'2000 Place'!$C$2:$Y$523,18,FALSE)</f>
        <v>0</v>
      </c>
      <c r="R251">
        <f>VLOOKUP($C251,'2000 Place'!$C$2:$Y$523,19,FALSE)</f>
        <v>0</v>
      </c>
      <c r="S251">
        <f>VLOOKUP($C251,'2000 Place'!$C$2:$Y$523,20,FALSE)</f>
        <v>2</v>
      </c>
      <c r="T251">
        <f>VLOOKUP($C251,'2000 Place'!$C$2:$Y$523,21,FALSE)</f>
        <v>0</v>
      </c>
      <c r="U251">
        <f>VLOOKUP($C251,'2000 Place'!$C$2:$Y$523,22,FALSE)</f>
        <v>31</v>
      </c>
      <c r="V251">
        <f>VLOOKUP($C251,'2000 Place'!$C$2:$Y$523,23,FALSE)</f>
        <v>0</v>
      </c>
    </row>
    <row r="252" spans="1:22" x14ac:dyDescent="0.25">
      <c r="A252" t="s">
        <v>748</v>
      </c>
      <c r="B252">
        <v>5333805</v>
      </c>
      <c r="C252" t="s">
        <v>749</v>
      </c>
      <c r="D252">
        <f>VLOOKUP($C252,'2000 Place'!$C$2:$Y$523,5,FALSE)</f>
        <v>11205</v>
      </c>
      <c r="E252">
        <f>VLOOKUP($C252,'2000 Place'!$C$2:$Y$523,6,FALSE)</f>
        <v>9711</v>
      </c>
      <c r="F252">
        <f>VLOOKUP($C252,'2000 Place'!$C$2:$Y$523,7,FALSE)</f>
        <v>1494</v>
      </c>
      <c r="G252">
        <f>VLOOKUP($C252,'2000 Place'!$C$2:$Y$523,8,FALSE)</f>
        <v>8921</v>
      </c>
      <c r="H252">
        <f>VLOOKUP($C252,'2000 Place'!$C$2:$Y$523,9,FALSE)</f>
        <v>563</v>
      </c>
      <c r="I252">
        <f>VLOOKUP($C252,'2000 Place'!$C$2:$Y$523,10,FALSE)</f>
        <v>165</v>
      </c>
      <c r="J252">
        <f>VLOOKUP($C252,'2000 Place'!$C$2:$Y$523,11,FALSE)</f>
        <v>245</v>
      </c>
      <c r="K252">
        <f>VLOOKUP($C252,'2000 Place'!$C$2:$Y$523,12,FALSE)</f>
        <v>34</v>
      </c>
      <c r="L252">
        <f>VLOOKUP($C252,'2000 Place'!$C$2:$Y$523,13,FALSE)</f>
        <v>15</v>
      </c>
      <c r="M252">
        <f>VLOOKUP($C252,'2000 Place'!$C$2:$Y$523,14,FALSE)</f>
        <v>109</v>
      </c>
      <c r="N252">
        <f>VLOOKUP($C252,'2000 Place'!$C$2:$Y$523,15,FALSE)</f>
        <v>0</v>
      </c>
      <c r="O252">
        <f>VLOOKUP($C252,'2000 Place'!$C$2:$Y$523,16,FALSE)</f>
        <v>192</v>
      </c>
      <c r="P252">
        <f>VLOOKUP($C252,'2000 Place'!$C$2:$Y$523,17,FALSE)</f>
        <v>512</v>
      </c>
      <c r="Q252">
        <f>VLOOKUP($C252,'2000 Place'!$C$2:$Y$523,18,FALSE)</f>
        <v>0</v>
      </c>
      <c r="R252">
        <f>VLOOKUP($C252,'2000 Place'!$C$2:$Y$523,19,FALSE)</f>
        <v>0</v>
      </c>
      <c r="S252">
        <f>VLOOKUP($C252,'2000 Place'!$C$2:$Y$523,20,FALSE)</f>
        <v>9</v>
      </c>
      <c r="T252">
        <f>VLOOKUP($C252,'2000 Place'!$C$2:$Y$523,21,FALSE)</f>
        <v>97</v>
      </c>
      <c r="U252">
        <f>VLOOKUP($C252,'2000 Place'!$C$2:$Y$523,22,FALSE)</f>
        <v>281</v>
      </c>
      <c r="V252">
        <f>VLOOKUP($C252,'2000 Place'!$C$2:$Y$523,23,FALSE)</f>
        <v>62</v>
      </c>
    </row>
    <row r="253" spans="1:22" x14ac:dyDescent="0.25">
      <c r="A253" t="s">
        <v>750</v>
      </c>
      <c r="B253">
        <v>5333890</v>
      </c>
      <c r="C253" t="s">
        <v>751</v>
      </c>
      <c r="D253" t="e">
        <f>VLOOKUP($C253,'2000 Place'!$C$2:$Y$523,5,FALSE)</f>
        <v>#N/A</v>
      </c>
      <c r="E253" t="e">
        <f>VLOOKUP($C253,'2000 Place'!$C$2:$Y$523,6,FALSE)</f>
        <v>#N/A</v>
      </c>
      <c r="F253" t="e">
        <f>VLOOKUP($C253,'2000 Place'!$C$2:$Y$523,7,FALSE)</f>
        <v>#N/A</v>
      </c>
      <c r="G253" t="e">
        <f>VLOOKUP($C253,'2000 Place'!$C$2:$Y$523,8,FALSE)</f>
        <v>#N/A</v>
      </c>
      <c r="H253" t="e">
        <f>VLOOKUP($C253,'2000 Place'!$C$2:$Y$523,9,FALSE)</f>
        <v>#N/A</v>
      </c>
      <c r="I253" t="e">
        <f>VLOOKUP($C253,'2000 Place'!$C$2:$Y$523,10,FALSE)</f>
        <v>#N/A</v>
      </c>
      <c r="J253" t="e">
        <f>VLOOKUP($C253,'2000 Place'!$C$2:$Y$523,11,FALSE)</f>
        <v>#N/A</v>
      </c>
      <c r="K253" t="e">
        <f>VLOOKUP($C253,'2000 Place'!$C$2:$Y$523,12,FALSE)</f>
        <v>#N/A</v>
      </c>
      <c r="L253" t="e">
        <f>VLOOKUP($C253,'2000 Place'!$C$2:$Y$523,13,FALSE)</f>
        <v>#N/A</v>
      </c>
      <c r="M253" t="e">
        <f>VLOOKUP($C253,'2000 Place'!$C$2:$Y$523,14,FALSE)</f>
        <v>#N/A</v>
      </c>
      <c r="N253" t="e">
        <f>VLOOKUP($C253,'2000 Place'!$C$2:$Y$523,15,FALSE)</f>
        <v>#N/A</v>
      </c>
      <c r="O253" t="e">
        <f>VLOOKUP($C253,'2000 Place'!$C$2:$Y$523,16,FALSE)</f>
        <v>#N/A</v>
      </c>
      <c r="P253" t="e">
        <f>VLOOKUP($C253,'2000 Place'!$C$2:$Y$523,17,FALSE)</f>
        <v>#N/A</v>
      </c>
      <c r="Q253" t="e">
        <f>VLOOKUP($C253,'2000 Place'!$C$2:$Y$523,18,FALSE)</f>
        <v>#N/A</v>
      </c>
      <c r="R253" t="e">
        <f>VLOOKUP($C253,'2000 Place'!$C$2:$Y$523,19,FALSE)</f>
        <v>#N/A</v>
      </c>
      <c r="S253" t="e">
        <f>VLOOKUP($C253,'2000 Place'!$C$2:$Y$523,20,FALSE)</f>
        <v>#N/A</v>
      </c>
      <c r="T253" t="e">
        <f>VLOOKUP($C253,'2000 Place'!$C$2:$Y$523,21,FALSE)</f>
        <v>#N/A</v>
      </c>
      <c r="U253" t="e">
        <f>VLOOKUP($C253,'2000 Place'!$C$2:$Y$523,22,FALSE)</f>
        <v>#N/A</v>
      </c>
      <c r="V253" t="e">
        <f>VLOOKUP($C253,'2000 Place'!$C$2:$Y$523,23,FALSE)</f>
        <v>#N/A</v>
      </c>
    </row>
    <row r="254" spans="1:22" x14ac:dyDescent="0.25">
      <c r="A254" t="s">
        <v>752</v>
      </c>
      <c r="B254">
        <v>5334470</v>
      </c>
      <c r="C254" t="s">
        <v>753</v>
      </c>
      <c r="D254">
        <f>VLOOKUP($C254,'2000 Place'!$C$2:$Y$523,5,FALSE)</f>
        <v>95</v>
      </c>
      <c r="E254">
        <f>VLOOKUP($C254,'2000 Place'!$C$2:$Y$523,6,FALSE)</f>
        <v>95</v>
      </c>
      <c r="F254">
        <f>VLOOKUP($C254,'2000 Place'!$C$2:$Y$523,7,FALSE)</f>
        <v>0</v>
      </c>
      <c r="G254">
        <f>VLOOKUP($C254,'2000 Place'!$C$2:$Y$523,8,FALSE)</f>
        <v>95</v>
      </c>
      <c r="H254">
        <f>VLOOKUP($C254,'2000 Place'!$C$2:$Y$523,9,FALSE)</f>
        <v>0</v>
      </c>
      <c r="I254">
        <f>VLOOKUP($C254,'2000 Place'!$C$2:$Y$523,10,FALSE)</f>
        <v>0</v>
      </c>
      <c r="J254">
        <f>VLOOKUP($C254,'2000 Place'!$C$2:$Y$523,11,FALSE)</f>
        <v>0</v>
      </c>
      <c r="K254">
        <f>VLOOKUP($C254,'2000 Place'!$C$2:$Y$523,12,FALSE)</f>
        <v>0</v>
      </c>
      <c r="L254">
        <f>VLOOKUP($C254,'2000 Place'!$C$2:$Y$523,13,FALSE)</f>
        <v>0</v>
      </c>
      <c r="M254">
        <f>VLOOKUP($C254,'2000 Place'!$C$2:$Y$523,14,FALSE)</f>
        <v>0</v>
      </c>
      <c r="N254">
        <f>VLOOKUP($C254,'2000 Place'!$C$2:$Y$523,15,FALSE)</f>
        <v>0</v>
      </c>
      <c r="O254">
        <f>VLOOKUP($C254,'2000 Place'!$C$2:$Y$523,16,FALSE)</f>
        <v>0</v>
      </c>
      <c r="P254">
        <f>VLOOKUP($C254,'2000 Place'!$C$2:$Y$523,17,FALSE)</f>
        <v>0</v>
      </c>
      <c r="Q254">
        <f>VLOOKUP($C254,'2000 Place'!$C$2:$Y$523,18,FALSE)</f>
        <v>0</v>
      </c>
      <c r="R254">
        <f>VLOOKUP($C254,'2000 Place'!$C$2:$Y$523,19,FALSE)</f>
        <v>0</v>
      </c>
      <c r="S254">
        <f>VLOOKUP($C254,'2000 Place'!$C$2:$Y$523,20,FALSE)</f>
        <v>0</v>
      </c>
      <c r="T254">
        <f>VLOOKUP($C254,'2000 Place'!$C$2:$Y$523,21,FALSE)</f>
        <v>0</v>
      </c>
      <c r="U254">
        <f>VLOOKUP($C254,'2000 Place'!$C$2:$Y$523,22,FALSE)</f>
        <v>0</v>
      </c>
      <c r="V254">
        <f>VLOOKUP($C254,'2000 Place'!$C$2:$Y$523,23,FALSE)</f>
        <v>0</v>
      </c>
    </row>
    <row r="255" spans="1:22" x14ac:dyDescent="0.25">
      <c r="A255" t="s">
        <v>754</v>
      </c>
      <c r="B255">
        <v>5334575</v>
      </c>
      <c r="C255" t="s">
        <v>755</v>
      </c>
      <c r="D255">
        <f>VLOOKUP($C255,'2000 Place'!$C$2:$Y$523,5,FALSE)</f>
        <v>257</v>
      </c>
      <c r="E255">
        <f>VLOOKUP($C255,'2000 Place'!$C$2:$Y$523,6,FALSE)</f>
        <v>254</v>
      </c>
      <c r="F255">
        <f>VLOOKUP($C255,'2000 Place'!$C$2:$Y$523,7,FALSE)</f>
        <v>3</v>
      </c>
      <c r="G255">
        <f>VLOOKUP($C255,'2000 Place'!$C$2:$Y$523,8,FALSE)</f>
        <v>228</v>
      </c>
      <c r="H255">
        <f>VLOOKUP($C255,'2000 Place'!$C$2:$Y$523,9,FALSE)</f>
        <v>0</v>
      </c>
      <c r="I255">
        <f>VLOOKUP($C255,'2000 Place'!$C$2:$Y$523,10,FALSE)</f>
        <v>2</v>
      </c>
      <c r="J255">
        <f>VLOOKUP($C255,'2000 Place'!$C$2:$Y$523,11,FALSE)</f>
        <v>0</v>
      </c>
      <c r="K255">
        <f>VLOOKUP($C255,'2000 Place'!$C$2:$Y$523,12,FALSE)</f>
        <v>0</v>
      </c>
      <c r="L255">
        <f>VLOOKUP($C255,'2000 Place'!$C$2:$Y$523,13,FALSE)</f>
        <v>0</v>
      </c>
      <c r="M255">
        <f>VLOOKUP($C255,'2000 Place'!$C$2:$Y$523,14,FALSE)</f>
        <v>5</v>
      </c>
      <c r="N255">
        <f>VLOOKUP($C255,'2000 Place'!$C$2:$Y$523,15,FALSE)</f>
        <v>0</v>
      </c>
      <c r="O255">
        <f>VLOOKUP($C255,'2000 Place'!$C$2:$Y$523,16,FALSE)</f>
        <v>1</v>
      </c>
      <c r="P255">
        <f>VLOOKUP($C255,'2000 Place'!$C$2:$Y$523,17,FALSE)</f>
        <v>0</v>
      </c>
      <c r="Q255">
        <f>VLOOKUP($C255,'2000 Place'!$C$2:$Y$523,18,FALSE)</f>
        <v>0</v>
      </c>
      <c r="R255">
        <f>VLOOKUP($C255,'2000 Place'!$C$2:$Y$523,19,FALSE)</f>
        <v>0</v>
      </c>
      <c r="S255">
        <f>VLOOKUP($C255,'2000 Place'!$C$2:$Y$523,20,FALSE)</f>
        <v>9</v>
      </c>
      <c r="T255">
        <f>VLOOKUP($C255,'2000 Place'!$C$2:$Y$523,21,FALSE)</f>
        <v>3</v>
      </c>
      <c r="U255">
        <f>VLOOKUP($C255,'2000 Place'!$C$2:$Y$523,22,FALSE)</f>
        <v>9</v>
      </c>
      <c r="V255">
        <f>VLOOKUP($C255,'2000 Place'!$C$2:$Y$523,23,FALSE)</f>
        <v>0</v>
      </c>
    </row>
    <row r="256" spans="1:22" x14ac:dyDescent="0.25">
      <c r="A256" t="s">
        <v>756</v>
      </c>
      <c r="B256">
        <v>5334645</v>
      </c>
      <c r="C256" t="s">
        <v>757</v>
      </c>
      <c r="D256">
        <f>VLOOKUP($C256,'2000 Place'!$C$2:$Y$523,5,FALSE)</f>
        <v>1798</v>
      </c>
      <c r="E256">
        <f>VLOOKUP($C256,'2000 Place'!$C$2:$Y$523,6,FALSE)</f>
        <v>1731</v>
      </c>
      <c r="F256">
        <f>VLOOKUP($C256,'2000 Place'!$C$2:$Y$523,7,FALSE)</f>
        <v>67</v>
      </c>
      <c r="G256">
        <f>VLOOKUP($C256,'2000 Place'!$C$2:$Y$523,8,FALSE)</f>
        <v>1625</v>
      </c>
      <c r="H256">
        <f>VLOOKUP($C256,'2000 Place'!$C$2:$Y$523,9,FALSE)</f>
        <v>44</v>
      </c>
      <c r="I256">
        <f>VLOOKUP($C256,'2000 Place'!$C$2:$Y$523,10,FALSE)</f>
        <v>17</v>
      </c>
      <c r="J256">
        <f>VLOOKUP($C256,'2000 Place'!$C$2:$Y$523,11,FALSE)</f>
        <v>7</v>
      </c>
      <c r="K256">
        <f>VLOOKUP($C256,'2000 Place'!$C$2:$Y$523,12,FALSE)</f>
        <v>22</v>
      </c>
      <c r="L256">
        <f>VLOOKUP($C256,'2000 Place'!$C$2:$Y$523,13,FALSE)</f>
        <v>0</v>
      </c>
      <c r="M256">
        <f>VLOOKUP($C256,'2000 Place'!$C$2:$Y$523,14,FALSE)</f>
        <v>32</v>
      </c>
      <c r="N256">
        <f>VLOOKUP($C256,'2000 Place'!$C$2:$Y$523,15,FALSE)</f>
        <v>0</v>
      </c>
      <c r="O256">
        <f>VLOOKUP($C256,'2000 Place'!$C$2:$Y$523,16,FALSE)</f>
        <v>4</v>
      </c>
      <c r="P256">
        <f>VLOOKUP($C256,'2000 Place'!$C$2:$Y$523,17,FALSE)</f>
        <v>9</v>
      </c>
      <c r="Q256">
        <f>VLOOKUP($C256,'2000 Place'!$C$2:$Y$523,18,FALSE)</f>
        <v>1</v>
      </c>
      <c r="R256">
        <f>VLOOKUP($C256,'2000 Place'!$C$2:$Y$523,19,FALSE)</f>
        <v>0</v>
      </c>
      <c r="S256">
        <f>VLOOKUP($C256,'2000 Place'!$C$2:$Y$523,20,FALSE)</f>
        <v>2</v>
      </c>
      <c r="T256">
        <f>VLOOKUP($C256,'2000 Place'!$C$2:$Y$523,21,FALSE)</f>
        <v>7</v>
      </c>
      <c r="U256">
        <f>VLOOKUP($C256,'2000 Place'!$C$2:$Y$523,22,FALSE)</f>
        <v>28</v>
      </c>
      <c r="V256">
        <f>VLOOKUP($C256,'2000 Place'!$C$2:$Y$523,23,FALSE)</f>
        <v>0</v>
      </c>
    </row>
    <row r="257" spans="1:22" x14ac:dyDescent="0.25">
      <c r="A257" t="s">
        <v>758</v>
      </c>
      <c r="B257">
        <v>5334890</v>
      </c>
      <c r="C257" t="s">
        <v>759</v>
      </c>
      <c r="D257" t="e">
        <f>VLOOKUP($C257,'2000 Place'!$C$2:$Y$523,5,FALSE)</f>
        <v>#N/A</v>
      </c>
      <c r="E257" t="e">
        <f>VLOOKUP($C257,'2000 Place'!$C$2:$Y$523,6,FALSE)</f>
        <v>#N/A</v>
      </c>
      <c r="F257" t="e">
        <f>VLOOKUP($C257,'2000 Place'!$C$2:$Y$523,7,FALSE)</f>
        <v>#N/A</v>
      </c>
      <c r="G257" t="e">
        <f>VLOOKUP($C257,'2000 Place'!$C$2:$Y$523,8,FALSE)</f>
        <v>#N/A</v>
      </c>
      <c r="H257" t="e">
        <f>VLOOKUP($C257,'2000 Place'!$C$2:$Y$523,9,FALSE)</f>
        <v>#N/A</v>
      </c>
      <c r="I257" t="e">
        <f>VLOOKUP($C257,'2000 Place'!$C$2:$Y$523,10,FALSE)</f>
        <v>#N/A</v>
      </c>
      <c r="J257" t="e">
        <f>VLOOKUP($C257,'2000 Place'!$C$2:$Y$523,11,FALSE)</f>
        <v>#N/A</v>
      </c>
      <c r="K257" t="e">
        <f>VLOOKUP($C257,'2000 Place'!$C$2:$Y$523,12,FALSE)</f>
        <v>#N/A</v>
      </c>
      <c r="L257" t="e">
        <f>VLOOKUP($C257,'2000 Place'!$C$2:$Y$523,13,FALSE)</f>
        <v>#N/A</v>
      </c>
      <c r="M257" t="e">
        <f>VLOOKUP($C257,'2000 Place'!$C$2:$Y$523,14,FALSE)</f>
        <v>#N/A</v>
      </c>
      <c r="N257" t="e">
        <f>VLOOKUP($C257,'2000 Place'!$C$2:$Y$523,15,FALSE)</f>
        <v>#N/A</v>
      </c>
      <c r="O257" t="e">
        <f>VLOOKUP($C257,'2000 Place'!$C$2:$Y$523,16,FALSE)</f>
        <v>#N/A</v>
      </c>
      <c r="P257" t="e">
        <f>VLOOKUP($C257,'2000 Place'!$C$2:$Y$523,17,FALSE)</f>
        <v>#N/A</v>
      </c>
      <c r="Q257" t="e">
        <f>VLOOKUP($C257,'2000 Place'!$C$2:$Y$523,18,FALSE)</f>
        <v>#N/A</v>
      </c>
      <c r="R257" t="e">
        <f>VLOOKUP($C257,'2000 Place'!$C$2:$Y$523,19,FALSE)</f>
        <v>#N/A</v>
      </c>
      <c r="S257" t="e">
        <f>VLOOKUP($C257,'2000 Place'!$C$2:$Y$523,20,FALSE)</f>
        <v>#N/A</v>
      </c>
      <c r="T257" t="e">
        <f>VLOOKUP($C257,'2000 Place'!$C$2:$Y$523,21,FALSE)</f>
        <v>#N/A</v>
      </c>
      <c r="U257" t="e">
        <f>VLOOKUP($C257,'2000 Place'!$C$2:$Y$523,22,FALSE)</f>
        <v>#N/A</v>
      </c>
      <c r="V257" t="e">
        <f>VLOOKUP($C257,'2000 Place'!$C$2:$Y$523,23,FALSE)</f>
        <v>#N/A</v>
      </c>
    </row>
    <row r="258" spans="1:22" x14ac:dyDescent="0.25">
      <c r="A258" t="s">
        <v>760</v>
      </c>
      <c r="B258">
        <v>5334915</v>
      </c>
      <c r="C258" t="s">
        <v>761</v>
      </c>
      <c r="D258" t="e">
        <f>VLOOKUP($C258,'2000 Place'!$C$2:$Y$523,5,FALSE)</f>
        <v>#N/A</v>
      </c>
      <c r="E258" t="e">
        <f>VLOOKUP($C258,'2000 Place'!$C$2:$Y$523,6,FALSE)</f>
        <v>#N/A</v>
      </c>
      <c r="F258" t="e">
        <f>VLOOKUP($C258,'2000 Place'!$C$2:$Y$523,7,FALSE)</f>
        <v>#N/A</v>
      </c>
      <c r="G258" t="e">
        <f>VLOOKUP($C258,'2000 Place'!$C$2:$Y$523,8,FALSE)</f>
        <v>#N/A</v>
      </c>
      <c r="H258" t="e">
        <f>VLOOKUP($C258,'2000 Place'!$C$2:$Y$523,9,FALSE)</f>
        <v>#N/A</v>
      </c>
      <c r="I258" t="e">
        <f>VLOOKUP($C258,'2000 Place'!$C$2:$Y$523,10,FALSE)</f>
        <v>#N/A</v>
      </c>
      <c r="J258" t="e">
        <f>VLOOKUP($C258,'2000 Place'!$C$2:$Y$523,11,FALSE)</f>
        <v>#N/A</v>
      </c>
      <c r="K258" t="e">
        <f>VLOOKUP($C258,'2000 Place'!$C$2:$Y$523,12,FALSE)</f>
        <v>#N/A</v>
      </c>
      <c r="L258" t="e">
        <f>VLOOKUP($C258,'2000 Place'!$C$2:$Y$523,13,FALSE)</f>
        <v>#N/A</v>
      </c>
      <c r="M258" t="e">
        <f>VLOOKUP($C258,'2000 Place'!$C$2:$Y$523,14,FALSE)</f>
        <v>#N/A</v>
      </c>
      <c r="N258" t="e">
        <f>VLOOKUP($C258,'2000 Place'!$C$2:$Y$523,15,FALSE)</f>
        <v>#N/A</v>
      </c>
      <c r="O258" t="e">
        <f>VLOOKUP($C258,'2000 Place'!$C$2:$Y$523,16,FALSE)</f>
        <v>#N/A</v>
      </c>
      <c r="P258" t="e">
        <f>VLOOKUP($C258,'2000 Place'!$C$2:$Y$523,17,FALSE)</f>
        <v>#N/A</v>
      </c>
      <c r="Q258" t="e">
        <f>VLOOKUP($C258,'2000 Place'!$C$2:$Y$523,18,FALSE)</f>
        <v>#N/A</v>
      </c>
      <c r="R258" t="e">
        <f>VLOOKUP($C258,'2000 Place'!$C$2:$Y$523,19,FALSE)</f>
        <v>#N/A</v>
      </c>
      <c r="S258" t="e">
        <f>VLOOKUP($C258,'2000 Place'!$C$2:$Y$523,20,FALSE)</f>
        <v>#N/A</v>
      </c>
      <c r="T258" t="e">
        <f>VLOOKUP($C258,'2000 Place'!$C$2:$Y$523,21,FALSE)</f>
        <v>#N/A</v>
      </c>
      <c r="U258" t="e">
        <f>VLOOKUP($C258,'2000 Place'!$C$2:$Y$523,22,FALSE)</f>
        <v>#N/A</v>
      </c>
      <c r="V258" t="e">
        <f>VLOOKUP($C258,'2000 Place'!$C$2:$Y$523,23,FALSE)</f>
        <v>#N/A</v>
      </c>
    </row>
    <row r="259" spans="1:22" x14ac:dyDescent="0.25">
      <c r="A259" t="s">
        <v>762</v>
      </c>
      <c r="B259">
        <v>5334960</v>
      </c>
      <c r="C259" t="s">
        <v>763</v>
      </c>
      <c r="D259" t="e">
        <f>VLOOKUP($C259,'2000 Place'!$C$2:$Y$523,5,FALSE)</f>
        <v>#N/A</v>
      </c>
      <c r="E259" t="e">
        <f>VLOOKUP($C259,'2000 Place'!$C$2:$Y$523,6,FALSE)</f>
        <v>#N/A</v>
      </c>
      <c r="F259" t="e">
        <f>VLOOKUP($C259,'2000 Place'!$C$2:$Y$523,7,FALSE)</f>
        <v>#N/A</v>
      </c>
      <c r="G259" t="e">
        <f>VLOOKUP($C259,'2000 Place'!$C$2:$Y$523,8,FALSE)</f>
        <v>#N/A</v>
      </c>
      <c r="H259" t="e">
        <f>VLOOKUP($C259,'2000 Place'!$C$2:$Y$523,9,FALSE)</f>
        <v>#N/A</v>
      </c>
      <c r="I259" t="e">
        <f>VLOOKUP($C259,'2000 Place'!$C$2:$Y$523,10,FALSE)</f>
        <v>#N/A</v>
      </c>
      <c r="J259" t="e">
        <f>VLOOKUP($C259,'2000 Place'!$C$2:$Y$523,11,FALSE)</f>
        <v>#N/A</v>
      </c>
      <c r="K259" t="e">
        <f>VLOOKUP($C259,'2000 Place'!$C$2:$Y$523,12,FALSE)</f>
        <v>#N/A</v>
      </c>
      <c r="L259" t="e">
        <f>VLOOKUP($C259,'2000 Place'!$C$2:$Y$523,13,FALSE)</f>
        <v>#N/A</v>
      </c>
      <c r="M259" t="e">
        <f>VLOOKUP($C259,'2000 Place'!$C$2:$Y$523,14,FALSE)</f>
        <v>#N/A</v>
      </c>
      <c r="N259" t="e">
        <f>VLOOKUP($C259,'2000 Place'!$C$2:$Y$523,15,FALSE)</f>
        <v>#N/A</v>
      </c>
      <c r="O259" t="e">
        <f>VLOOKUP($C259,'2000 Place'!$C$2:$Y$523,16,FALSE)</f>
        <v>#N/A</v>
      </c>
      <c r="P259" t="e">
        <f>VLOOKUP($C259,'2000 Place'!$C$2:$Y$523,17,FALSE)</f>
        <v>#N/A</v>
      </c>
      <c r="Q259" t="e">
        <f>VLOOKUP($C259,'2000 Place'!$C$2:$Y$523,18,FALSE)</f>
        <v>#N/A</v>
      </c>
      <c r="R259" t="e">
        <f>VLOOKUP($C259,'2000 Place'!$C$2:$Y$523,19,FALSE)</f>
        <v>#N/A</v>
      </c>
      <c r="S259" t="e">
        <f>VLOOKUP($C259,'2000 Place'!$C$2:$Y$523,20,FALSE)</f>
        <v>#N/A</v>
      </c>
      <c r="T259" t="e">
        <f>VLOOKUP($C259,'2000 Place'!$C$2:$Y$523,21,FALSE)</f>
        <v>#N/A</v>
      </c>
      <c r="U259" t="e">
        <f>VLOOKUP($C259,'2000 Place'!$C$2:$Y$523,22,FALSE)</f>
        <v>#N/A</v>
      </c>
      <c r="V259" t="e">
        <f>VLOOKUP($C259,'2000 Place'!$C$2:$Y$523,23,FALSE)</f>
        <v>#N/A</v>
      </c>
    </row>
    <row r="260" spans="1:22" x14ac:dyDescent="0.25">
      <c r="A260" t="s">
        <v>764</v>
      </c>
      <c r="B260">
        <v>5335065</v>
      </c>
      <c r="C260" t="s">
        <v>765</v>
      </c>
      <c r="D260">
        <f>VLOOKUP($C260,'2000 Place'!$C$2:$Y$523,5,FALSE)</f>
        <v>12034</v>
      </c>
      <c r="E260">
        <f>VLOOKUP($C260,'2000 Place'!$C$2:$Y$523,6,FALSE)</f>
        <v>11475</v>
      </c>
      <c r="F260">
        <f>VLOOKUP($C260,'2000 Place'!$C$2:$Y$523,7,FALSE)</f>
        <v>559</v>
      </c>
      <c r="G260">
        <f>VLOOKUP($C260,'2000 Place'!$C$2:$Y$523,8,FALSE)</f>
        <v>10352</v>
      </c>
      <c r="H260">
        <f>VLOOKUP($C260,'2000 Place'!$C$2:$Y$523,9,FALSE)</f>
        <v>202</v>
      </c>
      <c r="I260">
        <f>VLOOKUP($C260,'2000 Place'!$C$2:$Y$523,10,FALSE)</f>
        <v>290</v>
      </c>
      <c r="J260">
        <f>VLOOKUP($C260,'2000 Place'!$C$2:$Y$523,11,FALSE)</f>
        <v>64</v>
      </c>
      <c r="K260">
        <f>VLOOKUP($C260,'2000 Place'!$C$2:$Y$523,12,FALSE)</f>
        <v>59</v>
      </c>
      <c r="L260">
        <f>VLOOKUP($C260,'2000 Place'!$C$2:$Y$523,13,FALSE)</f>
        <v>0</v>
      </c>
      <c r="M260">
        <f>VLOOKUP($C260,'2000 Place'!$C$2:$Y$523,14,FALSE)</f>
        <v>178</v>
      </c>
      <c r="N260">
        <f>VLOOKUP($C260,'2000 Place'!$C$2:$Y$523,15,FALSE)</f>
        <v>8</v>
      </c>
      <c r="O260">
        <f>VLOOKUP($C260,'2000 Place'!$C$2:$Y$523,16,FALSE)</f>
        <v>53</v>
      </c>
      <c r="P260">
        <f>VLOOKUP($C260,'2000 Place'!$C$2:$Y$523,17,FALSE)</f>
        <v>73</v>
      </c>
      <c r="Q260">
        <f>VLOOKUP($C260,'2000 Place'!$C$2:$Y$523,18,FALSE)</f>
        <v>31</v>
      </c>
      <c r="R260">
        <f>VLOOKUP($C260,'2000 Place'!$C$2:$Y$523,19,FALSE)</f>
        <v>5</v>
      </c>
      <c r="S260">
        <f>VLOOKUP($C260,'2000 Place'!$C$2:$Y$523,20,FALSE)</f>
        <v>184</v>
      </c>
      <c r="T260">
        <f>VLOOKUP($C260,'2000 Place'!$C$2:$Y$523,21,FALSE)</f>
        <v>151</v>
      </c>
      <c r="U260">
        <f>VLOOKUP($C260,'2000 Place'!$C$2:$Y$523,22,FALSE)</f>
        <v>328</v>
      </c>
      <c r="V260">
        <f>VLOOKUP($C260,'2000 Place'!$C$2:$Y$523,23,FALSE)</f>
        <v>56</v>
      </c>
    </row>
    <row r="261" spans="1:22" x14ac:dyDescent="0.25">
      <c r="A261" t="s">
        <v>766</v>
      </c>
      <c r="B261">
        <v>5335135</v>
      </c>
      <c r="C261" t="s">
        <v>767</v>
      </c>
      <c r="D261">
        <f>VLOOKUP($C261,'2000 Place'!$C$2:$Y$523,5,FALSE)</f>
        <v>66</v>
      </c>
      <c r="E261">
        <f>VLOOKUP($C261,'2000 Place'!$C$2:$Y$523,6,FALSE)</f>
        <v>66</v>
      </c>
      <c r="F261">
        <f>VLOOKUP($C261,'2000 Place'!$C$2:$Y$523,7,FALSE)</f>
        <v>0</v>
      </c>
      <c r="G261">
        <f>VLOOKUP($C261,'2000 Place'!$C$2:$Y$523,8,FALSE)</f>
        <v>66</v>
      </c>
      <c r="H261">
        <f>VLOOKUP($C261,'2000 Place'!$C$2:$Y$523,9,FALSE)</f>
        <v>0</v>
      </c>
      <c r="I261">
        <f>VLOOKUP($C261,'2000 Place'!$C$2:$Y$523,10,FALSE)</f>
        <v>0</v>
      </c>
      <c r="J261">
        <f>VLOOKUP($C261,'2000 Place'!$C$2:$Y$523,11,FALSE)</f>
        <v>0</v>
      </c>
      <c r="K261">
        <f>VLOOKUP($C261,'2000 Place'!$C$2:$Y$523,12,FALSE)</f>
        <v>0</v>
      </c>
      <c r="L261">
        <f>VLOOKUP($C261,'2000 Place'!$C$2:$Y$523,13,FALSE)</f>
        <v>0</v>
      </c>
      <c r="M261">
        <f>VLOOKUP($C261,'2000 Place'!$C$2:$Y$523,14,FALSE)</f>
        <v>0</v>
      </c>
      <c r="N261">
        <f>VLOOKUP($C261,'2000 Place'!$C$2:$Y$523,15,FALSE)</f>
        <v>0</v>
      </c>
      <c r="O261">
        <f>VLOOKUP($C261,'2000 Place'!$C$2:$Y$523,16,FALSE)</f>
        <v>0</v>
      </c>
      <c r="P261">
        <f>VLOOKUP($C261,'2000 Place'!$C$2:$Y$523,17,FALSE)</f>
        <v>0</v>
      </c>
      <c r="Q261">
        <f>VLOOKUP($C261,'2000 Place'!$C$2:$Y$523,18,FALSE)</f>
        <v>0</v>
      </c>
      <c r="R261">
        <f>VLOOKUP($C261,'2000 Place'!$C$2:$Y$523,19,FALSE)</f>
        <v>0</v>
      </c>
      <c r="S261">
        <f>VLOOKUP($C261,'2000 Place'!$C$2:$Y$523,20,FALSE)</f>
        <v>0</v>
      </c>
      <c r="T261">
        <f>VLOOKUP($C261,'2000 Place'!$C$2:$Y$523,21,FALSE)</f>
        <v>0</v>
      </c>
      <c r="U261">
        <f>VLOOKUP($C261,'2000 Place'!$C$2:$Y$523,22,FALSE)</f>
        <v>0</v>
      </c>
      <c r="V261">
        <f>VLOOKUP($C261,'2000 Place'!$C$2:$Y$523,23,FALSE)</f>
        <v>0</v>
      </c>
    </row>
    <row r="262" spans="1:22" x14ac:dyDescent="0.25">
      <c r="A262" t="s">
        <v>768</v>
      </c>
      <c r="B262">
        <v>5335170</v>
      </c>
      <c r="C262" t="s">
        <v>769</v>
      </c>
      <c r="D262">
        <f>VLOOKUP($C262,'2000 Place'!$C$2:$Y$523,5,FALSE)</f>
        <v>18540</v>
      </c>
      <c r="E262">
        <f>VLOOKUP($C262,'2000 Place'!$C$2:$Y$523,6,FALSE)</f>
        <v>16274</v>
      </c>
      <c r="F262">
        <f>VLOOKUP($C262,'2000 Place'!$C$2:$Y$523,7,FALSE)</f>
        <v>2266</v>
      </c>
      <c r="G262">
        <f>VLOOKUP($C262,'2000 Place'!$C$2:$Y$523,8,FALSE)</f>
        <v>14414</v>
      </c>
      <c r="H262">
        <f>VLOOKUP($C262,'2000 Place'!$C$2:$Y$523,9,FALSE)</f>
        <v>1300</v>
      </c>
      <c r="I262">
        <f>VLOOKUP($C262,'2000 Place'!$C$2:$Y$523,10,FALSE)</f>
        <v>337</v>
      </c>
      <c r="J262">
        <f>VLOOKUP($C262,'2000 Place'!$C$2:$Y$523,11,FALSE)</f>
        <v>117</v>
      </c>
      <c r="K262">
        <f>VLOOKUP($C262,'2000 Place'!$C$2:$Y$523,12,FALSE)</f>
        <v>117</v>
      </c>
      <c r="L262">
        <f>VLOOKUP($C262,'2000 Place'!$C$2:$Y$523,13,FALSE)</f>
        <v>23</v>
      </c>
      <c r="M262">
        <f>VLOOKUP($C262,'2000 Place'!$C$2:$Y$523,14,FALSE)</f>
        <v>234</v>
      </c>
      <c r="N262">
        <f>VLOOKUP($C262,'2000 Place'!$C$2:$Y$523,15,FALSE)</f>
        <v>0</v>
      </c>
      <c r="O262">
        <f>VLOOKUP($C262,'2000 Place'!$C$2:$Y$523,16,FALSE)</f>
        <v>472</v>
      </c>
      <c r="P262">
        <f>VLOOKUP($C262,'2000 Place'!$C$2:$Y$523,17,FALSE)</f>
        <v>754</v>
      </c>
      <c r="Q262">
        <f>VLOOKUP($C262,'2000 Place'!$C$2:$Y$523,18,FALSE)</f>
        <v>102</v>
      </c>
      <c r="R262">
        <f>VLOOKUP($C262,'2000 Place'!$C$2:$Y$523,19,FALSE)</f>
        <v>0</v>
      </c>
      <c r="S262">
        <f>VLOOKUP($C262,'2000 Place'!$C$2:$Y$523,20,FALSE)</f>
        <v>122</v>
      </c>
      <c r="T262">
        <f>VLOOKUP($C262,'2000 Place'!$C$2:$Y$523,21,FALSE)</f>
        <v>24</v>
      </c>
      <c r="U262">
        <f>VLOOKUP($C262,'2000 Place'!$C$2:$Y$523,22,FALSE)</f>
        <v>476</v>
      </c>
      <c r="V262">
        <f>VLOOKUP($C262,'2000 Place'!$C$2:$Y$523,23,FALSE)</f>
        <v>48</v>
      </c>
    </row>
    <row r="263" spans="1:22" x14ac:dyDescent="0.25">
      <c r="A263" t="s">
        <v>770</v>
      </c>
      <c r="B263">
        <v>5335275</v>
      </c>
      <c r="C263" t="s">
        <v>771</v>
      </c>
      <c r="D263">
        <f>VLOOKUP($C263,'2000 Place'!$C$2:$Y$523,5,FALSE)</f>
        <v>55090</v>
      </c>
      <c r="E263">
        <f>VLOOKUP($C263,'2000 Place'!$C$2:$Y$523,6,FALSE)</f>
        <v>49328</v>
      </c>
      <c r="F263">
        <f>VLOOKUP($C263,'2000 Place'!$C$2:$Y$523,7,FALSE)</f>
        <v>5762</v>
      </c>
      <c r="G263">
        <f>VLOOKUP($C263,'2000 Place'!$C$2:$Y$523,8,FALSE)</f>
        <v>41587</v>
      </c>
      <c r="H263">
        <f>VLOOKUP($C263,'2000 Place'!$C$2:$Y$523,9,FALSE)</f>
        <v>1398</v>
      </c>
      <c r="I263">
        <f>VLOOKUP($C263,'2000 Place'!$C$2:$Y$523,10,FALSE)</f>
        <v>1585</v>
      </c>
      <c r="J263">
        <f>VLOOKUP($C263,'2000 Place'!$C$2:$Y$523,11,FALSE)</f>
        <v>1000</v>
      </c>
      <c r="K263">
        <f>VLOOKUP($C263,'2000 Place'!$C$2:$Y$523,12,FALSE)</f>
        <v>605</v>
      </c>
      <c r="L263">
        <f>VLOOKUP($C263,'2000 Place'!$C$2:$Y$523,13,FALSE)</f>
        <v>63</v>
      </c>
      <c r="M263">
        <f>VLOOKUP($C263,'2000 Place'!$C$2:$Y$523,14,FALSE)</f>
        <v>536</v>
      </c>
      <c r="N263">
        <f>VLOOKUP($C263,'2000 Place'!$C$2:$Y$523,15,FALSE)</f>
        <v>14</v>
      </c>
      <c r="O263">
        <f>VLOOKUP($C263,'2000 Place'!$C$2:$Y$523,16,FALSE)</f>
        <v>302</v>
      </c>
      <c r="P263">
        <f>VLOOKUP($C263,'2000 Place'!$C$2:$Y$523,17,FALSE)</f>
        <v>656</v>
      </c>
      <c r="Q263">
        <f>VLOOKUP($C263,'2000 Place'!$C$2:$Y$523,18,FALSE)</f>
        <v>64</v>
      </c>
      <c r="R263">
        <f>VLOOKUP($C263,'2000 Place'!$C$2:$Y$523,19,FALSE)</f>
        <v>16</v>
      </c>
      <c r="S263">
        <f>VLOOKUP($C263,'2000 Place'!$C$2:$Y$523,20,FALSE)</f>
        <v>3200</v>
      </c>
      <c r="T263">
        <f>VLOOKUP($C263,'2000 Place'!$C$2:$Y$523,21,FALSE)</f>
        <v>2258</v>
      </c>
      <c r="U263">
        <f>VLOOKUP($C263,'2000 Place'!$C$2:$Y$523,22,FALSE)</f>
        <v>1449</v>
      </c>
      <c r="V263">
        <f>VLOOKUP($C263,'2000 Place'!$C$2:$Y$523,23,FALSE)</f>
        <v>357</v>
      </c>
    </row>
    <row r="264" spans="1:22" x14ac:dyDescent="0.25">
      <c r="A264" t="s">
        <v>772</v>
      </c>
      <c r="B264">
        <v>5335415</v>
      </c>
      <c r="C264" t="s">
        <v>773</v>
      </c>
      <c r="D264">
        <f>VLOOKUP($C264,'2000 Place'!$C$2:$Y$523,5,FALSE)</f>
        <v>79325</v>
      </c>
      <c r="E264">
        <f>VLOOKUP($C264,'2000 Place'!$C$2:$Y$523,6,FALSE)</f>
        <v>65185</v>
      </c>
      <c r="F264">
        <f>VLOOKUP($C264,'2000 Place'!$C$2:$Y$523,7,FALSE)</f>
        <v>14140</v>
      </c>
      <c r="G264">
        <f>VLOOKUP($C264,'2000 Place'!$C$2:$Y$523,8,FALSE)</f>
        <v>49596</v>
      </c>
      <c r="H264">
        <f>VLOOKUP($C264,'2000 Place'!$C$2:$Y$523,9,FALSE)</f>
        <v>4337</v>
      </c>
      <c r="I264">
        <f>VLOOKUP($C264,'2000 Place'!$C$2:$Y$523,10,FALSE)</f>
        <v>1311</v>
      </c>
      <c r="J264">
        <f>VLOOKUP($C264,'2000 Place'!$C$2:$Y$523,11,FALSE)</f>
        <v>952</v>
      </c>
      <c r="K264">
        <f>VLOOKUP($C264,'2000 Place'!$C$2:$Y$523,12,FALSE)</f>
        <v>5675</v>
      </c>
      <c r="L264">
        <f>VLOOKUP($C264,'2000 Place'!$C$2:$Y$523,13,FALSE)</f>
        <v>711</v>
      </c>
      <c r="M264">
        <f>VLOOKUP($C264,'2000 Place'!$C$2:$Y$523,14,FALSE)</f>
        <v>717</v>
      </c>
      <c r="N264">
        <f>VLOOKUP($C264,'2000 Place'!$C$2:$Y$523,15,FALSE)</f>
        <v>66</v>
      </c>
      <c r="O264">
        <f>VLOOKUP($C264,'2000 Place'!$C$2:$Y$523,16,FALSE)</f>
        <v>2558</v>
      </c>
      <c r="P264">
        <f>VLOOKUP($C264,'2000 Place'!$C$2:$Y$523,17,FALSE)</f>
        <v>5162</v>
      </c>
      <c r="Q264">
        <f>VLOOKUP($C264,'2000 Place'!$C$2:$Y$523,18,FALSE)</f>
        <v>188</v>
      </c>
      <c r="R264">
        <f>VLOOKUP($C264,'2000 Place'!$C$2:$Y$523,19,FALSE)</f>
        <v>70</v>
      </c>
      <c r="S264">
        <f>VLOOKUP($C264,'2000 Place'!$C$2:$Y$523,20,FALSE)</f>
        <v>1612</v>
      </c>
      <c r="T264">
        <f>VLOOKUP($C264,'2000 Place'!$C$2:$Y$523,21,FALSE)</f>
        <v>1897</v>
      </c>
      <c r="U264">
        <f>VLOOKUP($C264,'2000 Place'!$C$2:$Y$523,22,FALSE)</f>
        <v>3528</v>
      </c>
      <c r="V264">
        <f>VLOOKUP($C264,'2000 Place'!$C$2:$Y$523,23,FALSE)</f>
        <v>945</v>
      </c>
    </row>
    <row r="265" spans="1:22" x14ac:dyDescent="0.25">
      <c r="A265" t="s">
        <v>774</v>
      </c>
      <c r="B265">
        <v>5335450</v>
      </c>
      <c r="C265" t="s">
        <v>775</v>
      </c>
      <c r="D265" t="e">
        <f>VLOOKUP($C265,'2000 Place'!$C$2:$Y$523,5,FALSE)</f>
        <v>#N/A</v>
      </c>
      <c r="E265" t="e">
        <f>VLOOKUP($C265,'2000 Place'!$C$2:$Y$523,6,FALSE)</f>
        <v>#N/A</v>
      </c>
      <c r="F265" t="e">
        <f>VLOOKUP($C265,'2000 Place'!$C$2:$Y$523,7,FALSE)</f>
        <v>#N/A</v>
      </c>
      <c r="G265" t="e">
        <f>VLOOKUP($C265,'2000 Place'!$C$2:$Y$523,8,FALSE)</f>
        <v>#N/A</v>
      </c>
      <c r="H265" t="e">
        <f>VLOOKUP($C265,'2000 Place'!$C$2:$Y$523,9,FALSE)</f>
        <v>#N/A</v>
      </c>
      <c r="I265" t="e">
        <f>VLOOKUP($C265,'2000 Place'!$C$2:$Y$523,10,FALSE)</f>
        <v>#N/A</v>
      </c>
      <c r="J265" t="e">
        <f>VLOOKUP($C265,'2000 Place'!$C$2:$Y$523,11,FALSE)</f>
        <v>#N/A</v>
      </c>
      <c r="K265" t="e">
        <f>VLOOKUP($C265,'2000 Place'!$C$2:$Y$523,12,FALSE)</f>
        <v>#N/A</v>
      </c>
      <c r="L265" t="e">
        <f>VLOOKUP($C265,'2000 Place'!$C$2:$Y$523,13,FALSE)</f>
        <v>#N/A</v>
      </c>
      <c r="M265" t="e">
        <f>VLOOKUP($C265,'2000 Place'!$C$2:$Y$523,14,FALSE)</f>
        <v>#N/A</v>
      </c>
      <c r="N265" t="e">
        <f>VLOOKUP($C265,'2000 Place'!$C$2:$Y$523,15,FALSE)</f>
        <v>#N/A</v>
      </c>
      <c r="O265" t="e">
        <f>VLOOKUP($C265,'2000 Place'!$C$2:$Y$523,16,FALSE)</f>
        <v>#N/A</v>
      </c>
      <c r="P265" t="e">
        <f>VLOOKUP($C265,'2000 Place'!$C$2:$Y$523,17,FALSE)</f>
        <v>#N/A</v>
      </c>
      <c r="Q265" t="e">
        <f>VLOOKUP($C265,'2000 Place'!$C$2:$Y$523,18,FALSE)</f>
        <v>#N/A</v>
      </c>
      <c r="R265" t="e">
        <f>VLOOKUP($C265,'2000 Place'!$C$2:$Y$523,19,FALSE)</f>
        <v>#N/A</v>
      </c>
      <c r="S265" t="e">
        <f>VLOOKUP($C265,'2000 Place'!$C$2:$Y$523,20,FALSE)</f>
        <v>#N/A</v>
      </c>
      <c r="T265" t="e">
        <f>VLOOKUP($C265,'2000 Place'!$C$2:$Y$523,21,FALSE)</f>
        <v>#N/A</v>
      </c>
      <c r="U265" t="e">
        <f>VLOOKUP($C265,'2000 Place'!$C$2:$Y$523,22,FALSE)</f>
        <v>#N/A</v>
      </c>
      <c r="V265" t="e">
        <f>VLOOKUP($C265,'2000 Place'!$C$2:$Y$523,23,FALSE)</f>
        <v>#N/A</v>
      </c>
    </row>
    <row r="266" spans="1:22" x14ac:dyDescent="0.25">
      <c r="A266" t="s">
        <v>776</v>
      </c>
      <c r="B266">
        <v>5335485</v>
      </c>
      <c r="C266" t="s">
        <v>777</v>
      </c>
      <c r="D266">
        <f>VLOOKUP($C266,'2000 Place'!$C$2:$Y$523,5,FALSE)</f>
        <v>1553</v>
      </c>
      <c r="E266">
        <f>VLOOKUP($C266,'2000 Place'!$C$2:$Y$523,6,FALSE)</f>
        <v>1511</v>
      </c>
      <c r="F266">
        <f>VLOOKUP($C266,'2000 Place'!$C$2:$Y$523,7,FALSE)</f>
        <v>42</v>
      </c>
      <c r="G266">
        <f>VLOOKUP($C266,'2000 Place'!$C$2:$Y$523,8,FALSE)</f>
        <v>1362</v>
      </c>
      <c r="H266">
        <f>VLOOKUP($C266,'2000 Place'!$C$2:$Y$523,9,FALSE)</f>
        <v>38</v>
      </c>
      <c r="I266">
        <f>VLOOKUP($C266,'2000 Place'!$C$2:$Y$523,10,FALSE)</f>
        <v>17</v>
      </c>
      <c r="J266">
        <f>VLOOKUP($C266,'2000 Place'!$C$2:$Y$523,11,FALSE)</f>
        <v>0</v>
      </c>
      <c r="K266">
        <f>VLOOKUP($C266,'2000 Place'!$C$2:$Y$523,12,FALSE)</f>
        <v>0</v>
      </c>
      <c r="L266">
        <f>VLOOKUP($C266,'2000 Place'!$C$2:$Y$523,13,FALSE)</f>
        <v>0</v>
      </c>
      <c r="M266">
        <f>VLOOKUP($C266,'2000 Place'!$C$2:$Y$523,14,FALSE)</f>
        <v>81</v>
      </c>
      <c r="N266">
        <f>VLOOKUP($C266,'2000 Place'!$C$2:$Y$523,15,FALSE)</f>
        <v>0</v>
      </c>
      <c r="O266">
        <f>VLOOKUP($C266,'2000 Place'!$C$2:$Y$523,16,FALSE)</f>
        <v>0</v>
      </c>
      <c r="P266">
        <f>VLOOKUP($C266,'2000 Place'!$C$2:$Y$523,17,FALSE)</f>
        <v>2</v>
      </c>
      <c r="Q266">
        <f>VLOOKUP($C266,'2000 Place'!$C$2:$Y$523,18,FALSE)</f>
        <v>0</v>
      </c>
      <c r="R266">
        <f>VLOOKUP($C266,'2000 Place'!$C$2:$Y$523,19,FALSE)</f>
        <v>0</v>
      </c>
      <c r="S266">
        <f>VLOOKUP($C266,'2000 Place'!$C$2:$Y$523,20,FALSE)</f>
        <v>0</v>
      </c>
      <c r="T266">
        <f>VLOOKUP($C266,'2000 Place'!$C$2:$Y$523,21,FALSE)</f>
        <v>0</v>
      </c>
      <c r="U266">
        <f>VLOOKUP($C266,'2000 Place'!$C$2:$Y$523,22,FALSE)</f>
        <v>51</v>
      </c>
      <c r="V266">
        <f>VLOOKUP($C266,'2000 Place'!$C$2:$Y$523,23,FALSE)</f>
        <v>2</v>
      </c>
    </row>
    <row r="267" spans="1:22" x14ac:dyDescent="0.25">
      <c r="A267" t="s">
        <v>778</v>
      </c>
      <c r="B267">
        <v>5335555</v>
      </c>
      <c r="C267" t="s">
        <v>779</v>
      </c>
      <c r="D267" t="e">
        <f>VLOOKUP($C267,'2000 Place'!$C$2:$Y$523,5,FALSE)</f>
        <v>#N/A</v>
      </c>
      <c r="E267" t="e">
        <f>VLOOKUP($C267,'2000 Place'!$C$2:$Y$523,6,FALSE)</f>
        <v>#N/A</v>
      </c>
      <c r="F267" t="e">
        <f>VLOOKUP($C267,'2000 Place'!$C$2:$Y$523,7,FALSE)</f>
        <v>#N/A</v>
      </c>
      <c r="G267" t="e">
        <f>VLOOKUP($C267,'2000 Place'!$C$2:$Y$523,8,FALSE)</f>
        <v>#N/A</v>
      </c>
      <c r="H267" t="e">
        <f>VLOOKUP($C267,'2000 Place'!$C$2:$Y$523,9,FALSE)</f>
        <v>#N/A</v>
      </c>
      <c r="I267" t="e">
        <f>VLOOKUP($C267,'2000 Place'!$C$2:$Y$523,10,FALSE)</f>
        <v>#N/A</v>
      </c>
      <c r="J267" t="e">
        <f>VLOOKUP($C267,'2000 Place'!$C$2:$Y$523,11,FALSE)</f>
        <v>#N/A</v>
      </c>
      <c r="K267" t="e">
        <f>VLOOKUP($C267,'2000 Place'!$C$2:$Y$523,12,FALSE)</f>
        <v>#N/A</v>
      </c>
      <c r="L267" t="e">
        <f>VLOOKUP($C267,'2000 Place'!$C$2:$Y$523,13,FALSE)</f>
        <v>#N/A</v>
      </c>
      <c r="M267" t="e">
        <f>VLOOKUP($C267,'2000 Place'!$C$2:$Y$523,14,FALSE)</f>
        <v>#N/A</v>
      </c>
      <c r="N267" t="e">
        <f>VLOOKUP($C267,'2000 Place'!$C$2:$Y$523,15,FALSE)</f>
        <v>#N/A</v>
      </c>
      <c r="O267" t="e">
        <f>VLOOKUP($C267,'2000 Place'!$C$2:$Y$523,16,FALSE)</f>
        <v>#N/A</v>
      </c>
      <c r="P267" t="e">
        <f>VLOOKUP($C267,'2000 Place'!$C$2:$Y$523,17,FALSE)</f>
        <v>#N/A</v>
      </c>
      <c r="Q267" t="e">
        <f>VLOOKUP($C267,'2000 Place'!$C$2:$Y$523,18,FALSE)</f>
        <v>#N/A</v>
      </c>
      <c r="R267" t="e">
        <f>VLOOKUP($C267,'2000 Place'!$C$2:$Y$523,19,FALSE)</f>
        <v>#N/A</v>
      </c>
      <c r="S267" t="e">
        <f>VLOOKUP($C267,'2000 Place'!$C$2:$Y$523,20,FALSE)</f>
        <v>#N/A</v>
      </c>
      <c r="T267" t="e">
        <f>VLOOKUP($C267,'2000 Place'!$C$2:$Y$523,21,FALSE)</f>
        <v>#N/A</v>
      </c>
      <c r="U267" t="e">
        <f>VLOOKUP($C267,'2000 Place'!$C$2:$Y$523,22,FALSE)</f>
        <v>#N/A</v>
      </c>
      <c r="V267" t="e">
        <f>VLOOKUP($C267,'2000 Place'!$C$2:$Y$523,23,FALSE)</f>
        <v>#N/A</v>
      </c>
    </row>
    <row r="268" spans="1:22" x14ac:dyDescent="0.25">
      <c r="A268" t="s">
        <v>780</v>
      </c>
      <c r="B268">
        <v>5335625</v>
      </c>
      <c r="C268" t="s">
        <v>781</v>
      </c>
      <c r="D268" t="e">
        <f>VLOOKUP($C268,'2000 Place'!$C$2:$Y$523,5,FALSE)</f>
        <v>#N/A</v>
      </c>
      <c r="E268" t="e">
        <f>VLOOKUP($C268,'2000 Place'!$C$2:$Y$523,6,FALSE)</f>
        <v>#N/A</v>
      </c>
      <c r="F268" t="e">
        <f>VLOOKUP($C268,'2000 Place'!$C$2:$Y$523,7,FALSE)</f>
        <v>#N/A</v>
      </c>
      <c r="G268" t="e">
        <f>VLOOKUP($C268,'2000 Place'!$C$2:$Y$523,8,FALSE)</f>
        <v>#N/A</v>
      </c>
      <c r="H268" t="e">
        <f>VLOOKUP($C268,'2000 Place'!$C$2:$Y$523,9,FALSE)</f>
        <v>#N/A</v>
      </c>
      <c r="I268" t="e">
        <f>VLOOKUP($C268,'2000 Place'!$C$2:$Y$523,10,FALSE)</f>
        <v>#N/A</v>
      </c>
      <c r="J268" t="e">
        <f>VLOOKUP($C268,'2000 Place'!$C$2:$Y$523,11,FALSE)</f>
        <v>#N/A</v>
      </c>
      <c r="K268" t="e">
        <f>VLOOKUP($C268,'2000 Place'!$C$2:$Y$523,12,FALSE)</f>
        <v>#N/A</v>
      </c>
      <c r="L268" t="e">
        <f>VLOOKUP($C268,'2000 Place'!$C$2:$Y$523,13,FALSE)</f>
        <v>#N/A</v>
      </c>
      <c r="M268" t="e">
        <f>VLOOKUP($C268,'2000 Place'!$C$2:$Y$523,14,FALSE)</f>
        <v>#N/A</v>
      </c>
      <c r="N268" t="e">
        <f>VLOOKUP($C268,'2000 Place'!$C$2:$Y$523,15,FALSE)</f>
        <v>#N/A</v>
      </c>
      <c r="O268" t="e">
        <f>VLOOKUP($C268,'2000 Place'!$C$2:$Y$523,16,FALSE)</f>
        <v>#N/A</v>
      </c>
      <c r="P268" t="e">
        <f>VLOOKUP($C268,'2000 Place'!$C$2:$Y$523,17,FALSE)</f>
        <v>#N/A</v>
      </c>
      <c r="Q268" t="e">
        <f>VLOOKUP($C268,'2000 Place'!$C$2:$Y$523,18,FALSE)</f>
        <v>#N/A</v>
      </c>
      <c r="R268" t="e">
        <f>VLOOKUP($C268,'2000 Place'!$C$2:$Y$523,19,FALSE)</f>
        <v>#N/A</v>
      </c>
      <c r="S268" t="e">
        <f>VLOOKUP($C268,'2000 Place'!$C$2:$Y$523,20,FALSE)</f>
        <v>#N/A</v>
      </c>
      <c r="T268" t="e">
        <f>VLOOKUP($C268,'2000 Place'!$C$2:$Y$523,21,FALSE)</f>
        <v>#N/A</v>
      </c>
      <c r="U268" t="e">
        <f>VLOOKUP($C268,'2000 Place'!$C$2:$Y$523,22,FALSE)</f>
        <v>#N/A</v>
      </c>
      <c r="V268" t="e">
        <f>VLOOKUP($C268,'2000 Place'!$C$2:$Y$523,23,FALSE)</f>
        <v>#N/A</v>
      </c>
    </row>
    <row r="269" spans="1:22" x14ac:dyDescent="0.25">
      <c r="A269" t="s">
        <v>782</v>
      </c>
      <c r="B269">
        <v>5335870</v>
      </c>
      <c r="C269" t="s">
        <v>783</v>
      </c>
      <c r="D269">
        <f>VLOOKUP($C269,'2000 Place'!$C$2:$Y$523,5,FALSE)</f>
        <v>1653</v>
      </c>
      <c r="E269">
        <f>VLOOKUP($C269,'2000 Place'!$C$2:$Y$523,6,FALSE)</f>
        <v>1518</v>
      </c>
      <c r="F269">
        <f>VLOOKUP($C269,'2000 Place'!$C$2:$Y$523,7,FALSE)</f>
        <v>135</v>
      </c>
      <c r="G269">
        <f>VLOOKUP($C269,'2000 Place'!$C$2:$Y$523,8,FALSE)</f>
        <v>1324</v>
      </c>
      <c r="H269">
        <f>VLOOKUP($C269,'2000 Place'!$C$2:$Y$523,9,FALSE)</f>
        <v>47</v>
      </c>
      <c r="I269">
        <f>VLOOKUP($C269,'2000 Place'!$C$2:$Y$523,10,FALSE)</f>
        <v>21</v>
      </c>
      <c r="J269">
        <f>VLOOKUP($C269,'2000 Place'!$C$2:$Y$523,11,FALSE)</f>
        <v>0</v>
      </c>
      <c r="K269">
        <f>VLOOKUP($C269,'2000 Place'!$C$2:$Y$523,12,FALSE)</f>
        <v>0</v>
      </c>
      <c r="L269">
        <f>VLOOKUP($C269,'2000 Place'!$C$2:$Y$523,13,FALSE)</f>
        <v>0</v>
      </c>
      <c r="M269">
        <f>VLOOKUP($C269,'2000 Place'!$C$2:$Y$523,14,FALSE)</f>
        <v>12</v>
      </c>
      <c r="N269">
        <f>VLOOKUP($C269,'2000 Place'!$C$2:$Y$523,15,FALSE)</f>
        <v>0</v>
      </c>
      <c r="O269">
        <f>VLOOKUP($C269,'2000 Place'!$C$2:$Y$523,16,FALSE)</f>
        <v>7</v>
      </c>
      <c r="P269">
        <f>VLOOKUP($C269,'2000 Place'!$C$2:$Y$523,17,FALSE)</f>
        <v>73</v>
      </c>
      <c r="Q269">
        <f>VLOOKUP($C269,'2000 Place'!$C$2:$Y$523,18,FALSE)</f>
        <v>0</v>
      </c>
      <c r="R269">
        <f>VLOOKUP($C269,'2000 Place'!$C$2:$Y$523,19,FALSE)</f>
        <v>0</v>
      </c>
      <c r="S269">
        <f>VLOOKUP($C269,'2000 Place'!$C$2:$Y$523,20,FALSE)</f>
        <v>56</v>
      </c>
      <c r="T269">
        <f>VLOOKUP($C269,'2000 Place'!$C$2:$Y$523,21,FALSE)</f>
        <v>0</v>
      </c>
      <c r="U269">
        <f>VLOOKUP($C269,'2000 Place'!$C$2:$Y$523,22,FALSE)</f>
        <v>98</v>
      </c>
      <c r="V269">
        <f>VLOOKUP($C269,'2000 Place'!$C$2:$Y$523,23,FALSE)</f>
        <v>15</v>
      </c>
    </row>
    <row r="270" spans="1:22" x14ac:dyDescent="0.25">
      <c r="A270" t="s">
        <v>784</v>
      </c>
      <c r="B270">
        <v>5335940</v>
      </c>
      <c r="C270" t="s">
        <v>785</v>
      </c>
      <c r="D270">
        <f>VLOOKUP($C270,'2000 Place'!$C$2:$Y$523,5,FALSE)</f>
        <v>44986</v>
      </c>
      <c r="E270">
        <f>VLOOKUP($C270,'2000 Place'!$C$2:$Y$523,6,FALSE)</f>
        <v>37866</v>
      </c>
      <c r="F270">
        <f>VLOOKUP($C270,'2000 Place'!$C$2:$Y$523,7,FALSE)</f>
        <v>7120</v>
      </c>
      <c r="G270">
        <f>VLOOKUP($C270,'2000 Place'!$C$2:$Y$523,8,FALSE)</f>
        <v>33902</v>
      </c>
      <c r="H270">
        <f>VLOOKUP($C270,'2000 Place'!$C$2:$Y$523,9,FALSE)</f>
        <v>3550</v>
      </c>
      <c r="I270">
        <f>VLOOKUP($C270,'2000 Place'!$C$2:$Y$523,10,FALSE)</f>
        <v>647</v>
      </c>
      <c r="J270">
        <f>VLOOKUP($C270,'2000 Place'!$C$2:$Y$523,11,FALSE)</f>
        <v>356</v>
      </c>
      <c r="K270">
        <f>VLOOKUP($C270,'2000 Place'!$C$2:$Y$523,12,FALSE)</f>
        <v>519</v>
      </c>
      <c r="L270">
        <f>VLOOKUP($C270,'2000 Place'!$C$2:$Y$523,13,FALSE)</f>
        <v>39</v>
      </c>
      <c r="M270">
        <f>VLOOKUP($C270,'2000 Place'!$C$2:$Y$523,14,FALSE)</f>
        <v>239</v>
      </c>
      <c r="N270">
        <f>VLOOKUP($C270,'2000 Place'!$C$2:$Y$523,15,FALSE)</f>
        <v>9</v>
      </c>
      <c r="O270">
        <f>VLOOKUP($C270,'2000 Place'!$C$2:$Y$523,16,FALSE)</f>
        <v>917</v>
      </c>
      <c r="P270">
        <f>VLOOKUP($C270,'2000 Place'!$C$2:$Y$523,17,FALSE)</f>
        <v>2559</v>
      </c>
      <c r="Q270">
        <f>VLOOKUP($C270,'2000 Place'!$C$2:$Y$523,18,FALSE)</f>
        <v>47</v>
      </c>
      <c r="R270">
        <f>VLOOKUP($C270,'2000 Place'!$C$2:$Y$523,19,FALSE)</f>
        <v>29</v>
      </c>
      <c r="S270">
        <f>VLOOKUP($C270,'2000 Place'!$C$2:$Y$523,20,FALSE)</f>
        <v>479</v>
      </c>
      <c r="T270">
        <f>VLOOKUP($C270,'2000 Place'!$C$2:$Y$523,21,FALSE)</f>
        <v>208</v>
      </c>
      <c r="U270">
        <f>VLOOKUP($C270,'2000 Place'!$C$2:$Y$523,22,FALSE)</f>
        <v>1116</v>
      </c>
      <c r="V270">
        <f>VLOOKUP($C270,'2000 Place'!$C$2:$Y$523,23,FALSE)</f>
        <v>370</v>
      </c>
    </row>
    <row r="271" spans="1:22" x14ac:dyDescent="0.25">
      <c r="A271" t="s">
        <v>786</v>
      </c>
      <c r="B271">
        <v>5336045</v>
      </c>
      <c r="C271" t="s">
        <v>787</v>
      </c>
      <c r="D271">
        <f>VLOOKUP($C271,'2000 Place'!$C$2:$Y$523,5,FALSE)</f>
        <v>1130</v>
      </c>
      <c r="E271">
        <f>VLOOKUP($C271,'2000 Place'!$C$2:$Y$523,6,FALSE)</f>
        <v>962</v>
      </c>
      <c r="F271">
        <f>VLOOKUP($C271,'2000 Place'!$C$2:$Y$523,7,FALSE)</f>
        <v>168</v>
      </c>
      <c r="G271">
        <f>VLOOKUP($C271,'2000 Place'!$C$2:$Y$523,8,FALSE)</f>
        <v>867</v>
      </c>
      <c r="H271">
        <f>VLOOKUP($C271,'2000 Place'!$C$2:$Y$523,9,FALSE)</f>
        <v>11</v>
      </c>
      <c r="I271">
        <f>VLOOKUP($C271,'2000 Place'!$C$2:$Y$523,10,FALSE)</f>
        <v>34</v>
      </c>
      <c r="J271">
        <f>VLOOKUP($C271,'2000 Place'!$C$2:$Y$523,11,FALSE)</f>
        <v>82</v>
      </c>
      <c r="K271">
        <f>VLOOKUP($C271,'2000 Place'!$C$2:$Y$523,12,FALSE)</f>
        <v>0</v>
      </c>
      <c r="L271">
        <f>VLOOKUP($C271,'2000 Place'!$C$2:$Y$523,13,FALSE)</f>
        <v>0</v>
      </c>
      <c r="M271">
        <f>VLOOKUP($C271,'2000 Place'!$C$2:$Y$523,14,FALSE)</f>
        <v>14</v>
      </c>
      <c r="N271">
        <f>VLOOKUP($C271,'2000 Place'!$C$2:$Y$523,15,FALSE)</f>
        <v>0</v>
      </c>
      <c r="O271">
        <f>VLOOKUP($C271,'2000 Place'!$C$2:$Y$523,16,FALSE)</f>
        <v>0</v>
      </c>
      <c r="P271">
        <f>VLOOKUP($C271,'2000 Place'!$C$2:$Y$523,17,FALSE)</f>
        <v>3</v>
      </c>
      <c r="Q271">
        <f>VLOOKUP($C271,'2000 Place'!$C$2:$Y$523,18,FALSE)</f>
        <v>0</v>
      </c>
      <c r="R271">
        <f>VLOOKUP($C271,'2000 Place'!$C$2:$Y$523,19,FALSE)</f>
        <v>0</v>
      </c>
      <c r="S271">
        <f>VLOOKUP($C271,'2000 Place'!$C$2:$Y$523,20,FALSE)</f>
        <v>38</v>
      </c>
      <c r="T271">
        <f>VLOOKUP($C271,'2000 Place'!$C$2:$Y$523,21,FALSE)</f>
        <v>72</v>
      </c>
      <c r="U271">
        <f>VLOOKUP($C271,'2000 Place'!$C$2:$Y$523,22,FALSE)</f>
        <v>9</v>
      </c>
      <c r="V271">
        <f>VLOOKUP($C271,'2000 Place'!$C$2:$Y$523,23,FALSE)</f>
        <v>0</v>
      </c>
    </row>
    <row r="272" spans="1:22" x14ac:dyDescent="0.25">
      <c r="A272" t="s">
        <v>788</v>
      </c>
      <c r="B272">
        <v>5336115</v>
      </c>
      <c r="C272" t="s">
        <v>789</v>
      </c>
      <c r="D272">
        <f>VLOOKUP($C272,'2000 Place'!$C$2:$Y$523,5,FALSE)</f>
        <v>418</v>
      </c>
      <c r="E272">
        <f>VLOOKUP($C272,'2000 Place'!$C$2:$Y$523,6,FALSE)</f>
        <v>391</v>
      </c>
      <c r="F272">
        <f>VLOOKUP($C272,'2000 Place'!$C$2:$Y$523,7,FALSE)</f>
        <v>27</v>
      </c>
      <c r="G272">
        <f>VLOOKUP($C272,'2000 Place'!$C$2:$Y$523,8,FALSE)</f>
        <v>324</v>
      </c>
      <c r="H272">
        <f>VLOOKUP($C272,'2000 Place'!$C$2:$Y$523,9,FALSE)</f>
        <v>1</v>
      </c>
      <c r="I272">
        <f>VLOOKUP($C272,'2000 Place'!$C$2:$Y$523,10,FALSE)</f>
        <v>27</v>
      </c>
      <c r="J272">
        <f>VLOOKUP($C272,'2000 Place'!$C$2:$Y$523,11,FALSE)</f>
        <v>5</v>
      </c>
      <c r="K272">
        <f>VLOOKUP($C272,'2000 Place'!$C$2:$Y$523,12,FALSE)</f>
        <v>7</v>
      </c>
      <c r="L272">
        <f>VLOOKUP($C272,'2000 Place'!$C$2:$Y$523,13,FALSE)</f>
        <v>5</v>
      </c>
      <c r="M272">
        <f>VLOOKUP($C272,'2000 Place'!$C$2:$Y$523,14,FALSE)</f>
        <v>23</v>
      </c>
      <c r="N272">
        <f>VLOOKUP($C272,'2000 Place'!$C$2:$Y$523,15,FALSE)</f>
        <v>0</v>
      </c>
      <c r="O272">
        <f>VLOOKUP($C272,'2000 Place'!$C$2:$Y$523,16,FALSE)</f>
        <v>0</v>
      </c>
      <c r="P272">
        <f>VLOOKUP($C272,'2000 Place'!$C$2:$Y$523,17,FALSE)</f>
        <v>0</v>
      </c>
      <c r="Q272">
        <f>VLOOKUP($C272,'2000 Place'!$C$2:$Y$523,18,FALSE)</f>
        <v>0</v>
      </c>
      <c r="R272">
        <f>VLOOKUP($C272,'2000 Place'!$C$2:$Y$523,19,FALSE)</f>
        <v>0</v>
      </c>
      <c r="S272">
        <f>VLOOKUP($C272,'2000 Place'!$C$2:$Y$523,20,FALSE)</f>
        <v>4</v>
      </c>
      <c r="T272">
        <f>VLOOKUP($C272,'2000 Place'!$C$2:$Y$523,21,FALSE)</f>
        <v>14</v>
      </c>
      <c r="U272">
        <f>VLOOKUP($C272,'2000 Place'!$C$2:$Y$523,22,FALSE)</f>
        <v>6</v>
      </c>
      <c r="V272">
        <f>VLOOKUP($C272,'2000 Place'!$C$2:$Y$523,23,FALSE)</f>
        <v>2</v>
      </c>
    </row>
    <row r="273" spans="1:22" x14ac:dyDescent="0.25">
      <c r="A273" t="s">
        <v>790</v>
      </c>
      <c r="B273">
        <v>5336395</v>
      </c>
      <c r="C273" t="s">
        <v>791</v>
      </c>
      <c r="D273">
        <f>VLOOKUP($C273,'2000 Place'!$C$2:$Y$523,5,FALSE)</f>
        <v>78</v>
      </c>
      <c r="E273">
        <f>VLOOKUP($C273,'2000 Place'!$C$2:$Y$523,6,FALSE)</f>
        <v>77</v>
      </c>
      <c r="F273">
        <f>VLOOKUP($C273,'2000 Place'!$C$2:$Y$523,7,FALSE)</f>
        <v>1</v>
      </c>
      <c r="G273">
        <f>VLOOKUP($C273,'2000 Place'!$C$2:$Y$523,8,FALSE)</f>
        <v>77</v>
      </c>
      <c r="H273">
        <f>VLOOKUP($C273,'2000 Place'!$C$2:$Y$523,9,FALSE)</f>
        <v>1</v>
      </c>
      <c r="I273">
        <f>VLOOKUP($C273,'2000 Place'!$C$2:$Y$523,10,FALSE)</f>
        <v>0</v>
      </c>
      <c r="J273">
        <f>VLOOKUP($C273,'2000 Place'!$C$2:$Y$523,11,FALSE)</f>
        <v>0</v>
      </c>
      <c r="K273">
        <f>VLOOKUP($C273,'2000 Place'!$C$2:$Y$523,12,FALSE)</f>
        <v>0</v>
      </c>
      <c r="L273">
        <f>VLOOKUP($C273,'2000 Place'!$C$2:$Y$523,13,FALSE)</f>
        <v>0</v>
      </c>
      <c r="M273">
        <f>VLOOKUP($C273,'2000 Place'!$C$2:$Y$523,14,FALSE)</f>
        <v>0</v>
      </c>
      <c r="N273">
        <f>VLOOKUP($C273,'2000 Place'!$C$2:$Y$523,15,FALSE)</f>
        <v>0</v>
      </c>
      <c r="O273">
        <f>VLOOKUP($C273,'2000 Place'!$C$2:$Y$523,16,FALSE)</f>
        <v>0</v>
      </c>
      <c r="P273">
        <f>VLOOKUP($C273,'2000 Place'!$C$2:$Y$523,17,FALSE)</f>
        <v>0</v>
      </c>
      <c r="Q273">
        <f>VLOOKUP($C273,'2000 Place'!$C$2:$Y$523,18,FALSE)</f>
        <v>0</v>
      </c>
      <c r="R273">
        <f>VLOOKUP($C273,'2000 Place'!$C$2:$Y$523,19,FALSE)</f>
        <v>0</v>
      </c>
      <c r="S273">
        <f>VLOOKUP($C273,'2000 Place'!$C$2:$Y$523,20,FALSE)</f>
        <v>0</v>
      </c>
      <c r="T273">
        <f>VLOOKUP($C273,'2000 Place'!$C$2:$Y$523,21,FALSE)</f>
        <v>0</v>
      </c>
      <c r="U273">
        <f>VLOOKUP($C273,'2000 Place'!$C$2:$Y$523,22,FALSE)</f>
        <v>0</v>
      </c>
      <c r="V273">
        <f>VLOOKUP($C273,'2000 Place'!$C$2:$Y$523,23,FALSE)</f>
        <v>0</v>
      </c>
    </row>
    <row r="274" spans="1:22" x14ac:dyDescent="0.25">
      <c r="A274" t="s">
        <v>792</v>
      </c>
      <c r="B274">
        <v>5336710</v>
      </c>
      <c r="C274" t="s">
        <v>793</v>
      </c>
      <c r="D274">
        <f>VLOOKUP($C274,'2000 Place'!$C$2:$Y$523,5,FALSE)</f>
        <v>1639</v>
      </c>
      <c r="E274">
        <f>VLOOKUP($C274,'2000 Place'!$C$2:$Y$523,6,FALSE)</f>
        <v>1529</v>
      </c>
      <c r="F274">
        <f>VLOOKUP($C274,'2000 Place'!$C$2:$Y$523,7,FALSE)</f>
        <v>110</v>
      </c>
      <c r="G274">
        <f>VLOOKUP($C274,'2000 Place'!$C$2:$Y$523,8,FALSE)</f>
        <v>1412</v>
      </c>
      <c r="H274">
        <f>VLOOKUP($C274,'2000 Place'!$C$2:$Y$523,9,FALSE)</f>
        <v>58</v>
      </c>
      <c r="I274">
        <f>VLOOKUP($C274,'2000 Place'!$C$2:$Y$523,10,FALSE)</f>
        <v>29</v>
      </c>
      <c r="J274">
        <f>VLOOKUP($C274,'2000 Place'!$C$2:$Y$523,11,FALSE)</f>
        <v>6</v>
      </c>
      <c r="K274">
        <f>VLOOKUP($C274,'2000 Place'!$C$2:$Y$523,12,FALSE)</f>
        <v>7</v>
      </c>
      <c r="L274">
        <f>VLOOKUP($C274,'2000 Place'!$C$2:$Y$523,13,FALSE)</f>
        <v>0</v>
      </c>
      <c r="M274">
        <f>VLOOKUP($C274,'2000 Place'!$C$2:$Y$523,14,FALSE)</f>
        <v>14</v>
      </c>
      <c r="N274">
        <f>VLOOKUP($C274,'2000 Place'!$C$2:$Y$523,15,FALSE)</f>
        <v>0</v>
      </c>
      <c r="O274">
        <f>VLOOKUP($C274,'2000 Place'!$C$2:$Y$523,16,FALSE)</f>
        <v>8</v>
      </c>
      <c r="P274">
        <f>VLOOKUP($C274,'2000 Place'!$C$2:$Y$523,17,FALSE)</f>
        <v>15</v>
      </c>
      <c r="Q274">
        <f>VLOOKUP($C274,'2000 Place'!$C$2:$Y$523,18,FALSE)</f>
        <v>0</v>
      </c>
      <c r="R274">
        <f>VLOOKUP($C274,'2000 Place'!$C$2:$Y$523,19,FALSE)</f>
        <v>0</v>
      </c>
      <c r="S274">
        <f>VLOOKUP($C274,'2000 Place'!$C$2:$Y$523,20,FALSE)</f>
        <v>12</v>
      </c>
      <c r="T274">
        <f>VLOOKUP($C274,'2000 Place'!$C$2:$Y$523,21,FALSE)</f>
        <v>18</v>
      </c>
      <c r="U274">
        <f>VLOOKUP($C274,'2000 Place'!$C$2:$Y$523,22,FALSE)</f>
        <v>47</v>
      </c>
      <c r="V274">
        <f>VLOOKUP($C274,'2000 Place'!$C$2:$Y$523,23,FALSE)</f>
        <v>13</v>
      </c>
    </row>
    <row r="275" spans="1:22" x14ac:dyDescent="0.25">
      <c r="A275" t="s">
        <v>794</v>
      </c>
      <c r="B275">
        <v>5336745</v>
      </c>
      <c r="C275" t="s">
        <v>795</v>
      </c>
      <c r="D275">
        <f>VLOOKUP($C275,'2000 Place'!$C$2:$Y$523,5,FALSE)</f>
        <v>31107</v>
      </c>
      <c r="E275">
        <f>VLOOKUP($C275,'2000 Place'!$C$2:$Y$523,6,FALSE)</f>
        <v>27157</v>
      </c>
      <c r="F275">
        <f>VLOOKUP($C275,'2000 Place'!$C$2:$Y$523,7,FALSE)</f>
        <v>3950</v>
      </c>
      <c r="G275">
        <f>VLOOKUP($C275,'2000 Place'!$C$2:$Y$523,8,FALSE)</f>
        <v>22443</v>
      </c>
      <c r="H275">
        <f>VLOOKUP($C275,'2000 Place'!$C$2:$Y$523,9,FALSE)</f>
        <v>1199</v>
      </c>
      <c r="I275">
        <f>VLOOKUP($C275,'2000 Place'!$C$2:$Y$523,10,FALSE)</f>
        <v>551</v>
      </c>
      <c r="J275">
        <f>VLOOKUP($C275,'2000 Place'!$C$2:$Y$523,11,FALSE)</f>
        <v>242</v>
      </c>
      <c r="K275">
        <f>VLOOKUP($C275,'2000 Place'!$C$2:$Y$523,12,FALSE)</f>
        <v>1196</v>
      </c>
      <c r="L275">
        <f>VLOOKUP($C275,'2000 Place'!$C$2:$Y$523,13,FALSE)</f>
        <v>101</v>
      </c>
      <c r="M275">
        <f>VLOOKUP($C275,'2000 Place'!$C$2:$Y$523,14,FALSE)</f>
        <v>496</v>
      </c>
      <c r="N275">
        <f>VLOOKUP($C275,'2000 Place'!$C$2:$Y$523,15,FALSE)</f>
        <v>14</v>
      </c>
      <c r="O275">
        <f>VLOOKUP($C275,'2000 Place'!$C$2:$Y$523,16,FALSE)</f>
        <v>714</v>
      </c>
      <c r="P275">
        <f>VLOOKUP($C275,'2000 Place'!$C$2:$Y$523,17,FALSE)</f>
        <v>1803</v>
      </c>
      <c r="Q275">
        <f>VLOOKUP($C275,'2000 Place'!$C$2:$Y$523,18,FALSE)</f>
        <v>201</v>
      </c>
      <c r="R275">
        <f>VLOOKUP($C275,'2000 Place'!$C$2:$Y$523,19,FALSE)</f>
        <v>148</v>
      </c>
      <c r="S275">
        <f>VLOOKUP($C275,'2000 Place'!$C$2:$Y$523,20,FALSE)</f>
        <v>414</v>
      </c>
      <c r="T275">
        <f>VLOOKUP($C275,'2000 Place'!$C$2:$Y$523,21,FALSE)</f>
        <v>253</v>
      </c>
      <c r="U275">
        <f>VLOOKUP($C275,'2000 Place'!$C$2:$Y$523,22,FALSE)</f>
        <v>1142</v>
      </c>
      <c r="V275">
        <f>VLOOKUP($C275,'2000 Place'!$C$2:$Y$523,23,FALSE)</f>
        <v>190</v>
      </c>
    </row>
    <row r="276" spans="1:22" x14ac:dyDescent="0.25">
      <c r="A276" t="s">
        <v>796</v>
      </c>
      <c r="B276">
        <v>5336780</v>
      </c>
      <c r="C276" t="s">
        <v>797</v>
      </c>
      <c r="D276">
        <f>VLOOKUP($C276,'2000 Place'!$C$2:$Y$523,5,FALSE)</f>
        <v>782</v>
      </c>
      <c r="E276">
        <f>VLOOKUP($C276,'2000 Place'!$C$2:$Y$523,6,FALSE)</f>
        <v>726</v>
      </c>
      <c r="F276">
        <f>VLOOKUP($C276,'2000 Place'!$C$2:$Y$523,7,FALSE)</f>
        <v>56</v>
      </c>
      <c r="G276">
        <f>VLOOKUP($C276,'2000 Place'!$C$2:$Y$523,8,FALSE)</f>
        <v>641</v>
      </c>
      <c r="H276">
        <f>VLOOKUP($C276,'2000 Place'!$C$2:$Y$523,9,FALSE)</f>
        <v>47</v>
      </c>
      <c r="I276">
        <f>VLOOKUP($C276,'2000 Place'!$C$2:$Y$523,10,FALSE)</f>
        <v>12</v>
      </c>
      <c r="J276">
        <f>VLOOKUP($C276,'2000 Place'!$C$2:$Y$523,11,FALSE)</f>
        <v>0</v>
      </c>
      <c r="K276">
        <f>VLOOKUP($C276,'2000 Place'!$C$2:$Y$523,12,FALSE)</f>
        <v>25</v>
      </c>
      <c r="L276">
        <f>VLOOKUP($C276,'2000 Place'!$C$2:$Y$523,13,FALSE)</f>
        <v>0</v>
      </c>
      <c r="M276">
        <f>VLOOKUP($C276,'2000 Place'!$C$2:$Y$523,14,FALSE)</f>
        <v>12</v>
      </c>
      <c r="N276">
        <f>VLOOKUP($C276,'2000 Place'!$C$2:$Y$523,15,FALSE)</f>
        <v>3</v>
      </c>
      <c r="O276">
        <f>VLOOKUP($C276,'2000 Place'!$C$2:$Y$523,16,FALSE)</f>
        <v>0</v>
      </c>
      <c r="P276">
        <f>VLOOKUP($C276,'2000 Place'!$C$2:$Y$523,17,FALSE)</f>
        <v>2</v>
      </c>
      <c r="Q276">
        <f>VLOOKUP($C276,'2000 Place'!$C$2:$Y$523,18,FALSE)</f>
        <v>0</v>
      </c>
      <c r="R276">
        <f>VLOOKUP($C276,'2000 Place'!$C$2:$Y$523,19,FALSE)</f>
        <v>0</v>
      </c>
      <c r="S276">
        <f>VLOOKUP($C276,'2000 Place'!$C$2:$Y$523,20,FALSE)</f>
        <v>1</v>
      </c>
      <c r="T276">
        <f>VLOOKUP($C276,'2000 Place'!$C$2:$Y$523,21,FALSE)</f>
        <v>2</v>
      </c>
      <c r="U276">
        <f>VLOOKUP($C276,'2000 Place'!$C$2:$Y$523,22,FALSE)</f>
        <v>35</v>
      </c>
      <c r="V276">
        <f>VLOOKUP($C276,'2000 Place'!$C$2:$Y$523,23,FALSE)</f>
        <v>2</v>
      </c>
    </row>
    <row r="277" spans="1:22" x14ac:dyDescent="0.25">
      <c r="A277" t="s">
        <v>798</v>
      </c>
      <c r="B277">
        <v>5336850</v>
      </c>
      <c r="C277" t="s">
        <v>799</v>
      </c>
      <c r="D277" t="e">
        <f>VLOOKUP($C277,'2000 Place'!$C$2:$Y$523,5,FALSE)</f>
        <v>#N/A</v>
      </c>
      <c r="E277" t="e">
        <f>VLOOKUP($C277,'2000 Place'!$C$2:$Y$523,6,FALSE)</f>
        <v>#N/A</v>
      </c>
      <c r="F277" t="e">
        <f>VLOOKUP($C277,'2000 Place'!$C$2:$Y$523,7,FALSE)</f>
        <v>#N/A</v>
      </c>
      <c r="G277" t="e">
        <f>VLOOKUP($C277,'2000 Place'!$C$2:$Y$523,8,FALSE)</f>
        <v>#N/A</v>
      </c>
      <c r="H277" t="e">
        <f>VLOOKUP($C277,'2000 Place'!$C$2:$Y$523,9,FALSE)</f>
        <v>#N/A</v>
      </c>
      <c r="I277" t="e">
        <f>VLOOKUP($C277,'2000 Place'!$C$2:$Y$523,10,FALSE)</f>
        <v>#N/A</v>
      </c>
      <c r="J277" t="e">
        <f>VLOOKUP($C277,'2000 Place'!$C$2:$Y$523,11,FALSE)</f>
        <v>#N/A</v>
      </c>
      <c r="K277" t="e">
        <f>VLOOKUP($C277,'2000 Place'!$C$2:$Y$523,12,FALSE)</f>
        <v>#N/A</v>
      </c>
      <c r="L277" t="e">
        <f>VLOOKUP($C277,'2000 Place'!$C$2:$Y$523,13,FALSE)</f>
        <v>#N/A</v>
      </c>
      <c r="M277" t="e">
        <f>VLOOKUP($C277,'2000 Place'!$C$2:$Y$523,14,FALSE)</f>
        <v>#N/A</v>
      </c>
      <c r="N277" t="e">
        <f>VLOOKUP($C277,'2000 Place'!$C$2:$Y$523,15,FALSE)</f>
        <v>#N/A</v>
      </c>
      <c r="O277" t="e">
        <f>VLOOKUP($C277,'2000 Place'!$C$2:$Y$523,16,FALSE)</f>
        <v>#N/A</v>
      </c>
      <c r="P277" t="e">
        <f>VLOOKUP($C277,'2000 Place'!$C$2:$Y$523,17,FALSE)</f>
        <v>#N/A</v>
      </c>
      <c r="Q277" t="e">
        <f>VLOOKUP($C277,'2000 Place'!$C$2:$Y$523,18,FALSE)</f>
        <v>#N/A</v>
      </c>
      <c r="R277" t="e">
        <f>VLOOKUP($C277,'2000 Place'!$C$2:$Y$523,19,FALSE)</f>
        <v>#N/A</v>
      </c>
      <c r="S277" t="e">
        <f>VLOOKUP($C277,'2000 Place'!$C$2:$Y$523,20,FALSE)</f>
        <v>#N/A</v>
      </c>
      <c r="T277" t="e">
        <f>VLOOKUP($C277,'2000 Place'!$C$2:$Y$523,21,FALSE)</f>
        <v>#N/A</v>
      </c>
      <c r="U277" t="e">
        <f>VLOOKUP($C277,'2000 Place'!$C$2:$Y$523,22,FALSE)</f>
        <v>#N/A</v>
      </c>
      <c r="V277" t="e">
        <f>VLOOKUP($C277,'2000 Place'!$C$2:$Y$523,23,FALSE)</f>
        <v>#N/A</v>
      </c>
    </row>
    <row r="278" spans="1:22" x14ac:dyDescent="0.25">
      <c r="A278" t="s">
        <v>800</v>
      </c>
      <c r="B278">
        <v>5336920</v>
      </c>
      <c r="C278" t="s">
        <v>801</v>
      </c>
      <c r="D278" t="e">
        <f>VLOOKUP($C278,'2000 Place'!$C$2:$Y$523,5,FALSE)</f>
        <v>#N/A</v>
      </c>
      <c r="E278" t="e">
        <f>VLOOKUP($C278,'2000 Place'!$C$2:$Y$523,6,FALSE)</f>
        <v>#N/A</v>
      </c>
      <c r="F278" t="e">
        <f>VLOOKUP($C278,'2000 Place'!$C$2:$Y$523,7,FALSE)</f>
        <v>#N/A</v>
      </c>
      <c r="G278" t="e">
        <f>VLOOKUP($C278,'2000 Place'!$C$2:$Y$523,8,FALSE)</f>
        <v>#N/A</v>
      </c>
      <c r="H278" t="e">
        <f>VLOOKUP($C278,'2000 Place'!$C$2:$Y$523,9,FALSE)</f>
        <v>#N/A</v>
      </c>
      <c r="I278" t="e">
        <f>VLOOKUP($C278,'2000 Place'!$C$2:$Y$523,10,FALSE)</f>
        <v>#N/A</v>
      </c>
      <c r="J278" t="e">
        <f>VLOOKUP($C278,'2000 Place'!$C$2:$Y$523,11,FALSE)</f>
        <v>#N/A</v>
      </c>
      <c r="K278" t="e">
        <f>VLOOKUP($C278,'2000 Place'!$C$2:$Y$523,12,FALSE)</f>
        <v>#N/A</v>
      </c>
      <c r="L278" t="e">
        <f>VLOOKUP($C278,'2000 Place'!$C$2:$Y$523,13,FALSE)</f>
        <v>#N/A</v>
      </c>
      <c r="M278" t="e">
        <f>VLOOKUP($C278,'2000 Place'!$C$2:$Y$523,14,FALSE)</f>
        <v>#N/A</v>
      </c>
      <c r="N278" t="e">
        <f>VLOOKUP($C278,'2000 Place'!$C$2:$Y$523,15,FALSE)</f>
        <v>#N/A</v>
      </c>
      <c r="O278" t="e">
        <f>VLOOKUP($C278,'2000 Place'!$C$2:$Y$523,16,FALSE)</f>
        <v>#N/A</v>
      </c>
      <c r="P278" t="e">
        <f>VLOOKUP($C278,'2000 Place'!$C$2:$Y$523,17,FALSE)</f>
        <v>#N/A</v>
      </c>
      <c r="Q278" t="e">
        <f>VLOOKUP($C278,'2000 Place'!$C$2:$Y$523,18,FALSE)</f>
        <v>#N/A</v>
      </c>
      <c r="R278" t="e">
        <f>VLOOKUP($C278,'2000 Place'!$C$2:$Y$523,19,FALSE)</f>
        <v>#N/A</v>
      </c>
      <c r="S278" t="e">
        <f>VLOOKUP($C278,'2000 Place'!$C$2:$Y$523,20,FALSE)</f>
        <v>#N/A</v>
      </c>
      <c r="T278" t="e">
        <f>VLOOKUP($C278,'2000 Place'!$C$2:$Y$523,21,FALSE)</f>
        <v>#N/A</v>
      </c>
      <c r="U278" t="e">
        <f>VLOOKUP($C278,'2000 Place'!$C$2:$Y$523,22,FALSE)</f>
        <v>#N/A</v>
      </c>
      <c r="V278" t="e">
        <f>VLOOKUP($C278,'2000 Place'!$C$2:$Y$523,23,FALSE)</f>
        <v>#N/A</v>
      </c>
    </row>
    <row r="279" spans="1:22" x14ac:dyDescent="0.25">
      <c r="A279" t="s">
        <v>802</v>
      </c>
      <c r="B279">
        <v>5337077</v>
      </c>
      <c r="C279" t="s">
        <v>803</v>
      </c>
      <c r="D279">
        <f>VLOOKUP($C279,'2000 Place'!$C$2:$Y$523,5,FALSE)</f>
        <v>162</v>
      </c>
      <c r="E279">
        <f>VLOOKUP($C279,'2000 Place'!$C$2:$Y$523,6,FALSE)</f>
        <v>162</v>
      </c>
      <c r="F279">
        <f>VLOOKUP($C279,'2000 Place'!$C$2:$Y$523,7,FALSE)</f>
        <v>0</v>
      </c>
      <c r="G279">
        <f>VLOOKUP($C279,'2000 Place'!$C$2:$Y$523,8,FALSE)</f>
        <v>157</v>
      </c>
      <c r="H279">
        <f>VLOOKUP($C279,'2000 Place'!$C$2:$Y$523,9,FALSE)</f>
        <v>0</v>
      </c>
      <c r="I279">
        <f>VLOOKUP($C279,'2000 Place'!$C$2:$Y$523,10,FALSE)</f>
        <v>0</v>
      </c>
      <c r="J279">
        <f>VLOOKUP($C279,'2000 Place'!$C$2:$Y$523,11,FALSE)</f>
        <v>0</v>
      </c>
      <c r="K279">
        <f>VLOOKUP($C279,'2000 Place'!$C$2:$Y$523,12,FALSE)</f>
        <v>5</v>
      </c>
      <c r="L279">
        <f>VLOOKUP($C279,'2000 Place'!$C$2:$Y$523,13,FALSE)</f>
        <v>0</v>
      </c>
      <c r="M279">
        <f>VLOOKUP($C279,'2000 Place'!$C$2:$Y$523,14,FALSE)</f>
        <v>0</v>
      </c>
      <c r="N279">
        <f>VLOOKUP($C279,'2000 Place'!$C$2:$Y$523,15,FALSE)</f>
        <v>0</v>
      </c>
      <c r="O279">
        <f>VLOOKUP($C279,'2000 Place'!$C$2:$Y$523,16,FALSE)</f>
        <v>0</v>
      </c>
      <c r="P279">
        <f>VLOOKUP($C279,'2000 Place'!$C$2:$Y$523,17,FALSE)</f>
        <v>0</v>
      </c>
      <c r="Q279">
        <f>VLOOKUP($C279,'2000 Place'!$C$2:$Y$523,18,FALSE)</f>
        <v>0</v>
      </c>
      <c r="R279">
        <f>VLOOKUP($C279,'2000 Place'!$C$2:$Y$523,19,FALSE)</f>
        <v>0</v>
      </c>
      <c r="S279">
        <f>VLOOKUP($C279,'2000 Place'!$C$2:$Y$523,20,FALSE)</f>
        <v>0</v>
      </c>
      <c r="T279">
        <f>VLOOKUP($C279,'2000 Place'!$C$2:$Y$523,21,FALSE)</f>
        <v>0</v>
      </c>
      <c r="U279">
        <f>VLOOKUP($C279,'2000 Place'!$C$2:$Y$523,22,FALSE)</f>
        <v>0</v>
      </c>
      <c r="V279">
        <f>VLOOKUP($C279,'2000 Place'!$C$2:$Y$523,23,FALSE)</f>
        <v>0</v>
      </c>
    </row>
    <row r="280" spans="1:22" x14ac:dyDescent="0.25">
      <c r="A280" t="s">
        <v>804</v>
      </c>
      <c r="B280">
        <v>5337100</v>
      </c>
      <c r="C280" t="s">
        <v>805</v>
      </c>
      <c r="D280" t="e">
        <f>VLOOKUP($C280,'2000 Place'!$C$2:$Y$523,5,FALSE)</f>
        <v>#N/A</v>
      </c>
      <c r="E280" t="e">
        <f>VLOOKUP($C280,'2000 Place'!$C$2:$Y$523,6,FALSE)</f>
        <v>#N/A</v>
      </c>
      <c r="F280" t="e">
        <f>VLOOKUP($C280,'2000 Place'!$C$2:$Y$523,7,FALSE)</f>
        <v>#N/A</v>
      </c>
      <c r="G280" t="e">
        <f>VLOOKUP($C280,'2000 Place'!$C$2:$Y$523,8,FALSE)</f>
        <v>#N/A</v>
      </c>
      <c r="H280" t="e">
        <f>VLOOKUP($C280,'2000 Place'!$C$2:$Y$523,9,FALSE)</f>
        <v>#N/A</v>
      </c>
      <c r="I280" t="e">
        <f>VLOOKUP($C280,'2000 Place'!$C$2:$Y$523,10,FALSE)</f>
        <v>#N/A</v>
      </c>
      <c r="J280" t="e">
        <f>VLOOKUP($C280,'2000 Place'!$C$2:$Y$523,11,FALSE)</f>
        <v>#N/A</v>
      </c>
      <c r="K280" t="e">
        <f>VLOOKUP($C280,'2000 Place'!$C$2:$Y$523,12,FALSE)</f>
        <v>#N/A</v>
      </c>
      <c r="L280" t="e">
        <f>VLOOKUP($C280,'2000 Place'!$C$2:$Y$523,13,FALSE)</f>
        <v>#N/A</v>
      </c>
      <c r="M280" t="e">
        <f>VLOOKUP($C280,'2000 Place'!$C$2:$Y$523,14,FALSE)</f>
        <v>#N/A</v>
      </c>
      <c r="N280" t="e">
        <f>VLOOKUP($C280,'2000 Place'!$C$2:$Y$523,15,FALSE)</f>
        <v>#N/A</v>
      </c>
      <c r="O280" t="e">
        <f>VLOOKUP($C280,'2000 Place'!$C$2:$Y$523,16,FALSE)</f>
        <v>#N/A</v>
      </c>
      <c r="P280" t="e">
        <f>VLOOKUP($C280,'2000 Place'!$C$2:$Y$523,17,FALSE)</f>
        <v>#N/A</v>
      </c>
      <c r="Q280" t="e">
        <f>VLOOKUP($C280,'2000 Place'!$C$2:$Y$523,18,FALSE)</f>
        <v>#N/A</v>
      </c>
      <c r="R280" t="e">
        <f>VLOOKUP($C280,'2000 Place'!$C$2:$Y$523,19,FALSE)</f>
        <v>#N/A</v>
      </c>
      <c r="S280" t="e">
        <f>VLOOKUP($C280,'2000 Place'!$C$2:$Y$523,20,FALSE)</f>
        <v>#N/A</v>
      </c>
      <c r="T280" t="e">
        <f>VLOOKUP($C280,'2000 Place'!$C$2:$Y$523,21,FALSE)</f>
        <v>#N/A</v>
      </c>
      <c r="U280" t="e">
        <f>VLOOKUP($C280,'2000 Place'!$C$2:$Y$523,22,FALSE)</f>
        <v>#N/A</v>
      </c>
      <c r="V280" t="e">
        <f>VLOOKUP($C280,'2000 Place'!$C$2:$Y$523,23,FALSE)</f>
        <v>#N/A</v>
      </c>
    </row>
    <row r="281" spans="1:22" x14ac:dyDescent="0.25">
      <c r="A281" t="s">
        <v>806</v>
      </c>
      <c r="B281">
        <v>5337105</v>
      </c>
      <c r="C281" t="s">
        <v>807</v>
      </c>
      <c r="D281">
        <f>VLOOKUP($C281,'2000 Place'!$C$2:$Y$523,5,FALSE)</f>
        <v>97</v>
      </c>
      <c r="E281">
        <f>VLOOKUP($C281,'2000 Place'!$C$2:$Y$523,6,FALSE)</f>
        <v>97</v>
      </c>
      <c r="F281">
        <f>VLOOKUP($C281,'2000 Place'!$C$2:$Y$523,7,FALSE)</f>
        <v>0</v>
      </c>
      <c r="G281">
        <f>VLOOKUP($C281,'2000 Place'!$C$2:$Y$523,8,FALSE)</f>
        <v>97</v>
      </c>
      <c r="H281">
        <f>VLOOKUP($C281,'2000 Place'!$C$2:$Y$523,9,FALSE)</f>
        <v>0</v>
      </c>
      <c r="I281">
        <f>VLOOKUP($C281,'2000 Place'!$C$2:$Y$523,10,FALSE)</f>
        <v>0</v>
      </c>
      <c r="J281">
        <f>VLOOKUP($C281,'2000 Place'!$C$2:$Y$523,11,FALSE)</f>
        <v>0</v>
      </c>
      <c r="K281">
        <f>VLOOKUP($C281,'2000 Place'!$C$2:$Y$523,12,FALSE)</f>
        <v>0</v>
      </c>
      <c r="L281">
        <f>VLOOKUP($C281,'2000 Place'!$C$2:$Y$523,13,FALSE)</f>
        <v>0</v>
      </c>
      <c r="M281">
        <f>VLOOKUP($C281,'2000 Place'!$C$2:$Y$523,14,FALSE)</f>
        <v>0</v>
      </c>
      <c r="N281">
        <f>VLOOKUP($C281,'2000 Place'!$C$2:$Y$523,15,FALSE)</f>
        <v>0</v>
      </c>
      <c r="O281">
        <f>VLOOKUP($C281,'2000 Place'!$C$2:$Y$523,16,FALSE)</f>
        <v>0</v>
      </c>
      <c r="P281">
        <f>VLOOKUP($C281,'2000 Place'!$C$2:$Y$523,17,FALSE)</f>
        <v>0</v>
      </c>
      <c r="Q281">
        <f>VLOOKUP($C281,'2000 Place'!$C$2:$Y$523,18,FALSE)</f>
        <v>0</v>
      </c>
      <c r="R281">
        <f>VLOOKUP($C281,'2000 Place'!$C$2:$Y$523,19,FALSE)</f>
        <v>0</v>
      </c>
      <c r="S281">
        <f>VLOOKUP($C281,'2000 Place'!$C$2:$Y$523,20,FALSE)</f>
        <v>0</v>
      </c>
      <c r="T281">
        <f>VLOOKUP($C281,'2000 Place'!$C$2:$Y$523,21,FALSE)</f>
        <v>0</v>
      </c>
      <c r="U281">
        <f>VLOOKUP($C281,'2000 Place'!$C$2:$Y$523,22,FALSE)</f>
        <v>0</v>
      </c>
      <c r="V281">
        <f>VLOOKUP($C281,'2000 Place'!$C$2:$Y$523,23,FALSE)</f>
        <v>0</v>
      </c>
    </row>
    <row r="282" spans="1:22" x14ac:dyDescent="0.25">
      <c r="A282" t="s">
        <v>808</v>
      </c>
      <c r="B282">
        <v>5337270</v>
      </c>
      <c r="C282" t="s">
        <v>809</v>
      </c>
      <c r="D282">
        <f>VLOOKUP($C282,'2000 Place'!$C$2:$Y$523,5,FALSE)</f>
        <v>13443</v>
      </c>
      <c r="E282">
        <f>VLOOKUP($C282,'2000 Place'!$C$2:$Y$523,6,FALSE)</f>
        <v>11593</v>
      </c>
      <c r="F282">
        <f>VLOOKUP($C282,'2000 Place'!$C$2:$Y$523,7,FALSE)</f>
        <v>1850</v>
      </c>
      <c r="G282">
        <f>VLOOKUP($C282,'2000 Place'!$C$2:$Y$523,8,FALSE)</f>
        <v>10447</v>
      </c>
      <c r="H282">
        <f>VLOOKUP($C282,'2000 Place'!$C$2:$Y$523,9,FALSE)</f>
        <v>773</v>
      </c>
      <c r="I282">
        <f>VLOOKUP($C282,'2000 Place'!$C$2:$Y$523,10,FALSE)</f>
        <v>32</v>
      </c>
      <c r="J282">
        <f>VLOOKUP($C282,'2000 Place'!$C$2:$Y$523,11,FALSE)</f>
        <v>0</v>
      </c>
      <c r="K282">
        <f>VLOOKUP($C282,'2000 Place'!$C$2:$Y$523,12,FALSE)</f>
        <v>133</v>
      </c>
      <c r="L282">
        <f>VLOOKUP($C282,'2000 Place'!$C$2:$Y$523,13,FALSE)</f>
        <v>67</v>
      </c>
      <c r="M282">
        <f>VLOOKUP($C282,'2000 Place'!$C$2:$Y$523,14,FALSE)</f>
        <v>52</v>
      </c>
      <c r="N282">
        <f>VLOOKUP($C282,'2000 Place'!$C$2:$Y$523,15,FALSE)</f>
        <v>3</v>
      </c>
      <c r="O282">
        <f>VLOOKUP($C282,'2000 Place'!$C$2:$Y$523,16,FALSE)</f>
        <v>343</v>
      </c>
      <c r="P282">
        <f>VLOOKUP($C282,'2000 Place'!$C$2:$Y$523,17,FALSE)</f>
        <v>814</v>
      </c>
      <c r="Q282">
        <f>VLOOKUP($C282,'2000 Place'!$C$2:$Y$523,18,FALSE)</f>
        <v>42</v>
      </c>
      <c r="R282">
        <f>VLOOKUP($C282,'2000 Place'!$C$2:$Y$523,19,FALSE)</f>
        <v>26</v>
      </c>
      <c r="S282">
        <f>VLOOKUP($C282,'2000 Place'!$C$2:$Y$523,20,FALSE)</f>
        <v>118</v>
      </c>
      <c r="T282">
        <f>VLOOKUP($C282,'2000 Place'!$C$2:$Y$523,21,FALSE)</f>
        <v>77</v>
      </c>
      <c r="U282">
        <f>VLOOKUP($C282,'2000 Place'!$C$2:$Y$523,22,FALSE)</f>
        <v>426</v>
      </c>
      <c r="V282">
        <f>VLOOKUP($C282,'2000 Place'!$C$2:$Y$523,23,FALSE)</f>
        <v>90</v>
      </c>
    </row>
    <row r="283" spans="1:22" x14ac:dyDescent="0.25">
      <c r="A283" t="s">
        <v>810</v>
      </c>
      <c r="B283">
        <v>5337287</v>
      </c>
      <c r="C283" t="s">
        <v>811</v>
      </c>
      <c r="D283">
        <f>VLOOKUP($C283,'2000 Place'!$C$2:$Y$523,5,FALSE)</f>
        <v>3175</v>
      </c>
      <c r="E283">
        <f>VLOOKUP($C283,'2000 Place'!$C$2:$Y$523,6,FALSE)</f>
        <v>3010</v>
      </c>
      <c r="F283">
        <f>VLOOKUP($C283,'2000 Place'!$C$2:$Y$523,7,FALSE)</f>
        <v>165</v>
      </c>
      <c r="G283">
        <f>VLOOKUP($C283,'2000 Place'!$C$2:$Y$523,8,FALSE)</f>
        <v>2885</v>
      </c>
      <c r="H283">
        <f>VLOOKUP($C283,'2000 Place'!$C$2:$Y$523,9,FALSE)</f>
        <v>114</v>
      </c>
      <c r="I283">
        <f>VLOOKUP($C283,'2000 Place'!$C$2:$Y$523,10,FALSE)</f>
        <v>14</v>
      </c>
      <c r="J283">
        <f>VLOOKUP($C283,'2000 Place'!$C$2:$Y$523,11,FALSE)</f>
        <v>7</v>
      </c>
      <c r="K283">
        <f>VLOOKUP($C283,'2000 Place'!$C$2:$Y$523,12,FALSE)</f>
        <v>0</v>
      </c>
      <c r="L283">
        <f>VLOOKUP($C283,'2000 Place'!$C$2:$Y$523,13,FALSE)</f>
        <v>0</v>
      </c>
      <c r="M283">
        <f>VLOOKUP($C283,'2000 Place'!$C$2:$Y$523,14,FALSE)</f>
        <v>14</v>
      </c>
      <c r="N283">
        <f>VLOOKUP($C283,'2000 Place'!$C$2:$Y$523,15,FALSE)</f>
        <v>0</v>
      </c>
      <c r="O283">
        <f>VLOOKUP($C283,'2000 Place'!$C$2:$Y$523,16,FALSE)</f>
        <v>0</v>
      </c>
      <c r="P283">
        <f>VLOOKUP($C283,'2000 Place'!$C$2:$Y$523,17,FALSE)</f>
        <v>9</v>
      </c>
      <c r="Q283">
        <f>VLOOKUP($C283,'2000 Place'!$C$2:$Y$523,18,FALSE)</f>
        <v>4</v>
      </c>
      <c r="R283">
        <f>VLOOKUP($C283,'2000 Place'!$C$2:$Y$523,19,FALSE)</f>
        <v>0</v>
      </c>
      <c r="S283">
        <f>VLOOKUP($C283,'2000 Place'!$C$2:$Y$523,20,FALSE)</f>
        <v>36</v>
      </c>
      <c r="T283">
        <f>VLOOKUP($C283,'2000 Place'!$C$2:$Y$523,21,FALSE)</f>
        <v>23</v>
      </c>
      <c r="U283">
        <f>VLOOKUP($C283,'2000 Place'!$C$2:$Y$523,22,FALSE)</f>
        <v>57</v>
      </c>
      <c r="V283">
        <f>VLOOKUP($C283,'2000 Place'!$C$2:$Y$523,23,FALSE)</f>
        <v>12</v>
      </c>
    </row>
    <row r="284" spans="1:22" x14ac:dyDescent="0.25">
      <c r="A284" t="s">
        <v>812</v>
      </c>
      <c r="B284">
        <v>5337345</v>
      </c>
      <c r="C284" t="s">
        <v>813</v>
      </c>
      <c r="D284" t="e">
        <f>VLOOKUP($C284,'2000 Place'!$C$2:$Y$523,5,FALSE)</f>
        <v>#N/A</v>
      </c>
      <c r="E284" t="e">
        <f>VLOOKUP($C284,'2000 Place'!$C$2:$Y$523,6,FALSE)</f>
        <v>#N/A</v>
      </c>
      <c r="F284" t="e">
        <f>VLOOKUP($C284,'2000 Place'!$C$2:$Y$523,7,FALSE)</f>
        <v>#N/A</v>
      </c>
      <c r="G284" t="e">
        <f>VLOOKUP($C284,'2000 Place'!$C$2:$Y$523,8,FALSE)</f>
        <v>#N/A</v>
      </c>
      <c r="H284" t="e">
        <f>VLOOKUP($C284,'2000 Place'!$C$2:$Y$523,9,FALSE)</f>
        <v>#N/A</v>
      </c>
      <c r="I284" t="e">
        <f>VLOOKUP($C284,'2000 Place'!$C$2:$Y$523,10,FALSE)</f>
        <v>#N/A</v>
      </c>
      <c r="J284" t="e">
        <f>VLOOKUP($C284,'2000 Place'!$C$2:$Y$523,11,FALSE)</f>
        <v>#N/A</v>
      </c>
      <c r="K284" t="e">
        <f>VLOOKUP($C284,'2000 Place'!$C$2:$Y$523,12,FALSE)</f>
        <v>#N/A</v>
      </c>
      <c r="L284" t="e">
        <f>VLOOKUP($C284,'2000 Place'!$C$2:$Y$523,13,FALSE)</f>
        <v>#N/A</v>
      </c>
      <c r="M284" t="e">
        <f>VLOOKUP($C284,'2000 Place'!$C$2:$Y$523,14,FALSE)</f>
        <v>#N/A</v>
      </c>
      <c r="N284" t="e">
        <f>VLOOKUP($C284,'2000 Place'!$C$2:$Y$523,15,FALSE)</f>
        <v>#N/A</v>
      </c>
      <c r="O284" t="e">
        <f>VLOOKUP($C284,'2000 Place'!$C$2:$Y$523,16,FALSE)</f>
        <v>#N/A</v>
      </c>
      <c r="P284" t="e">
        <f>VLOOKUP($C284,'2000 Place'!$C$2:$Y$523,17,FALSE)</f>
        <v>#N/A</v>
      </c>
      <c r="Q284" t="e">
        <f>VLOOKUP($C284,'2000 Place'!$C$2:$Y$523,18,FALSE)</f>
        <v>#N/A</v>
      </c>
      <c r="R284" t="e">
        <f>VLOOKUP($C284,'2000 Place'!$C$2:$Y$523,19,FALSE)</f>
        <v>#N/A</v>
      </c>
      <c r="S284" t="e">
        <f>VLOOKUP($C284,'2000 Place'!$C$2:$Y$523,20,FALSE)</f>
        <v>#N/A</v>
      </c>
      <c r="T284" t="e">
        <f>VLOOKUP($C284,'2000 Place'!$C$2:$Y$523,21,FALSE)</f>
        <v>#N/A</v>
      </c>
      <c r="U284" t="e">
        <f>VLOOKUP($C284,'2000 Place'!$C$2:$Y$523,22,FALSE)</f>
        <v>#N/A</v>
      </c>
      <c r="V284" t="e">
        <f>VLOOKUP($C284,'2000 Place'!$C$2:$Y$523,23,FALSE)</f>
        <v>#N/A</v>
      </c>
    </row>
    <row r="285" spans="1:22" x14ac:dyDescent="0.25">
      <c r="A285" t="s">
        <v>814</v>
      </c>
      <c r="B285">
        <v>5337415</v>
      </c>
      <c r="C285" t="s">
        <v>815</v>
      </c>
      <c r="D285">
        <f>VLOOKUP($C285,'2000 Place'!$C$2:$Y$523,5,FALSE)</f>
        <v>1183</v>
      </c>
      <c r="E285">
        <f>VLOOKUP($C285,'2000 Place'!$C$2:$Y$523,6,FALSE)</f>
        <v>1138</v>
      </c>
      <c r="F285">
        <f>VLOOKUP($C285,'2000 Place'!$C$2:$Y$523,7,FALSE)</f>
        <v>45</v>
      </c>
      <c r="G285">
        <f>VLOOKUP($C285,'2000 Place'!$C$2:$Y$523,8,FALSE)</f>
        <v>1138</v>
      </c>
      <c r="H285">
        <f>VLOOKUP($C285,'2000 Place'!$C$2:$Y$523,9,FALSE)</f>
        <v>45</v>
      </c>
      <c r="I285">
        <f>VLOOKUP($C285,'2000 Place'!$C$2:$Y$523,10,FALSE)</f>
        <v>0</v>
      </c>
      <c r="J285">
        <f>VLOOKUP($C285,'2000 Place'!$C$2:$Y$523,11,FALSE)</f>
        <v>0</v>
      </c>
      <c r="K285">
        <f>VLOOKUP($C285,'2000 Place'!$C$2:$Y$523,12,FALSE)</f>
        <v>0</v>
      </c>
      <c r="L285">
        <f>VLOOKUP($C285,'2000 Place'!$C$2:$Y$523,13,FALSE)</f>
        <v>0</v>
      </c>
      <c r="M285">
        <f>VLOOKUP($C285,'2000 Place'!$C$2:$Y$523,14,FALSE)</f>
        <v>0</v>
      </c>
      <c r="N285">
        <f>VLOOKUP($C285,'2000 Place'!$C$2:$Y$523,15,FALSE)</f>
        <v>0</v>
      </c>
      <c r="O285">
        <f>VLOOKUP($C285,'2000 Place'!$C$2:$Y$523,16,FALSE)</f>
        <v>0</v>
      </c>
      <c r="P285">
        <f>VLOOKUP($C285,'2000 Place'!$C$2:$Y$523,17,FALSE)</f>
        <v>0</v>
      </c>
      <c r="Q285">
        <f>VLOOKUP($C285,'2000 Place'!$C$2:$Y$523,18,FALSE)</f>
        <v>0</v>
      </c>
      <c r="R285">
        <f>VLOOKUP($C285,'2000 Place'!$C$2:$Y$523,19,FALSE)</f>
        <v>0</v>
      </c>
      <c r="S285">
        <f>VLOOKUP($C285,'2000 Place'!$C$2:$Y$523,20,FALSE)</f>
        <v>0</v>
      </c>
      <c r="T285">
        <f>VLOOKUP($C285,'2000 Place'!$C$2:$Y$523,21,FALSE)</f>
        <v>0</v>
      </c>
      <c r="U285">
        <f>VLOOKUP($C285,'2000 Place'!$C$2:$Y$523,22,FALSE)</f>
        <v>0</v>
      </c>
      <c r="V285">
        <f>VLOOKUP($C285,'2000 Place'!$C$2:$Y$523,23,FALSE)</f>
        <v>0</v>
      </c>
    </row>
    <row r="286" spans="1:22" x14ac:dyDescent="0.25">
      <c r="A286" t="s">
        <v>816</v>
      </c>
      <c r="B286">
        <v>5337420</v>
      </c>
      <c r="C286" t="s">
        <v>817</v>
      </c>
      <c r="D286">
        <f>VLOOKUP($C286,'2000 Place'!$C$2:$Y$523,5,FALSE)</f>
        <v>15146</v>
      </c>
      <c r="E286">
        <f>VLOOKUP($C286,'2000 Place'!$C$2:$Y$523,6,FALSE)</f>
        <v>13195</v>
      </c>
      <c r="F286">
        <f>VLOOKUP($C286,'2000 Place'!$C$2:$Y$523,7,FALSE)</f>
        <v>1951</v>
      </c>
      <c r="G286">
        <f>VLOOKUP($C286,'2000 Place'!$C$2:$Y$523,8,FALSE)</f>
        <v>11171</v>
      </c>
      <c r="H286">
        <f>VLOOKUP($C286,'2000 Place'!$C$2:$Y$523,9,FALSE)</f>
        <v>1023</v>
      </c>
      <c r="I286">
        <f>VLOOKUP($C286,'2000 Place'!$C$2:$Y$523,10,FALSE)</f>
        <v>245</v>
      </c>
      <c r="J286">
        <f>VLOOKUP($C286,'2000 Place'!$C$2:$Y$523,11,FALSE)</f>
        <v>44</v>
      </c>
      <c r="K286">
        <f>VLOOKUP($C286,'2000 Place'!$C$2:$Y$523,12,FALSE)</f>
        <v>560</v>
      </c>
      <c r="L286">
        <f>VLOOKUP($C286,'2000 Place'!$C$2:$Y$523,13,FALSE)</f>
        <v>35</v>
      </c>
      <c r="M286">
        <f>VLOOKUP($C286,'2000 Place'!$C$2:$Y$523,14,FALSE)</f>
        <v>136</v>
      </c>
      <c r="N286">
        <f>VLOOKUP($C286,'2000 Place'!$C$2:$Y$523,15,FALSE)</f>
        <v>0</v>
      </c>
      <c r="O286">
        <f>VLOOKUP($C286,'2000 Place'!$C$2:$Y$523,16,FALSE)</f>
        <v>318</v>
      </c>
      <c r="P286">
        <f>VLOOKUP($C286,'2000 Place'!$C$2:$Y$523,17,FALSE)</f>
        <v>623</v>
      </c>
      <c r="Q286">
        <f>VLOOKUP($C286,'2000 Place'!$C$2:$Y$523,18,FALSE)</f>
        <v>72</v>
      </c>
      <c r="R286">
        <f>VLOOKUP($C286,'2000 Place'!$C$2:$Y$523,19,FALSE)</f>
        <v>37</v>
      </c>
      <c r="S286">
        <f>VLOOKUP($C286,'2000 Place'!$C$2:$Y$523,20,FALSE)</f>
        <v>162</v>
      </c>
      <c r="T286">
        <f>VLOOKUP($C286,'2000 Place'!$C$2:$Y$523,21,FALSE)</f>
        <v>80</v>
      </c>
      <c r="U286">
        <f>VLOOKUP($C286,'2000 Place'!$C$2:$Y$523,22,FALSE)</f>
        <v>531</v>
      </c>
      <c r="V286">
        <f>VLOOKUP($C286,'2000 Place'!$C$2:$Y$523,23,FALSE)</f>
        <v>109</v>
      </c>
    </row>
    <row r="287" spans="1:22" x14ac:dyDescent="0.25">
      <c r="A287" t="s">
        <v>818</v>
      </c>
      <c r="B287">
        <v>5337430</v>
      </c>
      <c r="C287" t="s">
        <v>819</v>
      </c>
      <c r="D287">
        <f>VLOOKUP($C287,'2000 Place'!$C$2:$Y$523,5,FALSE)</f>
        <v>11499</v>
      </c>
      <c r="E287">
        <f>VLOOKUP($C287,'2000 Place'!$C$2:$Y$523,6,FALSE)</f>
        <v>10459</v>
      </c>
      <c r="F287">
        <f>VLOOKUP($C287,'2000 Place'!$C$2:$Y$523,7,FALSE)</f>
        <v>1040</v>
      </c>
      <c r="G287">
        <f>VLOOKUP($C287,'2000 Place'!$C$2:$Y$523,8,FALSE)</f>
        <v>9055</v>
      </c>
      <c r="H287">
        <f>VLOOKUP($C287,'2000 Place'!$C$2:$Y$523,9,FALSE)</f>
        <v>451</v>
      </c>
      <c r="I287">
        <f>VLOOKUP($C287,'2000 Place'!$C$2:$Y$523,10,FALSE)</f>
        <v>175</v>
      </c>
      <c r="J287">
        <f>VLOOKUP($C287,'2000 Place'!$C$2:$Y$523,11,FALSE)</f>
        <v>0</v>
      </c>
      <c r="K287">
        <f>VLOOKUP($C287,'2000 Place'!$C$2:$Y$523,12,FALSE)</f>
        <v>413</v>
      </c>
      <c r="L287">
        <f>VLOOKUP($C287,'2000 Place'!$C$2:$Y$523,13,FALSE)</f>
        <v>22</v>
      </c>
      <c r="M287">
        <f>VLOOKUP($C287,'2000 Place'!$C$2:$Y$523,14,FALSE)</f>
        <v>76</v>
      </c>
      <c r="N287">
        <f>VLOOKUP($C287,'2000 Place'!$C$2:$Y$523,15,FALSE)</f>
        <v>43</v>
      </c>
      <c r="O287">
        <f>VLOOKUP($C287,'2000 Place'!$C$2:$Y$523,16,FALSE)</f>
        <v>252</v>
      </c>
      <c r="P287">
        <f>VLOOKUP($C287,'2000 Place'!$C$2:$Y$523,17,FALSE)</f>
        <v>413</v>
      </c>
      <c r="Q287">
        <f>VLOOKUP($C287,'2000 Place'!$C$2:$Y$523,18,FALSE)</f>
        <v>38</v>
      </c>
      <c r="R287">
        <f>VLOOKUP($C287,'2000 Place'!$C$2:$Y$523,19,FALSE)</f>
        <v>27</v>
      </c>
      <c r="S287">
        <f>VLOOKUP($C287,'2000 Place'!$C$2:$Y$523,20,FALSE)</f>
        <v>120</v>
      </c>
      <c r="T287">
        <f>VLOOKUP($C287,'2000 Place'!$C$2:$Y$523,21,FALSE)</f>
        <v>18</v>
      </c>
      <c r="U287">
        <f>VLOOKUP($C287,'2000 Place'!$C$2:$Y$523,22,FALSE)</f>
        <v>330</v>
      </c>
      <c r="V287">
        <f>VLOOKUP($C287,'2000 Place'!$C$2:$Y$523,23,FALSE)</f>
        <v>66</v>
      </c>
    </row>
    <row r="288" spans="1:22" x14ac:dyDescent="0.25">
      <c r="A288" t="s">
        <v>820</v>
      </c>
      <c r="B288">
        <v>5337526</v>
      </c>
      <c r="C288" t="s">
        <v>821</v>
      </c>
      <c r="D288">
        <f>VLOOKUP($C288,'2000 Place'!$C$2:$Y$523,5,FALSE)</f>
        <v>178</v>
      </c>
      <c r="E288">
        <f>VLOOKUP($C288,'2000 Place'!$C$2:$Y$523,6,FALSE)</f>
        <v>178</v>
      </c>
      <c r="F288">
        <f>VLOOKUP($C288,'2000 Place'!$C$2:$Y$523,7,FALSE)</f>
        <v>0</v>
      </c>
      <c r="G288">
        <f>VLOOKUP($C288,'2000 Place'!$C$2:$Y$523,8,FALSE)</f>
        <v>157</v>
      </c>
      <c r="H288">
        <f>VLOOKUP($C288,'2000 Place'!$C$2:$Y$523,9,FALSE)</f>
        <v>0</v>
      </c>
      <c r="I288">
        <f>VLOOKUP($C288,'2000 Place'!$C$2:$Y$523,10,FALSE)</f>
        <v>0</v>
      </c>
      <c r="J288">
        <f>VLOOKUP($C288,'2000 Place'!$C$2:$Y$523,11,FALSE)</f>
        <v>0</v>
      </c>
      <c r="K288">
        <f>VLOOKUP($C288,'2000 Place'!$C$2:$Y$523,12,FALSE)</f>
        <v>0</v>
      </c>
      <c r="L288">
        <f>VLOOKUP($C288,'2000 Place'!$C$2:$Y$523,13,FALSE)</f>
        <v>0</v>
      </c>
      <c r="M288">
        <f>VLOOKUP($C288,'2000 Place'!$C$2:$Y$523,14,FALSE)</f>
        <v>0</v>
      </c>
      <c r="N288">
        <f>VLOOKUP($C288,'2000 Place'!$C$2:$Y$523,15,FALSE)</f>
        <v>0</v>
      </c>
      <c r="O288">
        <f>VLOOKUP($C288,'2000 Place'!$C$2:$Y$523,16,FALSE)</f>
        <v>0</v>
      </c>
      <c r="P288">
        <f>VLOOKUP($C288,'2000 Place'!$C$2:$Y$523,17,FALSE)</f>
        <v>0</v>
      </c>
      <c r="Q288">
        <f>VLOOKUP($C288,'2000 Place'!$C$2:$Y$523,18,FALSE)</f>
        <v>0</v>
      </c>
      <c r="R288">
        <f>VLOOKUP($C288,'2000 Place'!$C$2:$Y$523,19,FALSE)</f>
        <v>0</v>
      </c>
      <c r="S288">
        <f>VLOOKUP($C288,'2000 Place'!$C$2:$Y$523,20,FALSE)</f>
        <v>0</v>
      </c>
      <c r="T288">
        <f>VLOOKUP($C288,'2000 Place'!$C$2:$Y$523,21,FALSE)</f>
        <v>0</v>
      </c>
      <c r="U288">
        <f>VLOOKUP($C288,'2000 Place'!$C$2:$Y$523,22,FALSE)</f>
        <v>21</v>
      </c>
      <c r="V288">
        <f>VLOOKUP($C288,'2000 Place'!$C$2:$Y$523,23,FALSE)</f>
        <v>0</v>
      </c>
    </row>
    <row r="289" spans="1:22" x14ac:dyDescent="0.25">
      <c r="A289" t="s">
        <v>822</v>
      </c>
      <c r="B289">
        <v>5337538</v>
      </c>
      <c r="C289" t="s">
        <v>823</v>
      </c>
      <c r="D289">
        <f>VLOOKUP($C289,'2000 Place'!$C$2:$Y$523,5,FALSE)</f>
        <v>1426</v>
      </c>
      <c r="E289">
        <f>VLOOKUP($C289,'2000 Place'!$C$2:$Y$523,6,FALSE)</f>
        <v>1356</v>
      </c>
      <c r="F289">
        <f>VLOOKUP($C289,'2000 Place'!$C$2:$Y$523,7,FALSE)</f>
        <v>70</v>
      </c>
      <c r="G289">
        <f>VLOOKUP($C289,'2000 Place'!$C$2:$Y$523,8,FALSE)</f>
        <v>1297</v>
      </c>
      <c r="H289">
        <f>VLOOKUP($C289,'2000 Place'!$C$2:$Y$523,9,FALSE)</f>
        <v>45</v>
      </c>
      <c r="I289">
        <f>VLOOKUP($C289,'2000 Place'!$C$2:$Y$523,10,FALSE)</f>
        <v>17</v>
      </c>
      <c r="J289">
        <f>VLOOKUP($C289,'2000 Place'!$C$2:$Y$523,11,FALSE)</f>
        <v>0</v>
      </c>
      <c r="K289">
        <f>VLOOKUP($C289,'2000 Place'!$C$2:$Y$523,12,FALSE)</f>
        <v>0</v>
      </c>
      <c r="L289">
        <f>VLOOKUP($C289,'2000 Place'!$C$2:$Y$523,13,FALSE)</f>
        <v>0</v>
      </c>
      <c r="M289">
        <f>VLOOKUP($C289,'2000 Place'!$C$2:$Y$523,14,FALSE)</f>
        <v>0</v>
      </c>
      <c r="N289">
        <f>VLOOKUP($C289,'2000 Place'!$C$2:$Y$523,15,FALSE)</f>
        <v>0</v>
      </c>
      <c r="O289">
        <f>VLOOKUP($C289,'2000 Place'!$C$2:$Y$523,16,FALSE)</f>
        <v>35</v>
      </c>
      <c r="P289">
        <f>VLOOKUP($C289,'2000 Place'!$C$2:$Y$523,17,FALSE)</f>
        <v>25</v>
      </c>
      <c r="Q289">
        <f>VLOOKUP($C289,'2000 Place'!$C$2:$Y$523,18,FALSE)</f>
        <v>0</v>
      </c>
      <c r="R289">
        <f>VLOOKUP($C289,'2000 Place'!$C$2:$Y$523,19,FALSE)</f>
        <v>0</v>
      </c>
      <c r="S289">
        <f>VLOOKUP($C289,'2000 Place'!$C$2:$Y$523,20,FALSE)</f>
        <v>0</v>
      </c>
      <c r="T289">
        <f>VLOOKUP($C289,'2000 Place'!$C$2:$Y$523,21,FALSE)</f>
        <v>0</v>
      </c>
      <c r="U289">
        <f>VLOOKUP($C289,'2000 Place'!$C$2:$Y$523,22,FALSE)</f>
        <v>7</v>
      </c>
      <c r="V289">
        <f>VLOOKUP($C289,'2000 Place'!$C$2:$Y$523,23,FALSE)</f>
        <v>0</v>
      </c>
    </row>
    <row r="290" spans="1:22" x14ac:dyDescent="0.25">
      <c r="A290" t="s">
        <v>824</v>
      </c>
      <c r="B290">
        <v>5337567</v>
      </c>
      <c r="C290" t="s">
        <v>825</v>
      </c>
      <c r="D290">
        <f>VLOOKUP($C290,'2000 Place'!$C$2:$Y$523,5,FALSE)</f>
        <v>9736</v>
      </c>
      <c r="E290">
        <f>VLOOKUP($C290,'2000 Place'!$C$2:$Y$523,6,FALSE)</f>
        <v>9379</v>
      </c>
      <c r="F290">
        <f>VLOOKUP($C290,'2000 Place'!$C$2:$Y$523,7,FALSE)</f>
        <v>357</v>
      </c>
      <c r="G290">
        <f>VLOOKUP($C290,'2000 Place'!$C$2:$Y$523,8,FALSE)</f>
        <v>8614</v>
      </c>
      <c r="H290">
        <f>VLOOKUP($C290,'2000 Place'!$C$2:$Y$523,9,FALSE)</f>
        <v>223</v>
      </c>
      <c r="I290">
        <f>VLOOKUP($C290,'2000 Place'!$C$2:$Y$523,10,FALSE)</f>
        <v>87</v>
      </c>
      <c r="J290">
        <f>VLOOKUP($C290,'2000 Place'!$C$2:$Y$523,11,FALSE)</f>
        <v>34</v>
      </c>
      <c r="K290">
        <f>VLOOKUP($C290,'2000 Place'!$C$2:$Y$523,12,FALSE)</f>
        <v>115</v>
      </c>
      <c r="L290">
        <f>VLOOKUP($C290,'2000 Place'!$C$2:$Y$523,13,FALSE)</f>
        <v>0</v>
      </c>
      <c r="M290">
        <f>VLOOKUP($C290,'2000 Place'!$C$2:$Y$523,14,FALSE)</f>
        <v>50</v>
      </c>
      <c r="N290">
        <f>VLOOKUP($C290,'2000 Place'!$C$2:$Y$523,15,FALSE)</f>
        <v>9</v>
      </c>
      <c r="O290">
        <f>VLOOKUP($C290,'2000 Place'!$C$2:$Y$523,16,FALSE)</f>
        <v>155</v>
      </c>
      <c r="P290">
        <f>VLOOKUP($C290,'2000 Place'!$C$2:$Y$523,17,FALSE)</f>
        <v>45</v>
      </c>
      <c r="Q290">
        <f>VLOOKUP($C290,'2000 Place'!$C$2:$Y$523,18,FALSE)</f>
        <v>9</v>
      </c>
      <c r="R290">
        <f>VLOOKUP($C290,'2000 Place'!$C$2:$Y$523,19,FALSE)</f>
        <v>0</v>
      </c>
      <c r="S290">
        <f>VLOOKUP($C290,'2000 Place'!$C$2:$Y$523,20,FALSE)</f>
        <v>67</v>
      </c>
      <c r="T290">
        <f>VLOOKUP($C290,'2000 Place'!$C$2:$Y$523,21,FALSE)</f>
        <v>14</v>
      </c>
      <c r="U290">
        <f>VLOOKUP($C290,'2000 Place'!$C$2:$Y$523,22,FALSE)</f>
        <v>282</v>
      </c>
      <c r="V290">
        <f>VLOOKUP($C290,'2000 Place'!$C$2:$Y$523,23,FALSE)</f>
        <v>32</v>
      </c>
    </row>
    <row r="291" spans="1:22" x14ac:dyDescent="0.25">
      <c r="A291" t="s">
        <v>826</v>
      </c>
      <c r="B291">
        <v>5337672</v>
      </c>
      <c r="C291" t="s">
        <v>827</v>
      </c>
      <c r="D291">
        <f>VLOOKUP($C291,'2000 Place'!$C$2:$Y$523,5,FALSE)</f>
        <v>672</v>
      </c>
      <c r="E291">
        <f>VLOOKUP($C291,'2000 Place'!$C$2:$Y$523,6,FALSE)</f>
        <v>632</v>
      </c>
      <c r="F291">
        <f>VLOOKUP($C291,'2000 Place'!$C$2:$Y$523,7,FALSE)</f>
        <v>40</v>
      </c>
      <c r="G291">
        <f>VLOOKUP($C291,'2000 Place'!$C$2:$Y$523,8,FALSE)</f>
        <v>625</v>
      </c>
      <c r="H291">
        <f>VLOOKUP($C291,'2000 Place'!$C$2:$Y$523,9,FALSE)</f>
        <v>40</v>
      </c>
      <c r="I291">
        <f>VLOOKUP($C291,'2000 Place'!$C$2:$Y$523,10,FALSE)</f>
        <v>0</v>
      </c>
      <c r="J291">
        <f>VLOOKUP($C291,'2000 Place'!$C$2:$Y$523,11,FALSE)</f>
        <v>0</v>
      </c>
      <c r="K291">
        <f>VLOOKUP($C291,'2000 Place'!$C$2:$Y$523,12,FALSE)</f>
        <v>0</v>
      </c>
      <c r="L291">
        <f>VLOOKUP($C291,'2000 Place'!$C$2:$Y$523,13,FALSE)</f>
        <v>0</v>
      </c>
      <c r="M291">
        <f>VLOOKUP($C291,'2000 Place'!$C$2:$Y$523,14,FALSE)</f>
        <v>7</v>
      </c>
      <c r="N291">
        <f>VLOOKUP($C291,'2000 Place'!$C$2:$Y$523,15,FALSE)</f>
        <v>0</v>
      </c>
      <c r="O291">
        <f>VLOOKUP($C291,'2000 Place'!$C$2:$Y$523,16,FALSE)</f>
        <v>0</v>
      </c>
      <c r="P291">
        <f>VLOOKUP($C291,'2000 Place'!$C$2:$Y$523,17,FALSE)</f>
        <v>0</v>
      </c>
      <c r="Q291">
        <f>VLOOKUP($C291,'2000 Place'!$C$2:$Y$523,18,FALSE)</f>
        <v>0</v>
      </c>
      <c r="R291">
        <f>VLOOKUP($C291,'2000 Place'!$C$2:$Y$523,19,FALSE)</f>
        <v>0</v>
      </c>
      <c r="S291">
        <f>VLOOKUP($C291,'2000 Place'!$C$2:$Y$523,20,FALSE)</f>
        <v>0</v>
      </c>
      <c r="T291">
        <f>VLOOKUP($C291,'2000 Place'!$C$2:$Y$523,21,FALSE)</f>
        <v>0</v>
      </c>
      <c r="U291">
        <f>VLOOKUP($C291,'2000 Place'!$C$2:$Y$523,22,FALSE)</f>
        <v>0</v>
      </c>
      <c r="V291">
        <f>VLOOKUP($C291,'2000 Place'!$C$2:$Y$523,23,FALSE)</f>
        <v>0</v>
      </c>
    </row>
    <row r="292" spans="1:22" x14ac:dyDescent="0.25">
      <c r="A292" t="s">
        <v>828</v>
      </c>
      <c r="B292">
        <v>5337830</v>
      </c>
      <c r="C292" t="s">
        <v>829</v>
      </c>
      <c r="D292">
        <f>VLOOKUP($C292,'2000 Place'!$C$2:$Y$523,5,FALSE)</f>
        <v>6628</v>
      </c>
      <c r="E292">
        <f>VLOOKUP($C292,'2000 Place'!$C$2:$Y$523,6,FALSE)</f>
        <v>6288</v>
      </c>
      <c r="F292">
        <f>VLOOKUP($C292,'2000 Place'!$C$2:$Y$523,7,FALSE)</f>
        <v>340</v>
      </c>
      <c r="G292">
        <f>VLOOKUP($C292,'2000 Place'!$C$2:$Y$523,8,FALSE)</f>
        <v>5670</v>
      </c>
      <c r="H292">
        <f>VLOOKUP($C292,'2000 Place'!$C$2:$Y$523,9,FALSE)</f>
        <v>178</v>
      </c>
      <c r="I292">
        <f>VLOOKUP($C292,'2000 Place'!$C$2:$Y$523,10,FALSE)</f>
        <v>153</v>
      </c>
      <c r="J292">
        <f>VLOOKUP($C292,'2000 Place'!$C$2:$Y$523,11,FALSE)</f>
        <v>25</v>
      </c>
      <c r="K292">
        <f>VLOOKUP($C292,'2000 Place'!$C$2:$Y$523,12,FALSE)</f>
        <v>57</v>
      </c>
      <c r="L292">
        <f>VLOOKUP($C292,'2000 Place'!$C$2:$Y$523,13,FALSE)</f>
        <v>16</v>
      </c>
      <c r="M292">
        <f>VLOOKUP($C292,'2000 Place'!$C$2:$Y$523,14,FALSE)</f>
        <v>174</v>
      </c>
      <c r="N292">
        <f>VLOOKUP($C292,'2000 Place'!$C$2:$Y$523,15,FALSE)</f>
        <v>12</v>
      </c>
      <c r="O292">
        <f>VLOOKUP($C292,'2000 Place'!$C$2:$Y$523,16,FALSE)</f>
        <v>43</v>
      </c>
      <c r="P292">
        <f>VLOOKUP($C292,'2000 Place'!$C$2:$Y$523,17,FALSE)</f>
        <v>56</v>
      </c>
      <c r="Q292">
        <f>VLOOKUP($C292,'2000 Place'!$C$2:$Y$523,18,FALSE)</f>
        <v>7</v>
      </c>
      <c r="R292">
        <f>VLOOKUP($C292,'2000 Place'!$C$2:$Y$523,19,FALSE)</f>
        <v>0</v>
      </c>
      <c r="S292">
        <f>VLOOKUP($C292,'2000 Place'!$C$2:$Y$523,20,FALSE)</f>
        <v>25</v>
      </c>
      <c r="T292">
        <f>VLOOKUP($C292,'2000 Place'!$C$2:$Y$523,21,FALSE)</f>
        <v>20</v>
      </c>
      <c r="U292">
        <f>VLOOKUP($C292,'2000 Place'!$C$2:$Y$523,22,FALSE)</f>
        <v>159</v>
      </c>
      <c r="V292">
        <f>VLOOKUP($C292,'2000 Place'!$C$2:$Y$523,23,FALSE)</f>
        <v>33</v>
      </c>
    </row>
    <row r="293" spans="1:22" x14ac:dyDescent="0.25">
      <c r="A293" t="s">
        <v>830</v>
      </c>
      <c r="B293">
        <v>5337900</v>
      </c>
      <c r="C293" t="s">
        <v>831</v>
      </c>
      <c r="D293">
        <f>VLOOKUP($C293,'2000 Place'!$C$2:$Y$523,5,FALSE)</f>
        <v>6484</v>
      </c>
      <c r="E293">
        <f>VLOOKUP($C293,'2000 Place'!$C$2:$Y$523,6,FALSE)</f>
        <v>6199</v>
      </c>
      <c r="F293">
        <f>VLOOKUP($C293,'2000 Place'!$C$2:$Y$523,7,FALSE)</f>
        <v>285</v>
      </c>
      <c r="G293">
        <f>VLOOKUP($C293,'2000 Place'!$C$2:$Y$523,8,FALSE)</f>
        <v>5632</v>
      </c>
      <c r="H293">
        <f>VLOOKUP($C293,'2000 Place'!$C$2:$Y$523,9,FALSE)</f>
        <v>237</v>
      </c>
      <c r="I293">
        <f>VLOOKUP($C293,'2000 Place'!$C$2:$Y$523,10,FALSE)</f>
        <v>148</v>
      </c>
      <c r="J293">
        <f>VLOOKUP($C293,'2000 Place'!$C$2:$Y$523,11,FALSE)</f>
        <v>23</v>
      </c>
      <c r="K293">
        <f>VLOOKUP($C293,'2000 Place'!$C$2:$Y$523,12,FALSE)</f>
        <v>48</v>
      </c>
      <c r="L293">
        <f>VLOOKUP($C293,'2000 Place'!$C$2:$Y$523,13,FALSE)</f>
        <v>0</v>
      </c>
      <c r="M293">
        <f>VLOOKUP($C293,'2000 Place'!$C$2:$Y$523,14,FALSE)</f>
        <v>108</v>
      </c>
      <c r="N293">
        <f>VLOOKUP($C293,'2000 Place'!$C$2:$Y$523,15,FALSE)</f>
        <v>0</v>
      </c>
      <c r="O293">
        <f>VLOOKUP($C293,'2000 Place'!$C$2:$Y$523,16,FALSE)</f>
        <v>0</v>
      </c>
      <c r="P293">
        <f>VLOOKUP($C293,'2000 Place'!$C$2:$Y$523,17,FALSE)</f>
        <v>0</v>
      </c>
      <c r="Q293">
        <f>VLOOKUP($C293,'2000 Place'!$C$2:$Y$523,18,FALSE)</f>
        <v>0</v>
      </c>
      <c r="R293">
        <f>VLOOKUP($C293,'2000 Place'!$C$2:$Y$523,19,FALSE)</f>
        <v>0</v>
      </c>
      <c r="S293">
        <f>VLOOKUP($C293,'2000 Place'!$C$2:$Y$523,20,FALSE)</f>
        <v>26</v>
      </c>
      <c r="T293">
        <f>VLOOKUP($C293,'2000 Place'!$C$2:$Y$523,21,FALSE)</f>
        <v>4</v>
      </c>
      <c r="U293">
        <f>VLOOKUP($C293,'2000 Place'!$C$2:$Y$523,22,FALSE)</f>
        <v>237</v>
      </c>
      <c r="V293">
        <f>VLOOKUP($C293,'2000 Place'!$C$2:$Y$523,23,FALSE)</f>
        <v>21</v>
      </c>
    </row>
    <row r="294" spans="1:22" x14ac:dyDescent="0.25">
      <c r="A294" t="s">
        <v>832</v>
      </c>
      <c r="B294">
        <v>5337917</v>
      </c>
      <c r="C294" t="s">
        <v>833</v>
      </c>
      <c r="D294" t="e">
        <f>VLOOKUP($C294,'2000 Place'!$C$2:$Y$523,5,FALSE)</f>
        <v>#N/A</v>
      </c>
      <c r="E294" t="e">
        <f>VLOOKUP($C294,'2000 Place'!$C$2:$Y$523,6,FALSE)</f>
        <v>#N/A</v>
      </c>
      <c r="F294" t="e">
        <f>VLOOKUP($C294,'2000 Place'!$C$2:$Y$523,7,FALSE)</f>
        <v>#N/A</v>
      </c>
      <c r="G294" t="e">
        <f>VLOOKUP($C294,'2000 Place'!$C$2:$Y$523,8,FALSE)</f>
        <v>#N/A</v>
      </c>
      <c r="H294" t="e">
        <f>VLOOKUP($C294,'2000 Place'!$C$2:$Y$523,9,FALSE)</f>
        <v>#N/A</v>
      </c>
      <c r="I294" t="e">
        <f>VLOOKUP($C294,'2000 Place'!$C$2:$Y$523,10,FALSE)</f>
        <v>#N/A</v>
      </c>
      <c r="J294" t="e">
        <f>VLOOKUP($C294,'2000 Place'!$C$2:$Y$523,11,FALSE)</f>
        <v>#N/A</v>
      </c>
      <c r="K294" t="e">
        <f>VLOOKUP($C294,'2000 Place'!$C$2:$Y$523,12,FALSE)</f>
        <v>#N/A</v>
      </c>
      <c r="L294" t="e">
        <f>VLOOKUP($C294,'2000 Place'!$C$2:$Y$523,13,FALSE)</f>
        <v>#N/A</v>
      </c>
      <c r="M294" t="e">
        <f>VLOOKUP($C294,'2000 Place'!$C$2:$Y$523,14,FALSE)</f>
        <v>#N/A</v>
      </c>
      <c r="N294" t="e">
        <f>VLOOKUP($C294,'2000 Place'!$C$2:$Y$523,15,FALSE)</f>
        <v>#N/A</v>
      </c>
      <c r="O294" t="e">
        <f>VLOOKUP($C294,'2000 Place'!$C$2:$Y$523,16,FALSE)</f>
        <v>#N/A</v>
      </c>
      <c r="P294" t="e">
        <f>VLOOKUP($C294,'2000 Place'!$C$2:$Y$523,17,FALSE)</f>
        <v>#N/A</v>
      </c>
      <c r="Q294" t="e">
        <f>VLOOKUP($C294,'2000 Place'!$C$2:$Y$523,18,FALSE)</f>
        <v>#N/A</v>
      </c>
      <c r="R294" t="e">
        <f>VLOOKUP($C294,'2000 Place'!$C$2:$Y$523,19,FALSE)</f>
        <v>#N/A</v>
      </c>
      <c r="S294" t="e">
        <f>VLOOKUP($C294,'2000 Place'!$C$2:$Y$523,20,FALSE)</f>
        <v>#N/A</v>
      </c>
      <c r="T294" t="e">
        <f>VLOOKUP($C294,'2000 Place'!$C$2:$Y$523,21,FALSE)</f>
        <v>#N/A</v>
      </c>
      <c r="U294" t="e">
        <f>VLOOKUP($C294,'2000 Place'!$C$2:$Y$523,22,FALSE)</f>
        <v>#N/A</v>
      </c>
      <c r="V294" t="e">
        <f>VLOOKUP($C294,'2000 Place'!$C$2:$Y$523,23,FALSE)</f>
        <v>#N/A</v>
      </c>
    </row>
    <row r="295" spans="1:22" x14ac:dyDescent="0.25">
      <c r="A295" t="s">
        <v>834</v>
      </c>
      <c r="B295">
        <v>5337920</v>
      </c>
      <c r="C295" t="s">
        <v>835</v>
      </c>
      <c r="D295" t="e">
        <f>VLOOKUP($C295,'2000 Place'!$C$2:$Y$523,5,FALSE)</f>
        <v>#N/A</v>
      </c>
      <c r="E295" t="e">
        <f>VLOOKUP($C295,'2000 Place'!$C$2:$Y$523,6,FALSE)</f>
        <v>#N/A</v>
      </c>
      <c r="F295" t="e">
        <f>VLOOKUP($C295,'2000 Place'!$C$2:$Y$523,7,FALSE)</f>
        <v>#N/A</v>
      </c>
      <c r="G295" t="e">
        <f>VLOOKUP($C295,'2000 Place'!$C$2:$Y$523,8,FALSE)</f>
        <v>#N/A</v>
      </c>
      <c r="H295" t="e">
        <f>VLOOKUP($C295,'2000 Place'!$C$2:$Y$523,9,FALSE)</f>
        <v>#N/A</v>
      </c>
      <c r="I295" t="e">
        <f>VLOOKUP($C295,'2000 Place'!$C$2:$Y$523,10,FALSE)</f>
        <v>#N/A</v>
      </c>
      <c r="J295" t="e">
        <f>VLOOKUP($C295,'2000 Place'!$C$2:$Y$523,11,FALSE)</f>
        <v>#N/A</v>
      </c>
      <c r="K295" t="e">
        <f>VLOOKUP($C295,'2000 Place'!$C$2:$Y$523,12,FALSE)</f>
        <v>#N/A</v>
      </c>
      <c r="L295" t="e">
        <f>VLOOKUP($C295,'2000 Place'!$C$2:$Y$523,13,FALSE)</f>
        <v>#N/A</v>
      </c>
      <c r="M295" t="e">
        <f>VLOOKUP($C295,'2000 Place'!$C$2:$Y$523,14,FALSE)</f>
        <v>#N/A</v>
      </c>
      <c r="N295" t="e">
        <f>VLOOKUP($C295,'2000 Place'!$C$2:$Y$523,15,FALSE)</f>
        <v>#N/A</v>
      </c>
      <c r="O295" t="e">
        <f>VLOOKUP($C295,'2000 Place'!$C$2:$Y$523,16,FALSE)</f>
        <v>#N/A</v>
      </c>
      <c r="P295" t="e">
        <f>VLOOKUP($C295,'2000 Place'!$C$2:$Y$523,17,FALSE)</f>
        <v>#N/A</v>
      </c>
      <c r="Q295" t="e">
        <f>VLOOKUP($C295,'2000 Place'!$C$2:$Y$523,18,FALSE)</f>
        <v>#N/A</v>
      </c>
      <c r="R295" t="e">
        <f>VLOOKUP($C295,'2000 Place'!$C$2:$Y$523,19,FALSE)</f>
        <v>#N/A</v>
      </c>
      <c r="S295" t="e">
        <f>VLOOKUP($C295,'2000 Place'!$C$2:$Y$523,20,FALSE)</f>
        <v>#N/A</v>
      </c>
      <c r="T295" t="e">
        <f>VLOOKUP($C295,'2000 Place'!$C$2:$Y$523,21,FALSE)</f>
        <v>#N/A</v>
      </c>
      <c r="U295" t="e">
        <f>VLOOKUP($C295,'2000 Place'!$C$2:$Y$523,22,FALSE)</f>
        <v>#N/A</v>
      </c>
      <c r="V295" t="e">
        <f>VLOOKUP($C295,'2000 Place'!$C$2:$Y$523,23,FALSE)</f>
        <v>#N/A</v>
      </c>
    </row>
    <row r="296" spans="1:22" x14ac:dyDescent="0.25">
      <c r="A296" t="s">
        <v>836</v>
      </c>
      <c r="B296">
        <v>5337926</v>
      </c>
      <c r="C296" t="s">
        <v>837</v>
      </c>
      <c r="D296">
        <f>VLOOKUP($C296,'2000 Place'!$C$2:$Y$523,5,FALSE)</f>
        <v>753</v>
      </c>
      <c r="E296">
        <f>VLOOKUP($C296,'2000 Place'!$C$2:$Y$523,6,FALSE)</f>
        <v>701</v>
      </c>
      <c r="F296">
        <f>VLOOKUP($C296,'2000 Place'!$C$2:$Y$523,7,FALSE)</f>
        <v>52</v>
      </c>
      <c r="G296">
        <f>VLOOKUP($C296,'2000 Place'!$C$2:$Y$523,8,FALSE)</f>
        <v>671</v>
      </c>
      <c r="H296">
        <f>VLOOKUP($C296,'2000 Place'!$C$2:$Y$523,9,FALSE)</f>
        <v>45</v>
      </c>
      <c r="I296">
        <f>VLOOKUP($C296,'2000 Place'!$C$2:$Y$523,10,FALSE)</f>
        <v>0</v>
      </c>
      <c r="J296">
        <f>VLOOKUP($C296,'2000 Place'!$C$2:$Y$523,11,FALSE)</f>
        <v>0</v>
      </c>
      <c r="K296">
        <f>VLOOKUP($C296,'2000 Place'!$C$2:$Y$523,12,FALSE)</f>
        <v>0</v>
      </c>
      <c r="L296">
        <f>VLOOKUP($C296,'2000 Place'!$C$2:$Y$523,13,FALSE)</f>
        <v>0</v>
      </c>
      <c r="M296">
        <f>VLOOKUP($C296,'2000 Place'!$C$2:$Y$523,14,FALSE)</f>
        <v>17</v>
      </c>
      <c r="N296">
        <f>VLOOKUP($C296,'2000 Place'!$C$2:$Y$523,15,FALSE)</f>
        <v>0</v>
      </c>
      <c r="O296">
        <f>VLOOKUP($C296,'2000 Place'!$C$2:$Y$523,16,FALSE)</f>
        <v>0</v>
      </c>
      <c r="P296">
        <f>VLOOKUP($C296,'2000 Place'!$C$2:$Y$523,17,FALSE)</f>
        <v>0</v>
      </c>
      <c r="Q296">
        <f>VLOOKUP($C296,'2000 Place'!$C$2:$Y$523,18,FALSE)</f>
        <v>0</v>
      </c>
      <c r="R296">
        <f>VLOOKUP($C296,'2000 Place'!$C$2:$Y$523,19,FALSE)</f>
        <v>0</v>
      </c>
      <c r="S296">
        <f>VLOOKUP($C296,'2000 Place'!$C$2:$Y$523,20,FALSE)</f>
        <v>0</v>
      </c>
      <c r="T296">
        <f>VLOOKUP($C296,'2000 Place'!$C$2:$Y$523,21,FALSE)</f>
        <v>0</v>
      </c>
      <c r="U296">
        <f>VLOOKUP($C296,'2000 Place'!$C$2:$Y$523,22,FALSE)</f>
        <v>13</v>
      </c>
      <c r="V296">
        <f>VLOOKUP($C296,'2000 Place'!$C$2:$Y$523,23,FALSE)</f>
        <v>7</v>
      </c>
    </row>
    <row r="297" spans="1:22" x14ac:dyDescent="0.25">
      <c r="A297" t="s">
        <v>838</v>
      </c>
      <c r="B297">
        <v>5338038</v>
      </c>
      <c r="C297" t="s">
        <v>839</v>
      </c>
      <c r="D297">
        <f>VLOOKUP($C297,'2000 Place'!$C$2:$Y$523,5,FALSE)</f>
        <v>58317</v>
      </c>
      <c r="E297">
        <f>VLOOKUP($C297,'2000 Place'!$C$2:$Y$523,6,FALSE)</f>
        <v>48357</v>
      </c>
      <c r="F297">
        <f>VLOOKUP($C297,'2000 Place'!$C$2:$Y$523,7,FALSE)</f>
        <v>9960</v>
      </c>
      <c r="G297">
        <f>VLOOKUP($C297,'2000 Place'!$C$2:$Y$523,8,FALSE)</f>
        <v>32712</v>
      </c>
      <c r="H297">
        <f>VLOOKUP($C297,'2000 Place'!$C$2:$Y$523,9,FALSE)</f>
        <v>2833</v>
      </c>
      <c r="I297">
        <f>VLOOKUP($C297,'2000 Place'!$C$2:$Y$523,10,FALSE)</f>
        <v>1139</v>
      </c>
      <c r="J297">
        <f>VLOOKUP($C297,'2000 Place'!$C$2:$Y$523,11,FALSE)</f>
        <v>741</v>
      </c>
      <c r="K297">
        <f>VLOOKUP($C297,'2000 Place'!$C$2:$Y$523,12,FALSE)</f>
        <v>6873</v>
      </c>
      <c r="L297">
        <f>VLOOKUP($C297,'2000 Place'!$C$2:$Y$523,13,FALSE)</f>
        <v>560</v>
      </c>
      <c r="M297">
        <f>VLOOKUP($C297,'2000 Place'!$C$2:$Y$523,14,FALSE)</f>
        <v>837</v>
      </c>
      <c r="N297">
        <f>VLOOKUP($C297,'2000 Place'!$C$2:$Y$523,15,FALSE)</f>
        <v>11</v>
      </c>
      <c r="O297">
        <f>VLOOKUP($C297,'2000 Place'!$C$2:$Y$523,16,FALSE)</f>
        <v>1330</v>
      </c>
      <c r="P297">
        <f>VLOOKUP($C297,'2000 Place'!$C$2:$Y$523,17,FALSE)</f>
        <v>3851</v>
      </c>
      <c r="Q297">
        <f>VLOOKUP($C297,'2000 Place'!$C$2:$Y$523,18,FALSE)</f>
        <v>387</v>
      </c>
      <c r="R297">
        <f>VLOOKUP($C297,'2000 Place'!$C$2:$Y$523,19,FALSE)</f>
        <v>359</v>
      </c>
      <c r="S297">
        <f>VLOOKUP($C297,'2000 Place'!$C$2:$Y$523,20,FALSE)</f>
        <v>1387</v>
      </c>
      <c r="T297">
        <f>VLOOKUP($C297,'2000 Place'!$C$2:$Y$523,21,FALSE)</f>
        <v>804</v>
      </c>
      <c r="U297">
        <f>VLOOKUP($C297,'2000 Place'!$C$2:$Y$523,22,FALSE)</f>
        <v>3692</v>
      </c>
      <c r="V297">
        <f>VLOOKUP($C297,'2000 Place'!$C$2:$Y$523,23,FALSE)</f>
        <v>801</v>
      </c>
    </row>
    <row r="298" spans="1:22" x14ac:dyDescent="0.25">
      <c r="A298" t="s">
        <v>840</v>
      </c>
      <c r="B298">
        <v>5338215</v>
      </c>
      <c r="C298" t="s">
        <v>841</v>
      </c>
      <c r="D298">
        <f>VLOOKUP($C298,'2000 Place'!$C$2:$Y$523,5,FALSE)</f>
        <v>91</v>
      </c>
      <c r="E298">
        <f>VLOOKUP($C298,'2000 Place'!$C$2:$Y$523,6,FALSE)</f>
        <v>91</v>
      </c>
      <c r="F298">
        <f>VLOOKUP($C298,'2000 Place'!$C$2:$Y$523,7,FALSE)</f>
        <v>0</v>
      </c>
      <c r="G298">
        <f>VLOOKUP($C298,'2000 Place'!$C$2:$Y$523,8,FALSE)</f>
        <v>82</v>
      </c>
      <c r="H298">
        <f>VLOOKUP($C298,'2000 Place'!$C$2:$Y$523,9,FALSE)</f>
        <v>0</v>
      </c>
      <c r="I298">
        <f>VLOOKUP($C298,'2000 Place'!$C$2:$Y$523,10,FALSE)</f>
        <v>0</v>
      </c>
      <c r="J298">
        <f>VLOOKUP($C298,'2000 Place'!$C$2:$Y$523,11,FALSE)</f>
        <v>0</v>
      </c>
      <c r="K298">
        <f>VLOOKUP($C298,'2000 Place'!$C$2:$Y$523,12,FALSE)</f>
        <v>0</v>
      </c>
      <c r="L298">
        <f>VLOOKUP($C298,'2000 Place'!$C$2:$Y$523,13,FALSE)</f>
        <v>0</v>
      </c>
      <c r="M298">
        <f>VLOOKUP($C298,'2000 Place'!$C$2:$Y$523,14,FALSE)</f>
        <v>0</v>
      </c>
      <c r="N298">
        <f>VLOOKUP($C298,'2000 Place'!$C$2:$Y$523,15,FALSE)</f>
        <v>0</v>
      </c>
      <c r="O298">
        <f>VLOOKUP($C298,'2000 Place'!$C$2:$Y$523,16,FALSE)</f>
        <v>0</v>
      </c>
      <c r="P298">
        <f>VLOOKUP($C298,'2000 Place'!$C$2:$Y$523,17,FALSE)</f>
        <v>0</v>
      </c>
      <c r="Q298">
        <f>VLOOKUP($C298,'2000 Place'!$C$2:$Y$523,18,FALSE)</f>
        <v>0</v>
      </c>
      <c r="R298">
        <f>VLOOKUP($C298,'2000 Place'!$C$2:$Y$523,19,FALSE)</f>
        <v>0</v>
      </c>
      <c r="S298">
        <f>VLOOKUP($C298,'2000 Place'!$C$2:$Y$523,20,FALSE)</f>
        <v>0</v>
      </c>
      <c r="T298">
        <f>VLOOKUP($C298,'2000 Place'!$C$2:$Y$523,21,FALSE)</f>
        <v>0</v>
      </c>
      <c r="U298">
        <f>VLOOKUP($C298,'2000 Place'!$C$2:$Y$523,22,FALSE)</f>
        <v>9</v>
      </c>
      <c r="V298">
        <f>VLOOKUP($C298,'2000 Place'!$C$2:$Y$523,23,FALSE)</f>
        <v>0</v>
      </c>
    </row>
    <row r="299" spans="1:22" x14ac:dyDescent="0.25">
      <c r="A299" t="s">
        <v>842</v>
      </c>
      <c r="B299">
        <v>5338355</v>
      </c>
      <c r="C299" t="s">
        <v>843</v>
      </c>
      <c r="D299">
        <f>VLOOKUP($C299,'2000 Place'!$C$2:$Y$523,5,FALSE)</f>
        <v>938</v>
      </c>
      <c r="E299">
        <f>VLOOKUP($C299,'2000 Place'!$C$2:$Y$523,6,FALSE)</f>
        <v>870</v>
      </c>
      <c r="F299">
        <f>VLOOKUP($C299,'2000 Place'!$C$2:$Y$523,7,FALSE)</f>
        <v>68</v>
      </c>
      <c r="G299">
        <f>VLOOKUP($C299,'2000 Place'!$C$2:$Y$523,8,FALSE)</f>
        <v>834</v>
      </c>
      <c r="H299">
        <f>VLOOKUP($C299,'2000 Place'!$C$2:$Y$523,9,FALSE)</f>
        <v>59</v>
      </c>
      <c r="I299">
        <f>VLOOKUP($C299,'2000 Place'!$C$2:$Y$523,10,FALSE)</f>
        <v>12</v>
      </c>
      <c r="J299">
        <f>VLOOKUP($C299,'2000 Place'!$C$2:$Y$523,11,FALSE)</f>
        <v>2</v>
      </c>
      <c r="K299">
        <f>VLOOKUP($C299,'2000 Place'!$C$2:$Y$523,12,FALSE)</f>
        <v>2</v>
      </c>
      <c r="L299">
        <f>VLOOKUP($C299,'2000 Place'!$C$2:$Y$523,13,FALSE)</f>
        <v>0</v>
      </c>
      <c r="M299">
        <f>VLOOKUP($C299,'2000 Place'!$C$2:$Y$523,14,FALSE)</f>
        <v>2</v>
      </c>
      <c r="N299">
        <f>VLOOKUP($C299,'2000 Place'!$C$2:$Y$523,15,FALSE)</f>
        <v>0</v>
      </c>
      <c r="O299">
        <f>VLOOKUP($C299,'2000 Place'!$C$2:$Y$523,16,FALSE)</f>
        <v>6</v>
      </c>
      <c r="P299">
        <f>VLOOKUP($C299,'2000 Place'!$C$2:$Y$523,17,FALSE)</f>
        <v>5</v>
      </c>
      <c r="Q299">
        <f>VLOOKUP($C299,'2000 Place'!$C$2:$Y$523,18,FALSE)</f>
        <v>0</v>
      </c>
      <c r="R299">
        <f>VLOOKUP($C299,'2000 Place'!$C$2:$Y$523,19,FALSE)</f>
        <v>0</v>
      </c>
      <c r="S299">
        <f>VLOOKUP($C299,'2000 Place'!$C$2:$Y$523,20,FALSE)</f>
        <v>0</v>
      </c>
      <c r="T299">
        <f>VLOOKUP($C299,'2000 Place'!$C$2:$Y$523,21,FALSE)</f>
        <v>0</v>
      </c>
      <c r="U299">
        <f>VLOOKUP($C299,'2000 Place'!$C$2:$Y$523,22,FALSE)</f>
        <v>14</v>
      </c>
      <c r="V299">
        <f>VLOOKUP($C299,'2000 Place'!$C$2:$Y$523,23,FALSE)</f>
        <v>2</v>
      </c>
    </row>
    <row r="300" spans="1:22" x14ac:dyDescent="0.25">
      <c r="A300" t="s">
        <v>844</v>
      </c>
      <c r="B300">
        <v>5338420</v>
      </c>
      <c r="C300" t="s">
        <v>845</v>
      </c>
      <c r="D300" t="e">
        <f>VLOOKUP($C300,'2000 Place'!$C$2:$Y$523,5,FALSE)</f>
        <v>#N/A</v>
      </c>
      <c r="E300" t="e">
        <f>VLOOKUP($C300,'2000 Place'!$C$2:$Y$523,6,FALSE)</f>
        <v>#N/A</v>
      </c>
      <c r="F300" t="e">
        <f>VLOOKUP($C300,'2000 Place'!$C$2:$Y$523,7,FALSE)</f>
        <v>#N/A</v>
      </c>
      <c r="G300" t="e">
        <f>VLOOKUP($C300,'2000 Place'!$C$2:$Y$523,8,FALSE)</f>
        <v>#N/A</v>
      </c>
      <c r="H300" t="e">
        <f>VLOOKUP($C300,'2000 Place'!$C$2:$Y$523,9,FALSE)</f>
        <v>#N/A</v>
      </c>
      <c r="I300" t="e">
        <f>VLOOKUP($C300,'2000 Place'!$C$2:$Y$523,10,FALSE)</f>
        <v>#N/A</v>
      </c>
      <c r="J300" t="e">
        <f>VLOOKUP($C300,'2000 Place'!$C$2:$Y$523,11,FALSE)</f>
        <v>#N/A</v>
      </c>
      <c r="K300" t="e">
        <f>VLOOKUP($C300,'2000 Place'!$C$2:$Y$523,12,FALSE)</f>
        <v>#N/A</v>
      </c>
      <c r="L300" t="e">
        <f>VLOOKUP($C300,'2000 Place'!$C$2:$Y$523,13,FALSE)</f>
        <v>#N/A</v>
      </c>
      <c r="M300" t="e">
        <f>VLOOKUP($C300,'2000 Place'!$C$2:$Y$523,14,FALSE)</f>
        <v>#N/A</v>
      </c>
      <c r="N300" t="e">
        <f>VLOOKUP($C300,'2000 Place'!$C$2:$Y$523,15,FALSE)</f>
        <v>#N/A</v>
      </c>
      <c r="O300" t="e">
        <f>VLOOKUP($C300,'2000 Place'!$C$2:$Y$523,16,FALSE)</f>
        <v>#N/A</v>
      </c>
      <c r="P300" t="e">
        <f>VLOOKUP($C300,'2000 Place'!$C$2:$Y$523,17,FALSE)</f>
        <v>#N/A</v>
      </c>
      <c r="Q300" t="e">
        <f>VLOOKUP($C300,'2000 Place'!$C$2:$Y$523,18,FALSE)</f>
        <v>#N/A</v>
      </c>
      <c r="R300" t="e">
        <f>VLOOKUP($C300,'2000 Place'!$C$2:$Y$523,19,FALSE)</f>
        <v>#N/A</v>
      </c>
      <c r="S300" t="e">
        <f>VLOOKUP($C300,'2000 Place'!$C$2:$Y$523,20,FALSE)</f>
        <v>#N/A</v>
      </c>
      <c r="T300" t="e">
        <f>VLOOKUP($C300,'2000 Place'!$C$2:$Y$523,21,FALSE)</f>
        <v>#N/A</v>
      </c>
      <c r="U300" t="e">
        <f>VLOOKUP($C300,'2000 Place'!$C$2:$Y$523,22,FALSE)</f>
        <v>#N/A</v>
      </c>
      <c r="V300" t="e">
        <f>VLOOKUP($C300,'2000 Place'!$C$2:$Y$523,23,FALSE)</f>
        <v>#N/A</v>
      </c>
    </row>
    <row r="301" spans="1:22" x14ac:dyDescent="0.25">
      <c r="A301" t="s">
        <v>846</v>
      </c>
      <c r="B301">
        <v>5338495</v>
      </c>
      <c r="C301" t="s">
        <v>847</v>
      </c>
      <c r="D301">
        <f>VLOOKUP($C301,'2000 Place'!$C$2:$Y$523,5,FALSE)</f>
        <v>182</v>
      </c>
      <c r="E301">
        <f>VLOOKUP($C301,'2000 Place'!$C$2:$Y$523,6,FALSE)</f>
        <v>182</v>
      </c>
      <c r="F301">
        <f>VLOOKUP($C301,'2000 Place'!$C$2:$Y$523,7,FALSE)</f>
        <v>0</v>
      </c>
      <c r="G301">
        <f>VLOOKUP($C301,'2000 Place'!$C$2:$Y$523,8,FALSE)</f>
        <v>176</v>
      </c>
      <c r="H301">
        <f>VLOOKUP($C301,'2000 Place'!$C$2:$Y$523,9,FALSE)</f>
        <v>0</v>
      </c>
      <c r="I301">
        <f>VLOOKUP($C301,'2000 Place'!$C$2:$Y$523,10,FALSE)</f>
        <v>0</v>
      </c>
      <c r="J301">
        <f>VLOOKUP($C301,'2000 Place'!$C$2:$Y$523,11,FALSE)</f>
        <v>0</v>
      </c>
      <c r="K301">
        <f>VLOOKUP($C301,'2000 Place'!$C$2:$Y$523,12,FALSE)</f>
        <v>0</v>
      </c>
      <c r="L301">
        <f>VLOOKUP($C301,'2000 Place'!$C$2:$Y$523,13,FALSE)</f>
        <v>0</v>
      </c>
      <c r="M301">
        <f>VLOOKUP($C301,'2000 Place'!$C$2:$Y$523,14,FALSE)</f>
        <v>2</v>
      </c>
      <c r="N301">
        <f>VLOOKUP($C301,'2000 Place'!$C$2:$Y$523,15,FALSE)</f>
        <v>0</v>
      </c>
      <c r="O301">
        <f>VLOOKUP($C301,'2000 Place'!$C$2:$Y$523,16,FALSE)</f>
        <v>0</v>
      </c>
      <c r="P301">
        <f>VLOOKUP($C301,'2000 Place'!$C$2:$Y$523,17,FALSE)</f>
        <v>0</v>
      </c>
      <c r="Q301">
        <f>VLOOKUP($C301,'2000 Place'!$C$2:$Y$523,18,FALSE)</f>
        <v>0</v>
      </c>
      <c r="R301">
        <f>VLOOKUP($C301,'2000 Place'!$C$2:$Y$523,19,FALSE)</f>
        <v>0</v>
      </c>
      <c r="S301">
        <f>VLOOKUP($C301,'2000 Place'!$C$2:$Y$523,20,FALSE)</f>
        <v>4</v>
      </c>
      <c r="T301">
        <f>VLOOKUP($C301,'2000 Place'!$C$2:$Y$523,21,FALSE)</f>
        <v>0</v>
      </c>
      <c r="U301">
        <f>VLOOKUP($C301,'2000 Place'!$C$2:$Y$523,22,FALSE)</f>
        <v>0</v>
      </c>
      <c r="V301">
        <f>VLOOKUP($C301,'2000 Place'!$C$2:$Y$523,23,FALSE)</f>
        <v>0</v>
      </c>
    </row>
    <row r="302" spans="1:22" x14ac:dyDescent="0.25">
      <c r="A302" t="s">
        <v>848</v>
      </c>
      <c r="B302">
        <v>5338705</v>
      </c>
      <c r="C302" t="s">
        <v>849</v>
      </c>
      <c r="D302" t="e">
        <f>VLOOKUP($C302,'2000 Place'!$C$2:$Y$523,5,FALSE)</f>
        <v>#N/A</v>
      </c>
      <c r="E302" t="e">
        <f>VLOOKUP($C302,'2000 Place'!$C$2:$Y$523,6,FALSE)</f>
        <v>#N/A</v>
      </c>
      <c r="F302" t="e">
        <f>VLOOKUP($C302,'2000 Place'!$C$2:$Y$523,7,FALSE)</f>
        <v>#N/A</v>
      </c>
      <c r="G302" t="e">
        <f>VLOOKUP($C302,'2000 Place'!$C$2:$Y$523,8,FALSE)</f>
        <v>#N/A</v>
      </c>
      <c r="H302" t="e">
        <f>VLOOKUP($C302,'2000 Place'!$C$2:$Y$523,9,FALSE)</f>
        <v>#N/A</v>
      </c>
      <c r="I302" t="e">
        <f>VLOOKUP($C302,'2000 Place'!$C$2:$Y$523,10,FALSE)</f>
        <v>#N/A</v>
      </c>
      <c r="J302" t="e">
        <f>VLOOKUP($C302,'2000 Place'!$C$2:$Y$523,11,FALSE)</f>
        <v>#N/A</v>
      </c>
      <c r="K302" t="e">
        <f>VLOOKUP($C302,'2000 Place'!$C$2:$Y$523,12,FALSE)</f>
        <v>#N/A</v>
      </c>
      <c r="L302" t="e">
        <f>VLOOKUP($C302,'2000 Place'!$C$2:$Y$523,13,FALSE)</f>
        <v>#N/A</v>
      </c>
      <c r="M302" t="e">
        <f>VLOOKUP($C302,'2000 Place'!$C$2:$Y$523,14,FALSE)</f>
        <v>#N/A</v>
      </c>
      <c r="N302" t="e">
        <f>VLOOKUP($C302,'2000 Place'!$C$2:$Y$523,15,FALSE)</f>
        <v>#N/A</v>
      </c>
      <c r="O302" t="e">
        <f>VLOOKUP($C302,'2000 Place'!$C$2:$Y$523,16,FALSE)</f>
        <v>#N/A</v>
      </c>
      <c r="P302" t="e">
        <f>VLOOKUP($C302,'2000 Place'!$C$2:$Y$523,17,FALSE)</f>
        <v>#N/A</v>
      </c>
      <c r="Q302" t="e">
        <f>VLOOKUP($C302,'2000 Place'!$C$2:$Y$523,18,FALSE)</f>
        <v>#N/A</v>
      </c>
      <c r="R302" t="e">
        <f>VLOOKUP($C302,'2000 Place'!$C$2:$Y$523,19,FALSE)</f>
        <v>#N/A</v>
      </c>
      <c r="S302" t="e">
        <f>VLOOKUP($C302,'2000 Place'!$C$2:$Y$523,20,FALSE)</f>
        <v>#N/A</v>
      </c>
      <c r="T302" t="e">
        <f>VLOOKUP($C302,'2000 Place'!$C$2:$Y$523,21,FALSE)</f>
        <v>#N/A</v>
      </c>
      <c r="U302" t="e">
        <f>VLOOKUP($C302,'2000 Place'!$C$2:$Y$523,22,FALSE)</f>
        <v>#N/A</v>
      </c>
      <c r="V302" t="e">
        <f>VLOOKUP($C302,'2000 Place'!$C$2:$Y$523,23,FALSE)</f>
        <v>#N/A</v>
      </c>
    </row>
    <row r="303" spans="1:22" x14ac:dyDescent="0.25">
      <c r="A303" t="s">
        <v>850</v>
      </c>
      <c r="B303">
        <v>5338845</v>
      </c>
      <c r="C303" t="s">
        <v>851</v>
      </c>
      <c r="D303">
        <f>VLOOKUP($C303,'2000 Place'!$C$2:$Y$523,5,FALSE)</f>
        <v>2036</v>
      </c>
      <c r="E303">
        <f>VLOOKUP($C303,'2000 Place'!$C$2:$Y$523,6,FALSE)</f>
        <v>1859</v>
      </c>
      <c r="F303">
        <f>VLOOKUP($C303,'2000 Place'!$C$2:$Y$523,7,FALSE)</f>
        <v>177</v>
      </c>
      <c r="G303">
        <f>VLOOKUP($C303,'2000 Place'!$C$2:$Y$523,8,FALSE)</f>
        <v>1718</v>
      </c>
      <c r="H303">
        <f>VLOOKUP($C303,'2000 Place'!$C$2:$Y$523,9,FALSE)</f>
        <v>114</v>
      </c>
      <c r="I303">
        <f>VLOOKUP($C303,'2000 Place'!$C$2:$Y$523,10,FALSE)</f>
        <v>13</v>
      </c>
      <c r="J303">
        <f>VLOOKUP($C303,'2000 Place'!$C$2:$Y$523,11,FALSE)</f>
        <v>13</v>
      </c>
      <c r="K303">
        <f>VLOOKUP($C303,'2000 Place'!$C$2:$Y$523,12,FALSE)</f>
        <v>0</v>
      </c>
      <c r="L303">
        <f>VLOOKUP($C303,'2000 Place'!$C$2:$Y$523,13,FALSE)</f>
        <v>0</v>
      </c>
      <c r="M303">
        <f>VLOOKUP($C303,'2000 Place'!$C$2:$Y$523,14,FALSE)</f>
        <v>58</v>
      </c>
      <c r="N303">
        <f>VLOOKUP($C303,'2000 Place'!$C$2:$Y$523,15,FALSE)</f>
        <v>0</v>
      </c>
      <c r="O303">
        <f>VLOOKUP($C303,'2000 Place'!$C$2:$Y$523,16,FALSE)</f>
        <v>0</v>
      </c>
      <c r="P303">
        <f>VLOOKUP($C303,'2000 Place'!$C$2:$Y$523,17,FALSE)</f>
        <v>7</v>
      </c>
      <c r="Q303">
        <f>VLOOKUP($C303,'2000 Place'!$C$2:$Y$523,18,FALSE)</f>
        <v>0</v>
      </c>
      <c r="R303">
        <f>VLOOKUP($C303,'2000 Place'!$C$2:$Y$523,19,FALSE)</f>
        <v>0</v>
      </c>
      <c r="S303">
        <f>VLOOKUP($C303,'2000 Place'!$C$2:$Y$523,20,FALSE)</f>
        <v>12</v>
      </c>
      <c r="T303">
        <f>VLOOKUP($C303,'2000 Place'!$C$2:$Y$523,21,FALSE)</f>
        <v>43</v>
      </c>
      <c r="U303">
        <f>VLOOKUP($C303,'2000 Place'!$C$2:$Y$523,22,FALSE)</f>
        <v>58</v>
      </c>
      <c r="V303">
        <f>VLOOKUP($C303,'2000 Place'!$C$2:$Y$523,23,FALSE)</f>
        <v>0</v>
      </c>
    </row>
    <row r="304" spans="1:22" x14ac:dyDescent="0.25">
      <c r="A304" t="s">
        <v>852</v>
      </c>
      <c r="B304">
        <v>5338880</v>
      </c>
      <c r="C304" t="s">
        <v>853</v>
      </c>
      <c r="D304">
        <f>VLOOKUP($C304,'2000 Place'!$C$2:$Y$523,5,FALSE)</f>
        <v>202</v>
      </c>
      <c r="E304">
        <f>VLOOKUP($C304,'2000 Place'!$C$2:$Y$523,6,FALSE)</f>
        <v>192</v>
      </c>
      <c r="F304">
        <f>VLOOKUP($C304,'2000 Place'!$C$2:$Y$523,7,FALSE)</f>
        <v>10</v>
      </c>
      <c r="G304">
        <f>VLOOKUP($C304,'2000 Place'!$C$2:$Y$523,8,FALSE)</f>
        <v>153</v>
      </c>
      <c r="H304">
        <f>VLOOKUP($C304,'2000 Place'!$C$2:$Y$523,9,FALSE)</f>
        <v>0</v>
      </c>
      <c r="I304">
        <f>VLOOKUP($C304,'2000 Place'!$C$2:$Y$523,10,FALSE)</f>
        <v>0</v>
      </c>
      <c r="J304">
        <f>VLOOKUP($C304,'2000 Place'!$C$2:$Y$523,11,FALSE)</f>
        <v>0</v>
      </c>
      <c r="K304">
        <f>VLOOKUP($C304,'2000 Place'!$C$2:$Y$523,12,FALSE)</f>
        <v>0</v>
      </c>
      <c r="L304">
        <f>VLOOKUP($C304,'2000 Place'!$C$2:$Y$523,13,FALSE)</f>
        <v>0</v>
      </c>
      <c r="M304">
        <f>VLOOKUP($C304,'2000 Place'!$C$2:$Y$523,14,FALSE)</f>
        <v>35</v>
      </c>
      <c r="N304">
        <f>VLOOKUP($C304,'2000 Place'!$C$2:$Y$523,15,FALSE)</f>
        <v>0</v>
      </c>
      <c r="O304">
        <f>VLOOKUP($C304,'2000 Place'!$C$2:$Y$523,16,FALSE)</f>
        <v>0</v>
      </c>
      <c r="P304">
        <f>VLOOKUP($C304,'2000 Place'!$C$2:$Y$523,17,FALSE)</f>
        <v>0</v>
      </c>
      <c r="Q304">
        <f>VLOOKUP($C304,'2000 Place'!$C$2:$Y$523,18,FALSE)</f>
        <v>0</v>
      </c>
      <c r="R304">
        <f>VLOOKUP($C304,'2000 Place'!$C$2:$Y$523,19,FALSE)</f>
        <v>0</v>
      </c>
      <c r="S304">
        <f>VLOOKUP($C304,'2000 Place'!$C$2:$Y$523,20,FALSE)</f>
        <v>4</v>
      </c>
      <c r="T304">
        <f>VLOOKUP($C304,'2000 Place'!$C$2:$Y$523,21,FALSE)</f>
        <v>10</v>
      </c>
      <c r="U304">
        <f>VLOOKUP($C304,'2000 Place'!$C$2:$Y$523,22,FALSE)</f>
        <v>0</v>
      </c>
      <c r="V304">
        <f>VLOOKUP($C304,'2000 Place'!$C$2:$Y$523,23,FALSE)</f>
        <v>0</v>
      </c>
    </row>
    <row r="305" spans="1:22" x14ac:dyDescent="0.25">
      <c r="A305" t="s">
        <v>854</v>
      </c>
      <c r="B305">
        <v>5339212</v>
      </c>
      <c r="C305" t="s">
        <v>855</v>
      </c>
      <c r="D305">
        <f>VLOOKUP($C305,'2000 Place'!$C$2:$Y$523,5,FALSE)</f>
        <v>1717</v>
      </c>
      <c r="E305">
        <f>VLOOKUP($C305,'2000 Place'!$C$2:$Y$523,6,FALSE)</f>
        <v>1673</v>
      </c>
      <c r="F305">
        <f>VLOOKUP($C305,'2000 Place'!$C$2:$Y$523,7,FALSE)</f>
        <v>44</v>
      </c>
      <c r="G305">
        <f>VLOOKUP($C305,'2000 Place'!$C$2:$Y$523,8,FALSE)</f>
        <v>1597</v>
      </c>
      <c r="H305">
        <f>VLOOKUP($C305,'2000 Place'!$C$2:$Y$523,9,FALSE)</f>
        <v>34</v>
      </c>
      <c r="I305">
        <f>VLOOKUP($C305,'2000 Place'!$C$2:$Y$523,10,FALSE)</f>
        <v>0</v>
      </c>
      <c r="J305">
        <f>VLOOKUP($C305,'2000 Place'!$C$2:$Y$523,11,FALSE)</f>
        <v>0</v>
      </c>
      <c r="K305">
        <f>VLOOKUP($C305,'2000 Place'!$C$2:$Y$523,12,FALSE)</f>
        <v>0</v>
      </c>
      <c r="L305">
        <f>VLOOKUP($C305,'2000 Place'!$C$2:$Y$523,13,FALSE)</f>
        <v>0</v>
      </c>
      <c r="M305">
        <f>VLOOKUP($C305,'2000 Place'!$C$2:$Y$523,14,FALSE)</f>
        <v>0</v>
      </c>
      <c r="N305">
        <f>VLOOKUP($C305,'2000 Place'!$C$2:$Y$523,15,FALSE)</f>
        <v>0</v>
      </c>
      <c r="O305">
        <f>VLOOKUP($C305,'2000 Place'!$C$2:$Y$523,16,FALSE)</f>
        <v>0</v>
      </c>
      <c r="P305">
        <f>VLOOKUP($C305,'2000 Place'!$C$2:$Y$523,17,FALSE)</f>
        <v>0</v>
      </c>
      <c r="Q305">
        <f>VLOOKUP($C305,'2000 Place'!$C$2:$Y$523,18,FALSE)</f>
        <v>0</v>
      </c>
      <c r="R305">
        <f>VLOOKUP($C305,'2000 Place'!$C$2:$Y$523,19,FALSE)</f>
        <v>0</v>
      </c>
      <c r="S305">
        <f>VLOOKUP($C305,'2000 Place'!$C$2:$Y$523,20,FALSE)</f>
        <v>35</v>
      </c>
      <c r="T305">
        <f>VLOOKUP($C305,'2000 Place'!$C$2:$Y$523,21,FALSE)</f>
        <v>10</v>
      </c>
      <c r="U305">
        <f>VLOOKUP($C305,'2000 Place'!$C$2:$Y$523,22,FALSE)</f>
        <v>41</v>
      </c>
      <c r="V305">
        <f>VLOOKUP($C305,'2000 Place'!$C$2:$Y$523,23,FALSE)</f>
        <v>0</v>
      </c>
    </row>
    <row r="306" spans="1:22" x14ac:dyDescent="0.25">
      <c r="A306" t="s">
        <v>856</v>
      </c>
      <c r="B306">
        <v>5339335</v>
      </c>
      <c r="C306" t="s">
        <v>857</v>
      </c>
      <c r="D306" t="e">
        <f>VLOOKUP($C306,'2000 Place'!$C$2:$Y$523,5,FALSE)</f>
        <v>#N/A</v>
      </c>
      <c r="E306" t="e">
        <f>VLOOKUP($C306,'2000 Place'!$C$2:$Y$523,6,FALSE)</f>
        <v>#N/A</v>
      </c>
      <c r="F306" t="e">
        <f>VLOOKUP($C306,'2000 Place'!$C$2:$Y$523,7,FALSE)</f>
        <v>#N/A</v>
      </c>
      <c r="G306" t="e">
        <f>VLOOKUP($C306,'2000 Place'!$C$2:$Y$523,8,FALSE)</f>
        <v>#N/A</v>
      </c>
      <c r="H306" t="e">
        <f>VLOOKUP($C306,'2000 Place'!$C$2:$Y$523,9,FALSE)</f>
        <v>#N/A</v>
      </c>
      <c r="I306" t="e">
        <f>VLOOKUP($C306,'2000 Place'!$C$2:$Y$523,10,FALSE)</f>
        <v>#N/A</v>
      </c>
      <c r="J306" t="e">
        <f>VLOOKUP($C306,'2000 Place'!$C$2:$Y$523,11,FALSE)</f>
        <v>#N/A</v>
      </c>
      <c r="K306" t="e">
        <f>VLOOKUP($C306,'2000 Place'!$C$2:$Y$523,12,FALSE)</f>
        <v>#N/A</v>
      </c>
      <c r="L306" t="e">
        <f>VLOOKUP($C306,'2000 Place'!$C$2:$Y$523,13,FALSE)</f>
        <v>#N/A</v>
      </c>
      <c r="M306" t="e">
        <f>VLOOKUP($C306,'2000 Place'!$C$2:$Y$523,14,FALSE)</f>
        <v>#N/A</v>
      </c>
      <c r="N306" t="e">
        <f>VLOOKUP($C306,'2000 Place'!$C$2:$Y$523,15,FALSE)</f>
        <v>#N/A</v>
      </c>
      <c r="O306" t="e">
        <f>VLOOKUP($C306,'2000 Place'!$C$2:$Y$523,16,FALSE)</f>
        <v>#N/A</v>
      </c>
      <c r="P306" t="e">
        <f>VLOOKUP($C306,'2000 Place'!$C$2:$Y$523,17,FALSE)</f>
        <v>#N/A</v>
      </c>
      <c r="Q306" t="e">
        <f>VLOOKUP($C306,'2000 Place'!$C$2:$Y$523,18,FALSE)</f>
        <v>#N/A</v>
      </c>
      <c r="R306" t="e">
        <f>VLOOKUP($C306,'2000 Place'!$C$2:$Y$523,19,FALSE)</f>
        <v>#N/A</v>
      </c>
      <c r="S306" t="e">
        <f>VLOOKUP($C306,'2000 Place'!$C$2:$Y$523,20,FALSE)</f>
        <v>#N/A</v>
      </c>
      <c r="T306" t="e">
        <f>VLOOKUP($C306,'2000 Place'!$C$2:$Y$523,21,FALSE)</f>
        <v>#N/A</v>
      </c>
      <c r="U306" t="e">
        <f>VLOOKUP($C306,'2000 Place'!$C$2:$Y$523,22,FALSE)</f>
        <v>#N/A</v>
      </c>
      <c r="V306" t="e">
        <f>VLOOKUP($C306,'2000 Place'!$C$2:$Y$523,23,FALSE)</f>
        <v>#N/A</v>
      </c>
    </row>
    <row r="307" spans="1:22" x14ac:dyDescent="0.25">
      <c r="A307" t="s">
        <v>858</v>
      </c>
      <c r="B307">
        <v>5339510</v>
      </c>
      <c r="C307" t="s">
        <v>859</v>
      </c>
      <c r="D307">
        <f>VLOOKUP($C307,'2000 Place'!$C$2:$Y$523,5,FALSE)</f>
        <v>585</v>
      </c>
      <c r="E307">
        <f>VLOOKUP($C307,'2000 Place'!$C$2:$Y$523,6,FALSE)</f>
        <v>557</v>
      </c>
      <c r="F307">
        <f>VLOOKUP($C307,'2000 Place'!$C$2:$Y$523,7,FALSE)</f>
        <v>28</v>
      </c>
      <c r="G307">
        <f>VLOOKUP($C307,'2000 Place'!$C$2:$Y$523,8,FALSE)</f>
        <v>506</v>
      </c>
      <c r="H307">
        <f>VLOOKUP($C307,'2000 Place'!$C$2:$Y$523,9,FALSE)</f>
        <v>8</v>
      </c>
      <c r="I307">
        <f>VLOOKUP($C307,'2000 Place'!$C$2:$Y$523,10,FALSE)</f>
        <v>13</v>
      </c>
      <c r="J307">
        <f>VLOOKUP($C307,'2000 Place'!$C$2:$Y$523,11,FALSE)</f>
        <v>0</v>
      </c>
      <c r="K307">
        <f>VLOOKUP($C307,'2000 Place'!$C$2:$Y$523,12,FALSE)</f>
        <v>2</v>
      </c>
      <c r="L307">
        <f>VLOOKUP($C307,'2000 Place'!$C$2:$Y$523,13,FALSE)</f>
        <v>0</v>
      </c>
      <c r="M307">
        <f>VLOOKUP($C307,'2000 Place'!$C$2:$Y$523,14,FALSE)</f>
        <v>0</v>
      </c>
      <c r="N307">
        <f>VLOOKUP($C307,'2000 Place'!$C$2:$Y$523,15,FALSE)</f>
        <v>0</v>
      </c>
      <c r="O307">
        <f>VLOOKUP($C307,'2000 Place'!$C$2:$Y$523,16,FALSE)</f>
        <v>0</v>
      </c>
      <c r="P307">
        <f>VLOOKUP($C307,'2000 Place'!$C$2:$Y$523,17,FALSE)</f>
        <v>0</v>
      </c>
      <c r="Q307">
        <f>VLOOKUP($C307,'2000 Place'!$C$2:$Y$523,18,FALSE)</f>
        <v>0</v>
      </c>
      <c r="R307">
        <f>VLOOKUP($C307,'2000 Place'!$C$2:$Y$523,19,FALSE)</f>
        <v>0</v>
      </c>
      <c r="S307">
        <f>VLOOKUP($C307,'2000 Place'!$C$2:$Y$523,20,FALSE)</f>
        <v>32</v>
      </c>
      <c r="T307">
        <f>VLOOKUP($C307,'2000 Place'!$C$2:$Y$523,21,FALSE)</f>
        <v>20</v>
      </c>
      <c r="U307">
        <f>VLOOKUP($C307,'2000 Place'!$C$2:$Y$523,22,FALSE)</f>
        <v>4</v>
      </c>
      <c r="V307">
        <f>VLOOKUP($C307,'2000 Place'!$C$2:$Y$523,23,FALSE)</f>
        <v>0</v>
      </c>
    </row>
    <row r="308" spans="1:22" x14ac:dyDescent="0.25">
      <c r="A308" t="s">
        <v>860</v>
      </c>
      <c r="B308">
        <v>5339860</v>
      </c>
      <c r="C308" t="s">
        <v>861</v>
      </c>
      <c r="D308">
        <f>VLOOKUP($C308,'2000 Place'!$C$2:$Y$523,5,FALSE)</f>
        <v>2111</v>
      </c>
      <c r="E308">
        <f>VLOOKUP($C308,'2000 Place'!$C$2:$Y$523,6,FALSE)</f>
        <v>1962</v>
      </c>
      <c r="F308">
        <f>VLOOKUP($C308,'2000 Place'!$C$2:$Y$523,7,FALSE)</f>
        <v>149</v>
      </c>
      <c r="G308">
        <f>VLOOKUP($C308,'2000 Place'!$C$2:$Y$523,8,FALSE)</f>
        <v>1799</v>
      </c>
      <c r="H308">
        <f>VLOOKUP($C308,'2000 Place'!$C$2:$Y$523,9,FALSE)</f>
        <v>84</v>
      </c>
      <c r="I308">
        <f>VLOOKUP($C308,'2000 Place'!$C$2:$Y$523,10,FALSE)</f>
        <v>57</v>
      </c>
      <c r="J308">
        <f>VLOOKUP($C308,'2000 Place'!$C$2:$Y$523,11,FALSE)</f>
        <v>24</v>
      </c>
      <c r="K308">
        <f>VLOOKUP($C308,'2000 Place'!$C$2:$Y$523,12,FALSE)</f>
        <v>0</v>
      </c>
      <c r="L308">
        <f>VLOOKUP($C308,'2000 Place'!$C$2:$Y$523,13,FALSE)</f>
        <v>0</v>
      </c>
      <c r="M308">
        <f>VLOOKUP($C308,'2000 Place'!$C$2:$Y$523,14,FALSE)</f>
        <v>38</v>
      </c>
      <c r="N308">
        <f>VLOOKUP($C308,'2000 Place'!$C$2:$Y$523,15,FALSE)</f>
        <v>0</v>
      </c>
      <c r="O308">
        <f>VLOOKUP($C308,'2000 Place'!$C$2:$Y$523,16,FALSE)</f>
        <v>11</v>
      </c>
      <c r="P308">
        <f>VLOOKUP($C308,'2000 Place'!$C$2:$Y$523,17,FALSE)</f>
        <v>0</v>
      </c>
      <c r="Q308">
        <f>VLOOKUP($C308,'2000 Place'!$C$2:$Y$523,18,FALSE)</f>
        <v>17</v>
      </c>
      <c r="R308">
        <f>VLOOKUP($C308,'2000 Place'!$C$2:$Y$523,19,FALSE)</f>
        <v>13</v>
      </c>
      <c r="S308">
        <f>VLOOKUP($C308,'2000 Place'!$C$2:$Y$523,20,FALSE)</f>
        <v>8</v>
      </c>
      <c r="T308">
        <f>VLOOKUP($C308,'2000 Place'!$C$2:$Y$523,21,FALSE)</f>
        <v>28</v>
      </c>
      <c r="U308">
        <f>VLOOKUP($C308,'2000 Place'!$C$2:$Y$523,22,FALSE)</f>
        <v>32</v>
      </c>
      <c r="V308">
        <f>VLOOKUP($C308,'2000 Place'!$C$2:$Y$523,23,FALSE)</f>
        <v>0</v>
      </c>
    </row>
    <row r="309" spans="1:22" x14ac:dyDescent="0.25">
      <c r="A309" t="s">
        <v>862</v>
      </c>
      <c r="B309">
        <v>5339930</v>
      </c>
      <c r="C309" t="s">
        <v>863</v>
      </c>
      <c r="D309" t="e">
        <f>VLOOKUP($C309,'2000 Place'!$C$2:$Y$523,5,FALSE)</f>
        <v>#N/A</v>
      </c>
      <c r="E309" t="e">
        <f>VLOOKUP($C309,'2000 Place'!$C$2:$Y$523,6,FALSE)</f>
        <v>#N/A</v>
      </c>
      <c r="F309" t="e">
        <f>VLOOKUP($C309,'2000 Place'!$C$2:$Y$523,7,FALSE)</f>
        <v>#N/A</v>
      </c>
      <c r="G309" t="e">
        <f>VLOOKUP($C309,'2000 Place'!$C$2:$Y$523,8,FALSE)</f>
        <v>#N/A</v>
      </c>
      <c r="H309" t="e">
        <f>VLOOKUP($C309,'2000 Place'!$C$2:$Y$523,9,FALSE)</f>
        <v>#N/A</v>
      </c>
      <c r="I309" t="e">
        <f>VLOOKUP($C309,'2000 Place'!$C$2:$Y$523,10,FALSE)</f>
        <v>#N/A</v>
      </c>
      <c r="J309" t="e">
        <f>VLOOKUP($C309,'2000 Place'!$C$2:$Y$523,11,FALSE)</f>
        <v>#N/A</v>
      </c>
      <c r="K309" t="e">
        <f>VLOOKUP($C309,'2000 Place'!$C$2:$Y$523,12,FALSE)</f>
        <v>#N/A</v>
      </c>
      <c r="L309" t="e">
        <f>VLOOKUP($C309,'2000 Place'!$C$2:$Y$523,13,FALSE)</f>
        <v>#N/A</v>
      </c>
      <c r="M309" t="e">
        <f>VLOOKUP($C309,'2000 Place'!$C$2:$Y$523,14,FALSE)</f>
        <v>#N/A</v>
      </c>
      <c r="N309" t="e">
        <f>VLOOKUP($C309,'2000 Place'!$C$2:$Y$523,15,FALSE)</f>
        <v>#N/A</v>
      </c>
      <c r="O309" t="e">
        <f>VLOOKUP($C309,'2000 Place'!$C$2:$Y$523,16,FALSE)</f>
        <v>#N/A</v>
      </c>
      <c r="P309" t="e">
        <f>VLOOKUP($C309,'2000 Place'!$C$2:$Y$523,17,FALSE)</f>
        <v>#N/A</v>
      </c>
      <c r="Q309" t="e">
        <f>VLOOKUP($C309,'2000 Place'!$C$2:$Y$523,18,FALSE)</f>
        <v>#N/A</v>
      </c>
      <c r="R309" t="e">
        <f>VLOOKUP($C309,'2000 Place'!$C$2:$Y$523,19,FALSE)</f>
        <v>#N/A</v>
      </c>
      <c r="S309" t="e">
        <f>VLOOKUP($C309,'2000 Place'!$C$2:$Y$523,20,FALSE)</f>
        <v>#N/A</v>
      </c>
      <c r="T309" t="e">
        <f>VLOOKUP($C309,'2000 Place'!$C$2:$Y$523,21,FALSE)</f>
        <v>#N/A</v>
      </c>
      <c r="U309" t="e">
        <f>VLOOKUP($C309,'2000 Place'!$C$2:$Y$523,22,FALSE)</f>
        <v>#N/A</v>
      </c>
      <c r="V309" t="e">
        <f>VLOOKUP($C309,'2000 Place'!$C$2:$Y$523,23,FALSE)</f>
        <v>#N/A</v>
      </c>
    </row>
    <row r="310" spans="1:22" x14ac:dyDescent="0.25">
      <c r="A310" t="s">
        <v>864</v>
      </c>
      <c r="B310">
        <v>5340070</v>
      </c>
      <c r="C310" t="s">
        <v>865</v>
      </c>
      <c r="D310">
        <f>VLOOKUP($C310,'2000 Place'!$C$2:$Y$523,5,FALSE)</f>
        <v>1286</v>
      </c>
      <c r="E310">
        <f>VLOOKUP($C310,'2000 Place'!$C$2:$Y$523,6,FALSE)</f>
        <v>1195</v>
      </c>
      <c r="F310">
        <f>VLOOKUP($C310,'2000 Place'!$C$2:$Y$523,7,FALSE)</f>
        <v>91</v>
      </c>
      <c r="G310">
        <f>VLOOKUP($C310,'2000 Place'!$C$2:$Y$523,8,FALSE)</f>
        <v>1083</v>
      </c>
      <c r="H310">
        <f>VLOOKUP($C310,'2000 Place'!$C$2:$Y$523,9,FALSE)</f>
        <v>39</v>
      </c>
      <c r="I310">
        <f>VLOOKUP($C310,'2000 Place'!$C$2:$Y$523,10,FALSE)</f>
        <v>35</v>
      </c>
      <c r="J310">
        <f>VLOOKUP($C310,'2000 Place'!$C$2:$Y$523,11,FALSE)</f>
        <v>13</v>
      </c>
      <c r="K310">
        <f>VLOOKUP($C310,'2000 Place'!$C$2:$Y$523,12,FALSE)</f>
        <v>2</v>
      </c>
      <c r="L310">
        <f>VLOOKUP($C310,'2000 Place'!$C$2:$Y$523,13,FALSE)</f>
        <v>0</v>
      </c>
      <c r="M310">
        <f>VLOOKUP($C310,'2000 Place'!$C$2:$Y$523,14,FALSE)</f>
        <v>18</v>
      </c>
      <c r="N310">
        <f>VLOOKUP($C310,'2000 Place'!$C$2:$Y$523,15,FALSE)</f>
        <v>5</v>
      </c>
      <c r="O310">
        <f>VLOOKUP($C310,'2000 Place'!$C$2:$Y$523,16,FALSE)</f>
        <v>5</v>
      </c>
      <c r="P310">
        <f>VLOOKUP($C310,'2000 Place'!$C$2:$Y$523,17,FALSE)</f>
        <v>19</v>
      </c>
      <c r="Q310">
        <f>VLOOKUP($C310,'2000 Place'!$C$2:$Y$523,18,FALSE)</f>
        <v>0</v>
      </c>
      <c r="R310">
        <f>VLOOKUP($C310,'2000 Place'!$C$2:$Y$523,19,FALSE)</f>
        <v>0</v>
      </c>
      <c r="S310">
        <f>VLOOKUP($C310,'2000 Place'!$C$2:$Y$523,20,FALSE)</f>
        <v>0</v>
      </c>
      <c r="T310">
        <f>VLOOKUP($C310,'2000 Place'!$C$2:$Y$523,21,FALSE)</f>
        <v>6</v>
      </c>
      <c r="U310">
        <f>VLOOKUP($C310,'2000 Place'!$C$2:$Y$523,22,FALSE)</f>
        <v>52</v>
      </c>
      <c r="V310">
        <f>VLOOKUP($C310,'2000 Place'!$C$2:$Y$523,23,FALSE)</f>
        <v>9</v>
      </c>
    </row>
    <row r="311" spans="1:22" x14ac:dyDescent="0.25">
      <c r="A311" t="s">
        <v>866</v>
      </c>
      <c r="B311">
        <v>5340105</v>
      </c>
      <c r="C311" t="s">
        <v>867</v>
      </c>
      <c r="D311" t="e">
        <f>VLOOKUP($C311,'2000 Place'!$C$2:$Y$523,5,FALSE)</f>
        <v>#N/A</v>
      </c>
      <c r="E311" t="e">
        <f>VLOOKUP($C311,'2000 Place'!$C$2:$Y$523,6,FALSE)</f>
        <v>#N/A</v>
      </c>
      <c r="F311" t="e">
        <f>VLOOKUP($C311,'2000 Place'!$C$2:$Y$523,7,FALSE)</f>
        <v>#N/A</v>
      </c>
      <c r="G311" t="e">
        <f>VLOOKUP($C311,'2000 Place'!$C$2:$Y$523,8,FALSE)</f>
        <v>#N/A</v>
      </c>
      <c r="H311" t="e">
        <f>VLOOKUP($C311,'2000 Place'!$C$2:$Y$523,9,FALSE)</f>
        <v>#N/A</v>
      </c>
      <c r="I311" t="e">
        <f>VLOOKUP($C311,'2000 Place'!$C$2:$Y$523,10,FALSE)</f>
        <v>#N/A</v>
      </c>
      <c r="J311" t="e">
        <f>VLOOKUP($C311,'2000 Place'!$C$2:$Y$523,11,FALSE)</f>
        <v>#N/A</v>
      </c>
      <c r="K311" t="e">
        <f>VLOOKUP($C311,'2000 Place'!$C$2:$Y$523,12,FALSE)</f>
        <v>#N/A</v>
      </c>
      <c r="L311" t="e">
        <f>VLOOKUP($C311,'2000 Place'!$C$2:$Y$523,13,FALSE)</f>
        <v>#N/A</v>
      </c>
      <c r="M311" t="e">
        <f>VLOOKUP($C311,'2000 Place'!$C$2:$Y$523,14,FALSE)</f>
        <v>#N/A</v>
      </c>
      <c r="N311" t="e">
        <f>VLOOKUP($C311,'2000 Place'!$C$2:$Y$523,15,FALSE)</f>
        <v>#N/A</v>
      </c>
      <c r="O311" t="e">
        <f>VLOOKUP($C311,'2000 Place'!$C$2:$Y$523,16,FALSE)</f>
        <v>#N/A</v>
      </c>
      <c r="P311" t="e">
        <f>VLOOKUP($C311,'2000 Place'!$C$2:$Y$523,17,FALSE)</f>
        <v>#N/A</v>
      </c>
      <c r="Q311" t="e">
        <f>VLOOKUP($C311,'2000 Place'!$C$2:$Y$523,18,FALSE)</f>
        <v>#N/A</v>
      </c>
      <c r="R311" t="e">
        <f>VLOOKUP($C311,'2000 Place'!$C$2:$Y$523,19,FALSE)</f>
        <v>#N/A</v>
      </c>
      <c r="S311" t="e">
        <f>VLOOKUP($C311,'2000 Place'!$C$2:$Y$523,20,FALSE)</f>
        <v>#N/A</v>
      </c>
      <c r="T311" t="e">
        <f>VLOOKUP($C311,'2000 Place'!$C$2:$Y$523,21,FALSE)</f>
        <v>#N/A</v>
      </c>
      <c r="U311" t="e">
        <f>VLOOKUP($C311,'2000 Place'!$C$2:$Y$523,22,FALSE)</f>
        <v>#N/A</v>
      </c>
      <c r="V311" t="e">
        <f>VLOOKUP($C311,'2000 Place'!$C$2:$Y$523,23,FALSE)</f>
        <v>#N/A</v>
      </c>
    </row>
    <row r="312" spans="1:22" x14ac:dyDescent="0.25">
      <c r="A312" t="s">
        <v>868</v>
      </c>
      <c r="B312">
        <v>5340245</v>
      </c>
      <c r="C312" t="s">
        <v>869</v>
      </c>
      <c r="D312">
        <f>VLOOKUP($C312,'2000 Place'!$C$2:$Y$523,5,FALSE)</f>
        <v>34804</v>
      </c>
      <c r="E312">
        <f>VLOOKUP($C312,'2000 Place'!$C$2:$Y$523,6,FALSE)</f>
        <v>32621</v>
      </c>
      <c r="F312">
        <f>VLOOKUP($C312,'2000 Place'!$C$2:$Y$523,7,FALSE)</f>
        <v>2183</v>
      </c>
      <c r="G312">
        <f>VLOOKUP($C312,'2000 Place'!$C$2:$Y$523,8,FALSE)</f>
        <v>29535</v>
      </c>
      <c r="H312">
        <f>VLOOKUP($C312,'2000 Place'!$C$2:$Y$523,9,FALSE)</f>
        <v>739</v>
      </c>
      <c r="I312">
        <f>VLOOKUP($C312,'2000 Place'!$C$2:$Y$523,10,FALSE)</f>
        <v>575</v>
      </c>
      <c r="J312">
        <f>VLOOKUP($C312,'2000 Place'!$C$2:$Y$523,11,FALSE)</f>
        <v>245</v>
      </c>
      <c r="K312">
        <f>VLOOKUP($C312,'2000 Place'!$C$2:$Y$523,12,FALSE)</f>
        <v>204</v>
      </c>
      <c r="L312">
        <f>VLOOKUP($C312,'2000 Place'!$C$2:$Y$523,13,FALSE)</f>
        <v>24</v>
      </c>
      <c r="M312">
        <f>VLOOKUP($C312,'2000 Place'!$C$2:$Y$523,14,FALSE)</f>
        <v>647</v>
      </c>
      <c r="N312">
        <f>VLOOKUP($C312,'2000 Place'!$C$2:$Y$523,15,FALSE)</f>
        <v>0</v>
      </c>
      <c r="O312">
        <f>VLOOKUP($C312,'2000 Place'!$C$2:$Y$523,16,FALSE)</f>
        <v>296</v>
      </c>
      <c r="P312">
        <f>VLOOKUP($C312,'2000 Place'!$C$2:$Y$523,17,FALSE)</f>
        <v>563</v>
      </c>
      <c r="Q312">
        <f>VLOOKUP($C312,'2000 Place'!$C$2:$Y$523,18,FALSE)</f>
        <v>37</v>
      </c>
      <c r="R312">
        <f>VLOOKUP($C312,'2000 Place'!$C$2:$Y$523,19,FALSE)</f>
        <v>0</v>
      </c>
      <c r="S312">
        <f>VLOOKUP($C312,'2000 Place'!$C$2:$Y$523,20,FALSE)</f>
        <v>523</v>
      </c>
      <c r="T312">
        <f>VLOOKUP($C312,'2000 Place'!$C$2:$Y$523,21,FALSE)</f>
        <v>543</v>
      </c>
      <c r="U312">
        <f>VLOOKUP($C312,'2000 Place'!$C$2:$Y$523,22,FALSE)</f>
        <v>804</v>
      </c>
      <c r="V312">
        <f>VLOOKUP($C312,'2000 Place'!$C$2:$Y$523,23,FALSE)</f>
        <v>69</v>
      </c>
    </row>
    <row r="313" spans="1:22" x14ac:dyDescent="0.25">
      <c r="A313" t="s">
        <v>870</v>
      </c>
      <c r="B313">
        <v>5340270</v>
      </c>
      <c r="C313" t="s">
        <v>871</v>
      </c>
      <c r="D313">
        <f>VLOOKUP($C313,'2000 Place'!$C$2:$Y$523,5,FALSE)</f>
        <v>3292</v>
      </c>
      <c r="E313">
        <f>VLOOKUP($C313,'2000 Place'!$C$2:$Y$523,6,FALSE)</f>
        <v>3177</v>
      </c>
      <c r="F313">
        <f>VLOOKUP($C313,'2000 Place'!$C$2:$Y$523,7,FALSE)</f>
        <v>115</v>
      </c>
      <c r="G313">
        <f>VLOOKUP($C313,'2000 Place'!$C$2:$Y$523,8,FALSE)</f>
        <v>3007</v>
      </c>
      <c r="H313">
        <f>VLOOKUP($C313,'2000 Place'!$C$2:$Y$523,9,FALSE)</f>
        <v>103</v>
      </c>
      <c r="I313">
        <f>VLOOKUP($C313,'2000 Place'!$C$2:$Y$523,10,FALSE)</f>
        <v>6</v>
      </c>
      <c r="J313">
        <f>VLOOKUP($C313,'2000 Place'!$C$2:$Y$523,11,FALSE)</f>
        <v>0</v>
      </c>
      <c r="K313">
        <f>VLOOKUP($C313,'2000 Place'!$C$2:$Y$523,12,FALSE)</f>
        <v>0</v>
      </c>
      <c r="L313">
        <f>VLOOKUP($C313,'2000 Place'!$C$2:$Y$523,13,FALSE)</f>
        <v>0</v>
      </c>
      <c r="M313">
        <f>VLOOKUP($C313,'2000 Place'!$C$2:$Y$523,14,FALSE)</f>
        <v>59</v>
      </c>
      <c r="N313">
        <f>VLOOKUP($C313,'2000 Place'!$C$2:$Y$523,15,FALSE)</f>
        <v>0</v>
      </c>
      <c r="O313">
        <f>VLOOKUP($C313,'2000 Place'!$C$2:$Y$523,16,FALSE)</f>
        <v>8</v>
      </c>
      <c r="P313">
        <f>VLOOKUP($C313,'2000 Place'!$C$2:$Y$523,17,FALSE)</f>
        <v>12</v>
      </c>
      <c r="Q313">
        <f>VLOOKUP($C313,'2000 Place'!$C$2:$Y$523,18,FALSE)</f>
        <v>39</v>
      </c>
      <c r="R313">
        <f>VLOOKUP($C313,'2000 Place'!$C$2:$Y$523,19,FALSE)</f>
        <v>0</v>
      </c>
      <c r="S313">
        <f>VLOOKUP($C313,'2000 Place'!$C$2:$Y$523,20,FALSE)</f>
        <v>0</v>
      </c>
      <c r="T313">
        <f>VLOOKUP($C313,'2000 Place'!$C$2:$Y$523,21,FALSE)</f>
        <v>0</v>
      </c>
      <c r="U313">
        <f>VLOOKUP($C313,'2000 Place'!$C$2:$Y$523,22,FALSE)</f>
        <v>58</v>
      </c>
      <c r="V313">
        <f>VLOOKUP($C313,'2000 Place'!$C$2:$Y$523,23,FALSE)</f>
        <v>0</v>
      </c>
    </row>
    <row r="314" spans="1:22" x14ac:dyDescent="0.25">
      <c r="A314" t="s">
        <v>872</v>
      </c>
      <c r="B314">
        <v>5340350</v>
      </c>
      <c r="C314" t="s">
        <v>873</v>
      </c>
      <c r="D314" t="e">
        <f>VLOOKUP($C314,'2000 Place'!$C$2:$Y$523,5,FALSE)</f>
        <v>#N/A</v>
      </c>
      <c r="E314" t="e">
        <f>VLOOKUP($C314,'2000 Place'!$C$2:$Y$523,6,FALSE)</f>
        <v>#N/A</v>
      </c>
      <c r="F314" t="e">
        <f>VLOOKUP($C314,'2000 Place'!$C$2:$Y$523,7,FALSE)</f>
        <v>#N/A</v>
      </c>
      <c r="G314" t="e">
        <f>VLOOKUP($C314,'2000 Place'!$C$2:$Y$523,8,FALSE)</f>
        <v>#N/A</v>
      </c>
      <c r="H314" t="e">
        <f>VLOOKUP($C314,'2000 Place'!$C$2:$Y$523,9,FALSE)</f>
        <v>#N/A</v>
      </c>
      <c r="I314" t="e">
        <f>VLOOKUP($C314,'2000 Place'!$C$2:$Y$523,10,FALSE)</f>
        <v>#N/A</v>
      </c>
      <c r="J314" t="e">
        <f>VLOOKUP($C314,'2000 Place'!$C$2:$Y$523,11,FALSE)</f>
        <v>#N/A</v>
      </c>
      <c r="K314" t="e">
        <f>VLOOKUP($C314,'2000 Place'!$C$2:$Y$523,12,FALSE)</f>
        <v>#N/A</v>
      </c>
      <c r="L314" t="e">
        <f>VLOOKUP($C314,'2000 Place'!$C$2:$Y$523,13,FALSE)</f>
        <v>#N/A</v>
      </c>
      <c r="M314" t="e">
        <f>VLOOKUP($C314,'2000 Place'!$C$2:$Y$523,14,FALSE)</f>
        <v>#N/A</v>
      </c>
      <c r="N314" t="e">
        <f>VLOOKUP($C314,'2000 Place'!$C$2:$Y$523,15,FALSE)</f>
        <v>#N/A</v>
      </c>
      <c r="O314" t="e">
        <f>VLOOKUP($C314,'2000 Place'!$C$2:$Y$523,16,FALSE)</f>
        <v>#N/A</v>
      </c>
      <c r="P314" t="e">
        <f>VLOOKUP($C314,'2000 Place'!$C$2:$Y$523,17,FALSE)</f>
        <v>#N/A</v>
      </c>
      <c r="Q314" t="e">
        <f>VLOOKUP($C314,'2000 Place'!$C$2:$Y$523,18,FALSE)</f>
        <v>#N/A</v>
      </c>
      <c r="R314" t="e">
        <f>VLOOKUP($C314,'2000 Place'!$C$2:$Y$523,19,FALSE)</f>
        <v>#N/A</v>
      </c>
      <c r="S314" t="e">
        <f>VLOOKUP($C314,'2000 Place'!$C$2:$Y$523,20,FALSE)</f>
        <v>#N/A</v>
      </c>
      <c r="T314" t="e">
        <f>VLOOKUP($C314,'2000 Place'!$C$2:$Y$523,21,FALSE)</f>
        <v>#N/A</v>
      </c>
      <c r="U314" t="e">
        <f>VLOOKUP($C314,'2000 Place'!$C$2:$Y$523,22,FALSE)</f>
        <v>#N/A</v>
      </c>
      <c r="V314" t="e">
        <f>VLOOKUP($C314,'2000 Place'!$C$2:$Y$523,23,FALSE)</f>
        <v>#N/A</v>
      </c>
    </row>
    <row r="315" spans="1:22" x14ac:dyDescent="0.25">
      <c r="A315" t="s">
        <v>874</v>
      </c>
      <c r="B315">
        <v>5340385</v>
      </c>
      <c r="C315" t="s">
        <v>875</v>
      </c>
      <c r="D315" t="e">
        <f>VLOOKUP($C315,'2000 Place'!$C$2:$Y$523,5,FALSE)</f>
        <v>#N/A</v>
      </c>
      <c r="E315" t="e">
        <f>VLOOKUP($C315,'2000 Place'!$C$2:$Y$523,6,FALSE)</f>
        <v>#N/A</v>
      </c>
      <c r="F315" t="e">
        <f>VLOOKUP($C315,'2000 Place'!$C$2:$Y$523,7,FALSE)</f>
        <v>#N/A</v>
      </c>
      <c r="G315" t="e">
        <f>VLOOKUP($C315,'2000 Place'!$C$2:$Y$523,8,FALSE)</f>
        <v>#N/A</v>
      </c>
      <c r="H315" t="e">
        <f>VLOOKUP($C315,'2000 Place'!$C$2:$Y$523,9,FALSE)</f>
        <v>#N/A</v>
      </c>
      <c r="I315" t="e">
        <f>VLOOKUP($C315,'2000 Place'!$C$2:$Y$523,10,FALSE)</f>
        <v>#N/A</v>
      </c>
      <c r="J315" t="e">
        <f>VLOOKUP($C315,'2000 Place'!$C$2:$Y$523,11,FALSE)</f>
        <v>#N/A</v>
      </c>
      <c r="K315" t="e">
        <f>VLOOKUP($C315,'2000 Place'!$C$2:$Y$523,12,FALSE)</f>
        <v>#N/A</v>
      </c>
      <c r="L315" t="e">
        <f>VLOOKUP($C315,'2000 Place'!$C$2:$Y$523,13,FALSE)</f>
        <v>#N/A</v>
      </c>
      <c r="M315" t="e">
        <f>VLOOKUP($C315,'2000 Place'!$C$2:$Y$523,14,FALSE)</f>
        <v>#N/A</v>
      </c>
      <c r="N315" t="e">
        <f>VLOOKUP($C315,'2000 Place'!$C$2:$Y$523,15,FALSE)</f>
        <v>#N/A</v>
      </c>
      <c r="O315" t="e">
        <f>VLOOKUP($C315,'2000 Place'!$C$2:$Y$523,16,FALSE)</f>
        <v>#N/A</v>
      </c>
      <c r="P315" t="e">
        <f>VLOOKUP($C315,'2000 Place'!$C$2:$Y$523,17,FALSE)</f>
        <v>#N/A</v>
      </c>
      <c r="Q315" t="e">
        <f>VLOOKUP($C315,'2000 Place'!$C$2:$Y$523,18,FALSE)</f>
        <v>#N/A</v>
      </c>
      <c r="R315" t="e">
        <f>VLOOKUP($C315,'2000 Place'!$C$2:$Y$523,19,FALSE)</f>
        <v>#N/A</v>
      </c>
      <c r="S315" t="e">
        <f>VLOOKUP($C315,'2000 Place'!$C$2:$Y$523,20,FALSE)</f>
        <v>#N/A</v>
      </c>
      <c r="T315" t="e">
        <f>VLOOKUP($C315,'2000 Place'!$C$2:$Y$523,21,FALSE)</f>
        <v>#N/A</v>
      </c>
      <c r="U315" t="e">
        <f>VLOOKUP($C315,'2000 Place'!$C$2:$Y$523,22,FALSE)</f>
        <v>#N/A</v>
      </c>
      <c r="V315" t="e">
        <f>VLOOKUP($C315,'2000 Place'!$C$2:$Y$523,23,FALSE)</f>
        <v>#N/A</v>
      </c>
    </row>
    <row r="316" spans="1:22" x14ac:dyDescent="0.25">
      <c r="A316" t="s">
        <v>876</v>
      </c>
      <c r="B316">
        <v>5340570</v>
      </c>
      <c r="C316" t="s">
        <v>877</v>
      </c>
      <c r="D316" t="e">
        <f>VLOOKUP($C316,'2000 Place'!$C$2:$Y$523,5,FALSE)</f>
        <v>#N/A</v>
      </c>
      <c r="E316" t="e">
        <f>VLOOKUP($C316,'2000 Place'!$C$2:$Y$523,6,FALSE)</f>
        <v>#N/A</v>
      </c>
      <c r="F316" t="e">
        <f>VLOOKUP($C316,'2000 Place'!$C$2:$Y$523,7,FALSE)</f>
        <v>#N/A</v>
      </c>
      <c r="G316" t="e">
        <f>VLOOKUP($C316,'2000 Place'!$C$2:$Y$523,8,FALSE)</f>
        <v>#N/A</v>
      </c>
      <c r="H316" t="e">
        <f>VLOOKUP($C316,'2000 Place'!$C$2:$Y$523,9,FALSE)</f>
        <v>#N/A</v>
      </c>
      <c r="I316" t="e">
        <f>VLOOKUP($C316,'2000 Place'!$C$2:$Y$523,10,FALSE)</f>
        <v>#N/A</v>
      </c>
      <c r="J316" t="e">
        <f>VLOOKUP($C316,'2000 Place'!$C$2:$Y$523,11,FALSE)</f>
        <v>#N/A</v>
      </c>
      <c r="K316" t="e">
        <f>VLOOKUP($C316,'2000 Place'!$C$2:$Y$523,12,FALSE)</f>
        <v>#N/A</v>
      </c>
      <c r="L316" t="e">
        <f>VLOOKUP($C316,'2000 Place'!$C$2:$Y$523,13,FALSE)</f>
        <v>#N/A</v>
      </c>
      <c r="M316" t="e">
        <f>VLOOKUP($C316,'2000 Place'!$C$2:$Y$523,14,FALSE)</f>
        <v>#N/A</v>
      </c>
      <c r="N316" t="e">
        <f>VLOOKUP($C316,'2000 Place'!$C$2:$Y$523,15,FALSE)</f>
        <v>#N/A</v>
      </c>
      <c r="O316" t="e">
        <f>VLOOKUP($C316,'2000 Place'!$C$2:$Y$523,16,FALSE)</f>
        <v>#N/A</v>
      </c>
      <c r="P316" t="e">
        <f>VLOOKUP($C316,'2000 Place'!$C$2:$Y$523,17,FALSE)</f>
        <v>#N/A</v>
      </c>
      <c r="Q316" t="e">
        <f>VLOOKUP($C316,'2000 Place'!$C$2:$Y$523,18,FALSE)</f>
        <v>#N/A</v>
      </c>
      <c r="R316" t="e">
        <f>VLOOKUP($C316,'2000 Place'!$C$2:$Y$523,19,FALSE)</f>
        <v>#N/A</v>
      </c>
      <c r="S316" t="e">
        <f>VLOOKUP($C316,'2000 Place'!$C$2:$Y$523,20,FALSE)</f>
        <v>#N/A</v>
      </c>
      <c r="T316" t="e">
        <f>VLOOKUP($C316,'2000 Place'!$C$2:$Y$523,21,FALSE)</f>
        <v>#N/A</v>
      </c>
      <c r="U316" t="e">
        <f>VLOOKUP($C316,'2000 Place'!$C$2:$Y$523,22,FALSE)</f>
        <v>#N/A</v>
      </c>
      <c r="V316" t="e">
        <f>VLOOKUP($C316,'2000 Place'!$C$2:$Y$523,23,FALSE)</f>
        <v>#N/A</v>
      </c>
    </row>
    <row r="317" spans="1:22" x14ac:dyDescent="0.25">
      <c r="A317" t="s">
        <v>878</v>
      </c>
      <c r="B317">
        <v>5340735</v>
      </c>
      <c r="C317" t="s">
        <v>879</v>
      </c>
      <c r="D317">
        <f>VLOOKUP($C317,'2000 Place'!$C$2:$Y$523,5,FALSE)</f>
        <v>507</v>
      </c>
      <c r="E317">
        <f>VLOOKUP($C317,'2000 Place'!$C$2:$Y$523,6,FALSE)</f>
        <v>496</v>
      </c>
      <c r="F317">
        <f>VLOOKUP($C317,'2000 Place'!$C$2:$Y$523,7,FALSE)</f>
        <v>11</v>
      </c>
      <c r="G317">
        <f>VLOOKUP($C317,'2000 Place'!$C$2:$Y$523,8,FALSE)</f>
        <v>440</v>
      </c>
      <c r="H317">
        <f>VLOOKUP($C317,'2000 Place'!$C$2:$Y$523,9,FALSE)</f>
        <v>5</v>
      </c>
      <c r="I317">
        <f>VLOOKUP($C317,'2000 Place'!$C$2:$Y$523,10,FALSE)</f>
        <v>6</v>
      </c>
      <c r="J317">
        <f>VLOOKUP($C317,'2000 Place'!$C$2:$Y$523,11,FALSE)</f>
        <v>0</v>
      </c>
      <c r="K317">
        <f>VLOOKUP($C317,'2000 Place'!$C$2:$Y$523,12,FALSE)</f>
        <v>0</v>
      </c>
      <c r="L317">
        <f>VLOOKUP($C317,'2000 Place'!$C$2:$Y$523,13,FALSE)</f>
        <v>0</v>
      </c>
      <c r="M317">
        <f>VLOOKUP($C317,'2000 Place'!$C$2:$Y$523,14,FALSE)</f>
        <v>18</v>
      </c>
      <c r="N317">
        <f>VLOOKUP($C317,'2000 Place'!$C$2:$Y$523,15,FALSE)</f>
        <v>0</v>
      </c>
      <c r="O317">
        <f>VLOOKUP($C317,'2000 Place'!$C$2:$Y$523,16,FALSE)</f>
        <v>6</v>
      </c>
      <c r="P317">
        <f>VLOOKUP($C317,'2000 Place'!$C$2:$Y$523,17,FALSE)</f>
        <v>6</v>
      </c>
      <c r="Q317">
        <f>VLOOKUP($C317,'2000 Place'!$C$2:$Y$523,18,FALSE)</f>
        <v>0</v>
      </c>
      <c r="R317">
        <f>VLOOKUP($C317,'2000 Place'!$C$2:$Y$523,19,FALSE)</f>
        <v>0</v>
      </c>
      <c r="S317">
        <f>VLOOKUP($C317,'2000 Place'!$C$2:$Y$523,20,FALSE)</f>
        <v>22</v>
      </c>
      <c r="T317">
        <f>VLOOKUP($C317,'2000 Place'!$C$2:$Y$523,21,FALSE)</f>
        <v>0</v>
      </c>
      <c r="U317">
        <f>VLOOKUP($C317,'2000 Place'!$C$2:$Y$523,22,FALSE)</f>
        <v>4</v>
      </c>
      <c r="V317">
        <f>VLOOKUP($C317,'2000 Place'!$C$2:$Y$523,23,FALSE)</f>
        <v>0</v>
      </c>
    </row>
    <row r="318" spans="1:22" x14ac:dyDescent="0.25">
      <c r="A318" t="s">
        <v>880</v>
      </c>
      <c r="B318">
        <v>5340770</v>
      </c>
      <c r="C318" t="s">
        <v>881</v>
      </c>
      <c r="D318">
        <f>VLOOKUP($C318,'2000 Place'!$C$2:$Y$523,5,FALSE)</f>
        <v>384</v>
      </c>
      <c r="E318">
        <f>VLOOKUP($C318,'2000 Place'!$C$2:$Y$523,6,FALSE)</f>
        <v>374</v>
      </c>
      <c r="F318">
        <f>VLOOKUP($C318,'2000 Place'!$C$2:$Y$523,7,FALSE)</f>
        <v>10</v>
      </c>
      <c r="G318">
        <f>VLOOKUP($C318,'2000 Place'!$C$2:$Y$523,8,FALSE)</f>
        <v>367</v>
      </c>
      <c r="H318">
        <f>VLOOKUP($C318,'2000 Place'!$C$2:$Y$523,9,FALSE)</f>
        <v>6</v>
      </c>
      <c r="I318">
        <f>VLOOKUP($C318,'2000 Place'!$C$2:$Y$523,10,FALSE)</f>
        <v>0</v>
      </c>
      <c r="J318">
        <f>VLOOKUP($C318,'2000 Place'!$C$2:$Y$523,11,FALSE)</f>
        <v>0</v>
      </c>
      <c r="K318">
        <f>VLOOKUP($C318,'2000 Place'!$C$2:$Y$523,12,FALSE)</f>
        <v>0</v>
      </c>
      <c r="L318">
        <f>VLOOKUP($C318,'2000 Place'!$C$2:$Y$523,13,FALSE)</f>
        <v>0</v>
      </c>
      <c r="M318">
        <f>VLOOKUP($C318,'2000 Place'!$C$2:$Y$523,14,FALSE)</f>
        <v>1</v>
      </c>
      <c r="N318">
        <f>VLOOKUP($C318,'2000 Place'!$C$2:$Y$523,15,FALSE)</f>
        <v>0</v>
      </c>
      <c r="O318">
        <f>VLOOKUP($C318,'2000 Place'!$C$2:$Y$523,16,FALSE)</f>
        <v>0</v>
      </c>
      <c r="P318">
        <f>VLOOKUP($C318,'2000 Place'!$C$2:$Y$523,17,FALSE)</f>
        <v>4</v>
      </c>
      <c r="Q318">
        <f>VLOOKUP($C318,'2000 Place'!$C$2:$Y$523,18,FALSE)</f>
        <v>0</v>
      </c>
      <c r="R318">
        <f>VLOOKUP($C318,'2000 Place'!$C$2:$Y$523,19,FALSE)</f>
        <v>0</v>
      </c>
      <c r="S318">
        <f>VLOOKUP($C318,'2000 Place'!$C$2:$Y$523,20,FALSE)</f>
        <v>0</v>
      </c>
      <c r="T318">
        <f>VLOOKUP($C318,'2000 Place'!$C$2:$Y$523,21,FALSE)</f>
        <v>0</v>
      </c>
      <c r="U318">
        <f>VLOOKUP($C318,'2000 Place'!$C$2:$Y$523,22,FALSE)</f>
        <v>6</v>
      </c>
      <c r="V318">
        <f>VLOOKUP($C318,'2000 Place'!$C$2:$Y$523,23,FALSE)</f>
        <v>0</v>
      </c>
    </row>
    <row r="319" spans="1:22" x14ac:dyDescent="0.25">
      <c r="A319" t="s">
        <v>882</v>
      </c>
      <c r="B319">
        <v>5340805</v>
      </c>
      <c r="C319" t="s">
        <v>883</v>
      </c>
      <c r="D319">
        <f>VLOOKUP($C319,'2000 Place'!$C$2:$Y$523,5,FALSE)</f>
        <v>9093</v>
      </c>
      <c r="E319">
        <f>VLOOKUP($C319,'2000 Place'!$C$2:$Y$523,6,FALSE)</f>
        <v>7899</v>
      </c>
      <c r="F319">
        <f>VLOOKUP($C319,'2000 Place'!$C$2:$Y$523,7,FALSE)</f>
        <v>1194</v>
      </c>
      <c r="G319">
        <f>VLOOKUP($C319,'2000 Place'!$C$2:$Y$523,8,FALSE)</f>
        <v>7435</v>
      </c>
      <c r="H319">
        <f>VLOOKUP($C319,'2000 Place'!$C$2:$Y$523,9,FALSE)</f>
        <v>926</v>
      </c>
      <c r="I319">
        <f>VLOOKUP($C319,'2000 Place'!$C$2:$Y$523,10,FALSE)</f>
        <v>116</v>
      </c>
      <c r="J319">
        <f>VLOOKUP($C319,'2000 Place'!$C$2:$Y$523,11,FALSE)</f>
        <v>11</v>
      </c>
      <c r="K319">
        <f>VLOOKUP($C319,'2000 Place'!$C$2:$Y$523,12,FALSE)</f>
        <v>5</v>
      </c>
      <c r="L319">
        <f>VLOOKUP($C319,'2000 Place'!$C$2:$Y$523,13,FALSE)</f>
        <v>0</v>
      </c>
      <c r="M319">
        <f>VLOOKUP($C319,'2000 Place'!$C$2:$Y$523,14,FALSE)</f>
        <v>14</v>
      </c>
      <c r="N319">
        <f>VLOOKUP($C319,'2000 Place'!$C$2:$Y$523,15,FALSE)</f>
        <v>8</v>
      </c>
      <c r="O319">
        <f>VLOOKUP($C319,'2000 Place'!$C$2:$Y$523,16,FALSE)</f>
        <v>70</v>
      </c>
      <c r="P319">
        <f>VLOOKUP($C319,'2000 Place'!$C$2:$Y$523,17,FALSE)</f>
        <v>226</v>
      </c>
      <c r="Q319">
        <f>VLOOKUP($C319,'2000 Place'!$C$2:$Y$523,18,FALSE)</f>
        <v>8</v>
      </c>
      <c r="R319">
        <f>VLOOKUP($C319,'2000 Place'!$C$2:$Y$523,19,FALSE)</f>
        <v>0</v>
      </c>
      <c r="S319">
        <f>VLOOKUP($C319,'2000 Place'!$C$2:$Y$523,20,FALSE)</f>
        <v>167</v>
      </c>
      <c r="T319">
        <f>VLOOKUP($C319,'2000 Place'!$C$2:$Y$523,21,FALSE)</f>
        <v>17</v>
      </c>
      <c r="U319">
        <f>VLOOKUP($C319,'2000 Place'!$C$2:$Y$523,22,FALSE)</f>
        <v>84</v>
      </c>
      <c r="V319">
        <f>VLOOKUP($C319,'2000 Place'!$C$2:$Y$523,23,FALSE)</f>
        <v>6</v>
      </c>
    </row>
    <row r="320" spans="1:22" x14ac:dyDescent="0.25">
      <c r="A320" t="s">
        <v>884</v>
      </c>
      <c r="B320">
        <v>5340840</v>
      </c>
      <c r="C320" t="s">
        <v>885</v>
      </c>
      <c r="D320">
        <f>VLOOKUP($C320,'2000 Place'!$C$2:$Y$523,5,FALSE)</f>
        <v>33730</v>
      </c>
      <c r="E320">
        <f>VLOOKUP($C320,'2000 Place'!$C$2:$Y$523,6,FALSE)</f>
        <v>26004</v>
      </c>
      <c r="F320">
        <f>VLOOKUP($C320,'2000 Place'!$C$2:$Y$523,7,FALSE)</f>
        <v>7726</v>
      </c>
      <c r="G320">
        <f>VLOOKUP($C320,'2000 Place'!$C$2:$Y$523,8,FALSE)</f>
        <v>21600</v>
      </c>
      <c r="H320">
        <f>VLOOKUP($C320,'2000 Place'!$C$2:$Y$523,9,FALSE)</f>
        <v>2412</v>
      </c>
      <c r="I320">
        <f>VLOOKUP($C320,'2000 Place'!$C$2:$Y$523,10,FALSE)</f>
        <v>556</v>
      </c>
      <c r="J320">
        <f>VLOOKUP($C320,'2000 Place'!$C$2:$Y$523,11,FALSE)</f>
        <v>525</v>
      </c>
      <c r="K320">
        <f>VLOOKUP($C320,'2000 Place'!$C$2:$Y$523,12,FALSE)</f>
        <v>924</v>
      </c>
      <c r="L320">
        <f>VLOOKUP($C320,'2000 Place'!$C$2:$Y$523,13,FALSE)</f>
        <v>270</v>
      </c>
      <c r="M320">
        <f>VLOOKUP($C320,'2000 Place'!$C$2:$Y$523,14,FALSE)</f>
        <v>235</v>
      </c>
      <c r="N320">
        <f>VLOOKUP($C320,'2000 Place'!$C$2:$Y$523,15,FALSE)</f>
        <v>87</v>
      </c>
      <c r="O320">
        <f>VLOOKUP($C320,'2000 Place'!$C$2:$Y$523,16,FALSE)</f>
        <v>1139</v>
      </c>
      <c r="P320">
        <f>VLOOKUP($C320,'2000 Place'!$C$2:$Y$523,17,FALSE)</f>
        <v>3567</v>
      </c>
      <c r="Q320">
        <f>VLOOKUP($C320,'2000 Place'!$C$2:$Y$523,18,FALSE)</f>
        <v>96</v>
      </c>
      <c r="R320">
        <f>VLOOKUP($C320,'2000 Place'!$C$2:$Y$523,19,FALSE)</f>
        <v>76</v>
      </c>
      <c r="S320">
        <f>VLOOKUP($C320,'2000 Place'!$C$2:$Y$523,20,FALSE)</f>
        <v>323</v>
      </c>
      <c r="T320">
        <f>VLOOKUP($C320,'2000 Place'!$C$2:$Y$523,21,FALSE)</f>
        <v>493</v>
      </c>
      <c r="U320">
        <f>VLOOKUP($C320,'2000 Place'!$C$2:$Y$523,22,FALSE)</f>
        <v>1131</v>
      </c>
      <c r="V320">
        <f>VLOOKUP($C320,'2000 Place'!$C$2:$Y$523,23,FALSE)</f>
        <v>296</v>
      </c>
    </row>
    <row r="321" spans="1:22" x14ac:dyDescent="0.25">
      <c r="A321" t="s">
        <v>886</v>
      </c>
      <c r="B321">
        <v>5340980</v>
      </c>
      <c r="C321" t="s">
        <v>887</v>
      </c>
      <c r="D321">
        <f>VLOOKUP($C321,'2000 Place'!$C$2:$Y$523,5,FALSE)</f>
        <v>1923</v>
      </c>
      <c r="E321">
        <f>VLOOKUP($C321,'2000 Place'!$C$2:$Y$523,6,FALSE)</f>
        <v>1259</v>
      </c>
      <c r="F321">
        <f>VLOOKUP($C321,'2000 Place'!$C$2:$Y$523,7,FALSE)</f>
        <v>664</v>
      </c>
      <c r="G321">
        <f>VLOOKUP($C321,'2000 Place'!$C$2:$Y$523,8,FALSE)</f>
        <v>203</v>
      </c>
      <c r="H321">
        <f>VLOOKUP($C321,'2000 Place'!$C$2:$Y$523,9,FALSE)</f>
        <v>11</v>
      </c>
      <c r="I321">
        <f>VLOOKUP($C321,'2000 Place'!$C$2:$Y$523,10,FALSE)</f>
        <v>143</v>
      </c>
      <c r="J321">
        <f>VLOOKUP($C321,'2000 Place'!$C$2:$Y$523,11,FALSE)</f>
        <v>72</v>
      </c>
      <c r="K321">
        <f>VLOOKUP($C321,'2000 Place'!$C$2:$Y$523,12,FALSE)</f>
        <v>0</v>
      </c>
      <c r="L321">
        <f>VLOOKUP($C321,'2000 Place'!$C$2:$Y$523,13,FALSE)</f>
        <v>0</v>
      </c>
      <c r="M321">
        <f>VLOOKUP($C321,'2000 Place'!$C$2:$Y$523,14,FALSE)</f>
        <v>2</v>
      </c>
      <c r="N321">
        <f>VLOOKUP($C321,'2000 Place'!$C$2:$Y$523,15,FALSE)</f>
        <v>0</v>
      </c>
      <c r="O321">
        <f>VLOOKUP($C321,'2000 Place'!$C$2:$Y$523,16,FALSE)</f>
        <v>8</v>
      </c>
      <c r="P321">
        <f>VLOOKUP($C321,'2000 Place'!$C$2:$Y$523,17,FALSE)</f>
        <v>12</v>
      </c>
      <c r="Q321">
        <f>VLOOKUP($C321,'2000 Place'!$C$2:$Y$523,18,FALSE)</f>
        <v>0</v>
      </c>
      <c r="R321">
        <f>VLOOKUP($C321,'2000 Place'!$C$2:$Y$523,19,FALSE)</f>
        <v>0</v>
      </c>
      <c r="S321">
        <f>VLOOKUP($C321,'2000 Place'!$C$2:$Y$523,20,FALSE)</f>
        <v>854</v>
      </c>
      <c r="T321">
        <f>VLOOKUP($C321,'2000 Place'!$C$2:$Y$523,21,FALSE)</f>
        <v>555</v>
      </c>
      <c r="U321">
        <f>VLOOKUP($C321,'2000 Place'!$C$2:$Y$523,22,FALSE)</f>
        <v>49</v>
      </c>
      <c r="V321">
        <f>VLOOKUP($C321,'2000 Place'!$C$2:$Y$523,23,FALSE)</f>
        <v>14</v>
      </c>
    </row>
    <row r="322" spans="1:22" x14ac:dyDescent="0.25">
      <c r="A322" t="s">
        <v>888</v>
      </c>
      <c r="B322">
        <v>5341155</v>
      </c>
      <c r="C322" t="s">
        <v>889</v>
      </c>
      <c r="D322">
        <f>VLOOKUP($C322,'2000 Place'!$C$2:$Y$523,5,FALSE)</f>
        <v>4168</v>
      </c>
      <c r="E322">
        <f>VLOOKUP($C322,'2000 Place'!$C$2:$Y$523,6,FALSE)</f>
        <v>3696</v>
      </c>
      <c r="F322">
        <f>VLOOKUP($C322,'2000 Place'!$C$2:$Y$523,7,FALSE)</f>
        <v>472</v>
      </c>
      <c r="G322">
        <f>VLOOKUP($C322,'2000 Place'!$C$2:$Y$523,8,FALSE)</f>
        <v>2831</v>
      </c>
      <c r="H322">
        <f>VLOOKUP($C322,'2000 Place'!$C$2:$Y$523,9,FALSE)</f>
        <v>225</v>
      </c>
      <c r="I322">
        <f>VLOOKUP($C322,'2000 Place'!$C$2:$Y$523,10,FALSE)</f>
        <v>114</v>
      </c>
      <c r="J322">
        <f>VLOOKUP($C322,'2000 Place'!$C$2:$Y$523,11,FALSE)</f>
        <v>41</v>
      </c>
      <c r="K322">
        <f>VLOOKUP($C322,'2000 Place'!$C$2:$Y$523,12,FALSE)</f>
        <v>252</v>
      </c>
      <c r="L322">
        <f>VLOOKUP($C322,'2000 Place'!$C$2:$Y$523,13,FALSE)</f>
        <v>27</v>
      </c>
      <c r="M322">
        <f>VLOOKUP($C322,'2000 Place'!$C$2:$Y$523,14,FALSE)</f>
        <v>63</v>
      </c>
      <c r="N322">
        <f>VLOOKUP($C322,'2000 Place'!$C$2:$Y$523,15,FALSE)</f>
        <v>5</v>
      </c>
      <c r="O322">
        <f>VLOOKUP($C322,'2000 Place'!$C$2:$Y$523,16,FALSE)</f>
        <v>73</v>
      </c>
      <c r="P322">
        <f>VLOOKUP($C322,'2000 Place'!$C$2:$Y$523,17,FALSE)</f>
        <v>110</v>
      </c>
      <c r="Q322">
        <f>VLOOKUP($C322,'2000 Place'!$C$2:$Y$523,18,FALSE)</f>
        <v>7</v>
      </c>
      <c r="R322">
        <f>VLOOKUP($C322,'2000 Place'!$C$2:$Y$523,19,FALSE)</f>
        <v>4</v>
      </c>
      <c r="S322">
        <f>VLOOKUP($C322,'2000 Place'!$C$2:$Y$523,20,FALSE)</f>
        <v>52</v>
      </c>
      <c r="T322">
        <f>VLOOKUP($C322,'2000 Place'!$C$2:$Y$523,21,FALSE)</f>
        <v>10</v>
      </c>
      <c r="U322">
        <f>VLOOKUP($C322,'2000 Place'!$C$2:$Y$523,22,FALSE)</f>
        <v>304</v>
      </c>
      <c r="V322">
        <f>VLOOKUP($C322,'2000 Place'!$C$2:$Y$523,23,FALSE)</f>
        <v>50</v>
      </c>
    </row>
    <row r="323" spans="1:22" x14ac:dyDescent="0.25">
      <c r="A323" t="s">
        <v>890</v>
      </c>
      <c r="B323">
        <v>5341225</v>
      </c>
      <c r="C323" t="s">
        <v>891</v>
      </c>
      <c r="D323">
        <f>VLOOKUP($C323,'2000 Place'!$C$2:$Y$523,5,FALSE)</f>
        <v>1464</v>
      </c>
      <c r="E323">
        <f>VLOOKUP($C323,'2000 Place'!$C$2:$Y$523,6,FALSE)</f>
        <v>1416</v>
      </c>
      <c r="F323">
        <f>VLOOKUP($C323,'2000 Place'!$C$2:$Y$523,7,FALSE)</f>
        <v>48</v>
      </c>
      <c r="G323">
        <f>VLOOKUP($C323,'2000 Place'!$C$2:$Y$523,8,FALSE)</f>
        <v>1295</v>
      </c>
      <c r="H323">
        <f>VLOOKUP($C323,'2000 Place'!$C$2:$Y$523,9,FALSE)</f>
        <v>31</v>
      </c>
      <c r="I323">
        <f>VLOOKUP($C323,'2000 Place'!$C$2:$Y$523,10,FALSE)</f>
        <v>21</v>
      </c>
      <c r="J323">
        <f>VLOOKUP($C323,'2000 Place'!$C$2:$Y$523,11,FALSE)</f>
        <v>10</v>
      </c>
      <c r="K323">
        <f>VLOOKUP($C323,'2000 Place'!$C$2:$Y$523,12,FALSE)</f>
        <v>6</v>
      </c>
      <c r="L323">
        <f>VLOOKUP($C323,'2000 Place'!$C$2:$Y$523,13,FALSE)</f>
        <v>0</v>
      </c>
      <c r="M323">
        <f>VLOOKUP($C323,'2000 Place'!$C$2:$Y$523,14,FALSE)</f>
        <v>19</v>
      </c>
      <c r="N323">
        <f>VLOOKUP($C323,'2000 Place'!$C$2:$Y$523,15,FALSE)</f>
        <v>1</v>
      </c>
      <c r="O323">
        <f>VLOOKUP($C323,'2000 Place'!$C$2:$Y$523,16,FALSE)</f>
        <v>0</v>
      </c>
      <c r="P323">
        <f>VLOOKUP($C323,'2000 Place'!$C$2:$Y$523,17,FALSE)</f>
        <v>2</v>
      </c>
      <c r="Q323">
        <f>VLOOKUP($C323,'2000 Place'!$C$2:$Y$523,18,FALSE)</f>
        <v>2</v>
      </c>
      <c r="R323">
        <f>VLOOKUP($C323,'2000 Place'!$C$2:$Y$523,19,FALSE)</f>
        <v>0</v>
      </c>
      <c r="S323">
        <f>VLOOKUP($C323,'2000 Place'!$C$2:$Y$523,20,FALSE)</f>
        <v>6</v>
      </c>
      <c r="T323">
        <f>VLOOKUP($C323,'2000 Place'!$C$2:$Y$523,21,FALSE)</f>
        <v>0</v>
      </c>
      <c r="U323">
        <f>VLOOKUP($C323,'2000 Place'!$C$2:$Y$523,22,FALSE)</f>
        <v>67</v>
      </c>
      <c r="V323">
        <f>VLOOKUP($C323,'2000 Place'!$C$2:$Y$523,23,FALSE)</f>
        <v>4</v>
      </c>
    </row>
    <row r="324" spans="1:22" x14ac:dyDescent="0.25">
      <c r="A324" t="s">
        <v>892</v>
      </c>
      <c r="B324">
        <v>5341470</v>
      </c>
      <c r="C324" t="s">
        <v>893</v>
      </c>
      <c r="D324">
        <f>VLOOKUP($C324,'2000 Place'!$C$2:$Y$523,5,FALSE)</f>
        <v>1095</v>
      </c>
      <c r="E324">
        <f>VLOOKUP($C324,'2000 Place'!$C$2:$Y$523,6,FALSE)</f>
        <v>1082</v>
      </c>
      <c r="F324">
        <f>VLOOKUP($C324,'2000 Place'!$C$2:$Y$523,7,FALSE)</f>
        <v>13</v>
      </c>
      <c r="G324">
        <f>VLOOKUP($C324,'2000 Place'!$C$2:$Y$523,8,FALSE)</f>
        <v>1053</v>
      </c>
      <c r="H324">
        <f>VLOOKUP($C324,'2000 Place'!$C$2:$Y$523,9,FALSE)</f>
        <v>13</v>
      </c>
      <c r="I324">
        <f>VLOOKUP($C324,'2000 Place'!$C$2:$Y$523,10,FALSE)</f>
        <v>0</v>
      </c>
      <c r="J324">
        <f>VLOOKUP($C324,'2000 Place'!$C$2:$Y$523,11,FALSE)</f>
        <v>0</v>
      </c>
      <c r="K324">
        <f>VLOOKUP($C324,'2000 Place'!$C$2:$Y$523,12,FALSE)</f>
        <v>29</v>
      </c>
      <c r="L324">
        <f>VLOOKUP($C324,'2000 Place'!$C$2:$Y$523,13,FALSE)</f>
        <v>0</v>
      </c>
      <c r="M324">
        <f>VLOOKUP($C324,'2000 Place'!$C$2:$Y$523,14,FALSE)</f>
        <v>0</v>
      </c>
      <c r="N324">
        <f>VLOOKUP($C324,'2000 Place'!$C$2:$Y$523,15,FALSE)</f>
        <v>0</v>
      </c>
      <c r="O324">
        <f>VLOOKUP($C324,'2000 Place'!$C$2:$Y$523,16,FALSE)</f>
        <v>0</v>
      </c>
      <c r="P324">
        <f>VLOOKUP($C324,'2000 Place'!$C$2:$Y$523,17,FALSE)</f>
        <v>0</v>
      </c>
      <c r="Q324">
        <f>VLOOKUP($C324,'2000 Place'!$C$2:$Y$523,18,FALSE)</f>
        <v>0</v>
      </c>
      <c r="R324">
        <f>VLOOKUP($C324,'2000 Place'!$C$2:$Y$523,19,FALSE)</f>
        <v>0</v>
      </c>
      <c r="S324">
        <f>VLOOKUP($C324,'2000 Place'!$C$2:$Y$523,20,FALSE)</f>
        <v>0</v>
      </c>
      <c r="T324">
        <f>VLOOKUP($C324,'2000 Place'!$C$2:$Y$523,21,FALSE)</f>
        <v>0</v>
      </c>
      <c r="U324">
        <f>VLOOKUP($C324,'2000 Place'!$C$2:$Y$523,22,FALSE)</f>
        <v>0</v>
      </c>
      <c r="V324">
        <f>VLOOKUP($C324,'2000 Place'!$C$2:$Y$523,23,FALSE)</f>
        <v>0</v>
      </c>
    </row>
    <row r="325" spans="1:22" x14ac:dyDescent="0.25">
      <c r="A325" t="s">
        <v>894</v>
      </c>
      <c r="B325">
        <v>5341645</v>
      </c>
      <c r="C325" t="s">
        <v>895</v>
      </c>
      <c r="D325" t="e">
        <f>VLOOKUP($C325,'2000 Place'!$C$2:$Y$523,5,FALSE)</f>
        <v>#N/A</v>
      </c>
      <c r="E325" t="e">
        <f>VLOOKUP($C325,'2000 Place'!$C$2:$Y$523,6,FALSE)</f>
        <v>#N/A</v>
      </c>
      <c r="F325" t="e">
        <f>VLOOKUP($C325,'2000 Place'!$C$2:$Y$523,7,FALSE)</f>
        <v>#N/A</v>
      </c>
      <c r="G325" t="e">
        <f>VLOOKUP($C325,'2000 Place'!$C$2:$Y$523,8,FALSE)</f>
        <v>#N/A</v>
      </c>
      <c r="H325" t="e">
        <f>VLOOKUP($C325,'2000 Place'!$C$2:$Y$523,9,FALSE)</f>
        <v>#N/A</v>
      </c>
      <c r="I325" t="e">
        <f>VLOOKUP($C325,'2000 Place'!$C$2:$Y$523,10,FALSE)</f>
        <v>#N/A</v>
      </c>
      <c r="J325" t="e">
        <f>VLOOKUP($C325,'2000 Place'!$C$2:$Y$523,11,FALSE)</f>
        <v>#N/A</v>
      </c>
      <c r="K325" t="e">
        <f>VLOOKUP($C325,'2000 Place'!$C$2:$Y$523,12,FALSE)</f>
        <v>#N/A</v>
      </c>
      <c r="L325" t="e">
        <f>VLOOKUP($C325,'2000 Place'!$C$2:$Y$523,13,FALSE)</f>
        <v>#N/A</v>
      </c>
      <c r="M325" t="e">
        <f>VLOOKUP($C325,'2000 Place'!$C$2:$Y$523,14,FALSE)</f>
        <v>#N/A</v>
      </c>
      <c r="N325" t="e">
        <f>VLOOKUP($C325,'2000 Place'!$C$2:$Y$523,15,FALSE)</f>
        <v>#N/A</v>
      </c>
      <c r="O325" t="e">
        <f>VLOOKUP($C325,'2000 Place'!$C$2:$Y$523,16,FALSE)</f>
        <v>#N/A</v>
      </c>
      <c r="P325" t="e">
        <f>VLOOKUP($C325,'2000 Place'!$C$2:$Y$523,17,FALSE)</f>
        <v>#N/A</v>
      </c>
      <c r="Q325" t="e">
        <f>VLOOKUP($C325,'2000 Place'!$C$2:$Y$523,18,FALSE)</f>
        <v>#N/A</v>
      </c>
      <c r="R325" t="e">
        <f>VLOOKUP($C325,'2000 Place'!$C$2:$Y$523,19,FALSE)</f>
        <v>#N/A</v>
      </c>
      <c r="S325" t="e">
        <f>VLOOKUP($C325,'2000 Place'!$C$2:$Y$523,20,FALSE)</f>
        <v>#N/A</v>
      </c>
      <c r="T325" t="e">
        <f>VLOOKUP($C325,'2000 Place'!$C$2:$Y$523,21,FALSE)</f>
        <v>#N/A</v>
      </c>
      <c r="U325" t="e">
        <f>VLOOKUP($C325,'2000 Place'!$C$2:$Y$523,22,FALSE)</f>
        <v>#N/A</v>
      </c>
      <c r="V325" t="e">
        <f>VLOOKUP($C325,'2000 Place'!$C$2:$Y$523,23,FALSE)</f>
        <v>#N/A</v>
      </c>
    </row>
    <row r="326" spans="1:22" x14ac:dyDescent="0.25">
      <c r="A326" t="s">
        <v>896</v>
      </c>
      <c r="B326">
        <v>5341785</v>
      </c>
      <c r="C326" t="s">
        <v>897</v>
      </c>
      <c r="D326" t="e">
        <f>VLOOKUP($C326,'2000 Place'!$C$2:$Y$523,5,FALSE)</f>
        <v>#N/A</v>
      </c>
      <c r="E326" t="e">
        <f>VLOOKUP($C326,'2000 Place'!$C$2:$Y$523,6,FALSE)</f>
        <v>#N/A</v>
      </c>
      <c r="F326" t="e">
        <f>VLOOKUP($C326,'2000 Place'!$C$2:$Y$523,7,FALSE)</f>
        <v>#N/A</v>
      </c>
      <c r="G326" t="e">
        <f>VLOOKUP($C326,'2000 Place'!$C$2:$Y$523,8,FALSE)</f>
        <v>#N/A</v>
      </c>
      <c r="H326" t="e">
        <f>VLOOKUP($C326,'2000 Place'!$C$2:$Y$523,9,FALSE)</f>
        <v>#N/A</v>
      </c>
      <c r="I326" t="e">
        <f>VLOOKUP($C326,'2000 Place'!$C$2:$Y$523,10,FALSE)</f>
        <v>#N/A</v>
      </c>
      <c r="J326" t="e">
        <f>VLOOKUP($C326,'2000 Place'!$C$2:$Y$523,11,FALSE)</f>
        <v>#N/A</v>
      </c>
      <c r="K326" t="e">
        <f>VLOOKUP($C326,'2000 Place'!$C$2:$Y$523,12,FALSE)</f>
        <v>#N/A</v>
      </c>
      <c r="L326" t="e">
        <f>VLOOKUP($C326,'2000 Place'!$C$2:$Y$523,13,FALSE)</f>
        <v>#N/A</v>
      </c>
      <c r="M326" t="e">
        <f>VLOOKUP($C326,'2000 Place'!$C$2:$Y$523,14,FALSE)</f>
        <v>#N/A</v>
      </c>
      <c r="N326" t="e">
        <f>VLOOKUP($C326,'2000 Place'!$C$2:$Y$523,15,FALSE)</f>
        <v>#N/A</v>
      </c>
      <c r="O326" t="e">
        <f>VLOOKUP($C326,'2000 Place'!$C$2:$Y$523,16,FALSE)</f>
        <v>#N/A</v>
      </c>
      <c r="P326" t="e">
        <f>VLOOKUP($C326,'2000 Place'!$C$2:$Y$523,17,FALSE)</f>
        <v>#N/A</v>
      </c>
      <c r="Q326" t="e">
        <f>VLOOKUP($C326,'2000 Place'!$C$2:$Y$523,18,FALSE)</f>
        <v>#N/A</v>
      </c>
      <c r="R326" t="e">
        <f>VLOOKUP($C326,'2000 Place'!$C$2:$Y$523,19,FALSE)</f>
        <v>#N/A</v>
      </c>
      <c r="S326" t="e">
        <f>VLOOKUP($C326,'2000 Place'!$C$2:$Y$523,20,FALSE)</f>
        <v>#N/A</v>
      </c>
      <c r="T326" t="e">
        <f>VLOOKUP($C326,'2000 Place'!$C$2:$Y$523,21,FALSE)</f>
        <v>#N/A</v>
      </c>
      <c r="U326" t="e">
        <f>VLOOKUP($C326,'2000 Place'!$C$2:$Y$523,22,FALSE)</f>
        <v>#N/A</v>
      </c>
      <c r="V326" t="e">
        <f>VLOOKUP($C326,'2000 Place'!$C$2:$Y$523,23,FALSE)</f>
        <v>#N/A</v>
      </c>
    </row>
    <row r="327" spans="1:22" x14ac:dyDescent="0.25">
      <c r="A327" t="s">
        <v>898</v>
      </c>
      <c r="B327">
        <v>5342275</v>
      </c>
      <c r="C327" t="s">
        <v>899</v>
      </c>
      <c r="D327">
        <f>VLOOKUP($C327,'2000 Place'!$C$2:$Y$523,5,FALSE)</f>
        <v>213</v>
      </c>
      <c r="E327">
        <f>VLOOKUP($C327,'2000 Place'!$C$2:$Y$523,6,FALSE)</f>
        <v>209</v>
      </c>
      <c r="F327">
        <f>VLOOKUP($C327,'2000 Place'!$C$2:$Y$523,7,FALSE)</f>
        <v>4</v>
      </c>
      <c r="G327">
        <f>VLOOKUP($C327,'2000 Place'!$C$2:$Y$523,8,FALSE)</f>
        <v>209</v>
      </c>
      <c r="H327">
        <f>VLOOKUP($C327,'2000 Place'!$C$2:$Y$523,9,FALSE)</f>
        <v>4</v>
      </c>
      <c r="I327">
        <f>VLOOKUP($C327,'2000 Place'!$C$2:$Y$523,10,FALSE)</f>
        <v>0</v>
      </c>
      <c r="J327">
        <f>VLOOKUP($C327,'2000 Place'!$C$2:$Y$523,11,FALSE)</f>
        <v>0</v>
      </c>
      <c r="K327">
        <f>VLOOKUP($C327,'2000 Place'!$C$2:$Y$523,12,FALSE)</f>
        <v>0</v>
      </c>
      <c r="L327">
        <f>VLOOKUP($C327,'2000 Place'!$C$2:$Y$523,13,FALSE)</f>
        <v>0</v>
      </c>
      <c r="M327">
        <f>VLOOKUP($C327,'2000 Place'!$C$2:$Y$523,14,FALSE)</f>
        <v>0</v>
      </c>
      <c r="N327">
        <f>VLOOKUP($C327,'2000 Place'!$C$2:$Y$523,15,FALSE)</f>
        <v>0</v>
      </c>
      <c r="O327">
        <f>VLOOKUP($C327,'2000 Place'!$C$2:$Y$523,16,FALSE)</f>
        <v>0</v>
      </c>
      <c r="P327">
        <f>VLOOKUP($C327,'2000 Place'!$C$2:$Y$523,17,FALSE)</f>
        <v>0</v>
      </c>
      <c r="Q327">
        <f>VLOOKUP($C327,'2000 Place'!$C$2:$Y$523,18,FALSE)</f>
        <v>0</v>
      </c>
      <c r="R327">
        <f>VLOOKUP($C327,'2000 Place'!$C$2:$Y$523,19,FALSE)</f>
        <v>0</v>
      </c>
      <c r="S327">
        <f>VLOOKUP($C327,'2000 Place'!$C$2:$Y$523,20,FALSE)</f>
        <v>0</v>
      </c>
      <c r="T327">
        <f>VLOOKUP($C327,'2000 Place'!$C$2:$Y$523,21,FALSE)</f>
        <v>0</v>
      </c>
      <c r="U327">
        <f>VLOOKUP($C327,'2000 Place'!$C$2:$Y$523,22,FALSE)</f>
        <v>0</v>
      </c>
      <c r="V327">
        <f>VLOOKUP($C327,'2000 Place'!$C$2:$Y$523,23,FALSE)</f>
        <v>0</v>
      </c>
    </row>
    <row r="328" spans="1:22" x14ac:dyDescent="0.25">
      <c r="A328" t="s">
        <v>900</v>
      </c>
      <c r="B328">
        <v>5342310</v>
      </c>
      <c r="C328" t="s">
        <v>901</v>
      </c>
      <c r="D328" t="e">
        <f>VLOOKUP($C328,'2000 Place'!$C$2:$Y$523,5,FALSE)</f>
        <v>#N/A</v>
      </c>
      <c r="E328" t="e">
        <f>VLOOKUP($C328,'2000 Place'!$C$2:$Y$523,6,FALSE)</f>
        <v>#N/A</v>
      </c>
      <c r="F328" t="e">
        <f>VLOOKUP($C328,'2000 Place'!$C$2:$Y$523,7,FALSE)</f>
        <v>#N/A</v>
      </c>
      <c r="G328" t="e">
        <f>VLOOKUP($C328,'2000 Place'!$C$2:$Y$523,8,FALSE)</f>
        <v>#N/A</v>
      </c>
      <c r="H328" t="e">
        <f>VLOOKUP($C328,'2000 Place'!$C$2:$Y$523,9,FALSE)</f>
        <v>#N/A</v>
      </c>
      <c r="I328" t="e">
        <f>VLOOKUP($C328,'2000 Place'!$C$2:$Y$523,10,FALSE)</f>
        <v>#N/A</v>
      </c>
      <c r="J328" t="e">
        <f>VLOOKUP($C328,'2000 Place'!$C$2:$Y$523,11,FALSE)</f>
        <v>#N/A</v>
      </c>
      <c r="K328" t="e">
        <f>VLOOKUP($C328,'2000 Place'!$C$2:$Y$523,12,FALSE)</f>
        <v>#N/A</v>
      </c>
      <c r="L328" t="e">
        <f>VLOOKUP($C328,'2000 Place'!$C$2:$Y$523,13,FALSE)</f>
        <v>#N/A</v>
      </c>
      <c r="M328" t="e">
        <f>VLOOKUP($C328,'2000 Place'!$C$2:$Y$523,14,FALSE)</f>
        <v>#N/A</v>
      </c>
      <c r="N328" t="e">
        <f>VLOOKUP($C328,'2000 Place'!$C$2:$Y$523,15,FALSE)</f>
        <v>#N/A</v>
      </c>
      <c r="O328" t="e">
        <f>VLOOKUP($C328,'2000 Place'!$C$2:$Y$523,16,FALSE)</f>
        <v>#N/A</v>
      </c>
      <c r="P328" t="e">
        <f>VLOOKUP($C328,'2000 Place'!$C$2:$Y$523,17,FALSE)</f>
        <v>#N/A</v>
      </c>
      <c r="Q328" t="e">
        <f>VLOOKUP($C328,'2000 Place'!$C$2:$Y$523,18,FALSE)</f>
        <v>#N/A</v>
      </c>
      <c r="R328" t="e">
        <f>VLOOKUP($C328,'2000 Place'!$C$2:$Y$523,19,FALSE)</f>
        <v>#N/A</v>
      </c>
      <c r="S328" t="e">
        <f>VLOOKUP($C328,'2000 Place'!$C$2:$Y$523,20,FALSE)</f>
        <v>#N/A</v>
      </c>
      <c r="T328" t="e">
        <f>VLOOKUP($C328,'2000 Place'!$C$2:$Y$523,21,FALSE)</f>
        <v>#N/A</v>
      </c>
      <c r="U328" t="e">
        <f>VLOOKUP($C328,'2000 Place'!$C$2:$Y$523,22,FALSE)</f>
        <v>#N/A</v>
      </c>
      <c r="V328" t="e">
        <f>VLOOKUP($C328,'2000 Place'!$C$2:$Y$523,23,FALSE)</f>
        <v>#N/A</v>
      </c>
    </row>
    <row r="329" spans="1:22" x14ac:dyDescent="0.25">
      <c r="A329" t="s">
        <v>902</v>
      </c>
      <c r="B329">
        <v>5342345</v>
      </c>
      <c r="C329" t="s">
        <v>903</v>
      </c>
      <c r="D329" t="e">
        <f>VLOOKUP($C329,'2000 Place'!$C$2:$Y$523,5,FALSE)</f>
        <v>#N/A</v>
      </c>
      <c r="E329" t="e">
        <f>VLOOKUP($C329,'2000 Place'!$C$2:$Y$523,6,FALSE)</f>
        <v>#N/A</v>
      </c>
      <c r="F329" t="e">
        <f>VLOOKUP($C329,'2000 Place'!$C$2:$Y$523,7,FALSE)</f>
        <v>#N/A</v>
      </c>
      <c r="G329" t="e">
        <f>VLOOKUP($C329,'2000 Place'!$C$2:$Y$523,8,FALSE)</f>
        <v>#N/A</v>
      </c>
      <c r="H329" t="e">
        <f>VLOOKUP($C329,'2000 Place'!$C$2:$Y$523,9,FALSE)</f>
        <v>#N/A</v>
      </c>
      <c r="I329" t="e">
        <f>VLOOKUP($C329,'2000 Place'!$C$2:$Y$523,10,FALSE)</f>
        <v>#N/A</v>
      </c>
      <c r="J329" t="e">
        <f>VLOOKUP($C329,'2000 Place'!$C$2:$Y$523,11,FALSE)</f>
        <v>#N/A</v>
      </c>
      <c r="K329" t="e">
        <f>VLOOKUP($C329,'2000 Place'!$C$2:$Y$523,12,FALSE)</f>
        <v>#N/A</v>
      </c>
      <c r="L329" t="e">
        <f>VLOOKUP($C329,'2000 Place'!$C$2:$Y$523,13,FALSE)</f>
        <v>#N/A</v>
      </c>
      <c r="M329" t="e">
        <f>VLOOKUP($C329,'2000 Place'!$C$2:$Y$523,14,FALSE)</f>
        <v>#N/A</v>
      </c>
      <c r="N329" t="e">
        <f>VLOOKUP($C329,'2000 Place'!$C$2:$Y$523,15,FALSE)</f>
        <v>#N/A</v>
      </c>
      <c r="O329" t="e">
        <f>VLOOKUP($C329,'2000 Place'!$C$2:$Y$523,16,FALSE)</f>
        <v>#N/A</v>
      </c>
      <c r="P329" t="e">
        <f>VLOOKUP($C329,'2000 Place'!$C$2:$Y$523,17,FALSE)</f>
        <v>#N/A</v>
      </c>
      <c r="Q329" t="e">
        <f>VLOOKUP($C329,'2000 Place'!$C$2:$Y$523,18,FALSE)</f>
        <v>#N/A</v>
      </c>
      <c r="R329" t="e">
        <f>VLOOKUP($C329,'2000 Place'!$C$2:$Y$523,19,FALSE)</f>
        <v>#N/A</v>
      </c>
      <c r="S329" t="e">
        <f>VLOOKUP($C329,'2000 Place'!$C$2:$Y$523,20,FALSE)</f>
        <v>#N/A</v>
      </c>
      <c r="T329" t="e">
        <f>VLOOKUP($C329,'2000 Place'!$C$2:$Y$523,21,FALSE)</f>
        <v>#N/A</v>
      </c>
      <c r="U329" t="e">
        <f>VLOOKUP($C329,'2000 Place'!$C$2:$Y$523,22,FALSE)</f>
        <v>#N/A</v>
      </c>
      <c r="V329" t="e">
        <f>VLOOKUP($C329,'2000 Place'!$C$2:$Y$523,23,FALSE)</f>
        <v>#N/A</v>
      </c>
    </row>
    <row r="330" spans="1:22" x14ac:dyDescent="0.25">
      <c r="A330" t="s">
        <v>904</v>
      </c>
      <c r="B330">
        <v>5342380</v>
      </c>
      <c r="C330" t="s">
        <v>905</v>
      </c>
      <c r="D330" t="e">
        <f>VLOOKUP($C330,'2000 Place'!$C$2:$Y$523,5,FALSE)</f>
        <v>#N/A</v>
      </c>
      <c r="E330" t="e">
        <f>VLOOKUP($C330,'2000 Place'!$C$2:$Y$523,6,FALSE)</f>
        <v>#N/A</v>
      </c>
      <c r="F330" t="e">
        <f>VLOOKUP($C330,'2000 Place'!$C$2:$Y$523,7,FALSE)</f>
        <v>#N/A</v>
      </c>
      <c r="G330" t="e">
        <f>VLOOKUP($C330,'2000 Place'!$C$2:$Y$523,8,FALSE)</f>
        <v>#N/A</v>
      </c>
      <c r="H330" t="e">
        <f>VLOOKUP($C330,'2000 Place'!$C$2:$Y$523,9,FALSE)</f>
        <v>#N/A</v>
      </c>
      <c r="I330" t="e">
        <f>VLOOKUP($C330,'2000 Place'!$C$2:$Y$523,10,FALSE)</f>
        <v>#N/A</v>
      </c>
      <c r="J330" t="e">
        <f>VLOOKUP($C330,'2000 Place'!$C$2:$Y$523,11,FALSE)</f>
        <v>#N/A</v>
      </c>
      <c r="K330" t="e">
        <f>VLOOKUP($C330,'2000 Place'!$C$2:$Y$523,12,FALSE)</f>
        <v>#N/A</v>
      </c>
      <c r="L330" t="e">
        <f>VLOOKUP($C330,'2000 Place'!$C$2:$Y$523,13,FALSE)</f>
        <v>#N/A</v>
      </c>
      <c r="M330" t="e">
        <f>VLOOKUP($C330,'2000 Place'!$C$2:$Y$523,14,FALSE)</f>
        <v>#N/A</v>
      </c>
      <c r="N330" t="e">
        <f>VLOOKUP($C330,'2000 Place'!$C$2:$Y$523,15,FALSE)</f>
        <v>#N/A</v>
      </c>
      <c r="O330" t="e">
        <f>VLOOKUP($C330,'2000 Place'!$C$2:$Y$523,16,FALSE)</f>
        <v>#N/A</v>
      </c>
      <c r="P330" t="e">
        <f>VLOOKUP($C330,'2000 Place'!$C$2:$Y$523,17,FALSE)</f>
        <v>#N/A</v>
      </c>
      <c r="Q330" t="e">
        <f>VLOOKUP($C330,'2000 Place'!$C$2:$Y$523,18,FALSE)</f>
        <v>#N/A</v>
      </c>
      <c r="R330" t="e">
        <f>VLOOKUP($C330,'2000 Place'!$C$2:$Y$523,19,FALSE)</f>
        <v>#N/A</v>
      </c>
      <c r="S330" t="e">
        <f>VLOOKUP($C330,'2000 Place'!$C$2:$Y$523,20,FALSE)</f>
        <v>#N/A</v>
      </c>
      <c r="T330" t="e">
        <f>VLOOKUP($C330,'2000 Place'!$C$2:$Y$523,21,FALSE)</f>
        <v>#N/A</v>
      </c>
      <c r="U330" t="e">
        <f>VLOOKUP($C330,'2000 Place'!$C$2:$Y$523,22,FALSE)</f>
        <v>#N/A</v>
      </c>
      <c r="V330" t="e">
        <f>VLOOKUP($C330,'2000 Place'!$C$2:$Y$523,23,FALSE)</f>
        <v>#N/A</v>
      </c>
    </row>
    <row r="331" spans="1:22" x14ac:dyDescent="0.25">
      <c r="A331" t="s">
        <v>906</v>
      </c>
      <c r="B331">
        <v>5342415</v>
      </c>
      <c r="C331" t="s">
        <v>907</v>
      </c>
      <c r="D331">
        <f>VLOOKUP($C331,'2000 Place'!$C$2:$Y$523,5,FALSE)</f>
        <v>8472</v>
      </c>
      <c r="E331">
        <f>VLOOKUP($C331,'2000 Place'!$C$2:$Y$523,6,FALSE)</f>
        <v>8144</v>
      </c>
      <c r="F331">
        <f>VLOOKUP($C331,'2000 Place'!$C$2:$Y$523,7,FALSE)</f>
        <v>328</v>
      </c>
      <c r="G331">
        <f>VLOOKUP($C331,'2000 Place'!$C$2:$Y$523,8,FALSE)</f>
        <v>7667</v>
      </c>
      <c r="H331">
        <f>VLOOKUP($C331,'2000 Place'!$C$2:$Y$523,9,FALSE)</f>
        <v>235</v>
      </c>
      <c r="I331">
        <f>VLOOKUP($C331,'2000 Place'!$C$2:$Y$523,10,FALSE)</f>
        <v>126</v>
      </c>
      <c r="J331">
        <f>VLOOKUP($C331,'2000 Place'!$C$2:$Y$523,11,FALSE)</f>
        <v>4</v>
      </c>
      <c r="K331">
        <f>VLOOKUP($C331,'2000 Place'!$C$2:$Y$523,12,FALSE)</f>
        <v>51</v>
      </c>
      <c r="L331">
        <f>VLOOKUP($C331,'2000 Place'!$C$2:$Y$523,13,FALSE)</f>
        <v>0</v>
      </c>
      <c r="M331">
        <f>VLOOKUP($C331,'2000 Place'!$C$2:$Y$523,14,FALSE)</f>
        <v>17</v>
      </c>
      <c r="N331">
        <f>VLOOKUP($C331,'2000 Place'!$C$2:$Y$523,15,FALSE)</f>
        <v>0</v>
      </c>
      <c r="O331">
        <f>VLOOKUP($C331,'2000 Place'!$C$2:$Y$523,16,FALSE)</f>
        <v>97</v>
      </c>
      <c r="P331">
        <f>VLOOKUP($C331,'2000 Place'!$C$2:$Y$523,17,FALSE)</f>
        <v>75</v>
      </c>
      <c r="Q331">
        <f>VLOOKUP($C331,'2000 Place'!$C$2:$Y$523,18,FALSE)</f>
        <v>10</v>
      </c>
      <c r="R331">
        <f>VLOOKUP($C331,'2000 Place'!$C$2:$Y$523,19,FALSE)</f>
        <v>0</v>
      </c>
      <c r="S331">
        <f>VLOOKUP($C331,'2000 Place'!$C$2:$Y$523,20,FALSE)</f>
        <v>7</v>
      </c>
      <c r="T331">
        <f>VLOOKUP($C331,'2000 Place'!$C$2:$Y$523,21,FALSE)</f>
        <v>10</v>
      </c>
      <c r="U331">
        <f>VLOOKUP($C331,'2000 Place'!$C$2:$Y$523,22,FALSE)</f>
        <v>169</v>
      </c>
      <c r="V331">
        <f>VLOOKUP($C331,'2000 Place'!$C$2:$Y$523,23,FALSE)</f>
        <v>4</v>
      </c>
    </row>
    <row r="332" spans="1:22" x14ac:dyDescent="0.25">
      <c r="A332" t="s">
        <v>908</v>
      </c>
      <c r="B332">
        <v>5342450</v>
      </c>
      <c r="C332" t="s">
        <v>909</v>
      </c>
      <c r="D332">
        <f>VLOOKUP($C332,'2000 Place'!$C$2:$Y$523,5,FALSE)</f>
        <v>4873</v>
      </c>
      <c r="E332">
        <f>VLOOKUP($C332,'2000 Place'!$C$2:$Y$523,6,FALSE)</f>
        <v>4609</v>
      </c>
      <c r="F332">
        <f>VLOOKUP($C332,'2000 Place'!$C$2:$Y$523,7,FALSE)</f>
        <v>264</v>
      </c>
      <c r="G332">
        <f>VLOOKUP($C332,'2000 Place'!$C$2:$Y$523,8,FALSE)</f>
        <v>4115</v>
      </c>
      <c r="H332">
        <f>VLOOKUP($C332,'2000 Place'!$C$2:$Y$523,9,FALSE)</f>
        <v>134</v>
      </c>
      <c r="I332">
        <f>VLOOKUP($C332,'2000 Place'!$C$2:$Y$523,10,FALSE)</f>
        <v>64</v>
      </c>
      <c r="J332">
        <f>VLOOKUP($C332,'2000 Place'!$C$2:$Y$523,11,FALSE)</f>
        <v>21</v>
      </c>
      <c r="K332">
        <f>VLOOKUP($C332,'2000 Place'!$C$2:$Y$523,12,FALSE)</f>
        <v>30</v>
      </c>
      <c r="L332">
        <f>VLOOKUP($C332,'2000 Place'!$C$2:$Y$523,13,FALSE)</f>
        <v>13</v>
      </c>
      <c r="M332">
        <f>VLOOKUP($C332,'2000 Place'!$C$2:$Y$523,14,FALSE)</f>
        <v>89</v>
      </c>
      <c r="N332">
        <f>VLOOKUP($C332,'2000 Place'!$C$2:$Y$523,15,FALSE)</f>
        <v>0</v>
      </c>
      <c r="O332">
        <f>VLOOKUP($C332,'2000 Place'!$C$2:$Y$523,16,FALSE)</f>
        <v>11</v>
      </c>
      <c r="P332">
        <f>VLOOKUP($C332,'2000 Place'!$C$2:$Y$523,17,FALSE)</f>
        <v>65</v>
      </c>
      <c r="Q332">
        <f>VLOOKUP($C332,'2000 Place'!$C$2:$Y$523,18,FALSE)</f>
        <v>81</v>
      </c>
      <c r="R332">
        <f>VLOOKUP($C332,'2000 Place'!$C$2:$Y$523,19,FALSE)</f>
        <v>0</v>
      </c>
      <c r="S332">
        <f>VLOOKUP($C332,'2000 Place'!$C$2:$Y$523,20,FALSE)</f>
        <v>55</v>
      </c>
      <c r="T332">
        <f>VLOOKUP($C332,'2000 Place'!$C$2:$Y$523,21,FALSE)</f>
        <v>6</v>
      </c>
      <c r="U332">
        <f>VLOOKUP($C332,'2000 Place'!$C$2:$Y$523,22,FALSE)</f>
        <v>164</v>
      </c>
      <c r="V332">
        <f>VLOOKUP($C332,'2000 Place'!$C$2:$Y$523,23,FALSE)</f>
        <v>25</v>
      </c>
    </row>
    <row r="333" spans="1:22" x14ac:dyDescent="0.25">
      <c r="A333" t="s">
        <v>910</v>
      </c>
      <c r="B333">
        <v>5342800</v>
      </c>
      <c r="C333" t="s">
        <v>911</v>
      </c>
      <c r="D333">
        <f>VLOOKUP($C333,'2000 Place'!$C$2:$Y$523,5,FALSE)</f>
        <v>298</v>
      </c>
      <c r="E333">
        <f>VLOOKUP($C333,'2000 Place'!$C$2:$Y$523,6,FALSE)</f>
        <v>288</v>
      </c>
      <c r="F333">
        <f>VLOOKUP($C333,'2000 Place'!$C$2:$Y$523,7,FALSE)</f>
        <v>10</v>
      </c>
      <c r="G333">
        <f>VLOOKUP($C333,'2000 Place'!$C$2:$Y$523,8,FALSE)</f>
        <v>247</v>
      </c>
      <c r="H333">
        <f>VLOOKUP($C333,'2000 Place'!$C$2:$Y$523,9,FALSE)</f>
        <v>10</v>
      </c>
      <c r="I333">
        <f>VLOOKUP($C333,'2000 Place'!$C$2:$Y$523,10,FALSE)</f>
        <v>9</v>
      </c>
      <c r="J333">
        <f>VLOOKUP($C333,'2000 Place'!$C$2:$Y$523,11,FALSE)</f>
        <v>0</v>
      </c>
      <c r="K333">
        <f>VLOOKUP($C333,'2000 Place'!$C$2:$Y$523,12,FALSE)</f>
        <v>0</v>
      </c>
      <c r="L333">
        <f>VLOOKUP($C333,'2000 Place'!$C$2:$Y$523,13,FALSE)</f>
        <v>0</v>
      </c>
      <c r="M333">
        <f>VLOOKUP($C333,'2000 Place'!$C$2:$Y$523,14,FALSE)</f>
        <v>0</v>
      </c>
      <c r="N333">
        <f>VLOOKUP($C333,'2000 Place'!$C$2:$Y$523,15,FALSE)</f>
        <v>0</v>
      </c>
      <c r="O333">
        <f>VLOOKUP($C333,'2000 Place'!$C$2:$Y$523,16,FALSE)</f>
        <v>0</v>
      </c>
      <c r="P333">
        <f>VLOOKUP($C333,'2000 Place'!$C$2:$Y$523,17,FALSE)</f>
        <v>0</v>
      </c>
      <c r="Q333">
        <f>VLOOKUP($C333,'2000 Place'!$C$2:$Y$523,18,FALSE)</f>
        <v>0</v>
      </c>
      <c r="R333">
        <f>VLOOKUP($C333,'2000 Place'!$C$2:$Y$523,19,FALSE)</f>
        <v>0</v>
      </c>
      <c r="S333">
        <f>VLOOKUP($C333,'2000 Place'!$C$2:$Y$523,20,FALSE)</f>
        <v>9</v>
      </c>
      <c r="T333">
        <f>VLOOKUP($C333,'2000 Place'!$C$2:$Y$523,21,FALSE)</f>
        <v>0</v>
      </c>
      <c r="U333">
        <f>VLOOKUP($C333,'2000 Place'!$C$2:$Y$523,22,FALSE)</f>
        <v>23</v>
      </c>
      <c r="V333">
        <f>VLOOKUP($C333,'2000 Place'!$C$2:$Y$523,23,FALSE)</f>
        <v>0</v>
      </c>
    </row>
    <row r="334" spans="1:22" x14ac:dyDescent="0.25">
      <c r="A334" t="s">
        <v>912</v>
      </c>
      <c r="B334">
        <v>5342835</v>
      </c>
      <c r="C334" t="s">
        <v>913</v>
      </c>
      <c r="D334" t="e">
        <f>VLOOKUP($C334,'2000 Place'!$C$2:$Y$523,5,FALSE)</f>
        <v>#N/A</v>
      </c>
      <c r="E334" t="e">
        <f>VLOOKUP($C334,'2000 Place'!$C$2:$Y$523,6,FALSE)</f>
        <v>#N/A</v>
      </c>
      <c r="F334" t="e">
        <f>VLOOKUP($C334,'2000 Place'!$C$2:$Y$523,7,FALSE)</f>
        <v>#N/A</v>
      </c>
      <c r="G334" t="e">
        <f>VLOOKUP($C334,'2000 Place'!$C$2:$Y$523,8,FALSE)</f>
        <v>#N/A</v>
      </c>
      <c r="H334" t="e">
        <f>VLOOKUP($C334,'2000 Place'!$C$2:$Y$523,9,FALSE)</f>
        <v>#N/A</v>
      </c>
      <c r="I334" t="e">
        <f>VLOOKUP($C334,'2000 Place'!$C$2:$Y$523,10,FALSE)</f>
        <v>#N/A</v>
      </c>
      <c r="J334" t="e">
        <f>VLOOKUP($C334,'2000 Place'!$C$2:$Y$523,11,FALSE)</f>
        <v>#N/A</v>
      </c>
      <c r="K334" t="e">
        <f>VLOOKUP($C334,'2000 Place'!$C$2:$Y$523,12,FALSE)</f>
        <v>#N/A</v>
      </c>
      <c r="L334" t="e">
        <f>VLOOKUP($C334,'2000 Place'!$C$2:$Y$523,13,FALSE)</f>
        <v>#N/A</v>
      </c>
      <c r="M334" t="e">
        <f>VLOOKUP($C334,'2000 Place'!$C$2:$Y$523,14,FALSE)</f>
        <v>#N/A</v>
      </c>
      <c r="N334" t="e">
        <f>VLOOKUP($C334,'2000 Place'!$C$2:$Y$523,15,FALSE)</f>
        <v>#N/A</v>
      </c>
      <c r="O334" t="e">
        <f>VLOOKUP($C334,'2000 Place'!$C$2:$Y$523,16,FALSE)</f>
        <v>#N/A</v>
      </c>
      <c r="P334" t="e">
        <f>VLOOKUP($C334,'2000 Place'!$C$2:$Y$523,17,FALSE)</f>
        <v>#N/A</v>
      </c>
      <c r="Q334" t="e">
        <f>VLOOKUP($C334,'2000 Place'!$C$2:$Y$523,18,FALSE)</f>
        <v>#N/A</v>
      </c>
      <c r="R334" t="e">
        <f>VLOOKUP($C334,'2000 Place'!$C$2:$Y$523,19,FALSE)</f>
        <v>#N/A</v>
      </c>
      <c r="S334" t="e">
        <f>VLOOKUP($C334,'2000 Place'!$C$2:$Y$523,20,FALSE)</f>
        <v>#N/A</v>
      </c>
      <c r="T334" t="e">
        <f>VLOOKUP($C334,'2000 Place'!$C$2:$Y$523,21,FALSE)</f>
        <v>#N/A</v>
      </c>
      <c r="U334" t="e">
        <f>VLOOKUP($C334,'2000 Place'!$C$2:$Y$523,22,FALSE)</f>
        <v>#N/A</v>
      </c>
      <c r="V334" t="e">
        <f>VLOOKUP($C334,'2000 Place'!$C$2:$Y$523,23,FALSE)</f>
        <v>#N/A</v>
      </c>
    </row>
    <row r="335" spans="1:22" x14ac:dyDescent="0.25">
      <c r="A335" t="s">
        <v>914</v>
      </c>
      <c r="B335">
        <v>5343010</v>
      </c>
      <c r="C335" t="s">
        <v>915</v>
      </c>
      <c r="D335">
        <f>VLOOKUP($C335,'2000 Place'!$C$2:$Y$523,5,FALSE)</f>
        <v>238</v>
      </c>
      <c r="E335">
        <f>VLOOKUP($C335,'2000 Place'!$C$2:$Y$523,6,FALSE)</f>
        <v>238</v>
      </c>
      <c r="F335">
        <f>VLOOKUP($C335,'2000 Place'!$C$2:$Y$523,7,FALSE)</f>
        <v>0</v>
      </c>
      <c r="G335">
        <f>VLOOKUP($C335,'2000 Place'!$C$2:$Y$523,8,FALSE)</f>
        <v>238</v>
      </c>
      <c r="H335">
        <f>VLOOKUP($C335,'2000 Place'!$C$2:$Y$523,9,FALSE)</f>
        <v>0</v>
      </c>
      <c r="I335">
        <f>VLOOKUP($C335,'2000 Place'!$C$2:$Y$523,10,FALSE)</f>
        <v>0</v>
      </c>
      <c r="J335">
        <f>VLOOKUP($C335,'2000 Place'!$C$2:$Y$523,11,FALSE)</f>
        <v>0</v>
      </c>
      <c r="K335">
        <f>VLOOKUP($C335,'2000 Place'!$C$2:$Y$523,12,FALSE)</f>
        <v>0</v>
      </c>
      <c r="L335">
        <f>VLOOKUP($C335,'2000 Place'!$C$2:$Y$523,13,FALSE)</f>
        <v>0</v>
      </c>
      <c r="M335">
        <f>VLOOKUP($C335,'2000 Place'!$C$2:$Y$523,14,FALSE)</f>
        <v>0</v>
      </c>
      <c r="N335">
        <f>VLOOKUP($C335,'2000 Place'!$C$2:$Y$523,15,FALSE)</f>
        <v>0</v>
      </c>
      <c r="O335">
        <f>VLOOKUP($C335,'2000 Place'!$C$2:$Y$523,16,FALSE)</f>
        <v>0</v>
      </c>
      <c r="P335">
        <f>VLOOKUP($C335,'2000 Place'!$C$2:$Y$523,17,FALSE)</f>
        <v>0</v>
      </c>
      <c r="Q335">
        <f>VLOOKUP($C335,'2000 Place'!$C$2:$Y$523,18,FALSE)</f>
        <v>0</v>
      </c>
      <c r="R335">
        <f>VLOOKUP($C335,'2000 Place'!$C$2:$Y$523,19,FALSE)</f>
        <v>0</v>
      </c>
      <c r="S335">
        <f>VLOOKUP($C335,'2000 Place'!$C$2:$Y$523,20,FALSE)</f>
        <v>0</v>
      </c>
      <c r="T335">
        <f>VLOOKUP($C335,'2000 Place'!$C$2:$Y$523,21,FALSE)</f>
        <v>0</v>
      </c>
      <c r="U335">
        <f>VLOOKUP($C335,'2000 Place'!$C$2:$Y$523,22,FALSE)</f>
        <v>0</v>
      </c>
      <c r="V335">
        <f>VLOOKUP($C335,'2000 Place'!$C$2:$Y$523,23,FALSE)</f>
        <v>0</v>
      </c>
    </row>
    <row r="336" spans="1:22" x14ac:dyDescent="0.25">
      <c r="A336" t="s">
        <v>916</v>
      </c>
      <c r="B336">
        <v>5343062</v>
      </c>
      <c r="C336" t="s">
        <v>917</v>
      </c>
      <c r="D336">
        <f>VLOOKUP($C336,'2000 Place'!$C$2:$Y$523,5,FALSE)</f>
        <v>2582</v>
      </c>
      <c r="E336">
        <f>VLOOKUP($C336,'2000 Place'!$C$2:$Y$523,6,FALSE)</f>
        <v>2434</v>
      </c>
      <c r="F336">
        <f>VLOOKUP($C336,'2000 Place'!$C$2:$Y$523,7,FALSE)</f>
        <v>148</v>
      </c>
      <c r="G336">
        <f>VLOOKUP($C336,'2000 Place'!$C$2:$Y$523,8,FALSE)</f>
        <v>2166</v>
      </c>
      <c r="H336">
        <f>VLOOKUP($C336,'2000 Place'!$C$2:$Y$523,9,FALSE)</f>
        <v>41</v>
      </c>
      <c r="I336">
        <f>VLOOKUP($C336,'2000 Place'!$C$2:$Y$523,10,FALSE)</f>
        <v>41</v>
      </c>
      <c r="J336">
        <f>VLOOKUP($C336,'2000 Place'!$C$2:$Y$523,11,FALSE)</f>
        <v>8</v>
      </c>
      <c r="K336">
        <f>VLOOKUP($C336,'2000 Place'!$C$2:$Y$523,12,FALSE)</f>
        <v>23</v>
      </c>
      <c r="L336">
        <f>VLOOKUP($C336,'2000 Place'!$C$2:$Y$523,13,FALSE)</f>
        <v>0</v>
      </c>
      <c r="M336">
        <f>VLOOKUP($C336,'2000 Place'!$C$2:$Y$523,14,FALSE)</f>
        <v>32</v>
      </c>
      <c r="N336">
        <f>VLOOKUP($C336,'2000 Place'!$C$2:$Y$523,15,FALSE)</f>
        <v>0</v>
      </c>
      <c r="O336">
        <f>VLOOKUP($C336,'2000 Place'!$C$2:$Y$523,16,FALSE)</f>
        <v>65</v>
      </c>
      <c r="P336">
        <f>VLOOKUP($C336,'2000 Place'!$C$2:$Y$523,17,FALSE)</f>
        <v>97</v>
      </c>
      <c r="Q336">
        <f>VLOOKUP($C336,'2000 Place'!$C$2:$Y$523,18,FALSE)</f>
        <v>0</v>
      </c>
      <c r="R336">
        <f>VLOOKUP($C336,'2000 Place'!$C$2:$Y$523,19,FALSE)</f>
        <v>0</v>
      </c>
      <c r="S336">
        <f>VLOOKUP($C336,'2000 Place'!$C$2:$Y$523,20,FALSE)</f>
        <v>0</v>
      </c>
      <c r="T336">
        <f>VLOOKUP($C336,'2000 Place'!$C$2:$Y$523,21,FALSE)</f>
        <v>2</v>
      </c>
      <c r="U336">
        <f>VLOOKUP($C336,'2000 Place'!$C$2:$Y$523,22,FALSE)</f>
        <v>107</v>
      </c>
      <c r="V336">
        <f>VLOOKUP($C336,'2000 Place'!$C$2:$Y$523,23,FALSE)</f>
        <v>0</v>
      </c>
    </row>
    <row r="337" spans="1:22" x14ac:dyDescent="0.25">
      <c r="A337" t="s">
        <v>918</v>
      </c>
      <c r="B337">
        <v>5343150</v>
      </c>
      <c r="C337" t="s">
        <v>919</v>
      </c>
      <c r="D337">
        <f>VLOOKUP($C337,'2000 Place'!$C$2:$Y$523,5,FALSE)</f>
        <v>14341</v>
      </c>
      <c r="E337">
        <f>VLOOKUP($C337,'2000 Place'!$C$2:$Y$523,6,FALSE)</f>
        <v>13536</v>
      </c>
      <c r="F337">
        <f>VLOOKUP($C337,'2000 Place'!$C$2:$Y$523,7,FALSE)</f>
        <v>805</v>
      </c>
      <c r="G337">
        <f>VLOOKUP($C337,'2000 Place'!$C$2:$Y$523,8,FALSE)</f>
        <v>12483</v>
      </c>
      <c r="H337">
        <f>VLOOKUP($C337,'2000 Place'!$C$2:$Y$523,9,FALSE)</f>
        <v>494</v>
      </c>
      <c r="I337">
        <f>VLOOKUP($C337,'2000 Place'!$C$2:$Y$523,10,FALSE)</f>
        <v>186</v>
      </c>
      <c r="J337">
        <f>VLOOKUP($C337,'2000 Place'!$C$2:$Y$523,11,FALSE)</f>
        <v>45</v>
      </c>
      <c r="K337">
        <f>VLOOKUP($C337,'2000 Place'!$C$2:$Y$523,12,FALSE)</f>
        <v>86</v>
      </c>
      <c r="L337">
        <f>VLOOKUP($C337,'2000 Place'!$C$2:$Y$523,13,FALSE)</f>
        <v>12</v>
      </c>
      <c r="M337">
        <f>VLOOKUP($C337,'2000 Place'!$C$2:$Y$523,14,FALSE)</f>
        <v>52</v>
      </c>
      <c r="N337">
        <f>VLOOKUP($C337,'2000 Place'!$C$2:$Y$523,15,FALSE)</f>
        <v>23</v>
      </c>
      <c r="O337">
        <f>VLOOKUP($C337,'2000 Place'!$C$2:$Y$523,16,FALSE)</f>
        <v>207</v>
      </c>
      <c r="P337">
        <f>VLOOKUP($C337,'2000 Place'!$C$2:$Y$523,17,FALSE)</f>
        <v>178</v>
      </c>
      <c r="Q337">
        <f>VLOOKUP($C337,'2000 Place'!$C$2:$Y$523,18,FALSE)</f>
        <v>12</v>
      </c>
      <c r="R337">
        <f>VLOOKUP($C337,'2000 Place'!$C$2:$Y$523,19,FALSE)</f>
        <v>8</v>
      </c>
      <c r="S337">
        <f>VLOOKUP($C337,'2000 Place'!$C$2:$Y$523,20,FALSE)</f>
        <v>102</v>
      </c>
      <c r="T337">
        <f>VLOOKUP($C337,'2000 Place'!$C$2:$Y$523,21,FALSE)</f>
        <v>29</v>
      </c>
      <c r="U337">
        <f>VLOOKUP($C337,'2000 Place'!$C$2:$Y$523,22,FALSE)</f>
        <v>408</v>
      </c>
      <c r="V337">
        <f>VLOOKUP($C337,'2000 Place'!$C$2:$Y$523,23,FALSE)</f>
        <v>16</v>
      </c>
    </row>
    <row r="338" spans="1:22" x14ac:dyDescent="0.25">
      <c r="A338" t="s">
        <v>920</v>
      </c>
      <c r="B338">
        <v>5343255</v>
      </c>
      <c r="C338" t="s">
        <v>921</v>
      </c>
      <c r="D338" t="e">
        <f>VLOOKUP($C338,'2000 Place'!$C$2:$Y$523,5,FALSE)</f>
        <v>#N/A</v>
      </c>
      <c r="E338" t="e">
        <f>VLOOKUP($C338,'2000 Place'!$C$2:$Y$523,6,FALSE)</f>
        <v>#N/A</v>
      </c>
      <c r="F338" t="e">
        <f>VLOOKUP($C338,'2000 Place'!$C$2:$Y$523,7,FALSE)</f>
        <v>#N/A</v>
      </c>
      <c r="G338" t="e">
        <f>VLOOKUP($C338,'2000 Place'!$C$2:$Y$523,8,FALSE)</f>
        <v>#N/A</v>
      </c>
      <c r="H338" t="e">
        <f>VLOOKUP($C338,'2000 Place'!$C$2:$Y$523,9,FALSE)</f>
        <v>#N/A</v>
      </c>
      <c r="I338" t="e">
        <f>VLOOKUP($C338,'2000 Place'!$C$2:$Y$523,10,FALSE)</f>
        <v>#N/A</v>
      </c>
      <c r="J338" t="e">
        <f>VLOOKUP($C338,'2000 Place'!$C$2:$Y$523,11,FALSE)</f>
        <v>#N/A</v>
      </c>
      <c r="K338" t="e">
        <f>VLOOKUP($C338,'2000 Place'!$C$2:$Y$523,12,FALSE)</f>
        <v>#N/A</v>
      </c>
      <c r="L338" t="e">
        <f>VLOOKUP($C338,'2000 Place'!$C$2:$Y$523,13,FALSE)</f>
        <v>#N/A</v>
      </c>
      <c r="M338" t="e">
        <f>VLOOKUP($C338,'2000 Place'!$C$2:$Y$523,14,FALSE)</f>
        <v>#N/A</v>
      </c>
      <c r="N338" t="e">
        <f>VLOOKUP($C338,'2000 Place'!$C$2:$Y$523,15,FALSE)</f>
        <v>#N/A</v>
      </c>
      <c r="O338" t="e">
        <f>VLOOKUP($C338,'2000 Place'!$C$2:$Y$523,16,FALSE)</f>
        <v>#N/A</v>
      </c>
      <c r="P338" t="e">
        <f>VLOOKUP($C338,'2000 Place'!$C$2:$Y$523,17,FALSE)</f>
        <v>#N/A</v>
      </c>
      <c r="Q338" t="e">
        <f>VLOOKUP($C338,'2000 Place'!$C$2:$Y$523,18,FALSE)</f>
        <v>#N/A</v>
      </c>
      <c r="R338" t="e">
        <f>VLOOKUP($C338,'2000 Place'!$C$2:$Y$523,19,FALSE)</f>
        <v>#N/A</v>
      </c>
      <c r="S338" t="e">
        <f>VLOOKUP($C338,'2000 Place'!$C$2:$Y$523,20,FALSE)</f>
        <v>#N/A</v>
      </c>
      <c r="T338" t="e">
        <f>VLOOKUP($C338,'2000 Place'!$C$2:$Y$523,21,FALSE)</f>
        <v>#N/A</v>
      </c>
      <c r="U338" t="e">
        <f>VLOOKUP($C338,'2000 Place'!$C$2:$Y$523,22,FALSE)</f>
        <v>#N/A</v>
      </c>
      <c r="V338" t="e">
        <f>VLOOKUP($C338,'2000 Place'!$C$2:$Y$523,23,FALSE)</f>
        <v>#N/A</v>
      </c>
    </row>
    <row r="339" spans="1:22" x14ac:dyDescent="0.25">
      <c r="A339" t="s">
        <v>922</v>
      </c>
      <c r="B339">
        <v>5343325</v>
      </c>
      <c r="C339" t="s">
        <v>923</v>
      </c>
      <c r="D339">
        <f>VLOOKUP($C339,'2000 Place'!$C$2:$Y$523,5,FALSE)</f>
        <v>327</v>
      </c>
      <c r="E339">
        <f>VLOOKUP($C339,'2000 Place'!$C$2:$Y$523,6,FALSE)</f>
        <v>303</v>
      </c>
      <c r="F339">
        <f>VLOOKUP($C339,'2000 Place'!$C$2:$Y$523,7,FALSE)</f>
        <v>24</v>
      </c>
      <c r="G339">
        <f>VLOOKUP($C339,'2000 Place'!$C$2:$Y$523,8,FALSE)</f>
        <v>285</v>
      </c>
      <c r="H339">
        <f>VLOOKUP($C339,'2000 Place'!$C$2:$Y$523,9,FALSE)</f>
        <v>24</v>
      </c>
      <c r="I339">
        <f>VLOOKUP($C339,'2000 Place'!$C$2:$Y$523,10,FALSE)</f>
        <v>0</v>
      </c>
      <c r="J339">
        <f>VLOOKUP($C339,'2000 Place'!$C$2:$Y$523,11,FALSE)</f>
        <v>0</v>
      </c>
      <c r="K339">
        <f>VLOOKUP($C339,'2000 Place'!$C$2:$Y$523,12,FALSE)</f>
        <v>0</v>
      </c>
      <c r="L339">
        <f>VLOOKUP($C339,'2000 Place'!$C$2:$Y$523,13,FALSE)</f>
        <v>0</v>
      </c>
      <c r="M339">
        <f>VLOOKUP($C339,'2000 Place'!$C$2:$Y$523,14,FALSE)</f>
        <v>6</v>
      </c>
      <c r="N339">
        <f>VLOOKUP($C339,'2000 Place'!$C$2:$Y$523,15,FALSE)</f>
        <v>0</v>
      </c>
      <c r="O339">
        <f>VLOOKUP($C339,'2000 Place'!$C$2:$Y$523,16,FALSE)</f>
        <v>0</v>
      </c>
      <c r="P339">
        <f>VLOOKUP($C339,'2000 Place'!$C$2:$Y$523,17,FALSE)</f>
        <v>0</v>
      </c>
      <c r="Q339">
        <f>VLOOKUP($C339,'2000 Place'!$C$2:$Y$523,18,FALSE)</f>
        <v>0</v>
      </c>
      <c r="R339">
        <f>VLOOKUP($C339,'2000 Place'!$C$2:$Y$523,19,FALSE)</f>
        <v>0</v>
      </c>
      <c r="S339">
        <f>VLOOKUP($C339,'2000 Place'!$C$2:$Y$523,20,FALSE)</f>
        <v>0</v>
      </c>
      <c r="T339">
        <f>VLOOKUP($C339,'2000 Place'!$C$2:$Y$523,21,FALSE)</f>
        <v>0</v>
      </c>
      <c r="U339">
        <f>VLOOKUP($C339,'2000 Place'!$C$2:$Y$523,22,FALSE)</f>
        <v>12</v>
      </c>
      <c r="V339">
        <f>VLOOKUP($C339,'2000 Place'!$C$2:$Y$523,23,FALSE)</f>
        <v>0</v>
      </c>
    </row>
    <row r="340" spans="1:22" x14ac:dyDescent="0.25">
      <c r="A340" t="s">
        <v>924</v>
      </c>
      <c r="B340">
        <v>5343395</v>
      </c>
      <c r="C340" t="s">
        <v>925</v>
      </c>
      <c r="D340">
        <f>VLOOKUP($C340,'2000 Place'!$C$2:$Y$523,5,FALSE)</f>
        <v>141</v>
      </c>
      <c r="E340">
        <f>VLOOKUP($C340,'2000 Place'!$C$2:$Y$523,6,FALSE)</f>
        <v>133</v>
      </c>
      <c r="F340">
        <f>VLOOKUP($C340,'2000 Place'!$C$2:$Y$523,7,FALSE)</f>
        <v>8</v>
      </c>
      <c r="G340">
        <f>VLOOKUP($C340,'2000 Place'!$C$2:$Y$523,8,FALSE)</f>
        <v>119</v>
      </c>
      <c r="H340">
        <f>VLOOKUP($C340,'2000 Place'!$C$2:$Y$523,9,FALSE)</f>
        <v>4</v>
      </c>
      <c r="I340">
        <f>VLOOKUP($C340,'2000 Place'!$C$2:$Y$523,10,FALSE)</f>
        <v>0</v>
      </c>
      <c r="J340">
        <f>VLOOKUP($C340,'2000 Place'!$C$2:$Y$523,11,FALSE)</f>
        <v>0</v>
      </c>
      <c r="K340">
        <f>VLOOKUP($C340,'2000 Place'!$C$2:$Y$523,12,FALSE)</f>
        <v>0</v>
      </c>
      <c r="L340">
        <f>VLOOKUP($C340,'2000 Place'!$C$2:$Y$523,13,FALSE)</f>
        <v>0</v>
      </c>
      <c r="M340">
        <f>VLOOKUP($C340,'2000 Place'!$C$2:$Y$523,14,FALSE)</f>
        <v>3</v>
      </c>
      <c r="N340">
        <f>VLOOKUP($C340,'2000 Place'!$C$2:$Y$523,15,FALSE)</f>
        <v>0</v>
      </c>
      <c r="O340">
        <f>VLOOKUP($C340,'2000 Place'!$C$2:$Y$523,16,FALSE)</f>
        <v>0</v>
      </c>
      <c r="P340">
        <f>VLOOKUP($C340,'2000 Place'!$C$2:$Y$523,17,FALSE)</f>
        <v>4</v>
      </c>
      <c r="Q340">
        <f>VLOOKUP($C340,'2000 Place'!$C$2:$Y$523,18,FALSE)</f>
        <v>0</v>
      </c>
      <c r="R340">
        <f>VLOOKUP($C340,'2000 Place'!$C$2:$Y$523,19,FALSE)</f>
        <v>0</v>
      </c>
      <c r="S340">
        <f>VLOOKUP($C340,'2000 Place'!$C$2:$Y$523,20,FALSE)</f>
        <v>0</v>
      </c>
      <c r="T340">
        <f>VLOOKUP($C340,'2000 Place'!$C$2:$Y$523,21,FALSE)</f>
        <v>0</v>
      </c>
      <c r="U340">
        <f>VLOOKUP($C340,'2000 Place'!$C$2:$Y$523,22,FALSE)</f>
        <v>11</v>
      </c>
      <c r="V340">
        <f>VLOOKUP($C340,'2000 Place'!$C$2:$Y$523,23,FALSE)</f>
        <v>0</v>
      </c>
    </row>
    <row r="341" spans="1:22" x14ac:dyDescent="0.25">
      <c r="A341" t="s">
        <v>926</v>
      </c>
      <c r="B341">
        <v>5343491</v>
      </c>
      <c r="C341" t="s">
        <v>927</v>
      </c>
      <c r="D341">
        <f>VLOOKUP($C341,'2000 Place'!$C$2:$Y$523,5,FALSE)</f>
        <v>3901</v>
      </c>
      <c r="E341">
        <f>VLOOKUP($C341,'2000 Place'!$C$2:$Y$523,6,FALSE)</f>
        <v>3393</v>
      </c>
      <c r="F341">
        <f>VLOOKUP($C341,'2000 Place'!$C$2:$Y$523,7,FALSE)</f>
        <v>508</v>
      </c>
      <c r="G341">
        <f>VLOOKUP($C341,'2000 Place'!$C$2:$Y$523,8,FALSE)</f>
        <v>3033</v>
      </c>
      <c r="H341">
        <f>VLOOKUP($C341,'2000 Place'!$C$2:$Y$523,9,FALSE)</f>
        <v>326</v>
      </c>
      <c r="I341">
        <f>VLOOKUP($C341,'2000 Place'!$C$2:$Y$523,10,FALSE)</f>
        <v>0</v>
      </c>
      <c r="J341">
        <f>VLOOKUP($C341,'2000 Place'!$C$2:$Y$523,11,FALSE)</f>
        <v>0</v>
      </c>
      <c r="K341">
        <f>VLOOKUP($C341,'2000 Place'!$C$2:$Y$523,12,FALSE)</f>
        <v>0</v>
      </c>
      <c r="L341">
        <f>VLOOKUP($C341,'2000 Place'!$C$2:$Y$523,13,FALSE)</f>
        <v>0</v>
      </c>
      <c r="M341">
        <f>VLOOKUP($C341,'2000 Place'!$C$2:$Y$523,14,FALSE)</f>
        <v>112</v>
      </c>
      <c r="N341">
        <f>VLOOKUP($C341,'2000 Place'!$C$2:$Y$523,15,FALSE)</f>
        <v>0</v>
      </c>
      <c r="O341">
        <f>VLOOKUP($C341,'2000 Place'!$C$2:$Y$523,16,FALSE)</f>
        <v>27</v>
      </c>
      <c r="P341">
        <f>VLOOKUP($C341,'2000 Place'!$C$2:$Y$523,17,FALSE)</f>
        <v>143</v>
      </c>
      <c r="Q341">
        <f>VLOOKUP($C341,'2000 Place'!$C$2:$Y$523,18,FALSE)</f>
        <v>16</v>
      </c>
      <c r="R341">
        <f>VLOOKUP($C341,'2000 Place'!$C$2:$Y$523,19,FALSE)</f>
        <v>0</v>
      </c>
      <c r="S341">
        <f>VLOOKUP($C341,'2000 Place'!$C$2:$Y$523,20,FALSE)</f>
        <v>149</v>
      </c>
      <c r="T341">
        <f>VLOOKUP($C341,'2000 Place'!$C$2:$Y$523,21,FALSE)</f>
        <v>39</v>
      </c>
      <c r="U341">
        <f>VLOOKUP($C341,'2000 Place'!$C$2:$Y$523,22,FALSE)</f>
        <v>56</v>
      </c>
      <c r="V341">
        <f>VLOOKUP($C341,'2000 Place'!$C$2:$Y$523,23,FALSE)</f>
        <v>0</v>
      </c>
    </row>
    <row r="342" spans="1:22" x14ac:dyDescent="0.25">
      <c r="A342" t="s">
        <v>928</v>
      </c>
      <c r="B342">
        <v>5343640</v>
      </c>
      <c r="C342" t="s">
        <v>929</v>
      </c>
      <c r="D342">
        <f>VLOOKUP($C342,'2000 Place'!$C$2:$Y$523,5,FALSE)</f>
        <v>73</v>
      </c>
      <c r="E342">
        <f>VLOOKUP($C342,'2000 Place'!$C$2:$Y$523,6,FALSE)</f>
        <v>73</v>
      </c>
      <c r="F342">
        <f>VLOOKUP($C342,'2000 Place'!$C$2:$Y$523,7,FALSE)</f>
        <v>0</v>
      </c>
      <c r="G342">
        <f>VLOOKUP($C342,'2000 Place'!$C$2:$Y$523,8,FALSE)</f>
        <v>73</v>
      </c>
      <c r="H342">
        <f>VLOOKUP($C342,'2000 Place'!$C$2:$Y$523,9,FALSE)</f>
        <v>0</v>
      </c>
      <c r="I342">
        <f>VLOOKUP($C342,'2000 Place'!$C$2:$Y$523,10,FALSE)</f>
        <v>0</v>
      </c>
      <c r="J342">
        <f>VLOOKUP($C342,'2000 Place'!$C$2:$Y$523,11,FALSE)</f>
        <v>0</v>
      </c>
      <c r="K342">
        <f>VLOOKUP($C342,'2000 Place'!$C$2:$Y$523,12,FALSE)</f>
        <v>0</v>
      </c>
      <c r="L342">
        <f>VLOOKUP($C342,'2000 Place'!$C$2:$Y$523,13,FALSE)</f>
        <v>0</v>
      </c>
      <c r="M342">
        <f>VLOOKUP($C342,'2000 Place'!$C$2:$Y$523,14,FALSE)</f>
        <v>0</v>
      </c>
      <c r="N342">
        <f>VLOOKUP($C342,'2000 Place'!$C$2:$Y$523,15,FALSE)</f>
        <v>0</v>
      </c>
      <c r="O342">
        <f>VLOOKUP($C342,'2000 Place'!$C$2:$Y$523,16,FALSE)</f>
        <v>0</v>
      </c>
      <c r="P342">
        <f>VLOOKUP($C342,'2000 Place'!$C$2:$Y$523,17,FALSE)</f>
        <v>0</v>
      </c>
      <c r="Q342">
        <f>VLOOKUP($C342,'2000 Place'!$C$2:$Y$523,18,FALSE)</f>
        <v>0</v>
      </c>
      <c r="R342">
        <f>VLOOKUP($C342,'2000 Place'!$C$2:$Y$523,19,FALSE)</f>
        <v>0</v>
      </c>
      <c r="S342">
        <f>VLOOKUP($C342,'2000 Place'!$C$2:$Y$523,20,FALSE)</f>
        <v>0</v>
      </c>
      <c r="T342">
        <f>VLOOKUP($C342,'2000 Place'!$C$2:$Y$523,21,FALSE)</f>
        <v>0</v>
      </c>
      <c r="U342">
        <f>VLOOKUP($C342,'2000 Place'!$C$2:$Y$523,22,FALSE)</f>
        <v>0</v>
      </c>
      <c r="V342">
        <f>VLOOKUP($C342,'2000 Place'!$C$2:$Y$523,23,FALSE)</f>
        <v>0</v>
      </c>
    </row>
    <row r="343" spans="1:22" x14ac:dyDescent="0.25">
      <c r="A343" t="s">
        <v>930</v>
      </c>
      <c r="B343">
        <v>5343762</v>
      </c>
      <c r="C343" t="s">
        <v>931</v>
      </c>
      <c r="D343">
        <f>VLOOKUP($C343,'2000 Place'!$C$2:$Y$523,5,FALSE)</f>
        <v>876</v>
      </c>
      <c r="E343">
        <f>VLOOKUP($C343,'2000 Place'!$C$2:$Y$523,6,FALSE)</f>
        <v>855</v>
      </c>
      <c r="F343">
        <f>VLOOKUP($C343,'2000 Place'!$C$2:$Y$523,7,FALSE)</f>
        <v>21</v>
      </c>
      <c r="G343">
        <f>VLOOKUP($C343,'2000 Place'!$C$2:$Y$523,8,FALSE)</f>
        <v>822</v>
      </c>
      <c r="H343">
        <f>VLOOKUP($C343,'2000 Place'!$C$2:$Y$523,9,FALSE)</f>
        <v>21</v>
      </c>
      <c r="I343">
        <f>VLOOKUP($C343,'2000 Place'!$C$2:$Y$523,10,FALSE)</f>
        <v>9</v>
      </c>
      <c r="J343">
        <f>VLOOKUP($C343,'2000 Place'!$C$2:$Y$523,11,FALSE)</f>
        <v>0</v>
      </c>
      <c r="K343">
        <f>VLOOKUP($C343,'2000 Place'!$C$2:$Y$523,12,FALSE)</f>
        <v>0</v>
      </c>
      <c r="L343">
        <f>VLOOKUP($C343,'2000 Place'!$C$2:$Y$523,13,FALSE)</f>
        <v>0</v>
      </c>
      <c r="M343">
        <f>VLOOKUP($C343,'2000 Place'!$C$2:$Y$523,14,FALSE)</f>
        <v>10</v>
      </c>
      <c r="N343">
        <f>VLOOKUP($C343,'2000 Place'!$C$2:$Y$523,15,FALSE)</f>
        <v>0</v>
      </c>
      <c r="O343">
        <f>VLOOKUP($C343,'2000 Place'!$C$2:$Y$523,16,FALSE)</f>
        <v>0</v>
      </c>
      <c r="P343">
        <f>VLOOKUP($C343,'2000 Place'!$C$2:$Y$523,17,FALSE)</f>
        <v>0</v>
      </c>
      <c r="Q343">
        <f>VLOOKUP($C343,'2000 Place'!$C$2:$Y$523,18,FALSE)</f>
        <v>0</v>
      </c>
      <c r="R343">
        <f>VLOOKUP($C343,'2000 Place'!$C$2:$Y$523,19,FALSE)</f>
        <v>0</v>
      </c>
      <c r="S343">
        <f>VLOOKUP($C343,'2000 Place'!$C$2:$Y$523,20,FALSE)</f>
        <v>6</v>
      </c>
      <c r="T343">
        <f>VLOOKUP($C343,'2000 Place'!$C$2:$Y$523,21,FALSE)</f>
        <v>0</v>
      </c>
      <c r="U343">
        <f>VLOOKUP($C343,'2000 Place'!$C$2:$Y$523,22,FALSE)</f>
        <v>8</v>
      </c>
      <c r="V343">
        <f>VLOOKUP($C343,'2000 Place'!$C$2:$Y$523,23,FALSE)</f>
        <v>0</v>
      </c>
    </row>
    <row r="344" spans="1:22" x14ac:dyDescent="0.25">
      <c r="A344" t="s">
        <v>932</v>
      </c>
      <c r="B344">
        <v>5343815</v>
      </c>
      <c r="C344" t="s">
        <v>933</v>
      </c>
      <c r="D344">
        <f>VLOOKUP($C344,'2000 Place'!$C$2:$Y$523,5,FALSE)</f>
        <v>12640</v>
      </c>
      <c r="E344">
        <f>VLOOKUP($C344,'2000 Place'!$C$2:$Y$523,6,FALSE)</f>
        <v>11225</v>
      </c>
      <c r="F344">
        <f>VLOOKUP($C344,'2000 Place'!$C$2:$Y$523,7,FALSE)</f>
        <v>1415</v>
      </c>
      <c r="G344">
        <f>VLOOKUP($C344,'2000 Place'!$C$2:$Y$523,8,FALSE)</f>
        <v>9946</v>
      </c>
      <c r="H344">
        <f>VLOOKUP($C344,'2000 Place'!$C$2:$Y$523,9,FALSE)</f>
        <v>477</v>
      </c>
      <c r="I344">
        <f>VLOOKUP($C344,'2000 Place'!$C$2:$Y$523,10,FALSE)</f>
        <v>207</v>
      </c>
      <c r="J344">
        <f>VLOOKUP($C344,'2000 Place'!$C$2:$Y$523,11,FALSE)</f>
        <v>23</v>
      </c>
      <c r="K344">
        <f>VLOOKUP($C344,'2000 Place'!$C$2:$Y$523,12,FALSE)</f>
        <v>158</v>
      </c>
      <c r="L344">
        <f>VLOOKUP($C344,'2000 Place'!$C$2:$Y$523,13,FALSE)</f>
        <v>32</v>
      </c>
      <c r="M344">
        <f>VLOOKUP($C344,'2000 Place'!$C$2:$Y$523,14,FALSE)</f>
        <v>63</v>
      </c>
      <c r="N344">
        <f>VLOOKUP($C344,'2000 Place'!$C$2:$Y$523,15,FALSE)</f>
        <v>0</v>
      </c>
      <c r="O344">
        <f>VLOOKUP($C344,'2000 Place'!$C$2:$Y$523,16,FALSE)</f>
        <v>414</v>
      </c>
      <c r="P344">
        <f>VLOOKUP($C344,'2000 Place'!$C$2:$Y$523,17,FALSE)</f>
        <v>757</v>
      </c>
      <c r="Q344">
        <f>VLOOKUP($C344,'2000 Place'!$C$2:$Y$523,18,FALSE)</f>
        <v>0</v>
      </c>
      <c r="R344">
        <f>VLOOKUP($C344,'2000 Place'!$C$2:$Y$523,19,FALSE)</f>
        <v>0</v>
      </c>
      <c r="S344">
        <f>VLOOKUP($C344,'2000 Place'!$C$2:$Y$523,20,FALSE)</f>
        <v>83</v>
      </c>
      <c r="T344">
        <f>VLOOKUP($C344,'2000 Place'!$C$2:$Y$523,21,FALSE)</f>
        <v>28</v>
      </c>
      <c r="U344">
        <f>VLOOKUP($C344,'2000 Place'!$C$2:$Y$523,22,FALSE)</f>
        <v>354</v>
      </c>
      <c r="V344">
        <f>VLOOKUP($C344,'2000 Place'!$C$2:$Y$523,23,FALSE)</f>
        <v>98</v>
      </c>
    </row>
    <row r="345" spans="1:22" x14ac:dyDescent="0.25">
      <c r="A345" t="s">
        <v>934</v>
      </c>
      <c r="B345">
        <v>5343885</v>
      </c>
      <c r="C345" t="s">
        <v>935</v>
      </c>
      <c r="D345">
        <f>VLOOKUP($C345,'2000 Place'!$C$2:$Y$523,5,FALSE)</f>
        <v>85</v>
      </c>
      <c r="E345">
        <f>VLOOKUP($C345,'2000 Place'!$C$2:$Y$523,6,FALSE)</f>
        <v>85</v>
      </c>
      <c r="F345">
        <f>VLOOKUP($C345,'2000 Place'!$C$2:$Y$523,7,FALSE)</f>
        <v>0</v>
      </c>
      <c r="G345">
        <f>VLOOKUP($C345,'2000 Place'!$C$2:$Y$523,8,FALSE)</f>
        <v>72</v>
      </c>
      <c r="H345">
        <f>VLOOKUP($C345,'2000 Place'!$C$2:$Y$523,9,FALSE)</f>
        <v>0</v>
      </c>
      <c r="I345">
        <f>VLOOKUP($C345,'2000 Place'!$C$2:$Y$523,10,FALSE)</f>
        <v>0</v>
      </c>
      <c r="J345">
        <f>VLOOKUP($C345,'2000 Place'!$C$2:$Y$523,11,FALSE)</f>
        <v>0</v>
      </c>
      <c r="K345">
        <f>VLOOKUP($C345,'2000 Place'!$C$2:$Y$523,12,FALSE)</f>
        <v>0</v>
      </c>
      <c r="L345">
        <f>VLOOKUP($C345,'2000 Place'!$C$2:$Y$523,13,FALSE)</f>
        <v>0</v>
      </c>
      <c r="M345">
        <f>VLOOKUP($C345,'2000 Place'!$C$2:$Y$523,14,FALSE)</f>
        <v>13</v>
      </c>
      <c r="N345">
        <f>VLOOKUP($C345,'2000 Place'!$C$2:$Y$523,15,FALSE)</f>
        <v>0</v>
      </c>
      <c r="O345">
        <f>VLOOKUP($C345,'2000 Place'!$C$2:$Y$523,16,FALSE)</f>
        <v>0</v>
      </c>
      <c r="P345">
        <f>VLOOKUP($C345,'2000 Place'!$C$2:$Y$523,17,FALSE)</f>
        <v>0</v>
      </c>
      <c r="Q345">
        <f>VLOOKUP($C345,'2000 Place'!$C$2:$Y$523,18,FALSE)</f>
        <v>0</v>
      </c>
      <c r="R345">
        <f>VLOOKUP($C345,'2000 Place'!$C$2:$Y$523,19,FALSE)</f>
        <v>0</v>
      </c>
      <c r="S345">
        <f>VLOOKUP($C345,'2000 Place'!$C$2:$Y$523,20,FALSE)</f>
        <v>0</v>
      </c>
      <c r="T345">
        <f>VLOOKUP($C345,'2000 Place'!$C$2:$Y$523,21,FALSE)</f>
        <v>0</v>
      </c>
      <c r="U345">
        <f>VLOOKUP($C345,'2000 Place'!$C$2:$Y$523,22,FALSE)</f>
        <v>0</v>
      </c>
      <c r="V345">
        <f>VLOOKUP($C345,'2000 Place'!$C$2:$Y$523,23,FALSE)</f>
        <v>0</v>
      </c>
    </row>
    <row r="346" spans="1:22" x14ac:dyDescent="0.25">
      <c r="A346" t="s">
        <v>936</v>
      </c>
      <c r="B346">
        <v>5343955</v>
      </c>
      <c r="C346" t="s">
        <v>937</v>
      </c>
      <c r="D346">
        <f>VLOOKUP($C346,'2000 Place'!$C$2:$Y$523,5,FALSE)</f>
        <v>25221</v>
      </c>
      <c r="E346">
        <f>VLOOKUP($C346,'2000 Place'!$C$2:$Y$523,6,FALSE)</f>
        <v>23010</v>
      </c>
      <c r="F346">
        <f>VLOOKUP($C346,'2000 Place'!$C$2:$Y$523,7,FALSE)</f>
        <v>2211</v>
      </c>
      <c r="G346">
        <f>VLOOKUP($C346,'2000 Place'!$C$2:$Y$523,8,FALSE)</f>
        <v>20833</v>
      </c>
      <c r="H346">
        <f>VLOOKUP($C346,'2000 Place'!$C$2:$Y$523,9,FALSE)</f>
        <v>920</v>
      </c>
      <c r="I346">
        <f>VLOOKUP($C346,'2000 Place'!$C$2:$Y$523,10,FALSE)</f>
        <v>261</v>
      </c>
      <c r="J346">
        <f>VLOOKUP($C346,'2000 Place'!$C$2:$Y$523,11,FALSE)</f>
        <v>215</v>
      </c>
      <c r="K346">
        <f>VLOOKUP($C346,'2000 Place'!$C$2:$Y$523,12,FALSE)</f>
        <v>221</v>
      </c>
      <c r="L346">
        <f>VLOOKUP($C346,'2000 Place'!$C$2:$Y$523,13,FALSE)</f>
        <v>43</v>
      </c>
      <c r="M346">
        <f>VLOOKUP($C346,'2000 Place'!$C$2:$Y$523,14,FALSE)</f>
        <v>325</v>
      </c>
      <c r="N346">
        <f>VLOOKUP($C346,'2000 Place'!$C$2:$Y$523,15,FALSE)</f>
        <v>0</v>
      </c>
      <c r="O346">
        <f>VLOOKUP($C346,'2000 Place'!$C$2:$Y$523,16,FALSE)</f>
        <v>339</v>
      </c>
      <c r="P346">
        <f>VLOOKUP($C346,'2000 Place'!$C$2:$Y$523,17,FALSE)</f>
        <v>614</v>
      </c>
      <c r="Q346">
        <f>VLOOKUP($C346,'2000 Place'!$C$2:$Y$523,18,FALSE)</f>
        <v>15</v>
      </c>
      <c r="R346">
        <f>VLOOKUP($C346,'2000 Place'!$C$2:$Y$523,19,FALSE)</f>
        <v>8</v>
      </c>
      <c r="S346">
        <f>VLOOKUP($C346,'2000 Place'!$C$2:$Y$523,20,FALSE)</f>
        <v>220</v>
      </c>
      <c r="T346">
        <f>VLOOKUP($C346,'2000 Place'!$C$2:$Y$523,21,FALSE)</f>
        <v>269</v>
      </c>
      <c r="U346">
        <f>VLOOKUP($C346,'2000 Place'!$C$2:$Y$523,22,FALSE)</f>
        <v>796</v>
      </c>
      <c r="V346">
        <f>VLOOKUP($C346,'2000 Place'!$C$2:$Y$523,23,FALSE)</f>
        <v>142</v>
      </c>
    </row>
    <row r="347" spans="1:22" x14ac:dyDescent="0.25">
      <c r="A347" t="s">
        <v>938</v>
      </c>
      <c r="B347">
        <v>5344165</v>
      </c>
      <c r="C347" t="s">
        <v>939</v>
      </c>
      <c r="D347" t="e">
        <f>VLOOKUP($C347,'2000 Place'!$C$2:$Y$523,5,FALSE)</f>
        <v>#N/A</v>
      </c>
      <c r="E347" t="e">
        <f>VLOOKUP($C347,'2000 Place'!$C$2:$Y$523,6,FALSE)</f>
        <v>#N/A</v>
      </c>
      <c r="F347" t="e">
        <f>VLOOKUP($C347,'2000 Place'!$C$2:$Y$523,7,FALSE)</f>
        <v>#N/A</v>
      </c>
      <c r="G347" t="e">
        <f>VLOOKUP($C347,'2000 Place'!$C$2:$Y$523,8,FALSE)</f>
        <v>#N/A</v>
      </c>
      <c r="H347" t="e">
        <f>VLOOKUP($C347,'2000 Place'!$C$2:$Y$523,9,FALSE)</f>
        <v>#N/A</v>
      </c>
      <c r="I347" t="e">
        <f>VLOOKUP($C347,'2000 Place'!$C$2:$Y$523,10,FALSE)</f>
        <v>#N/A</v>
      </c>
      <c r="J347" t="e">
        <f>VLOOKUP($C347,'2000 Place'!$C$2:$Y$523,11,FALSE)</f>
        <v>#N/A</v>
      </c>
      <c r="K347" t="e">
        <f>VLOOKUP($C347,'2000 Place'!$C$2:$Y$523,12,FALSE)</f>
        <v>#N/A</v>
      </c>
      <c r="L347" t="e">
        <f>VLOOKUP($C347,'2000 Place'!$C$2:$Y$523,13,FALSE)</f>
        <v>#N/A</v>
      </c>
      <c r="M347" t="e">
        <f>VLOOKUP($C347,'2000 Place'!$C$2:$Y$523,14,FALSE)</f>
        <v>#N/A</v>
      </c>
      <c r="N347" t="e">
        <f>VLOOKUP($C347,'2000 Place'!$C$2:$Y$523,15,FALSE)</f>
        <v>#N/A</v>
      </c>
      <c r="O347" t="e">
        <f>VLOOKUP($C347,'2000 Place'!$C$2:$Y$523,16,FALSE)</f>
        <v>#N/A</v>
      </c>
      <c r="P347" t="e">
        <f>VLOOKUP($C347,'2000 Place'!$C$2:$Y$523,17,FALSE)</f>
        <v>#N/A</v>
      </c>
      <c r="Q347" t="e">
        <f>VLOOKUP($C347,'2000 Place'!$C$2:$Y$523,18,FALSE)</f>
        <v>#N/A</v>
      </c>
      <c r="R347" t="e">
        <f>VLOOKUP($C347,'2000 Place'!$C$2:$Y$523,19,FALSE)</f>
        <v>#N/A</v>
      </c>
      <c r="S347" t="e">
        <f>VLOOKUP($C347,'2000 Place'!$C$2:$Y$523,20,FALSE)</f>
        <v>#N/A</v>
      </c>
      <c r="T347" t="e">
        <f>VLOOKUP($C347,'2000 Place'!$C$2:$Y$523,21,FALSE)</f>
        <v>#N/A</v>
      </c>
      <c r="U347" t="e">
        <f>VLOOKUP($C347,'2000 Place'!$C$2:$Y$523,22,FALSE)</f>
        <v>#N/A</v>
      </c>
      <c r="V347" t="e">
        <f>VLOOKUP($C347,'2000 Place'!$C$2:$Y$523,23,FALSE)</f>
        <v>#N/A</v>
      </c>
    </row>
    <row r="348" spans="1:22" x14ac:dyDescent="0.25">
      <c r="A348" t="s">
        <v>940</v>
      </c>
      <c r="B348">
        <v>5344260</v>
      </c>
      <c r="C348" t="s">
        <v>941</v>
      </c>
      <c r="D348">
        <f>VLOOKUP($C348,'2000 Place'!$C$2:$Y$523,5,FALSE)</f>
        <v>987</v>
      </c>
      <c r="E348">
        <f>VLOOKUP($C348,'2000 Place'!$C$2:$Y$523,6,FALSE)</f>
        <v>983</v>
      </c>
      <c r="F348">
        <f>VLOOKUP($C348,'2000 Place'!$C$2:$Y$523,7,FALSE)</f>
        <v>4</v>
      </c>
      <c r="G348">
        <f>VLOOKUP($C348,'2000 Place'!$C$2:$Y$523,8,FALSE)</f>
        <v>941</v>
      </c>
      <c r="H348">
        <f>VLOOKUP($C348,'2000 Place'!$C$2:$Y$523,9,FALSE)</f>
        <v>4</v>
      </c>
      <c r="I348">
        <f>VLOOKUP($C348,'2000 Place'!$C$2:$Y$523,10,FALSE)</f>
        <v>19</v>
      </c>
      <c r="J348">
        <f>VLOOKUP($C348,'2000 Place'!$C$2:$Y$523,11,FALSE)</f>
        <v>0</v>
      </c>
      <c r="K348">
        <f>VLOOKUP($C348,'2000 Place'!$C$2:$Y$523,12,FALSE)</f>
        <v>0</v>
      </c>
      <c r="L348">
        <f>VLOOKUP($C348,'2000 Place'!$C$2:$Y$523,13,FALSE)</f>
        <v>0</v>
      </c>
      <c r="M348">
        <f>VLOOKUP($C348,'2000 Place'!$C$2:$Y$523,14,FALSE)</f>
        <v>2</v>
      </c>
      <c r="N348">
        <f>VLOOKUP($C348,'2000 Place'!$C$2:$Y$523,15,FALSE)</f>
        <v>0</v>
      </c>
      <c r="O348">
        <f>VLOOKUP($C348,'2000 Place'!$C$2:$Y$523,16,FALSE)</f>
        <v>0</v>
      </c>
      <c r="P348">
        <f>VLOOKUP($C348,'2000 Place'!$C$2:$Y$523,17,FALSE)</f>
        <v>0</v>
      </c>
      <c r="Q348">
        <f>VLOOKUP($C348,'2000 Place'!$C$2:$Y$523,18,FALSE)</f>
        <v>0</v>
      </c>
      <c r="R348">
        <f>VLOOKUP($C348,'2000 Place'!$C$2:$Y$523,19,FALSE)</f>
        <v>0</v>
      </c>
      <c r="S348">
        <f>VLOOKUP($C348,'2000 Place'!$C$2:$Y$523,20,FALSE)</f>
        <v>0</v>
      </c>
      <c r="T348">
        <f>VLOOKUP($C348,'2000 Place'!$C$2:$Y$523,21,FALSE)</f>
        <v>0</v>
      </c>
      <c r="U348">
        <f>VLOOKUP($C348,'2000 Place'!$C$2:$Y$523,22,FALSE)</f>
        <v>21</v>
      </c>
      <c r="V348">
        <f>VLOOKUP($C348,'2000 Place'!$C$2:$Y$523,23,FALSE)</f>
        <v>0</v>
      </c>
    </row>
    <row r="349" spans="1:22" x14ac:dyDescent="0.25">
      <c r="A349" t="s">
        <v>942</v>
      </c>
      <c r="B349">
        <v>5344480</v>
      </c>
      <c r="C349" t="s">
        <v>943</v>
      </c>
      <c r="D349" t="e">
        <f>VLOOKUP($C349,'2000 Place'!$C$2:$Y$523,5,FALSE)</f>
        <v>#N/A</v>
      </c>
      <c r="E349" t="e">
        <f>VLOOKUP($C349,'2000 Place'!$C$2:$Y$523,6,FALSE)</f>
        <v>#N/A</v>
      </c>
      <c r="F349" t="e">
        <f>VLOOKUP($C349,'2000 Place'!$C$2:$Y$523,7,FALSE)</f>
        <v>#N/A</v>
      </c>
      <c r="G349" t="e">
        <f>VLOOKUP($C349,'2000 Place'!$C$2:$Y$523,8,FALSE)</f>
        <v>#N/A</v>
      </c>
      <c r="H349" t="e">
        <f>VLOOKUP($C349,'2000 Place'!$C$2:$Y$523,9,FALSE)</f>
        <v>#N/A</v>
      </c>
      <c r="I349" t="e">
        <f>VLOOKUP($C349,'2000 Place'!$C$2:$Y$523,10,FALSE)</f>
        <v>#N/A</v>
      </c>
      <c r="J349" t="e">
        <f>VLOOKUP($C349,'2000 Place'!$C$2:$Y$523,11,FALSE)</f>
        <v>#N/A</v>
      </c>
      <c r="K349" t="e">
        <f>VLOOKUP($C349,'2000 Place'!$C$2:$Y$523,12,FALSE)</f>
        <v>#N/A</v>
      </c>
      <c r="L349" t="e">
        <f>VLOOKUP($C349,'2000 Place'!$C$2:$Y$523,13,FALSE)</f>
        <v>#N/A</v>
      </c>
      <c r="M349" t="e">
        <f>VLOOKUP($C349,'2000 Place'!$C$2:$Y$523,14,FALSE)</f>
        <v>#N/A</v>
      </c>
      <c r="N349" t="e">
        <f>VLOOKUP($C349,'2000 Place'!$C$2:$Y$523,15,FALSE)</f>
        <v>#N/A</v>
      </c>
      <c r="O349" t="e">
        <f>VLOOKUP($C349,'2000 Place'!$C$2:$Y$523,16,FALSE)</f>
        <v>#N/A</v>
      </c>
      <c r="P349" t="e">
        <f>VLOOKUP($C349,'2000 Place'!$C$2:$Y$523,17,FALSE)</f>
        <v>#N/A</v>
      </c>
      <c r="Q349" t="e">
        <f>VLOOKUP($C349,'2000 Place'!$C$2:$Y$523,18,FALSE)</f>
        <v>#N/A</v>
      </c>
      <c r="R349" t="e">
        <f>VLOOKUP($C349,'2000 Place'!$C$2:$Y$523,19,FALSE)</f>
        <v>#N/A</v>
      </c>
      <c r="S349" t="e">
        <f>VLOOKUP($C349,'2000 Place'!$C$2:$Y$523,20,FALSE)</f>
        <v>#N/A</v>
      </c>
      <c r="T349" t="e">
        <f>VLOOKUP($C349,'2000 Place'!$C$2:$Y$523,21,FALSE)</f>
        <v>#N/A</v>
      </c>
      <c r="U349" t="e">
        <f>VLOOKUP($C349,'2000 Place'!$C$2:$Y$523,22,FALSE)</f>
        <v>#N/A</v>
      </c>
      <c r="V349" t="e">
        <f>VLOOKUP($C349,'2000 Place'!$C$2:$Y$523,23,FALSE)</f>
        <v>#N/A</v>
      </c>
    </row>
    <row r="350" spans="1:22" x14ac:dyDescent="0.25">
      <c r="A350" t="s">
        <v>944</v>
      </c>
      <c r="B350">
        <v>5344585</v>
      </c>
      <c r="C350" t="s">
        <v>945</v>
      </c>
      <c r="D350" t="e">
        <f>VLOOKUP($C350,'2000 Place'!$C$2:$Y$523,5,FALSE)</f>
        <v>#N/A</v>
      </c>
      <c r="E350" t="e">
        <f>VLOOKUP($C350,'2000 Place'!$C$2:$Y$523,6,FALSE)</f>
        <v>#N/A</v>
      </c>
      <c r="F350" t="e">
        <f>VLOOKUP($C350,'2000 Place'!$C$2:$Y$523,7,FALSE)</f>
        <v>#N/A</v>
      </c>
      <c r="G350" t="e">
        <f>VLOOKUP($C350,'2000 Place'!$C$2:$Y$523,8,FALSE)</f>
        <v>#N/A</v>
      </c>
      <c r="H350" t="e">
        <f>VLOOKUP($C350,'2000 Place'!$C$2:$Y$523,9,FALSE)</f>
        <v>#N/A</v>
      </c>
      <c r="I350" t="e">
        <f>VLOOKUP($C350,'2000 Place'!$C$2:$Y$523,10,FALSE)</f>
        <v>#N/A</v>
      </c>
      <c r="J350" t="e">
        <f>VLOOKUP($C350,'2000 Place'!$C$2:$Y$523,11,FALSE)</f>
        <v>#N/A</v>
      </c>
      <c r="K350" t="e">
        <f>VLOOKUP($C350,'2000 Place'!$C$2:$Y$523,12,FALSE)</f>
        <v>#N/A</v>
      </c>
      <c r="L350" t="e">
        <f>VLOOKUP($C350,'2000 Place'!$C$2:$Y$523,13,FALSE)</f>
        <v>#N/A</v>
      </c>
      <c r="M350" t="e">
        <f>VLOOKUP($C350,'2000 Place'!$C$2:$Y$523,14,FALSE)</f>
        <v>#N/A</v>
      </c>
      <c r="N350" t="e">
        <f>VLOOKUP($C350,'2000 Place'!$C$2:$Y$523,15,FALSE)</f>
        <v>#N/A</v>
      </c>
      <c r="O350" t="e">
        <f>VLOOKUP($C350,'2000 Place'!$C$2:$Y$523,16,FALSE)</f>
        <v>#N/A</v>
      </c>
      <c r="P350" t="e">
        <f>VLOOKUP($C350,'2000 Place'!$C$2:$Y$523,17,FALSE)</f>
        <v>#N/A</v>
      </c>
      <c r="Q350" t="e">
        <f>VLOOKUP($C350,'2000 Place'!$C$2:$Y$523,18,FALSE)</f>
        <v>#N/A</v>
      </c>
      <c r="R350" t="e">
        <f>VLOOKUP($C350,'2000 Place'!$C$2:$Y$523,19,FALSE)</f>
        <v>#N/A</v>
      </c>
      <c r="S350" t="e">
        <f>VLOOKUP($C350,'2000 Place'!$C$2:$Y$523,20,FALSE)</f>
        <v>#N/A</v>
      </c>
      <c r="T350" t="e">
        <f>VLOOKUP($C350,'2000 Place'!$C$2:$Y$523,21,FALSE)</f>
        <v>#N/A</v>
      </c>
      <c r="U350" t="e">
        <f>VLOOKUP($C350,'2000 Place'!$C$2:$Y$523,22,FALSE)</f>
        <v>#N/A</v>
      </c>
      <c r="V350" t="e">
        <f>VLOOKUP($C350,'2000 Place'!$C$2:$Y$523,23,FALSE)</f>
        <v>#N/A</v>
      </c>
    </row>
    <row r="351" spans="1:22" x14ac:dyDescent="0.25">
      <c r="A351" t="s">
        <v>946</v>
      </c>
      <c r="B351">
        <v>5344620</v>
      </c>
      <c r="C351" t="s">
        <v>947</v>
      </c>
      <c r="D351">
        <f>VLOOKUP($C351,'2000 Place'!$C$2:$Y$523,5,FALSE)</f>
        <v>2262</v>
      </c>
      <c r="E351">
        <f>VLOOKUP($C351,'2000 Place'!$C$2:$Y$523,6,FALSE)</f>
        <v>2233</v>
      </c>
      <c r="F351">
        <f>VLOOKUP($C351,'2000 Place'!$C$2:$Y$523,7,FALSE)</f>
        <v>29</v>
      </c>
      <c r="G351">
        <f>VLOOKUP($C351,'2000 Place'!$C$2:$Y$523,8,FALSE)</f>
        <v>2173</v>
      </c>
      <c r="H351">
        <f>VLOOKUP($C351,'2000 Place'!$C$2:$Y$523,9,FALSE)</f>
        <v>15</v>
      </c>
      <c r="I351">
        <f>VLOOKUP($C351,'2000 Place'!$C$2:$Y$523,10,FALSE)</f>
        <v>0</v>
      </c>
      <c r="J351">
        <f>VLOOKUP($C351,'2000 Place'!$C$2:$Y$523,11,FALSE)</f>
        <v>0</v>
      </c>
      <c r="K351">
        <f>VLOOKUP($C351,'2000 Place'!$C$2:$Y$523,12,FALSE)</f>
        <v>0</v>
      </c>
      <c r="L351">
        <f>VLOOKUP($C351,'2000 Place'!$C$2:$Y$523,13,FALSE)</f>
        <v>0</v>
      </c>
      <c r="M351">
        <f>VLOOKUP($C351,'2000 Place'!$C$2:$Y$523,14,FALSE)</f>
        <v>44</v>
      </c>
      <c r="N351">
        <f>VLOOKUP($C351,'2000 Place'!$C$2:$Y$523,15,FALSE)</f>
        <v>0</v>
      </c>
      <c r="O351">
        <f>VLOOKUP($C351,'2000 Place'!$C$2:$Y$523,16,FALSE)</f>
        <v>0</v>
      </c>
      <c r="P351">
        <f>VLOOKUP($C351,'2000 Place'!$C$2:$Y$523,17,FALSE)</f>
        <v>14</v>
      </c>
      <c r="Q351">
        <f>VLOOKUP($C351,'2000 Place'!$C$2:$Y$523,18,FALSE)</f>
        <v>0</v>
      </c>
      <c r="R351">
        <f>VLOOKUP($C351,'2000 Place'!$C$2:$Y$523,19,FALSE)</f>
        <v>0</v>
      </c>
      <c r="S351">
        <f>VLOOKUP($C351,'2000 Place'!$C$2:$Y$523,20,FALSE)</f>
        <v>0</v>
      </c>
      <c r="T351">
        <f>VLOOKUP($C351,'2000 Place'!$C$2:$Y$523,21,FALSE)</f>
        <v>0</v>
      </c>
      <c r="U351">
        <f>VLOOKUP($C351,'2000 Place'!$C$2:$Y$523,22,FALSE)</f>
        <v>16</v>
      </c>
      <c r="V351">
        <f>VLOOKUP($C351,'2000 Place'!$C$2:$Y$523,23,FALSE)</f>
        <v>0</v>
      </c>
    </row>
    <row r="352" spans="1:22" x14ac:dyDescent="0.25">
      <c r="A352" t="s">
        <v>948</v>
      </c>
      <c r="B352">
        <v>5344690</v>
      </c>
      <c r="C352" t="s">
        <v>949</v>
      </c>
      <c r="D352">
        <f>VLOOKUP($C352,'2000 Place'!$C$2:$Y$523,5,FALSE)</f>
        <v>3771</v>
      </c>
      <c r="E352">
        <f>VLOOKUP($C352,'2000 Place'!$C$2:$Y$523,6,FALSE)</f>
        <v>3649</v>
      </c>
      <c r="F352">
        <f>VLOOKUP($C352,'2000 Place'!$C$2:$Y$523,7,FALSE)</f>
        <v>122</v>
      </c>
      <c r="G352">
        <f>VLOOKUP($C352,'2000 Place'!$C$2:$Y$523,8,FALSE)</f>
        <v>3184</v>
      </c>
      <c r="H352">
        <f>VLOOKUP($C352,'2000 Place'!$C$2:$Y$523,9,FALSE)</f>
        <v>67</v>
      </c>
      <c r="I352">
        <f>VLOOKUP($C352,'2000 Place'!$C$2:$Y$523,10,FALSE)</f>
        <v>137</v>
      </c>
      <c r="J352">
        <f>VLOOKUP($C352,'2000 Place'!$C$2:$Y$523,11,FALSE)</f>
        <v>3</v>
      </c>
      <c r="K352">
        <f>VLOOKUP($C352,'2000 Place'!$C$2:$Y$523,12,FALSE)</f>
        <v>205</v>
      </c>
      <c r="L352">
        <f>VLOOKUP($C352,'2000 Place'!$C$2:$Y$523,13,FALSE)</f>
        <v>12</v>
      </c>
      <c r="M352">
        <f>VLOOKUP($C352,'2000 Place'!$C$2:$Y$523,14,FALSE)</f>
        <v>8</v>
      </c>
      <c r="N352">
        <f>VLOOKUP($C352,'2000 Place'!$C$2:$Y$523,15,FALSE)</f>
        <v>0</v>
      </c>
      <c r="O352">
        <f>VLOOKUP($C352,'2000 Place'!$C$2:$Y$523,16,FALSE)</f>
        <v>16</v>
      </c>
      <c r="P352">
        <f>VLOOKUP($C352,'2000 Place'!$C$2:$Y$523,17,FALSE)</f>
        <v>22</v>
      </c>
      <c r="Q352">
        <f>VLOOKUP($C352,'2000 Place'!$C$2:$Y$523,18,FALSE)</f>
        <v>13</v>
      </c>
      <c r="R352">
        <f>VLOOKUP($C352,'2000 Place'!$C$2:$Y$523,19,FALSE)</f>
        <v>0</v>
      </c>
      <c r="S352">
        <f>VLOOKUP($C352,'2000 Place'!$C$2:$Y$523,20,FALSE)</f>
        <v>22</v>
      </c>
      <c r="T352">
        <f>VLOOKUP($C352,'2000 Place'!$C$2:$Y$523,21,FALSE)</f>
        <v>18</v>
      </c>
      <c r="U352">
        <f>VLOOKUP($C352,'2000 Place'!$C$2:$Y$523,22,FALSE)</f>
        <v>64</v>
      </c>
      <c r="V352">
        <f>VLOOKUP($C352,'2000 Place'!$C$2:$Y$523,23,FALSE)</f>
        <v>0</v>
      </c>
    </row>
    <row r="353" spans="1:22" x14ac:dyDescent="0.25">
      <c r="A353" t="s">
        <v>950</v>
      </c>
      <c r="B353">
        <v>5344725</v>
      </c>
      <c r="C353" t="s">
        <v>951</v>
      </c>
      <c r="D353">
        <f>VLOOKUP($C353,'2000 Place'!$C$2:$Y$523,5,FALSE)</f>
        <v>3001</v>
      </c>
      <c r="E353">
        <f>VLOOKUP($C353,'2000 Place'!$C$2:$Y$523,6,FALSE)</f>
        <v>2696</v>
      </c>
      <c r="F353">
        <f>VLOOKUP($C353,'2000 Place'!$C$2:$Y$523,7,FALSE)</f>
        <v>305</v>
      </c>
      <c r="G353">
        <f>VLOOKUP($C353,'2000 Place'!$C$2:$Y$523,8,FALSE)</f>
        <v>2549</v>
      </c>
      <c r="H353">
        <f>VLOOKUP($C353,'2000 Place'!$C$2:$Y$523,9,FALSE)</f>
        <v>213</v>
      </c>
      <c r="I353">
        <f>VLOOKUP($C353,'2000 Place'!$C$2:$Y$523,10,FALSE)</f>
        <v>74</v>
      </c>
      <c r="J353">
        <f>VLOOKUP($C353,'2000 Place'!$C$2:$Y$523,11,FALSE)</f>
        <v>0</v>
      </c>
      <c r="K353">
        <f>VLOOKUP($C353,'2000 Place'!$C$2:$Y$523,12,FALSE)</f>
        <v>3</v>
      </c>
      <c r="L353">
        <f>VLOOKUP($C353,'2000 Place'!$C$2:$Y$523,13,FALSE)</f>
        <v>8</v>
      </c>
      <c r="M353">
        <f>VLOOKUP($C353,'2000 Place'!$C$2:$Y$523,14,FALSE)</f>
        <v>0</v>
      </c>
      <c r="N353">
        <f>VLOOKUP($C353,'2000 Place'!$C$2:$Y$523,15,FALSE)</f>
        <v>0</v>
      </c>
      <c r="O353">
        <f>VLOOKUP($C353,'2000 Place'!$C$2:$Y$523,16,FALSE)</f>
        <v>18</v>
      </c>
      <c r="P353">
        <f>VLOOKUP($C353,'2000 Place'!$C$2:$Y$523,17,FALSE)</f>
        <v>79</v>
      </c>
      <c r="Q353">
        <f>VLOOKUP($C353,'2000 Place'!$C$2:$Y$523,18,FALSE)</f>
        <v>0</v>
      </c>
      <c r="R353">
        <f>VLOOKUP($C353,'2000 Place'!$C$2:$Y$523,19,FALSE)</f>
        <v>0</v>
      </c>
      <c r="S353">
        <f>VLOOKUP($C353,'2000 Place'!$C$2:$Y$523,20,FALSE)</f>
        <v>8</v>
      </c>
      <c r="T353">
        <f>VLOOKUP($C353,'2000 Place'!$C$2:$Y$523,21,FALSE)</f>
        <v>5</v>
      </c>
      <c r="U353">
        <f>VLOOKUP($C353,'2000 Place'!$C$2:$Y$523,22,FALSE)</f>
        <v>44</v>
      </c>
      <c r="V353">
        <f>VLOOKUP($C353,'2000 Place'!$C$2:$Y$523,23,FALSE)</f>
        <v>0</v>
      </c>
    </row>
    <row r="354" spans="1:22" x14ac:dyDescent="0.25">
      <c r="A354" t="s">
        <v>952</v>
      </c>
      <c r="B354">
        <v>5345005</v>
      </c>
      <c r="C354" t="s">
        <v>953</v>
      </c>
      <c r="D354">
        <f>VLOOKUP($C354,'2000 Place'!$C$2:$Y$523,5,FALSE)</f>
        <v>22036</v>
      </c>
      <c r="E354">
        <f>VLOOKUP($C354,'2000 Place'!$C$2:$Y$523,6,FALSE)</f>
        <v>18755</v>
      </c>
      <c r="F354">
        <f>VLOOKUP($C354,'2000 Place'!$C$2:$Y$523,7,FALSE)</f>
        <v>3281</v>
      </c>
      <c r="G354">
        <f>VLOOKUP($C354,'2000 Place'!$C$2:$Y$523,8,FALSE)</f>
        <v>16541</v>
      </c>
      <c r="H354">
        <f>VLOOKUP($C354,'2000 Place'!$C$2:$Y$523,9,FALSE)</f>
        <v>1754</v>
      </c>
      <c r="I354">
        <f>VLOOKUP($C354,'2000 Place'!$C$2:$Y$523,10,FALSE)</f>
        <v>186</v>
      </c>
      <c r="J354">
        <f>VLOOKUP($C354,'2000 Place'!$C$2:$Y$523,11,FALSE)</f>
        <v>56</v>
      </c>
      <c r="K354">
        <f>VLOOKUP($C354,'2000 Place'!$C$2:$Y$523,12,FALSE)</f>
        <v>273</v>
      </c>
      <c r="L354">
        <f>VLOOKUP($C354,'2000 Place'!$C$2:$Y$523,13,FALSE)</f>
        <v>32</v>
      </c>
      <c r="M354">
        <f>VLOOKUP($C354,'2000 Place'!$C$2:$Y$523,14,FALSE)</f>
        <v>39</v>
      </c>
      <c r="N354">
        <f>VLOOKUP($C354,'2000 Place'!$C$2:$Y$523,15,FALSE)</f>
        <v>0</v>
      </c>
      <c r="O354">
        <f>VLOOKUP($C354,'2000 Place'!$C$2:$Y$523,16,FALSE)</f>
        <v>1097</v>
      </c>
      <c r="P354">
        <f>VLOOKUP($C354,'2000 Place'!$C$2:$Y$523,17,FALSE)</f>
        <v>1339</v>
      </c>
      <c r="Q354">
        <f>VLOOKUP($C354,'2000 Place'!$C$2:$Y$523,18,FALSE)</f>
        <v>11</v>
      </c>
      <c r="R354">
        <f>VLOOKUP($C354,'2000 Place'!$C$2:$Y$523,19,FALSE)</f>
        <v>16</v>
      </c>
      <c r="S354">
        <f>VLOOKUP($C354,'2000 Place'!$C$2:$Y$523,20,FALSE)</f>
        <v>58</v>
      </c>
      <c r="T354">
        <f>VLOOKUP($C354,'2000 Place'!$C$2:$Y$523,21,FALSE)</f>
        <v>37</v>
      </c>
      <c r="U354">
        <f>VLOOKUP($C354,'2000 Place'!$C$2:$Y$523,22,FALSE)</f>
        <v>550</v>
      </c>
      <c r="V354">
        <f>VLOOKUP($C354,'2000 Place'!$C$2:$Y$523,23,FALSE)</f>
        <v>47</v>
      </c>
    </row>
    <row r="355" spans="1:22" x14ac:dyDescent="0.25">
      <c r="A355" t="s">
        <v>954</v>
      </c>
      <c r="B355">
        <v>5345180</v>
      </c>
      <c r="C355" t="s">
        <v>955</v>
      </c>
      <c r="D355">
        <f>VLOOKUP($C355,'2000 Place'!$C$2:$Y$523,5,FALSE)</f>
        <v>441</v>
      </c>
      <c r="E355">
        <f>VLOOKUP($C355,'2000 Place'!$C$2:$Y$523,6,FALSE)</f>
        <v>275</v>
      </c>
      <c r="F355">
        <f>VLOOKUP($C355,'2000 Place'!$C$2:$Y$523,7,FALSE)</f>
        <v>166</v>
      </c>
      <c r="G355">
        <f>VLOOKUP($C355,'2000 Place'!$C$2:$Y$523,8,FALSE)</f>
        <v>140</v>
      </c>
      <c r="H355">
        <f>VLOOKUP($C355,'2000 Place'!$C$2:$Y$523,9,FALSE)</f>
        <v>0</v>
      </c>
      <c r="I355">
        <f>VLOOKUP($C355,'2000 Place'!$C$2:$Y$523,10,FALSE)</f>
        <v>40</v>
      </c>
      <c r="J355">
        <f>VLOOKUP($C355,'2000 Place'!$C$2:$Y$523,11,FALSE)</f>
        <v>29</v>
      </c>
      <c r="K355">
        <f>VLOOKUP($C355,'2000 Place'!$C$2:$Y$523,12,FALSE)</f>
        <v>0</v>
      </c>
      <c r="L355">
        <f>VLOOKUP($C355,'2000 Place'!$C$2:$Y$523,13,FALSE)</f>
        <v>0</v>
      </c>
      <c r="M355">
        <f>VLOOKUP($C355,'2000 Place'!$C$2:$Y$523,14,FALSE)</f>
        <v>21</v>
      </c>
      <c r="N355">
        <f>VLOOKUP($C355,'2000 Place'!$C$2:$Y$523,15,FALSE)</f>
        <v>5</v>
      </c>
      <c r="O355">
        <f>VLOOKUP($C355,'2000 Place'!$C$2:$Y$523,16,FALSE)</f>
        <v>0</v>
      </c>
      <c r="P355">
        <f>VLOOKUP($C355,'2000 Place'!$C$2:$Y$523,17,FALSE)</f>
        <v>3</v>
      </c>
      <c r="Q355">
        <f>VLOOKUP($C355,'2000 Place'!$C$2:$Y$523,18,FALSE)</f>
        <v>0</v>
      </c>
      <c r="R355">
        <f>VLOOKUP($C355,'2000 Place'!$C$2:$Y$523,19,FALSE)</f>
        <v>0</v>
      </c>
      <c r="S355">
        <f>VLOOKUP($C355,'2000 Place'!$C$2:$Y$523,20,FALSE)</f>
        <v>45</v>
      </c>
      <c r="T355">
        <f>VLOOKUP($C355,'2000 Place'!$C$2:$Y$523,21,FALSE)</f>
        <v>82</v>
      </c>
      <c r="U355">
        <f>VLOOKUP($C355,'2000 Place'!$C$2:$Y$523,22,FALSE)</f>
        <v>29</v>
      </c>
      <c r="V355">
        <f>VLOOKUP($C355,'2000 Place'!$C$2:$Y$523,23,FALSE)</f>
        <v>47</v>
      </c>
    </row>
    <row r="356" spans="1:22" x14ac:dyDescent="0.25">
      <c r="A356" t="s">
        <v>956</v>
      </c>
      <c r="B356">
        <v>5345285</v>
      </c>
      <c r="C356" t="s">
        <v>957</v>
      </c>
      <c r="D356">
        <f>VLOOKUP($C356,'2000 Place'!$C$2:$Y$523,5,FALSE)</f>
        <v>179</v>
      </c>
      <c r="E356">
        <f>VLOOKUP($C356,'2000 Place'!$C$2:$Y$523,6,FALSE)</f>
        <v>171</v>
      </c>
      <c r="F356">
        <f>VLOOKUP($C356,'2000 Place'!$C$2:$Y$523,7,FALSE)</f>
        <v>8</v>
      </c>
      <c r="G356">
        <f>VLOOKUP($C356,'2000 Place'!$C$2:$Y$523,8,FALSE)</f>
        <v>164</v>
      </c>
      <c r="H356">
        <f>VLOOKUP($C356,'2000 Place'!$C$2:$Y$523,9,FALSE)</f>
        <v>8</v>
      </c>
      <c r="I356">
        <f>VLOOKUP($C356,'2000 Place'!$C$2:$Y$523,10,FALSE)</f>
        <v>0</v>
      </c>
      <c r="J356">
        <f>VLOOKUP($C356,'2000 Place'!$C$2:$Y$523,11,FALSE)</f>
        <v>0</v>
      </c>
      <c r="K356">
        <f>VLOOKUP($C356,'2000 Place'!$C$2:$Y$523,12,FALSE)</f>
        <v>0</v>
      </c>
      <c r="L356">
        <f>VLOOKUP($C356,'2000 Place'!$C$2:$Y$523,13,FALSE)</f>
        <v>0</v>
      </c>
      <c r="M356">
        <f>VLOOKUP($C356,'2000 Place'!$C$2:$Y$523,14,FALSE)</f>
        <v>1</v>
      </c>
      <c r="N356">
        <f>VLOOKUP($C356,'2000 Place'!$C$2:$Y$523,15,FALSE)</f>
        <v>0</v>
      </c>
      <c r="O356">
        <f>VLOOKUP($C356,'2000 Place'!$C$2:$Y$523,16,FALSE)</f>
        <v>0</v>
      </c>
      <c r="P356">
        <f>VLOOKUP($C356,'2000 Place'!$C$2:$Y$523,17,FALSE)</f>
        <v>0</v>
      </c>
      <c r="Q356">
        <f>VLOOKUP($C356,'2000 Place'!$C$2:$Y$523,18,FALSE)</f>
        <v>0</v>
      </c>
      <c r="R356">
        <f>VLOOKUP($C356,'2000 Place'!$C$2:$Y$523,19,FALSE)</f>
        <v>0</v>
      </c>
      <c r="S356">
        <f>VLOOKUP($C356,'2000 Place'!$C$2:$Y$523,20,FALSE)</f>
        <v>0</v>
      </c>
      <c r="T356">
        <f>VLOOKUP($C356,'2000 Place'!$C$2:$Y$523,21,FALSE)</f>
        <v>0</v>
      </c>
      <c r="U356">
        <f>VLOOKUP($C356,'2000 Place'!$C$2:$Y$523,22,FALSE)</f>
        <v>6</v>
      </c>
      <c r="V356">
        <f>VLOOKUP($C356,'2000 Place'!$C$2:$Y$523,23,FALSE)</f>
        <v>0</v>
      </c>
    </row>
    <row r="357" spans="1:22" x14ac:dyDescent="0.25">
      <c r="A357" t="s">
        <v>958</v>
      </c>
      <c r="B357">
        <v>5345320</v>
      </c>
      <c r="C357" t="s">
        <v>959</v>
      </c>
      <c r="D357">
        <f>VLOOKUP($C357,'2000 Place'!$C$2:$Y$523,5,FALSE)</f>
        <v>199</v>
      </c>
      <c r="E357">
        <f>VLOOKUP($C357,'2000 Place'!$C$2:$Y$523,6,FALSE)</f>
        <v>183</v>
      </c>
      <c r="F357">
        <f>VLOOKUP($C357,'2000 Place'!$C$2:$Y$523,7,FALSE)</f>
        <v>16</v>
      </c>
      <c r="G357">
        <f>VLOOKUP($C357,'2000 Place'!$C$2:$Y$523,8,FALSE)</f>
        <v>177</v>
      </c>
      <c r="H357">
        <f>VLOOKUP($C357,'2000 Place'!$C$2:$Y$523,9,FALSE)</f>
        <v>12</v>
      </c>
      <c r="I357">
        <f>VLOOKUP($C357,'2000 Place'!$C$2:$Y$523,10,FALSE)</f>
        <v>0</v>
      </c>
      <c r="J357">
        <f>VLOOKUP($C357,'2000 Place'!$C$2:$Y$523,11,FALSE)</f>
        <v>0</v>
      </c>
      <c r="K357">
        <f>VLOOKUP($C357,'2000 Place'!$C$2:$Y$523,12,FALSE)</f>
        <v>0</v>
      </c>
      <c r="L357">
        <f>VLOOKUP($C357,'2000 Place'!$C$2:$Y$523,13,FALSE)</f>
        <v>0</v>
      </c>
      <c r="M357">
        <f>VLOOKUP($C357,'2000 Place'!$C$2:$Y$523,14,FALSE)</f>
        <v>0</v>
      </c>
      <c r="N357">
        <f>VLOOKUP($C357,'2000 Place'!$C$2:$Y$523,15,FALSE)</f>
        <v>0</v>
      </c>
      <c r="O357">
        <f>VLOOKUP($C357,'2000 Place'!$C$2:$Y$523,16,FALSE)</f>
        <v>1</v>
      </c>
      <c r="P357">
        <f>VLOOKUP($C357,'2000 Place'!$C$2:$Y$523,17,FALSE)</f>
        <v>4</v>
      </c>
      <c r="Q357">
        <f>VLOOKUP($C357,'2000 Place'!$C$2:$Y$523,18,FALSE)</f>
        <v>0</v>
      </c>
      <c r="R357">
        <f>VLOOKUP($C357,'2000 Place'!$C$2:$Y$523,19,FALSE)</f>
        <v>0</v>
      </c>
      <c r="S357">
        <f>VLOOKUP($C357,'2000 Place'!$C$2:$Y$523,20,FALSE)</f>
        <v>0</v>
      </c>
      <c r="T357">
        <f>VLOOKUP($C357,'2000 Place'!$C$2:$Y$523,21,FALSE)</f>
        <v>0</v>
      </c>
      <c r="U357">
        <f>VLOOKUP($C357,'2000 Place'!$C$2:$Y$523,22,FALSE)</f>
        <v>5</v>
      </c>
      <c r="V357">
        <f>VLOOKUP($C357,'2000 Place'!$C$2:$Y$523,23,FALSE)</f>
        <v>0</v>
      </c>
    </row>
    <row r="358" spans="1:22" x14ac:dyDescent="0.25">
      <c r="A358" t="s">
        <v>960</v>
      </c>
      <c r="B358">
        <v>5345355</v>
      </c>
      <c r="C358" t="s">
        <v>961</v>
      </c>
      <c r="D358" t="e">
        <f>VLOOKUP($C358,'2000 Place'!$C$2:$Y$523,5,FALSE)</f>
        <v>#N/A</v>
      </c>
      <c r="E358" t="e">
        <f>VLOOKUP($C358,'2000 Place'!$C$2:$Y$523,6,FALSE)</f>
        <v>#N/A</v>
      </c>
      <c r="F358" t="e">
        <f>VLOOKUP($C358,'2000 Place'!$C$2:$Y$523,7,FALSE)</f>
        <v>#N/A</v>
      </c>
      <c r="G358" t="e">
        <f>VLOOKUP($C358,'2000 Place'!$C$2:$Y$523,8,FALSE)</f>
        <v>#N/A</v>
      </c>
      <c r="H358" t="e">
        <f>VLOOKUP($C358,'2000 Place'!$C$2:$Y$523,9,FALSE)</f>
        <v>#N/A</v>
      </c>
      <c r="I358" t="e">
        <f>VLOOKUP($C358,'2000 Place'!$C$2:$Y$523,10,FALSE)</f>
        <v>#N/A</v>
      </c>
      <c r="J358" t="e">
        <f>VLOOKUP($C358,'2000 Place'!$C$2:$Y$523,11,FALSE)</f>
        <v>#N/A</v>
      </c>
      <c r="K358" t="e">
        <f>VLOOKUP($C358,'2000 Place'!$C$2:$Y$523,12,FALSE)</f>
        <v>#N/A</v>
      </c>
      <c r="L358" t="e">
        <f>VLOOKUP($C358,'2000 Place'!$C$2:$Y$523,13,FALSE)</f>
        <v>#N/A</v>
      </c>
      <c r="M358" t="e">
        <f>VLOOKUP($C358,'2000 Place'!$C$2:$Y$523,14,FALSE)</f>
        <v>#N/A</v>
      </c>
      <c r="N358" t="e">
        <f>VLOOKUP($C358,'2000 Place'!$C$2:$Y$523,15,FALSE)</f>
        <v>#N/A</v>
      </c>
      <c r="O358" t="e">
        <f>VLOOKUP($C358,'2000 Place'!$C$2:$Y$523,16,FALSE)</f>
        <v>#N/A</v>
      </c>
      <c r="P358" t="e">
        <f>VLOOKUP($C358,'2000 Place'!$C$2:$Y$523,17,FALSE)</f>
        <v>#N/A</v>
      </c>
      <c r="Q358" t="e">
        <f>VLOOKUP($C358,'2000 Place'!$C$2:$Y$523,18,FALSE)</f>
        <v>#N/A</v>
      </c>
      <c r="R358" t="e">
        <f>VLOOKUP($C358,'2000 Place'!$C$2:$Y$523,19,FALSE)</f>
        <v>#N/A</v>
      </c>
      <c r="S358" t="e">
        <f>VLOOKUP($C358,'2000 Place'!$C$2:$Y$523,20,FALSE)</f>
        <v>#N/A</v>
      </c>
      <c r="T358" t="e">
        <f>VLOOKUP($C358,'2000 Place'!$C$2:$Y$523,21,FALSE)</f>
        <v>#N/A</v>
      </c>
      <c r="U358" t="e">
        <f>VLOOKUP($C358,'2000 Place'!$C$2:$Y$523,22,FALSE)</f>
        <v>#N/A</v>
      </c>
      <c r="V358" t="e">
        <f>VLOOKUP($C358,'2000 Place'!$C$2:$Y$523,23,FALSE)</f>
        <v>#N/A</v>
      </c>
    </row>
    <row r="359" spans="1:22" x14ac:dyDescent="0.25">
      <c r="A359" t="s">
        <v>962</v>
      </c>
      <c r="B359">
        <v>5345495</v>
      </c>
      <c r="C359" t="s">
        <v>963</v>
      </c>
      <c r="D359">
        <f>VLOOKUP($C359,'2000 Place'!$C$2:$Y$523,5,FALSE)</f>
        <v>7473</v>
      </c>
      <c r="E359">
        <f>VLOOKUP($C359,'2000 Place'!$C$2:$Y$523,6,FALSE)</f>
        <v>6742</v>
      </c>
      <c r="F359">
        <f>VLOOKUP($C359,'2000 Place'!$C$2:$Y$523,7,FALSE)</f>
        <v>731</v>
      </c>
      <c r="G359">
        <f>VLOOKUP($C359,'2000 Place'!$C$2:$Y$523,8,FALSE)</f>
        <v>5034</v>
      </c>
      <c r="H359">
        <f>VLOOKUP($C359,'2000 Place'!$C$2:$Y$523,9,FALSE)</f>
        <v>134</v>
      </c>
      <c r="I359">
        <f>VLOOKUP($C359,'2000 Place'!$C$2:$Y$523,10,FALSE)</f>
        <v>143</v>
      </c>
      <c r="J359">
        <f>VLOOKUP($C359,'2000 Place'!$C$2:$Y$523,11,FALSE)</f>
        <v>107</v>
      </c>
      <c r="K359">
        <f>VLOOKUP($C359,'2000 Place'!$C$2:$Y$523,12,FALSE)</f>
        <v>508</v>
      </c>
      <c r="L359">
        <f>VLOOKUP($C359,'2000 Place'!$C$2:$Y$523,13,FALSE)</f>
        <v>3</v>
      </c>
      <c r="M359">
        <f>VLOOKUP($C359,'2000 Place'!$C$2:$Y$523,14,FALSE)</f>
        <v>170</v>
      </c>
      <c r="N359">
        <f>VLOOKUP($C359,'2000 Place'!$C$2:$Y$523,15,FALSE)</f>
        <v>10</v>
      </c>
      <c r="O359">
        <f>VLOOKUP($C359,'2000 Place'!$C$2:$Y$523,16,FALSE)</f>
        <v>77</v>
      </c>
      <c r="P359">
        <f>VLOOKUP($C359,'2000 Place'!$C$2:$Y$523,17,FALSE)</f>
        <v>271</v>
      </c>
      <c r="Q359">
        <f>VLOOKUP($C359,'2000 Place'!$C$2:$Y$523,18,FALSE)</f>
        <v>79</v>
      </c>
      <c r="R359">
        <f>VLOOKUP($C359,'2000 Place'!$C$2:$Y$523,19,FALSE)</f>
        <v>28</v>
      </c>
      <c r="S359">
        <f>VLOOKUP($C359,'2000 Place'!$C$2:$Y$523,20,FALSE)</f>
        <v>197</v>
      </c>
      <c r="T359">
        <f>VLOOKUP($C359,'2000 Place'!$C$2:$Y$523,21,FALSE)</f>
        <v>109</v>
      </c>
      <c r="U359">
        <f>VLOOKUP($C359,'2000 Place'!$C$2:$Y$523,22,FALSE)</f>
        <v>534</v>
      </c>
      <c r="V359">
        <f>VLOOKUP($C359,'2000 Place'!$C$2:$Y$523,23,FALSE)</f>
        <v>69</v>
      </c>
    </row>
    <row r="360" spans="1:22" x14ac:dyDescent="0.25">
      <c r="A360" t="s">
        <v>964</v>
      </c>
      <c r="B360">
        <v>5345865</v>
      </c>
      <c r="C360" t="s">
        <v>965</v>
      </c>
      <c r="D360">
        <f>VLOOKUP($C360,'2000 Place'!$C$2:$Y$523,5,FALSE)</f>
        <v>11444</v>
      </c>
      <c r="E360">
        <f>VLOOKUP($C360,'2000 Place'!$C$2:$Y$523,6,FALSE)</f>
        <v>9449</v>
      </c>
      <c r="F360">
        <f>VLOOKUP($C360,'2000 Place'!$C$2:$Y$523,7,FALSE)</f>
        <v>1995</v>
      </c>
      <c r="G360">
        <f>VLOOKUP($C360,'2000 Place'!$C$2:$Y$523,8,FALSE)</f>
        <v>8363</v>
      </c>
      <c r="H360">
        <f>VLOOKUP($C360,'2000 Place'!$C$2:$Y$523,9,FALSE)</f>
        <v>902</v>
      </c>
      <c r="I360">
        <f>VLOOKUP($C360,'2000 Place'!$C$2:$Y$523,10,FALSE)</f>
        <v>138</v>
      </c>
      <c r="J360">
        <f>VLOOKUP($C360,'2000 Place'!$C$2:$Y$523,11,FALSE)</f>
        <v>73</v>
      </c>
      <c r="K360">
        <f>VLOOKUP($C360,'2000 Place'!$C$2:$Y$523,12,FALSE)</f>
        <v>115</v>
      </c>
      <c r="L360">
        <f>VLOOKUP($C360,'2000 Place'!$C$2:$Y$523,13,FALSE)</f>
        <v>0</v>
      </c>
      <c r="M360">
        <f>VLOOKUP($C360,'2000 Place'!$C$2:$Y$523,14,FALSE)</f>
        <v>73</v>
      </c>
      <c r="N360">
        <f>VLOOKUP($C360,'2000 Place'!$C$2:$Y$523,15,FALSE)</f>
        <v>0</v>
      </c>
      <c r="O360">
        <f>VLOOKUP($C360,'2000 Place'!$C$2:$Y$523,16,FALSE)</f>
        <v>373</v>
      </c>
      <c r="P360">
        <f>VLOOKUP($C360,'2000 Place'!$C$2:$Y$523,17,FALSE)</f>
        <v>814</v>
      </c>
      <c r="Q360">
        <f>VLOOKUP($C360,'2000 Place'!$C$2:$Y$523,18,FALSE)</f>
        <v>19</v>
      </c>
      <c r="R360">
        <f>VLOOKUP($C360,'2000 Place'!$C$2:$Y$523,19,FALSE)</f>
        <v>15</v>
      </c>
      <c r="S360">
        <f>VLOOKUP($C360,'2000 Place'!$C$2:$Y$523,20,FALSE)</f>
        <v>85</v>
      </c>
      <c r="T360">
        <f>VLOOKUP($C360,'2000 Place'!$C$2:$Y$523,21,FALSE)</f>
        <v>62</v>
      </c>
      <c r="U360">
        <f>VLOOKUP($C360,'2000 Place'!$C$2:$Y$523,22,FALSE)</f>
        <v>283</v>
      </c>
      <c r="V360">
        <f>VLOOKUP($C360,'2000 Place'!$C$2:$Y$523,23,FALSE)</f>
        <v>129</v>
      </c>
    </row>
    <row r="361" spans="1:22" x14ac:dyDescent="0.25">
      <c r="A361" t="s">
        <v>966</v>
      </c>
      <c r="B361">
        <v>5345870</v>
      </c>
      <c r="C361" t="s">
        <v>967</v>
      </c>
      <c r="D361" t="e">
        <f>VLOOKUP($C361,'2000 Place'!$C$2:$Y$523,5,FALSE)</f>
        <v>#N/A</v>
      </c>
      <c r="E361" t="e">
        <f>VLOOKUP($C361,'2000 Place'!$C$2:$Y$523,6,FALSE)</f>
        <v>#N/A</v>
      </c>
      <c r="F361" t="e">
        <f>VLOOKUP($C361,'2000 Place'!$C$2:$Y$523,7,FALSE)</f>
        <v>#N/A</v>
      </c>
      <c r="G361" t="e">
        <f>VLOOKUP($C361,'2000 Place'!$C$2:$Y$523,8,FALSE)</f>
        <v>#N/A</v>
      </c>
      <c r="H361" t="e">
        <f>VLOOKUP($C361,'2000 Place'!$C$2:$Y$523,9,FALSE)</f>
        <v>#N/A</v>
      </c>
      <c r="I361" t="e">
        <f>VLOOKUP($C361,'2000 Place'!$C$2:$Y$523,10,FALSE)</f>
        <v>#N/A</v>
      </c>
      <c r="J361" t="e">
        <f>VLOOKUP($C361,'2000 Place'!$C$2:$Y$523,11,FALSE)</f>
        <v>#N/A</v>
      </c>
      <c r="K361" t="e">
        <f>VLOOKUP($C361,'2000 Place'!$C$2:$Y$523,12,FALSE)</f>
        <v>#N/A</v>
      </c>
      <c r="L361" t="e">
        <f>VLOOKUP($C361,'2000 Place'!$C$2:$Y$523,13,FALSE)</f>
        <v>#N/A</v>
      </c>
      <c r="M361" t="e">
        <f>VLOOKUP($C361,'2000 Place'!$C$2:$Y$523,14,FALSE)</f>
        <v>#N/A</v>
      </c>
      <c r="N361" t="e">
        <f>VLOOKUP($C361,'2000 Place'!$C$2:$Y$523,15,FALSE)</f>
        <v>#N/A</v>
      </c>
      <c r="O361" t="e">
        <f>VLOOKUP($C361,'2000 Place'!$C$2:$Y$523,16,FALSE)</f>
        <v>#N/A</v>
      </c>
      <c r="P361" t="e">
        <f>VLOOKUP($C361,'2000 Place'!$C$2:$Y$523,17,FALSE)</f>
        <v>#N/A</v>
      </c>
      <c r="Q361" t="e">
        <f>VLOOKUP($C361,'2000 Place'!$C$2:$Y$523,18,FALSE)</f>
        <v>#N/A</v>
      </c>
      <c r="R361" t="e">
        <f>VLOOKUP($C361,'2000 Place'!$C$2:$Y$523,19,FALSE)</f>
        <v>#N/A</v>
      </c>
      <c r="S361" t="e">
        <f>VLOOKUP($C361,'2000 Place'!$C$2:$Y$523,20,FALSE)</f>
        <v>#N/A</v>
      </c>
      <c r="T361" t="e">
        <f>VLOOKUP($C361,'2000 Place'!$C$2:$Y$523,21,FALSE)</f>
        <v>#N/A</v>
      </c>
      <c r="U361" t="e">
        <f>VLOOKUP($C361,'2000 Place'!$C$2:$Y$523,22,FALSE)</f>
        <v>#N/A</v>
      </c>
      <c r="V361" t="e">
        <f>VLOOKUP($C361,'2000 Place'!$C$2:$Y$523,23,FALSE)</f>
        <v>#N/A</v>
      </c>
    </row>
    <row r="362" spans="1:22" x14ac:dyDescent="0.25">
      <c r="A362" t="s">
        <v>968</v>
      </c>
      <c r="B362">
        <v>5345985</v>
      </c>
      <c r="C362" t="s">
        <v>969</v>
      </c>
      <c r="D362" t="e">
        <f>VLOOKUP($C362,'2000 Place'!$C$2:$Y$523,5,FALSE)</f>
        <v>#N/A</v>
      </c>
      <c r="E362" t="e">
        <f>VLOOKUP($C362,'2000 Place'!$C$2:$Y$523,6,FALSE)</f>
        <v>#N/A</v>
      </c>
      <c r="F362" t="e">
        <f>VLOOKUP($C362,'2000 Place'!$C$2:$Y$523,7,FALSE)</f>
        <v>#N/A</v>
      </c>
      <c r="G362" t="e">
        <f>VLOOKUP($C362,'2000 Place'!$C$2:$Y$523,8,FALSE)</f>
        <v>#N/A</v>
      </c>
      <c r="H362" t="e">
        <f>VLOOKUP($C362,'2000 Place'!$C$2:$Y$523,9,FALSE)</f>
        <v>#N/A</v>
      </c>
      <c r="I362" t="e">
        <f>VLOOKUP($C362,'2000 Place'!$C$2:$Y$523,10,FALSE)</f>
        <v>#N/A</v>
      </c>
      <c r="J362" t="e">
        <f>VLOOKUP($C362,'2000 Place'!$C$2:$Y$523,11,FALSE)</f>
        <v>#N/A</v>
      </c>
      <c r="K362" t="e">
        <f>VLOOKUP($C362,'2000 Place'!$C$2:$Y$523,12,FALSE)</f>
        <v>#N/A</v>
      </c>
      <c r="L362" t="e">
        <f>VLOOKUP($C362,'2000 Place'!$C$2:$Y$523,13,FALSE)</f>
        <v>#N/A</v>
      </c>
      <c r="M362" t="e">
        <f>VLOOKUP($C362,'2000 Place'!$C$2:$Y$523,14,FALSE)</f>
        <v>#N/A</v>
      </c>
      <c r="N362" t="e">
        <f>VLOOKUP($C362,'2000 Place'!$C$2:$Y$523,15,FALSE)</f>
        <v>#N/A</v>
      </c>
      <c r="O362" t="e">
        <f>VLOOKUP($C362,'2000 Place'!$C$2:$Y$523,16,FALSE)</f>
        <v>#N/A</v>
      </c>
      <c r="P362" t="e">
        <f>VLOOKUP($C362,'2000 Place'!$C$2:$Y$523,17,FALSE)</f>
        <v>#N/A</v>
      </c>
      <c r="Q362" t="e">
        <f>VLOOKUP($C362,'2000 Place'!$C$2:$Y$523,18,FALSE)</f>
        <v>#N/A</v>
      </c>
      <c r="R362" t="e">
        <f>VLOOKUP($C362,'2000 Place'!$C$2:$Y$523,19,FALSE)</f>
        <v>#N/A</v>
      </c>
      <c r="S362" t="e">
        <f>VLOOKUP($C362,'2000 Place'!$C$2:$Y$523,20,FALSE)</f>
        <v>#N/A</v>
      </c>
      <c r="T362" t="e">
        <f>VLOOKUP($C362,'2000 Place'!$C$2:$Y$523,21,FALSE)</f>
        <v>#N/A</v>
      </c>
      <c r="U362" t="e">
        <f>VLOOKUP($C362,'2000 Place'!$C$2:$Y$523,22,FALSE)</f>
        <v>#N/A</v>
      </c>
      <c r="V362" t="e">
        <f>VLOOKUP($C362,'2000 Place'!$C$2:$Y$523,23,FALSE)</f>
        <v>#N/A</v>
      </c>
    </row>
    <row r="363" spans="1:22" x14ac:dyDescent="0.25">
      <c r="A363" t="s">
        <v>970</v>
      </c>
      <c r="B363">
        <v>5346020</v>
      </c>
      <c r="C363" t="s">
        <v>971</v>
      </c>
      <c r="D363">
        <f>VLOOKUP($C363,'2000 Place'!$C$2:$Y$523,5,FALSE)</f>
        <v>5831</v>
      </c>
      <c r="E363">
        <f>VLOOKUP($C363,'2000 Place'!$C$2:$Y$523,6,FALSE)</f>
        <v>5534</v>
      </c>
      <c r="F363">
        <f>VLOOKUP($C363,'2000 Place'!$C$2:$Y$523,7,FALSE)</f>
        <v>297</v>
      </c>
      <c r="G363">
        <f>VLOOKUP($C363,'2000 Place'!$C$2:$Y$523,8,FALSE)</f>
        <v>4984</v>
      </c>
      <c r="H363">
        <f>VLOOKUP($C363,'2000 Place'!$C$2:$Y$523,9,FALSE)</f>
        <v>144</v>
      </c>
      <c r="I363">
        <f>VLOOKUP($C363,'2000 Place'!$C$2:$Y$523,10,FALSE)</f>
        <v>68</v>
      </c>
      <c r="J363">
        <f>VLOOKUP($C363,'2000 Place'!$C$2:$Y$523,11,FALSE)</f>
        <v>22</v>
      </c>
      <c r="K363">
        <f>VLOOKUP($C363,'2000 Place'!$C$2:$Y$523,12,FALSE)</f>
        <v>49</v>
      </c>
      <c r="L363">
        <f>VLOOKUP($C363,'2000 Place'!$C$2:$Y$523,13,FALSE)</f>
        <v>5</v>
      </c>
      <c r="M363">
        <f>VLOOKUP($C363,'2000 Place'!$C$2:$Y$523,14,FALSE)</f>
        <v>106</v>
      </c>
      <c r="N363">
        <f>VLOOKUP($C363,'2000 Place'!$C$2:$Y$523,15,FALSE)</f>
        <v>0</v>
      </c>
      <c r="O363">
        <f>VLOOKUP($C363,'2000 Place'!$C$2:$Y$523,16,FALSE)</f>
        <v>103</v>
      </c>
      <c r="P363">
        <f>VLOOKUP($C363,'2000 Place'!$C$2:$Y$523,17,FALSE)</f>
        <v>73</v>
      </c>
      <c r="Q363">
        <f>VLOOKUP($C363,'2000 Place'!$C$2:$Y$523,18,FALSE)</f>
        <v>12</v>
      </c>
      <c r="R363">
        <f>VLOOKUP($C363,'2000 Place'!$C$2:$Y$523,19,FALSE)</f>
        <v>0</v>
      </c>
      <c r="S363">
        <f>VLOOKUP($C363,'2000 Place'!$C$2:$Y$523,20,FALSE)</f>
        <v>27</v>
      </c>
      <c r="T363">
        <f>VLOOKUP($C363,'2000 Place'!$C$2:$Y$523,21,FALSE)</f>
        <v>34</v>
      </c>
      <c r="U363">
        <f>VLOOKUP($C363,'2000 Place'!$C$2:$Y$523,22,FALSE)</f>
        <v>185</v>
      </c>
      <c r="V363">
        <f>VLOOKUP($C363,'2000 Place'!$C$2:$Y$523,23,FALSE)</f>
        <v>19</v>
      </c>
    </row>
    <row r="364" spans="1:22" x14ac:dyDescent="0.25">
      <c r="A364" t="s">
        <v>972</v>
      </c>
      <c r="B364">
        <v>5346090</v>
      </c>
      <c r="C364" t="s">
        <v>973</v>
      </c>
      <c r="D364" t="e">
        <f>VLOOKUP($C364,'2000 Place'!$C$2:$Y$523,5,FALSE)</f>
        <v>#N/A</v>
      </c>
      <c r="E364" t="e">
        <f>VLOOKUP($C364,'2000 Place'!$C$2:$Y$523,6,FALSE)</f>
        <v>#N/A</v>
      </c>
      <c r="F364" t="e">
        <f>VLOOKUP($C364,'2000 Place'!$C$2:$Y$523,7,FALSE)</f>
        <v>#N/A</v>
      </c>
      <c r="G364" t="e">
        <f>VLOOKUP($C364,'2000 Place'!$C$2:$Y$523,8,FALSE)</f>
        <v>#N/A</v>
      </c>
      <c r="H364" t="e">
        <f>VLOOKUP($C364,'2000 Place'!$C$2:$Y$523,9,FALSE)</f>
        <v>#N/A</v>
      </c>
      <c r="I364" t="e">
        <f>VLOOKUP($C364,'2000 Place'!$C$2:$Y$523,10,FALSE)</f>
        <v>#N/A</v>
      </c>
      <c r="J364" t="e">
        <f>VLOOKUP($C364,'2000 Place'!$C$2:$Y$523,11,FALSE)</f>
        <v>#N/A</v>
      </c>
      <c r="K364" t="e">
        <f>VLOOKUP($C364,'2000 Place'!$C$2:$Y$523,12,FALSE)</f>
        <v>#N/A</v>
      </c>
      <c r="L364" t="e">
        <f>VLOOKUP($C364,'2000 Place'!$C$2:$Y$523,13,FALSE)</f>
        <v>#N/A</v>
      </c>
      <c r="M364" t="e">
        <f>VLOOKUP($C364,'2000 Place'!$C$2:$Y$523,14,FALSE)</f>
        <v>#N/A</v>
      </c>
      <c r="N364" t="e">
        <f>VLOOKUP($C364,'2000 Place'!$C$2:$Y$523,15,FALSE)</f>
        <v>#N/A</v>
      </c>
      <c r="O364" t="e">
        <f>VLOOKUP($C364,'2000 Place'!$C$2:$Y$523,16,FALSE)</f>
        <v>#N/A</v>
      </c>
      <c r="P364" t="e">
        <f>VLOOKUP($C364,'2000 Place'!$C$2:$Y$523,17,FALSE)</f>
        <v>#N/A</v>
      </c>
      <c r="Q364" t="e">
        <f>VLOOKUP($C364,'2000 Place'!$C$2:$Y$523,18,FALSE)</f>
        <v>#N/A</v>
      </c>
      <c r="R364" t="e">
        <f>VLOOKUP($C364,'2000 Place'!$C$2:$Y$523,19,FALSE)</f>
        <v>#N/A</v>
      </c>
      <c r="S364" t="e">
        <f>VLOOKUP($C364,'2000 Place'!$C$2:$Y$523,20,FALSE)</f>
        <v>#N/A</v>
      </c>
      <c r="T364" t="e">
        <f>VLOOKUP($C364,'2000 Place'!$C$2:$Y$523,21,FALSE)</f>
        <v>#N/A</v>
      </c>
      <c r="U364" t="e">
        <f>VLOOKUP($C364,'2000 Place'!$C$2:$Y$523,22,FALSE)</f>
        <v>#N/A</v>
      </c>
      <c r="V364" t="e">
        <f>VLOOKUP($C364,'2000 Place'!$C$2:$Y$523,23,FALSE)</f>
        <v>#N/A</v>
      </c>
    </row>
    <row r="365" spans="1:22" x14ac:dyDescent="0.25">
      <c r="A365" t="s">
        <v>974</v>
      </c>
      <c r="B365">
        <v>5346125</v>
      </c>
      <c r="C365" t="s">
        <v>975</v>
      </c>
      <c r="D365">
        <f>VLOOKUP($C365,'2000 Place'!$C$2:$Y$523,5,FALSE)</f>
        <v>7673</v>
      </c>
      <c r="E365">
        <f>VLOOKUP($C365,'2000 Place'!$C$2:$Y$523,6,FALSE)</f>
        <v>6844</v>
      </c>
      <c r="F365">
        <f>VLOOKUP($C365,'2000 Place'!$C$2:$Y$523,7,FALSE)</f>
        <v>829</v>
      </c>
      <c r="G365">
        <f>VLOOKUP($C365,'2000 Place'!$C$2:$Y$523,8,FALSE)</f>
        <v>6124</v>
      </c>
      <c r="H365">
        <f>VLOOKUP($C365,'2000 Place'!$C$2:$Y$523,9,FALSE)</f>
        <v>504</v>
      </c>
      <c r="I365">
        <f>VLOOKUP($C365,'2000 Place'!$C$2:$Y$523,10,FALSE)</f>
        <v>190</v>
      </c>
      <c r="J365">
        <f>VLOOKUP($C365,'2000 Place'!$C$2:$Y$523,11,FALSE)</f>
        <v>43</v>
      </c>
      <c r="K365">
        <f>VLOOKUP($C365,'2000 Place'!$C$2:$Y$523,12,FALSE)</f>
        <v>87</v>
      </c>
      <c r="L365">
        <f>VLOOKUP($C365,'2000 Place'!$C$2:$Y$523,13,FALSE)</f>
        <v>0</v>
      </c>
      <c r="M365">
        <f>VLOOKUP($C365,'2000 Place'!$C$2:$Y$523,14,FALSE)</f>
        <v>21</v>
      </c>
      <c r="N365">
        <f>VLOOKUP($C365,'2000 Place'!$C$2:$Y$523,15,FALSE)</f>
        <v>0</v>
      </c>
      <c r="O365">
        <f>VLOOKUP($C365,'2000 Place'!$C$2:$Y$523,16,FALSE)</f>
        <v>75</v>
      </c>
      <c r="P365">
        <f>VLOOKUP($C365,'2000 Place'!$C$2:$Y$523,17,FALSE)</f>
        <v>154</v>
      </c>
      <c r="Q365">
        <f>VLOOKUP($C365,'2000 Place'!$C$2:$Y$523,18,FALSE)</f>
        <v>7</v>
      </c>
      <c r="R365">
        <f>VLOOKUP($C365,'2000 Place'!$C$2:$Y$523,19,FALSE)</f>
        <v>0</v>
      </c>
      <c r="S365">
        <f>VLOOKUP($C365,'2000 Place'!$C$2:$Y$523,20,FALSE)</f>
        <v>86</v>
      </c>
      <c r="T365">
        <f>VLOOKUP($C365,'2000 Place'!$C$2:$Y$523,21,FALSE)</f>
        <v>28</v>
      </c>
      <c r="U365">
        <f>VLOOKUP($C365,'2000 Place'!$C$2:$Y$523,22,FALSE)</f>
        <v>254</v>
      </c>
      <c r="V365">
        <f>VLOOKUP($C365,'2000 Place'!$C$2:$Y$523,23,FALSE)</f>
        <v>100</v>
      </c>
    </row>
    <row r="366" spans="1:22" x14ac:dyDescent="0.25">
      <c r="A366" t="s">
        <v>976</v>
      </c>
      <c r="B366">
        <v>5346215</v>
      </c>
      <c r="C366" t="s">
        <v>977</v>
      </c>
      <c r="D366">
        <f>VLOOKUP($C366,'2000 Place'!$C$2:$Y$523,5,FALSE)</f>
        <v>3807</v>
      </c>
      <c r="E366">
        <f>VLOOKUP($C366,'2000 Place'!$C$2:$Y$523,6,FALSE)</f>
        <v>3510</v>
      </c>
      <c r="F366">
        <f>VLOOKUP($C366,'2000 Place'!$C$2:$Y$523,7,FALSE)</f>
        <v>297</v>
      </c>
      <c r="G366">
        <f>VLOOKUP($C366,'2000 Place'!$C$2:$Y$523,8,FALSE)</f>
        <v>3205</v>
      </c>
      <c r="H366">
        <f>VLOOKUP($C366,'2000 Place'!$C$2:$Y$523,9,FALSE)</f>
        <v>193</v>
      </c>
      <c r="I366">
        <f>VLOOKUP($C366,'2000 Place'!$C$2:$Y$523,10,FALSE)</f>
        <v>25</v>
      </c>
      <c r="J366">
        <f>VLOOKUP($C366,'2000 Place'!$C$2:$Y$523,11,FALSE)</f>
        <v>6</v>
      </c>
      <c r="K366">
        <f>VLOOKUP($C366,'2000 Place'!$C$2:$Y$523,12,FALSE)</f>
        <v>33</v>
      </c>
      <c r="L366">
        <f>VLOOKUP($C366,'2000 Place'!$C$2:$Y$523,13,FALSE)</f>
        <v>0</v>
      </c>
      <c r="M366">
        <f>VLOOKUP($C366,'2000 Place'!$C$2:$Y$523,14,FALSE)</f>
        <v>22</v>
      </c>
      <c r="N366">
        <f>VLOOKUP($C366,'2000 Place'!$C$2:$Y$523,15,FALSE)</f>
        <v>0</v>
      </c>
      <c r="O366">
        <f>VLOOKUP($C366,'2000 Place'!$C$2:$Y$523,16,FALSE)</f>
        <v>16</v>
      </c>
      <c r="P366">
        <f>VLOOKUP($C366,'2000 Place'!$C$2:$Y$523,17,FALSE)</f>
        <v>74</v>
      </c>
      <c r="Q366">
        <f>VLOOKUP($C366,'2000 Place'!$C$2:$Y$523,18,FALSE)</f>
        <v>5</v>
      </c>
      <c r="R366">
        <f>VLOOKUP($C366,'2000 Place'!$C$2:$Y$523,19,FALSE)</f>
        <v>5</v>
      </c>
      <c r="S366">
        <f>VLOOKUP($C366,'2000 Place'!$C$2:$Y$523,20,FALSE)</f>
        <v>60</v>
      </c>
      <c r="T366">
        <f>VLOOKUP($C366,'2000 Place'!$C$2:$Y$523,21,FALSE)</f>
        <v>0</v>
      </c>
      <c r="U366">
        <f>VLOOKUP($C366,'2000 Place'!$C$2:$Y$523,22,FALSE)</f>
        <v>144</v>
      </c>
      <c r="V366">
        <f>VLOOKUP($C366,'2000 Place'!$C$2:$Y$523,23,FALSE)</f>
        <v>19</v>
      </c>
    </row>
    <row r="367" spans="1:22" x14ac:dyDescent="0.25">
      <c r="A367" t="s">
        <v>978</v>
      </c>
      <c r="B367">
        <v>5346405</v>
      </c>
      <c r="C367" t="s">
        <v>979</v>
      </c>
      <c r="D367">
        <f>VLOOKUP($C367,'2000 Place'!$C$2:$Y$523,5,FALSE)</f>
        <v>598</v>
      </c>
      <c r="E367">
        <f>VLOOKUP($C367,'2000 Place'!$C$2:$Y$523,6,FALSE)</f>
        <v>549</v>
      </c>
      <c r="F367">
        <f>VLOOKUP($C367,'2000 Place'!$C$2:$Y$523,7,FALSE)</f>
        <v>49</v>
      </c>
      <c r="G367">
        <f>VLOOKUP($C367,'2000 Place'!$C$2:$Y$523,8,FALSE)</f>
        <v>290</v>
      </c>
      <c r="H367">
        <f>VLOOKUP($C367,'2000 Place'!$C$2:$Y$523,9,FALSE)</f>
        <v>0</v>
      </c>
      <c r="I367">
        <f>VLOOKUP($C367,'2000 Place'!$C$2:$Y$523,10,FALSE)</f>
        <v>4</v>
      </c>
      <c r="J367">
        <f>VLOOKUP($C367,'2000 Place'!$C$2:$Y$523,11,FALSE)</f>
        <v>0</v>
      </c>
      <c r="K367">
        <f>VLOOKUP($C367,'2000 Place'!$C$2:$Y$523,12,FALSE)</f>
        <v>0</v>
      </c>
      <c r="L367">
        <f>VLOOKUP($C367,'2000 Place'!$C$2:$Y$523,13,FALSE)</f>
        <v>0</v>
      </c>
      <c r="M367">
        <f>VLOOKUP($C367,'2000 Place'!$C$2:$Y$523,14,FALSE)</f>
        <v>154</v>
      </c>
      <c r="N367">
        <f>VLOOKUP($C367,'2000 Place'!$C$2:$Y$523,15,FALSE)</f>
        <v>0</v>
      </c>
      <c r="O367">
        <f>VLOOKUP($C367,'2000 Place'!$C$2:$Y$523,16,FALSE)</f>
        <v>24</v>
      </c>
      <c r="P367">
        <f>VLOOKUP($C367,'2000 Place'!$C$2:$Y$523,17,FALSE)</f>
        <v>0</v>
      </c>
      <c r="Q367">
        <f>VLOOKUP($C367,'2000 Place'!$C$2:$Y$523,18,FALSE)</f>
        <v>0</v>
      </c>
      <c r="R367">
        <f>VLOOKUP($C367,'2000 Place'!$C$2:$Y$523,19,FALSE)</f>
        <v>0</v>
      </c>
      <c r="S367">
        <f>VLOOKUP($C367,'2000 Place'!$C$2:$Y$523,20,FALSE)</f>
        <v>24</v>
      </c>
      <c r="T367">
        <f>VLOOKUP($C367,'2000 Place'!$C$2:$Y$523,21,FALSE)</f>
        <v>42</v>
      </c>
      <c r="U367">
        <f>VLOOKUP($C367,'2000 Place'!$C$2:$Y$523,22,FALSE)</f>
        <v>53</v>
      </c>
      <c r="V367">
        <f>VLOOKUP($C367,'2000 Place'!$C$2:$Y$523,23,FALSE)</f>
        <v>7</v>
      </c>
    </row>
    <row r="368" spans="1:22" x14ac:dyDescent="0.25">
      <c r="A368" t="s">
        <v>980</v>
      </c>
      <c r="B368">
        <v>5346685</v>
      </c>
      <c r="C368" t="s">
        <v>981</v>
      </c>
      <c r="D368">
        <f>VLOOKUP($C368,'2000 Place'!$C$2:$Y$523,5,FALSE)</f>
        <v>13462</v>
      </c>
      <c r="E368">
        <f>VLOOKUP($C368,'2000 Place'!$C$2:$Y$523,6,FALSE)</f>
        <v>12139</v>
      </c>
      <c r="F368">
        <f>VLOOKUP($C368,'2000 Place'!$C$2:$Y$523,7,FALSE)</f>
        <v>1323</v>
      </c>
      <c r="G368">
        <f>VLOOKUP($C368,'2000 Place'!$C$2:$Y$523,8,FALSE)</f>
        <v>10660</v>
      </c>
      <c r="H368">
        <f>VLOOKUP($C368,'2000 Place'!$C$2:$Y$523,9,FALSE)</f>
        <v>297</v>
      </c>
      <c r="I368">
        <f>VLOOKUP($C368,'2000 Place'!$C$2:$Y$523,10,FALSE)</f>
        <v>321</v>
      </c>
      <c r="J368">
        <f>VLOOKUP($C368,'2000 Place'!$C$2:$Y$523,11,FALSE)</f>
        <v>482</v>
      </c>
      <c r="K368">
        <f>VLOOKUP($C368,'2000 Place'!$C$2:$Y$523,12,FALSE)</f>
        <v>449</v>
      </c>
      <c r="L368">
        <f>VLOOKUP($C368,'2000 Place'!$C$2:$Y$523,13,FALSE)</f>
        <v>8</v>
      </c>
      <c r="M368">
        <f>VLOOKUP($C368,'2000 Place'!$C$2:$Y$523,14,FALSE)</f>
        <v>133</v>
      </c>
      <c r="N368">
        <f>VLOOKUP($C368,'2000 Place'!$C$2:$Y$523,15,FALSE)</f>
        <v>0</v>
      </c>
      <c r="O368">
        <f>VLOOKUP($C368,'2000 Place'!$C$2:$Y$523,16,FALSE)</f>
        <v>77</v>
      </c>
      <c r="P368">
        <f>VLOOKUP($C368,'2000 Place'!$C$2:$Y$523,17,FALSE)</f>
        <v>198</v>
      </c>
      <c r="Q368">
        <f>VLOOKUP($C368,'2000 Place'!$C$2:$Y$523,18,FALSE)</f>
        <v>17</v>
      </c>
      <c r="R368">
        <f>VLOOKUP($C368,'2000 Place'!$C$2:$Y$523,19,FALSE)</f>
        <v>6</v>
      </c>
      <c r="S368">
        <f>VLOOKUP($C368,'2000 Place'!$C$2:$Y$523,20,FALSE)</f>
        <v>231</v>
      </c>
      <c r="T368">
        <f>VLOOKUP($C368,'2000 Place'!$C$2:$Y$523,21,FALSE)</f>
        <v>282</v>
      </c>
      <c r="U368">
        <f>VLOOKUP($C368,'2000 Place'!$C$2:$Y$523,22,FALSE)</f>
        <v>251</v>
      </c>
      <c r="V368">
        <f>VLOOKUP($C368,'2000 Place'!$C$2:$Y$523,23,FALSE)</f>
        <v>50</v>
      </c>
    </row>
    <row r="369" spans="1:22" x14ac:dyDescent="0.25">
      <c r="A369" t="s">
        <v>982</v>
      </c>
      <c r="B369">
        <v>5346725</v>
      </c>
      <c r="C369" t="s">
        <v>983</v>
      </c>
      <c r="D369" t="e">
        <f>VLOOKUP($C369,'2000 Place'!$C$2:$Y$523,5,FALSE)</f>
        <v>#N/A</v>
      </c>
      <c r="E369" t="e">
        <f>VLOOKUP($C369,'2000 Place'!$C$2:$Y$523,6,FALSE)</f>
        <v>#N/A</v>
      </c>
      <c r="F369" t="e">
        <f>VLOOKUP($C369,'2000 Place'!$C$2:$Y$523,7,FALSE)</f>
        <v>#N/A</v>
      </c>
      <c r="G369" t="e">
        <f>VLOOKUP($C369,'2000 Place'!$C$2:$Y$523,8,FALSE)</f>
        <v>#N/A</v>
      </c>
      <c r="H369" t="e">
        <f>VLOOKUP($C369,'2000 Place'!$C$2:$Y$523,9,FALSE)</f>
        <v>#N/A</v>
      </c>
      <c r="I369" t="e">
        <f>VLOOKUP($C369,'2000 Place'!$C$2:$Y$523,10,FALSE)</f>
        <v>#N/A</v>
      </c>
      <c r="J369" t="e">
        <f>VLOOKUP($C369,'2000 Place'!$C$2:$Y$523,11,FALSE)</f>
        <v>#N/A</v>
      </c>
      <c r="K369" t="e">
        <f>VLOOKUP($C369,'2000 Place'!$C$2:$Y$523,12,FALSE)</f>
        <v>#N/A</v>
      </c>
      <c r="L369" t="e">
        <f>VLOOKUP($C369,'2000 Place'!$C$2:$Y$523,13,FALSE)</f>
        <v>#N/A</v>
      </c>
      <c r="M369" t="e">
        <f>VLOOKUP($C369,'2000 Place'!$C$2:$Y$523,14,FALSE)</f>
        <v>#N/A</v>
      </c>
      <c r="N369" t="e">
        <f>VLOOKUP($C369,'2000 Place'!$C$2:$Y$523,15,FALSE)</f>
        <v>#N/A</v>
      </c>
      <c r="O369" t="e">
        <f>VLOOKUP($C369,'2000 Place'!$C$2:$Y$523,16,FALSE)</f>
        <v>#N/A</v>
      </c>
      <c r="P369" t="e">
        <f>VLOOKUP($C369,'2000 Place'!$C$2:$Y$523,17,FALSE)</f>
        <v>#N/A</v>
      </c>
      <c r="Q369" t="e">
        <f>VLOOKUP($C369,'2000 Place'!$C$2:$Y$523,18,FALSE)</f>
        <v>#N/A</v>
      </c>
      <c r="R369" t="e">
        <f>VLOOKUP($C369,'2000 Place'!$C$2:$Y$523,19,FALSE)</f>
        <v>#N/A</v>
      </c>
      <c r="S369" t="e">
        <f>VLOOKUP($C369,'2000 Place'!$C$2:$Y$523,20,FALSE)</f>
        <v>#N/A</v>
      </c>
      <c r="T369" t="e">
        <f>VLOOKUP($C369,'2000 Place'!$C$2:$Y$523,21,FALSE)</f>
        <v>#N/A</v>
      </c>
      <c r="U369" t="e">
        <f>VLOOKUP($C369,'2000 Place'!$C$2:$Y$523,22,FALSE)</f>
        <v>#N/A</v>
      </c>
      <c r="V369" t="e">
        <f>VLOOKUP($C369,'2000 Place'!$C$2:$Y$523,23,FALSE)</f>
        <v>#N/A</v>
      </c>
    </row>
    <row r="370" spans="1:22" x14ac:dyDescent="0.25">
      <c r="A370" t="s">
        <v>984</v>
      </c>
      <c r="B370">
        <v>5346895</v>
      </c>
      <c r="C370" t="s">
        <v>985</v>
      </c>
      <c r="D370">
        <f>VLOOKUP($C370,'2000 Place'!$C$2:$Y$523,5,FALSE)</f>
        <v>3384</v>
      </c>
      <c r="E370">
        <f>VLOOKUP($C370,'2000 Place'!$C$2:$Y$523,6,FALSE)</f>
        <v>3247</v>
      </c>
      <c r="F370">
        <f>VLOOKUP($C370,'2000 Place'!$C$2:$Y$523,7,FALSE)</f>
        <v>137</v>
      </c>
      <c r="G370">
        <f>VLOOKUP($C370,'2000 Place'!$C$2:$Y$523,8,FALSE)</f>
        <v>3029</v>
      </c>
      <c r="H370">
        <f>VLOOKUP($C370,'2000 Place'!$C$2:$Y$523,9,FALSE)</f>
        <v>130</v>
      </c>
      <c r="I370">
        <f>VLOOKUP($C370,'2000 Place'!$C$2:$Y$523,10,FALSE)</f>
        <v>51</v>
      </c>
      <c r="J370">
        <f>VLOOKUP($C370,'2000 Place'!$C$2:$Y$523,11,FALSE)</f>
        <v>0</v>
      </c>
      <c r="K370">
        <f>VLOOKUP($C370,'2000 Place'!$C$2:$Y$523,12,FALSE)</f>
        <v>0</v>
      </c>
      <c r="L370">
        <f>VLOOKUP($C370,'2000 Place'!$C$2:$Y$523,13,FALSE)</f>
        <v>0</v>
      </c>
      <c r="M370">
        <f>VLOOKUP($C370,'2000 Place'!$C$2:$Y$523,14,FALSE)</f>
        <v>95</v>
      </c>
      <c r="N370">
        <f>VLOOKUP($C370,'2000 Place'!$C$2:$Y$523,15,FALSE)</f>
        <v>0</v>
      </c>
      <c r="O370">
        <f>VLOOKUP($C370,'2000 Place'!$C$2:$Y$523,16,FALSE)</f>
        <v>0</v>
      </c>
      <c r="P370">
        <f>VLOOKUP($C370,'2000 Place'!$C$2:$Y$523,17,FALSE)</f>
        <v>7</v>
      </c>
      <c r="Q370">
        <f>VLOOKUP($C370,'2000 Place'!$C$2:$Y$523,18,FALSE)</f>
        <v>23</v>
      </c>
      <c r="R370">
        <f>VLOOKUP($C370,'2000 Place'!$C$2:$Y$523,19,FALSE)</f>
        <v>0</v>
      </c>
      <c r="S370">
        <f>VLOOKUP($C370,'2000 Place'!$C$2:$Y$523,20,FALSE)</f>
        <v>0</v>
      </c>
      <c r="T370">
        <f>VLOOKUP($C370,'2000 Place'!$C$2:$Y$523,21,FALSE)</f>
        <v>0</v>
      </c>
      <c r="U370">
        <f>VLOOKUP($C370,'2000 Place'!$C$2:$Y$523,22,FALSE)</f>
        <v>49</v>
      </c>
      <c r="V370">
        <f>VLOOKUP($C370,'2000 Place'!$C$2:$Y$523,23,FALSE)</f>
        <v>0</v>
      </c>
    </row>
    <row r="371" spans="1:22" x14ac:dyDescent="0.25">
      <c r="A371" t="s">
        <v>986</v>
      </c>
      <c r="B371">
        <v>5347175</v>
      </c>
      <c r="C371" t="s">
        <v>987</v>
      </c>
      <c r="D371">
        <f>VLOOKUP($C371,'2000 Place'!$C$2:$Y$523,5,FALSE)</f>
        <v>1059</v>
      </c>
      <c r="E371">
        <f>VLOOKUP($C371,'2000 Place'!$C$2:$Y$523,6,FALSE)</f>
        <v>1026</v>
      </c>
      <c r="F371">
        <f>VLOOKUP($C371,'2000 Place'!$C$2:$Y$523,7,FALSE)</f>
        <v>33</v>
      </c>
      <c r="G371">
        <f>VLOOKUP($C371,'2000 Place'!$C$2:$Y$523,8,FALSE)</f>
        <v>983</v>
      </c>
      <c r="H371">
        <f>VLOOKUP($C371,'2000 Place'!$C$2:$Y$523,9,FALSE)</f>
        <v>14</v>
      </c>
      <c r="I371">
        <f>VLOOKUP($C371,'2000 Place'!$C$2:$Y$523,10,FALSE)</f>
        <v>5</v>
      </c>
      <c r="J371">
        <f>VLOOKUP($C371,'2000 Place'!$C$2:$Y$523,11,FALSE)</f>
        <v>1</v>
      </c>
      <c r="K371">
        <f>VLOOKUP($C371,'2000 Place'!$C$2:$Y$523,12,FALSE)</f>
        <v>0</v>
      </c>
      <c r="L371">
        <f>VLOOKUP($C371,'2000 Place'!$C$2:$Y$523,13,FALSE)</f>
        <v>0</v>
      </c>
      <c r="M371">
        <f>VLOOKUP($C371,'2000 Place'!$C$2:$Y$523,14,FALSE)</f>
        <v>12</v>
      </c>
      <c r="N371">
        <f>VLOOKUP($C371,'2000 Place'!$C$2:$Y$523,15,FALSE)</f>
        <v>2</v>
      </c>
      <c r="O371">
        <f>VLOOKUP($C371,'2000 Place'!$C$2:$Y$523,16,FALSE)</f>
        <v>0</v>
      </c>
      <c r="P371">
        <f>VLOOKUP($C371,'2000 Place'!$C$2:$Y$523,17,FALSE)</f>
        <v>16</v>
      </c>
      <c r="Q371">
        <f>VLOOKUP($C371,'2000 Place'!$C$2:$Y$523,18,FALSE)</f>
        <v>0</v>
      </c>
      <c r="R371">
        <f>VLOOKUP($C371,'2000 Place'!$C$2:$Y$523,19,FALSE)</f>
        <v>0</v>
      </c>
      <c r="S371">
        <f>VLOOKUP($C371,'2000 Place'!$C$2:$Y$523,20,FALSE)</f>
        <v>0</v>
      </c>
      <c r="T371">
        <f>VLOOKUP($C371,'2000 Place'!$C$2:$Y$523,21,FALSE)</f>
        <v>0</v>
      </c>
      <c r="U371">
        <f>VLOOKUP($C371,'2000 Place'!$C$2:$Y$523,22,FALSE)</f>
        <v>26</v>
      </c>
      <c r="V371">
        <f>VLOOKUP($C371,'2000 Place'!$C$2:$Y$523,23,FALSE)</f>
        <v>0</v>
      </c>
    </row>
    <row r="372" spans="1:22" x14ac:dyDescent="0.25">
      <c r="A372" t="s">
        <v>988</v>
      </c>
      <c r="B372">
        <v>5347245</v>
      </c>
      <c r="C372" t="s">
        <v>989</v>
      </c>
      <c r="D372">
        <f>VLOOKUP($C372,'2000 Place'!$C$2:$Y$523,5,FALSE)</f>
        <v>14951</v>
      </c>
      <c r="E372">
        <f>VLOOKUP($C372,'2000 Place'!$C$2:$Y$523,6,FALSE)</f>
        <v>13357</v>
      </c>
      <c r="F372">
        <f>VLOOKUP($C372,'2000 Place'!$C$2:$Y$523,7,FALSE)</f>
        <v>1594</v>
      </c>
      <c r="G372">
        <f>VLOOKUP($C372,'2000 Place'!$C$2:$Y$523,8,FALSE)</f>
        <v>9811</v>
      </c>
      <c r="H372">
        <f>VLOOKUP($C372,'2000 Place'!$C$2:$Y$523,9,FALSE)</f>
        <v>418</v>
      </c>
      <c r="I372">
        <f>VLOOKUP($C372,'2000 Place'!$C$2:$Y$523,10,FALSE)</f>
        <v>1026</v>
      </c>
      <c r="J372">
        <f>VLOOKUP($C372,'2000 Place'!$C$2:$Y$523,11,FALSE)</f>
        <v>245</v>
      </c>
      <c r="K372">
        <f>VLOOKUP($C372,'2000 Place'!$C$2:$Y$523,12,FALSE)</f>
        <v>220</v>
      </c>
      <c r="L372">
        <f>VLOOKUP($C372,'2000 Place'!$C$2:$Y$523,13,FALSE)</f>
        <v>36</v>
      </c>
      <c r="M372">
        <f>VLOOKUP($C372,'2000 Place'!$C$2:$Y$523,14,FALSE)</f>
        <v>54</v>
      </c>
      <c r="N372">
        <f>VLOOKUP($C372,'2000 Place'!$C$2:$Y$523,15,FALSE)</f>
        <v>0</v>
      </c>
      <c r="O372">
        <f>VLOOKUP($C372,'2000 Place'!$C$2:$Y$523,16,FALSE)</f>
        <v>133</v>
      </c>
      <c r="P372">
        <f>VLOOKUP($C372,'2000 Place'!$C$2:$Y$523,17,FALSE)</f>
        <v>113</v>
      </c>
      <c r="Q372">
        <f>VLOOKUP($C372,'2000 Place'!$C$2:$Y$523,18,FALSE)</f>
        <v>0</v>
      </c>
      <c r="R372">
        <f>VLOOKUP($C372,'2000 Place'!$C$2:$Y$523,19,FALSE)</f>
        <v>0</v>
      </c>
      <c r="S372">
        <f>VLOOKUP($C372,'2000 Place'!$C$2:$Y$523,20,FALSE)</f>
        <v>1601</v>
      </c>
      <c r="T372">
        <f>VLOOKUP($C372,'2000 Place'!$C$2:$Y$523,21,FALSE)</f>
        <v>681</v>
      </c>
      <c r="U372">
        <f>VLOOKUP($C372,'2000 Place'!$C$2:$Y$523,22,FALSE)</f>
        <v>512</v>
      </c>
      <c r="V372">
        <f>VLOOKUP($C372,'2000 Place'!$C$2:$Y$523,23,FALSE)</f>
        <v>101</v>
      </c>
    </row>
    <row r="373" spans="1:22" x14ac:dyDescent="0.25">
      <c r="A373" t="s">
        <v>990</v>
      </c>
      <c r="B373">
        <v>5347280</v>
      </c>
      <c r="C373" t="s">
        <v>991</v>
      </c>
      <c r="D373">
        <f>VLOOKUP($C373,'2000 Place'!$C$2:$Y$523,5,FALSE)</f>
        <v>4217</v>
      </c>
      <c r="E373">
        <f>VLOOKUP($C373,'2000 Place'!$C$2:$Y$523,6,FALSE)</f>
        <v>3688</v>
      </c>
      <c r="F373">
        <f>VLOOKUP($C373,'2000 Place'!$C$2:$Y$523,7,FALSE)</f>
        <v>529</v>
      </c>
      <c r="G373">
        <f>VLOOKUP($C373,'2000 Place'!$C$2:$Y$523,8,FALSE)</f>
        <v>2416</v>
      </c>
      <c r="H373">
        <f>VLOOKUP($C373,'2000 Place'!$C$2:$Y$523,9,FALSE)</f>
        <v>286</v>
      </c>
      <c r="I373">
        <f>VLOOKUP($C373,'2000 Place'!$C$2:$Y$523,10,FALSE)</f>
        <v>243</v>
      </c>
      <c r="J373">
        <f>VLOOKUP($C373,'2000 Place'!$C$2:$Y$523,11,FALSE)</f>
        <v>61</v>
      </c>
      <c r="K373">
        <f>VLOOKUP($C373,'2000 Place'!$C$2:$Y$523,12,FALSE)</f>
        <v>119</v>
      </c>
      <c r="L373">
        <f>VLOOKUP($C373,'2000 Place'!$C$2:$Y$523,13,FALSE)</f>
        <v>0</v>
      </c>
      <c r="M373">
        <f>VLOOKUP($C373,'2000 Place'!$C$2:$Y$523,14,FALSE)</f>
        <v>196</v>
      </c>
      <c r="N373">
        <f>VLOOKUP($C373,'2000 Place'!$C$2:$Y$523,15,FALSE)</f>
        <v>0</v>
      </c>
      <c r="O373">
        <f>VLOOKUP($C373,'2000 Place'!$C$2:$Y$523,16,FALSE)</f>
        <v>7</v>
      </c>
      <c r="P373">
        <f>VLOOKUP($C373,'2000 Place'!$C$2:$Y$523,17,FALSE)</f>
        <v>23</v>
      </c>
      <c r="Q373">
        <f>VLOOKUP($C373,'2000 Place'!$C$2:$Y$523,18,FALSE)</f>
        <v>0</v>
      </c>
      <c r="R373">
        <f>VLOOKUP($C373,'2000 Place'!$C$2:$Y$523,19,FALSE)</f>
        <v>0</v>
      </c>
      <c r="S373">
        <f>VLOOKUP($C373,'2000 Place'!$C$2:$Y$523,20,FALSE)</f>
        <v>504</v>
      </c>
      <c r="T373">
        <f>VLOOKUP($C373,'2000 Place'!$C$2:$Y$523,21,FALSE)</f>
        <v>89</v>
      </c>
      <c r="U373">
        <f>VLOOKUP($C373,'2000 Place'!$C$2:$Y$523,22,FALSE)</f>
        <v>203</v>
      </c>
      <c r="V373">
        <f>VLOOKUP($C373,'2000 Place'!$C$2:$Y$523,23,FALSE)</f>
        <v>70</v>
      </c>
    </row>
    <row r="374" spans="1:22" x14ac:dyDescent="0.25">
      <c r="A374" t="s">
        <v>992</v>
      </c>
      <c r="B374">
        <v>5347315</v>
      </c>
      <c r="C374" t="s">
        <v>993</v>
      </c>
      <c r="D374">
        <f>VLOOKUP($C374,'2000 Place'!$C$2:$Y$523,5,FALSE)</f>
        <v>463</v>
      </c>
      <c r="E374">
        <f>VLOOKUP($C374,'2000 Place'!$C$2:$Y$523,6,FALSE)</f>
        <v>447</v>
      </c>
      <c r="F374">
        <f>VLOOKUP($C374,'2000 Place'!$C$2:$Y$523,7,FALSE)</f>
        <v>16</v>
      </c>
      <c r="G374">
        <f>VLOOKUP($C374,'2000 Place'!$C$2:$Y$523,8,FALSE)</f>
        <v>420</v>
      </c>
      <c r="H374">
        <f>VLOOKUP($C374,'2000 Place'!$C$2:$Y$523,9,FALSE)</f>
        <v>3</v>
      </c>
      <c r="I374">
        <f>VLOOKUP($C374,'2000 Place'!$C$2:$Y$523,10,FALSE)</f>
        <v>3</v>
      </c>
      <c r="J374">
        <f>VLOOKUP($C374,'2000 Place'!$C$2:$Y$523,11,FALSE)</f>
        <v>0</v>
      </c>
      <c r="K374">
        <f>VLOOKUP($C374,'2000 Place'!$C$2:$Y$523,12,FALSE)</f>
        <v>0</v>
      </c>
      <c r="L374">
        <f>VLOOKUP($C374,'2000 Place'!$C$2:$Y$523,13,FALSE)</f>
        <v>0</v>
      </c>
      <c r="M374">
        <f>VLOOKUP($C374,'2000 Place'!$C$2:$Y$523,14,FALSE)</f>
        <v>16</v>
      </c>
      <c r="N374">
        <f>VLOOKUP($C374,'2000 Place'!$C$2:$Y$523,15,FALSE)</f>
        <v>0</v>
      </c>
      <c r="O374">
        <f>VLOOKUP($C374,'2000 Place'!$C$2:$Y$523,16,FALSE)</f>
        <v>0</v>
      </c>
      <c r="P374">
        <f>VLOOKUP($C374,'2000 Place'!$C$2:$Y$523,17,FALSE)</f>
        <v>0</v>
      </c>
      <c r="Q374">
        <f>VLOOKUP($C374,'2000 Place'!$C$2:$Y$523,18,FALSE)</f>
        <v>0</v>
      </c>
      <c r="R374">
        <f>VLOOKUP($C374,'2000 Place'!$C$2:$Y$523,19,FALSE)</f>
        <v>0</v>
      </c>
      <c r="S374">
        <f>VLOOKUP($C374,'2000 Place'!$C$2:$Y$523,20,FALSE)</f>
        <v>5</v>
      </c>
      <c r="T374">
        <f>VLOOKUP($C374,'2000 Place'!$C$2:$Y$523,21,FALSE)</f>
        <v>8</v>
      </c>
      <c r="U374">
        <f>VLOOKUP($C374,'2000 Place'!$C$2:$Y$523,22,FALSE)</f>
        <v>3</v>
      </c>
      <c r="V374">
        <f>VLOOKUP($C374,'2000 Place'!$C$2:$Y$523,23,FALSE)</f>
        <v>5</v>
      </c>
    </row>
    <row r="375" spans="1:22" x14ac:dyDescent="0.25">
      <c r="A375" t="s">
        <v>994</v>
      </c>
      <c r="B375">
        <v>5347490</v>
      </c>
      <c r="C375" t="s">
        <v>995</v>
      </c>
      <c r="D375">
        <f>VLOOKUP($C375,'2000 Place'!$C$2:$Y$523,5,FALSE)</f>
        <v>20300</v>
      </c>
      <c r="E375">
        <f>VLOOKUP($C375,'2000 Place'!$C$2:$Y$523,6,FALSE)</f>
        <v>16441</v>
      </c>
      <c r="F375">
        <f>VLOOKUP($C375,'2000 Place'!$C$2:$Y$523,7,FALSE)</f>
        <v>3859</v>
      </c>
      <c r="G375">
        <f>VLOOKUP($C375,'2000 Place'!$C$2:$Y$523,8,FALSE)</f>
        <v>14200</v>
      </c>
      <c r="H375">
        <f>VLOOKUP($C375,'2000 Place'!$C$2:$Y$523,9,FALSE)</f>
        <v>1184</v>
      </c>
      <c r="I375">
        <f>VLOOKUP($C375,'2000 Place'!$C$2:$Y$523,10,FALSE)</f>
        <v>179</v>
      </c>
      <c r="J375">
        <f>VLOOKUP($C375,'2000 Place'!$C$2:$Y$523,11,FALSE)</f>
        <v>161</v>
      </c>
      <c r="K375">
        <f>VLOOKUP($C375,'2000 Place'!$C$2:$Y$523,12,FALSE)</f>
        <v>265</v>
      </c>
      <c r="L375">
        <f>VLOOKUP($C375,'2000 Place'!$C$2:$Y$523,13,FALSE)</f>
        <v>190</v>
      </c>
      <c r="M375">
        <f>VLOOKUP($C375,'2000 Place'!$C$2:$Y$523,14,FALSE)</f>
        <v>196</v>
      </c>
      <c r="N375">
        <f>VLOOKUP($C375,'2000 Place'!$C$2:$Y$523,15,FALSE)</f>
        <v>15</v>
      </c>
      <c r="O375">
        <f>VLOOKUP($C375,'2000 Place'!$C$2:$Y$523,16,FALSE)</f>
        <v>574</v>
      </c>
      <c r="P375">
        <f>VLOOKUP($C375,'2000 Place'!$C$2:$Y$523,17,FALSE)</f>
        <v>1773</v>
      </c>
      <c r="Q375">
        <f>VLOOKUP($C375,'2000 Place'!$C$2:$Y$523,18,FALSE)</f>
        <v>24</v>
      </c>
      <c r="R375">
        <f>VLOOKUP($C375,'2000 Place'!$C$2:$Y$523,19,FALSE)</f>
        <v>6</v>
      </c>
      <c r="S375">
        <f>VLOOKUP($C375,'2000 Place'!$C$2:$Y$523,20,FALSE)</f>
        <v>266</v>
      </c>
      <c r="T375">
        <f>VLOOKUP($C375,'2000 Place'!$C$2:$Y$523,21,FALSE)</f>
        <v>231</v>
      </c>
      <c r="U375">
        <f>VLOOKUP($C375,'2000 Place'!$C$2:$Y$523,22,FALSE)</f>
        <v>737</v>
      </c>
      <c r="V375">
        <f>VLOOKUP($C375,'2000 Place'!$C$2:$Y$523,23,FALSE)</f>
        <v>299</v>
      </c>
    </row>
    <row r="376" spans="1:22" x14ac:dyDescent="0.25">
      <c r="A376" t="s">
        <v>996</v>
      </c>
      <c r="B376">
        <v>5347560</v>
      </c>
      <c r="C376" t="s">
        <v>997</v>
      </c>
      <c r="D376">
        <f>VLOOKUP($C376,'2000 Place'!$C$2:$Y$523,5,FALSE)</f>
        <v>26297</v>
      </c>
      <c r="E376">
        <f>VLOOKUP($C376,'2000 Place'!$C$2:$Y$523,6,FALSE)</f>
        <v>20853</v>
      </c>
      <c r="F376">
        <f>VLOOKUP($C376,'2000 Place'!$C$2:$Y$523,7,FALSE)</f>
        <v>5444</v>
      </c>
      <c r="G376">
        <f>VLOOKUP($C376,'2000 Place'!$C$2:$Y$523,8,FALSE)</f>
        <v>16882</v>
      </c>
      <c r="H376">
        <f>VLOOKUP($C376,'2000 Place'!$C$2:$Y$523,9,FALSE)</f>
        <v>1100</v>
      </c>
      <c r="I376">
        <f>VLOOKUP($C376,'2000 Place'!$C$2:$Y$523,10,FALSE)</f>
        <v>794</v>
      </c>
      <c r="J376">
        <f>VLOOKUP($C376,'2000 Place'!$C$2:$Y$523,11,FALSE)</f>
        <v>1156</v>
      </c>
      <c r="K376">
        <f>VLOOKUP($C376,'2000 Place'!$C$2:$Y$523,12,FALSE)</f>
        <v>90</v>
      </c>
      <c r="L376">
        <f>VLOOKUP($C376,'2000 Place'!$C$2:$Y$523,13,FALSE)</f>
        <v>7</v>
      </c>
      <c r="M376">
        <f>VLOOKUP($C376,'2000 Place'!$C$2:$Y$523,14,FALSE)</f>
        <v>359</v>
      </c>
      <c r="N376">
        <f>VLOOKUP($C376,'2000 Place'!$C$2:$Y$523,15,FALSE)</f>
        <v>32</v>
      </c>
      <c r="O376">
        <f>VLOOKUP($C376,'2000 Place'!$C$2:$Y$523,16,FALSE)</f>
        <v>109</v>
      </c>
      <c r="P376">
        <f>VLOOKUP($C376,'2000 Place'!$C$2:$Y$523,17,FALSE)</f>
        <v>538</v>
      </c>
      <c r="Q376">
        <f>VLOOKUP($C376,'2000 Place'!$C$2:$Y$523,18,FALSE)</f>
        <v>40</v>
      </c>
      <c r="R376">
        <f>VLOOKUP($C376,'2000 Place'!$C$2:$Y$523,19,FALSE)</f>
        <v>0</v>
      </c>
      <c r="S376">
        <f>VLOOKUP($C376,'2000 Place'!$C$2:$Y$523,20,FALSE)</f>
        <v>1967</v>
      </c>
      <c r="T376">
        <f>VLOOKUP($C376,'2000 Place'!$C$2:$Y$523,21,FALSE)</f>
        <v>2505</v>
      </c>
      <c r="U376">
        <f>VLOOKUP($C376,'2000 Place'!$C$2:$Y$523,22,FALSE)</f>
        <v>612</v>
      </c>
      <c r="V376">
        <f>VLOOKUP($C376,'2000 Place'!$C$2:$Y$523,23,FALSE)</f>
        <v>106</v>
      </c>
    </row>
    <row r="377" spans="1:22" x14ac:dyDescent="0.25">
      <c r="A377" t="s">
        <v>998</v>
      </c>
      <c r="B377">
        <v>5347630</v>
      </c>
      <c r="C377" t="s">
        <v>999</v>
      </c>
      <c r="D377">
        <f>VLOOKUP($C377,'2000 Place'!$C$2:$Y$523,5,FALSE)</f>
        <v>5800</v>
      </c>
      <c r="E377">
        <f>VLOOKUP($C377,'2000 Place'!$C$2:$Y$523,6,FALSE)</f>
        <v>5462</v>
      </c>
      <c r="F377">
        <f>VLOOKUP($C377,'2000 Place'!$C$2:$Y$523,7,FALSE)</f>
        <v>338</v>
      </c>
      <c r="G377">
        <f>VLOOKUP($C377,'2000 Place'!$C$2:$Y$523,8,FALSE)</f>
        <v>5036</v>
      </c>
      <c r="H377">
        <f>VLOOKUP($C377,'2000 Place'!$C$2:$Y$523,9,FALSE)</f>
        <v>204</v>
      </c>
      <c r="I377">
        <f>VLOOKUP($C377,'2000 Place'!$C$2:$Y$523,10,FALSE)</f>
        <v>67</v>
      </c>
      <c r="J377">
        <f>VLOOKUP($C377,'2000 Place'!$C$2:$Y$523,11,FALSE)</f>
        <v>10</v>
      </c>
      <c r="K377">
        <f>VLOOKUP($C377,'2000 Place'!$C$2:$Y$523,12,FALSE)</f>
        <v>81</v>
      </c>
      <c r="L377">
        <f>VLOOKUP($C377,'2000 Place'!$C$2:$Y$523,13,FALSE)</f>
        <v>9</v>
      </c>
      <c r="M377">
        <f>VLOOKUP($C377,'2000 Place'!$C$2:$Y$523,14,FALSE)</f>
        <v>49</v>
      </c>
      <c r="N377">
        <f>VLOOKUP($C377,'2000 Place'!$C$2:$Y$523,15,FALSE)</f>
        <v>7</v>
      </c>
      <c r="O377">
        <f>VLOOKUP($C377,'2000 Place'!$C$2:$Y$523,16,FALSE)</f>
        <v>58</v>
      </c>
      <c r="P377">
        <f>VLOOKUP($C377,'2000 Place'!$C$2:$Y$523,17,FALSE)</f>
        <v>69</v>
      </c>
      <c r="Q377">
        <f>VLOOKUP($C377,'2000 Place'!$C$2:$Y$523,18,FALSE)</f>
        <v>0</v>
      </c>
      <c r="R377">
        <f>VLOOKUP($C377,'2000 Place'!$C$2:$Y$523,19,FALSE)</f>
        <v>13</v>
      </c>
      <c r="S377">
        <f>VLOOKUP($C377,'2000 Place'!$C$2:$Y$523,20,FALSE)</f>
        <v>33</v>
      </c>
      <c r="T377">
        <f>VLOOKUP($C377,'2000 Place'!$C$2:$Y$523,21,FALSE)</f>
        <v>0</v>
      </c>
      <c r="U377">
        <f>VLOOKUP($C377,'2000 Place'!$C$2:$Y$523,22,FALSE)</f>
        <v>138</v>
      </c>
      <c r="V377">
        <f>VLOOKUP($C377,'2000 Place'!$C$2:$Y$523,23,FALSE)</f>
        <v>26</v>
      </c>
    </row>
    <row r="378" spans="1:22" x14ac:dyDescent="0.25">
      <c r="A378" t="s">
        <v>1000</v>
      </c>
      <c r="B378">
        <v>5347665</v>
      </c>
      <c r="C378" t="s">
        <v>1001</v>
      </c>
      <c r="D378">
        <f>VLOOKUP($C378,'2000 Place'!$C$2:$Y$523,5,FALSE)</f>
        <v>762</v>
      </c>
      <c r="E378">
        <f>VLOOKUP($C378,'2000 Place'!$C$2:$Y$523,6,FALSE)</f>
        <v>617</v>
      </c>
      <c r="F378">
        <f>VLOOKUP($C378,'2000 Place'!$C$2:$Y$523,7,FALSE)</f>
        <v>145</v>
      </c>
      <c r="G378">
        <f>VLOOKUP($C378,'2000 Place'!$C$2:$Y$523,8,FALSE)</f>
        <v>493</v>
      </c>
      <c r="H378">
        <f>VLOOKUP($C378,'2000 Place'!$C$2:$Y$523,9,FALSE)</f>
        <v>2</v>
      </c>
      <c r="I378">
        <f>VLOOKUP($C378,'2000 Place'!$C$2:$Y$523,10,FALSE)</f>
        <v>24</v>
      </c>
      <c r="J378">
        <f>VLOOKUP($C378,'2000 Place'!$C$2:$Y$523,11,FALSE)</f>
        <v>0</v>
      </c>
      <c r="K378">
        <f>VLOOKUP($C378,'2000 Place'!$C$2:$Y$523,12,FALSE)</f>
        <v>0</v>
      </c>
      <c r="L378">
        <f>VLOOKUP($C378,'2000 Place'!$C$2:$Y$523,13,FALSE)</f>
        <v>0</v>
      </c>
      <c r="M378">
        <f>VLOOKUP($C378,'2000 Place'!$C$2:$Y$523,14,FALSE)</f>
        <v>14</v>
      </c>
      <c r="N378">
        <f>VLOOKUP($C378,'2000 Place'!$C$2:$Y$523,15,FALSE)</f>
        <v>0</v>
      </c>
      <c r="O378">
        <f>VLOOKUP($C378,'2000 Place'!$C$2:$Y$523,16,FALSE)</f>
        <v>0</v>
      </c>
      <c r="P378">
        <f>VLOOKUP($C378,'2000 Place'!$C$2:$Y$523,17,FALSE)</f>
        <v>8</v>
      </c>
      <c r="Q378">
        <f>VLOOKUP($C378,'2000 Place'!$C$2:$Y$523,18,FALSE)</f>
        <v>0</v>
      </c>
      <c r="R378">
        <f>VLOOKUP($C378,'2000 Place'!$C$2:$Y$523,19,FALSE)</f>
        <v>0</v>
      </c>
      <c r="S378">
        <f>VLOOKUP($C378,'2000 Place'!$C$2:$Y$523,20,FALSE)</f>
        <v>65</v>
      </c>
      <c r="T378">
        <f>VLOOKUP($C378,'2000 Place'!$C$2:$Y$523,21,FALSE)</f>
        <v>131</v>
      </c>
      <c r="U378">
        <f>VLOOKUP($C378,'2000 Place'!$C$2:$Y$523,22,FALSE)</f>
        <v>21</v>
      </c>
      <c r="V378">
        <f>VLOOKUP($C378,'2000 Place'!$C$2:$Y$523,23,FALSE)</f>
        <v>4</v>
      </c>
    </row>
    <row r="379" spans="1:22" x14ac:dyDescent="0.25">
      <c r="A379" t="s">
        <v>1002</v>
      </c>
      <c r="B379">
        <v>5347735</v>
      </c>
      <c r="C379" t="s">
        <v>1003</v>
      </c>
      <c r="D379">
        <f>VLOOKUP($C379,'2000 Place'!$C$2:$Y$523,5,FALSE)</f>
        <v>18042</v>
      </c>
      <c r="E379">
        <f>VLOOKUP($C379,'2000 Place'!$C$2:$Y$523,6,FALSE)</f>
        <v>15379</v>
      </c>
      <c r="F379">
        <f>VLOOKUP($C379,'2000 Place'!$C$2:$Y$523,7,FALSE)</f>
        <v>2663</v>
      </c>
      <c r="G379">
        <f>VLOOKUP($C379,'2000 Place'!$C$2:$Y$523,8,FALSE)</f>
        <v>13386</v>
      </c>
      <c r="H379">
        <f>VLOOKUP($C379,'2000 Place'!$C$2:$Y$523,9,FALSE)</f>
        <v>964</v>
      </c>
      <c r="I379">
        <f>VLOOKUP($C379,'2000 Place'!$C$2:$Y$523,10,FALSE)</f>
        <v>147</v>
      </c>
      <c r="J379">
        <f>VLOOKUP($C379,'2000 Place'!$C$2:$Y$523,11,FALSE)</f>
        <v>43</v>
      </c>
      <c r="K379">
        <f>VLOOKUP($C379,'2000 Place'!$C$2:$Y$523,12,FALSE)</f>
        <v>292</v>
      </c>
      <c r="L379">
        <f>VLOOKUP($C379,'2000 Place'!$C$2:$Y$523,13,FALSE)</f>
        <v>41</v>
      </c>
      <c r="M379">
        <f>VLOOKUP($C379,'2000 Place'!$C$2:$Y$523,14,FALSE)</f>
        <v>15</v>
      </c>
      <c r="N379">
        <f>VLOOKUP($C379,'2000 Place'!$C$2:$Y$523,15,FALSE)</f>
        <v>0</v>
      </c>
      <c r="O379">
        <f>VLOOKUP($C379,'2000 Place'!$C$2:$Y$523,16,FALSE)</f>
        <v>642</v>
      </c>
      <c r="P379">
        <f>VLOOKUP($C379,'2000 Place'!$C$2:$Y$523,17,FALSE)</f>
        <v>1450</v>
      </c>
      <c r="Q379">
        <f>VLOOKUP($C379,'2000 Place'!$C$2:$Y$523,18,FALSE)</f>
        <v>31</v>
      </c>
      <c r="R379">
        <f>VLOOKUP($C379,'2000 Place'!$C$2:$Y$523,19,FALSE)</f>
        <v>0</v>
      </c>
      <c r="S379">
        <f>VLOOKUP($C379,'2000 Place'!$C$2:$Y$523,20,FALSE)</f>
        <v>164</v>
      </c>
      <c r="T379">
        <f>VLOOKUP($C379,'2000 Place'!$C$2:$Y$523,21,FALSE)</f>
        <v>78</v>
      </c>
      <c r="U379">
        <f>VLOOKUP($C379,'2000 Place'!$C$2:$Y$523,22,FALSE)</f>
        <v>702</v>
      </c>
      <c r="V379">
        <f>VLOOKUP($C379,'2000 Place'!$C$2:$Y$523,23,FALSE)</f>
        <v>87</v>
      </c>
    </row>
    <row r="380" spans="1:22" x14ac:dyDescent="0.25">
      <c r="A380" t="s">
        <v>1004</v>
      </c>
      <c r="B380">
        <v>5347805</v>
      </c>
      <c r="C380" t="s">
        <v>1005</v>
      </c>
      <c r="D380">
        <f>VLOOKUP($C380,'2000 Place'!$C$2:$Y$523,5,FALSE)</f>
        <v>663</v>
      </c>
      <c r="E380">
        <f>VLOOKUP($C380,'2000 Place'!$C$2:$Y$523,6,FALSE)</f>
        <v>626</v>
      </c>
      <c r="F380">
        <f>VLOOKUP($C380,'2000 Place'!$C$2:$Y$523,7,FALSE)</f>
        <v>37</v>
      </c>
      <c r="G380">
        <f>VLOOKUP($C380,'2000 Place'!$C$2:$Y$523,8,FALSE)</f>
        <v>551</v>
      </c>
      <c r="H380">
        <f>VLOOKUP($C380,'2000 Place'!$C$2:$Y$523,9,FALSE)</f>
        <v>10</v>
      </c>
      <c r="I380">
        <f>VLOOKUP($C380,'2000 Place'!$C$2:$Y$523,10,FALSE)</f>
        <v>27</v>
      </c>
      <c r="J380">
        <f>VLOOKUP($C380,'2000 Place'!$C$2:$Y$523,11,FALSE)</f>
        <v>13</v>
      </c>
      <c r="K380">
        <f>VLOOKUP($C380,'2000 Place'!$C$2:$Y$523,12,FALSE)</f>
        <v>0</v>
      </c>
      <c r="L380">
        <f>VLOOKUP($C380,'2000 Place'!$C$2:$Y$523,13,FALSE)</f>
        <v>0</v>
      </c>
      <c r="M380">
        <f>VLOOKUP($C380,'2000 Place'!$C$2:$Y$523,14,FALSE)</f>
        <v>4</v>
      </c>
      <c r="N380">
        <f>VLOOKUP($C380,'2000 Place'!$C$2:$Y$523,15,FALSE)</f>
        <v>0</v>
      </c>
      <c r="O380">
        <f>VLOOKUP($C380,'2000 Place'!$C$2:$Y$523,16,FALSE)</f>
        <v>0</v>
      </c>
      <c r="P380">
        <f>VLOOKUP($C380,'2000 Place'!$C$2:$Y$523,17,FALSE)</f>
        <v>2</v>
      </c>
      <c r="Q380">
        <f>VLOOKUP($C380,'2000 Place'!$C$2:$Y$523,18,FALSE)</f>
        <v>0</v>
      </c>
      <c r="R380">
        <f>VLOOKUP($C380,'2000 Place'!$C$2:$Y$523,19,FALSE)</f>
        <v>0</v>
      </c>
      <c r="S380">
        <f>VLOOKUP($C380,'2000 Place'!$C$2:$Y$523,20,FALSE)</f>
        <v>30</v>
      </c>
      <c r="T380">
        <f>VLOOKUP($C380,'2000 Place'!$C$2:$Y$523,21,FALSE)</f>
        <v>12</v>
      </c>
      <c r="U380">
        <f>VLOOKUP($C380,'2000 Place'!$C$2:$Y$523,22,FALSE)</f>
        <v>14</v>
      </c>
      <c r="V380">
        <f>VLOOKUP($C380,'2000 Place'!$C$2:$Y$523,23,FALSE)</f>
        <v>0</v>
      </c>
    </row>
    <row r="381" spans="1:22" x14ac:dyDescent="0.25">
      <c r="A381" t="s">
        <v>1006</v>
      </c>
      <c r="B381">
        <v>5347980</v>
      </c>
      <c r="C381" t="s">
        <v>1007</v>
      </c>
      <c r="D381">
        <f>VLOOKUP($C381,'2000 Place'!$C$2:$Y$523,5,FALSE)</f>
        <v>1319</v>
      </c>
      <c r="E381">
        <f>VLOOKUP($C381,'2000 Place'!$C$2:$Y$523,6,FALSE)</f>
        <v>1232</v>
      </c>
      <c r="F381">
        <f>VLOOKUP($C381,'2000 Place'!$C$2:$Y$523,7,FALSE)</f>
        <v>87</v>
      </c>
      <c r="G381">
        <f>VLOOKUP($C381,'2000 Place'!$C$2:$Y$523,8,FALSE)</f>
        <v>1119</v>
      </c>
      <c r="H381">
        <f>VLOOKUP($C381,'2000 Place'!$C$2:$Y$523,9,FALSE)</f>
        <v>46</v>
      </c>
      <c r="I381">
        <f>VLOOKUP($C381,'2000 Place'!$C$2:$Y$523,10,FALSE)</f>
        <v>33</v>
      </c>
      <c r="J381">
        <f>VLOOKUP($C381,'2000 Place'!$C$2:$Y$523,11,FALSE)</f>
        <v>11</v>
      </c>
      <c r="K381">
        <f>VLOOKUP($C381,'2000 Place'!$C$2:$Y$523,12,FALSE)</f>
        <v>2</v>
      </c>
      <c r="L381">
        <f>VLOOKUP($C381,'2000 Place'!$C$2:$Y$523,13,FALSE)</f>
        <v>0</v>
      </c>
      <c r="M381">
        <f>VLOOKUP($C381,'2000 Place'!$C$2:$Y$523,14,FALSE)</f>
        <v>16</v>
      </c>
      <c r="N381">
        <f>VLOOKUP($C381,'2000 Place'!$C$2:$Y$523,15,FALSE)</f>
        <v>0</v>
      </c>
      <c r="O381">
        <f>VLOOKUP($C381,'2000 Place'!$C$2:$Y$523,16,FALSE)</f>
        <v>3</v>
      </c>
      <c r="P381">
        <f>VLOOKUP($C381,'2000 Place'!$C$2:$Y$523,17,FALSE)</f>
        <v>1</v>
      </c>
      <c r="Q381">
        <f>VLOOKUP($C381,'2000 Place'!$C$2:$Y$523,18,FALSE)</f>
        <v>0</v>
      </c>
      <c r="R381">
        <f>VLOOKUP($C381,'2000 Place'!$C$2:$Y$523,19,FALSE)</f>
        <v>0</v>
      </c>
      <c r="S381">
        <f>VLOOKUP($C381,'2000 Place'!$C$2:$Y$523,20,FALSE)</f>
        <v>40</v>
      </c>
      <c r="T381">
        <f>VLOOKUP($C381,'2000 Place'!$C$2:$Y$523,21,FALSE)</f>
        <v>26</v>
      </c>
      <c r="U381">
        <f>VLOOKUP($C381,'2000 Place'!$C$2:$Y$523,22,FALSE)</f>
        <v>19</v>
      </c>
      <c r="V381">
        <f>VLOOKUP($C381,'2000 Place'!$C$2:$Y$523,23,FALSE)</f>
        <v>3</v>
      </c>
    </row>
    <row r="382" spans="1:22" x14ac:dyDescent="0.25">
      <c r="A382" t="s">
        <v>1008</v>
      </c>
      <c r="B382">
        <v>5348015</v>
      </c>
      <c r="C382" t="s">
        <v>1009</v>
      </c>
      <c r="D382">
        <f>VLOOKUP($C382,'2000 Place'!$C$2:$Y$523,5,FALSE)</f>
        <v>361</v>
      </c>
      <c r="E382">
        <f>VLOOKUP($C382,'2000 Place'!$C$2:$Y$523,6,FALSE)</f>
        <v>340</v>
      </c>
      <c r="F382">
        <f>VLOOKUP($C382,'2000 Place'!$C$2:$Y$523,7,FALSE)</f>
        <v>21</v>
      </c>
      <c r="G382">
        <f>VLOOKUP($C382,'2000 Place'!$C$2:$Y$523,8,FALSE)</f>
        <v>311</v>
      </c>
      <c r="H382">
        <f>VLOOKUP($C382,'2000 Place'!$C$2:$Y$523,9,FALSE)</f>
        <v>8</v>
      </c>
      <c r="I382">
        <f>VLOOKUP($C382,'2000 Place'!$C$2:$Y$523,10,FALSE)</f>
        <v>0</v>
      </c>
      <c r="J382">
        <f>VLOOKUP($C382,'2000 Place'!$C$2:$Y$523,11,FALSE)</f>
        <v>3</v>
      </c>
      <c r="K382">
        <f>VLOOKUP($C382,'2000 Place'!$C$2:$Y$523,12,FALSE)</f>
        <v>0</v>
      </c>
      <c r="L382">
        <f>VLOOKUP($C382,'2000 Place'!$C$2:$Y$523,13,FALSE)</f>
        <v>0</v>
      </c>
      <c r="M382">
        <f>VLOOKUP($C382,'2000 Place'!$C$2:$Y$523,14,FALSE)</f>
        <v>15</v>
      </c>
      <c r="N382">
        <f>VLOOKUP($C382,'2000 Place'!$C$2:$Y$523,15,FALSE)</f>
        <v>0</v>
      </c>
      <c r="O382">
        <f>VLOOKUP($C382,'2000 Place'!$C$2:$Y$523,16,FALSE)</f>
        <v>0</v>
      </c>
      <c r="P382">
        <f>VLOOKUP($C382,'2000 Place'!$C$2:$Y$523,17,FALSE)</f>
        <v>3</v>
      </c>
      <c r="Q382">
        <f>VLOOKUP($C382,'2000 Place'!$C$2:$Y$523,18,FALSE)</f>
        <v>0</v>
      </c>
      <c r="R382">
        <f>VLOOKUP($C382,'2000 Place'!$C$2:$Y$523,19,FALSE)</f>
        <v>0</v>
      </c>
      <c r="S382">
        <f>VLOOKUP($C382,'2000 Place'!$C$2:$Y$523,20,FALSE)</f>
        <v>0</v>
      </c>
      <c r="T382">
        <f>VLOOKUP($C382,'2000 Place'!$C$2:$Y$523,21,FALSE)</f>
        <v>2</v>
      </c>
      <c r="U382">
        <f>VLOOKUP($C382,'2000 Place'!$C$2:$Y$523,22,FALSE)</f>
        <v>14</v>
      </c>
      <c r="V382">
        <f>VLOOKUP($C382,'2000 Place'!$C$2:$Y$523,23,FALSE)</f>
        <v>5</v>
      </c>
    </row>
    <row r="383" spans="1:22" x14ac:dyDescent="0.25">
      <c r="A383" t="s">
        <v>1010</v>
      </c>
      <c r="B383">
        <v>5348225</v>
      </c>
      <c r="C383" t="s">
        <v>1011</v>
      </c>
      <c r="D383">
        <f>VLOOKUP($C383,'2000 Place'!$C$2:$Y$523,5,FALSE)</f>
        <v>2685</v>
      </c>
      <c r="E383">
        <f>VLOOKUP($C383,'2000 Place'!$C$2:$Y$523,6,FALSE)</f>
        <v>2406</v>
      </c>
      <c r="F383">
        <f>VLOOKUP($C383,'2000 Place'!$C$2:$Y$523,7,FALSE)</f>
        <v>279</v>
      </c>
      <c r="G383">
        <f>VLOOKUP($C383,'2000 Place'!$C$2:$Y$523,8,FALSE)</f>
        <v>1813</v>
      </c>
      <c r="H383">
        <f>VLOOKUP($C383,'2000 Place'!$C$2:$Y$523,9,FALSE)</f>
        <v>62</v>
      </c>
      <c r="I383">
        <f>VLOOKUP($C383,'2000 Place'!$C$2:$Y$523,10,FALSE)</f>
        <v>118</v>
      </c>
      <c r="J383">
        <f>VLOOKUP($C383,'2000 Place'!$C$2:$Y$523,11,FALSE)</f>
        <v>24</v>
      </c>
      <c r="K383">
        <f>VLOOKUP($C383,'2000 Place'!$C$2:$Y$523,12,FALSE)</f>
        <v>156</v>
      </c>
      <c r="L383">
        <f>VLOOKUP($C383,'2000 Place'!$C$2:$Y$523,13,FALSE)</f>
        <v>0</v>
      </c>
      <c r="M383">
        <f>VLOOKUP($C383,'2000 Place'!$C$2:$Y$523,14,FALSE)</f>
        <v>0</v>
      </c>
      <c r="N383">
        <f>VLOOKUP($C383,'2000 Place'!$C$2:$Y$523,15,FALSE)</f>
        <v>0</v>
      </c>
      <c r="O383">
        <f>VLOOKUP($C383,'2000 Place'!$C$2:$Y$523,16,FALSE)</f>
        <v>0</v>
      </c>
      <c r="P383">
        <f>VLOOKUP($C383,'2000 Place'!$C$2:$Y$523,17,FALSE)</f>
        <v>186</v>
      </c>
      <c r="Q383">
        <f>VLOOKUP($C383,'2000 Place'!$C$2:$Y$523,18,FALSE)</f>
        <v>54</v>
      </c>
      <c r="R383">
        <f>VLOOKUP($C383,'2000 Place'!$C$2:$Y$523,19,FALSE)</f>
        <v>0</v>
      </c>
      <c r="S383">
        <f>VLOOKUP($C383,'2000 Place'!$C$2:$Y$523,20,FALSE)</f>
        <v>32</v>
      </c>
      <c r="T383">
        <f>VLOOKUP($C383,'2000 Place'!$C$2:$Y$523,21,FALSE)</f>
        <v>7</v>
      </c>
      <c r="U383">
        <f>VLOOKUP($C383,'2000 Place'!$C$2:$Y$523,22,FALSE)</f>
        <v>233</v>
      </c>
      <c r="V383">
        <f>VLOOKUP($C383,'2000 Place'!$C$2:$Y$523,23,FALSE)</f>
        <v>0</v>
      </c>
    </row>
    <row r="384" spans="1:22" x14ac:dyDescent="0.25">
      <c r="A384" t="s">
        <v>1012</v>
      </c>
      <c r="B384">
        <v>5348295</v>
      </c>
      <c r="C384" t="s">
        <v>1013</v>
      </c>
      <c r="D384">
        <f>VLOOKUP($C384,'2000 Place'!$C$2:$Y$523,5,FALSE)</f>
        <v>780</v>
      </c>
      <c r="E384">
        <f>VLOOKUP($C384,'2000 Place'!$C$2:$Y$523,6,FALSE)</f>
        <v>767</v>
      </c>
      <c r="F384">
        <f>VLOOKUP($C384,'2000 Place'!$C$2:$Y$523,7,FALSE)</f>
        <v>13</v>
      </c>
      <c r="G384">
        <f>VLOOKUP($C384,'2000 Place'!$C$2:$Y$523,8,FALSE)</f>
        <v>79</v>
      </c>
      <c r="H384">
        <f>VLOOKUP($C384,'2000 Place'!$C$2:$Y$523,9,FALSE)</f>
        <v>4</v>
      </c>
      <c r="I384">
        <f>VLOOKUP($C384,'2000 Place'!$C$2:$Y$523,10,FALSE)</f>
        <v>0</v>
      </c>
      <c r="J384">
        <f>VLOOKUP($C384,'2000 Place'!$C$2:$Y$523,11,FALSE)</f>
        <v>0</v>
      </c>
      <c r="K384">
        <f>VLOOKUP($C384,'2000 Place'!$C$2:$Y$523,12,FALSE)</f>
        <v>2</v>
      </c>
      <c r="L384">
        <f>VLOOKUP($C384,'2000 Place'!$C$2:$Y$523,13,FALSE)</f>
        <v>0</v>
      </c>
      <c r="M384">
        <f>VLOOKUP($C384,'2000 Place'!$C$2:$Y$523,14,FALSE)</f>
        <v>618</v>
      </c>
      <c r="N384">
        <f>VLOOKUP($C384,'2000 Place'!$C$2:$Y$523,15,FALSE)</f>
        <v>3</v>
      </c>
      <c r="O384">
        <f>VLOOKUP($C384,'2000 Place'!$C$2:$Y$523,16,FALSE)</f>
        <v>0</v>
      </c>
      <c r="P384">
        <f>VLOOKUP($C384,'2000 Place'!$C$2:$Y$523,17,FALSE)</f>
        <v>0</v>
      </c>
      <c r="Q384">
        <f>VLOOKUP($C384,'2000 Place'!$C$2:$Y$523,18,FALSE)</f>
        <v>7</v>
      </c>
      <c r="R384">
        <f>VLOOKUP($C384,'2000 Place'!$C$2:$Y$523,19,FALSE)</f>
        <v>0</v>
      </c>
      <c r="S384">
        <f>VLOOKUP($C384,'2000 Place'!$C$2:$Y$523,20,FALSE)</f>
        <v>0</v>
      </c>
      <c r="T384">
        <f>VLOOKUP($C384,'2000 Place'!$C$2:$Y$523,21,FALSE)</f>
        <v>4</v>
      </c>
      <c r="U384">
        <f>VLOOKUP($C384,'2000 Place'!$C$2:$Y$523,22,FALSE)</f>
        <v>61</v>
      </c>
      <c r="V384">
        <f>VLOOKUP($C384,'2000 Place'!$C$2:$Y$523,23,FALSE)</f>
        <v>2</v>
      </c>
    </row>
    <row r="385" spans="1:22" x14ac:dyDescent="0.25">
      <c r="A385" t="s">
        <v>1014</v>
      </c>
      <c r="B385">
        <v>5348330</v>
      </c>
      <c r="C385" t="s">
        <v>1015</v>
      </c>
      <c r="D385">
        <f>VLOOKUP($C385,'2000 Place'!$C$2:$Y$523,5,FALSE)</f>
        <v>344</v>
      </c>
      <c r="E385">
        <f>VLOOKUP($C385,'2000 Place'!$C$2:$Y$523,6,FALSE)</f>
        <v>334</v>
      </c>
      <c r="F385">
        <f>VLOOKUP($C385,'2000 Place'!$C$2:$Y$523,7,FALSE)</f>
        <v>10</v>
      </c>
      <c r="G385">
        <f>VLOOKUP($C385,'2000 Place'!$C$2:$Y$523,8,FALSE)</f>
        <v>301</v>
      </c>
      <c r="H385">
        <f>VLOOKUP($C385,'2000 Place'!$C$2:$Y$523,9,FALSE)</f>
        <v>6</v>
      </c>
      <c r="I385">
        <f>VLOOKUP($C385,'2000 Place'!$C$2:$Y$523,10,FALSE)</f>
        <v>1</v>
      </c>
      <c r="J385">
        <f>VLOOKUP($C385,'2000 Place'!$C$2:$Y$523,11,FALSE)</f>
        <v>0</v>
      </c>
      <c r="K385">
        <f>VLOOKUP($C385,'2000 Place'!$C$2:$Y$523,12,FALSE)</f>
        <v>0</v>
      </c>
      <c r="L385">
        <f>VLOOKUP($C385,'2000 Place'!$C$2:$Y$523,13,FALSE)</f>
        <v>0</v>
      </c>
      <c r="M385">
        <f>VLOOKUP($C385,'2000 Place'!$C$2:$Y$523,14,FALSE)</f>
        <v>13</v>
      </c>
      <c r="N385">
        <f>VLOOKUP($C385,'2000 Place'!$C$2:$Y$523,15,FALSE)</f>
        <v>0</v>
      </c>
      <c r="O385">
        <f>VLOOKUP($C385,'2000 Place'!$C$2:$Y$523,16,FALSE)</f>
        <v>0</v>
      </c>
      <c r="P385">
        <f>VLOOKUP($C385,'2000 Place'!$C$2:$Y$523,17,FALSE)</f>
        <v>0</v>
      </c>
      <c r="Q385">
        <f>VLOOKUP($C385,'2000 Place'!$C$2:$Y$523,18,FALSE)</f>
        <v>0</v>
      </c>
      <c r="R385">
        <f>VLOOKUP($C385,'2000 Place'!$C$2:$Y$523,19,FALSE)</f>
        <v>0</v>
      </c>
      <c r="S385">
        <f>VLOOKUP($C385,'2000 Place'!$C$2:$Y$523,20,FALSE)</f>
        <v>11</v>
      </c>
      <c r="T385">
        <f>VLOOKUP($C385,'2000 Place'!$C$2:$Y$523,21,FALSE)</f>
        <v>4</v>
      </c>
      <c r="U385">
        <f>VLOOKUP($C385,'2000 Place'!$C$2:$Y$523,22,FALSE)</f>
        <v>8</v>
      </c>
      <c r="V385">
        <f>VLOOKUP($C385,'2000 Place'!$C$2:$Y$523,23,FALSE)</f>
        <v>0</v>
      </c>
    </row>
    <row r="386" spans="1:22" x14ac:dyDescent="0.25">
      <c r="A386" t="s">
        <v>1016</v>
      </c>
      <c r="B386">
        <v>5348540</v>
      </c>
      <c r="C386" t="s">
        <v>1017</v>
      </c>
      <c r="D386">
        <f>VLOOKUP($C386,'2000 Place'!$C$2:$Y$523,5,FALSE)</f>
        <v>165</v>
      </c>
      <c r="E386">
        <f>VLOOKUP($C386,'2000 Place'!$C$2:$Y$523,6,FALSE)</f>
        <v>163</v>
      </c>
      <c r="F386">
        <f>VLOOKUP($C386,'2000 Place'!$C$2:$Y$523,7,FALSE)</f>
        <v>2</v>
      </c>
      <c r="G386">
        <f>VLOOKUP($C386,'2000 Place'!$C$2:$Y$523,8,FALSE)</f>
        <v>21</v>
      </c>
      <c r="H386">
        <f>VLOOKUP($C386,'2000 Place'!$C$2:$Y$523,9,FALSE)</f>
        <v>0</v>
      </c>
      <c r="I386">
        <f>VLOOKUP($C386,'2000 Place'!$C$2:$Y$523,10,FALSE)</f>
        <v>0</v>
      </c>
      <c r="J386">
        <f>VLOOKUP($C386,'2000 Place'!$C$2:$Y$523,11,FALSE)</f>
        <v>0</v>
      </c>
      <c r="K386">
        <f>VLOOKUP($C386,'2000 Place'!$C$2:$Y$523,12,FALSE)</f>
        <v>0</v>
      </c>
      <c r="L386">
        <f>VLOOKUP($C386,'2000 Place'!$C$2:$Y$523,13,FALSE)</f>
        <v>0</v>
      </c>
      <c r="M386">
        <f>VLOOKUP($C386,'2000 Place'!$C$2:$Y$523,14,FALSE)</f>
        <v>135</v>
      </c>
      <c r="N386">
        <f>VLOOKUP($C386,'2000 Place'!$C$2:$Y$523,15,FALSE)</f>
        <v>0</v>
      </c>
      <c r="O386">
        <f>VLOOKUP($C386,'2000 Place'!$C$2:$Y$523,16,FALSE)</f>
        <v>0</v>
      </c>
      <c r="P386">
        <f>VLOOKUP($C386,'2000 Place'!$C$2:$Y$523,17,FALSE)</f>
        <v>0</v>
      </c>
      <c r="Q386">
        <f>VLOOKUP($C386,'2000 Place'!$C$2:$Y$523,18,FALSE)</f>
        <v>3</v>
      </c>
      <c r="R386">
        <f>VLOOKUP($C386,'2000 Place'!$C$2:$Y$523,19,FALSE)</f>
        <v>0</v>
      </c>
      <c r="S386">
        <f>VLOOKUP($C386,'2000 Place'!$C$2:$Y$523,20,FALSE)</f>
        <v>2</v>
      </c>
      <c r="T386">
        <f>VLOOKUP($C386,'2000 Place'!$C$2:$Y$523,21,FALSE)</f>
        <v>2</v>
      </c>
      <c r="U386">
        <f>VLOOKUP($C386,'2000 Place'!$C$2:$Y$523,22,FALSE)</f>
        <v>2</v>
      </c>
      <c r="V386">
        <f>VLOOKUP($C386,'2000 Place'!$C$2:$Y$523,23,FALSE)</f>
        <v>0</v>
      </c>
    </row>
    <row r="387" spans="1:22" x14ac:dyDescent="0.25">
      <c r="A387" t="s">
        <v>1018</v>
      </c>
      <c r="B387">
        <v>5348550</v>
      </c>
      <c r="C387" t="s">
        <v>1019</v>
      </c>
      <c r="D387">
        <f>VLOOKUP($C387,'2000 Place'!$C$2:$Y$523,5,FALSE)</f>
        <v>269</v>
      </c>
      <c r="E387">
        <f>VLOOKUP($C387,'2000 Place'!$C$2:$Y$523,6,FALSE)</f>
        <v>266</v>
      </c>
      <c r="F387">
        <f>VLOOKUP($C387,'2000 Place'!$C$2:$Y$523,7,FALSE)</f>
        <v>3</v>
      </c>
      <c r="G387">
        <f>VLOOKUP($C387,'2000 Place'!$C$2:$Y$523,8,FALSE)</f>
        <v>18</v>
      </c>
      <c r="H387">
        <f>VLOOKUP($C387,'2000 Place'!$C$2:$Y$523,9,FALSE)</f>
        <v>2</v>
      </c>
      <c r="I387">
        <f>VLOOKUP($C387,'2000 Place'!$C$2:$Y$523,10,FALSE)</f>
        <v>0</v>
      </c>
      <c r="J387">
        <f>VLOOKUP($C387,'2000 Place'!$C$2:$Y$523,11,FALSE)</f>
        <v>0</v>
      </c>
      <c r="K387">
        <f>VLOOKUP($C387,'2000 Place'!$C$2:$Y$523,12,FALSE)</f>
        <v>0</v>
      </c>
      <c r="L387">
        <f>VLOOKUP($C387,'2000 Place'!$C$2:$Y$523,13,FALSE)</f>
        <v>0</v>
      </c>
      <c r="M387">
        <f>VLOOKUP($C387,'2000 Place'!$C$2:$Y$523,14,FALSE)</f>
        <v>242</v>
      </c>
      <c r="N387">
        <f>VLOOKUP($C387,'2000 Place'!$C$2:$Y$523,15,FALSE)</f>
        <v>1</v>
      </c>
      <c r="O387">
        <f>VLOOKUP($C387,'2000 Place'!$C$2:$Y$523,16,FALSE)</f>
        <v>0</v>
      </c>
      <c r="P387">
        <f>VLOOKUP($C387,'2000 Place'!$C$2:$Y$523,17,FALSE)</f>
        <v>0</v>
      </c>
      <c r="Q387">
        <f>VLOOKUP($C387,'2000 Place'!$C$2:$Y$523,18,FALSE)</f>
        <v>0</v>
      </c>
      <c r="R387">
        <f>VLOOKUP($C387,'2000 Place'!$C$2:$Y$523,19,FALSE)</f>
        <v>0</v>
      </c>
      <c r="S387">
        <f>VLOOKUP($C387,'2000 Place'!$C$2:$Y$523,20,FALSE)</f>
        <v>0</v>
      </c>
      <c r="T387">
        <f>VLOOKUP($C387,'2000 Place'!$C$2:$Y$523,21,FALSE)</f>
        <v>0</v>
      </c>
      <c r="U387">
        <f>VLOOKUP($C387,'2000 Place'!$C$2:$Y$523,22,FALSE)</f>
        <v>6</v>
      </c>
      <c r="V387">
        <f>VLOOKUP($C387,'2000 Place'!$C$2:$Y$523,23,FALSE)</f>
        <v>0</v>
      </c>
    </row>
    <row r="388" spans="1:22" x14ac:dyDescent="0.25">
      <c r="A388" t="s">
        <v>1020</v>
      </c>
      <c r="B388">
        <v>5348645</v>
      </c>
      <c r="C388" t="s">
        <v>1021</v>
      </c>
      <c r="D388">
        <f>VLOOKUP($C388,'2000 Place'!$C$2:$Y$523,5,FALSE)</f>
        <v>8038</v>
      </c>
      <c r="E388">
        <f>VLOOKUP($C388,'2000 Place'!$C$2:$Y$523,6,FALSE)</f>
        <v>6191</v>
      </c>
      <c r="F388">
        <f>VLOOKUP($C388,'2000 Place'!$C$2:$Y$523,7,FALSE)</f>
        <v>1847</v>
      </c>
      <c r="G388">
        <f>VLOOKUP($C388,'2000 Place'!$C$2:$Y$523,8,FALSE)</f>
        <v>5188</v>
      </c>
      <c r="H388">
        <f>VLOOKUP($C388,'2000 Place'!$C$2:$Y$523,9,FALSE)</f>
        <v>606</v>
      </c>
      <c r="I388">
        <f>VLOOKUP($C388,'2000 Place'!$C$2:$Y$523,10,FALSE)</f>
        <v>81</v>
      </c>
      <c r="J388">
        <f>VLOOKUP($C388,'2000 Place'!$C$2:$Y$523,11,FALSE)</f>
        <v>44</v>
      </c>
      <c r="K388">
        <f>VLOOKUP($C388,'2000 Place'!$C$2:$Y$523,12,FALSE)</f>
        <v>65</v>
      </c>
      <c r="L388">
        <f>VLOOKUP($C388,'2000 Place'!$C$2:$Y$523,13,FALSE)</f>
        <v>7</v>
      </c>
      <c r="M388">
        <f>VLOOKUP($C388,'2000 Place'!$C$2:$Y$523,14,FALSE)</f>
        <v>30</v>
      </c>
      <c r="N388">
        <f>VLOOKUP($C388,'2000 Place'!$C$2:$Y$523,15,FALSE)</f>
        <v>0</v>
      </c>
      <c r="O388">
        <f>VLOOKUP($C388,'2000 Place'!$C$2:$Y$523,16,FALSE)</f>
        <v>511</v>
      </c>
      <c r="P388">
        <f>VLOOKUP($C388,'2000 Place'!$C$2:$Y$523,17,FALSE)</f>
        <v>998</v>
      </c>
      <c r="Q388">
        <f>VLOOKUP($C388,'2000 Place'!$C$2:$Y$523,18,FALSE)</f>
        <v>0</v>
      </c>
      <c r="R388">
        <f>VLOOKUP($C388,'2000 Place'!$C$2:$Y$523,19,FALSE)</f>
        <v>0</v>
      </c>
      <c r="S388">
        <f>VLOOKUP($C388,'2000 Place'!$C$2:$Y$523,20,FALSE)</f>
        <v>77</v>
      </c>
      <c r="T388">
        <f>VLOOKUP($C388,'2000 Place'!$C$2:$Y$523,21,FALSE)</f>
        <v>135</v>
      </c>
      <c r="U388">
        <f>VLOOKUP($C388,'2000 Place'!$C$2:$Y$523,22,FALSE)</f>
        <v>239</v>
      </c>
      <c r="V388">
        <f>VLOOKUP($C388,'2000 Place'!$C$2:$Y$523,23,FALSE)</f>
        <v>57</v>
      </c>
    </row>
    <row r="389" spans="1:22" x14ac:dyDescent="0.25">
      <c r="A389" t="s">
        <v>1022</v>
      </c>
      <c r="B389">
        <v>5348820</v>
      </c>
      <c r="C389" t="s">
        <v>1023</v>
      </c>
      <c r="D389">
        <f>VLOOKUP($C389,'2000 Place'!$C$2:$Y$523,5,FALSE)</f>
        <v>1888</v>
      </c>
      <c r="E389">
        <f>VLOOKUP($C389,'2000 Place'!$C$2:$Y$523,6,FALSE)</f>
        <v>1848</v>
      </c>
      <c r="F389">
        <f>VLOOKUP($C389,'2000 Place'!$C$2:$Y$523,7,FALSE)</f>
        <v>40</v>
      </c>
      <c r="G389">
        <f>VLOOKUP($C389,'2000 Place'!$C$2:$Y$523,8,FALSE)</f>
        <v>1722</v>
      </c>
      <c r="H389">
        <f>VLOOKUP($C389,'2000 Place'!$C$2:$Y$523,9,FALSE)</f>
        <v>32</v>
      </c>
      <c r="I389">
        <f>VLOOKUP($C389,'2000 Place'!$C$2:$Y$523,10,FALSE)</f>
        <v>19</v>
      </c>
      <c r="J389">
        <f>VLOOKUP($C389,'2000 Place'!$C$2:$Y$523,11,FALSE)</f>
        <v>0</v>
      </c>
      <c r="K389">
        <f>VLOOKUP($C389,'2000 Place'!$C$2:$Y$523,12,FALSE)</f>
        <v>0</v>
      </c>
      <c r="L389">
        <f>VLOOKUP($C389,'2000 Place'!$C$2:$Y$523,13,FALSE)</f>
        <v>0</v>
      </c>
      <c r="M389">
        <f>VLOOKUP($C389,'2000 Place'!$C$2:$Y$523,14,FALSE)</f>
        <v>26</v>
      </c>
      <c r="N389">
        <f>VLOOKUP($C389,'2000 Place'!$C$2:$Y$523,15,FALSE)</f>
        <v>0</v>
      </c>
      <c r="O389">
        <f>VLOOKUP($C389,'2000 Place'!$C$2:$Y$523,16,FALSE)</f>
        <v>6</v>
      </c>
      <c r="P389">
        <f>VLOOKUP($C389,'2000 Place'!$C$2:$Y$523,17,FALSE)</f>
        <v>6</v>
      </c>
      <c r="Q389">
        <f>VLOOKUP($C389,'2000 Place'!$C$2:$Y$523,18,FALSE)</f>
        <v>7</v>
      </c>
      <c r="R389">
        <f>VLOOKUP($C389,'2000 Place'!$C$2:$Y$523,19,FALSE)</f>
        <v>0</v>
      </c>
      <c r="S389">
        <f>VLOOKUP($C389,'2000 Place'!$C$2:$Y$523,20,FALSE)</f>
        <v>17</v>
      </c>
      <c r="T389">
        <f>VLOOKUP($C389,'2000 Place'!$C$2:$Y$523,21,FALSE)</f>
        <v>1</v>
      </c>
      <c r="U389">
        <f>VLOOKUP($C389,'2000 Place'!$C$2:$Y$523,22,FALSE)</f>
        <v>51</v>
      </c>
      <c r="V389">
        <f>VLOOKUP($C389,'2000 Place'!$C$2:$Y$523,23,FALSE)</f>
        <v>1</v>
      </c>
    </row>
    <row r="390" spans="1:22" x14ac:dyDescent="0.25">
      <c r="A390" t="s">
        <v>1024</v>
      </c>
      <c r="B390">
        <v>5349030</v>
      </c>
      <c r="C390" t="s">
        <v>1025</v>
      </c>
      <c r="D390" t="e">
        <f>VLOOKUP($C390,'2000 Place'!$C$2:$Y$523,5,FALSE)</f>
        <v>#N/A</v>
      </c>
      <c r="E390" t="e">
        <f>VLOOKUP($C390,'2000 Place'!$C$2:$Y$523,6,FALSE)</f>
        <v>#N/A</v>
      </c>
      <c r="F390" t="e">
        <f>VLOOKUP($C390,'2000 Place'!$C$2:$Y$523,7,FALSE)</f>
        <v>#N/A</v>
      </c>
      <c r="G390" t="e">
        <f>VLOOKUP($C390,'2000 Place'!$C$2:$Y$523,8,FALSE)</f>
        <v>#N/A</v>
      </c>
      <c r="H390" t="e">
        <f>VLOOKUP($C390,'2000 Place'!$C$2:$Y$523,9,FALSE)</f>
        <v>#N/A</v>
      </c>
      <c r="I390" t="e">
        <f>VLOOKUP($C390,'2000 Place'!$C$2:$Y$523,10,FALSE)</f>
        <v>#N/A</v>
      </c>
      <c r="J390" t="e">
        <f>VLOOKUP($C390,'2000 Place'!$C$2:$Y$523,11,FALSE)</f>
        <v>#N/A</v>
      </c>
      <c r="K390" t="e">
        <f>VLOOKUP($C390,'2000 Place'!$C$2:$Y$523,12,FALSE)</f>
        <v>#N/A</v>
      </c>
      <c r="L390" t="e">
        <f>VLOOKUP($C390,'2000 Place'!$C$2:$Y$523,13,FALSE)</f>
        <v>#N/A</v>
      </c>
      <c r="M390" t="e">
        <f>VLOOKUP($C390,'2000 Place'!$C$2:$Y$523,14,FALSE)</f>
        <v>#N/A</v>
      </c>
      <c r="N390" t="e">
        <f>VLOOKUP($C390,'2000 Place'!$C$2:$Y$523,15,FALSE)</f>
        <v>#N/A</v>
      </c>
      <c r="O390" t="e">
        <f>VLOOKUP($C390,'2000 Place'!$C$2:$Y$523,16,FALSE)</f>
        <v>#N/A</v>
      </c>
      <c r="P390" t="e">
        <f>VLOOKUP($C390,'2000 Place'!$C$2:$Y$523,17,FALSE)</f>
        <v>#N/A</v>
      </c>
      <c r="Q390" t="e">
        <f>VLOOKUP($C390,'2000 Place'!$C$2:$Y$523,18,FALSE)</f>
        <v>#N/A</v>
      </c>
      <c r="R390" t="e">
        <f>VLOOKUP($C390,'2000 Place'!$C$2:$Y$523,19,FALSE)</f>
        <v>#N/A</v>
      </c>
      <c r="S390" t="e">
        <f>VLOOKUP($C390,'2000 Place'!$C$2:$Y$523,20,FALSE)</f>
        <v>#N/A</v>
      </c>
      <c r="T390" t="e">
        <f>VLOOKUP($C390,'2000 Place'!$C$2:$Y$523,21,FALSE)</f>
        <v>#N/A</v>
      </c>
      <c r="U390" t="e">
        <f>VLOOKUP($C390,'2000 Place'!$C$2:$Y$523,22,FALSE)</f>
        <v>#N/A</v>
      </c>
      <c r="V390" t="e">
        <f>VLOOKUP($C390,'2000 Place'!$C$2:$Y$523,23,FALSE)</f>
        <v>#N/A</v>
      </c>
    </row>
    <row r="391" spans="1:22" x14ac:dyDescent="0.25">
      <c r="A391" t="s">
        <v>1026</v>
      </c>
      <c r="B391">
        <v>5349193</v>
      </c>
      <c r="C391" t="s">
        <v>1027</v>
      </c>
      <c r="D391">
        <f>VLOOKUP($C391,'2000 Place'!$C$2:$Y$523,5,FALSE)</f>
        <v>591</v>
      </c>
      <c r="E391">
        <f>VLOOKUP($C391,'2000 Place'!$C$2:$Y$523,6,FALSE)</f>
        <v>550</v>
      </c>
      <c r="F391">
        <f>VLOOKUP($C391,'2000 Place'!$C$2:$Y$523,7,FALSE)</f>
        <v>41</v>
      </c>
      <c r="G391">
        <f>VLOOKUP($C391,'2000 Place'!$C$2:$Y$523,8,FALSE)</f>
        <v>140</v>
      </c>
      <c r="H391">
        <f>VLOOKUP($C391,'2000 Place'!$C$2:$Y$523,9,FALSE)</f>
        <v>7</v>
      </c>
      <c r="I391">
        <f>VLOOKUP($C391,'2000 Place'!$C$2:$Y$523,10,FALSE)</f>
        <v>5</v>
      </c>
      <c r="J391">
        <f>VLOOKUP($C391,'2000 Place'!$C$2:$Y$523,11,FALSE)</f>
        <v>0</v>
      </c>
      <c r="K391">
        <f>VLOOKUP($C391,'2000 Place'!$C$2:$Y$523,12,FALSE)</f>
        <v>5</v>
      </c>
      <c r="L391">
        <f>VLOOKUP($C391,'2000 Place'!$C$2:$Y$523,13,FALSE)</f>
        <v>0</v>
      </c>
      <c r="M391">
        <f>VLOOKUP($C391,'2000 Place'!$C$2:$Y$523,14,FALSE)</f>
        <v>308</v>
      </c>
      <c r="N391">
        <f>VLOOKUP($C391,'2000 Place'!$C$2:$Y$523,15,FALSE)</f>
        <v>6</v>
      </c>
      <c r="O391">
        <f>VLOOKUP($C391,'2000 Place'!$C$2:$Y$523,16,FALSE)</f>
        <v>6</v>
      </c>
      <c r="P391">
        <f>VLOOKUP($C391,'2000 Place'!$C$2:$Y$523,17,FALSE)</f>
        <v>13</v>
      </c>
      <c r="Q391">
        <f>VLOOKUP($C391,'2000 Place'!$C$2:$Y$523,18,FALSE)</f>
        <v>14</v>
      </c>
      <c r="R391">
        <f>VLOOKUP($C391,'2000 Place'!$C$2:$Y$523,19,FALSE)</f>
        <v>4</v>
      </c>
      <c r="S391">
        <f>VLOOKUP($C391,'2000 Place'!$C$2:$Y$523,20,FALSE)</f>
        <v>8</v>
      </c>
      <c r="T391">
        <f>VLOOKUP($C391,'2000 Place'!$C$2:$Y$523,21,FALSE)</f>
        <v>6</v>
      </c>
      <c r="U391">
        <f>VLOOKUP($C391,'2000 Place'!$C$2:$Y$523,22,FALSE)</f>
        <v>64</v>
      </c>
      <c r="V391">
        <f>VLOOKUP($C391,'2000 Place'!$C$2:$Y$523,23,FALSE)</f>
        <v>5</v>
      </c>
    </row>
    <row r="392" spans="1:22" x14ac:dyDescent="0.25">
      <c r="A392" t="s">
        <v>1028</v>
      </c>
      <c r="B392">
        <v>5349275</v>
      </c>
      <c r="C392" t="s">
        <v>1029</v>
      </c>
      <c r="D392">
        <f>VLOOKUP($C392,'2000 Place'!$C$2:$Y$523,5,FALSE)</f>
        <v>841</v>
      </c>
      <c r="E392">
        <f>VLOOKUP($C392,'2000 Place'!$C$2:$Y$523,6,FALSE)</f>
        <v>733</v>
      </c>
      <c r="F392">
        <f>VLOOKUP($C392,'2000 Place'!$C$2:$Y$523,7,FALSE)</f>
        <v>108</v>
      </c>
      <c r="G392">
        <f>VLOOKUP($C392,'2000 Place'!$C$2:$Y$523,8,FALSE)</f>
        <v>631</v>
      </c>
      <c r="H392">
        <f>VLOOKUP($C392,'2000 Place'!$C$2:$Y$523,9,FALSE)</f>
        <v>67</v>
      </c>
      <c r="I392">
        <f>VLOOKUP($C392,'2000 Place'!$C$2:$Y$523,10,FALSE)</f>
        <v>24</v>
      </c>
      <c r="J392">
        <f>VLOOKUP($C392,'2000 Place'!$C$2:$Y$523,11,FALSE)</f>
        <v>2</v>
      </c>
      <c r="K392">
        <f>VLOOKUP($C392,'2000 Place'!$C$2:$Y$523,12,FALSE)</f>
        <v>3</v>
      </c>
      <c r="L392">
        <f>VLOOKUP($C392,'2000 Place'!$C$2:$Y$523,13,FALSE)</f>
        <v>0</v>
      </c>
      <c r="M392">
        <f>VLOOKUP($C392,'2000 Place'!$C$2:$Y$523,14,FALSE)</f>
        <v>9</v>
      </c>
      <c r="N392">
        <f>VLOOKUP($C392,'2000 Place'!$C$2:$Y$523,15,FALSE)</f>
        <v>5</v>
      </c>
      <c r="O392">
        <f>VLOOKUP($C392,'2000 Place'!$C$2:$Y$523,16,FALSE)</f>
        <v>2</v>
      </c>
      <c r="P392">
        <f>VLOOKUP($C392,'2000 Place'!$C$2:$Y$523,17,FALSE)</f>
        <v>9</v>
      </c>
      <c r="Q392">
        <f>VLOOKUP($C392,'2000 Place'!$C$2:$Y$523,18,FALSE)</f>
        <v>0</v>
      </c>
      <c r="R392">
        <f>VLOOKUP($C392,'2000 Place'!$C$2:$Y$523,19,FALSE)</f>
        <v>0</v>
      </c>
      <c r="S392">
        <f>VLOOKUP($C392,'2000 Place'!$C$2:$Y$523,20,FALSE)</f>
        <v>43</v>
      </c>
      <c r="T392">
        <f>VLOOKUP($C392,'2000 Place'!$C$2:$Y$523,21,FALSE)</f>
        <v>23</v>
      </c>
      <c r="U392">
        <f>VLOOKUP($C392,'2000 Place'!$C$2:$Y$523,22,FALSE)</f>
        <v>21</v>
      </c>
      <c r="V392">
        <f>VLOOKUP($C392,'2000 Place'!$C$2:$Y$523,23,FALSE)</f>
        <v>2</v>
      </c>
    </row>
    <row r="393" spans="1:22" x14ac:dyDescent="0.25">
      <c r="A393" t="s">
        <v>1030</v>
      </c>
      <c r="B393">
        <v>5349415</v>
      </c>
      <c r="C393" t="s">
        <v>1031</v>
      </c>
      <c r="D393">
        <f>VLOOKUP($C393,'2000 Place'!$C$2:$Y$523,5,FALSE)</f>
        <v>6403</v>
      </c>
      <c r="E393">
        <f>VLOOKUP($C393,'2000 Place'!$C$2:$Y$523,6,FALSE)</f>
        <v>5633</v>
      </c>
      <c r="F393">
        <f>VLOOKUP($C393,'2000 Place'!$C$2:$Y$523,7,FALSE)</f>
        <v>770</v>
      </c>
      <c r="G393">
        <f>VLOOKUP($C393,'2000 Place'!$C$2:$Y$523,8,FALSE)</f>
        <v>5120</v>
      </c>
      <c r="H393">
        <f>VLOOKUP($C393,'2000 Place'!$C$2:$Y$523,9,FALSE)</f>
        <v>455</v>
      </c>
      <c r="I393">
        <f>VLOOKUP($C393,'2000 Place'!$C$2:$Y$523,10,FALSE)</f>
        <v>94</v>
      </c>
      <c r="J393">
        <f>VLOOKUP($C393,'2000 Place'!$C$2:$Y$523,11,FALSE)</f>
        <v>6</v>
      </c>
      <c r="K393">
        <f>VLOOKUP($C393,'2000 Place'!$C$2:$Y$523,12,FALSE)</f>
        <v>53</v>
      </c>
      <c r="L393">
        <f>VLOOKUP($C393,'2000 Place'!$C$2:$Y$523,13,FALSE)</f>
        <v>0</v>
      </c>
      <c r="M393">
        <f>VLOOKUP($C393,'2000 Place'!$C$2:$Y$523,14,FALSE)</f>
        <v>19</v>
      </c>
      <c r="N393">
        <f>VLOOKUP($C393,'2000 Place'!$C$2:$Y$523,15,FALSE)</f>
        <v>0</v>
      </c>
      <c r="O393">
        <f>VLOOKUP($C393,'2000 Place'!$C$2:$Y$523,16,FALSE)</f>
        <v>129</v>
      </c>
      <c r="P393">
        <f>VLOOKUP($C393,'2000 Place'!$C$2:$Y$523,17,FALSE)</f>
        <v>283</v>
      </c>
      <c r="Q393">
        <f>VLOOKUP($C393,'2000 Place'!$C$2:$Y$523,18,FALSE)</f>
        <v>16</v>
      </c>
      <c r="R393">
        <f>VLOOKUP($C393,'2000 Place'!$C$2:$Y$523,19,FALSE)</f>
        <v>0</v>
      </c>
      <c r="S393">
        <f>VLOOKUP($C393,'2000 Place'!$C$2:$Y$523,20,FALSE)</f>
        <v>80</v>
      </c>
      <c r="T393">
        <f>VLOOKUP($C393,'2000 Place'!$C$2:$Y$523,21,FALSE)</f>
        <v>0</v>
      </c>
      <c r="U393">
        <f>VLOOKUP($C393,'2000 Place'!$C$2:$Y$523,22,FALSE)</f>
        <v>122</v>
      </c>
      <c r="V393">
        <f>VLOOKUP($C393,'2000 Place'!$C$2:$Y$523,23,FALSE)</f>
        <v>26</v>
      </c>
    </row>
    <row r="394" spans="1:22" x14ac:dyDescent="0.25">
      <c r="A394" t="s">
        <v>1032</v>
      </c>
      <c r="B394">
        <v>5349485</v>
      </c>
      <c r="C394" t="s">
        <v>1033</v>
      </c>
      <c r="D394">
        <f>VLOOKUP($C394,'2000 Place'!$C$2:$Y$523,5,FALSE)</f>
        <v>4893</v>
      </c>
      <c r="E394">
        <f>VLOOKUP($C394,'2000 Place'!$C$2:$Y$523,6,FALSE)</f>
        <v>4514</v>
      </c>
      <c r="F394">
        <f>VLOOKUP($C394,'2000 Place'!$C$2:$Y$523,7,FALSE)</f>
        <v>379</v>
      </c>
      <c r="G394">
        <f>VLOOKUP($C394,'2000 Place'!$C$2:$Y$523,8,FALSE)</f>
        <v>4187</v>
      </c>
      <c r="H394">
        <f>VLOOKUP($C394,'2000 Place'!$C$2:$Y$523,9,FALSE)</f>
        <v>181</v>
      </c>
      <c r="I394">
        <f>VLOOKUP($C394,'2000 Place'!$C$2:$Y$523,10,FALSE)</f>
        <v>38</v>
      </c>
      <c r="J394">
        <f>VLOOKUP($C394,'2000 Place'!$C$2:$Y$523,11,FALSE)</f>
        <v>40</v>
      </c>
      <c r="K394">
        <f>VLOOKUP($C394,'2000 Place'!$C$2:$Y$523,12,FALSE)</f>
        <v>27</v>
      </c>
      <c r="L394">
        <f>VLOOKUP($C394,'2000 Place'!$C$2:$Y$523,13,FALSE)</f>
        <v>9</v>
      </c>
      <c r="M394">
        <f>VLOOKUP($C394,'2000 Place'!$C$2:$Y$523,14,FALSE)</f>
        <v>20</v>
      </c>
      <c r="N394">
        <f>VLOOKUP($C394,'2000 Place'!$C$2:$Y$523,15,FALSE)</f>
        <v>0</v>
      </c>
      <c r="O394">
        <f>VLOOKUP($C394,'2000 Place'!$C$2:$Y$523,16,FALSE)</f>
        <v>43</v>
      </c>
      <c r="P394">
        <f>VLOOKUP($C394,'2000 Place'!$C$2:$Y$523,17,FALSE)</f>
        <v>92</v>
      </c>
      <c r="Q394">
        <f>VLOOKUP($C394,'2000 Place'!$C$2:$Y$523,18,FALSE)</f>
        <v>0</v>
      </c>
      <c r="R394">
        <f>VLOOKUP($C394,'2000 Place'!$C$2:$Y$523,19,FALSE)</f>
        <v>0</v>
      </c>
      <c r="S394">
        <f>VLOOKUP($C394,'2000 Place'!$C$2:$Y$523,20,FALSE)</f>
        <v>75</v>
      </c>
      <c r="T394">
        <f>VLOOKUP($C394,'2000 Place'!$C$2:$Y$523,21,FALSE)</f>
        <v>38</v>
      </c>
      <c r="U394">
        <f>VLOOKUP($C394,'2000 Place'!$C$2:$Y$523,22,FALSE)</f>
        <v>124</v>
      </c>
      <c r="V394">
        <f>VLOOKUP($C394,'2000 Place'!$C$2:$Y$523,23,FALSE)</f>
        <v>19</v>
      </c>
    </row>
    <row r="395" spans="1:22" x14ac:dyDescent="0.25">
      <c r="A395" t="s">
        <v>1034</v>
      </c>
      <c r="B395">
        <v>5349555</v>
      </c>
      <c r="C395" t="s">
        <v>1035</v>
      </c>
      <c r="D395">
        <f>VLOOKUP($C395,'2000 Place'!$C$2:$Y$523,5,FALSE)</f>
        <v>659</v>
      </c>
      <c r="E395">
        <f>VLOOKUP($C395,'2000 Place'!$C$2:$Y$523,6,FALSE)</f>
        <v>629</v>
      </c>
      <c r="F395">
        <f>VLOOKUP($C395,'2000 Place'!$C$2:$Y$523,7,FALSE)</f>
        <v>30</v>
      </c>
      <c r="G395">
        <f>VLOOKUP($C395,'2000 Place'!$C$2:$Y$523,8,FALSE)</f>
        <v>598</v>
      </c>
      <c r="H395">
        <f>VLOOKUP($C395,'2000 Place'!$C$2:$Y$523,9,FALSE)</f>
        <v>8</v>
      </c>
      <c r="I395">
        <f>VLOOKUP($C395,'2000 Place'!$C$2:$Y$523,10,FALSE)</f>
        <v>4</v>
      </c>
      <c r="J395">
        <f>VLOOKUP($C395,'2000 Place'!$C$2:$Y$523,11,FALSE)</f>
        <v>2</v>
      </c>
      <c r="K395">
        <f>VLOOKUP($C395,'2000 Place'!$C$2:$Y$523,12,FALSE)</f>
        <v>5</v>
      </c>
      <c r="L395">
        <f>VLOOKUP($C395,'2000 Place'!$C$2:$Y$523,13,FALSE)</f>
        <v>0</v>
      </c>
      <c r="M395">
        <f>VLOOKUP($C395,'2000 Place'!$C$2:$Y$523,14,FALSE)</f>
        <v>14</v>
      </c>
      <c r="N395">
        <f>VLOOKUP($C395,'2000 Place'!$C$2:$Y$523,15,FALSE)</f>
        <v>0</v>
      </c>
      <c r="O395">
        <f>VLOOKUP($C395,'2000 Place'!$C$2:$Y$523,16,FALSE)</f>
        <v>4</v>
      </c>
      <c r="P395">
        <f>VLOOKUP($C395,'2000 Place'!$C$2:$Y$523,17,FALSE)</f>
        <v>8</v>
      </c>
      <c r="Q395">
        <f>VLOOKUP($C395,'2000 Place'!$C$2:$Y$523,18,FALSE)</f>
        <v>0</v>
      </c>
      <c r="R395">
        <f>VLOOKUP($C395,'2000 Place'!$C$2:$Y$523,19,FALSE)</f>
        <v>0</v>
      </c>
      <c r="S395">
        <f>VLOOKUP($C395,'2000 Place'!$C$2:$Y$523,20,FALSE)</f>
        <v>0</v>
      </c>
      <c r="T395">
        <f>VLOOKUP($C395,'2000 Place'!$C$2:$Y$523,21,FALSE)</f>
        <v>12</v>
      </c>
      <c r="U395">
        <f>VLOOKUP($C395,'2000 Place'!$C$2:$Y$523,22,FALSE)</f>
        <v>4</v>
      </c>
      <c r="V395">
        <f>VLOOKUP($C395,'2000 Place'!$C$2:$Y$523,23,FALSE)</f>
        <v>0</v>
      </c>
    </row>
    <row r="396" spans="1:22" x14ac:dyDescent="0.25">
      <c r="A396" t="s">
        <v>1036</v>
      </c>
      <c r="B396">
        <v>5349765</v>
      </c>
      <c r="C396" t="s">
        <v>1037</v>
      </c>
      <c r="D396" t="e">
        <f>VLOOKUP($C396,'2000 Place'!$C$2:$Y$523,5,FALSE)</f>
        <v>#N/A</v>
      </c>
      <c r="E396" t="e">
        <f>VLOOKUP($C396,'2000 Place'!$C$2:$Y$523,6,FALSE)</f>
        <v>#N/A</v>
      </c>
      <c r="F396" t="e">
        <f>VLOOKUP($C396,'2000 Place'!$C$2:$Y$523,7,FALSE)</f>
        <v>#N/A</v>
      </c>
      <c r="G396" t="e">
        <f>VLOOKUP($C396,'2000 Place'!$C$2:$Y$523,8,FALSE)</f>
        <v>#N/A</v>
      </c>
      <c r="H396" t="e">
        <f>VLOOKUP($C396,'2000 Place'!$C$2:$Y$523,9,FALSE)</f>
        <v>#N/A</v>
      </c>
      <c r="I396" t="e">
        <f>VLOOKUP($C396,'2000 Place'!$C$2:$Y$523,10,FALSE)</f>
        <v>#N/A</v>
      </c>
      <c r="J396" t="e">
        <f>VLOOKUP($C396,'2000 Place'!$C$2:$Y$523,11,FALSE)</f>
        <v>#N/A</v>
      </c>
      <c r="K396" t="e">
        <f>VLOOKUP($C396,'2000 Place'!$C$2:$Y$523,12,FALSE)</f>
        <v>#N/A</v>
      </c>
      <c r="L396" t="e">
        <f>VLOOKUP($C396,'2000 Place'!$C$2:$Y$523,13,FALSE)</f>
        <v>#N/A</v>
      </c>
      <c r="M396" t="e">
        <f>VLOOKUP($C396,'2000 Place'!$C$2:$Y$523,14,FALSE)</f>
        <v>#N/A</v>
      </c>
      <c r="N396" t="e">
        <f>VLOOKUP($C396,'2000 Place'!$C$2:$Y$523,15,FALSE)</f>
        <v>#N/A</v>
      </c>
      <c r="O396" t="e">
        <f>VLOOKUP($C396,'2000 Place'!$C$2:$Y$523,16,FALSE)</f>
        <v>#N/A</v>
      </c>
      <c r="P396" t="e">
        <f>VLOOKUP($C396,'2000 Place'!$C$2:$Y$523,17,FALSE)</f>
        <v>#N/A</v>
      </c>
      <c r="Q396" t="e">
        <f>VLOOKUP($C396,'2000 Place'!$C$2:$Y$523,18,FALSE)</f>
        <v>#N/A</v>
      </c>
      <c r="R396" t="e">
        <f>VLOOKUP($C396,'2000 Place'!$C$2:$Y$523,19,FALSE)</f>
        <v>#N/A</v>
      </c>
      <c r="S396" t="e">
        <f>VLOOKUP($C396,'2000 Place'!$C$2:$Y$523,20,FALSE)</f>
        <v>#N/A</v>
      </c>
      <c r="T396" t="e">
        <f>VLOOKUP($C396,'2000 Place'!$C$2:$Y$523,21,FALSE)</f>
        <v>#N/A</v>
      </c>
      <c r="U396" t="e">
        <f>VLOOKUP($C396,'2000 Place'!$C$2:$Y$523,22,FALSE)</f>
        <v>#N/A</v>
      </c>
      <c r="V396" t="e">
        <f>VLOOKUP($C396,'2000 Place'!$C$2:$Y$523,23,FALSE)</f>
        <v>#N/A</v>
      </c>
    </row>
    <row r="397" spans="1:22" x14ac:dyDescent="0.25">
      <c r="A397" t="s">
        <v>1038</v>
      </c>
      <c r="B397">
        <v>5349940</v>
      </c>
      <c r="C397" t="s">
        <v>1039</v>
      </c>
      <c r="D397" t="e">
        <f>VLOOKUP($C397,'2000 Place'!$C$2:$Y$523,5,FALSE)</f>
        <v>#N/A</v>
      </c>
      <c r="E397" t="e">
        <f>VLOOKUP($C397,'2000 Place'!$C$2:$Y$523,6,FALSE)</f>
        <v>#N/A</v>
      </c>
      <c r="F397" t="e">
        <f>VLOOKUP($C397,'2000 Place'!$C$2:$Y$523,7,FALSE)</f>
        <v>#N/A</v>
      </c>
      <c r="G397" t="e">
        <f>VLOOKUP($C397,'2000 Place'!$C$2:$Y$523,8,FALSE)</f>
        <v>#N/A</v>
      </c>
      <c r="H397" t="e">
        <f>VLOOKUP($C397,'2000 Place'!$C$2:$Y$523,9,FALSE)</f>
        <v>#N/A</v>
      </c>
      <c r="I397" t="e">
        <f>VLOOKUP($C397,'2000 Place'!$C$2:$Y$523,10,FALSE)</f>
        <v>#N/A</v>
      </c>
      <c r="J397" t="e">
        <f>VLOOKUP($C397,'2000 Place'!$C$2:$Y$523,11,FALSE)</f>
        <v>#N/A</v>
      </c>
      <c r="K397" t="e">
        <f>VLOOKUP($C397,'2000 Place'!$C$2:$Y$523,12,FALSE)</f>
        <v>#N/A</v>
      </c>
      <c r="L397" t="e">
        <f>VLOOKUP($C397,'2000 Place'!$C$2:$Y$523,13,FALSE)</f>
        <v>#N/A</v>
      </c>
      <c r="M397" t="e">
        <f>VLOOKUP($C397,'2000 Place'!$C$2:$Y$523,14,FALSE)</f>
        <v>#N/A</v>
      </c>
      <c r="N397" t="e">
        <f>VLOOKUP($C397,'2000 Place'!$C$2:$Y$523,15,FALSE)</f>
        <v>#N/A</v>
      </c>
      <c r="O397" t="e">
        <f>VLOOKUP($C397,'2000 Place'!$C$2:$Y$523,16,FALSE)</f>
        <v>#N/A</v>
      </c>
      <c r="P397" t="e">
        <f>VLOOKUP($C397,'2000 Place'!$C$2:$Y$523,17,FALSE)</f>
        <v>#N/A</v>
      </c>
      <c r="Q397" t="e">
        <f>VLOOKUP($C397,'2000 Place'!$C$2:$Y$523,18,FALSE)</f>
        <v>#N/A</v>
      </c>
      <c r="R397" t="e">
        <f>VLOOKUP($C397,'2000 Place'!$C$2:$Y$523,19,FALSE)</f>
        <v>#N/A</v>
      </c>
      <c r="S397" t="e">
        <f>VLOOKUP($C397,'2000 Place'!$C$2:$Y$523,20,FALSE)</f>
        <v>#N/A</v>
      </c>
      <c r="T397" t="e">
        <f>VLOOKUP($C397,'2000 Place'!$C$2:$Y$523,21,FALSE)</f>
        <v>#N/A</v>
      </c>
      <c r="U397" t="e">
        <f>VLOOKUP($C397,'2000 Place'!$C$2:$Y$523,22,FALSE)</f>
        <v>#N/A</v>
      </c>
      <c r="V397" t="e">
        <f>VLOOKUP($C397,'2000 Place'!$C$2:$Y$523,23,FALSE)</f>
        <v>#N/A</v>
      </c>
    </row>
    <row r="398" spans="1:22" x14ac:dyDescent="0.25">
      <c r="A398" t="s">
        <v>1040</v>
      </c>
      <c r="B398">
        <v>5349992</v>
      </c>
      <c r="C398" t="s">
        <v>1041</v>
      </c>
      <c r="D398">
        <f>VLOOKUP($C398,'2000 Place'!$C$2:$Y$523,5,FALSE)</f>
        <v>21319</v>
      </c>
      <c r="E398">
        <f>VLOOKUP($C398,'2000 Place'!$C$2:$Y$523,6,FALSE)</f>
        <v>19845</v>
      </c>
      <c r="F398">
        <f>VLOOKUP($C398,'2000 Place'!$C$2:$Y$523,7,FALSE)</f>
        <v>1474</v>
      </c>
      <c r="G398">
        <f>VLOOKUP($C398,'2000 Place'!$C$2:$Y$523,8,FALSE)</f>
        <v>18014</v>
      </c>
      <c r="H398">
        <f>VLOOKUP($C398,'2000 Place'!$C$2:$Y$523,9,FALSE)</f>
        <v>747</v>
      </c>
      <c r="I398">
        <f>VLOOKUP($C398,'2000 Place'!$C$2:$Y$523,10,FALSE)</f>
        <v>344</v>
      </c>
      <c r="J398">
        <f>VLOOKUP($C398,'2000 Place'!$C$2:$Y$523,11,FALSE)</f>
        <v>87</v>
      </c>
      <c r="K398">
        <f>VLOOKUP($C398,'2000 Place'!$C$2:$Y$523,12,FALSE)</f>
        <v>149</v>
      </c>
      <c r="L398">
        <f>VLOOKUP($C398,'2000 Place'!$C$2:$Y$523,13,FALSE)</f>
        <v>14</v>
      </c>
      <c r="M398">
        <f>VLOOKUP($C398,'2000 Place'!$C$2:$Y$523,14,FALSE)</f>
        <v>159</v>
      </c>
      <c r="N398">
        <f>VLOOKUP($C398,'2000 Place'!$C$2:$Y$523,15,FALSE)</f>
        <v>7</v>
      </c>
      <c r="O398">
        <f>VLOOKUP($C398,'2000 Place'!$C$2:$Y$523,16,FALSE)</f>
        <v>303</v>
      </c>
      <c r="P398">
        <f>VLOOKUP($C398,'2000 Place'!$C$2:$Y$523,17,FALSE)</f>
        <v>411</v>
      </c>
      <c r="Q398">
        <f>VLOOKUP($C398,'2000 Place'!$C$2:$Y$523,18,FALSE)</f>
        <v>23</v>
      </c>
      <c r="R398">
        <f>VLOOKUP($C398,'2000 Place'!$C$2:$Y$523,19,FALSE)</f>
        <v>0</v>
      </c>
      <c r="S398">
        <f>VLOOKUP($C398,'2000 Place'!$C$2:$Y$523,20,FALSE)</f>
        <v>338</v>
      </c>
      <c r="T398">
        <f>VLOOKUP($C398,'2000 Place'!$C$2:$Y$523,21,FALSE)</f>
        <v>145</v>
      </c>
      <c r="U398">
        <f>VLOOKUP($C398,'2000 Place'!$C$2:$Y$523,22,FALSE)</f>
        <v>515</v>
      </c>
      <c r="V398">
        <f>VLOOKUP($C398,'2000 Place'!$C$2:$Y$523,23,FALSE)</f>
        <v>63</v>
      </c>
    </row>
    <row r="399" spans="1:22" x14ac:dyDescent="0.25">
      <c r="A399" t="s">
        <v>1042</v>
      </c>
      <c r="B399">
        <v>5350007</v>
      </c>
      <c r="C399" t="s">
        <v>1043</v>
      </c>
      <c r="D399">
        <f>VLOOKUP($C399,'2000 Place'!$C$2:$Y$523,5,FALSE)</f>
        <v>795</v>
      </c>
      <c r="E399">
        <f>VLOOKUP($C399,'2000 Place'!$C$2:$Y$523,6,FALSE)</f>
        <v>702</v>
      </c>
      <c r="F399">
        <f>VLOOKUP($C399,'2000 Place'!$C$2:$Y$523,7,FALSE)</f>
        <v>93</v>
      </c>
      <c r="G399">
        <f>VLOOKUP($C399,'2000 Place'!$C$2:$Y$523,8,FALSE)</f>
        <v>58</v>
      </c>
      <c r="H399">
        <f>VLOOKUP($C399,'2000 Place'!$C$2:$Y$523,9,FALSE)</f>
        <v>0</v>
      </c>
      <c r="I399">
        <f>VLOOKUP($C399,'2000 Place'!$C$2:$Y$523,10,FALSE)</f>
        <v>0</v>
      </c>
      <c r="J399">
        <f>VLOOKUP($C399,'2000 Place'!$C$2:$Y$523,11,FALSE)</f>
        <v>0</v>
      </c>
      <c r="K399">
        <f>VLOOKUP($C399,'2000 Place'!$C$2:$Y$523,12,FALSE)</f>
        <v>0</v>
      </c>
      <c r="L399">
        <f>VLOOKUP($C399,'2000 Place'!$C$2:$Y$523,13,FALSE)</f>
        <v>0</v>
      </c>
      <c r="M399">
        <f>VLOOKUP($C399,'2000 Place'!$C$2:$Y$523,14,FALSE)</f>
        <v>585</v>
      </c>
      <c r="N399">
        <f>VLOOKUP($C399,'2000 Place'!$C$2:$Y$523,15,FALSE)</f>
        <v>15</v>
      </c>
      <c r="O399">
        <f>VLOOKUP($C399,'2000 Place'!$C$2:$Y$523,16,FALSE)</f>
        <v>0</v>
      </c>
      <c r="P399">
        <f>VLOOKUP($C399,'2000 Place'!$C$2:$Y$523,17,FALSE)</f>
        <v>0</v>
      </c>
      <c r="Q399">
        <f>VLOOKUP($C399,'2000 Place'!$C$2:$Y$523,18,FALSE)</f>
        <v>0</v>
      </c>
      <c r="R399">
        <f>VLOOKUP($C399,'2000 Place'!$C$2:$Y$523,19,FALSE)</f>
        <v>0</v>
      </c>
      <c r="S399">
        <f>VLOOKUP($C399,'2000 Place'!$C$2:$Y$523,20,FALSE)</f>
        <v>36</v>
      </c>
      <c r="T399">
        <f>VLOOKUP($C399,'2000 Place'!$C$2:$Y$523,21,FALSE)</f>
        <v>78</v>
      </c>
      <c r="U399">
        <f>VLOOKUP($C399,'2000 Place'!$C$2:$Y$523,22,FALSE)</f>
        <v>23</v>
      </c>
      <c r="V399">
        <f>VLOOKUP($C399,'2000 Place'!$C$2:$Y$523,23,FALSE)</f>
        <v>0</v>
      </c>
    </row>
    <row r="400" spans="1:22" x14ac:dyDescent="0.25">
      <c r="A400" t="s">
        <v>1044</v>
      </c>
      <c r="B400">
        <v>5350045</v>
      </c>
      <c r="C400" t="s">
        <v>1045</v>
      </c>
      <c r="D400">
        <f>VLOOKUP($C400,'2000 Place'!$C$2:$Y$523,5,FALSE)</f>
        <v>343</v>
      </c>
      <c r="E400">
        <f>VLOOKUP($C400,'2000 Place'!$C$2:$Y$523,6,FALSE)</f>
        <v>327</v>
      </c>
      <c r="F400">
        <f>VLOOKUP($C400,'2000 Place'!$C$2:$Y$523,7,FALSE)</f>
        <v>16</v>
      </c>
      <c r="G400">
        <f>VLOOKUP($C400,'2000 Place'!$C$2:$Y$523,8,FALSE)</f>
        <v>293</v>
      </c>
      <c r="H400">
        <f>VLOOKUP($C400,'2000 Place'!$C$2:$Y$523,9,FALSE)</f>
        <v>16</v>
      </c>
      <c r="I400">
        <f>VLOOKUP($C400,'2000 Place'!$C$2:$Y$523,10,FALSE)</f>
        <v>6</v>
      </c>
      <c r="J400">
        <f>VLOOKUP($C400,'2000 Place'!$C$2:$Y$523,11,FALSE)</f>
        <v>0</v>
      </c>
      <c r="K400">
        <f>VLOOKUP($C400,'2000 Place'!$C$2:$Y$523,12,FALSE)</f>
        <v>0</v>
      </c>
      <c r="L400">
        <f>VLOOKUP($C400,'2000 Place'!$C$2:$Y$523,13,FALSE)</f>
        <v>0</v>
      </c>
      <c r="M400">
        <f>VLOOKUP($C400,'2000 Place'!$C$2:$Y$523,14,FALSE)</f>
        <v>2</v>
      </c>
      <c r="N400">
        <f>VLOOKUP($C400,'2000 Place'!$C$2:$Y$523,15,FALSE)</f>
        <v>0</v>
      </c>
      <c r="O400">
        <f>VLOOKUP($C400,'2000 Place'!$C$2:$Y$523,16,FALSE)</f>
        <v>0</v>
      </c>
      <c r="P400">
        <f>VLOOKUP($C400,'2000 Place'!$C$2:$Y$523,17,FALSE)</f>
        <v>0</v>
      </c>
      <c r="Q400">
        <f>VLOOKUP($C400,'2000 Place'!$C$2:$Y$523,18,FALSE)</f>
        <v>0</v>
      </c>
      <c r="R400">
        <f>VLOOKUP($C400,'2000 Place'!$C$2:$Y$523,19,FALSE)</f>
        <v>0</v>
      </c>
      <c r="S400">
        <f>VLOOKUP($C400,'2000 Place'!$C$2:$Y$523,20,FALSE)</f>
        <v>23</v>
      </c>
      <c r="T400">
        <f>VLOOKUP($C400,'2000 Place'!$C$2:$Y$523,21,FALSE)</f>
        <v>0</v>
      </c>
      <c r="U400">
        <f>VLOOKUP($C400,'2000 Place'!$C$2:$Y$523,22,FALSE)</f>
        <v>3</v>
      </c>
      <c r="V400">
        <f>VLOOKUP($C400,'2000 Place'!$C$2:$Y$523,23,FALSE)</f>
        <v>0</v>
      </c>
    </row>
    <row r="401" spans="1:22" x14ac:dyDescent="0.25">
      <c r="A401" t="s">
        <v>1046</v>
      </c>
      <c r="B401">
        <v>5350115</v>
      </c>
      <c r="C401" t="s">
        <v>1047</v>
      </c>
      <c r="D401" t="e">
        <f>VLOOKUP($C401,'2000 Place'!$C$2:$Y$523,5,FALSE)</f>
        <v>#N/A</v>
      </c>
      <c r="E401" t="e">
        <f>VLOOKUP($C401,'2000 Place'!$C$2:$Y$523,6,FALSE)</f>
        <v>#N/A</v>
      </c>
      <c r="F401" t="e">
        <f>VLOOKUP($C401,'2000 Place'!$C$2:$Y$523,7,FALSE)</f>
        <v>#N/A</v>
      </c>
      <c r="G401" t="e">
        <f>VLOOKUP($C401,'2000 Place'!$C$2:$Y$523,8,FALSE)</f>
        <v>#N/A</v>
      </c>
      <c r="H401" t="e">
        <f>VLOOKUP($C401,'2000 Place'!$C$2:$Y$523,9,FALSE)</f>
        <v>#N/A</v>
      </c>
      <c r="I401" t="e">
        <f>VLOOKUP($C401,'2000 Place'!$C$2:$Y$523,10,FALSE)</f>
        <v>#N/A</v>
      </c>
      <c r="J401" t="e">
        <f>VLOOKUP($C401,'2000 Place'!$C$2:$Y$523,11,FALSE)</f>
        <v>#N/A</v>
      </c>
      <c r="K401" t="e">
        <f>VLOOKUP($C401,'2000 Place'!$C$2:$Y$523,12,FALSE)</f>
        <v>#N/A</v>
      </c>
      <c r="L401" t="e">
        <f>VLOOKUP($C401,'2000 Place'!$C$2:$Y$523,13,FALSE)</f>
        <v>#N/A</v>
      </c>
      <c r="M401" t="e">
        <f>VLOOKUP($C401,'2000 Place'!$C$2:$Y$523,14,FALSE)</f>
        <v>#N/A</v>
      </c>
      <c r="N401" t="e">
        <f>VLOOKUP($C401,'2000 Place'!$C$2:$Y$523,15,FALSE)</f>
        <v>#N/A</v>
      </c>
      <c r="O401" t="e">
        <f>VLOOKUP($C401,'2000 Place'!$C$2:$Y$523,16,FALSE)</f>
        <v>#N/A</v>
      </c>
      <c r="P401" t="e">
        <f>VLOOKUP($C401,'2000 Place'!$C$2:$Y$523,17,FALSE)</f>
        <v>#N/A</v>
      </c>
      <c r="Q401" t="e">
        <f>VLOOKUP($C401,'2000 Place'!$C$2:$Y$523,18,FALSE)</f>
        <v>#N/A</v>
      </c>
      <c r="R401" t="e">
        <f>VLOOKUP($C401,'2000 Place'!$C$2:$Y$523,19,FALSE)</f>
        <v>#N/A</v>
      </c>
      <c r="S401" t="e">
        <f>VLOOKUP($C401,'2000 Place'!$C$2:$Y$523,20,FALSE)</f>
        <v>#N/A</v>
      </c>
      <c r="T401" t="e">
        <f>VLOOKUP($C401,'2000 Place'!$C$2:$Y$523,21,FALSE)</f>
        <v>#N/A</v>
      </c>
      <c r="U401" t="e">
        <f>VLOOKUP($C401,'2000 Place'!$C$2:$Y$523,22,FALSE)</f>
        <v>#N/A</v>
      </c>
      <c r="V401" t="e">
        <f>VLOOKUP($C401,'2000 Place'!$C$2:$Y$523,23,FALSE)</f>
        <v>#N/A</v>
      </c>
    </row>
    <row r="402" spans="1:22" x14ac:dyDescent="0.25">
      <c r="A402" t="s">
        <v>1048</v>
      </c>
      <c r="B402">
        <v>5350183</v>
      </c>
      <c r="C402" t="s">
        <v>1049</v>
      </c>
      <c r="D402">
        <f>VLOOKUP($C402,'2000 Place'!$C$2:$Y$523,5,FALSE)</f>
        <v>391</v>
      </c>
      <c r="E402">
        <f>VLOOKUP($C402,'2000 Place'!$C$2:$Y$523,6,FALSE)</f>
        <v>391</v>
      </c>
      <c r="F402">
        <f>VLOOKUP($C402,'2000 Place'!$C$2:$Y$523,7,FALSE)</f>
        <v>0</v>
      </c>
      <c r="G402">
        <f>VLOOKUP($C402,'2000 Place'!$C$2:$Y$523,8,FALSE)</f>
        <v>391</v>
      </c>
      <c r="H402">
        <f>VLOOKUP($C402,'2000 Place'!$C$2:$Y$523,9,FALSE)</f>
        <v>0</v>
      </c>
      <c r="I402">
        <f>VLOOKUP($C402,'2000 Place'!$C$2:$Y$523,10,FALSE)</f>
        <v>0</v>
      </c>
      <c r="J402">
        <f>VLOOKUP($C402,'2000 Place'!$C$2:$Y$523,11,FALSE)</f>
        <v>0</v>
      </c>
      <c r="K402">
        <f>VLOOKUP($C402,'2000 Place'!$C$2:$Y$523,12,FALSE)</f>
        <v>0</v>
      </c>
      <c r="L402">
        <f>VLOOKUP($C402,'2000 Place'!$C$2:$Y$523,13,FALSE)</f>
        <v>0</v>
      </c>
      <c r="M402">
        <f>VLOOKUP($C402,'2000 Place'!$C$2:$Y$523,14,FALSE)</f>
        <v>0</v>
      </c>
      <c r="N402">
        <f>VLOOKUP($C402,'2000 Place'!$C$2:$Y$523,15,FALSE)</f>
        <v>0</v>
      </c>
      <c r="O402">
        <f>VLOOKUP($C402,'2000 Place'!$C$2:$Y$523,16,FALSE)</f>
        <v>0</v>
      </c>
      <c r="P402">
        <f>VLOOKUP($C402,'2000 Place'!$C$2:$Y$523,17,FALSE)</f>
        <v>0</v>
      </c>
      <c r="Q402">
        <f>VLOOKUP($C402,'2000 Place'!$C$2:$Y$523,18,FALSE)</f>
        <v>0</v>
      </c>
      <c r="R402">
        <f>VLOOKUP($C402,'2000 Place'!$C$2:$Y$523,19,FALSE)</f>
        <v>0</v>
      </c>
      <c r="S402">
        <f>VLOOKUP($C402,'2000 Place'!$C$2:$Y$523,20,FALSE)</f>
        <v>0</v>
      </c>
      <c r="T402">
        <f>VLOOKUP($C402,'2000 Place'!$C$2:$Y$523,21,FALSE)</f>
        <v>0</v>
      </c>
      <c r="U402">
        <f>VLOOKUP($C402,'2000 Place'!$C$2:$Y$523,22,FALSE)</f>
        <v>0</v>
      </c>
      <c r="V402">
        <f>VLOOKUP($C402,'2000 Place'!$C$2:$Y$523,23,FALSE)</f>
        <v>0</v>
      </c>
    </row>
    <row r="403" spans="1:22" x14ac:dyDescent="0.25">
      <c r="A403" t="s">
        <v>1050</v>
      </c>
      <c r="B403">
        <v>5350195</v>
      </c>
      <c r="C403" t="s">
        <v>1051</v>
      </c>
      <c r="D403" t="e">
        <f>VLOOKUP($C403,'2000 Place'!$C$2:$Y$523,5,FALSE)</f>
        <v>#N/A</v>
      </c>
      <c r="E403" t="e">
        <f>VLOOKUP($C403,'2000 Place'!$C$2:$Y$523,6,FALSE)</f>
        <v>#N/A</v>
      </c>
      <c r="F403" t="e">
        <f>VLOOKUP($C403,'2000 Place'!$C$2:$Y$523,7,FALSE)</f>
        <v>#N/A</v>
      </c>
      <c r="G403" t="e">
        <f>VLOOKUP($C403,'2000 Place'!$C$2:$Y$523,8,FALSE)</f>
        <v>#N/A</v>
      </c>
      <c r="H403" t="e">
        <f>VLOOKUP($C403,'2000 Place'!$C$2:$Y$523,9,FALSE)</f>
        <v>#N/A</v>
      </c>
      <c r="I403" t="e">
        <f>VLOOKUP($C403,'2000 Place'!$C$2:$Y$523,10,FALSE)</f>
        <v>#N/A</v>
      </c>
      <c r="J403" t="e">
        <f>VLOOKUP($C403,'2000 Place'!$C$2:$Y$523,11,FALSE)</f>
        <v>#N/A</v>
      </c>
      <c r="K403" t="e">
        <f>VLOOKUP($C403,'2000 Place'!$C$2:$Y$523,12,FALSE)</f>
        <v>#N/A</v>
      </c>
      <c r="L403" t="e">
        <f>VLOOKUP($C403,'2000 Place'!$C$2:$Y$523,13,FALSE)</f>
        <v>#N/A</v>
      </c>
      <c r="M403" t="e">
        <f>VLOOKUP($C403,'2000 Place'!$C$2:$Y$523,14,FALSE)</f>
        <v>#N/A</v>
      </c>
      <c r="N403" t="e">
        <f>VLOOKUP($C403,'2000 Place'!$C$2:$Y$523,15,FALSE)</f>
        <v>#N/A</v>
      </c>
      <c r="O403" t="e">
        <f>VLOOKUP($C403,'2000 Place'!$C$2:$Y$523,16,FALSE)</f>
        <v>#N/A</v>
      </c>
      <c r="P403" t="e">
        <f>VLOOKUP($C403,'2000 Place'!$C$2:$Y$523,17,FALSE)</f>
        <v>#N/A</v>
      </c>
      <c r="Q403" t="e">
        <f>VLOOKUP($C403,'2000 Place'!$C$2:$Y$523,18,FALSE)</f>
        <v>#N/A</v>
      </c>
      <c r="R403" t="e">
        <f>VLOOKUP($C403,'2000 Place'!$C$2:$Y$523,19,FALSE)</f>
        <v>#N/A</v>
      </c>
      <c r="S403" t="e">
        <f>VLOOKUP($C403,'2000 Place'!$C$2:$Y$523,20,FALSE)</f>
        <v>#N/A</v>
      </c>
      <c r="T403" t="e">
        <f>VLOOKUP($C403,'2000 Place'!$C$2:$Y$523,21,FALSE)</f>
        <v>#N/A</v>
      </c>
      <c r="U403" t="e">
        <f>VLOOKUP($C403,'2000 Place'!$C$2:$Y$523,22,FALSE)</f>
        <v>#N/A</v>
      </c>
      <c r="V403" t="e">
        <f>VLOOKUP($C403,'2000 Place'!$C$2:$Y$523,23,FALSE)</f>
        <v>#N/A</v>
      </c>
    </row>
    <row r="404" spans="1:22" x14ac:dyDescent="0.25">
      <c r="A404" t="s">
        <v>1052</v>
      </c>
      <c r="B404">
        <v>5350210</v>
      </c>
      <c r="C404" t="s">
        <v>1053</v>
      </c>
      <c r="D404">
        <f>VLOOKUP($C404,'2000 Place'!$C$2:$Y$523,5,FALSE)</f>
        <v>2855</v>
      </c>
      <c r="E404">
        <f>VLOOKUP($C404,'2000 Place'!$C$2:$Y$523,6,FALSE)</f>
        <v>2619</v>
      </c>
      <c r="F404">
        <f>VLOOKUP($C404,'2000 Place'!$C$2:$Y$523,7,FALSE)</f>
        <v>236</v>
      </c>
      <c r="G404">
        <f>VLOOKUP($C404,'2000 Place'!$C$2:$Y$523,8,FALSE)</f>
        <v>2353</v>
      </c>
      <c r="H404">
        <f>VLOOKUP($C404,'2000 Place'!$C$2:$Y$523,9,FALSE)</f>
        <v>106</v>
      </c>
      <c r="I404">
        <f>VLOOKUP($C404,'2000 Place'!$C$2:$Y$523,10,FALSE)</f>
        <v>33</v>
      </c>
      <c r="J404">
        <f>VLOOKUP($C404,'2000 Place'!$C$2:$Y$523,11,FALSE)</f>
        <v>0</v>
      </c>
      <c r="K404">
        <f>VLOOKUP($C404,'2000 Place'!$C$2:$Y$523,12,FALSE)</f>
        <v>22</v>
      </c>
      <c r="L404">
        <f>VLOOKUP($C404,'2000 Place'!$C$2:$Y$523,13,FALSE)</f>
        <v>0</v>
      </c>
      <c r="M404">
        <f>VLOOKUP($C404,'2000 Place'!$C$2:$Y$523,14,FALSE)</f>
        <v>26</v>
      </c>
      <c r="N404">
        <f>VLOOKUP($C404,'2000 Place'!$C$2:$Y$523,15,FALSE)</f>
        <v>0</v>
      </c>
      <c r="O404">
        <f>VLOOKUP($C404,'2000 Place'!$C$2:$Y$523,16,FALSE)</f>
        <v>10</v>
      </c>
      <c r="P404">
        <f>VLOOKUP($C404,'2000 Place'!$C$2:$Y$523,17,FALSE)</f>
        <v>7</v>
      </c>
      <c r="Q404">
        <f>VLOOKUP($C404,'2000 Place'!$C$2:$Y$523,18,FALSE)</f>
        <v>11</v>
      </c>
      <c r="R404">
        <f>VLOOKUP($C404,'2000 Place'!$C$2:$Y$523,19,FALSE)</f>
        <v>60</v>
      </c>
      <c r="S404">
        <f>VLOOKUP($C404,'2000 Place'!$C$2:$Y$523,20,FALSE)</f>
        <v>18</v>
      </c>
      <c r="T404">
        <f>VLOOKUP($C404,'2000 Place'!$C$2:$Y$523,21,FALSE)</f>
        <v>45</v>
      </c>
      <c r="U404">
        <f>VLOOKUP($C404,'2000 Place'!$C$2:$Y$523,22,FALSE)</f>
        <v>146</v>
      </c>
      <c r="V404">
        <f>VLOOKUP($C404,'2000 Place'!$C$2:$Y$523,23,FALSE)</f>
        <v>18</v>
      </c>
    </row>
    <row r="405" spans="1:22" x14ac:dyDescent="0.25">
      <c r="A405" t="s">
        <v>1054</v>
      </c>
      <c r="B405">
        <v>5350325</v>
      </c>
      <c r="C405" t="s">
        <v>1055</v>
      </c>
      <c r="D405">
        <f>VLOOKUP($C405,'2000 Place'!$C$2:$Y$523,5,FALSE)</f>
        <v>418</v>
      </c>
      <c r="E405">
        <f>VLOOKUP($C405,'2000 Place'!$C$2:$Y$523,6,FALSE)</f>
        <v>418</v>
      </c>
      <c r="F405">
        <f>VLOOKUP($C405,'2000 Place'!$C$2:$Y$523,7,FALSE)</f>
        <v>0</v>
      </c>
      <c r="G405">
        <f>VLOOKUP($C405,'2000 Place'!$C$2:$Y$523,8,FALSE)</f>
        <v>405</v>
      </c>
      <c r="H405">
        <f>VLOOKUP($C405,'2000 Place'!$C$2:$Y$523,9,FALSE)</f>
        <v>0</v>
      </c>
      <c r="I405">
        <f>VLOOKUP($C405,'2000 Place'!$C$2:$Y$523,10,FALSE)</f>
        <v>0</v>
      </c>
      <c r="J405">
        <f>VLOOKUP($C405,'2000 Place'!$C$2:$Y$523,11,FALSE)</f>
        <v>0</v>
      </c>
      <c r="K405">
        <f>VLOOKUP($C405,'2000 Place'!$C$2:$Y$523,12,FALSE)</f>
        <v>0</v>
      </c>
      <c r="L405">
        <f>VLOOKUP($C405,'2000 Place'!$C$2:$Y$523,13,FALSE)</f>
        <v>0</v>
      </c>
      <c r="M405">
        <f>VLOOKUP($C405,'2000 Place'!$C$2:$Y$523,14,FALSE)</f>
        <v>0</v>
      </c>
      <c r="N405">
        <f>VLOOKUP($C405,'2000 Place'!$C$2:$Y$523,15,FALSE)</f>
        <v>0</v>
      </c>
      <c r="O405">
        <f>VLOOKUP($C405,'2000 Place'!$C$2:$Y$523,16,FALSE)</f>
        <v>2</v>
      </c>
      <c r="P405">
        <f>VLOOKUP($C405,'2000 Place'!$C$2:$Y$523,17,FALSE)</f>
        <v>0</v>
      </c>
      <c r="Q405">
        <f>VLOOKUP($C405,'2000 Place'!$C$2:$Y$523,18,FALSE)</f>
        <v>0</v>
      </c>
      <c r="R405">
        <f>VLOOKUP($C405,'2000 Place'!$C$2:$Y$523,19,FALSE)</f>
        <v>0</v>
      </c>
      <c r="S405">
        <f>VLOOKUP($C405,'2000 Place'!$C$2:$Y$523,20,FALSE)</f>
        <v>0</v>
      </c>
      <c r="T405">
        <f>VLOOKUP($C405,'2000 Place'!$C$2:$Y$523,21,FALSE)</f>
        <v>0</v>
      </c>
      <c r="U405">
        <f>VLOOKUP($C405,'2000 Place'!$C$2:$Y$523,22,FALSE)</f>
        <v>11</v>
      </c>
      <c r="V405">
        <f>VLOOKUP($C405,'2000 Place'!$C$2:$Y$523,23,FALSE)</f>
        <v>0</v>
      </c>
    </row>
    <row r="406" spans="1:22" x14ac:dyDescent="0.25">
      <c r="A406" t="s">
        <v>1056</v>
      </c>
      <c r="B406">
        <v>5350360</v>
      </c>
      <c r="C406" t="s">
        <v>1057</v>
      </c>
      <c r="D406">
        <f>VLOOKUP($C406,'2000 Place'!$C$2:$Y$523,5,FALSE)</f>
        <v>19905</v>
      </c>
      <c r="E406">
        <f>VLOOKUP($C406,'2000 Place'!$C$2:$Y$523,6,FALSE)</f>
        <v>17116</v>
      </c>
      <c r="F406">
        <f>VLOOKUP($C406,'2000 Place'!$C$2:$Y$523,7,FALSE)</f>
        <v>2789</v>
      </c>
      <c r="G406">
        <f>VLOOKUP($C406,'2000 Place'!$C$2:$Y$523,8,FALSE)</f>
        <v>13283</v>
      </c>
      <c r="H406">
        <f>VLOOKUP($C406,'2000 Place'!$C$2:$Y$523,9,FALSE)</f>
        <v>900</v>
      </c>
      <c r="I406">
        <f>VLOOKUP($C406,'2000 Place'!$C$2:$Y$523,10,FALSE)</f>
        <v>424</v>
      </c>
      <c r="J406">
        <f>VLOOKUP($C406,'2000 Place'!$C$2:$Y$523,11,FALSE)</f>
        <v>48</v>
      </c>
      <c r="K406">
        <f>VLOOKUP($C406,'2000 Place'!$C$2:$Y$523,12,FALSE)</f>
        <v>1155</v>
      </c>
      <c r="L406">
        <f>VLOOKUP($C406,'2000 Place'!$C$2:$Y$523,13,FALSE)</f>
        <v>46</v>
      </c>
      <c r="M406">
        <f>VLOOKUP($C406,'2000 Place'!$C$2:$Y$523,14,FALSE)</f>
        <v>255</v>
      </c>
      <c r="N406">
        <f>VLOOKUP($C406,'2000 Place'!$C$2:$Y$523,15,FALSE)</f>
        <v>6</v>
      </c>
      <c r="O406">
        <f>VLOOKUP($C406,'2000 Place'!$C$2:$Y$523,16,FALSE)</f>
        <v>432</v>
      </c>
      <c r="P406">
        <f>VLOOKUP($C406,'2000 Place'!$C$2:$Y$523,17,FALSE)</f>
        <v>1307</v>
      </c>
      <c r="Q406">
        <f>VLOOKUP($C406,'2000 Place'!$C$2:$Y$523,18,FALSE)</f>
        <v>89</v>
      </c>
      <c r="R406">
        <f>VLOOKUP($C406,'2000 Place'!$C$2:$Y$523,19,FALSE)</f>
        <v>56</v>
      </c>
      <c r="S406">
        <f>VLOOKUP($C406,'2000 Place'!$C$2:$Y$523,20,FALSE)</f>
        <v>399</v>
      </c>
      <c r="T406">
        <f>VLOOKUP($C406,'2000 Place'!$C$2:$Y$523,21,FALSE)</f>
        <v>147</v>
      </c>
      <c r="U406">
        <f>VLOOKUP($C406,'2000 Place'!$C$2:$Y$523,22,FALSE)</f>
        <v>1079</v>
      </c>
      <c r="V406">
        <f>VLOOKUP($C406,'2000 Place'!$C$2:$Y$523,23,FALSE)</f>
        <v>279</v>
      </c>
    </row>
    <row r="407" spans="1:22" x14ac:dyDescent="0.25">
      <c r="A407" t="s">
        <v>1058</v>
      </c>
      <c r="B407">
        <v>5350430</v>
      </c>
      <c r="C407" t="s">
        <v>1059</v>
      </c>
      <c r="D407">
        <f>VLOOKUP($C407,'2000 Place'!$C$2:$Y$523,5,FALSE)</f>
        <v>640</v>
      </c>
      <c r="E407">
        <f>VLOOKUP($C407,'2000 Place'!$C$2:$Y$523,6,FALSE)</f>
        <v>616</v>
      </c>
      <c r="F407">
        <f>VLOOKUP($C407,'2000 Place'!$C$2:$Y$523,7,FALSE)</f>
        <v>24</v>
      </c>
      <c r="G407">
        <f>VLOOKUP($C407,'2000 Place'!$C$2:$Y$523,8,FALSE)</f>
        <v>464</v>
      </c>
      <c r="H407">
        <f>VLOOKUP($C407,'2000 Place'!$C$2:$Y$523,9,FALSE)</f>
        <v>9</v>
      </c>
      <c r="I407">
        <f>VLOOKUP($C407,'2000 Place'!$C$2:$Y$523,10,FALSE)</f>
        <v>17</v>
      </c>
      <c r="J407">
        <f>VLOOKUP($C407,'2000 Place'!$C$2:$Y$523,11,FALSE)</f>
        <v>7</v>
      </c>
      <c r="K407">
        <f>VLOOKUP($C407,'2000 Place'!$C$2:$Y$523,12,FALSE)</f>
        <v>0</v>
      </c>
      <c r="L407">
        <f>VLOOKUP($C407,'2000 Place'!$C$2:$Y$523,13,FALSE)</f>
        <v>0</v>
      </c>
      <c r="M407">
        <f>VLOOKUP($C407,'2000 Place'!$C$2:$Y$523,14,FALSE)</f>
        <v>40</v>
      </c>
      <c r="N407">
        <f>VLOOKUP($C407,'2000 Place'!$C$2:$Y$523,15,FALSE)</f>
        <v>0</v>
      </c>
      <c r="O407">
        <f>VLOOKUP($C407,'2000 Place'!$C$2:$Y$523,16,FALSE)</f>
        <v>2</v>
      </c>
      <c r="P407">
        <f>VLOOKUP($C407,'2000 Place'!$C$2:$Y$523,17,FALSE)</f>
        <v>0</v>
      </c>
      <c r="Q407">
        <f>VLOOKUP($C407,'2000 Place'!$C$2:$Y$523,18,FALSE)</f>
        <v>5</v>
      </c>
      <c r="R407">
        <f>VLOOKUP($C407,'2000 Place'!$C$2:$Y$523,19,FALSE)</f>
        <v>2</v>
      </c>
      <c r="S407">
        <f>VLOOKUP($C407,'2000 Place'!$C$2:$Y$523,20,FALSE)</f>
        <v>15</v>
      </c>
      <c r="T407">
        <f>VLOOKUP($C407,'2000 Place'!$C$2:$Y$523,21,FALSE)</f>
        <v>2</v>
      </c>
      <c r="U407">
        <f>VLOOKUP($C407,'2000 Place'!$C$2:$Y$523,22,FALSE)</f>
        <v>73</v>
      </c>
      <c r="V407">
        <f>VLOOKUP($C407,'2000 Place'!$C$2:$Y$523,23,FALSE)</f>
        <v>4</v>
      </c>
    </row>
    <row r="408" spans="1:22" x14ac:dyDescent="0.25">
      <c r="A408" t="s">
        <v>1060</v>
      </c>
      <c r="B408">
        <v>5350500</v>
      </c>
      <c r="C408" t="s">
        <v>1061</v>
      </c>
      <c r="D408">
        <f>VLOOKUP($C408,'2000 Place'!$C$2:$Y$523,5,FALSE)</f>
        <v>179</v>
      </c>
      <c r="E408">
        <f>VLOOKUP($C408,'2000 Place'!$C$2:$Y$523,6,FALSE)</f>
        <v>179</v>
      </c>
      <c r="F408">
        <f>VLOOKUP($C408,'2000 Place'!$C$2:$Y$523,7,FALSE)</f>
        <v>0</v>
      </c>
      <c r="G408">
        <f>VLOOKUP($C408,'2000 Place'!$C$2:$Y$523,8,FALSE)</f>
        <v>175</v>
      </c>
      <c r="H408">
        <f>VLOOKUP($C408,'2000 Place'!$C$2:$Y$523,9,FALSE)</f>
        <v>0</v>
      </c>
      <c r="I408">
        <f>VLOOKUP($C408,'2000 Place'!$C$2:$Y$523,10,FALSE)</f>
        <v>0</v>
      </c>
      <c r="J408">
        <f>VLOOKUP($C408,'2000 Place'!$C$2:$Y$523,11,FALSE)</f>
        <v>0</v>
      </c>
      <c r="K408">
        <f>VLOOKUP($C408,'2000 Place'!$C$2:$Y$523,12,FALSE)</f>
        <v>0</v>
      </c>
      <c r="L408">
        <f>VLOOKUP($C408,'2000 Place'!$C$2:$Y$523,13,FALSE)</f>
        <v>0</v>
      </c>
      <c r="M408">
        <f>VLOOKUP($C408,'2000 Place'!$C$2:$Y$523,14,FALSE)</f>
        <v>0</v>
      </c>
      <c r="N408">
        <f>VLOOKUP($C408,'2000 Place'!$C$2:$Y$523,15,FALSE)</f>
        <v>0</v>
      </c>
      <c r="O408">
        <f>VLOOKUP($C408,'2000 Place'!$C$2:$Y$523,16,FALSE)</f>
        <v>0</v>
      </c>
      <c r="P408">
        <f>VLOOKUP($C408,'2000 Place'!$C$2:$Y$523,17,FALSE)</f>
        <v>0</v>
      </c>
      <c r="Q408">
        <f>VLOOKUP($C408,'2000 Place'!$C$2:$Y$523,18,FALSE)</f>
        <v>0</v>
      </c>
      <c r="R408">
        <f>VLOOKUP($C408,'2000 Place'!$C$2:$Y$523,19,FALSE)</f>
        <v>0</v>
      </c>
      <c r="S408">
        <f>VLOOKUP($C408,'2000 Place'!$C$2:$Y$523,20,FALSE)</f>
        <v>0</v>
      </c>
      <c r="T408">
        <f>VLOOKUP($C408,'2000 Place'!$C$2:$Y$523,21,FALSE)</f>
        <v>0</v>
      </c>
      <c r="U408">
        <f>VLOOKUP($C408,'2000 Place'!$C$2:$Y$523,22,FALSE)</f>
        <v>4</v>
      </c>
      <c r="V408">
        <f>VLOOKUP($C408,'2000 Place'!$C$2:$Y$523,23,FALSE)</f>
        <v>0</v>
      </c>
    </row>
    <row r="409" spans="1:22" x14ac:dyDescent="0.25">
      <c r="A409" t="s">
        <v>1062</v>
      </c>
      <c r="B409">
        <v>5350535</v>
      </c>
      <c r="C409" t="s">
        <v>1063</v>
      </c>
      <c r="D409">
        <f>VLOOKUP($C409,'2000 Place'!$C$2:$Y$523,5,FALSE)</f>
        <v>1405</v>
      </c>
      <c r="E409">
        <f>VLOOKUP($C409,'2000 Place'!$C$2:$Y$523,6,FALSE)</f>
        <v>1354</v>
      </c>
      <c r="F409">
        <f>VLOOKUP($C409,'2000 Place'!$C$2:$Y$523,7,FALSE)</f>
        <v>51</v>
      </c>
      <c r="G409">
        <f>VLOOKUP($C409,'2000 Place'!$C$2:$Y$523,8,FALSE)</f>
        <v>1315</v>
      </c>
      <c r="H409">
        <f>VLOOKUP($C409,'2000 Place'!$C$2:$Y$523,9,FALSE)</f>
        <v>24</v>
      </c>
      <c r="I409">
        <f>VLOOKUP($C409,'2000 Place'!$C$2:$Y$523,10,FALSE)</f>
        <v>8</v>
      </c>
      <c r="J409">
        <f>VLOOKUP($C409,'2000 Place'!$C$2:$Y$523,11,FALSE)</f>
        <v>0</v>
      </c>
      <c r="K409">
        <f>VLOOKUP($C409,'2000 Place'!$C$2:$Y$523,12,FALSE)</f>
        <v>0</v>
      </c>
      <c r="L409">
        <f>VLOOKUP($C409,'2000 Place'!$C$2:$Y$523,13,FALSE)</f>
        <v>0</v>
      </c>
      <c r="M409">
        <f>VLOOKUP($C409,'2000 Place'!$C$2:$Y$523,14,FALSE)</f>
        <v>20</v>
      </c>
      <c r="N409">
        <f>VLOOKUP($C409,'2000 Place'!$C$2:$Y$523,15,FALSE)</f>
        <v>0</v>
      </c>
      <c r="O409">
        <f>VLOOKUP($C409,'2000 Place'!$C$2:$Y$523,16,FALSE)</f>
        <v>0</v>
      </c>
      <c r="P409">
        <f>VLOOKUP($C409,'2000 Place'!$C$2:$Y$523,17,FALSE)</f>
        <v>0</v>
      </c>
      <c r="Q409">
        <f>VLOOKUP($C409,'2000 Place'!$C$2:$Y$523,18,FALSE)</f>
        <v>0</v>
      </c>
      <c r="R409">
        <f>VLOOKUP($C409,'2000 Place'!$C$2:$Y$523,19,FALSE)</f>
        <v>0</v>
      </c>
      <c r="S409">
        <f>VLOOKUP($C409,'2000 Place'!$C$2:$Y$523,20,FALSE)</f>
        <v>11</v>
      </c>
      <c r="T409">
        <f>VLOOKUP($C409,'2000 Place'!$C$2:$Y$523,21,FALSE)</f>
        <v>27</v>
      </c>
      <c r="U409">
        <f>VLOOKUP($C409,'2000 Place'!$C$2:$Y$523,22,FALSE)</f>
        <v>0</v>
      </c>
      <c r="V409">
        <f>VLOOKUP($C409,'2000 Place'!$C$2:$Y$523,23,FALSE)</f>
        <v>0</v>
      </c>
    </row>
    <row r="410" spans="1:22" x14ac:dyDescent="0.25">
      <c r="A410" t="s">
        <v>1064</v>
      </c>
      <c r="B410">
        <v>5350570</v>
      </c>
      <c r="C410" t="s">
        <v>1065</v>
      </c>
      <c r="D410">
        <f>VLOOKUP($C410,'2000 Place'!$C$2:$Y$523,5,FALSE)</f>
        <v>3795</v>
      </c>
      <c r="E410">
        <f>VLOOKUP($C410,'2000 Place'!$C$2:$Y$523,6,FALSE)</f>
        <v>3614</v>
      </c>
      <c r="F410">
        <f>VLOOKUP($C410,'2000 Place'!$C$2:$Y$523,7,FALSE)</f>
        <v>181</v>
      </c>
      <c r="G410">
        <f>VLOOKUP($C410,'2000 Place'!$C$2:$Y$523,8,FALSE)</f>
        <v>3401</v>
      </c>
      <c r="H410">
        <f>VLOOKUP($C410,'2000 Place'!$C$2:$Y$523,9,FALSE)</f>
        <v>102</v>
      </c>
      <c r="I410">
        <f>VLOOKUP($C410,'2000 Place'!$C$2:$Y$523,10,FALSE)</f>
        <v>33</v>
      </c>
      <c r="J410">
        <f>VLOOKUP($C410,'2000 Place'!$C$2:$Y$523,11,FALSE)</f>
        <v>6</v>
      </c>
      <c r="K410">
        <f>VLOOKUP($C410,'2000 Place'!$C$2:$Y$523,12,FALSE)</f>
        <v>23</v>
      </c>
      <c r="L410">
        <f>VLOOKUP($C410,'2000 Place'!$C$2:$Y$523,13,FALSE)</f>
        <v>0</v>
      </c>
      <c r="M410">
        <f>VLOOKUP($C410,'2000 Place'!$C$2:$Y$523,14,FALSE)</f>
        <v>42</v>
      </c>
      <c r="N410">
        <f>VLOOKUP($C410,'2000 Place'!$C$2:$Y$523,15,FALSE)</f>
        <v>0</v>
      </c>
      <c r="O410">
        <f>VLOOKUP($C410,'2000 Place'!$C$2:$Y$523,16,FALSE)</f>
        <v>0</v>
      </c>
      <c r="P410">
        <f>VLOOKUP($C410,'2000 Place'!$C$2:$Y$523,17,FALSE)</f>
        <v>67</v>
      </c>
      <c r="Q410">
        <f>VLOOKUP($C410,'2000 Place'!$C$2:$Y$523,18,FALSE)</f>
        <v>0</v>
      </c>
      <c r="R410">
        <f>VLOOKUP($C410,'2000 Place'!$C$2:$Y$523,19,FALSE)</f>
        <v>0</v>
      </c>
      <c r="S410">
        <f>VLOOKUP($C410,'2000 Place'!$C$2:$Y$523,20,FALSE)</f>
        <v>21</v>
      </c>
      <c r="T410">
        <f>VLOOKUP($C410,'2000 Place'!$C$2:$Y$523,21,FALSE)</f>
        <v>6</v>
      </c>
      <c r="U410">
        <f>VLOOKUP($C410,'2000 Place'!$C$2:$Y$523,22,FALSE)</f>
        <v>94</v>
      </c>
      <c r="V410">
        <f>VLOOKUP($C410,'2000 Place'!$C$2:$Y$523,23,FALSE)</f>
        <v>0</v>
      </c>
    </row>
    <row r="411" spans="1:22" x14ac:dyDescent="0.25">
      <c r="A411" t="s">
        <v>1066</v>
      </c>
      <c r="B411">
        <v>5350745</v>
      </c>
      <c r="C411" t="s">
        <v>1067</v>
      </c>
      <c r="D411">
        <f>VLOOKUP($C411,'2000 Place'!$C$2:$Y$523,5,FALSE)</f>
        <v>969</v>
      </c>
      <c r="E411">
        <f>VLOOKUP($C411,'2000 Place'!$C$2:$Y$523,6,FALSE)</f>
        <v>954</v>
      </c>
      <c r="F411">
        <f>VLOOKUP($C411,'2000 Place'!$C$2:$Y$523,7,FALSE)</f>
        <v>15</v>
      </c>
      <c r="G411">
        <f>VLOOKUP($C411,'2000 Place'!$C$2:$Y$523,8,FALSE)</f>
        <v>916</v>
      </c>
      <c r="H411">
        <f>VLOOKUP($C411,'2000 Place'!$C$2:$Y$523,9,FALSE)</f>
        <v>15</v>
      </c>
      <c r="I411">
        <f>VLOOKUP($C411,'2000 Place'!$C$2:$Y$523,10,FALSE)</f>
        <v>4</v>
      </c>
      <c r="J411">
        <f>VLOOKUP($C411,'2000 Place'!$C$2:$Y$523,11,FALSE)</f>
        <v>0</v>
      </c>
      <c r="K411">
        <f>VLOOKUP($C411,'2000 Place'!$C$2:$Y$523,12,FALSE)</f>
        <v>0</v>
      </c>
      <c r="L411">
        <f>VLOOKUP($C411,'2000 Place'!$C$2:$Y$523,13,FALSE)</f>
        <v>0</v>
      </c>
      <c r="M411">
        <f>VLOOKUP($C411,'2000 Place'!$C$2:$Y$523,14,FALSE)</f>
        <v>10</v>
      </c>
      <c r="N411">
        <f>VLOOKUP($C411,'2000 Place'!$C$2:$Y$523,15,FALSE)</f>
        <v>0</v>
      </c>
      <c r="O411">
        <f>VLOOKUP($C411,'2000 Place'!$C$2:$Y$523,16,FALSE)</f>
        <v>0</v>
      </c>
      <c r="P411">
        <f>VLOOKUP($C411,'2000 Place'!$C$2:$Y$523,17,FALSE)</f>
        <v>0</v>
      </c>
      <c r="Q411">
        <f>VLOOKUP($C411,'2000 Place'!$C$2:$Y$523,18,FALSE)</f>
        <v>0</v>
      </c>
      <c r="R411">
        <f>VLOOKUP($C411,'2000 Place'!$C$2:$Y$523,19,FALSE)</f>
        <v>0</v>
      </c>
      <c r="S411">
        <f>VLOOKUP($C411,'2000 Place'!$C$2:$Y$523,20,FALSE)</f>
        <v>14</v>
      </c>
      <c r="T411">
        <f>VLOOKUP($C411,'2000 Place'!$C$2:$Y$523,21,FALSE)</f>
        <v>0</v>
      </c>
      <c r="U411">
        <f>VLOOKUP($C411,'2000 Place'!$C$2:$Y$523,22,FALSE)</f>
        <v>10</v>
      </c>
      <c r="V411">
        <f>VLOOKUP($C411,'2000 Place'!$C$2:$Y$523,23,FALSE)</f>
        <v>0</v>
      </c>
    </row>
    <row r="412" spans="1:22" x14ac:dyDescent="0.25">
      <c r="A412" t="s">
        <v>1068</v>
      </c>
      <c r="B412">
        <v>5350920</v>
      </c>
      <c r="C412" t="s">
        <v>1069</v>
      </c>
      <c r="D412">
        <f>VLOOKUP($C412,'2000 Place'!$C$2:$Y$523,5,FALSE)</f>
        <v>2498</v>
      </c>
      <c r="E412">
        <f>VLOOKUP($C412,'2000 Place'!$C$2:$Y$523,6,FALSE)</f>
        <v>2351</v>
      </c>
      <c r="F412">
        <f>VLOOKUP($C412,'2000 Place'!$C$2:$Y$523,7,FALSE)</f>
        <v>147</v>
      </c>
      <c r="G412">
        <f>VLOOKUP($C412,'2000 Place'!$C$2:$Y$523,8,FALSE)</f>
        <v>1916</v>
      </c>
      <c r="H412">
        <f>VLOOKUP($C412,'2000 Place'!$C$2:$Y$523,9,FALSE)</f>
        <v>43</v>
      </c>
      <c r="I412">
        <f>VLOOKUP($C412,'2000 Place'!$C$2:$Y$523,10,FALSE)</f>
        <v>25</v>
      </c>
      <c r="J412">
        <f>VLOOKUP($C412,'2000 Place'!$C$2:$Y$523,11,FALSE)</f>
        <v>15</v>
      </c>
      <c r="K412">
        <f>VLOOKUP($C412,'2000 Place'!$C$2:$Y$523,12,FALSE)</f>
        <v>9</v>
      </c>
      <c r="L412">
        <f>VLOOKUP($C412,'2000 Place'!$C$2:$Y$523,13,FALSE)</f>
        <v>0</v>
      </c>
      <c r="M412">
        <f>VLOOKUP($C412,'2000 Place'!$C$2:$Y$523,14,FALSE)</f>
        <v>249</v>
      </c>
      <c r="N412">
        <f>VLOOKUP($C412,'2000 Place'!$C$2:$Y$523,15,FALSE)</f>
        <v>6</v>
      </c>
      <c r="O412">
        <f>VLOOKUP($C412,'2000 Place'!$C$2:$Y$523,16,FALSE)</f>
        <v>0</v>
      </c>
      <c r="P412">
        <f>VLOOKUP($C412,'2000 Place'!$C$2:$Y$523,17,FALSE)</f>
        <v>0</v>
      </c>
      <c r="Q412">
        <f>VLOOKUP($C412,'2000 Place'!$C$2:$Y$523,18,FALSE)</f>
        <v>0</v>
      </c>
      <c r="R412">
        <f>VLOOKUP($C412,'2000 Place'!$C$2:$Y$523,19,FALSE)</f>
        <v>0</v>
      </c>
      <c r="S412">
        <f>VLOOKUP($C412,'2000 Place'!$C$2:$Y$523,20,FALSE)</f>
        <v>90</v>
      </c>
      <c r="T412">
        <f>VLOOKUP($C412,'2000 Place'!$C$2:$Y$523,21,FALSE)</f>
        <v>83</v>
      </c>
      <c r="U412">
        <f>VLOOKUP($C412,'2000 Place'!$C$2:$Y$523,22,FALSE)</f>
        <v>62</v>
      </c>
      <c r="V412">
        <f>VLOOKUP($C412,'2000 Place'!$C$2:$Y$523,23,FALSE)</f>
        <v>0</v>
      </c>
    </row>
    <row r="413" spans="1:22" x14ac:dyDescent="0.25">
      <c r="A413" t="s">
        <v>1070</v>
      </c>
      <c r="B413">
        <v>5351300</v>
      </c>
      <c r="C413" t="s">
        <v>1071</v>
      </c>
      <c r="D413">
        <f>VLOOKUP($C413,'2000 Place'!$C$2:$Y$523,5,FALSE)</f>
        <v>42345</v>
      </c>
      <c r="E413">
        <f>VLOOKUP($C413,'2000 Place'!$C$2:$Y$523,6,FALSE)</f>
        <v>38687</v>
      </c>
      <c r="F413">
        <f>VLOOKUP($C413,'2000 Place'!$C$2:$Y$523,7,FALSE)</f>
        <v>3658</v>
      </c>
      <c r="G413">
        <f>VLOOKUP($C413,'2000 Place'!$C$2:$Y$523,8,FALSE)</f>
        <v>33703</v>
      </c>
      <c r="H413">
        <f>VLOOKUP($C413,'2000 Place'!$C$2:$Y$523,9,FALSE)</f>
        <v>1309</v>
      </c>
      <c r="I413">
        <f>VLOOKUP($C413,'2000 Place'!$C$2:$Y$523,10,FALSE)</f>
        <v>752</v>
      </c>
      <c r="J413">
        <f>VLOOKUP($C413,'2000 Place'!$C$2:$Y$523,11,FALSE)</f>
        <v>145</v>
      </c>
      <c r="K413">
        <f>VLOOKUP($C413,'2000 Place'!$C$2:$Y$523,12,FALSE)</f>
        <v>746</v>
      </c>
      <c r="L413">
        <f>VLOOKUP($C413,'2000 Place'!$C$2:$Y$523,13,FALSE)</f>
        <v>65</v>
      </c>
      <c r="M413">
        <f>VLOOKUP($C413,'2000 Place'!$C$2:$Y$523,14,FALSE)</f>
        <v>539</v>
      </c>
      <c r="N413">
        <f>VLOOKUP($C413,'2000 Place'!$C$2:$Y$523,15,FALSE)</f>
        <v>30</v>
      </c>
      <c r="O413">
        <f>VLOOKUP($C413,'2000 Place'!$C$2:$Y$523,16,FALSE)</f>
        <v>661</v>
      </c>
      <c r="P413">
        <f>VLOOKUP($C413,'2000 Place'!$C$2:$Y$523,17,FALSE)</f>
        <v>1665</v>
      </c>
      <c r="Q413">
        <f>VLOOKUP($C413,'2000 Place'!$C$2:$Y$523,18,FALSE)</f>
        <v>76</v>
      </c>
      <c r="R413">
        <f>VLOOKUP($C413,'2000 Place'!$C$2:$Y$523,19,FALSE)</f>
        <v>21</v>
      </c>
      <c r="S413">
        <f>VLOOKUP($C413,'2000 Place'!$C$2:$Y$523,20,FALSE)</f>
        <v>546</v>
      </c>
      <c r="T413">
        <f>VLOOKUP($C413,'2000 Place'!$C$2:$Y$523,21,FALSE)</f>
        <v>182</v>
      </c>
      <c r="U413">
        <f>VLOOKUP($C413,'2000 Place'!$C$2:$Y$523,22,FALSE)</f>
        <v>1664</v>
      </c>
      <c r="V413">
        <f>VLOOKUP($C413,'2000 Place'!$C$2:$Y$523,23,FALSE)</f>
        <v>241</v>
      </c>
    </row>
    <row r="414" spans="1:22" x14ac:dyDescent="0.25">
      <c r="A414" t="s">
        <v>1072</v>
      </c>
      <c r="B414">
        <v>5351340</v>
      </c>
      <c r="C414" t="s">
        <v>1073</v>
      </c>
      <c r="D414">
        <f>VLOOKUP($C414,'2000 Place'!$C$2:$Y$523,5,FALSE)</f>
        <v>4600</v>
      </c>
      <c r="E414">
        <f>VLOOKUP($C414,'2000 Place'!$C$2:$Y$523,6,FALSE)</f>
        <v>4198</v>
      </c>
      <c r="F414">
        <f>VLOOKUP($C414,'2000 Place'!$C$2:$Y$523,7,FALSE)</f>
        <v>402</v>
      </c>
      <c r="G414">
        <f>VLOOKUP($C414,'2000 Place'!$C$2:$Y$523,8,FALSE)</f>
        <v>3086</v>
      </c>
      <c r="H414">
        <f>VLOOKUP($C414,'2000 Place'!$C$2:$Y$523,9,FALSE)</f>
        <v>59</v>
      </c>
      <c r="I414">
        <f>VLOOKUP($C414,'2000 Place'!$C$2:$Y$523,10,FALSE)</f>
        <v>66</v>
      </c>
      <c r="J414">
        <f>VLOOKUP($C414,'2000 Place'!$C$2:$Y$523,11,FALSE)</f>
        <v>19</v>
      </c>
      <c r="K414">
        <f>VLOOKUP($C414,'2000 Place'!$C$2:$Y$523,12,FALSE)</f>
        <v>0</v>
      </c>
      <c r="L414">
        <f>VLOOKUP($C414,'2000 Place'!$C$2:$Y$523,13,FALSE)</f>
        <v>0</v>
      </c>
      <c r="M414">
        <f>VLOOKUP($C414,'2000 Place'!$C$2:$Y$523,14,FALSE)</f>
        <v>627</v>
      </c>
      <c r="N414">
        <f>VLOOKUP($C414,'2000 Place'!$C$2:$Y$523,15,FALSE)</f>
        <v>22</v>
      </c>
      <c r="O414">
        <f>VLOOKUP($C414,'2000 Place'!$C$2:$Y$523,16,FALSE)</f>
        <v>0</v>
      </c>
      <c r="P414">
        <f>VLOOKUP($C414,'2000 Place'!$C$2:$Y$523,17,FALSE)</f>
        <v>46</v>
      </c>
      <c r="Q414">
        <f>VLOOKUP($C414,'2000 Place'!$C$2:$Y$523,18,FALSE)</f>
        <v>0</v>
      </c>
      <c r="R414">
        <f>VLOOKUP($C414,'2000 Place'!$C$2:$Y$523,19,FALSE)</f>
        <v>0</v>
      </c>
      <c r="S414">
        <f>VLOOKUP($C414,'2000 Place'!$C$2:$Y$523,20,FALSE)</f>
        <v>305</v>
      </c>
      <c r="T414">
        <f>VLOOKUP($C414,'2000 Place'!$C$2:$Y$523,21,FALSE)</f>
        <v>229</v>
      </c>
      <c r="U414">
        <f>VLOOKUP($C414,'2000 Place'!$C$2:$Y$523,22,FALSE)</f>
        <v>114</v>
      </c>
      <c r="V414">
        <f>VLOOKUP($C414,'2000 Place'!$C$2:$Y$523,23,FALSE)</f>
        <v>27</v>
      </c>
    </row>
    <row r="415" spans="1:22" x14ac:dyDescent="0.25">
      <c r="A415" t="s">
        <v>1074</v>
      </c>
      <c r="B415">
        <v>5351410</v>
      </c>
      <c r="C415" t="s">
        <v>1075</v>
      </c>
      <c r="D415" t="e">
        <f>VLOOKUP($C415,'2000 Place'!$C$2:$Y$523,5,FALSE)</f>
        <v>#N/A</v>
      </c>
      <c r="E415" t="e">
        <f>VLOOKUP($C415,'2000 Place'!$C$2:$Y$523,6,FALSE)</f>
        <v>#N/A</v>
      </c>
      <c r="F415" t="e">
        <f>VLOOKUP($C415,'2000 Place'!$C$2:$Y$523,7,FALSE)</f>
        <v>#N/A</v>
      </c>
      <c r="G415" t="e">
        <f>VLOOKUP($C415,'2000 Place'!$C$2:$Y$523,8,FALSE)</f>
        <v>#N/A</v>
      </c>
      <c r="H415" t="e">
        <f>VLOOKUP($C415,'2000 Place'!$C$2:$Y$523,9,FALSE)</f>
        <v>#N/A</v>
      </c>
      <c r="I415" t="e">
        <f>VLOOKUP($C415,'2000 Place'!$C$2:$Y$523,10,FALSE)</f>
        <v>#N/A</v>
      </c>
      <c r="J415" t="e">
        <f>VLOOKUP($C415,'2000 Place'!$C$2:$Y$523,11,FALSE)</f>
        <v>#N/A</v>
      </c>
      <c r="K415" t="e">
        <f>VLOOKUP($C415,'2000 Place'!$C$2:$Y$523,12,FALSE)</f>
        <v>#N/A</v>
      </c>
      <c r="L415" t="e">
        <f>VLOOKUP($C415,'2000 Place'!$C$2:$Y$523,13,FALSE)</f>
        <v>#N/A</v>
      </c>
      <c r="M415" t="e">
        <f>VLOOKUP($C415,'2000 Place'!$C$2:$Y$523,14,FALSE)</f>
        <v>#N/A</v>
      </c>
      <c r="N415" t="e">
        <f>VLOOKUP($C415,'2000 Place'!$C$2:$Y$523,15,FALSE)</f>
        <v>#N/A</v>
      </c>
      <c r="O415" t="e">
        <f>VLOOKUP($C415,'2000 Place'!$C$2:$Y$523,16,FALSE)</f>
        <v>#N/A</v>
      </c>
      <c r="P415" t="e">
        <f>VLOOKUP($C415,'2000 Place'!$C$2:$Y$523,17,FALSE)</f>
        <v>#N/A</v>
      </c>
      <c r="Q415" t="e">
        <f>VLOOKUP($C415,'2000 Place'!$C$2:$Y$523,18,FALSE)</f>
        <v>#N/A</v>
      </c>
      <c r="R415" t="e">
        <f>VLOOKUP($C415,'2000 Place'!$C$2:$Y$523,19,FALSE)</f>
        <v>#N/A</v>
      </c>
      <c r="S415" t="e">
        <f>VLOOKUP($C415,'2000 Place'!$C$2:$Y$523,20,FALSE)</f>
        <v>#N/A</v>
      </c>
      <c r="T415" t="e">
        <f>VLOOKUP($C415,'2000 Place'!$C$2:$Y$523,21,FALSE)</f>
        <v>#N/A</v>
      </c>
      <c r="U415" t="e">
        <f>VLOOKUP($C415,'2000 Place'!$C$2:$Y$523,22,FALSE)</f>
        <v>#N/A</v>
      </c>
      <c r="V415" t="e">
        <f>VLOOKUP($C415,'2000 Place'!$C$2:$Y$523,23,FALSE)</f>
        <v>#N/A</v>
      </c>
    </row>
    <row r="416" spans="1:22" x14ac:dyDescent="0.25">
      <c r="A416" t="s">
        <v>1076</v>
      </c>
      <c r="B416">
        <v>5351795</v>
      </c>
      <c r="C416" t="s">
        <v>1077</v>
      </c>
      <c r="D416">
        <f>VLOOKUP($C416,'2000 Place'!$C$2:$Y$523,5,FALSE)</f>
        <v>17924</v>
      </c>
      <c r="E416">
        <f>VLOOKUP($C416,'2000 Place'!$C$2:$Y$523,6,FALSE)</f>
        <v>16155</v>
      </c>
      <c r="F416">
        <f>VLOOKUP($C416,'2000 Place'!$C$2:$Y$523,7,FALSE)</f>
        <v>1769</v>
      </c>
      <c r="G416">
        <f>VLOOKUP($C416,'2000 Place'!$C$2:$Y$523,8,FALSE)</f>
        <v>14322</v>
      </c>
      <c r="H416">
        <f>VLOOKUP($C416,'2000 Place'!$C$2:$Y$523,9,FALSE)</f>
        <v>937</v>
      </c>
      <c r="I416">
        <f>VLOOKUP($C416,'2000 Place'!$C$2:$Y$523,10,FALSE)</f>
        <v>405</v>
      </c>
      <c r="J416">
        <f>VLOOKUP($C416,'2000 Place'!$C$2:$Y$523,11,FALSE)</f>
        <v>92</v>
      </c>
      <c r="K416">
        <f>VLOOKUP($C416,'2000 Place'!$C$2:$Y$523,12,FALSE)</f>
        <v>112</v>
      </c>
      <c r="L416">
        <f>VLOOKUP($C416,'2000 Place'!$C$2:$Y$523,13,FALSE)</f>
        <v>11</v>
      </c>
      <c r="M416">
        <f>VLOOKUP($C416,'2000 Place'!$C$2:$Y$523,14,FALSE)</f>
        <v>183</v>
      </c>
      <c r="N416">
        <f>VLOOKUP($C416,'2000 Place'!$C$2:$Y$523,15,FALSE)</f>
        <v>7</v>
      </c>
      <c r="O416">
        <f>VLOOKUP($C416,'2000 Place'!$C$2:$Y$523,16,FALSE)</f>
        <v>285</v>
      </c>
      <c r="P416">
        <f>VLOOKUP($C416,'2000 Place'!$C$2:$Y$523,17,FALSE)</f>
        <v>483</v>
      </c>
      <c r="Q416">
        <f>VLOOKUP($C416,'2000 Place'!$C$2:$Y$523,18,FALSE)</f>
        <v>44</v>
      </c>
      <c r="R416">
        <f>VLOOKUP($C416,'2000 Place'!$C$2:$Y$523,19,FALSE)</f>
        <v>13</v>
      </c>
      <c r="S416">
        <f>VLOOKUP($C416,'2000 Place'!$C$2:$Y$523,20,FALSE)</f>
        <v>220</v>
      </c>
      <c r="T416">
        <f>VLOOKUP($C416,'2000 Place'!$C$2:$Y$523,21,FALSE)</f>
        <v>64</v>
      </c>
      <c r="U416">
        <f>VLOOKUP($C416,'2000 Place'!$C$2:$Y$523,22,FALSE)</f>
        <v>584</v>
      </c>
      <c r="V416">
        <f>VLOOKUP($C416,'2000 Place'!$C$2:$Y$523,23,FALSE)</f>
        <v>162</v>
      </c>
    </row>
    <row r="417" spans="1:22" x14ac:dyDescent="0.25">
      <c r="A417" t="s">
        <v>1078</v>
      </c>
      <c r="B417">
        <v>5351830</v>
      </c>
      <c r="C417" t="s">
        <v>1079</v>
      </c>
      <c r="D417" t="e">
        <f>VLOOKUP($C417,'2000 Place'!$C$2:$Y$523,5,FALSE)</f>
        <v>#N/A</v>
      </c>
      <c r="E417" t="e">
        <f>VLOOKUP($C417,'2000 Place'!$C$2:$Y$523,6,FALSE)</f>
        <v>#N/A</v>
      </c>
      <c r="F417" t="e">
        <f>VLOOKUP($C417,'2000 Place'!$C$2:$Y$523,7,FALSE)</f>
        <v>#N/A</v>
      </c>
      <c r="G417" t="e">
        <f>VLOOKUP($C417,'2000 Place'!$C$2:$Y$523,8,FALSE)</f>
        <v>#N/A</v>
      </c>
      <c r="H417" t="e">
        <f>VLOOKUP($C417,'2000 Place'!$C$2:$Y$523,9,FALSE)</f>
        <v>#N/A</v>
      </c>
      <c r="I417" t="e">
        <f>VLOOKUP($C417,'2000 Place'!$C$2:$Y$523,10,FALSE)</f>
        <v>#N/A</v>
      </c>
      <c r="J417" t="e">
        <f>VLOOKUP($C417,'2000 Place'!$C$2:$Y$523,11,FALSE)</f>
        <v>#N/A</v>
      </c>
      <c r="K417" t="e">
        <f>VLOOKUP($C417,'2000 Place'!$C$2:$Y$523,12,FALSE)</f>
        <v>#N/A</v>
      </c>
      <c r="L417" t="e">
        <f>VLOOKUP($C417,'2000 Place'!$C$2:$Y$523,13,FALSE)</f>
        <v>#N/A</v>
      </c>
      <c r="M417" t="e">
        <f>VLOOKUP($C417,'2000 Place'!$C$2:$Y$523,14,FALSE)</f>
        <v>#N/A</v>
      </c>
      <c r="N417" t="e">
        <f>VLOOKUP($C417,'2000 Place'!$C$2:$Y$523,15,FALSE)</f>
        <v>#N/A</v>
      </c>
      <c r="O417" t="e">
        <f>VLOOKUP($C417,'2000 Place'!$C$2:$Y$523,16,FALSE)</f>
        <v>#N/A</v>
      </c>
      <c r="P417" t="e">
        <f>VLOOKUP($C417,'2000 Place'!$C$2:$Y$523,17,FALSE)</f>
        <v>#N/A</v>
      </c>
      <c r="Q417" t="e">
        <f>VLOOKUP($C417,'2000 Place'!$C$2:$Y$523,18,FALSE)</f>
        <v>#N/A</v>
      </c>
      <c r="R417" t="e">
        <f>VLOOKUP($C417,'2000 Place'!$C$2:$Y$523,19,FALSE)</f>
        <v>#N/A</v>
      </c>
      <c r="S417" t="e">
        <f>VLOOKUP($C417,'2000 Place'!$C$2:$Y$523,20,FALSE)</f>
        <v>#N/A</v>
      </c>
      <c r="T417" t="e">
        <f>VLOOKUP($C417,'2000 Place'!$C$2:$Y$523,21,FALSE)</f>
        <v>#N/A</v>
      </c>
      <c r="U417" t="e">
        <f>VLOOKUP($C417,'2000 Place'!$C$2:$Y$523,22,FALSE)</f>
        <v>#N/A</v>
      </c>
      <c r="V417" t="e">
        <f>VLOOKUP($C417,'2000 Place'!$C$2:$Y$523,23,FALSE)</f>
        <v>#N/A</v>
      </c>
    </row>
    <row r="418" spans="1:22" x14ac:dyDescent="0.25">
      <c r="A418" t="s">
        <v>1080</v>
      </c>
      <c r="B418">
        <v>5351970</v>
      </c>
      <c r="C418" t="s">
        <v>1081</v>
      </c>
      <c r="D418">
        <f>VLOOKUP($C418,'2000 Place'!$C$2:$Y$523,5,FALSE)</f>
        <v>1638</v>
      </c>
      <c r="E418">
        <f>VLOOKUP($C418,'2000 Place'!$C$2:$Y$523,6,FALSE)</f>
        <v>1415</v>
      </c>
      <c r="F418">
        <f>VLOOKUP($C418,'2000 Place'!$C$2:$Y$523,7,FALSE)</f>
        <v>223</v>
      </c>
      <c r="G418">
        <f>VLOOKUP($C418,'2000 Place'!$C$2:$Y$523,8,FALSE)</f>
        <v>1175</v>
      </c>
      <c r="H418">
        <f>VLOOKUP($C418,'2000 Place'!$C$2:$Y$523,9,FALSE)</f>
        <v>48</v>
      </c>
      <c r="I418">
        <f>VLOOKUP($C418,'2000 Place'!$C$2:$Y$523,10,FALSE)</f>
        <v>85</v>
      </c>
      <c r="J418">
        <f>VLOOKUP($C418,'2000 Place'!$C$2:$Y$523,11,FALSE)</f>
        <v>96</v>
      </c>
      <c r="K418">
        <f>VLOOKUP($C418,'2000 Place'!$C$2:$Y$523,12,FALSE)</f>
        <v>3</v>
      </c>
      <c r="L418">
        <f>VLOOKUP($C418,'2000 Place'!$C$2:$Y$523,13,FALSE)</f>
        <v>1</v>
      </c>
      <c r="M418">
        <f>VLOOKUP($C418,'2000 Place'!$C$2:$Y$523,14,FALSE)</f>
        <v>47</v>
      </c>
      <c r="N418">
        <f>VLOOKUP($C418,'2000 Place'!$C$2:$Y$523,15,FALSE)</f>
        <v>20</v>
      </c>
      <c r="O418">
        <f>VLOOKUP($C418,'2000 Place'!$C$2:$Y$523,16,FALSE)</f>
        <v>2</v>
      </c>
      <c r="P418">
        <f>VLOOKUP($C418,'2000 Place'!$C$2:$Y$523,17,FALSE)</f>
        <v>4</v>
      </c>
      <c r="Q418">
        <f>VLOOKUP($C418,'2000 Place'!$C$2:$Y$523,18,FALSE)</f>
        <v>13</v>
      </c>
      <c r="R418">
        <f>VLOOKUP($C418,'2000 Place'!$C$2:$Y$523,19,FALSE)</f>
        <v>0</v>
      </c>
      <c r="S418">
        <f>VLOOKUP($C418,'2000 Place'!$C$2:$Y$523,20,FALSE)</f>
        <v>44</v>
      </c>
      <c r="T418">
        <f>VLOOKUP($C418,'2000 Place'!$C$2:$Y$523,21,FALSE)</f>
        <v>49</v>
      </c>
      <c r="U418">
        <f>VLOOKUP($C418,'2000 Place'!$C$2:$Y$523,22,FALSE)</f>
        <v>46</v>
      </c>
      <c r="V418">
        <f>VLOOKUP($C418,'2000 Place'!$C$2:$Y$523,23,FALSE)</f>
        <v>5</v>
      </c>
    </row>
    <row r="419" spans="1:22" x14ac:dyDescent="0.25">
      <c r="A419" t="s">
        <v>1082</v>
      </c>
      <c r="B419">
        <v>5352005</v>
      </c>
      <c r="C419" t="s">
        <v>1083</v>
      </c>
      <c r="D419">
        <f>VLOOKUP($C419,'2000 Place'!$C$2:$Y$523,5,FALSE)</f>
        <v>3776</v>
      </c>
      <c r="E419">
        <f>VLOOKUP($C419,'2000 Place'!$C$2:$Y$523,6,FALSE)</f>
        <v>3536</v>
      </c>
      <c r="F419">
        <f>VLOOKUP($C419,'2000 Place'!$C$2:$Y$523,7,FALSE)</f>
        <v>240</v>
      </c>
      <c r="G419">
        <f>VLOOKUP($C419,'2000 Place'!$C$2:$Y$523,8,FALSE)</f>
        <v>3195</v>
      </c>
      <c r="H419">
        <f>VLOOKUP($C419,'2000 Place'!$C$2:$Y$523,9,FALSE)</f>
        <v>171</v>
      </c>
      <c r="I419">
        <f>VLOOKUP($C419,'2000 Place'!$C$2:$Y$523,10,FALSE)</f>
        <v>69</v>
      </c>
      <c r="J419">
        <f>VLOOKUP($C419,'2000 Place'!$C$2:$Y$523,11,FALSE)</f>
        <v>10</v>
      </c>
      <c r="K419">
        <f>VLOOKUP($C419,'2000 Place'!$C$2:$Y$523,12,FALSE)</f>
        <v>16</v>
      </c>
      <c r="L419">
        <f>VLOOKUP($C419,'2000 Place'!$C$2:$Y$523,13,FALSE)</f>
        <v>0</v>
      </c>
      <c r="M419">
        <f>VLOOKUP($C419,'2000 Place'!$C$2:$Y$523,14,FALSE)</f>
        <v>78</v>
      </c>
      <c r="N419">
        <f>VLOOKUP($C419,'2000 Place'!$C$2:$Y$523,15,FALSE)</f>
        <v>0</v>
      </c>
      <c r="O419">
        <f>VLOOKUP($C419,'2000 Place'!$C$2:$Y$523,16,FALSE)</f>
        <v>21</v>
      </c>
      <c r="P419">
        <f>VLOOKUP($C419,'2000 Place'!$C$2:$Y$523,17,FALSE)</f>
        <v>27</v>
      </c>
      <c r="Q419">
        <f>VLOOKUP($C419,'2000 Place'!$C$2:$Y$523,18,FALSE)</f>
        <v>0</v>
      </c>
      <c r="R419">
        <f>VLOOKUP($C419,'2000 Place'!$C$2:$Y$523,19,FALSE)</f>
        <v>0</v>
      </c>
      <c r="S419">
        <f>VLOOKUP($C419,'2000 Place'!$C$2:$Y$523,20,FALSE)</f>
        <v>10</v>
      </c>
      <c r="T419">
        <f>VLOOKUP($C419,'2000 Place'!$C$2:$Y$523,21,FALSE)</f>
        <v>5</v>
      </c>
      <c r="U419">
        <f>VLOOKUP($C419,'2000 Place'!$C$2:$Y$523,22,FALSE)</f>
        <v>147</v>
      </c>
      <c r="V419">
        <f>VLOOKUP($C419,'2000 Place'!$C$2:$Y$523,23,FALSE)</f>
        <v>27</v>
      </c>
    </row>
    <row r="420" spans="1:22" x14ac:dyDescent="0.25">
      <c r="A420" t="s">
        <v>1084</v>
      </c>
      <c r="B420">
        <v>5352110</v>
      </c>
      <c r="C420" t="s">
        <v>1085</v>
      </c>
      <c r="D420">
        <f>VLOOKUP($C420,'2000 Place'!$C$2:$Y$523,5,FALSE)</f>
        <v>206</v>
      </c>
      <c r="E420">
        <f>VLOOKUP($C420,'2000 Place'!$C$2:$Y$523,6,FALSE)</f>
        <v>206</v>
      </c>
      <c r="F420">
        <f>VLOOKUP($C420,'2000 Place'!$C$2:$Y$523,7,FALSE)</f>
        <v>0</v>
      </c>
      <c r="G420">
        <f>VLOOKUP($C420,'2000 Place'!$C$2:$Y$523,8,FALSE)</f>
        <v>206</v>
      </c>
      <c r="H420">
        <f>VLOOKUP($C420,'2000 Place'!$C$2:$Y$523,9,FALSE)</f>
        <v>0</v>
      </c>
      <c r="I420">
        <f>VLOOKUP($C420,'2000 Place'!$C$2:$Y$523,10,FALSE)</f>
        <v>0</v>
      </c>
      <c r="J420">
        <f>VLOOKUP($C420,'2000 Place'!$C$2:$Y$523,11,FALSE)</f>
        <v>0</v>
      </c>
      <c r="K420">
        <f>VLOOKUP($C420,'2000 Place'!$C$2:$Y$523,12,FALSE)</f>
        <v>0</v>
      </c>
      <c r="L420">
        <f>VLOOKUP($C420,'2000 Place'!$C$2:$Y$523,13,FALSE)</f>
        <v>0</v>
      </c>
      <c r="M420">
        <f>VLOOKUP($C420,'2000 Place'!$C$2:$Y$523,14,FALSE)</f>
        <v>0</v>
      </c>
      <c r="N420">
        <f>VLOOKUP($C420,'2000 Place'!$C$2:$Y$523,15,FALSE)</f>
        <v>0</v>
      </c>
      <c r="O420">
        <f>VLOOKUP($C420,'2000 Place'!$C$2:$Y$523,16,FALSE)</f>
        <v>0</v>
      </c>
      <c r="P420">
        <f>VLOOKUP($C420,'2000 Place'!$C$2:$Y$523,17,FALSE)</f>
        <v>0</v>
      </c>
      <c r="Q420">
        <f>VLOOKUP($C420,'2000 Place'!$C$2:$Y$523,18,FALSE)</f>
        <v>0</v>
      </c>
      <c r="R420">
        <f>VLOOKUP($C420,'2000 Place'!$C$2:$Y$523,19,FALSE)</f>
        <v>0</v>
      </c>
      <c r="S420">
        <f>VLOOKUP($C420,'2000 Place'!$C$2:$Y$523,20,FALSE)</f>
        <v>0</v>
      </c>
      <c r="T420">
        <f>VLOOKUP($C420,'2000 Place'!$C$2:$Y$523,21,FALSE)</f>
        <v>0</v>
      </c>
      <c r="U420">
        <f>VLOOKUP($C420,'2000 Place'!$C$2:$Y$523,22,FALSE)</f>
        <v>0</v>
      </c>
      <c r="V420">
        <f>VLOOKUP($C420,'2000 Place'!$C$2:$Y$523,23,FALSE)</f>
        <v>0</v>
      </c>
    </row>
    <row r="421" spans="1:22" x14ac:dyDescent="0.25">
      <c r="A421" t="s">
        <v>1086</v>
      </c>
      <c r="B421">
        <v>5352215</v>
      </c>
      <c r="C421" t="s">
        <v>1087</v>
      </c>
      <c r="D421">
        <f>VLOOKUP($C421,'2000 Place'!$C$2:$Y$523,5,FALSE)</f>
        <v>5750</v>
      </c>
      <c r="E421">
        <f>VLOOKUP($C421,'2000 Place'!$C$2:$Y$523,6,FALSE)</f>
        <v>4025</v>
      </c>
      <c r="F421">
        <f>VLOOKUP($C421,'2000 Place'!$C$2:$Y$523,7,FALSE)</f>
        <v>1725</v>
      </c>
      <c r="G421">
        <f>VLOOKUP($C421,'2000 Place'!$C$2:$Y$523,8,FALSE)</f>
        <v>1959</v>
      </c>
      <c r="H421">
        <f>VLOOKUP($C421,'2000 Place'!$C$2:$Y$523,9,FALSE)</f>
        <v>45</v>
      </c>
      <c r="I421">
        <f>VLOOKUP($C421,'2000 Place'!$C$2:$Y$523,10,FALSE)</f>
        <v>693</v>
      </c>
      <c r="J421">
        <f>VLOOKUP($C421,'2000 Place'!$C$2:$Y$523,11,FALSE)</f>
        <v>475</v>
      </c>
      <c r="K421">
        <f>VLOOKUP($C421,'2000 Place'!$C$2:$Y$523,12,FALSE)</f>
        <v>8</v>
      </c>
      <c r="L421">
        <f>VLOOKUP($C421,'2000 Place'!$C$2:$Y$523,13,FALSE)</f>
        <v>35</v>
      </c>
      <c r="M421">
        <f>VLOOKUP($C421,'2000 Place'!$C$2:$Y$523,14,FALSE)</f>
        <v>6</v>
      </c>
      <c r="N421">
        <f>VLOOKUP($C421,'2000 Place'!$C$2:$Y$523,15,FALSE)</f>
        <v>0</v>
      </c>
      <c r="O421">
        <f>VLOOKUP($C421,'2000 Place'!$C$2:$Y$523,16,FALSE)</f>
        <v>49</v>
      </c>
      <c r="P421">
        <f>VLOOKUP($C421,'2000 Place'!$C$2:$Y$523,17,FALSE)</f>
        <v>35</v>
      </c>
      <c r="Q421">
        <f>VLOOKUP($C421,'2000 Place'!$C$2:$Y$523,18,FALSE)</f>
        <v>0</v>
      </c>
      <c r="R421">
        <f>VLOOKUP($C421,'2000 Place'!$C$2:$Y$523,19,FALSE)</f>
        <v>0</v>
      </c>
      <c r="S421">
        <f>VLOOKUP($C421,'2000 Place'!$C$2:$Y$523,20,FALSE)</f>
        <v>1151</v>
      </c>
      <c r="T421">
        <f>VLOOKUP($C421,'2000 Place'!$C$2:$Y$523,21,FALSE)</f>
        <v>1071</v>
      </c>
      <c r="U421">
        <f>VLOOKUP($C421,'2000 Place'!$C$2:$Y$523,22,FALSE)</f>
        <v>159</v>
      </c>
      <c r="V421">
        <f>VLOOKUP($C421,'2000 Place'!$C$2:$Y$523,23,FALSE)</f>
        <v>64</v>
      </c>
    </row>
    <row r="422" spans="1:22" x14ac:dyDescent="0.25">
      <c r="A422" t="s">
        <v>1088</v>
      </c>
      <c r="B422">
        <v>5352267</v>
      </c>
      <c r="C422" t="s">
        <v>1089</v>
      </c>
      <c r="D422">
        <f>VLOOKUP($C422,'2000 Place'!$C$2:$Y$523,5,FALSE)</f>
        <v>6328</v>
      </c>
      <c r="E422">
        <f>VLOOKUP($C422,'2000 Place'!$C$2:$Y$523,6,FALSE)</f>
        <v>6186</v>
      </c>
      <c r="F422">
        <f>VLOOKUP($C422,'2000 Place'!$C$2:$Y$523,7,FALSE)</f>
        <v>142</v>
      </c>
      <c r="G422">
        <f>VLOOKUP($C422,'2000 Place'!$C$2:$Y$523,8,FALSE)</f>
        <v>5889</v>
      </c>
      <c r="H422">
        <f>VLOOKUP($C422,'2000 Place'!$C$2:$Y$523,9,FALSE)</f>
        <v>134</v>
      </c>
      <c r="I422">
        <f>VLOOKUP($C422,'2000 Place'!$C$2:$Y$523,10,FALSE)</f>
        <v>86</v>
      </c>
      <c r="J422">
        <f>VLOOKUP($C422,'2000 Place'!$C$2:$Y$523,11,FALSE)</f>
        <v>0</v>
      </c>
      <c r="K422">
        <f>VLOOKUP($C422,'2000 Place'!$C$2:$Y$523,12,FALSE)</f>
        <v>25</v>
      </c>
      <c r="L422">
        <f>VLOOKUP($C422,'2000 Place'!$C$2:$Y$523,13,FALSE)</f>
        <v>0</v>
      </c>
      <c r="M422">
        <f>VLOOKUP($C422,'2000 Place'!$C$2:$Y$523,14,FALSE)</f>
        <v>34</v>
      </c>
      <c r="N422">
        <f>VLOOKUP($C422,'2000 Place'!$C$2:$Y$523,15,FALSE)</f>
        <v>0</v>
      </c>
      <c r="O422">
        <f>VLOOKUP($C422,'2000 Place'!$C$2:$Y$523,16,FALSE)</f>
        <v>8</v>
      </c>
      <c r="P422">
        <f>VLOOKUP($C422,'2000 Place'!$C$2:$Y$523,17,FALSE)</f>
        <v>8</v>
      </c>
      <c r="Q422">
        <f>VLOOKUP($C422,'2000 Place'!$C$2:$Y$523,18,FALSE)</f>
        <v>0</v>
      </c>
      <c r="R422">
        <f>VLOOKUP($C422,'2000 Place'!$C$2:$Y$523,19,FALSE)</f>
        <v>0</v>
      </c>
      <c r="S422">
        <f>VLOOKUP($C422,'2000 Place'!$C$2:$Y$523,20,FALSE)</f>
        <v>32</v>
      </c>
      <c r="T422">
        <f>VLOOKUP($C422,'2000 Place'!$C$2:$Y$523,21,FALSE)</f>
        <v>0</v>
      </c>
      <c r="U422">
        <f>VLOOKUP($C422,'2000 Place'!$C$2:$Y$523,22,FALSE)</f>
        <v>112</v>
      </c>
      <c r="V422">
        <f>VLOOKUP($C422,'2000 Place'!$C$2:$Y$523,23,FALSE)</f>
        <v>0</v>
      </c>
    </row>
    <row r="423" spans="1:22" x14ac:dyDescent="0.25">
      <c r="A423" t="s">
        <v>1090</v>
      </c>
      <c r="B423">
        <v>5352285</v>
      </c>
      <c r="C423" t="s">
        <v>1091</v>
      </c>
      <c r="D423" t="e">
        <f>VLOOKUP($C423,'2000 Place'!$C$2:$Y$523,5,FALSE)</f>
        <v>#N/A</v>
      </c>
      <c r="E423" t="e">
        <f>VLOOKUP($C423,'2000 Place'!$C$2:$Y$523,6,FALSE)</f>
        <v>#N/A</v>
      </c>
      <c r="F423" t="e">
        <f>VLOOKUP($C423,'2000 Place'!$C$2:$Y$523,7,FALSE)</f>
        <v>#N/A</v>
      </c>
      <c r="G423" t="e">
        <f>VLOOKUP($C423,'2000 Place'!$C$2:$Y$523,8,FALSE)</f>
        <v>#N/A</v>
      </c>
      <c r="H423" t="e">
        <f>VLOOKUP($C423,'2000 Place'!$C$2:$Y$523,9,FALSE)</f>
        <v>#N/A</v>
      </c>
      <c r="I423" t="e">
        <f>VLOOKUP($C423,'2000 Place'!$C$2:$Y$523,10,FALSE)</f>
        <v>#N/A</v>
      </c>
      <c r="J423" t="e">
        <f>VLOOKUP($C423,'2000 Place'!$C$2:$Y$523,11,FALSE)</f>
        <v>#N/A</v>
      </c>
      <c r="K423" t="e">
        <f>VLOOKUP($C423,'2000 Place'!$C$2:$Y$523,12,FALSE)</f>
        <v>#N/A</v>
      </c>
      <c r="L423" t="e">
        <f>VLOOKUP($C423,'2000 Place'!$C$2:$Y$523,13,FALSE)</f>
        <v>#N/A</v>
      </c>
      <c r="M423" t="e">
        <f>VLOOKUP($C423,'2000 Place'!$C$2:$Y$523,14,FALSE)</f>
        <v>#N/A</v>
      </c>
      <c r="N423" t="e">
        <f>VLOOKUP($C423,'2000 Place'!$C$2:$Y$523,15,FALSE)</f>
        <v>#N/A</v>
      </c>
      <c r="O423" t="e">
        <f>VLOOKUP($C423,'2000 Place'!$C$2:$Y$523,16,FALSE)</f>
        <v>#N/A</v>
      </c>
      <c r="P423" t="e">
        <f>VLOOKUP($C423,'2000 Place'!$C$2:$Y$523,17,FALSE)</f>
        <v>#N/A</v>
      </c>
      <c r="Q423" t="e">
        <f>VLOOKUP($C423,'2000 Place'!$C$2:$Y$523,18,FALSE)</f>
        <v>#N/A</v>
      </c>
      <c r="R423" t="e">
        <f>VLOOKUP($C423,'2000 Place'!$C$2:$Y$523,19,FALSE)</f>
        <v>#N/A</v>
      </c>
      <c r="S423" t="e">
        <f>VLOOKUP($C423,'2000 Place'!$C$2:$Y$523,20,FALSE)</f>
        <v>#N/A</v>
      </c>
      <c r="T423" t="e">
        <f>VLOOKUP($C423,'2000 Place'!$C$2:$Y$523,21,FALSE)</f>
        <v>#N/A</v>
      </c>
      <c r="U423" t="e">
        <f>VLOOKUP($C423,'2000 Place'!$C$2:$Y$523,22,FALSE)</f>
        <v>#N/A</v>
      </c>
      <c r="V423" t="e">
        <f>VLOOKUP($C423,'2000 Place'!$C$2:$Y$523,23,FALSE)</f>
        <v>#N/A</v>
      </c>
    </row>
    <row r="424" spans="1:22" x14ac:dyDescent="0.25">
      <c r="A424" t="s">
        <v>1092</v>
      </c>
      <c r="B424">
        <v>5352378</v>
      </c>
      <c r="C424" t="s">
        <v>1093</v>
      </c>
      <c r="D424" t="e">
        <f>VLOOKUP($C424,'2000 Place'!$C$2:$Y$523,5,FALSE)</f>
        <v>#N/A</v>
      </c>
      <c r="E424" t="e">
        <f>VLOOKUP($C424,'2000 Place'!$C$2:$Y$523,6,FALSE)</f>
        <v>#N/A</v>
      </c>
      <c r="F424" t="e">
        <f>VLOOKUP($C424,'2000 Place'!$C$2:$Y$523,7,FALSE)</f>
        <v>#N/A</v>
      </c>
      <c r="G424" t="e">
        <f>VLOOKUP($C424,'2000 Place'!$C$2:$Y$523,8,FALSE)</f>
        <v>#N/A</v>
      </c>
      <c r="H424" t="e">
        <f>VLOOKUP($C424,'2000 Place'!$C$2:$Y$523,9,FALSE)</f>
        <v>#N/A</v>
      </c>
      <c r="I424" t="e">
        <f>VLOOKUP($C424,'2000 Place'!$C$2:$Y$523,10,FALSE)</f>
        <v>#N/A</v>
      </c>
      <c r="J424" t="e">
        <f>VLOOKUP($C424,'2000 Place'!$C$2:$Y$523,11,FALSE)</f>
        <v>#N/A</v>
      </c>
      <c r="K424" t="e">
        <f>VLOOKUP($C424,'2000 Place'!$C$2:$Y$523,12,FALSE)</f>
        <v>#N/A</v>
      </c>
      <c r="L424" t="e">
        <f>VLOOKUP($C424,'2000 Place'!$C$2:$Y$523,13,FALSE)</f>
        <v>#N/A</v>
      </c>
      <c r="M424" t="e">
        <f>VLOOKUP($C424,'2000 Place'!$C$2:$Y$523,14,FALSE)</f>
        <v>#N/A</v>
      </c>
      <c r="N424" t="e">
        <f>VLOOKUP($C424,'2000 Place'!$C$2:$Y$523,15,FALSE)</f>
        <v>#N/A</v>
      </c>
      <c r="O424" t="e">
        <f>VLOOKUP($C424,'2000 Place'!$C$2:$Y$523,16,FALSE)</f>
        <v>#N/A</v>
      </c>
      <c r="P424" t="e">
        <f>VLOOKUP($C424,'2000 Place'!$C$2:$Y$523,17,FALSE)</f>
        <v>#N/A</v>
      </c>
      <c r="Q424" t="e">
        <f>VLOOKUP($C424,'2000 Place'!$C$2:$Y$523,18,FALSE)</f>
        <v>#N/A</v>
      </c>
      <c r="R424" t="e">
        <f>VLOOKUP($C424,'2000 Place'!$C$2:$Y$523,19,FALSE)</f>
        <v>#N/A</v>
      </c>
      <c r="S424" t="e">
        <f>VLOOKUP($C424,'2000 Place'!$C$2:$Y$523,20,FALSE)</f>
        <v>#N/A</v>
      </c>
      <c r="T424" t="e">
        <f>VLOOKUP($C424,'2000 Place'!$C$2:$Y$523,21,FALSE)</f>
        <v>#N/A</v>
      </c>
      <c r="U424" t="e">
        <f>VLOOKUP($C424,'2000 Place'!$C$2:$Y$523,22,FALSE)</f>
        <v>#N/A</v>
      </c>
      <c r="V424" t="e">
        <f>VLOOKUP($C424,'2000 Place'!$C$2:$Y$523,23,FALSE)</f>
        <v>#N/A</v>
      </c>
    </row>
    <row r="425" spans="1:22" x14ac:dyDescent="0.25">
      <c r="A425" t="s">
        <v>1094</v>
      </c>
      <c r="B425">
        <v>5352495</v>
      </c>
      <c r="C425" t="s">
        <v>1095</v>
      </c>
      <c r="D425">
        <f>VLOOKUP($C425,'2000 Place'!$C$2:$Y$523,5,FALSE)</f>
        <v>5482</v>
      </c>
      <c r="E425">
        <f>VLOOKUP($C425,'2000 Place'!$C$2:$Y$523,6,FALSE)</f>
        <v>5094</v>
      </c>
      <c r="F425">
        <f>VLOOKUP($C425,'2000 Place'!$C$2:$Y$523,7,FALSE)</f>
        <v>388</v>
      </c>
      <c r="G425">
        <f>VLOOKUP($C425,'2000 Place'!$C$2:$Y$523,8,FALSE)</f>
        <v>4457</v>
      </c>
      <c r="H425">
        <f>VLOOKUP($C425,'2000 Place'!$C$2:$Y$523,9,FALSE)</f>
        <v>149</v>
      </c>
      <c r="I425">
        <f>VLOOKUP($C425,'2000 Place'!$C$2:$Y$523,10,FALSE)</f>
        <v>110</v>
      </c>
      <c r="J425">
        <f>VLOOKUP($C425,'2000 Place'!$C$2:$Y$523,11,FALSE)</f>
        <v>38</v>
      </c>
      <c r="K425">
        <f>VLOOKUP($C425,'2000 Place'!$C$2:$Y$523,12,FALSE)</f>
        <v>43</v>
      </c>
      <c r="L425">
        <f>VLOOKUP($C425,'2000 Place'!$C$2:$Y$523,13,FALSE)</f>
        <v>0</v>
      </c>
      <c r="M425">
        <f>VLOOKUP($C425,'2000 Place'!$C$2:$Y$523,14,FALSE)</f>
        <v>119</v>
      </c>
      <c r="N425">
        <f>VLOOKUP($C425,'2000 Place'!$C$2:$Y$523,15,FALSE)</f>
        <v>0</v>
      </c>
      <c r="O425">
        <f>VLOOKUP($C425,'2000 Place'!$C$2:$Y$523,16,FALSE)</f>
        <v>35</v>
      </c>
      <c r="P425">
        <f>VLOOKUP($C425,'2000 Place'!$C$2:$Y$523,17,FALSE)</f>
        <v>164</v>
      </c>
      <c r="Q425">
        <f>VLOOKUP($C425,'2000 Place'!$C$2:$Y$523,18,FALSE)</f>
        <v>0</v>
      </c>
      <c r="R425">
        <f>VLOOKUP($C425,'2000 Place'!$C$2:$Y$523,19,FALSE)</f>
        <v>0</v>
      </c>
      <c r="S425">
        <f>VLOOKUP($C425,'2000 Place'!$C$2:$Y$523,20,FALSE)</f>
        <v>97</v>
      </c>
      <c r="T425">
        <f>VLOOKUP($C425,'2000 Place'!$C$2:$Y$523,21,FALSE)</f>
        <v>23</v>
      </c>
      <c r="U425">
        <f>VLOOKUP($C425,'2000 Place'!$C$2:$Y$523,22,FALSE)</f>
        <v>233</v>
      </c>
      <c r="V425">
        <f>VLOOKUP($C425,'2000 Place'!$C$2:$Y$523,23,FALSE)</f>
        <v>14</v>
      </c>
    </row>
    <row r="426" spans="1:22" x14ac:dyDescent="0.25">
      <c r="A426" t="s">
        <v>1096</v>
      </c>
      <c r="B426">
        <v>5352530</v>
      </c>
      <c r="C426" t="s">
        <v>1097</v>
      </c>
      <c r="D426" t="e">
        <f>VLOOKUP($C426,'2000 Place'!$C$2:$Y$523,5,FALSE)</f>
        <v>#N/A</v>
      </c>
      <c r="E426" t="e">
        <f>VLOOKUP($C426,'2000 Place'!$C$2:$Y$523,6,FALSE)</f>
        <v>#N/A</v>
      </c>
      <c r="F426" t="e">
        <f>VLOOKUP($C426,'2000 Place'!$C$2:$Y$523,7,FALSE)</f>
        <v>#N/A</v>
      </c>
      <c r="G426" t="e">
        <f>VLOOKUP($C426,'2000 Place'!$C$2:$Y$523,8,FALSE)</f>
        <v>#N/A</v>
      </c>
      <c r="H426" t="e">
        <f>VLOOKUP($C426,'2000 Place'!$C$2:$Y$523,9,FALSE)</f>
        <v>#N/A</v>
      </c>
      <c r="I426" t="e">
        <f>VLOOKUP($C426,'2000 Place'!$C$2:$Y$523,10,FALSE)</f>
        <v>#N/A</v>
      </c>
      <c r="J426" t="e">
        <f>VLOOKUP($C426,'2000 Place'!$C$2:$Y$523,11,FALSE)</f>
        <v>#N/A</v>
      </c>
      <c r="K426" t="e">
        <f>VLOOKUP($C426,'2000 Place'!$C$2:$Y$523,12,FALSE)</f>
        <v>#N/A</v>
      </c>
      <c r="L426" t="e">
        <f>VLOOKUP($C426,'2000 Place'!$C$2:$Y$523,13,FALSE)</f>
        <v>#N/A</v>
      </c>
      <c r="M426" t="e">
        <f>VLOOKUP($C426,'2000 Place'!$C$2:$Y$523,14,FALSE)</f>
        <v>#N/A</v>
      </c>
      <c r="N426" t="e">
        <f>VLOOKUP($C426,'2000 Place'!$C$2:$Y$523,15,FALSE)</f>
        <v>#N/A</v>
      </c>
      <c r="O426" t="e">
        <f>VLOOKUP($C426,'2000 Place'!$C$2:$Y$523,16,FALSE)</f>
        <v>#N/A</v>
      </c>
      <c r="P426" t="e">
        <f>VLOOKUP($C426,'2000 Place'!$C$2:$Y$523,17,FALSE)</f>
        <v>#N/A</v>
      </c>
      <c r="Q426" t="e">
        <f>VLOOKUP($C426,'2000 Place'!$C$2:$Y$523,18,FALSE)</f>
        <v>#N/A</v>
      </c>
      <c r="R426" t="e">
        <f>VLOOKUP($C426,'2000 Place'!$C$2:$Y$523,19,FALSE)</f>
        <v>#N/A</v>
      </c>
      <c r="S426" t="e">
        <f>VLOOKUP($C426,'2000 Place'!$C$2:$Y$523,20,FALSE)</f>
        <v>#N/A</v>
      </c>
      <c r="T426" t="e">
        <f>VLOOKUP($C426,'2000 Place'!$C$2:$Y$523,21,FALSE)</f>
        <v>#N/A</v>
      </c>
      <c r="U426" t="e">
        <f>VLOOKUP($C426,'2000 Place'!$C$2:$Y$523,22,FALSE)</f>
        <v>#N/A</v>
      </c>
      <c r="V426" t="e">
        <f>VLOOKUP($C426,'2000 Place'!$C$2:$Y$523,23,FALSE)</f>
        <v>#N/A</v>
      </c>
    </row>
    <row r="427" spans="1:22" x14ac:dyDescent="0.25">
      <c r="A427" t="s">
        <v>1098</v>
      </c>
      <c r="B427">
        <v>5352600</v>
      </c>
      <c r="C427" t="s">
        <v>1099</v>
      </c>
      <c r="D427" t="e">
        <f>VLOOKUP($C427,'2000 Place'!$C$2:$Y$523,5,FALSE)</f>
        <v>#N/A</v>
      </c>
      <c r="E427" t="e">
        <f>VLOOKUP($C427,'2000 Place'!$C$2:$Y$523,6,FALSE)</f>
        <v>#N/A</v>
      </c>
      <c r="F427" t="e">
        <f>VLOOKUP($C427,'2000 Place'!$C$2:$Y$523,7,FALSE)</f>
        <v>#N/A</v>
      </c>
      <c r="G427" t="e">
        <f>VLOOKUP($C427,'2000 Place'!$C$2:$Y$523,8,FALSE)</f>
        <v>#N/A</v>
      </c>
      <c r="H427" t="e">
        <f>VLOOKUP($C427,'2000 Place'!$C$2:$Y$523,9,FALSE)</f>
        <v>#N/A</v>
      </c>
      <c r="I427" t="e">
        <f>VLOOKUP($C427,'2000 Place'!$C$2:$Y$523,10,FALSE)</f>
        <v>#N/A</v>
      </c>
      <c r="J427" t="e">
        <f>VLOOKUP($C427,'2000 Place'!$C$2:$Y$523,11,FALSE)</f>
        <v>#N/A</v>
      </c>
      <c r="K427" t="e">
        <f>VLOOKUP($C427,'2000 Place'!$C$2:$Y$523,12,FALSE)</f>
        <v>#N/A</v>
      </c>
      <c r="L427" t="e">
        <f>VLOOKUP($C427,'2000 Place'!$C$2:$Y$523,13,FALSE)</f>
        <v>#N/A</v>
      </c>
      <c r="M427" t="e">
        <f>VLOOKUP($C427,'2000 Place'!$C$2:$Y$523,14,FALSE)</f>
        <v>#N/A</v>
      </c>
      <c r="N427" t="e">
        <f>VLOOKUP($C427,'2000 Place'!$C$2:$Y$523,15,FALSE)</f>
        <v>#N/A</v>
      </c>
      <c r="O427" t="e">
        <f>VLOOKUP($C427,'2000 Place'!$C$2:$Y$523,16,FALSE)</f>
        <v>#N/A</v>
      </c>
      <c r="P427" t="e">
        <f>VLOOKUP($C427,'2000 Place'!$C$2:$Y$523,17,FALSE)</f>
        <v>#N/A</v>
      </c>
      <c r="Q427" t="e">
        <f>VLOOKUP($C427,'2000 Place'!$C$2:$Y$523,18,FALSE)</f>
        <v>#N/A</v>
      </c>
      <c r="R427" t="e">
        <f>VLOOKUP($C427,'2000 Place'!$C$2:$Y$523,19,FALSE)</f>
        <v>#N/A</v>
      </c>
      <c r="S427" t="e">
        <f>VLOOKUP($C427,'2000 Place'!$C$2:$Y$523,20,FALSE)</f>
        <v>#N/A</v>
      </c>
      <c r="T427" t="e">
        <f>VLOOKUP($C427,'2000 Place'!$C$2:$Y$523,21,FALSE)</f>
        <v>#N/A</v>
      </c>
      <c r="U427" t="e">
        <f>VLOOKUP($C427,'2000 Place'!$C$2:$Y$523,22,FALSE)</f>
        <v>#N/A</v>
      </c>
      <c r="V427" t="e">
        <f>VLOOKUP($C427,'2000 Place'!$C$2:$Y$523,23,FALSE)</f>
        <v>#N/A</v>
      </c>
    </row>
    <row r="428" spans="1:22" x14ac:dyDescent="0.25">
      <c r="A428" t="s">
        <v>1100</v>
      </c>
      <c r="B428">
        <v>5352950</v>
      </c>
      <c r="C428" t="s">
        <v>1101</v>
      </c>
      <c r="D428">
        <f>VLOOKUP($C428,'2000 Place'!$C$2:$Y$523,5,FALSE)</f>
        <v>1026</v>
      </c>
      <c r="E428">
        <f>VLOOKUP($C428,'2000 Place'!$C$2:$Y$523,6,FALSE)</f>
        <v>1005</v>
      </c>
      <c r="F428">
        <f>VLOOKUP($C428,'2000 Place'!$C$2:$Y$523,7,FALSE)</f>
        <v>21</v>
      </c>
      <c r="G428">
        <f>VLOOKUP($C428,'2000 Place'!$C$2:$Y$523,8,FALSE)</f>
        <v>937</v>
      </c>
      <c r="H428">
        <f>VLOOKUP($C428,'2000 Place'!$C$2:$Y$523,9,FALSE)</f>
        <v>11</v>
      </c>
      <c r="I428">
        <f>VLOOKUP($C428,'2000 Place'!$C$2:$Y$523,10,FALSE)</f>
        <v>5</v>
      </c>
      <c r="J428">
        <f>VLOOKUP($C428,'2000 Place'!$C$2:$Y$523,11,FALSE)</f>
        <v>5</v>
      </c>
      <c r="K428">
        <f>VLOOKUP($C428,'2000 Place'!$C$2:$Y$523,12,FALSE)</f>
        <v>0</v>
      </c>
      <c r="L428">
        <f>VLOOKUP($C428,'2000 Place'!$C$2:$Y$523,13,FALSE)</f>
        <v>0</v>
      </c>
      <c r="M428">
        <f>VLOOKUP($C428,'2000 Place'!$C$2:$Y$523,14,FALSE)</f>
        <v>17</v>
      </c>
      <c r="N428">
        <f>VLOOKUP($C428,'2000 Place'!$C$2:$Y$523,15,FALSE)</f>
        <v>0</v>
      </c>
      <c r="O428">
        <f>VLOOKUP($C428,'2000 Place'!$C$2:$Y$523,16,FALSE)</f>
        <v>2</v>
      </c>
      <c r="P428">
        <f>VLOOKUP($C428,'2000 Place'!$C$2:$Y$523,17,FALSE)</f>
        <v>5</v>
      </c>
      <c r="Q428">
        <f>VLOOKUP($C428,'2000 Place'!$C$2:$Y$523,18,FALSE)</f>
        <v>0</v>
      </c>
      <c r="R428">
        <f>VLOOKUP($C428,'2000 Place'!$C$2:$Y$523,19,FALSE)</f>
        <v>0</v>
      </c>
      <c r="S428">
        <f>VLOOKUP($C428,'2000 Place'!$C$2:$Y$523,20,FALSE)</f>
        <v>23</v>
      </c>
      <c r="T428">
        <f>VLOOKUP($C428,'2000 Place'!$C$2:$Y$523,21,FALSE)</f>
        <v>0</v>
      </c>
      <c r="U428">
        <f>VLOOKUP($C428,'2000 Place'!$C$2:$Y$523,22,FALSE)</f>
        <v>21</v>
      </c>
      <c r="V428">
        <f>VLOOKUP($C428,'2000 Place'!$C$2:$Y$523,23,FALSE)</f>
        <v>0</v>
      </c>
    </row>
    <row r="429" spans="1:22" x14ac:dyDescent="0.25">
      <c r="A429" t="s">
        <v>1102</v>
      </c>
      <c r="B429">
        <v>5353265</v>
      </c>
      <c r="C429" t="s">
        <v>1103</v>
      </c>
      <c r="D429" t="e">
        <f>VLOOKUP($C429,'2000 Place'!$C$2:$Y$523,5,FALSE)</f>
        <v>#N/A</v>
      </c>
      <c r="E429" t="e">
        <f>VLOOKUP($C429,'2000 Place'!$C$2:$Y$523,6,FALSE)</f>
        <v>#N/A</v>
      </c>
      <c r="F429" t="e">
        <f>VLOOKUP($C429,'2000 Place'!$C$2:$Y$523,7,FALSE)</f>
        <v>#N/A</v>
      </c>
      <c r="G429" t="e">
        <f>VLOOKUP($C429,'2000 Place'!$C$2:$Y$523,8,FALSE)</f>
        <v>#N/A</v>
      </c>
      <c r="H429" t="e">
        <f>VLOOKUP($C429,'2000 Place'!$C$2:$Y$523,9,FALSE)</f>
        <v>#N/A</v>
      </c>
      <c r="I429" t="e">
        <f>VLOOKUP($C429,'2000 Place'!$C$2:$Y$523,10,FALSE)</f>
        <v>#N/A</v>
      </c>
      <c r="J429" t="e">
        <f>VLOOKUP($C429,'2000 Place'!$C$2:$Y$523,11,FALSE)</f>
        <v>#N/A</v>
      </c>
      <c r="K429" t="e">
        <f>VLOOKUP($C429,'2000 Place'!$C$2:$Y$523,12,FALSE)</f>
        <v>#N/A</v>
      </c>
      <c r="L429" t="e">
        <f>VLOOKUP($C429,'2000 Place'!$C$2:$Y$523,13,FALSE)</f>
        <v>#N/A</v>
      </c>
      <c r="M429" t="e">
        <f>VLOOKUP($C429,'2000 Place'!$C$2:$Y$523,14,FALSE)</f>
        <v>#N/A</v>
      </c>
      <c r="N429" t="e">
        <f>VLOOKUP($C429,'2000 Place'!$C$2:$Y$523,15,FALSE)</f>
        <v>#N/A</v>
      </c>
      <c r="O429" t="e">
        <f>VLOOKUP($C429,'2000 Place'!$C$2:$Y$523,16,FALSE)</f>
        <v>#N/A</v>
      </c>
      <c r="P429" t="e">
        <f>VLOOKUP($C429,'2000 Place'!$C$2:$Y$523,17,FALSE)</f>
        <v>#N/A</v>
      </c>
      <c r="Q429" t="e">
        <f>VLOOKUP($C429,'2000 Place'!$C$2:$Y$523,18,FALSE)</f>
        <v>#N/A</v>
      </c>
      <c r="R429" t="e">
        <f>VLOOKUP($C429,'2000 Place'!$C$2:$Y$523,19,FALSE)</f>
        <v>#N/A</v>
      </c>
      <c r="S429" t="e">
        <f>VLOOKUP($C429,'2000 Place'!$C$2:$Y$523,20,FALSE)</f>
        <v>#N/A</v>
      </c>
      <c r="T429" t="e">
        <f>VLOOKUP($C429,'2000 Place'!$C$2:$Y$523,21,FALSE)</f>
        <v>#N/A</v>
      </c>
      <c r="U429" t="e">
        <f>VLOOKUP($C429,'2000 Place'!$C$2:$Y$523,22,FALSE)</f>
        <v>#N/A</v>
      </c>
      <c r="V429" t="e">
        <f>VLOOKUP($C429,'2000 Place'!$C$2:$Y$523,23,FALSE)</f>
        <v>#N/A</v>
      </c>
    </row>
    <row r="430" spans="1:22" x14ac:dyDescent="0.25">
      <c r="A430" t="s">
        <v>1104</v>
      </c>
      <c r="B430">
        <v>5353335</v>
      </c>
      <c r="C430" t="s">
        <v>1105</v>
      </c>
      <c r="D430">
        <f>VLOOKUP($C430,'2000 Place'!$C$2:$Y$523,5,FALSE)</f>
        <v>23908</v>
      </c>
      <c r="E430">
        <f>VLOOKUP($C430,'2000 Place'!$C$2:$Y$523,6,FALSE)</f>
        <v>20840</v>
      </c>
      <c r="F430">
        <f>VLOOKUP($C430,'2000 Place'!$C$2:$Y$523,7,FALSE)</f>
        <v>3068</v>
      </c>
      <c r="G430">
        <f>VLOOKUP($C430,'2000 Place'!$C$2:$Y$523,8,FALSE)</f>
        <v>16238</v>
      </c>
      <c r="H430">
        <f>VLOOKUP($C430,'2000 Place'!$C$2:$Y$523,9,FALSE)</f>
        <v>869</v>
      </c>
      <c r="I430">
        <f>VLOOKUP($C430,'2000 Place'!$C$2:$Y$523,10,FALSE)</f>
        <v>312</v>
      </c>
      <c r="J430">
        <f>VLOOKUP($C430,'2000 Place'!$C$2:$Y$523,11,FALSE)</f>
        <v>73</v>
      </c>
      <c r="K430">
        <f>VLOOKUP($C430,'2000 Place'!$C$2:$Y$523,12,FALSE)</f>
        <v>1532</v>
      </c>
      <c r="L430">
        <f>VLOOKUP($C430,'2000 Place'!$C$2:$Y$523,13,FALSE)</f>
        <v>160</v>
      </c>
      <c r="M430">
        <f>VLOOKUP($C430,'2000 Place'!$C$2:$Y$523,14,FALSE)</f>
        <v>216</v>
      </c>
      <c r="N430">
        <f>VLOOKUP($C430,'2000 Place'!$C$2:$Y$523,15,FALSE)</f>
        <v>0</v>
      </c>
      <c r="O430">
        <f>VLOOKUP($C430,'2000 Place'!$C$2:$Y$523,16,FALSE)</f>
        <v>354</v>
      </c>
      <c r="P430">
        <f>VLOOKUP($C430,'2000 Place'!$C$2:$Y$523,17,FALSE)</f>
        <v>1235</v>
      </c>
      <c r="Q430">
        <f>VLOOKUP($C430,'2000 Place'!$C$2:$Y$523,18,FALSE)</f>
        <v>247</v>
      </c>
      <c r="R430">
        <f>VLOOKUP($C430,'2000 Place'!$C$2:$Y$523,19,FALSE)</f>
        <v>168</v>
      </c>
      <c r="S430">
        <f>VLOOKUP($C430,'2000 Place'!$C$2:$Y$523,20,FALSE)</f>
        <v>390</v>
      </c>
      <c r="T430">
        <f>VLOOKUP($C430,'2000 Place'!$C$2:$Y$523,21,FALSE)</f>
        <v>265</v>
      </c>
      <c r="U430">
        <f>VLOOKUP($C430,'2000 Place'!$C$2:$Y$523,22,FALSE)</f>
        <v>1551</v>
      </c>
      <c r="V430">
        <f>VLOOKUP($C430,'2000 Place'!$C$2:$Y$523,23,FALSE)</f>
        <v>298</v>
      </c>
    </row>
    <row r="431" spans="1:22" x14ac:dyDescent="0.25">
      <c r="A431" t="s">
        <v>1106</v>
      </c>
      <c r="B431">
        <v>5353440</v>
      </c>
      <c r="C431" t="s">
        <v>1107</v>
      </c>
      <c r="D431">
        <f>VLOOKUP($C431,'2000 Place'!$C$2:$Y$523,5,FALSE)</f>
        <v>7238</v>
      </c>
      <c r="E431">
        <f>VLOOKUP($C431,'2000 Place'!$C$2:$Y$523,6,FALSE)</f>
        <v>6730</v>
      </c>
      <c r="F431">
        <f>VLOOKUP($C431,'2000 Place'!$C$2:$Y$523,7,FALSE)</f>
        <v>508</v>
      </c>
      <c r="G431">
        <f>VLOOKUP($C431,'2000 Place'!$C$2:$Y$523,8,FALSE)</f>
        <v>5738</v>
      </c>
      <c r="H431">
        <f>VLOOKUP($C431,'2000 Place'!$C$2:$Y$523,9,FALSE)</f>
        <v>174</v>
      </c>
      <c r="I431">
        <f>VLOOKUP($C431,'2000 Place'!$C$2:$Y$523,10,FALSE)</f>
        <v>205</v>
      </c>
      <c r="J431">
        <f>VLOOKUP($C431,'2000 Place'!$C$2:$Y$523,11,FALSE)</f>
        <v>7</v>
      </c>
      <c r="K431">
        <f>VLOOKUP($C431,'2000 Place'!$C$2:$Y$523,12,FALSE)</f>
        <v>73</v>
      </c>
      <c r="L431">
        <f>VLOOKUP($C431,'2000 Place'!$C$2:$Y$523,13,FALSE)</f>
        <v>11</v>
      </c>
      <c r="M431">
        <f>VLOOKUP($C431,'2000 Place'!$C$2:$Y$523,14,FALSE)</f>
        <v>85</v>
      </c>
      <c r="N431">
        <f>VLOOKUP($C431,'2000 Place'!$C$2:$Y$523,15,FALSE)</f>
        <v>0</v>
      </c>
      <c r="O431">
        <f>VLOOKUP($C431,'2000 Place'!$C$2:$Y$523,16,FALSE)</f>
        <v>87</v>
      </c>
      <c r="P431">
        <f>VLOOKUP($C431,'2000 Place'!$C$2:$Y$523,17,FALSE)</f>
        <v>271</v>
      </c>
      <c r="Q431">
        <f>VLOOKUP($C431,'2000 Place'!$C$2:$Y$523,18,FALSE)</f>
        <v>7</v>
      </c>
      <c r="R431">
        <f>VLOOKUP($C431,'2000 Place'!$C$2:$Y$523,19,FALSE)</f>
        <v>7</v>
      </c>
      <c r="S431">
        <f>VLOOKUP($C431,'2000 Place'!$C$2:$Y$523,20,FALSE)</f>
        <v>52</v>
      </c>
      <c r="T431">
        <f>VLOOKUP($C431,'2000 Place'!$C$2:$Y$523,21,FALSE)</f>
        <v>23</v>
      </c>
      <c r="U431">
        <f>VLOOKUP($C431,'2000 Place'!$C$2:$Y$523,22,FALSE)</f>
        <v>483</v>
      </c>
      <c r="V431">
        <f>VLOOKUP($C431,'2000 Place'!$C$2:$Y$523,23,FALSE)</f>
        <v>15</v>
      </c>
    </row>
    <row r="432" spans="1:22" x14ac:dyDescent="0.25">
      <c r="A432" t="s">
        <v>1108</v>
      </c>
      <c r="B432">
        <v>5353545</v>
      </c>
      <c r="C432" t="s">
        <v>1109</v>
      </c>
      <c r="D432">
        <f>VLOOKUP($C432,'2000 Place'!$C$2:$Y$523,5,FALSE)</f>
        <v>31976</v>
      </c>
      <c r="E432">
        <f>VLOOKUP($C432,'2000 Place'!$C$2:$Y$523,6,FALSE)</f>
        <v>21997</v>
      </c>
      <c r="F432">
        <f>VLOOKUP($C432,'2000 Place'!$C$2:$Y$523,7,FALSE)</f>
        <v>9979</v>
      </c>
      <c r="G432">
        <f>VLOOKUP($C432,'2000 Place'!$C$2:$Y$523,8,FALSE)</f>
        <v>11040</v>
      </c>
      <c r="H432">
        <f>VLOOKUP($C432,'2000 Place'!$C$2:$Y$523,9,FALSE)</f>
        <v>714</v>
      </c>
      <c r="I432">
        <f>VLOOKUP($C432,'2000 Place'!$C$2:$Y$523,10,FALSE)</f>
        <v>2427</v>
      </c>
      <c r="J432">
        <f>VLOOKUP($C432,'2000 Place'!$C$2:$Y$523,11,FALSE)</f>
        <v>2443</v>
      </c>
      <c r="K432">
        <f>VLOOKUP($C432,'2000 Place'!$C$2:$Y$523,12,FALSE)</f>
        <v>872</v>
      </c>
      <c r="L432">
        <f>VLOOKUP($C432,'2000 Place'!$C$2:$Y$523,13,FALSE)</f>
        <v>15</v>
      </c>
      <c r="M432">
        <f>VLOOKUP($C432,'2000 Place'!$C$2:$Y$523,14,FALSE)</f>
        <v>154</v>
      </c>
      <c r="N432">
        <f>VLOOKUP($C432,'2000 Place'!$C$2:$Y$523,15,FALSE)</f>
        <v>68</v>
      </c>
      <c r="O432">
        <f>VLOOKUP($C432,'2000 Place'!$C$2:$Y$523,16,FALSE)</f>
        <v>233</v>
      </c>
      <c r="P432">
        <f>VLOOKUP($C432,'2000 Place'!$C$2:$Y$523,17,FALSE)</f>
        <v>481</v>
      </c>
      <c r="Q432">
        <f>VLOOKUP($C432,'2000 Place'!$C$2:$Y$523,18,FALSE)</f>
        <v>18</v>
      </c>
      <c r="R432">
        <f>VLOOKUP($C432,'2000 Place'!$C$2:$Y$523,19,FALSE)</f>
        <v>0</v>
      </c>
      <c r="S432">
        <f>VLOOKUP($C432,'2000 Place'!$C$2:$Y$523,20,FALSE)</f>
        <v>6224</v>
      </c>
      <c r="T432">
        <f>VLOOKUP($C432,'2000 Place'!$C$2:$Y$523,21,FALSE)</f>
        <v>5921</v>
      </c>
      <c r="U432">
        <f>VLOOKUP($C432,'2000 Place'!$C$2:$Y$523,22,FALSE)</f>
        <v>1029</v>
      </c>
      <c r="V432">
        <f>VLOOKUP($C432,'2000 Place'!$C$2:$Y$523,23,FALSE)</f>
        <v>337</v>
      </c>
    </row>
    <row r="433" spans="1:22" x14ac:dyDescent="0.25">
      <c r="A433" t="s">
        <v>1110</v>
      </c>
      <c r="B433">
        <v>5353720</v>
      </c>
      <c r="C433" t="s">
        <v>1111</v>
      </c>
      <c r="D433">
        <f>VLOOKUP($C433,'2000 Place'!$C$2:$Y$523,5,FALSE)</f>
        <v>659</v>
      </c>
      <c r="E433">
        <f>VLOOKUP($C433,'2000 Place'!$C$2:$Y$523,6,FALSE)</f>
        <v>482</v>
      </c>
      <c r="F433">
        <f>VLOOKUP($C433,'2000 Place'!$C$2:$Y$523,7,FALSE)</f>
        <v>177</v>
      </c>
      <c r="G433">
        <f>VLOOKUP($C433,'2000 Place'!$C$2:$Y$523,8,FALSE)</f>
        <v>399</v>
      </c>
      <c r="H433">
        <f>VLOOKUP($C433,'2000 Place'!$C$2:$Y$523,9,FALSE)</f>
        <v>9</v>
      </c>
      <c r="I433">
        <f>VLOOKUP($C433,'2000 Place'!$C$2:$Y$523,10,FALSE)</f>
        <v>20</v>
      </c>
      <c r="J433">
        <f>VLOOKUP($C433,'2000 Place'!$C$2:$Y$523,11,FALSE)</f>
        <v>32</v>
      </c>
      <c r="K433">
        <f>VLOOKUP($C433,'2000 Place'!$C$2:$Y$523,12,FALSE)</f>
        <v>0</v>
      </c>
      <c r="L433">
        <f>VLOOKUP($C433,'2000 Place'!$C$2:$Y$523,13,FALSE)</f>
        <v>0</v>
      </c>
      <c r="M433">
        <f>VLOOKUP($C433,'2000 Place'!$C$2:$Y$523,14,FALSE)</f>
        <v>6</v>
      </c>
      <c r="N433">
        <f>VLOOKUP($C433,'2000 Place'!$C$2:$Y$523,15,FALSE)</f>
        <v>2</v>
      </c>
      <c r="O433">
        <f>VLOOKUP($C433,'2000 Place'!$C$2:$Y$523,16,FALSE)</f>
        <v>0</v>
      </c>
      <c r="P433">
        <f>VLOOKUP($C433,'2000 Place'!$C$2:$Y$523,17,FALSE)</f>
        <v>7</v>
      </c>
      <c r="Q433">
        <f>VLOOKUP($C433,'2000 Place'!$C$2:$Y$523,18,FALSE)</f>
        <v>0</v>
      </c>
      <c r="R433">
        <f>VLOOKUP($C433,'2000 Place'!$C$2:$Y$523,19,FALSE)</f>
        <v>0</v>
      </c>
      <c r="S433">
        <f>VLOOKUP($C433,'2000 Place'!$C$2:$Y$523,20,FALSE)</f>
        <v>41</v>
      </c>
      <c r="T433">
        <f>VLOOKUP($C433,'2000 Place'!$C$2:$Y$523,21,FALSE)</f>
        <v>123</v>
      </c>
      <c r="U433">
        <f>VLOOKUP($C433,'2000 Place'!$C$2:$Y$523,22,FALSE)</f>
        <v>16</v>
      </c>
      <c r="V433">
        <f>VLOOKUP($C433,'2000 Place'!$C$2:$Y$523,23,FALSE)</f>
        <v>4</v>
      </c>
    </row>
    <row r="434" spans="1:22" x14ac:dyDescent="0.25">
      <c r="A434" t="s">
        <v>1112</v>
      </c>
      <c r="B434">
        <v>5353800</v>
      </c>
      <c r="C434" t="s">
        <v>1113</v>
      </c>
      <c r="D434">
        <f>VLOOKUP($C434,'2000 Place'!$C$2:$Y$523,5,FALSE)</f>
        <v>2579</v>
      </c>
      <c r="E434">
        <f>VLOOKUP($C434,'2000 Place'!$C$2:$Y$523,6,FALSE)</f>
        <v>1849</v>
      </c>
      <c r="F434">
        <f>VLOOKUP($C434,'2000 Place'!$C$2:$Y$523,7,FALSE)</f>
        <v>730</v>
      </c>
      <c r="G434">
        <f>VLOOKUP($C434,'2000 Place'!$C$2:$Y$523,8,FALSE)</f>
        <v>1609</v>
      </c>
      <c r="H434">
        <f>VLOOKUP($C434,'2000 Place'!$C$2:$Y$523,9,FALSE)</f>
        <v>714</v>
      </c>
      <c r="I434">
        <f>VLOOKUP($C434,'2000 Place'!$C$2:$Y$523,10,FALSE)</f>
        <v>51</v>
      </c>
      <c r="J434">
        <f>VLOOKUP($C434,'2000 Place'!$C$2:$Y$523,11,FALSE)</f>
        <v>3</v>
      </c>
      <c r="K434">
        <f>VLOOKUP($C434,'2000 Place'!$C$2:$Y$523,12,FALSE)</f>
        <v>7</v>
      </c>
      <c r="L434">
        <f>VLOOKUP($C434,'2000 Place'!$C$2:$Y$523,13,FALSE)</f>
        <v>0</v>
      </c>
      <c r="M434">
        <f>VLOOKUP($C434,'2000 Place'!$C$2:$Y$523,14,FALSE)</f>
        <v>61</v>
      </c>
      <c r="N434">
        <f>VLOOKUP($C434,'2000 Place'!$C$2:$Y$523,15,FALSE)</f>
        <v>0</v>
      </c>
      <c r="O434">
        <f>VLOOKUP($C434,'2000 Place'!$C$2:$Y$523,16,FALSE)</f>
        <v>0</v>
      </c>
      <c r="P434">
        <f>VLOOKUP($C434,'2000 Place'!$C$2:$Y$523,17,FALSE)</f>
        <v>0</v>
      </c>
      <c r="Q434">
        <f>VLOOKUP($C434,'2000 Place'!$C$2:$Y$523,18,FALSE)</f>
        <v>0</v>
      </c>
      <c r="R434">
        <f>VLOOKUP($C434,'2000 Place'!$C$2:$Y$523,19,FALSE)</f>
        <v>0</v>
      </c>
      <c r="S434">
        <f>VLOOKUP($C434,'2000 Place'!$C$2:$Y$523,20,FALSE)</f>
        <v>32</v>
      </c>
      <c r="T434">
        <f>VLOOKUP($C434,'2000 Place'!$C$2:$Y$523,21,FALSE)</f>
        <v>6</v>
      </c>
      <c r="U434">
        <f>VLOOKUP($C434,'2000 Place'!$C$2:$Y$523,22,FALSE)</f>
        <v>89</v>
      </c>
      <c r="V434">
        <f>VLOOKUP($C434,'2000 Place'!$C$2:$Y$523,23,FALSE)</f>
        <v>7</v>
      </c>
    </row>
    <row r="435" spans="1:22" x14ac:dyDescent="0.25">
      <c r="A435" t="s">
        <v>1114</v>
      </c>
      <c r="B435">
        <v>5353930</v>
      </c>
      <c r="C435" t="s">
        <v>1115</v>
      </c>
      <c r="D435">
        <f>VLOOKUP($C435,'2000 Place'!$C$2:$Y$523,5,FALSE)</f>
        <v>688</v>
      </c>
      <c r="E435">
        <f>VLOOKUP($C435,'2000 Place'!$C$2:$Y$523,6,FALSE)</f>
        <v>666</v>
      </c>
      <c r="F435">
        <f>VLOOKUP($C435,'2000 Place'!$C$2:$Y$523,7,FALSE)</f>
        <v>22</v>
      </c>
      <c r="G435">
        <f>VLOOKUP($C435,'2000 Place'!$C$2:$Y$523,8,FALSE)</f>
        <v>612</v>
      </c>
      <c r="H435">
        <f>VLOOKUP($C435,'2000 Place'!$C$2:$Y$523,9,FALSE)</f>
        <v>16</v>
      </c>
      <c r="I435">
        <f>VLOOKUP($C435,'2000 Place'!$C$2:$Y$523,10,FALSE)</f>
        <v>0</v>
      </c>
      <c r="J435">
        <f>VLOOKUP($C435,'2000 Place'!$C$2:$Y$523,11,FALSE)</f>
        <v>0</v>
      </c>
      <c r="K435">
        <f>VLOOKUP($C435,'2000 Place'!$C$2:$Y$523,12,FALSE)</f>
        <v>4</v>
      </c>
      <c r="L435">
        <f>VLOOKUP($C435,'2000 Place'!$C$2:$Y$523,13,FALSE)</f>
        <v>0</v>
      </c>
      <c r="M435">
        <f>VLOOKUP($C435,'2000 Place'!$C$2:$Y$523,14,FALSE)</f>
        <v>22</v>
      </c>
      <c r="N435">
        <f>VLOOKUP($C435,'2000 Place'!$C$2:$Y$523,15,FALSE)</f>
        <v>4</v>
      </c>
      <c r="O435">
        <f>VLOOKUP($C435,'2000 Place'!$C$2:$Y$523,16,FALSE)</f>
        <v>10</v>
      </c>
      <c r="P435">
        <f>VLOOKUP($C435,'2000 Place'!$C$2:$Y$523,17,FALSE)</f>
        <v>2</v>
      </c>
      <c r="Q435">
        <f>VLOOKUP($C435,'2000 Place'!$C$2:$Y$523,18,FALSE)</f>
        <v>0</v>
      </c>
      <c r="R435">
        <f>VLOOKUP($C435,'2000 Place'!$C$2:$Y$523,19,FALSE)</f>
        <v>0</v>
      </c>
      <c r="S435">
        <f>VLOOKUP($C435,'2000 Place'!$C$2:$Y$523,20,FALSE)</f>
        <v>0</v>
      </c>
      <c r="T435">
        <f>VLOOKUP($C435,'2000 Place'!$C$2:$Y$523,21,FALSE)</f>
        <v>0</v>
      </c>
      <c r="U435">
        <f>VLOOKUP($C435,'2000 Place'!$C$2:$Y$523,22,FALSE)</f>
        <v>18</v>
      </c>
      <c r="V435">
        <f>VLOOKUP($C435,'2000 Place'!$C$2:$Y$523,23,FALSE)</f>
        <v>0</v>
      </c>
    </row>
    <row r="436" spans="1:22" x14ac:dyDescent="0.25">
      <c r="A436" t="s">
        <v>1116</v>
      </c>
      <c r="B436">
        <v>5354213</v>
      </c>
      <c r="C436" t="s">
        <v>1117</v>
      </c>
      <c r="D436" t="e">
        <f>VLOOKUP($C436,'2000 Place'!$C$2:$Y$523,5,FALSE)</f>
        <v>#N/A</v>
      </c>
      <c r="E436" t="e">
        <f>VLOOKUP($C436,'2000 Place'!$C$2:$Y$523,6,FALSE)</f>
        <v>#N/A</v>
      </c>
      <c r="F436" t="e">
        <f>VLOOKUP($C436,'2000 Place'!$C$2:$Y$523,7,FALSE)</f>
        <v>#N/A</v>
      </c>
      <c r="G436" t="e">
        <f>VLOOKUP($C436,'2000 Place'!$C$2:$Y$523,8,FALSE)</f>
        <v>#N/A</v>
      </c>
      <c r="H436" t="e">
        <f>VLOOKUP($C436,'2000 Place'!$C$2:$Y$523,9,FALSE)</f>
        <v>#N/A</v>
      </c>
      <c r="I436" t="e">
        <f>VLOOKUP($C436,'2000 Place'!$C$2:$Y$523,10,FALSE)</f>
        <v>#N/A</v>
      </c>
      <c r="J436" t="e">
        <f>VLOOKUP($C436,'2000 Place'!$C$2:$Y$523,11,FALSE)</f>
        <v>#N/A</v>
      </c>
      <c r="K436" t="e">
        <f>VLOOKUP($C436,'2000 Place'!$C$2:$Y$523,12,FALSE)</f>
        <v>#N/A</v>
      </c>
      <c r="L436" t="e">
        <f>VLOOKUP($C436,'2000 Place'!$C$2:$Y$523,13,FALSE)</f>
        <v>#N/A</v>
      </c>
      <c r="M436" t="e">
        <f>VLOOKUP($C436,'2000 Place'!$C$2:$Y$523,14,FALSE)</f>
        <v>#N/A</v>
      </c>
      <c r="N436" t="e">
        <f>VLOOKUP($C436,'2000 Place'!$C$2:$Y$523,15,FALSE)</f>
        <v>#N/A</v>
      </c>
      <c r="O436" t="e">
        <f>VLOOKUP($C436,'2000 Place'!$C$2:$Y$523,16,FALSE)</f>
        <v>#N/A</v>
      </c>
      <c r="P436" t="e">
        <f>VLOOKUP($C436,'2000 Place'!$C$2:$Y$523,17,FALSE)</f>
        <v>#N/A</v>
      </c>
      <c r="Q436" t="e">
        <f>VLOOKUP($C436,'2000 Place'!$C$2:$Y$523,18,FALSE)</f>
        <v>#N/A</v>
      </c>
      <c r="R436" t="e">
        <f>VLOOKUP($C436,'2000 Place'!$C$2:$Y$523,19,FALSE)</f>
        <v>#N/A</v>
      </c>
      <c r="S436" t="e">
        <f>VLOOKUP($C436,'2000 Place'!$C$2:$Y$523,20,FALSE)</f>
        <v>#N/A</v>
      </c>
      <c r="T436" t="e">
        <f>VLOOKUP($C436,'2000 Place'!$C$2:$Y$523,21,FALSE)</f>
        <v>#N/A</v>
      </c>
      <c r="U436" t="e">
        <f>VLOOKUP($C436,'2000 Place'!$C$2:$Y$523,22,FALSE)</f>
        <v>#N/A</v>
      </c>
      <c r="V436" t="e">
        <f>VLOOKUP($C436,'2000 Place'!$C$2:$Y$523,23,FALSE)</f>
        <v>#N/A</v>
      </c>
    </row>
    <row r="437" spans="1:22" x14ac:dyDescent="0.25">
      <c r="A437" t="s">
        <v>1118</v>
      </c>
      <c r="B437">
        <v>5354405</v>
      </c>
      <c r="C437" t="s">
        <v>1119</v>
      </c>
      <c r="D437" t="e">
        <f>VLOOKUP($C437,'2000 Place'!$C$2:$Y$523,5,FALSE)</f>
        <v>#N/A</v>
      </c>
      <c r="E437" t="e">
        <f>VLOOKUP($C437,'2000 Place'!$C$2:$Y$523,6,FALSE)</f>
        <v>#N/A</v>
      </c>
      <c r="F437" t="e">
        <f>VLOOKUP($C437,'2000 Place'!$C$2:$Y$523,7,FALSE)</f>
        <v>#N/A</v>
      </c>
      <c r="G437" t="e">
        <f>VLOOKUP($C437,'2000 Place'!$C$2:$Y$523,8,FALSE)</f>
        <v>#N/A</v>
      </c>
      <c r="H437" t="e">
        <f>VLOOKUP($C437,'2000 Place'!$C$2:$Y$523,9,FALSE)</f>
        <v>#N/A</v>
      </c>
      <c r="I437" t="e">
        <f>VLOOKUP($C437,'2000 Place'!$C$2:$Y$523,10,FALSE)</f>
        <v>#N/A</v>
      </c>
      <c r="J437" t="e">
        <f>VLOOKUP($C437,'2000 Place'!$C$2:$Y$523,11,FALSE)</f>
        <v>#N/A</v>
      </c>
      <c r="K437" t="e">
        <f>VLOOKUP($C437,'2000 Place'!$C$2:$Y$523,12,FALSE)</f>
        <v>#N/A</v>
      </c>
      <c r="L437" t="e">
        <f>VLOOKUP($C437,'2000 Place'!$C$2:$Y$523,13,FALSE)</f>
        <v>#N/A</v>
      </c>
      <c r="M437" t="e">
        <f>VLOOKUP($C437,'2000 Place'!$C$2:$Y$523,14,FALSE)</f>
        <v>#N/A</v>
      </c>
      <c r="N437" t="e">
        <f>VLOOKUP($C437,'2000 Place'!$C$2:$Y$523,15,FALSE)</f>
        <v>#N/A</v>
      </c>
      <c r="O437" t="e">
        <f>VLOOKUP($C437,'2000 Place'!$C$2:$Y$523,16,FALSE)</f>
        <v>#N/A</v>
      </c>
      <c r="P437" t="e">
        <f>VLOOKUP($C437,'2000 Place'!$C$2:$Y$523,17,FALSE)</f>
        <v>#N/A</v>
      </c>
      <c r="Q437" t="e">
        <f>VLOOKUP($C437,'2000 Place'!$C$2:$Y$523,18,FALSE)</f>
        <v>#N/A</v>
      </c>
      <c r="R437" t="e">
        <f>VLOOKUP($C437,'2000 Place'!$C$2:$Y$523,19,FALSE)</f>
        <v>#N/A</v>
      </c>
      <c r="S437" t="e">
        <f>VLOOKUP($C437,'2000 Place'!$C$2:$Y$523,20,FALSE)</f>
        <v>#N/A</v>
      </c>
      <c r="T437" t="e">
        <f>VLOOKUP($C437,'2000 Place'!$C$2:$Y$523,21,FALSE)</f>
        <v>#N/A</v>
      </c>
      <c r="U437" t="e">
        <f>VLOOKUP($C437,'2000 Place'!$C$2:$Y$523,22,FALSE)</f>
        <v>#N/A</v>
      </c>
      <c r="V437" t="e">
        <f>VLOOKUP($C437,'2000 Place'!$C$2:$Y$523,23,FALSE)</f>
        <v>#N/A</v>
      </c>
    </row>
    <row r="438" spans="1:22" x14ac:dyDescent="0.25">
      <c r="A438" t="s">
        <v>1120</v>
      </c>
      <c r="B438">
        <v>5355015</v>
      </c>
      <c r="C438" t="s">
        <v>1121</v>
      </c>
      <c r="D438" t="e">
        <f>VLOOKUP($C438,'2000 Place'!$C$2:$Y$523,5,FALSE)</f>
        <v>#N/A</v>
      </c>
      <c r="E438" t="e">
        <f>VLOOKUP($C438,'2000 Place'!$C$2:$Y$523,6,FALSE)</f>
        <v>#N/A</v>
      </c>
      <c r="F438" t="e">
        <f>VLOOKUP($C438,'2000 Place'!$C$2:$Y$523,7,FALSE)</f>
        <v>#N/A</v>
      </c>
      <c r="G438" t="e">
        <f>VLOOKUP($C438,'2000 Place'!$C$2:$Y$523,8,FALSE)</f>
        <v>#N/A</v>
      </c>
      <c r="H438" t="e">
        <f>VLOOKUP($C438,'2000 Place'!$C$2:$Y$523,9,FALSE)</f>
        <v>#N/A</v>
      </c>
      <c r="I438" t="e">
        <f>VLOOKUP($C438,'2000 Place'!$C$2:$Y$523,10,FALSE)</f>
        <v>#N/A</v>
      </c>
      <c r="J438" t="e">
        <f>VLOOKUP($C438,'2000 Place'!$C$2:$Y$523,11,FALSE)</f>
        <v>#N/A</v>
      </c>
      <c r="K438" t="e">
        <f>VLOOKUP($C438,'2000 Place'!$C$2:$Y$523,12,FALSE)</f>
        <v>#N/A</v>
      </c>
      <c r="L438" t="e">
        <f>VLOOKUP($C438,'2000 Place'!$C$2:$Y$523,13,FALSE)</f>
        <v>#N/A</v>
      </c>
      <c r="M438" t="e">
        <f>VLOOKUP($C438,'2000 Place'!$C$2:$Y$523,14,FALSE)</f>
        <v>#N/A</v>
      </c>
      <c r="N438" t="e">
        <f>VLOOKUP($C438,'2000 Place'!$C$2:$Y$523,15,FALSE)</f>
        <v>#N/A</v>
      </c>
      <c r="O438" t="e">
        <f>VLOOKUP($C438,'2000 Place'!$C$2:$Y$523,16,FALSE)</f>
        <v>#N/A</v>
      </c>
      <c r="P438" t="e">
        <f>VLOOKUP($C438,'2000 Place'!$C$2:$Y$523,17,FALSE)</f>
        <v>#N/A</v>
      </c>
      <c r="Q438" t="e">
        <f>VLOOKUP($C438,'2000 Place'!$C$2:$Y$523,18,FALSE)</f>
        <v>#N/A</v>
      </c>
      <c r="R438" t="e">
        <f>VLOOKUP($C438,'2000 Place'!$C$2:$Y$523,19,FALSE)</f>
        <v>#N/A</v>
      </c>
      <c r="S438" t="e">
        <f>VLOOKUP($C438,'2000 Place'!$C$2:$Y$523,20,FALSE)</f>
        <v>#N/A</v>
      </c>
      <c r="T438" t="e">
        <f>VLOOKUP($C438,'2000 Place'!$C$2:$Y$523,21,FALSE)</f>
        <v>#N/A</v>
      </c>
      <c r="U438" t="e">
        <f>VLOOKUP($C438,'2000 Place'!$C$2:$Y$523,22,FALSE)</f>
        <v>#N/A</v>
      </c>
      <c r="V438" t="e">
        <f>VLOOKUP($C438,'2000 Place'!$C$2:$Y$523,23,FALSE)</f>
        <v>#N/A</v>
      </c>
    </row>
    <row r="439" spans="1:22" x14ac:dyDescent="0.25">
      <c r="A439" t="s">
        <v>1122</v>
      </c>
      <c r="B439">
        <v>5355120</v>
      </c>
      <c r="C439" t="s">
        <v>1123</v>
      </c>
      <c r="D439">
        <f>VLOOKUP($C439,'2000 Place'!$C$2:$Y$523,5,FALSE)</f>
        <v>1514</v>
      </c>
      <c r="E439">
        <f>VLOOKUP($C439,'2000 Place'!$C$2:$Y$523,6,FALSE)</f>
        <v>1485</v>
      </c>
      <c r="F439">
        <f>VLOOKUP($C439,'2000 Place'!$C$2:$Y$523,7,FALSE)</f>
        <v>29</v>
      </c>
      <c r="G439">
        <f>VLOOKUP($C439,'2000 Place'!$C$2:$Y$523,8,FALSE)</f>
        <v>1450</v>
      </c>
      <c r="H439">
        <f>VLOOKUP($C439,'2000 Place'!$C$2:$Y$523,9,FALSE)</f>
        <v>16</v>
      </c>
      <c r="I439">
        <f>VLOOKUP($C439,'2000 Place'!$C$2:$Y$523,10,FALSE)</f>
        <v>0</v>
      </c>
      <c r="J439">
        <f>VLOOKUP($C439,'2000 Place'!$C$2:$Y$523,11,FALSE)</f>
        <v>3</v>
      </c>
      <c r="K439">
        <f>VLOOKUP($C439,'2000 Place'!$C$2:$Y$523,12,FALSE)</f>
        <v>0</v>
      </c>
      <c r="L439">
        <f>VLOOKUP($C439,'2000 Place'!$C$2:$Y$523,13,FALSE)</f>
        <v>0</v>
      </c>
      <c r="M439">
        <f>VLOOKUP($C439,'2000 Place'!$C$2:$Y$523,14,FALSE)</f>
        <v>3</v>
      </c>
      <c r="N439">
        <f>VLOOKUP($C439,'2000 Place'!$C$2:$Y$523,15,FALSE)</f>
        <v>0</v>
      </c>
      <c r="O439">
        <f>VLOOKUP($C439,'2000 Place'!$C$2:$Y$523,16,FALSE)</f>
        <v>0</v>
      </c>
      <c r="P439">
        <f>VLOOKUP($C439,'2000 Place'!$C$2:$Y$523,17,FALSE)</f>
        <v>5</v>
      </c>
      <c r="Q439">
        <f>VLOOKUP($C439,'2000 Place'!$C$2:$Y$523,18,FALSE)</f>
        <v>2</v>
      </c>
      <c r="R439">
        <f>VLOOKUP($C439,'2000 Place'!$C$2:$Y$523,19,FALSE)</f>
        <v>0</v>
      </c>
      <c r="S439">
        <f>VLOOKUP($C439,'2000 Place'!$C$2:$Y$523,20,FALSE)</f>
        <v>3</v>
      </c>
      <c r="T439">
        <f>VLOOKUP($C439,'2000 Place'!$C$2:$Y$523,21,FALSE)</f>
        <v>5</v>
      </c>
      <c r="U439">
        <f>VLOOKUP($C439,'2000 Place'!$C$2:$Y$523,22,FALSE)</f>
        <v>27</v>
      </c>
      <c r="V439">
        <f>VLOOKUP($C439,'2000 Place'!$C$2:$Y$523,23,FALSE)</f>
        <v>0</v>
      </c>
    </row>
    <row r="440" spans="1:22" x14ac:dyDescent="0.25">
      <c r="A440" t="s">
        <v>1124</v>
      </c>
      <c r="B440">
        <v>5355365</v>
      </c>
      <c r="C440" t="s">
        <v>1125</v>
      </c>
      <c r="D440">
        <f>VLOOKUP($C440,'2000 Place'!$C$2:$Y$523,5,FALSE)</f>
        <v>18472</v>
      </c>
      <c r="E440">
        <f>VLOOKUP($C440,'2000 Place'!$C$2:$Y$523,6,FALSE)</f>
        <v>17677</v>
      </c>
      <c r="F440">
        <f>VLOOKUP($C440,'2000 Place'!$C$2:$Y$523,7,FALSE)</f>
        <v>795</v>
      </c>
      <c r="G440">
        <f>VLOOKUP($C440,'2000 Place'!$C$2:$Y$523,8,FALSE)</f>
        <v>16175</v>
      </c>
      <c r="H440">
        <f>VLOOKUP($C440,'2000 Place'!$C$2:$Y$523,9,FALSE)</f>
        <v>470</v>
      </c>
      <c r="I440">
        <f>VLOOKUP($C440,'2000 Place'!$C$2:$Y$523,10,FALSE)</f>
        <v>346</v>
      </c>
      <c r="J440">
        <f>VLOOKUP($C440,'2000 Place'!$C$2:$Y$523,11,FALSE)</f>
        <v>14</v>
      </c>
      <c r="K440">
        <f>VLOOKUP($C440,'2000 Place'!$C$2:$Y$523,12,FALSE)</f>
        <v>99</v>
      </c>
      <c r="L440">
        <f>VLOOKUP($C440,'2000 Place'!$C$2:$Y$523,13,FALSE)</f>
        <v>5</v>
      </c>
      <c r="M440">
        <f>VLOOKUP($C440,'2000 Place'!$C$2:$Y$523,14,FALSE)</f>
        <v>453</v>
      </c>
      <c r="N440">
        <f>VLOOKUP($C440,'2000 Place'!$C$2:$Y$523,15,FALSE)</f>
        <v>7</v>
      </c>
      <c r="O440">
        <f>VLOOKUP($C440,'2000 Place'!$C$2:$Y$523,16,FALSE)</f>
        <v>59</v>
      </c>
      <c r="P440">
        <f>VLOOKUP($C440,'2000 Place'!$C$2:$Y$523,17,FALSE)</f>
        <v>192</v>
      </c>
      <c r="Q440">
        <f>VLOOKUP($C440,'2000 Place'!$C$2:$Y$523,18,FALSE)</f>
        <v>3</v>
      </c>
      <c r="R440">
        <f>VLOOKUP($C440,'2000 Place'!$C$2:$Y$523,19,FALSE)</f>
        <v>18</v>
      </c>
      <c r="S440">
        <f>VLOOKUP($C440,'2000 Place'!$C$2:$Y$523,20,FALSE)</f>
        <v>48</v>
      </c>
      <c r="T440">
        <f>VLOOKUP($C440,'2000 Place'!$C$2:$Y$523,21,FALSE)</f>
        <v>21</v>
      </c>
      <c r="U440">
        <f>VLOOKUP($C440,'2000 Place'!$C$2:$Y$523,22,FALSE)</f>
        <v>494</v>
      </c>
      <c r="V440">
        <f>VLOOKUP($C440,'2000 Place'!$C$2:$Y$523,23,FALSE)</f>
        <v>68</v>
      </c>
    </row>
    <row r="441" spans="1:22" x14ac:dyDescent="0.25">
      <c r="A441" t="s">
        <v>1126</v>
      </c>
      <c r="B441">
        <v>5355400</v>
      </c>
      <c r="C441" t="s">
        <v>1127</v>
      </c>
      <c r="D441">
        <f>VLOOKUP($C441,'2000 Place'!$C$2:$Y$523,5,FALSE)</f>
        <v>3050</v>
      </c>
      <c r="E441">
        <f>VLOOKUP($C441,'2000 Place'!$C$2:$Y$523,6,FALSE)</f>
        <v>2898</v>
      </c>
      <c r="F441">
        <f>VLOOKUP($C441,'2000 Place'!$C$2:$Y$523,7,FALSE)</f>
        <v>152</v>
      </c>
      <c r="G441">
        <f>VLOOKUP($C441,'2000 Place'!$C$2:$Y$523,8,FALSE)</f>
        <v>2741</v>
      </c>
      <c r="H441">
        <f>VLOOKUP($C441,'2000 Place'!$C$2:$Y$523,9,FALSE)</f>
        <v>88</v>
      </c>
      <c r="I441">
        <f>VLOOKUP($C441,'2000 Place'!$C$2:$Y$523,10,FALSE)</f>
        <v>24</v>
      </c>
      <c r="J441">
        <f>VLOOKUP($C441,'2000 Place'!$C$2:$Y$523,11,FALSE)</f>
        <v>7</v>
      </c>
      <c r="K441">
        <f>VLOOKUP($C441,'2000 Place'!$C$2:$Y$523,12,FALSE)</f>
        <v>0</v>
      </c>
      <c r="L441">
        <f>VLOOKUP($C441,'2000 Place'!$C$2:$Y$523,13,FALSE)</f>
        <v>0</v>
      </c>
      <c r="M441">
        <f>VLOOKUP($C441,'2000 Place'!$C$2:$Y$523,14,FALSE)</f>
        <v>92</v>
      </c>
      <c r="N441">
        <f>VLOOKUP($C441,'2000 Place'!$C$2:$Y$523,15,FALSE)</f>
        <v>9</v>
      </c>
      <c r="O441">
        <f>VLOOKUP($C441,'2000 Place'!$C$2:$Y$523,16,FALSE)</f>
        <v>8</v>
      </c>
      <c r="P441">
        <f>VLOOKUP($C441,'2000 Place'!$C$2:$Y$523,17,FALSE)</f>
        <v>43</v>
      </c>
      <c r="Q441">
        <f>VLOOKUP($C441,'2000 Place'!$C$2:$Y$523,18,FALSE)</f>
        <v>0</v>
      </c>
      <c r="R441">
        <f>VLOOKUP($C441,'2000 Place'!$C$2:$Y$523,19,FALSE)</f>
        <v>0</v>
      </c>
      <c r="S441">
        <f>VLOOKUP($C441,'2000 Place'!$C$2:$Y$523,20,FALSE)</f>
        <v>6</v>
      </c>
      <c r="T441">
        <f>VLOOKUP($C441,'2000 Place'!$C$2:$Y$523,21,FALSE)</f>
        <v>5</v>
      </c>
      <c r="U441">
        <f>VLOOKUP($C441,'2000 Place'!$C$2:$Y$523,22,FALSE)</f>
        <v>27</v>
      </c>
      <c r="V441">
        <f>VLOOKUP($C441,'2000 Place'!$C$2:$Y$523,23,FALSE)</f>
        <v>0</v>
      </c>
    </row>
    <row r="442" spans="1:22" x14ac:dyDescent="0.25">
      <c r="A442" t="s">
        <v>1128</v>
      </c>
      <c r="B442">
        <v>5355540</v>
      </c>
      <c r="C442" t="s">
        <v>1129</v>
      </c>
      <c r="D442" t="e">
        <f>VLOOKUP($C442,'2000 Place'!$C$2:$Y$523,5,FALSE)</f>
        <v>#N/A</v>
      </c>
      <c r="E442" t="e">
        <f>VLOOKUP($C442,'2000 Place'!$C$2:$Y$523,6,FALSE)</f>
        <v>#N/A</v>
      </c>
      <c r="F442" t="e">
        <f>VLOOKUP($C442,'2000 Place'!$C$2:$Y$523,7,FALSE)</f>
        <v>#N/A</v>
      </c>
      <c r="G442" t="e">
        <f>VLOOKUP($C442,'2000 Place'!$C$2:$Y$523,8,FALSE)</f>
        <v>#N/A</v>
      </c>
      <c r="H442" t="e">
        <f>VLOOKUP($C442,'2000 Place'!$C$2:$Y$523,9,FALSE)</f>
        <v>#N/A</v>
      </c>
      <c r="I442" t="e">
        <f>VLOOKUP($C442,'2000 Place'!$C$2:$Y$523,10,FALSE)</f>
        <v>#N/A</v>
      </c>
      <c r="J442" t="e">
        <f>VLOOKUP($C442,'2000 Place'!$C$2:$Y$523,11,FALSE)</f>
        <v>#N/A</v>
      </c>
      <c r="K442" t="e">
        <f>VLOOKUP($C442,'2000 Place'!$C$2:$Y$523,12,FALSE)</f>
        <v>#N/A</v>
      </c>
      <c r="L442" t="e">
        <f>VLOOKUP($C442,'2000 Place'!$C$2:$Y$523,13,FALSE)</f>
        <v>#N/A</v>
      </c>
      <c r="M442" t="e">
        <f>VLOOKUP($C442,'2000 Place'!$C$2:$Y$523,14,FALSE)</f>
        <v>#N/A</v>
      </c>
      <c r="N442" t="e">
        <f>VLOOKUP($C442,'2000 Place'!$C$2:$Y$523,15,FALSE)</f>
        <v>#N/A</v>
      </c>
      <c r="O442" t="e">
        <f>VLOOKUP($C442,'2000 Place'!$C$2:$Y$523,16,FALSE)</f>
        <v>#N/A</v>
      </c>
      <c r="P442" t="e">
        <f>VLOOKUP($C442,'2000 Place'!$C$2:$Y$523,17,FALSE)</f>
        <v>#N/A</v>
      </c>
      <c r="Q442" t="e">
        <f>VLOOKUP($C442,'2000 Place'!$C$2:$Y$523,18,FALSE)</f>
        <v>#N/A</v>
      </c>
      <c r="R442" t="e">
        <f>VLOOKUP($C442,'2000 Place'!$C$2:$Y$523,19,FALSE)</f>
        <v>#N/A</v>
      </c>
      <c r="S442" t="e">
        <f>VLOOKUP($C442,'2000 Place'!$C$2:$Y$523,20,FALSE)</f>
        <v>#N/A</v>
      </c>
      <c r="T442" t="e">
        <f>VLOOKUP($C442,'2000 Place'!$C$2:$Y$523,21,FALSE)</f>
        <v>#N/A</v>
      </c>
      <c r="U442" t="e">
        <f>VLOOKUP($C442,'2000 Place'!$C$2:$Y$523,22,FALSE)</f>
        <v>#N/A</v>
      </c>
      <c r="V442" t="e">
        <f>VLOOKUP($C442,'2000 Place'!$C$2:$Y$523,23,FALSE)</f>
        <v>#N/A</v>
      </c>
    </row>
    <row r="443" spans="1:22" x14ac:dyDescent="0.25">
      <c r="A443" t="s">
        <v>1130</v>
      </c>
      <c r="B443">
        <v>5355612</v>
      </c>
      <c r="C443" t="s">
        <v>1131</v>
      </c>
      <c r="D443" t="e">
        <f>VLOOKUP($C443,'2000 Place'!$C$2:$Y$523,5,FALSE)</f>
        <v>#N/A</v>
      </c>
      <c r="E443" t="e">
        <f>VLOOKUP($C443,'2000 Place'!$C$2:$Y$523,6,FALSE)</f>
        <v>#N/A</v>
      </c>
      <c r="F443" t="e">
        <f>VLOOKUP($C443,'2000 Place'!$C$2:$Y$523,7,FALSE)</f>
        <v>#N/A</v>
      </c>
      <c r="G443" t="e">
        <f>VLOOKUP($C443,'2000 Place'!$C$2:$Y$523,8,FALSE)</f>
        <v>#N/A</v>
      </c>
      <c r="H443" t="e">
        <f>VLOOKUP($C443,'2000 Place'!$C$2:$Y$523,9,FALSE)</f>
        <v>#N/A</v>
      </c>
      <c r="I443" t="e">
        <f>VLOOKUP($C443,'2000 Place'!$C$2:$Y$523,10,FALSE)</f>
        <v>#N/A</v>
      </c>
      <c r="J443" t="e">
        <f>VLOOKUP($C443,'2000 Place'!$C$2:$Y$523,11,FALSE)</f>
        <v>#N/A</v>
      </c>
      <c r="K443" t="e">
        <f>VLOOKUP($C443,'2000 Place'!$C$2:$Y$523,12,FALSE)</f>
        <v>#N/A</v>
      </c>
      <c r="L443" t="e">
        <f>VLOOKUP($C443,'2000 Place'!$C$2:$Y$523,13,FALSE)</f>
        <v>#N/A</v>
      </c>
      <c r="M443" t="e">
        <f>VLOOKUP($C443,'2000 Place'!$C$2:$Y$523,14,FALSE)</f>
        <v>#N/A</v>
      </c>
      <c r="N443" t="e">
        <f>VLOOKUP($C443,'2000 Place'!$C$2:$Y$523,15,FALSE)</f>
        <v>#N/A</v>
      </c>
      <c r="O443" t="e">
        <f>VLOOKUP($C443,'2000 Place'!$C$2:$Y$523,16,FALSE)</f>
        <v>#N/A</v>
      </c>
      <c r="P443" t="e">
        <f>VLOOKUP($C443,'2000 Place'!$C$2:$Y$523,17,FALSE)</f>
        <v>#N/A</v>
      </c>
      <c r="Q443" t="e">
        <f>VLOOKUP($C443,'2000 Place'!$C$2:$Y$523,18,FALSE)</f>
        <v>#N/A</v>
      </c>
      <c r="R443" t="e">
        <f>VLOOKUP($C443,'2000 Place'!$C$2:$Y$523,19,FALSE)</f>
        <v>#N/A</v>
      </c>
      <c r="S443" t="e">
        <f>VLOOKUP($C443,'2000 Place'!$C$2:$Y$523,20,FALSE)</f>
        <v>#N/A</v>
      </c>
      <c r="T443" t="e">
        <f>VLOOKUP($C443,'2000 Place'!$C$2:$Y$523,21,FALSE)</f>
        <v>#N/A</v>
      </c>
      <c r="U443" t="e">
        <f>VLOOKUP($C443,'2000 Place'!$C$2:$Y$523,22,FALSE)</f>
        <v>#N/A</v>
      </c>
      <c r="V443" t="e">
        <f>VLOOKUP($C443,'2000 Place'!$C$2:$Y$523,23,FALSE)</f>
        <v>#N/A</v>
      </c>
    </row>
    <row r="444" spans="1:22" x14ac:dyDescent="0.25">
      <c r="A444" t="s">
        <v>1132</v>
      </c>
      <c r="B444">
        <v>5355620</v>
      </c>
      <c r="C444" t="s">
        <v>1133</v>
      </c>
      <c r="D444">
        <f>VLOOKUP($C444,'2000 Place'!$C$2:$Y$523,5,FALSE)</f>
        <v>3467</v>
      </c>
      <c r="E444">
        <f>VLOOKUP($C444,'2000 Place'!$C$2:$Y$523,6,FALSE)</f>
        <v>3253</v>
      </c>
      <c r="F444">
        <f>VLOOKUP($C444,'2000 Place'!$C$2:$Y$523,7,FALSE)</f>
        <v>214</v>
      </c>
      <c r="G444">
        <f>VLOOKUP($C444,'2000 Place'!$C$2:$Y$523,8,FALSE)</f>
        <v>2928</v>
      </c>
      <c r="H444">
        <f>VLOOKUP($C444,'2000 Place'!$C$2:$Y$523,9,FALSE)</f>
        <v>158</v>
      </c>
      <c r="I444">
        <f>VLOOKUP($C444,'2000 Place'!$C$2:$Y$523,10,FALSE)</f>
        <v>28</v>
      </c>
      <c r="J444">
        <f>VLOOKUP($C444,'2000 Place'!$C$2:$Y$523,11,FALSE)</f>
        <v>0</v>
      </c>
      <c r="K444">
        <f>VLOOKUP($C444,'2000 Place'!$C$2:$Y$523,12,FALSE)</f>
        <v>6</v>
      </c>
      <c r="L444">
        <f>VLOOKUP($C444,'2000 Place'!$C$2:$Y$523,13,FALSE)</f>
        <v>0</v>
      </c>
      <c r="M444">
        <f>VLOOKUP($C444,'2000 Place'!$C$2:$Y$523,14,FALSE)</f>
        <v>69</v>
      </c>
      <c r="N444">
        <f>VLOOKUP($C444,'2000 Place'!$C$2:$Y$523,15,FALSE)</f>
        <v>0</v>
      </c>
      <c r="O444">
        <f>VLOOKUP($C444,'2000 Place'!$C$2:$Y$523,16,FALSE)</f>
        <v>24</v>
      </c>
      <c r="P444">
        <f>VLOOKUP($C444,'2000 Place'!$C$2:$Y$523,17,FALSE)</f>
        <v>51</v>
      </c>
      <c r="Q444">
        <f>VLOOKUP($C444,'2000 Place'!$C$2:$Y$523,18,FALSE)</f>
        <v>5</v>
      </c>
      <c r="R444">
        <f>VLOOKUP($C444,'2000 Place'!$C$2:$Y$523,19,FALSE)</f>
        <v>0</v>
      </c>
      <c r="S444">
        <f>VLOOKUP($C444,'2000 Place'!$C$2:$Y$523,20,FALSE)</f>
        <v>19</v>
      </c>
      <c r="T444">
        <f>VLOOKUP($C444,'2000 Place'!$C$2:$Y$523,21,FALSE)</f>
        <v>0</v>
      </c>
      <c r="U444">
        <f>VLOOKUP($C444,'2000 Place'!$C$2:$Y$523,22,FALSE)</f>
        <v>174</v>
      </c>
      <c r="V444">
        <f>VLOOKUP($C444,'2000 Place'!$C$2:$Y$523,23,FALSE)</f>
        <v>5</v>
      </c>
    </row>
    <row r="445" spans="1:22" x14ac:dyDescent="0.25">
      <c r="A445" t="s">
        <v>1134</v>
      </c>
      <c r="B445">
        <v>5355645</v>
      </c>
      <c r="C445" t="s">
        <v>1135</v>
      </c>
      <c r="D445">
        <f>VLOOKUP($C445,'2000 Place'!$C$2:$Y$523,5,FALSE)</f>
        <v>1953</v>
      </c>
      <c r="E445">
        <f>VLOOKUP($C445,'2000 Place'!$C$2:$Y$523,6,FALSE)</f>
        <v>1807</v>
      </c>
      <c r="F445">
        <f>VLOOKUP($C445,'2000 Place'!$C$2:$Y$523,7,FALSE)</f>
        <v>146</v>
      </c>
      <c r="G445">
        <f>VLOOKUP($C445,'2000 Place'!$C$2:$Y$523,8,FALSE)</f>
        <v>1717</v>
      </c>
      <c r="H445">
        <f>VLOOKUP($C445,'2000 Place'!$C$2:$Y$523,9,FALSE)</f>
        <v>146</v>
      </c>
      <c r="I445">
        <f>VLOOKUP($C445,'2000 Place'!$C$2:$Y$523,10,FALSE)</f>
        <v>65</v>
      </c>
      <c r="J445">
        <f>VLOOKUP($C445,'2000 Place'!$C$2:$Y$523,11,FALSE)</f>
        <v>0</v>
      </c>
      <c r="K445">
        <f>VLOOKUP($C445,'2000 Place'!$C$2:$Y$523,12,FALSE)</f>
        <v>0</v>
      </c>
      <c r="L445">
        <f>VLOOKUP($C445,'2000 Place'!$C$2:$Y$523,13,FALSE)</f>
        <v>0</v>
      </c>
      <c r="M445">
        <f>VLOOKUP($C445,'2000 Place'!$C$2:$Y$523,14,FALSE)</f>
        <v>25</v>
      </c>
      <c r="N445">
        <f>VLOOKUP($C445,'2000 Place'!$C$2:$Y$523,15,FALSE)</f>
        <v>0</v>
      </c>
      <c r="O445">
        <f>VLOOKUP($C445,'2000 Place'!$C$2:$Y$523,16,FALSE)</f>
        <v>0</v>
      </c>
      <c r="P445">
        <f>VLOOKUP($C445,'2000 Place'!$C$2:$Y$523,17,FALSE)</f>
        <v>0</v>
      </c>
      <c r="Q445">
        <f>VLOOKUP($C445,'2000 Place'!$C$2:$Y$523,18,FALSE)</f>
        <v>0</v>
      </c>
      <c r="R445">
        <f>VLOOKUP($C445,'2000 Place'!$C$2:$Y$523,19,FALSE)</f>
        <v>0</v>
      </c>
      <c r="S445">
        <f>VLOOKUP($C445,'2000 Place'!$C$2:$Y$523,20,FALSE)</f>
        <v>0</v>
      </c>
      <c r="T445">
        <f>VLOOKUP($C445,'2000 Place'!$C$2:$Y$523,21,FALSE)</f>
        <v>0</v>
      </c>
      <c r="U445">
        <f>VLOOKUP($C445,'2000 Place'!$C$2:$Y$523,22,FALSE)</f>
        <v>0</v>
      </c>
      <c r="V445">
        <f>VLOOKUP($C445,'2000 Place'!$C$2:$Y$523,23,FALSE)</f>
        <v>0</v>
      </c>
    </row>
    <row r="446" spans="1:22" x14ac:dyDescent="0.25">
      <c r="A446" t="s">
        <v>1136</v>
      </c>
      <c r="B446">
        <v>5355785</v>
      </c>
      <c r="C446" t="s">
        <v>1137</v>
      </c>
      <c r="D446">
        <f>VLOOKUP($C446,'2000 Place'!$C$2:$Y$523,5,FALSE)</f>
        <v>7756</v>
      </c>
      <c r="E446">
        <f>VLOOKUP($C446,'2000 Place'!$C$2:$Y$523,6,FALSE)</f>
        <v>7125</v>
      </c>
      <c r="F446">
        <f>VLOOKUP($C446,'2000 Place'!$C$2:$Y$523,7,FALSE)</f>
        <v>631</v>
      </c>
      <c r="G446">
        <f>VLOOKUP($C446,'2000 Place'!$C$2:$Y$523,8,FALSE)</f>
        <v>5907</v>
      </c>
      <c r="H446">
        <f>VLOOKUP($C446,'2000 Place'!$C$2:$Y$523,9,FALSE)</f>
        <v>294</v>
      </c>
      <c r="I446">
        <f>VLOOKUP($C446,'2000 Place'!$C$2:$Y$523,10,FALSE)</f>
        <v>172</v>
      </c>
      <c r="J446">
        <f>VLOOKUP($C446,'2000 Place'!$C$2:$Y$523,11,FALSE)</f>
        <v>49</v>
      </c>
      <c r="K446">
        <f>VLOOKUP($C446,'2000 Place'!$C$2:$Y$523,12,FALSE)</f>
        <v>336</v>
      </c>
      <c r="L446">
        <f>VLOOKUP($C446,'2000 Place'!$C$2:$Y$523,13,FALSE)</f>
        <v>0</v>
      </c>
      <c r="M446">
        <f>VLOOKUP($C446,'2000 Place'!$C$2:$Y$523,14,FALSE)</f>
        <v>29</v>
      </c>
      <c r="N446">
        <f>VLOOKUP($C446,'2000 Place'!$C$2:$Y$523,15,FALSE)</f>
        <v>0</v>
      </c>
      <c r="O446">
        <f>VLOOKUP($C446,'2000 Place'!$C$2:$Y$523,16,FALSE)</f>
        <v>87</v>
      </c>
      <c r="P446">
        <f>VLOOKUP($C446,'2000 Place'!$C$2:$Y$523,17,FALSE)</f>
        <v>219</v>
      </c>
      <c r="Q446">
        <f>VLOOKUP($C446,'2000 Place'!$C$2:$Y$523,18,FALSE)</f>
        <v>11</v>
      </c>
      <c r="R446">
        <f>VLOOKUP($C446,'2000 Place'!$C$2:$Y$523,19,FALSE)</f>
        <v>18</v>
      </c>
      <c r="S446">
        <f>VLOOKUP($C446,'2000 Place'!$C$2:$Y$523,20,FALSE)</f>
        <v>68</v>
      </c>
      <c r="T446">
        <f>VLOOKUP($C446,'2000 Place'!$C$2:$Y$523,21,FALSE)</f>
        <v>14</v>
      </c>
      <c r="U446">
        <f>VLOOKUP($C446,'2000 Place'!$C$2:$Y$523,22,FALSE)</f>
        <v>515</v>
      </c>
      <c r="V446">
        <f>VLOOKUP($C446,'2000 Place'!$C$2:$Y$523,23,FALSE)</f>
        <v>37</v>
      </c>
    </row>
    <row r="447" spans="1:22" x14ac:dyDescent="0.25">
      <c r="A447" t="s">
        <v>1138</v>
      </c>
      <c r="B447">
        <v>5355855</v>
      </c>
      <c r="C447" t="s">
        <v>1139</v>
      </c>
      <c r="D447">
        <f>VLOOKUP($C447,'2000 Place'!$C$2:$Y$523,5,FALSE)</f>
        <v>8325</v>
      </c>
      <c r="E447">
        <f>VLOOKUP($C447,'2000 Place'!$C$2:$Y$523,6,FALSE)</f>
        <v>7894</v>
      </c>
      <c r="F447">
        <f>VLOOKUP($C447,'2000 Place'!$C$2:$Y$523,7,FALSE)</f>
        <v>431</v>
      </c>
      <c r="G447">
        <f>VLOOKUP($C447,'2000 Place'!$C$2:$Y$523,8,FALSE)</f>
        <v>7327</v>
      </c>
      <c r="H447">
        <f>VLOOKUP($C447,'2000 Place'!$C$2:$Y$523,9,FALSE)</f>
        <v>313</v>
      </c>
      <c r="I447">
        <f>VLOOKUP($C447,'2000 Place'!$C$2:$Y$523,10,FALSE)</f>
        <v>117</v>
      </c>
      <c r="J447">
        <f>VLOOKUP($C447,'2000 Place'!$C$2:$Y$523,11,FALSE)</f>
        <v>25</v>
      </c>
      <c r="K447">
        <f>VLOOKUP($C447,'2000 Place'!$C$2:$Y$523,12,FALSE)</f>
        <v>39</v>
      </c>
      <c r="L447">
        <f>VLOOKUP($C447,'2000 Place'!$C$2:$Y$523,13,FALSE)</f>
        <v>0</v>
      </c>
      <c r="M447">
        <f>VLOOKUP($C447,'2000 Place'!$C$2:$Y$523,14,FALSE)</f>
        <v>100</v>
      </c>
      <c r="N447">
        <f>VLOOKUP($C447,'2000 Place'!$C$2:$Y$523,15,FALSE)</f>
        <v>0</v>
      </c>
      <c r="O447">
        <f>VLOOKUP($C447,'2000 Place'!$C$2:$Y$523,16,FALSE)</f>
        <v>51</v>
      </c>
      <c r="P447">
        <f>VLOOKUP($C447,'2000 Place'!$C$2:$Y$523,17,FALSE)</f>
        <v>69</v>
      </c>
      <c r="Q447">
        <f>VLOOKUP($C447,'2000 Place'!$C$2:$Y$523,18,FALSE)</f>
        <v>0</v>
      </c>
      <c r="R447">
        <f>VLOOKUP($C447,'2000 Place'!$C$2:$Y$523,19,FALSE)</f>
        <v>0</v>
      </c>
      <c r="S447">
        <f>VLOOKUP($C447,'2000 Place'!$C$2:$Y$523,20,FALSE)</f>
        <v>13</v>
      </c>
      <c r="T447">
        <f>VLOOKUP($C447,'2000 Place'!$C$2:$Y$523,21,FALSE)</f>
        <v>15</v>
      </c>
      <c r="U447">
        <f>VLOOKUP($C447,'2000 Place'!$C$2:$Y$523,22,FALSE)</f>
        <v>247</v>
      </c>
      <c r="V447">
        <f>VLOOKUP($C447,'2000 Place'!$C$2:$Y$523,23,FALSE)</f>
        <v>9</v>
      </c>
    </row>
    <row r="448" spans="1:22" x14ac:dyDescent="0.25">
      <c r="A448" t="s">
        <v>1140</v>
      </c>
      <c r="B448">
        <v>5355995</v>
      </c>
      <c r="C448" t="s">
        <v>1141</v>
      </c>
      <c r="D448">
        <f>VLOOKUP($C448,'2000 Place'!$C$2:$Y$523,5,FALSE)</f>
        <v>6902</v>
      </c>
      <c r="E448">
        <f>VLOOKUP($C448,'2000 Place'!$C$2:$Y$523,6,FALSE)</f>
        <v>6304</v>
      </c>
      <c r="F448">
        <f>VLOOKUP($C448,'2000 Place'!$C$2:$Y$523,7,FALSE)</f>
        <v>598</v>
      </c>
      <c r="G448">
        <f>VLOOKUP($C448,'2000 Place'!$C$2:$Y$523,8,FALSE)</f>
        <v>5573</v>
      </c>
      <c r="H448">
        <f>VLOOKUP($C448,'2000 Place'!$C$2:$Y$523,9,FALSE)</f>
        <v>290</v>
      </c>
      <c r="I448">
        <f>VLOOKUP($C448,'2000 Place'!$C$2:$Y$523,10,FALSE)</f>
        <v>143</v>
      </c>
      <c r="J448">
        <f>VLOOKUP($C448,'2000 Place'!$C$2:$Y$523,11,FALSE)</f>
        <v>44</v>
      </c>
      <c r="K448">
        <f>VLOOKUP($C448,'2000 Place'!$C$2:$Y$523,12,FALSE)</f>
        <v>22</v>
      </c>
      <c r="L448">
        <f>VLOOKUP($C448,'2000 Place'!$C$2:$Y$523,13,FALSE)</f>
        <v>0</v>
      </c>
      <c r="M448">
        <f>VLOOKUP($C448,'2000 Place'!$C$2:$Y$523,14,FALSE)</f>
        <v>49</v>
      </c>
      <c r="N448">
        <f>VLOOKUP($C448,'2000 Place'!$C$2:$Y$523,15,FALSE)</f>
        <v>0</v>
      </c>
      <c r="O448">
        <f>VLOOKUP($C448,'2000 Place'!$C$2:$Y$523,16,FALSE)</f>
        <v>92</v>
      </c>
      <c r="P448">
        <f>VLOOKUP($C448,'2000 Place'!$C$2:$Y$523,17,FALSE)</f>
        <v>131</v>
      </c>
      <c r="Q448">
        <f>VLOOKUP($C448,'2000 Place'!$C$2:$Y$523,18,FALSE)</f>
        <v>53</v>
      </c>
      <c r="R448">
        <f>VLOOKUP($C448,'2000 Place'!$C$2:$Y$523,19,FALSE)</f>
        <v>28</v>
      </c>
      <c r="S448">
        <f>VLOOKUP($C448,'2000 Place'!$C$2:$Y$523,20,FALSE)</f>
        <v>61</v>
      </c>
      <c r="T448">
        <f>VLOOKUP($C448,'2000 Place'!$C$2:$Y$523,21,FALSE)</f>
        <v>66</v>
      </c>
      <c r="U448">
        <f>VLOOKUP($C448,'2000 Place'!$C$2:$Y$523,22,FALSE)</f>
        <v>311</v>
      </c>
      <c r="V448">
        <f>VLOOKUP($C448,'2000 Place'!$C$2:$Y$523,23,FALSE)</f>
        <v>39</v>
      </c>
    </row>
    <row r="449" spans="1:22" x14ac:dyDescent="0.25">
      <c r="A449" t="s">
        <v>1142</v>
      </c>
      <c r="B449">
        <v>5356150</v>
      </c>
      <c r="C449" t="s">
        <v>1143</v>
      </c>
      <c r="D449" t="e">
        <f>VLOOKUP($C449,'2000 Place'!$C$2:$Y$523,5,FALSE)</f>
        <v>#N/A</v>
      </c>
      <c r="E449" t="e">
        <f>VLOOKUP($C449,'2000 Place'!$C$2:$Y$523,6,FALSE)</f>
        <v>#N/A</v>
      </c>
      <c r="F449" t="e">
        <f>VLOOKUP($C449,'2000 Place'!$C$2:$Y$523,7,FALSE)</f>
        <v>#N/A</v>
      </c>
      <c r="G449" t="e">
        <f>VLOOKUP($C449,'2000 Place'!$C$2:$Y$523,8,FALSE)</f>
        <v>#N/A</v>
      </c>
      <c r="H449" t="e">
        <f>VLOOKUP($C449,'2000 Place'!$C$2:$Y$523,9,FALSE)</f>
        <v>#N/A</v>
      </c>
      <c r="I449" t="e">
        <f>VLOOKUP($C449,'2000 Place'!$C$2:$Y$523,10,FALSE)</f>
        <v>#N/A</v>
      </c>
      <c r="J449" t="e">
        <f>VLOOKUP($C449,'2000 Place'!$C$2:$Y$523,11,FALSE)</f>
        <v>#N/A</v>
      </c>
      <c r="K449" t="e">
        <f>VLOOKUP($C449,'2000 Place'!$C$2:$Y$523,12,FALSE)</f>
        <v>#N/A</v>
      </c>
      <c r="L449" t="e">
        <f>VLOOKUP($C449,'2000 Place'!$C$2:$Y$523,13,FALSE)</f>
        <v>#N/A</v>
      </c>
      <c r="M449" t="e">
        <f>VLOOKUP($C449,'2000 Place'!$C$2:$Y$523,14,FALSE)</f>
        <v>#N/A</v>
      </c>
      <c r="N449" t="e">
        <f>VLOOKUP($C449,'2000 Place'!$C$2:$Y$523,15,FALSE)</f>
        <v>#N/A</v>
      </c>
      <c r="O449" t="e">
        <f>VLOOKUP($C449,'2000 Place'!$C$2:$Y$523,16,FALSE)</f>
        <v>#N/A</v>
      </c>
      <c r="P449" t="e">
        <f>VLOOKUP($C449,'2000 Place'!$C$2:$Y$523,17,FALSE)</f>
        <v>#N/A</v>
      </c>
      <c r="Q449" t="e">
        <f>VLOOKUP($C449,'2000 Place'!$C$2:$Y$523,18,FALSE)</f>
        <v>#N/A</v>
      </c>
      <c r="R449" t="e">
        <f>VLOOKUP($C449,'2000 Place'!$C$2:$Y$523,19,FALSE)</f>
        <v>#N/A</v>
      </c>
      <c r="S449" t="e">
        <f>VLOOKUP($C449,'2000 Place'!$C$2:$Y$523,20,FALSE)</f>
        <v>#N/A</v>
      </c>
      <c r="T449" t="e">
        <f>VLOOKUP($C449,'2000 Place'!$C$2:$Y$523,21,FALSE)</f>
        <v>#N/A</v>
      </c>
      <c r="U449" t="e">
        <f>VLOOKUP($C449,'2000 Place'!$C$2:$Y$523,22,FALSE)</f>
        <v>#N/A</v>
      </c>
      <c r="V449" t="e">
        <f>VLOOKUP($C449,'2000 Place'!$C$2:$Y$523,23,FALSE)</f>
        <v>#N/A</v>
      </c>
    </row>
    <row r="450" spans="1:22" x14ac:dyDescent="0.25">
      <c r="A450" t="s">
        <v>1144</v>
      </c>
      <c r="B450">
        <v>5356170</v>
      </c>
      <c r="C450" t="s">
        <v>1145</v>
      </c>
      <c r="D450">
        <f>VLOOKUP($C450,'2000 Place'!$C$2:$Y$523,5,FALSE)</f>
        <v>11509</v>
      </c>
      <c r="E450">
        <f>VLOOKUP($C450,'2000 Place'!$C$2:$Y$523,6,FALSE)</f>
        <v>11060</v>
      </c>
      <c r="F450">
        <f>VLOOKUP($C450,'2000 Place'!$C$2:$Y$523,7,FALSE)</f>
        <v>449</v>
      </c>
      <c r="G450">
        <f>VLOOKUP($C450,'2000 Place'!$C$2:$Y$523,8,FALSE)</f>
        <v>10286</v>
      </c>
      <c r="H450">
        <f>VLOOKUP($C450,'2000 Place'!$C$2:$Y$523,9,FALSE)</f>
        <v>220</v>
      </c>
      <c r="I450">
        <f>VLOOKUP($C450,'2000 Place'!$C$2:$Y$523,10,FALSE)</f>
        <v>198</v>
      </c>
      <c r="J450">
        <f>VLOOKUP($C450,'2000 Place'!$C$2:$Y$523,11,FALSE)</f>
        <v>79</v>
      </c>
      <c r="K450">
        <f>VLOOKUP($C450,'2000 Place'!$C$2:$Y$523,12,FALSE)</f>
        <v>73</v>
      </c>
      <c r="L450">
        <f>VLOOKUP($C450,'2000 Place'!$C$2:$Y$523,13,FALSE)</f>
        <v>0</v>
      </c>
      <c r="M450">
        <f>VLOOKUP($C450,'2000 Place'!$C$2:$Y$523,14,FALSE)</f>
        <v>86</v>
      </c>
      <c r="N450">
        <f>VLOOKUP($C450,'2000 Place'!$C$2:$Y$523,15,FALSE)</f>
        <v>0</v>
      </c>
      <c r="O450">
        <f>VLOOKUP($C450,'2000 Place'!$C$2:$Y$523,16,FALSE)</f>
        <v>27</v>
      </c>
      <c r="P450">
        <f>VLOOKUP($C450,'2000 Place'!$C$2:$Y$523,17,FALSE)</f>
        <v>81</v>
      </c>
      <c r="Q450">
        <f>VLOOKUP($C450,'2000 Place'!$C$2:$Y$523,18,FALSE)</f>
        <v>10</v>
      </c>
      <c r="R450">
        <f>VLOOKUP($C450,'2000 Place'!$C$2:$Y$523,19,FALSE)</f>
        <v>0</v>
      </c>
      <c r="S450">
        <f>VLOOKUP($C450,'2000 Place'!$C$2:$Y$523,20,FALSE)</f>
        <v>81</v>
      </c>
      <c r="T450">
        <f>VLOOKUP($C450,'2000 Place'!$C$2:$Y$523,21,FALSE)</f>
        <v>26</v>
      </c>
      <c r="U450">
        <f>VLOOKUP($C450,'2000 Place'!$C$2:$Y$523,22,FALSE)</f>
        <v>299</v>
      </c>
      <c r="V450">
        <f>VLOOKUP($C450,'2000 Place'!$C$2:$Y$523,23,FALSE)</f>
        <v>43</v>
      </c>
    </row>
    <row r="451" spans="1:22" x14ac:dyDescent="0.25">
      <c r="A451" t="s">
        <v>1146</v>
      </c>
      <c r="B451">
        <v>5356240</v>
      </c>
      <c r="C451" t="s">
        <v>1147</v>
      </c>
      <c r="D451" t="e">
        <f>VLOOKUP($C451,'2000 Place'!$C$2:$Y$523,5,FALSE)</f>
        <v>#N/A</v>
      </c>
      <c r="E451" t="e">
        <f>VLOOKUP($C451,'2000 Place'!$C$2:$Y$523,6,FALSE)</f>
        <v>#N/A</v>
      </c>
      <c r="F451" t="e">
        <f>VLOOKUP($C451,'2000 Place'!$C$2:$Y$523,7,FALSE)</f>
        <v>#N/A</v>
      </c>
      <c r="G451" t="e">
        <f>VLOOKUP($C451,'2000 Place'!$C$2:$Y$523,8,FALSE)</f>
        <v>#N/A</v>
      </c>
      <c r="H451" t="e">
        <f>VLOOKUP($C451,'2000 Place'!$C$2:$Y$523,9,FALSE)</f>
        <v>#N/A</v>
      </c>
      <c r="I451" t="e">
        <f>VLOOKUP($C451,'2000 Place'!$C$2:$Y$523,10,FALSE)</f>
        <v>#N/A</v>
      </c>
      <c r="J451" t="e">
        <f>VLOOKUP($C451,'2000 Place'!$C$2:$Y$523,11,FALSE)</f>
        <v>#N/A</v>
      </c>
      <c r="K451" t="e">
        <f>VLOOKUP($C451,'2000 Place'!$C$2:$Y$523,12,FALSE)</f>
        <v>#N/A</v>
      </c>
      <c r="L451" t="e">
        <f>VLOOKUP($C451,'2000 Place'!$C$2:$Y$523,13,FALSE)</f>
        <v>#N/A</v>
      </c>
      <c r="M451" t="e">
        <f>VLOOKUP($C451,'2000 Place'!$C$2:$Y$523,14,FALSE)</f>
        <v>#N/A</v>
      </c>
      <c r="N451" t="e">
        <f>VLOOKUP($C451,'2000 Place'!$C$2:$Y$523,15,FALSE)</f>
        <v>#N/A</v>
      </c>
      <c r="O451" t="e">
        <f>VLOOKUP($C451,'2000 Place'!$C$2:$Y$523,16,FALSE)</f>
        <v>#N/A</v>
      </c>
      <c r="P451" t="e">
        <f>VLOOKUP($C451,'2000 Place'!$C$2:$Y$523,17,FALSE)</f>
        <v>#N/A</v>
      </c>
      <c r="Q451" t="e">
        <f>VLOOKUP($C451,'2000 Place'!$C$2:$Y$523,18,FALSE)</f>
        <v>#N/A</v>
      </c>
      <c r="R451" t="e">
        <f>VLOOKUP($C451,'2000 Place'!$C$2:$Y$523,19,FALSE)</f>
        <v>#N/A</v>
      </c>
      <c r="S451" t="e">
        <f>VLOOKUP($C451,'2000 Place'!$C$2:$Y$523,20,FALSE)</f>
        <v>#N/A</v>
      </c>
      <c r="T451" t="e">
        <f>VLOOKUP($C451,'2000 Place'!$C$2:$Y$523,21,FALSE)</f>
        <v>#N/A</v>
      </c>
      <c r="U451" t="e">
        <f>VLOOKUP($C451,'2000 Place'!$C$2:$Y$523,22,FALSE)</f>
        <v>#N/A</v>
      </c>
      <c r="V451" t="e">
        <f>VLOOKUP($C451,'2000 Place'!$C$2:$Y$523,23,FALSE)</f>
        <v>#N/A</v>
      </c>
    </row>
    <row r="452" spans="1:22" x14ac:dyDescent="0.25">
      <c r="A452" t="s">
        <v>1148</v>
      </c>
      <c r="B452">
        <v>5356450</v>
      </c>
      <c r="C452" t="s">
        <v>1149</v>
      </c>
      <c r="D452">
        <f>VLOOKUP($C452,'2000 Place'!$C$2:$Y$523,5,FALSE)</f>
        <v>4599</v>
      </c>
      <c r="E452">
        <f>VLOOKUP($C452,'2000 Place'!$C$2:$Y$523,6,FALSE)</f>
        <v>3992</v>
      </c>
      <c r="F452">
        <f>VLOOKUP($C452,'2000 Place'!$C$2:$Y$523,7,FALSE)</f>
        <v>607</v>
      </c>
      <c r="G452">
        <f>VLOOKUP($C452,'2000 Place'!$C$2:$Y$523,8,FALSE)</f>
        <v>3086</v>
      </c>
      <c r="H452">
        <f>VLOOKUP($C452,'2000 Place'!$C$2:$Y$523,9,FALSE)</f>
        <v>52</v>
      </c>
      <c r="I452">
        <f>VLOOKUP($C452,'2000 Place'!$C$2:$Y$523,10,FALSE)</f>
        <v>262</v>
      </c>
      <c r="J452">
        <f>VLOOKUP($C452,'2000 Place'!$C$2:$Y$523,11,FALSE)</f>
        <v>260</v>
      </c>
      <c r="K452">
        <f>VLOOKUP($C452,'2000 Place'!$C$2:$Y$523,12,FALSE)</f>
        <v>31</v>
      </c>
      <c r="L452">
        <f>VLOOKUP($C452,'2000 Place'!$C$2:$Y$523,13,FALSE)</f>
        <v>0</v>
      </c>
      <c r="M452">
        <f>VLOOKUP($C452,'2000 Place'!$C$2:$Y$523,14,FALSE)</f>
        <v>18</v>
      </c>
      <c r="N452">
        <f>VLOOKUP($C452,'2000 Place'!$C$2:$Y$523,15,FALSE)</f>
        <v>0</v>
      </c>
      <c r="O452">
        <f>VLOOKUP($C452,'2000 Place'!$C$2:$Y$523,16,FALSE)</f>
        <v>0</v>
      </c>
      <c r="P452">
        <f>VLOOKUP($C452,'2000 Place'!$C$2:$Y$523,17,FALSE)</f>
        <v>17</v>
      </c>
      <c r="Q452">
        <f>VLOOKUP($C452,'2000 Place'!$C$2:$Y$523,18,FALSE)</f>
        <v>0</v>
      </c>
      <c r="R452">
        <f>VLOOKUP($C452,'2000 Place'!$C$2:$Y$523,19,FALSE)</f>
        <v>0</v>
      </c>
      <c r="S452">
        <f>VLOOKUP($C452,'2000 Place'!$C$2:$Y$523,20,FALSE)</f>
        <v>501</v>
      </c>
      <c r="T452">
        <f>VLOOKUP($C452,'2000 Place'!$C$2:$Y$523,21,FALSE)</f>
        <v>278</v>
      </c>
      <c r="U452">
        <f>VLOOKUP($C452,'2000 Place'!$C$2:$Y$523,22,FALSE)</f>
        <v>94</v>
      </c>
      <c r="V452">
        <f>VLOOKUP($C452,'2000 Place'!$C$2:$Y$523,23,FALSE)</f>
        <v>0</v>
      </c>
    </row>
    <row r="453" spans="1:22" x14ac:dyDescent="0.25">
      <c r="A453" t="s">
        <v>1150</v>
      </c>
      <c r="B453">
        <v>5356555</v>
      </c>
      <c r="C453" t="s">
        <v>1151</v>
      </c>
      <c r="D453" t="e">
        <f>VLOOKUP($C453,'2000 Place'!$C$2:$Y$523,5,FALSE)</f>
        <v>#N/A</v>
      </c>
      <c r="E453" t="e">
        <f>VLOOKUP($C453,'2000 Place'!$C$2:$Y$523,6,FALSE)</f>
        <v>#N/A</v>
      </c>
      <c r="F453" t="e">
        <f>VLOOKUP($C453,'2000 Place'!$C$2:$Y$523,7,FALSE)</f>
        <v>#N/A</v>
      </c>
      <c r="G453" t="e">
        <f>VLOOKUP($C453,'2000 Place'!$C$2:$Y$523,8,FALSE)</f>
        <v>#N/A</v>
      </c>
      <c r="H453" t="e">
        <f>VLOOKUP($C453,'2000 Place'!$C$2:$Y$523,9,FALSE)</f>
        <v>#N/A</v>
      </c>
      <c r="I453" t="e">
        <f>VLOOKUP($C453,'2000 Place'!$C$2:$Y$523,10,FALSE)</f>
        <v>#N/A</v>
      </c>
      <c r="J453" t="e">
        <f>VLOOKUP($C453,'2000 Place'!$C$2:$Y$523,11,FALSE)</f>
        <v>#N/A</v>
      </c>
      <c r="K453" t="e">
        <f>VLOOKUP($C453,'2000 Place'!$C$2:$Y$523,12,FALSE)</f>
        <v>#N/A</v>
      </c>
      <c r="L453" t="e">
        <f>VLOOKUP($C453,'2000 Place'!$C$2:$Y$523,13,FALSE)</f>
        <v>#N/A</v>
      </c>
      <c r="M453" t="e">
        <f>VLOOKUP($C453,'2000 Place'!$C$2:$Y$523,14,FALSE)</f>
        <v>#N/A</v>
      </c>
      <c r="N453" t="e">
        <f>VLOOKUP($C453,'2000 Place'!$C$2:$Y$523,15,FALSE)</f>
        <v>#N/A</v>
      </c>
      <c r="O453" t="e">
        <f>VLOOKUP($C453,'2000 Place'!$C$2:$Y$523,16,FALSE)</f>
        <v>#N/A</v>
      </c>
      <c r="P453" t="e">
        <f>VLOOKUP($C453,'2000 Place'!$C$2:$Y$523,17,FALSE)</f>
        <v>#N/A</v>
      </c>
      <c r="Q453" t="e">
        <f>VLOOKUP($C453,'2000 Place'!$C$2:$Y$523,18,FALSE)</f>
        <v>#N/A</v>
      </c>
      <c r="R453" t="e">
        <f>VLOOKUP($C453,'2000 Place'!$C$2:$Y$523,19,FALSE)</f>
        <v>#N/A</v>
      </c>
      <c r="S453" t="e">
        <f>VLOOKUP($C453,'2000 Place'!$C$2:$Y$523,20,FALSE)</f>
        <v>#N/A</v>
      </c>
      <c r="T453" t="e">
        <f>VLOOKUP($C453,'2000 Place'!$C$2:$Y$523,21,FALSE)</f>
        <v>#N/A</v>
      </c>
      <c r="U453" t="e">
        <f>VLOOKUP($C453,'2000 Place'!$C$2:$Y$523,22,FALSE)</f>
        <v>#N/A</v>
      </c>
      <c r="V453" t="e">
        <f>VLOOKUP($C453,'2000 Place'!$C$2:$Y$523,23,FALSE)</f>
        <v>#N/A</v>
      </c>
    </row>
    <row r="454" spans="1:22" x14ac:dyDescent="0.25">
      <c r="A454" t="s">
        <v>1152</v>
      </c>
      <c r="B454">
        <v>5356625</v>
      </c>
      <c r="C454" t="s">
        <v>1153</v>
      </c>
      <c r="D454">
        <f>VLOOKUP($C454,'2000 Place'!$C$2:$Y$523,5,FALSE)</f>
        <v>24740</v>
      </c>
      <c r="E454">
        <f>VLOOKUP($C454,'2000 Place'!$C$2:$Y$523,6,FALSE)</f>
        <v>21456</v>
      </c>
      <c r="F454">
        <f>VLOOKUP($C454,'2000 Place'!$C$2:$Y$523,7,FALSE)</f>
        <v>3284</v>
      </c>
      <c r="G454">
        <f>VLOOKUP($C454,'2000 Place'!$C$2:$Y$523,8,FALSE)</f>
        <v>19179</v>
      </c>
      <c r="H454">
        <f>VLOOKUP($C454,'2000 Place'!$C$2:$Y$523,9,FALSE)</f>
        <v>1037</v>
      </c>
      <c r="I454">
        <f>VLOOKUP($C454,'2000 Place'!$C$2:$Y$523,10,FALSE)</f>
        <v>358</v>
      </c>
      <c r="J454">
        <f>VLOOKUP($C454,'2000 Place'!$C$2:$Y$523,11,FALSE)</f>
        <v>182</v>
      </c>
      <c r="K454">
        <f>VLOOKUP($C454,'2000 Place'!$C$2:$Y$523,12,FALSE)</f>
        <v>449</v>
      </c>
      <c r="L454">
        <f>VLOOKUP($C454,'2000 Place'!$C$2:$Y$523,13,FALSE)</f>
        <v>158</v>
      </c>
      <c r="M454">
        <f>VLOOKUP($C454,'2000 Place'!$C$2:$Y$523,14,FALSE)</f>
        <v>58</v>
      </c>
      <c r="N454">
        <f>VLOOKUP($C454,'2000 Place'!$C$2:$Y$523,15,FALSE)</f>
        <v>0</v>
      </c>
      <c r="O454">
        <f>VLOOKUP($C454,'2000 Place'!$C$2:$Y$523,16,FALSE)</f>
        <v>462</v>
      </c>
      <c r="P454">
        <f>VLOOKUP($C454,'2000 Place'!$C$2:$Y$523,17,FALSE)</f>
        <v>1530</v>
      </c>
      <c r="Q454">
        <f>VLOOKUP($C454,'2000 Place'!$C$2:$Y$523,18,FALSE)</f>
        <v>72</v>
      </c>
      <c r="R454">
        <f>VLOOKUP($C454,'2000 Place'!$C$2:$Y$523,19,FALSE)</f>
        <v>29</v>
      </c>
      <c r="S454">
        <f>VLOOKUP($C454,'2000 Place'!$C$2:$Y$523,20,FALSE)</f>
        <v>211</v>
      </c>
      <c r="T454">
        <f>VLOOKUP($C454,'2000 Place'!$C$2:$Y$523,21,FALSE)</f>
        <v>125</v>
      </c>
      <c r="U454">
        <f>VLOOKUP($C454,'2000 Place'!$C$2:$Y$523,22,FALSE)</f>
        <v>667</v>
      </c>
      <c r="V454">
        <f>VLOOKUP($C454,'2000 Place'!$C$2:$Y$523,23,FALSE)</f>
        <v>223</v>
      </c>
    </row>
    <row r="455" spans="1:22" x14ac:dyDescent="0.25">
      <c r="A455" t="s">
        <v>1154</v>
      </c>
      <c r="B455">
        <v>5356660</v>
      </c>
      <c r="C455" t="s">
        <v>1155</v>
      </c>
      <c r="D455" t="e">
        <f>VLOOKUP($C455,'2000 Place'!$C$2:$Y$523,5,FALSE)</f>
        <v>#N/A</v>
      </c>
      <c r="E455" t="e">
        <f>VLOOKUP($C455,'2000 Place'!$C$2:$Y$523,6,FALSE)</f>
        <v>#N/A</v>
      </c>
      <c r="F455" t="e">
        <f>VLOOKUP($C455,'2000 Place'!$C$2:$Y$523,7,FALSE)</f>
        <v>#N/A</v>
      </c>
      <c r="G455" t="e">
        <f>VLOOKUP($C455,'2000 Place'!$C$2:$Y$523,8,FALSE)</f>
        <v>#N/A</v>
      </c>
      <c r="H455" t="e">
        <f>VLOOKUP($C455,'2000 Place'!$C$2:$Y$523,9,FALSE)</f>
        <v>#N/A</v>
      </c>
      <c r="I455" t="e">
        <f>VLOOKUP($C455,'2000 Place'!$C$2:$Y$523,10,FALSE)</f>
        <v>#N/A</v>
      </c>
      <c r="J455" t="e">
        <f>VLOOKUP($C455,'2000 Place'!$C$2:$Y$523,11,FALSE)</f>
        <v>#N/A</v>
      </c>
      <c r="K455" t="e">
        <f>VLOOKUP($C455,'2000 Place'!$C$2:$Y$523,12,FALSE)</f>
        <v>#N/A</v>
      </c>
      <c r="L455" t="e">
        <f>VLOOKUP($C455,'2000 Place'!$C$2:$Y$523,13,FALSE)</f>
        <v>#N/A</v>
      </c>
      <c r="M455" t="e">
        <f>VLOOKUP($C455,'2000 Place'!$C$2:$Y$523,14,FALSE)</f>
        <v>#N/A</v>
      </c>
      <c r="N455" t="e">
        <f>VLOOKUP($C455,'2000 Place'!$C$2:$Y$523,15,FALSE)</f>
        <v>#N/A</v>
      </c>
      <c r="O455" t="e">
        <f>VLOOKUP($C455,'2000 Place'!$C$2:$Y$523,16,FALSE)</f>
        <v>#N/A</v>
      </c>
      <c r="P455" t="e">
        <f>VLOOKUP($C455,'2000 Place'!$C$2:$Y$523,17,FALSE)</f>
        <v>#N/A</v>
      </c>
      <c r="Q455" t="e">
        <f>VLOOKUP($C455,'2000 Place'!$C$2:$Y$523,18,FALSE)</f>
        <v>#N/A</v>
      </c>
      <c r="R455" t="e">
        <f>VLOOKUP($C455,'2000 Place'!$C$2:$Y$523,19,FALSE)</f>
        <v>#N/A</v>
      </c>
      <c r="S455" t="e">
        <f>VLOOKUP($C455,'2000 Place'!$C$2:$Y$523,20,FALSE)</f>
        <v>#N/A</v>
      </c>
      <c r="T455" t="e">
        <f>VLOOKUP($C455,'2000 Place'!$C$2:$Y$523,21,FALSE)</f>
        <v>#N/A</v>
      </c>
      <c r="U455" t="e">
        <f>VLOOKUP($C455,'2000 Place'!$C$2:$Y$523,22,FALSE)</f>
        <v>#N/A</v>
      </c>
      <c r="V455" t="e">
        <f>VLOOKUP($C455,'2000 Place'!$C$2:$Y$523,23,FALSE)</f>
        <v>#N/A</v>
      </c>
    </row>
    <row r="456" spans="1:22" x14ac:dyDescent="0.25">
      <c r="A456" t="s">
        <v>1156</v>
      </c>
      <c r="B456">
        <v>5356695</v>
      </c>
      <c r="C456" t="s">
        <v>1157</v>
      </c>
      <c r="D456">
        <f>VLOOKUP($C456,'2000 Place'!$C$2:$Y$523,5,FALSE)</f>
        <v>32682</v>
      </c>
      <c r="E456">
        <f>VLOOKUP($C456,'2000 Place'!$C$2:$Y$523,6,FALSE)</f>
        <v>30570</v>
      </c>
      <c r="F456">
        <f>VLOOKUP($C456,'2000 Place'!$C$2:$Y$523,7,FALSE)</f>
        <v>2112</v>
      </c>
      <c r="G456">
        <f>VLOOKUP($C456,'2000 Place'!$C$2:$Y$523,8,FALSE)</f>
        <v>26989</v>
      </c>
      <c r="H456">
        <f>VLOOKUP($C456,'2000 Place'!$C$2:$Y$523,9,FALSE)</f>
        <v>779</v>
      </c>
      <c r="I456">
        <f>VLOOKUP($C456,'2000 Place'!$C$2:$Y$523,10,FALSE)</f>
        <v>645</v>
      </c>
      <c r="J456">
        <f>VLOOKUP($C456,'2000 Place'!$C$2:$Y$523,11,FALSE)</f>
        <v>183</v>
      </c>
      <c r="K456">
        <f>VLOOKUP($C456,'2000 Place'!$C$2:$Y$523,12,FALSE)</f>
        <v>405</v>
      </c>
      <c r="L456">
        <f>VLOOKUP($C456,'2000 Place'!$C$2:$Y$523,13,FALSE)</f>
        <v>22</v>
      </c>
      <c r="M456">
        <f>VLOOKUP($C456,'2000 Place'!$C$2:$Y$523,14,FALSE)</f>
        <v>229</v>
      </c>
      <c r="N456">
        <f>VLOOKUP($C456,'2000 Place'!$C$2:$Y$523,15,FALSE)</f>
        <v>5</v>
      </c>
      <c r="O456">
        <f>VLOOKUP($C456,'2000 Place'!$C$2:$Y$523,16,FALSE)</f>
        <v>416</v>
      </c>
      <c r="P456">
        <f>VLOOKUP($C456,'2000 Place'!$C$2:$Y$523,17,FALSE)</f>
        <v>641</v>
      </c>
      <c r="Q456">
        <f>VLOOKUP($C456,'2000 Place'!$C$2:$Y$523,18,FALSE)</f>
        <v>91</v>
      </c>
      <c r="R456">
        <f>VLOOKUP($C456,'2000 Place'!$C$2:$Y$523,19,FALSE)</f>
        <v>95</v>
      </c>
      <c r="S456">
        <f>VLOOKUP($C456,'2000 Place'!$C$2:$Y$523,20,FALSE)</f>
        <v>445</v>
      </c>
      <c r="T456">
        <f>VLOOKUP($C456,'2000 Place'!$C$2:$Y$523,21,FALSE)</f>
        <v>177</v>
      </c>
      <c r="U456">
        <f>VLOOKUP($C456,'2000 Place'!$C$2:$Y$523,22,FALSE)</f>
        <v>1350</v>
      </c>
      <c r="V456">
        <f>VLOOKUP($C456,'2000 Place'!$C$2:$Y$523,23,FALSE)</f>
        <v>210</v>
      </c>
    </row>
    <row r="457" spans="1:22" x14ac:dyDescent="0.25">
      <c r="A457" t="s">
        <v>1158</v>
      </c>
      <c r="B457">
        <v>5356905</v>
      </c>
      <c r="C457" t="s">
        <v>1159</v>
      </c>
      <c r="D457" t="e">
        <f>VLOOKUP($C457,'2000 Place'!$C$2:$Y$523,5,FALSE)</f>
        <v>#N/A</v>
      </c>
      <c r="E457" t="e">
        <f>VLOOKUP($C457,'2000 Place'!$C$2:$Y$523,6,FALSE)</f>
        <v>#N/A</v>
      </c>
      <c r="F457" t="e">
        <f>VLOOKUP($C457,'2000 Place'!$C$2:$Y$523,7,FALSE)</f>
        <v>#N/A</v>
      </c>
      <c r="G457" t="e">
        <f>VLOOKUP($C457,'2000 Place'!$C$2:$Y$523,8,FALSE)</f>
        <v>#N/A</v>
      </c>
      <c r="H457" t="e">
        <f>VLOOKUP($C457,'2000 Place'!$C$2:$Y$523,9,FALSE)</f>
        <v>#N/A</v>
      </c>
      <c r="I457" t="e">
        <f>VLOOKUP($C457,'2000 Place'!$C$2:$Y$523,10,FALSE)</f>
        <v>#N/A</v>
      </c>
      <c r="J457" t="e">
        <f>VLOOKUP($C457,'2000 Place'!$C$2:$Y$523,11,FALSE)</f>
        <v>#N/A</v>
      </c>
      <c r="K457" t="e">
        <f>VLOOKUP($C457,'2000 Place'!$C$2:$Y$523,12,FALSE)</f>
        <v>#N/A</v>
      </c>
      <c r="L457" t="e">
        <f>VLOOKUP($C457,'2000 Place'!$C$2:$Y$523,13,FALSE)</f>
        <v>#N/A</v>
      </c>
      <c r="M457" t="e">
        <f>VLOOKUP($C457,'2000 Place'!$C$2:$Y$523,14,FALSE)</f>
        <v>#N/A</v>
      </c>
      <c r="N457" t="e">
        <f>VLOOKUP($C457,'2000 Place'!$C$2:$Y$523,15,FALSE)</f>
        <v>#N/A</v>
      </c>
      <c r="O457" t="e">
        <f>VLOOKUP($C457,'2000 Place'!$C$2:$Y$523,16,FALSE)</f>
        <v>#N/A</v>
      </c>
      <c r="P457" t="e">
        <f>VLOOKUP($C457,'2000 Place'!$C$2:$Y$523,17,FALSE)</f>
        <v>#N/A</v>
      </c>
      <c r="Q457" t="e">
        <f>VLOOKUP($C457,'2000 Place'!$C$2:$Y$523,18,FALSE)</f>
        <v>#N/A</v>
      </c>
      <c r="R457" t="e">
        <f>VLOOKUP($C457,'2000 Place'!$C$2:$Y$523,19,FALSE)</f>
        <v>#N/A</v>
      </c>
      <c r="S457" t="e">
        <f>VLOOKUP($C457,'2000 Place'!$C$2:$Y$523,20,FALSE)</f>
        <v>#N/A</v>
      </c>
      <c r="T457" t="e">
        <f>VLOOKUP($C457,'2000 Place'!$C$2:$Y$523,21,FALSE)</f>
        <v>#N/A</v>
      </c>
      <c r="U457" t="e">
        <f>VLOOKUP($C457,'2000 Place'!$C$2:$Y$523,22,FALSE)</f>
        <v>#N/A</v>
      </c>
      <c r="V457" t="e">
        <f>VLOOKUP($C457,'2000 Place'!$C$2:$Y$523,23,FALSE)</f>
        <v>#N/A</v>
      </c>
    </row>
    <row r="458" spans="1:22" x14ac:dyDescent="0.25">
      <c r="A458" t="s">
        <v>1160</v>
      </c>
      <c r="B458">
        <v>5356975</v>
      </c>
      <c r="C458" t="s">
        <v>1161</v>
      </c>
      <c r="D458">
        <f>VLOOKUP($C458,'2000 Place'!$C$2:$Y$523,5,FALSE)</f>
        <v>632</v>
      </c>
      <c r="E458">
        <f>VLOOKUP($C458,'2000 Place'!$C$2:$Y$523,6,FALSE)</f>
        <v>611</v>
      </c>
      <c r="F458">
        <f>VLOOKUP($C458,'2000 Place'!$C$2:$Y$523,7,FALSE)</f>
        <v>21</v>
      </c>
      <c r="G458">
        <f>VLOOKUP($C458,'2000 Place'!$C$2:$Y$523,8,FALSE)</f>
        <v>528</v>
      </c>
      <c r="H458">
        <f>VLOOKUP($C458,'2000 Place'!$C$2:$Y$523,9,FALSE)</f>
        <v>2</v>
      </c>
      <c r="I458">
        <f>VLOOKUP($C458,'2000 Place'!$C$2:$Y$523,10,FALSE)</f>
        <v>3</v>
      </c>
      <c r="J458">
        <f>VLOOKUP($C458,'2000 Place'!$C$2:$Y$523,11,FALSE)</f>
        <v>0</v>
      </c>
      <c r="K458">
        <f>VLOOKUP($C458,'2000 Place'!$C$2:$Y$523,12,FALSE)</f>
        <v>5</v>
      </c>
      <c r="L458">
        <f>VLOOKUP($C458,'2000 Place'!$C$2:$Y$523,13,FALSE)</f>
        <v>0</v>
      </c>
      <c r="M458">
        <f>VLOOKUP($C458,'2000 Place'!$C$2:$Y$523,14,FALSE)</f>
        <v>17</v>
      </c>
      <c r="N458">
        <f>VLOOKUP($C458,'2000 Place'!$C$2:$Y$523,15,FALSE)</f>
        <v>0</v>
      </c>
      <c r="O458">
        <f>VLOOKUP($C458,'2000 Place'!$C$2:$Y$523,16,FALSE)</f>
        <v>2</v>
      </c>
      <c r="P458">
        <f>VLOOKUP($C458,'2000 Place'!$C$2:$Y$523,17,FALSE)</f>
        <v>0</v>
      </c>
      <c r="Q458">
        <f>VLOOKUP($C458,'2000 Place'!$C$2:$Y$523,18,FALSE)</f>
        <v>4</v>
      </c>
      <c r="R458">
        <f>VLOOKUP($C458,'2000 Place'!$C$2:$Y$523,19,FALSE)</f>
        <v>0</v>
      </c>
      <c r="S458">
        <f>VLOOKUP($C458,'2000 Place'!$C$2:$Y$523,20,FALSE)</f>
        <v>7</v>
      </c>
      <c r="T458">
        <f>VLOOKUP($C458,'2000 Place'!$C$2:$Y$523,21,FALSE)</f>
        <v>7</v>
      </c>
      <c r="U458">
        <f>VLOOKUP($C458,'2000 Place'!$C$2:$Y$523,22,FALSE)</f>
        <v>45</v>
      </c>
      <c r="V458">
        <f>VLOOKUP($C458,'2000 Place'!$C$2:$Y$523,23,FALSE)</f>
        <v>12</v>
      </c>
    </row>
    <row r="459" spans="1:22" x14ac:dyDescent="0.25">
      <c r="A459" t="s">
        <v>1162</v>
      </c>
      <c r="B459">
        <v>5357030</v>
      </c>
      <c r="C459" t="s">
        <v>1163</v>
      </c>
      <c r="D459" t="e">
        <f>VLOOKUP($C459,'2000 Place'!$C$2:$Y$523,5,FALSE)</f>
        <v>#N/A</v>
      </c>
      <c r="E459" t="e">
        <f>VLOOKUP($C459,'2000 Place'!$C$2:$Y$523,6,FALSE)</f>
        <v>#N/A</v>
      </c>
      <c r="F459" t="e">
        <f>VLOOKUP($C459,'2000 Place'!$C$2:$Y$523,7,FALSE)</f>
        <v>#N/A</v>
      </c>
      <c r="G459" t="e">
        <f>VLOOKUP($C459,'2000 Place'!$C$2:$Y$523,8,FALSE)</f>
        <v>#N/A</v>
      </c>
      <c r="H459" t="e">
        <f>VLOOKUP($C459,'2000 Place'!$C$2:$Y$523,9,FALSE)</f>
        <v>#N/A</v>
      </c>
      <c r="I459" t="e">
        <f>VLOOKUP($C459,'2000 Place'!$C$2:$Y$523,10,FALSE)</f>
        <v>#N/A</v>
      </c>
      <c r="J459" t="e">
        <f>VLOOKUP($C459,'2000 Place'!$C$2:$Y$523,11,FALSE)</f>
        <v>#N/A</v>
      </c>
      <c r="K459" t="e">
        <f>VLOOKUP($C459,'2000 Place'!$C$2:$Y$523,12,FALSE)</f>
        <v>#N/A</v>
      </c>
      <c r="L459" t="e">
        <f>VLOOKUP($C459,'2000 Place'!$C$2:$Y$523,13,FALSE)</f>
        <v>#N/A</v>
      </c>
      <c r="M459" t="e">
        <f>VLOOKUP($C459,'2000 Place'!$C$2:$Y$523,14,FALSE)</f>
        <v>#N/A</v>
      </c>
      <c r="N459" t="e">
        <f>VLOOKUP($C459,'2000 Place'!$C$2:$Y$523,15,FALSE)</f>
        <v>#N/A</v>
      </c>
      <c r="O459" t="e">
        <f>VLOOKUP($C459,'2000 Place'!$C$2:$Y$523,16,FALSE)</f>
        <v>#N/A</v>
      </c>
      <c r="P459" t="e">
        <f>VLOOKUP($C459,'2000 Place'!$C$2:$Y$523,17,FALSE)</f>
        <v>#N/A</v>
      </c>
      <c r="Q459" t="e">
        <f>VLOOKUP($C459,'2000 Place'!$C$2:$Y$523,18,FALSE)</f>
        <v>#N/A</v>
      </c>
      <c r="R459" t="e">
        <f>VLOOKUP($C459,'2000 Place'!$C$2:$Y$523,19,FALSE)</f>
        <v>#N/A</v>
      </c>
      <c r="S459" t="e">
        <f>VLOOKUP($C459,'2000 Place'!$C$2:$Y$523,20,FALSE)</f>
        <v>#N/A</v>
      </c>
      <c r="T459" t="e">
        <f>VLOOKUP($C459,'2000 Place'!$C$2:$Y$523,21,FALSE)</f>
        <v>#N/A</v>
      </c>
      <c r="U459" t="e">
        <f>VLOOKUP($C459,'2000 Place'!$C$2:$Y$523,22,FALSE)</f>
        <v>#N/A</v>
      </c>
      <c r="V459" t="e">
        <f>VLOOKUP($C459,'2000 Place'!$C$2:$Y$523,23,FALSE)</f>
        <v>#N/A</v>
      </c>
    </row>
    <row r="460" spans="1:22" x14ac:dyDescent="0.25">
      <c r="A460" t="s">
        <v>1164</v>
      </c>
      <c r="B460">
        <v>5357115</v>
      </c>
      <c r="C460" t="s">
        <v>1165</v>
      </c>
      <c r="D460">
        <f>VLOOKUP($C460,'2000 Place'!$C$2:$Y$523,5,FALSE)</f>
        <v>5196</v>
      </c>
      <c r="E460">
        <f>VLOOKUP($C460,'2000 Place'!$C$2:$Y$523,6,FALSE)</f>
        <v>3358</v>
      </c>
      <c r="F460">
        <f>VLOOKUP($C460,'2000 Place'!$C$2:$Y$523,7,FALSE)</f>
        <v>1838</v>
      </c>
      <c r="G460">
        <f>VLOOKUP($C460,'2000 Place'!$C$2:$Y$523,8,FALSE)</f>
        <v>1680</v>
      </c>
      <c r="H460">
        <f>VLOOKUP($C460,'2000 Place'!$C$2:$Y$523,9,FALSE)</f>
        <v>41</v>
      </c>
      <c r="I460">
        <f>VLOOKUP($C460,'2000 Place'!$C$2:$Y$523,10,FALSE)</f>
        <v>820</v>
      </c>
      <c r="J460">
        <f>VLOOKUP($C460,'2000 Place'!$C$2:$Y$523,11,FALSE)</f>
        <v>795</v>
      </c>
      <c r="K460">
        <f>VLOOKUP($C460,'2000 Place'!$C$2:$Y$523,12,FALSE)</f>
        <v>14</v>
      </c>
      <c r="L460">
        <f>VLOOKUP($C460,'2000 Place'!$C$2:$Y$523,13,FALSE)</f>
        <v>4</v>
      </c>
      <c r="M460">
        <f>VLOOKUP($C460,'2000 Place'!$C$2:$Y$523,14,FALSE)</f>
        <v>39</v>
      </c>
      <c r="N460">
        <f>VLOOKUP($C460,'2000 Place'!$C$2:$Y$523,15,FALSE)</f>
        <v>0</v>
      </c>
      <c r="O460">
        <f>VLOOKUP($C460,'2000 Place'!$C$2:$Y$523,16,FALSE)</f>
        <v>22</v>
      </c>
      <c r="P460">
        <f>VLOOKUP($C460,'2000 Place'!$C$2:$Y$523,17,FALSE)</f>
        <v>0</v>
      </c>
      <c r="Q460">
        <f>VLOOKUP($C460,'2000 Place'!$C$2:$Y$523,18,FALSE)</f>
        <v>0</v>
      </c>
      <c r="R460">
        <f>VLOOKUP($C460,'2000 Place'!$C$2:$Y$523,19,FALSE)</f>
        <v>0</v>
      </c>
      <c r="S460">
        <f>VLOOKUP($C460,'2000 Place'!$C$2:$Y$523,20,FALSE)</f>
        <v>711</v>
      </c>
      <c r="T460">
        <f>VLOOKUP($C460,'2000 Place'!$C$2:$Y$523,21,FALSE)</f>
        <v>920</v>
      </c>
      <c r="U460">
        <f>VLOOKUP($C460,'2000 Place'!$C$2:$Y$523,22,FALSE)</f>
        <v>72</v>
      </c>
      <c r="V460">
        <f>VLOOKUP($C460,'2000 Place'!$C$2:$Y$523,23,FALSE)</f>
        <v>78</v>
      </c>
    </row>
    <row r="461" spans="1:22" x14ac:dyDescent="0.25">
      <c r="A461" t="s">
        <v>1166</v>
      </c>
      <c r="B461">
        <v>5357140</v>
      </c>
      <c r="C461" t="s">
        <v>1167</v>
      </c>
      <c r="D461" t="e">
        <f>VLOOKUP($C461,'2000 Place'!$C$2:$Y$523,5,FALSE)</f>
        <v>#N/A</v>
      </c>
      <c r="E461" t="e">
        <f>VLOOKUP($C461,'2000 Place'!$C$2:$Y$523,6,FALSE)</f>
        <v>#N/A</v>
      </c>
      <c r="F461" t="e">
        <f>VLOOKUP($C461,'2000 Place'!$C$2:$Y$523,7,FALSE)</f>
        <v>#N/A</v>
      </c>
      <c r="G461" t="e">
        <f>VLOOKUP($C461,'2000 Place'!$C$2:$Y$523,8,FALSE)</f>
        <v>#N/A</v>
      </c>
      <c r="H461" t="e">
        <f>VLOOKUP($C461,'2000 Place'!$C$2:$Y$523,9,FALSE)</f>
        <v>#N/A</v>
      </c>
      <c r="I461" t="e">
        <f>VLOOKUP($C461,'2000 Place'!$C$2:$Y$523,10,FALSE)</f>
        <v>#N/A</v>
      </c>
      <c r="J461" t="e">
        <f>VLOOKUP($C461,'2000 Place'!$C$2:$Y$523,11,FALSE)</f>
        <v>#N/A</v>
      </c>
      <c r="K461" t="e">
        <f>VLOOKUP($C461,'2000 Place'!$C$2:$Y$523,12,FALSE)</f>
        <v>#N/A</v>
      </c>
      <c r="L461" t="e">
        <f>VLOOKUP($C461,'2000 Place'!$C$2:$Y$523,13,FALSE)</f>
        <v>#N/A</v>
      </c>
      <c r="M461" t="e">
        <f>VLOOKUP($C461,'2000 Place'!$C$2:$Y$523,14,FALSE)</f>
        <v>#N/A</v>
      </c>
      <c r="N461" t="e">
        <f>VLOOKUP($C461,'2000 Place'!$C$2:$Y$523,15,FALSE)</f>
        <v>#N/A</v>
      </c>
      <c r="O461" t="e">
        <f>VLOOKUP($C461,'2000 Place'!$C$2:$Y$523,16,FALSE)</f>
        <v>#N/A</v>
      </c>
      <c r="P461" t="e">
        <f>VLOOKUP($C461,'2000 Place'!$C$2:$Y$523,17,FALSE)</f>
        <v>#N/A</v>
      </c>
      <c r="Q461" t="e">
        <f>VLOOKUP($C461,'2000 Place'!$C$2:$Y$523,18,FALSE)</f>
        <v>#N/A</v>
      </c>
      <c r="R461" t="e">
        <f>VLOOKUP($C461,'2000 Place'!$C$2:$Y$523,19,FALSE)</f>
        <v>#N/A</v>
      </c>
      <c r="S461" t="e">
        <f>VLOOKUP($C461,'2000 Place'!$C$2:$Y$523,20,FALSE)</f>
        <v>#N/A</v>
      </c>
      <c r="T461" t="e">
        <f>VLOOKUP($C461,'2000 Place'!$C$2:$Y$523,21,FALSE)</f>
        <v>#N/A</v>
      </c>
      <c r="U461" t="e">
        <f>VLOOKUP($C461,'2000 Place'!$C$2:$Y$523,22,FALSE)</f>
        <v>#N/A</v>
      </c>
      <c r="V461" t="e">
        <f>VLOOKUP($C461,'2000 Place'!$C$2:$Y$523,23,FALSE)</f>
        <v>#N/A</v>
      </c>
    </row>
    <row r="462" spans="1:22" x14ac:dyDescent="0.25">
      <c r="A462" t="s">
        <v>1168</v>
      </c>
      <c r="B462">
        <v>5357220</v>
      </c>
      <c r="C462" t="s">
        <v>1169</v>
      </c>
      <c r="D462" t="e">
        <f>VLOOKUP($C462,'2000 Place'!$C$2:$Y$523,5,FALSE)</f>
        <v>#N/A</v>
      </c>
      <c r="E462" t="e">
        <f>VLOOKUP($C462,'2000 Place'!$C$2:$Y$523,6,FALSE)</f>
        <v>#N/A</v>
      </c>
      <c r="F462" t="e">
        <f>VLOOKUP($C462,'2000 Place'!$C$2:$Y$523,7,FALSE)</f>
        <v>#N/A</v>
      </c>
      <c r="G462" t="e">
        <f>VLOOKUP($C462,'2000 Place'!$C$2:$Y$523,8,FALSE)</f>
        <v>#N/A</v>
      </c>
      <c r="H462" t="e">
        <f>VLOOKUP($C462,'2000 Place'!$C$2:$Y$523,9,FALSE)</f>
        <v>#N/A</v>
      </c>
      <c r="I462" t="e">
        <f>VLOOKUP($C462,'2000 Place'!$C$2:$Y$523,10,FALSE)</f>
        <v>#N/A</v>
      </c>
      <c r="J462" t="e">
        <f>VLOOKUP($C462,'2000 Place'!$C$2:$Y$523,11,FALSE)</f>
        <v>#N/A</v>
      </c>
      <c r="K462" t="e">
        <f>VLOOKUP($C462,'2000 Place'!$C$2:$Y$523,12,FALSE)</f>
        <v>#N/A</v>
      </c>
      <c r="L462" t="e">
        <f>VLOOKUP($C462,'2000 Place'!$C$2:$Y$523,13,FALSE)</f>
        <v>#N/A</v>
      </c>
      <c r="M462" t="e">
        <f>VLOOKUP($C462,'2000 Place'!$C$2:$Y$523,14,FALSE)</f>
        <v>#N/A</v>
      </c>
      <c r="N462" t="e">
        <f>VLOOKUP($C462,'2000 Place'!$C$2:$Y$523,15,FALSE)</f>
        <v>#N/A</v>
      </c>
      <c r="O462" t="e">
        <f>VLOOKUP($C462,'2000 Place'!$C$2:$Y$523,16,FALSE)</f>
        <v>#N/A</v>
      </c>
      <c r="P462" t="e">
        <f>VLOOKUP($C462,'2000 Place'!$C$2:$Y$523,17,FALSE)</f>
        <v>#N/A</v>
      </c>
      <c r="Q462" t="e">
        <f>VLOOKUP($C462,'2000 Place'!$C$2:$Y$523,18,FALSE)</f>
        <v>#N/A</v>
      </c>
      <c r="R462" t="e">
        <f>VLOOKUP($C462,'2000 Place'!$C$2:$Y$523,19,FALSE)</f>
        <v>#N/A</v>
      </c>
      <c r="S462" t="e">
        <f>VLOOKUP($C462,'2000 Place'!$C$2:$Y$523,20,FALSE)</f>
        <v>#N/A</v>
      </c>
      <c r="T462" t="e">
        <f>VLOOKUP($C462,'2000 Place'!$C$2:$Y$523,21,FALSE)</f>
        <v>#N/A</v>
      </c>
      <c r="U462" t="e">
        <f>VLOOKUP($C462,'2000 Place'!$C$2:$Y$523,22,FALSE)</f>
        <v>#N/A</v>
      </c>
      <c r="V462" t="e">
        <f>VLOOKUP($C462,'2000 Place'!$C$2:$Y$523,23,FALSE)</f>
        <v>#N/A</v>
      </c>
    </row>
    <row r="463" spans="1:22" x14ac:dyDescent="0.25">
      <c r="A463" t="s">
        <v>1170</v>
      </c>
      <c r="B463">
        <v>5357395</v>
      </c>
      <c r="C463" t="s">
        <v>1171</v>
      </c>
      <c r="D463">
        <f>VLOOKUP($C463,'2000 Place'!$C$2:$Y$523,5,FALSE)</f>
        <v>761</v>
      </c>
      <c r="E463">
        <f>VLOOKUP($C463,'2000 Place'!$C$2:$Y$523,6,FALSE)</f>
        <v>726</v>
      </c>
      <c r="F463">
        <f>VLOOKUP($C463,'2000 Place'!$C$2:$Y$523,7,FALSE)</f>
        <v>35</v>
      </c>
      <c r="G463">
        <f>VLOOKUP($C463,'2000 Place'!$C$2:$Y$523,8,FALSE)</f>
        <v>720</v>
      </c>
      <c r="H463">
        <f>VLOOKUP($C463,'2000 Place'!$C$2:$Y$523,9,FALSE)</f>
        <v>6</v>
      </c>
      <c r="I463">
        <f>VLOOKUP($C463,'2000 Place'!$C$2:$Y$523,10,FALSE)</f>
        <v>6</v>
      </c>
      <c r="J463">
        <f>VLOOKUP($C463,'2000 Place'!$C$2:$Y$523,11,FALSE)</f>
        <v>0</v>
      </c>
      <c r="K463">
        <f>VLOOKUP($C463,'2000 Place'!$C$2:$Y$523,12,FALSE)</f>
        <v>0</v>
      </c>
      <c r="L463">
        <f>VLOOKUP($C463,'2000 Place'!$C$2:$Y$523,13,FALSE)</f>
        <v>0</v>
      </c>
      <c r="M463">
        <f>VLOOKUP($C463,'2000 Place'!$C$2:$Y$523,14,FALSE)</f>
        <v>0</v>
      </c>
      <c r="N463">
        <f>VLOOKUP($C463,'2000 Place'!$C$2:$Y$523,15,FALSE)</f>
        <v>0</v>
      </c>
      <c r="O463">
        <f>VLOOKUP($C463,'2000 Place'!$C$2:$Y$523,16,FALSE)</f>
        <v>0</v>
      </c>
      <c r="P463">
        <f>VLOOKUP($C463,'2000 Place'!$C$2:$Y$523,17,FALSE)</f>
        <v>29</v>
      </c>
      <c r="Q463">
        <f>VLOOKUP($C463,'2000 Place'!$C$2:$Y$523,18,FALSE)</f>
        <v>0</v>
      </c>
      <c r="R463">
        <f>VLOOKUP($C463,'2000 Place'!$C$2:$Y$523,19,FALSE)</f>
        <v>0</v>
      </c>
      <c r="S463">
        <f>VLOOKUP($C463,'2000 Place'!$C$2:$Y$523,20,FALSE)</f>
        <v>0</v>
      </c>
      <c r="T463">
        <f>VLOOKUP($C463,'2000 Place'!$C$2:$Y$523,21,FALSE)</f>
        <v>0</v>
      </c>
      <c r="U463">
        <f>VLOOKUP($C463,'2000 Place'!$C$2:$Y$523,22,FALSE)</f>
        <v>0</v>
      </c>
      <c r="V463">
        <f>VLOOKUP($C463,'2000 Place'!$C$2:$Y$523,23,FALSE)</f>
        <v>0</v>
      </c>
    </row>
    <row r="464" spans="1:22" x14ac:dyDescent="0.25">
      <c r="A464" t="s">
        <v>1172</v>
      </c>
      <c r="B464">
        <v>5357430</v>
      </c>
      <c r="C464" t="s">
        <v>1173</v>
      </c>
      <c r="D464">
        <f>VLOOKUP($C464,'2000 Place'!$C$2:$Y$523,5,FALSE)</f>
        <v>2820</v>
      </c>
      <c r="E464">
        <f>VLOOKUP($C464,'2000 Place'!$C$2:$Y$523,6,FALSE)</f>
        <v>2428</v>
      </c>
      <c r="F464">
        <f>VLOOKUP($C464,'2000 Place'!$C$2:$Y$523,7,FALSE)</f>
        <v>392</v>
      </c>
      <c r="G464">
        <f>VLOOKUP($C464,'2000 Place'!$C$2:$Y$523,8,FALSE)</f>
        <v>2157</v>
      </c>
      <c r="H464">
        <f>VLOOKUP($C464,'2000 Place'!$C$2:$Y$523,9,FALSE)</f>
        <v>85</v>
      </c>
      <c r="I464">
        <f>VLOOKUP($C464,'2000 Place'!$C$2:$Y$523,10,FALSE)</f>
        <v>71</v>
      </c>
      <c r="J464">
        <f>VLOOKUP($C464,'2000 Place'!$C$2:$Y$523,11,FALSE)</f>
        <v>11</v>
      </c>
      <c r="K464">
        <f>VLOOKUP($C464,'2000 Place'!$C$2:$Y$523,12,FALSE)</f>
        <v>0</v>
      </c>
      <c r="L464">
        <f>VLOOKUP($C464,'2000 Place'!$C$2:$Y$523,13,FALSE)</f>
        <v>0</v>
      </c>
      <c r="M464">
        <f>VLOOKUP($C464,'2000 Place'!$C$2:$Y$523,14,FALSE)</f>
        <v>31</v>
      </c>
      <c r="N464">
        <f>VLOOKUP($C464,'2000 Place'!$C$2:$Y$523,15,FALSE)</f>
        <v>0</v>
      </c>
      <c r="O464">
        <f>VLOOKUP($C464,'2000 Place'!$C$2:$Y$523,16,FALSE)</f>
        <v>84</v>
      </c>
      <c r="P464">
        <f>VLOOKUP($C464,'2000 Place'!$C$2:$Y$523,17,FALSE)</f>
        <v>204</v>
      </c>
      <c r="Q464">
        <f>VLOOKUP($C464,'2000 Place'!$C$2:$Y$523,18,FALSE)</f>
        <v>0</v>
      </c>
      <c r="R464">
        <f>VLOOKUP($C464,'2000 Place'!$C$2:$Y$523,19,FALSE)</f>
        <v>0</v>
      </c>
      <c r="S464">
        <f>VLOOKUP($C464,'2000 Place'!$C$2:$Y$523,20,FALSE)</f>
        <v>27</v>
      </c>
      <c r="T464">
        <f>VLOOKUP($C464,'2000 Place'!$C$2:$Y$523,21,FALSE)</f>
        <v>84</v>
      </c>
      <c r="U464">
        <f>VLOOKUP($C464,'2000 Place'!$C$2:$Y$523,22,FALSE)</f>
        <v>58</v>
      </c>
      <c r="V464">
        <f>VLOOKUP($C464,'2000 Place'!$C$2:$Y$523,23,FALSE)</f>
        <v>8</v>
      </c>
    </row>
    <row r="465" spans="1:22" x14ac:dyDescent="0.25">
      <c r="A465" t="s">
        <v>1174</v>
      </c>
      <c r="B465">
        <v>5357465</v>
      </c>
      <c r="C465" t="s">
        <v>1175</v>
      </c>
      <c r="D465">
        <f>VLOOKUP($C465,'2000 Place'!$C$2:$Y$523,5,FALSE)</f>
        <v>624</v>
      </c>
      <c r="E465">
        <f>VLOOKUP($C465,'2000 Place'!$C$2:$Y$523,6,FALSE)</f>
        <v>597</v>
      </c>
      <c r="F465">
        <f>VLOOKUP($C465,'2000 Place'!$C$2:$Y$523,7,FALSE)</f>
        <v>27</v>
      </c>
      <c r="G465">
        <f>VLOOKUP($C465,'2000 Place'!$C$2:$Y$523,8,FALSE)</f>
        <v>542</v>
      </c>
      <c r="H465">
        <f>VLOOKUP($C465,'2000 Place'!$C$2:$Y$523,9,FALSE)</f>
        <v>24</v>
      </c>
      <c r="I465">
        <f>VLOOKUP($C465,'2000 Place'!$C$2:$Y$523,10,FALSE)</f>
        <v>12</v>
      </c>
      <c r="J465">
        <f>VLOOKUP($C465,'2000 Place'!$C$2:$Y$523,11,FALSE)</f>
        <v>0</v>
      </c>
      <c r="K465">
        <f>VLOOKUP($C465,'2000 Place'!$C$2:$Y$523,12,FALSE)</f>
        <v>0</v>
      </c>
      <c r="L465">
        <f>VLOOKUP($C465,'2000 Place'!$C$2:$Y$523,13,FALSE)</f>
        <v>0</v>
      </c>
      <c r="M465">
        <f>VLOOKUP($C465,'2000 Place'!$C$2:$Y$523,14,FALSE)</f>
        <v>21</v>
      </c>
      <c r="N465">
        <f>VLOOKUP($C465,'2000 Place'!$C$2:$Y$523,15,FALSE)</f>
        <v>0</v>
      </c>
      <c r="O465">
        <f>VLOOKUP($C465,'2000 Place'!$C$2:$Y$523,16,FALSE)</f>
        <v>0</v>
      </c>
      <c r="P465">
        <f>VLOOKUP($C465,'2000 Place'!$C$2:$Y$523,17,FALSE)</f>
        <v>0</v>
      </c>
      <c r="Q465">
        <f>VLOOKUP($C465,'2000 Place'!$C$2:$Y$523,18,FALSE)</f>
        <v>7</v>
      </c>
      <c r="R465">
        <f>VLOOKUP($C465,'2000 Place'!$C$2:$Y$523,19,FALSE)</f>
        <v>3</v>
      </c>
      <c r="S465">
        <f>VLOOKUP($C465,'2000 Place'!$C$2:$Y$523,20,FALSE)</f>
        <v>0</v>
      </c>
      <c r="T465">
        <f>VLOOKUP($C465,'2000 Place'!$C$2:$Y$523,21,FALSE)</f>
        <v>0</v>
      </c>
      <c r="U465">
        <f>VLOOKUP($C465,'2000 Place'!$C$2:$Y$523,22,FALSE)</f>
        <v>15</v>
      </c>
      <c r="V465">
        <f>VLOOKUP($C465,'2000 Place'!$C$2:$Y$523,23,FALSE)</f>
        <v>0</v>
      </c>
    </row>
    <row r="466" spans="1:22" x14ac:dyDescent="0.25">
      <c r="A466" t="s">
        <v>1176</v>
      </c>
      <c r="B466">
        <v>5357535</v>
      </c>
      <c r="C466" t="s">
        <v>1177</v>
      </c>
      <c r="D466">
        <f>VLOOKUP($C466,'2000 Place'!$C$2:$Y$523,5,FALSE)</f>
        <v>45389</v>
      </c>
      <c r="E466">
        <f>VLOOKUP($C466,'2000 Place'!$C$2:$Y$523,6,FALSE)</f>
        <v>35402</v>
      </c>
      <c r="F466">
        <f>VLOOKUP($C466,'2000 Place'!$C$2:$Y$523,7,FALSE)</f>
        <v>9987</v>
      </c>
      <c r="G466">
        <f>VLOOKUP($C466,'2000 Place'!$C$2:$Y$523,8,FALSE)</f>
        <v>30922</v>
      </c>
      <c r="H466">
        <f>VLOOKUP($C466,'2000 Place'!$C$2:$Y$523,9,FALSE)</f>
        <v>3829</v>
      </c>
      <c r="I466">
        <f>VLOOKUP($C466,'2000 Place'!$C$2:$Y$523,10,FALSE)</f>
        <v>469</v>
      </c>
      <c r="J466">
        <f>VLOOKUP($C466,'2000 Place'!$C$2:$Y$523,11,FALSE)</f>
        <v>722</v>
      </c>
      <c r="K466">
        <f>VLOOKUP($C466,'2000 Place'!$C$2:$Y$523,12,FALSE)</f>
        <v>498</v>
      </c>
      <c r="L466">
        <f>VLOOKUP($C466,'2000 Place'!$C$2:$Y$523,13,FALSE)</f>
        <v>57</v>
      </c>
      <c r="M466">
        <f>VLOOKUP($C466,'2000 Place'!$C$2:$Y$523,14,FALSE)</f>
        <v>190</v>
      </c>
      <c r="N466">
        <f>VLOOKUP($C466,'2000 Place'!$C$2:$Y$523,15,FALSE)</f>
        <v>14</v>
      </c>
      <c r="O466">
        <f>VLOOKUP($C466,'2000 Place'!$C$2:$Y$523,16,FALSE)</f>
        <v>1613</v>
      </c>
      <c r="P466">
        <f>VLOOKUP($C466,'2000 Place'!$C$2:$Y$523,17,FALSE)</f>
        <v>4415</v>
      </c>
      <c r="Q466">
        <f>VLOOKUP($C466,'2000 Place'!$C$2:$Y$523,18,FALSE)</f>
        <v>86</v>
      </c>
      <c r="R466">
        <f>VLOOKUP($C466,'2000 Place'!$C$2:$Y$523,19,FALSE)</f>
        <v>15</v>
      </c>
      <c r="S466">
        <f>VLOOKUP($C466,'2000 Place'!$C$2:$Y$523,20,FALSE)</f>
        <v>340</v>
      </c>
      <c r="T466">
        <f>VLOOKUP($C466,'2000 Place'!$C$2:$Y$523,21,FALSE)</f>
        <v>648</v>
      </c>
      <c r="U466">
        <f>VLOOKUP($C466,'2000 Place'!$C$2:$Y$523,22,FALSE)</f>
        <v>1284</v>
      </c>
      <c r="V466">
        <f>VLOOKUP($C466,'2000 Place'!$C$2:$Y$523,23,FALSE)</f>
        <v>287</v>
      </c>
    </row>
    <row r="467" spans="1:22" x14ac:dyDescent="0.25">
      <c r="A467" t="s">
        <v>1178</v>
      </c>
      <c r="B467">
        <v>5357745</v>
      </c>
      <c r="C467" t="s">
        <v>1179</v>
      </c>
      <c r="D467">
        <f>VLOOKUP($C467,'2000 Place'!$C$2:$Y$523,5,FALSE)+D185</f>
        <v>67110.5</v>
      </c>
      <c r="E467">
        <f>VLOOKUP($C467,'2000 Place'!$C$2:$Y$523,6,FALSE)+E185</f>
        <v>54262</v>
      </c>
      <c r="F467">
        <f>VLOOKUP($C467,'2000 Place'!$C$2:$Y$523,7,FALSE)+F185</f>
        <v>12848.5</v>
      </c>
      <c r="G467">
        <f>VLOOKUP($C467,'2000 Place'!$C$2:$Y$523,8,FALSE)+G185</f>
        <v>41381</v>
      </c>
      <c r="H467">
        <f>VLOOKUP($C467,'2000 Place'!$C$2:$Y$523,9,FALSE)+H185</f>
        <v>3619</v>
      </c>
      <c r="I467">
        <f>VLOOKUP($C467,'2000 Place'!$C$2:$Y$523,10,FALSE)+I185</f>
        <v>930.5</v>
      </c>
      <c r="J467">
        <f>VLOOKUP($C467,'2000 Place'!$C$2:$Y$523,11,FALSE)+J185</f>
        <v>638</v>
      </c>
      <c r="K467">
        <f>VLOOKUP($C467,'2000 Place'!$C$2:$Y$523,12,FALSE)+K185</f>
        <v>4504.5</v>
      </c>
      <c r="L467">
        <f>VLOOKUP($C467,'2000 Place'!$C$2:$Y$523,13,FALSE)+L185</f>
        <v>528</v>
      </c>
      <c r="M467">
        <f>VLOOKUP($C467,'2000 Place'!$C$2:$Y$523,14,FALSE)+M185</f>
        <v>324</v>
      </c>
      <c r="N467">
        <f>VLOOKUP($C467,'2000 Place'!$C$2:$Y$523,15,FALSE)+N185</f>
        <v>28.5</v>
      </c>
      <c r="O467">
        <f>VLOOKUP($C467,'2000 Place'!$C$2:$Y$523,16,FALSE)+O185</f>
        <v>2972.5</v>
      </c>
      <c r="P467">
        <f>VLOOKUP($C467,'2000 Place'!$C$2:$Y$523,17,FALSE)+P185</f>
        <v>5999</v>
      </c>
      <c r="Q467">
        <f>VLOOKUP($C467,'2000 Place'!$C$2:$Y$523,18,FALSE)+Q185</f>
        <v>165</v>
      </c>
      <c r="R467">
        <f>VLOOKUP($C467,'2000 Place'!$C$2:$Y$523,19,FALSE)+R185</f>
        <v>86</v>
      </c>
      <c r="S467">
        <f>VLOOKUP($C467,'2000 Place'!$C$2:$Y$523,20,FALSE)+S185</f>
        <v>1146.5</v>
      </c>
      <c r="T467">
        <f>VLOOKUP($C467,'2000 Place'!$C$2:$Y$523,21,FALSE)+T185</f>
        <v>1289.5</v>
      </c>
      <c r="U467">
        <f>VLOOKUP($C467,'2000 Place'!$C$2:$Y$523,22,FALSE)+U185</f>
        <v>2838</v>
      </c>
      <c r="V467">
        <f>VLOOKUP($C467,'2000 Place'!$C$2:$Y$523,23,FALSE)+V185</f>
        <v>660.5</v>
      </c>
    </row>
    <row r="468" spans="1:22" x14ac:dyDescent="0.25">
      <c r="A468" t="s">
        <v>1180</v>
      </c>
      <c r="B468">
        <v>5357850</v>
      </c>
      <c r="C468" t="s">
        <v>1181</v>
      </c>
      <c r="D468">
        <f>VLOOKUP($C468,'2000 Place'!$C$2:$Y$523,5,FALSE)</f>
        <v>1009</v>
      </c>
      <c r="E468">
        <f>VLOOKUP($C468,'2000 Place'!$C$2:$Y$523,6,FALSE)</f>
        <v>981</v>
      </c>
      <c r="F468">
        <f>VLOOKUP($C468,'2000 Place'!$C$2:$Y$523,7,FALSE)</f>
        <v>28</v>
      </c>
      <c r="G468">
        <f>VLOOKUP($C468,'2000 Place'!$C$2:$Y$523,8,FALSE)</f>
        <v>898</v>
      </c>
      <c r="H468">
        <f>VLOOKUP($C468,'2000 Place'!$C$2:$Y$523,9,FALSE)</f>
        <v>17</v>
      </c>
      <c r="I468">
        <f>VLOOKUP($C468,'2000 Place'!$C$2:$Y$523,10,FALSE)</f>
        <v>2</v>
      </c>
      <c r="J468">
        <f>VLOOKUP($C468,'2000 Place'!$C$2:$Y$523,11,FALSE)</f>
        <v>3</v>
      </c>
      <c r="K468">
        <f>VLOOKUP($C468,'2000 Place'!$C$2:$Y$523,12,FALSE)</f>
        <v>25</v>
      </c>
      <c r="L468">
        <f>VLOOKUP($C468,'2000 Place'!$C$2:$Y$523,13,FALSE)</f>
        <v>0</v>
      </c>
      <c r="M468">
        <f>VLOOKUP($C468,'2000 Place'!$C$2:$Y$523,14,FALSE)</f>
        <v>29</v>
      </c>
      <c r="N468">
        <f>VLOOKUP($C468,'2000 Place'!$C$2:$Y$523,15,FALSE)</f>
        <v>5</v>
      </c>
      <c r="O468">
        <f>VLOOKUP($C468,'2000 Place'!$C$2:$Y$523,16,FALSE)</f>
        <v>0</v>
      </c>
      <c r="P468">
        <f>VLOOKUP($C468,'2000 Place'!$C$2:$Y$523,17,FALSE)</f>
        <v>0</v>
      </c>
      <c r="Q468">
        <f>VLOOKUP($C468,'2000 Place'!$C$2:$Y$523,18,FALSE)</f>
        <v>0</v>
      </c>
      <c r="R468">
        <f>VLOOKUP($C468,'2000 Place'!$C$2:$Y$523,19,FALSE)</f>
        <v>0</v>
      </c>
      <c r="S468">
        <f>VLOOKUP($C468,'2000 Place'!$C$2:$Y$523,20,FALSE)</f>
        <v>0</v>
      </c>
      <c r="T468">
        <f>VLOOKUP($C468,'2000 Place'!$C$2:$Y$523,21,FALSE)</f>
        <v>3</v>
      </c>
      <c r="U468">
        <f>VLOOKUP($C468,'2000 Place'!$C$2:$Y$523,22,FALSE)</f>
        <v>27</v>
      </c>
      <c r="V468">
        <f>VLOOKUP($C468,'2000 Place'!$C$2:$Y$523,23,FALSE)</f>
        <v>0</v>
      </c>
    </row>
    <row r="469" spans="1:22" x14ac:dyDescent="0.25">
      <c r="A469" t="s">
        <v>1182</v>
      </c>
      <c r="B469">
        <v>5358235</v>
      </c>
      <c r="C469" t="s">
        <v>1183</v>
      </c>
      <c r="D469">
        <f>VLOOKUP($C469,'2000 Place'!$C$2:$Y$523,5,FALSE)</f>
        <v>38653</v>
      </c>
      <c r="E469">
        <f>VLOOKUP($C469,'2000 Place'!$C$2:$Y$523,6,FALSE)</f>
        <v>35588</v>
      </c>
      <c r="F469">
        <f>VLOOKUP($C469,'2000 Place'!$C$2:$Y$523,7,FALSE)</f>
        <v>3065</v>
      </c>
      <c r="G469">
        <f>VLOOKUP($C469,'2000 Place'!$C$2:$Y$523,8,FALSE)</f>
        <v>32155</v>
      </c>
      <c r="H469">
        <f>VLOOKUP($C469,'2000 Place'!$C$2:$Y$523,9,FALSE)</f>
        <v>1410</v>
      </c>
      <c r="I469">
        <f>VLOOKUP($C469,'2000 Place'!$C$2:$Y$523,10,FALSE)</f>
        <v>764</v>
      </c>
      <c r="J469">
        <f>VLOOKUP($C469,'2000 Place'!$C$2:$Y$523,11,FALSE)</f>
        <v>121</v>
      </c>
      <c r="K469">
        <f>VLOOKUP($C469,'2000 Place'!$C$2:$Y$523,12,FALSE)</f>
        <v>414</v>
      </c>
      <c r="L469">
        <f>VLOOKUP($C469,'2000 Place'!$C$2:$Y$523,13,FALSE)</f>
        <v>16</v>
      </c>
      <c r="M469">
        <f>VLOOKUP($C469,'2000 Place'!$C$2:$Y$523,14,FALSE)</f>
        <v>179</v>
      </c>
      <c r="N469">
        <f>VLOOKUP($C469,'2000 Place'!$C$2:$Y$523,15,FALSE)</f>
        <v>0</v>
      </c>
      <c r="O469">
        <f>VLOOKUP($C469,'2000 Place'!$C$2:$Y$523,16,FALSE)</f>
        <v>458</v>
      </c>
      <c r="P469">
        <f>VLOOKUP($C469,'2000 Place'!$C$2:$Y$523,17,FALSE)</f>
        <v>1108</v>
      </c>
      <c r="Q469">
        <f>VLOOKUP($C469,'2000 Place'!$C$2:$Y$523,18,FALSE)</f>
        <v>25</v>
      </c>
      <c r="R469">
        <f>VLOOKUP($C469,'2000 Place'!$C$2:$Y$523,19,FALSE)</f>
        <v>0</v>
      </c>
      <c r="S469">
        <f>VLOOKUP($C469,'2000 Place'!$C$2:$Y$523,20,FALSE)</f>
        <v>563</v>
      </c>
      <c r="T469">
        <f>VLOOKUP($C469,'2000 Place'!$C$2:$Y$523,21,FALSE)</f>
        <v>223</v>
      </c>
      <c r="U469">
        <f>VLOOKUP($C469,'2000 Place'!$C$2:$Y$523,22,FALSE)</f>
        <v>1030</v>
      </c>
      <c r="V469">
        <f>VLOOKUP($C469,'2000 Place'!$C$2:$Y$523,23,FALSE)</f>
        <v>187</v>
      </c>
    </row>
    <row r="470" spans="1:22" x14ac:dyDescent="0.25">
      <c r="A470" t="s">
        <v>1184</v>
      </c>
      <c r="B470">
        <v>5358410</v>
      </c>
      <c r="C470" t="s">
        <v>1185</v>
      </c>
      <c r="D470">
        <f>VLOOKUP($C470,'2000 Place'!$C$2:$Y$523,5,FALSE)</f>
        <v>2209</v>
      </c>
      <c r="E470">
        <f>VLOOKUP($C470,'2000 Place'!$C$2:$Y$523,6,FALSE)</f>
        <v>2129</v>
      </c>
      <c r="F470">
        <f>VLOOKUP($C470,'2000 Place'!$C$2:$Y$523,7,FALSE)</f>
        <v>80</v>
      </c>
      <c r="G470">
        <f>VLOOKUP($C470,'2000 Place'!$C$2:$Y$523,8,FALSE)</f>
        <v>2001</v>
      </c>
      <c r="H470">
        <f>VLOOKUP($C470,'2000 Place'!$C$2:$Y$523,9,FALSE)</f>
        <v>48</v>
      </c>
      <c r="I470">
        <f>VLOOKUP($C470,'2000 Place'!$C$2:$Y$523,10,FALSE)</f>
        <v>14</v>
      </c>
      <c r="J470">
        <f>VLOOKUP($C470,'2000 Place'!$C$2:$Y$523,11,FALSE)</f>
        <v>10</v>
      </c>
      <c r="K470">
        <f>VLOOKUP($C470,'2000 Place'!$C$2:$Y$523,12,FALSE)</f>
        <v>10</v>
      </c>
      <c r="L470">
        <f>VLOOKUP($C470,'2000 Place'!$C$2:$Y$523,13,FALSE)</f>
        <v>8</v>
      </c>
      <c r="M470">
        <f>VLOOKUP($C470,'2000 Place'!$C$2:$Y$523,14,FALSE)</f>
        <v>29</v>
      </c>
      <c r="N470">
        <f>VLOOKUP($C470,'2000 Place'!$C$2:$Y$523,15,FALSE)</f>
        <v>0</v>
      </c>
      <c r="O470">
        <f>VLOOKUP($C470,'2000 Place'!$C$2:$Y$523,16,FALSE)</f>
        <v>6</v>
      </c>
      <c r="P470">
        <f>VLOOKUP($C470,'2000 Place'!$C$2:$Y$523,17,FALSE)</f>
        <v>10</v>
      </c>
      <c r="Q470">
        <f>VLOOKUP($C470,'2000 Place'!$C$2:$Y$523,18,FALSE)</f>
        <v>9</v>
      </c>
      <c r="R470">
        <f>VLOOKUP($C470,'2000 Place'!$C$2:$Y$523,19,FALSE)</f>
        <v>2</v>
      </c>
      <c r="S470">
        <f>VLOOKUP($C470,'2000 Place'!$C$2:$Y$523,20,FALSE)</f>
        <v>0</v>
      </c>
      <c r="T470">
        <f>VLOOKUP($C470,'2000 Place'!$C$2:$Y$523,21,FALSE)</f>
        <v>0</v>
      </c>
      <c r="U470">
        <f>VLOOKUP($C470,'2000 Place'!$C$2:$Y$523,22,FALSE)</f>
        <v>60</v>
      </c>
      <c r="V470">
        <f>VLOOKUP($C470,'2000 Place'!$C$2:$Y$523,23,FALSE)</f>
        <v>2</v>
      </c>
    </row>
    <row r="471" spans="1:22" x14ac:dyDescent="0.25">
      <c r="A471" t="s">
        <v>1186</v>
      </c>
      <c r="B471">
        <v>5358725</v>
      </c>
      <c r="C471" t="s">
        <v>1187</v>
      </c>
      <c r="D471">
        <f>VLOOKUP($C471,'2000 Place'!$C$2:$Y$523,5,FALSE)</f>
        <v>1758</v>
      </c>
      <c r="E471">
        <f>VLOOKUP($C471,'2000 Place'!$C$2:$Y$523,6,FALSE)</f>
        <v>1695</v>
      </c>
      <c r="F471">
        <f>VLOOKUP($C471,'2000 Place'!$C$2:$Y$523,7,FALSE)</f>
        <v>63</v>
      </c>
      <c r="G471">
        <f>VLOOKUP($C471,'2000 Place'!$C$2:$Y$523,8,FALSE)</f>
        <v>1620</v>
      </c>
      <c r="H471">
        <f>VLOOKUP($C471,'2000 Place'!$C$2:$Y$523,9,FALSE)</f>
        <v>32</v>
      </c>
      <c r="I471">
        <f>VLOOKUP($C471,'2000 Place'!$C$2:$Y$523,10,FALSE)</f>
        <v>20</v>
      </c>
      <c r="J471">
        <f>VLOOKUP($C471,'2000 Place'!$C$2:$Y$523,11,FALSE)</f>
        <v>10</v>
      </c>
      <c r="K471">
        <f>VLOOKUP($C471,'2000 Place'!$C$2:$Y$523,12,FALSE)</f>
        <v>3</v>
      </c>
      <c r="L471">
        <f>VLOOKUP($C471,'2000 Place'!$C$2:$Y$523,13,FALSE)</f>
        <v>0</v>
      </c>
      <c r="M471">
        <f>VLOOKUP($C471,'2000 Place'!$C$2:$Y$523,14,FALSE)</f>
        <v>9</v>
      </c>
      <c r="N471">
        <f>VLOOKUP($C471,'2000 Place'!$C$2:$Y$523,15,FALSE)</f>
        <v>0</v>
      </c>
      <c r="O471">
        <f>VLOOKUP($C471,'2000 Place'!$C$2:$Y$523,16,FALSE)</f>
        <v>4</v>
      </c>
      <c r="P471">
        <f>VLOOKUP($C471,'2000 Place'!$C$2:$Y$523,17,FALSE)</f>
        <v>5</v>
      </c>
      <c r="Q471">
        <f>VLOOKUP($C471,'2000 Place'!$C$2:$Y$523,18,FALSE)</f>
        <v>0</v>
      </c>
      <c r="R471">
        <f>VLOOKUP($C471,'2000 Place'!$C$2:$Y$523,19,FALSE)</f>
        <v>0</v>
      </c>
      <c r="S471">
        <f>VLOOKUP($C471,'2000 Place'!$C$2:$Y$523,20,FALSE)</f>
        <v>9</v>
      </c>
      <c r="T471">
        <f>VLOOKUP($C471,'2000 Place'!$C$2:$Y$523,21,FALSE)</f>
        <v>12</v>
      </c>
      <c r="U471">
        <f>VLOOKUP($C471,'2000 Place'!$C$2:$Y$523,22,FALSE)</f>
        <v>30</v>
      </c>
      <c r="V471">
        <f>VLOOKUP($C471,'2000 Place'!$C$2:$Y$523,23,FALSE)</f>
        <v>4</v>
      </c>
    </row>
    <row r="472" spans="1:22" x14ac:dyDescent="0.25">
      <c r="A472" t="s">
        <v>1188</v>
      </c>
      <c r="B472">
        <v>5358742</v>
      </c>
      <c r="C472" t="s">
        <v>1189</v>
      </c>
      <c r="D472">
        <f>VLOOKUP($C472,'2000 Place'!$C$2:$Y$523,5,FALSE)</f>
        <v>2247</v>
      </c>
      <c r="E472">
        <f>VLOOKUP($C472,'2000 Place'!$C$2:$Y$523,6,FALSE)</f>
        <v>2138</v>
      </c>
      <c r="F472">
        <f>VLOOKUP($C472,'2000 Place'!$C$2:$Y$523,7,FALSE)</f>
        <v>109</v>
      </c>
      <c r="G472">
        <f>VLOOKUP($C472,'2000 Place'!$C$2:$Y$523,8,FALSE)</f>
        <v>2066</v>
      </c>
      <c r="H472">
        <f>VLOOKUP($C472,'2000 Place'!$C$2:$Y$523,9,FALSE)</f>
        <v>49</v>
      </c>
      <c r="I472">
        <f>VLOOKUP($C472,'2000 Place'!$C$2:$Y$523,10,FALSE)</f>
        <v>22</v>
      </c>
      <c r="J472">
        <f>VLOOKUP($C472,'2000 Place'!$C$2:$Y$523,11,FALSE)</f>
        <v>16</v>
      </c>
      <c r="K472">
        <f>VLOOKUP($C472,'2000 Place'!$C$2:$Y$523,12,FALSE)</f>
        <v>12</v>
      </c>
      <c r="L472">
        <f>VLOOKUP($C472,'2000 Place'!$C$2:$Y$523,13,FALSE)</f>
        <v>0</v>
      </c>
      <c r="M472">
        <f>VLOOKUP($C472,'2000 Place'!$C$2:$Y$523,14,FALSE)</f>
        <v>7</v>
      </c>
      <c r="N472">
        <f>VLOOKUP($C472,'2000 Place'!$C$2:$Y$523,15,FALSE)</f>
        <v>0</v>
      </c>
      <c r="O472">
        <f>VLOOKUP($C472,'2000 Place'!$C$2:$Y$523,16,FALSE)</f>
        <v>0</v>
      </c>
      <c r="P472">
        <f>VLOOKUP($C472,'2000 Place'!$C$2:$Y$523,17,FALSE)</f>
        <v>35</v>
      </c>
      <c r="Q472">
        <f>VLOOKUP($C472,'2000 Place'!$C$2:$Y$523,18,FALSE)</f>
        <v>0</v>
      </c>
      <c r="R472">
        <f>VLOOKUP($C472,'2000 Place'!$C$2:$Y$523,19,FALSE)</f>
        <v>0</v>
      </c>
      <c r="S472">
        <f>VLOOKUP($C472,'2000 Place'!$C$2:$Y$523,20,FALSE)</f>
        <v>15</v>
      </c>
      <c r="T472">
        <f>VLOOKUP($C472,'2000 Place'!$C$2:$Y$523,21,FALSE)</f>
        <v>0</v>
      </c>
      <c r="U472">
        <f>VLOOKUP($C472,'2000 Place'!$C$2:$Y$523,22,FALSE)</f>
        <v>16</v>
      </c>
      <c r="V472">
        <f>VLOOKUP($C472,'2000 Place'!$C$2:$Y$523,23,FALSE)</f>
        <v>9</v>
      </c>
    </row>
    <row r="473" spans="1:22" x14ac:dyDescent="0.25">
      <c r="A473" t="s">
        <v>1190</v>
      </c>
      <c r="B473">
        <v>5358777</v>
      </c>
      <c r="C473" t="s">
        <v>1191</v>
      </c>
      <c r="D473">
        <f>VLOOKUP($C473,'2000 Place'!$C$2:$Y$523,5,FALSE)</f>
        <v>350</v>
      </c>
      <c r="E473">
        <f>VLOOKUP($C473,'2000 Place'!$C$2:$Y$523,6,FALSE)</f>
        <v>341</v>
      </c>
      <c r="F473">
        <f>VLOOKUP($C473,'2000 Place'!$C$2:$Y$523,7,FALSE)</f>
        <v>9</v>
      </c>
      <c r="G473">
        <f>VLOOKUP($C473,'2000 Place'!$C$2:$Y$523,8,FALSE)</f>
        <v>300</v>
      </c>
      <c r="H473">
        <f>VLOOKUP($C473,'2000 Place'!$C$2:$Y$523,9,FALSE)</f>
        <v>9</v>
      </c>
      <c r="I473">
        <f>VLOOKUP($C473,'2000 Place'!$C$2:$Y$523,10,FALSE)</f>
        <v>0</v>
      </c>
      <c r="J473">
        <f>VLOOKUP($C473,'2000 Place'!$C$2:$Y$523,11,FALSE)</f>
        <v>0</v>
      </c>
      <c r="K473">
        <f>VLOOKUP($C473,'2000 Place'!$C$2:$Y$523,12,FALSE)</f>
        <v>0</v>
      </c>
      <c r="L473">
        <f>VLOOKUP($C473,'2000 Place'!$C$2:$Y$523,13,FALSE)</f>
        <v>0</v>
      </c>
      <c r="M473">
        <f>VLOOKUP($C473,'2000 Place'!$C$2:$Y$523,14,FALSE)</f>
        <v>7</v>
      </c>
      <c r="N473">
        <f>VLOOKUP($C473,'2000 Place'!$C$2:$Y$523,15,FALSE)</f>
        <v>0</v>
      </c>
      <c r="O473">
        <f>VLOOKUP($C473,'2000 Place'!$C$2:$Y$523,16,FALSE)</f>
        <v>0</v>
      </c>
      <c r="P473">
        <f>VLOOKUP($C473,'2000 Place'!$C$2:$Y$523,17,FALSE)</f>
        <v>0</v>
      </c>
      <c r="Q473">
        <f>VLOOKUP($C473,'2000 Place'!$C$2:$Y$523,18,FALSE)</f>
        <v>0</v>
      </c>
      <c r="R473">
        <f>VLOOKUP($C473,'2000 Place'!$C$2:$Y$523,19,FALSE)</f>
        <v>0</v>
      </c>
      <c r="S473">
        <f>VLOOKUP($C473,'2000 Place'!$C$2:$Y$523,20,FALSE)</f>
        <v>0</v>
      </c>
      <c r="T473">
        <f>VLOOKUP($C473,'2000 Place'!$C$2:$Y$523,21,FALSE)</f>
        <v>0</v>
      </c>
      <c r="U473">
        <f>VLOOKUP($C473,'2000 Place'!$C$2:$Y$523,22,FALSE)</f>
        <v>34</v>
      </c>
      <c r="V473">
        <f>VLOOKUP($C473,'2000 Place'!$C$2:$Y$523,23,FALSE)</f>
        <v>0</v>
      </c>
    </row>
    <row r="474" spans="1:22" x14ac:dyDescent="0.25">
      <c r="A474" t="s">
        <v>1192</v>
      </c>
      <c r="B474">
        <v>5358795</v>
      </c>
      <c r="C474" t="s">
        <v>1193</v>
      </c>
      <c r="D474">
        <f>VLOOKUP($C474,'2000 Place'!$C$2:$Y$523,5,FALSE)</f>
        <v>349</v>
      </c>
      <c r="E474">
        <f>VLOOKUP($C474,'2000 Place'!$C$2:$Y$523,6,FALSE)</f>
        <v>337</v>
      </c>
      <c r="F474">
        <f>VLOOKUP($C474,'2000 Place'!$C$2:$Y$523,7,FALSE)</f>
        <v>12</v>
      </c>
      <c r="G474">
        <f>VLOOKUP($C474,'2000 Place'!$C$2:$Y$523,8,FALSE)</f>
        <v>296</v>
      </c>
      <c r="H474">
        <f>VLOOKUP($C474,'2000 Place'!$C$2:$Y$523,9,FALSE)</f>
        <v>7</v>
      </c>
      <c r="I474">
        <f>VLOOKUP($C474,'2000 Place'!$C$2:$Y$523,10,FALSE)</f>
        <v>1</v>
      </c>
      <c r="J474">
        <f>VLOOKUP($C474,'2000 Place'!$C$2:$Y$523,11,FALSE)</f>
        <v>0</v>
      </c>
      <c r="K474">
        <f>VLOOKUP($C474,'2000 Place'!$C$2:$Y$523,12,FALSE)</f>
        <v>0</v>
      </c>
      <c r="L474">
        <f>VLOOKUP($C474,'2000 Place'!$C$2:$Y$523,13,FALSE)</f>
        <v>0</v>
      </c>
      <c r="M474">
        <f>VLOOKUP($C474,'2000 Place'!$C$2:$Y$523,14,FALSE)</f>
        <v>18</v>
      </c>
      <c r="N474">
        <f>VLOOKUP($C474,'2000 Place'!$C$2:$Y$523,15,FALSE)</f>
        <v>0</v>
      </c>
      <c r="O474">
        <f>VLOOKUP($C474,'2000 Place'!$C$2:$Y$523,16,FALSE)</f>
        <v>2</v>
      </c>
      <c r="P474">
        <f>VLOOKUP($C474,'2000 Place'!$C$2:$Y$523,17,FALSE)</f>
        <v>4</v>
      </c>
      <c r="Q474">
        <f>VLOOKUP($C474,'2000 Place'!$C$2:$Y$523,18,FALSE)</f>
        <v>0</v>
      </c>
      <c r="R474">
        <f>VLOOKUP($C474,'2000 Place'!$C$2:$Y$523,19,FALSE)</f>
        <v>0</v>
      </c>
      <c r="S474">
        <f>VLOOKUP($C474,'2000 Place'!$C$2:$Y$523,20,FALSE)</f>
        <v>9</v>
      </c>
      <c r="T474">
        <f>VLOOKUP($C474,'2000 Place'!$C$2:$Y$523,21,FALSE)</f>
        <v>1</v>
      </c>
      <c r="U474">
        <f>VLOOKUP($C474,'2000 Place'!$C$2:$Y$523,22,FALSE)</f>
        <v>11</v>
      </c>
      <c r="V474">
        <f>VLOOKUP($C474,'2000 Place'!$C$2:$Y$523,23,FALSE)</f>
        <v>0</v>
      </c>
    </row>
    <row r="475" spans="1:22" x14ac:dyDescent="0.25">
      <c r="A475" t="s">
        <v>1194</v>
      </c>
      <c r="B475">
        <v>5359110</v>
      </c>
      <c r="C475" t="s">
        <v>1195</v>
      </c>
      <c r="D475">
        <f>VLOOKUP($C475,'2000 Place'!$C$2:$Y$523,5,FALSE)</f>
        <v>1991</v>
      </c>
      <c r="E475">
        <f>VLOOKUP($C475,'2000 Place'!$C$2:$Y$523,6,FALSE)</f>
        <v>1817</v>
      </c>
      <c r="F475">
        <f>VLOOKUP($C475,'2000 Place'!$C$2:$Y$523,7,FALSE)</f>
        <v>174</v>
      </c>
      <c r="G475">
        <f>VLOOKUP($C475,'2000 Place'!$C$2:$Y$523,8,FALSE)</f>
        <v>1565</v>
      </c>
      <c r="H475">
        <f>VLOOKUP($C475,'2000 Place'!$C$2:$Y$523,9,FALSE)</f>
        <v>18</v>
      </c>
      <c r="I475">
        <f>VLOOKUP($C475,'2000 Place'!$C$2:$Y$523,10,FALSE)</f>
        <v>41</v>
      </c>
      <c r="J475">
        <f>VLOOKUP($C475,'2000 Place'!$C$2:$Y$523,11,FALSE)</f>
        <v>45</v>
      </c>
      <c r="K475">
        <f>VLOOKUP($C475,'2000 Place'!$C$2:$Y$523,12,FALSE)</f>
        <v>0</v>
      </c>
      <c r="L475">
        <f>VLOOKUP($C475,'2000 Place'!$C$2:$Y$523,13,FALSE)</f>
        <v>0</v>
      </c>
      <c r="M475">
        <f>VLOOKUP($C475,'2000 Place'!$C$2:$Y$523,14,FALSE)</f>
        <v>13</v>
      </c>
      <c r="N475">
        <f>VLOOKUP($C475,'2000 Place'!$C$2:$Y$523,15,FALSE)</f>
        <v>0</v>
      </c>
      <c r="O475">
        <f>VLOOKUP($C475,'2000 Place'!$C$2:$Y$523,16,FALSE)</f>
        <v>0</v>
      </c>
      <c r="P475">
        <f>VLOOKUP($C475,'2000 Place'!$C$2:$Y$523,17,FALSE)</f>
        <v>13</v>
      </c>
      <c r="Q475">
        <f>VLOOKUP($C475,'2000 Place'!$C$2:$Y$523,18,FALSE)</f>
        <v>10</v>
      </c>
      <c r="R475">
        <f>VLOOKUP($C475,'2000 Place'!$C$2:$Y$523,19,FALSE)</f>
        <v>0</v>
      </c>
      <c r="S475">
        <f>VLOOKUP($C475,'2000 Place'!$C$2:$Y$523,20,FALSE)</f>
        <v>78</v>
      </c>
      <c r="T475">
        <f>VLOOKUP($C475,'2000 Place'!$C$2:$Y$523,21,FALSE)</f>
        <v>98</v>
      </c>
      <c r="U475">
        <f>VLOOKUP($C475,'2000 Place'!$C$2:$Y$523,22,FALSE)</f>
        <v>110</v>
      </c>
      <c r="V475">
        <f>VLOOKUP($C475,'2000 Place'!$C$2:$Y$523,23,FALSE)</f>
        <v>0</v>
      </c>
    </row>
    <row r="476" spans="1:22" x14ac:dyDescent="0.25">
      <c r="A476" t="s">
        <v>1196</v>
      </c>
      <c r="B476">
        <v>5359145</v>
      </c>
      <c r="C476" t="s">
        <v>1197</v>
      </c>
      <c r="D476">
        <f>VLOOKUP($C476,'2000 Place'!$C$2:$Y$523,5,FALSE)</f>
        <v>412</v>
      </c>
      <c r="E476">
        <f>VLOOKUP($C476,'2000 Place'!$C$2:$Y$523,6,FALSE)</f>
        <v>410</v>
      </c>
      <c r="F476">
        <f>VLOOKUP($C476,'2000 Place'!$C$2:$Y$523,7,FALSE)</f>
        <v>2</v>
      </c>
      <c r="G476">
        <f>VLOOKUP($C476,'2000 Place'!$C$2:$Y$523,8,FALSE)</f>
        <v>398</v>
      </c>
      <c r="H476">
        <f>VLOOKUP($C476,'2000 Place'!$C$2:$Y$523,9,FALSE)</f>
        <v>2</v>
      </c>
      <c r="I476">
        <f>VLOOKUP($C476,'2000 Place'!$C$2:$Y$523,10,FALSE)</f>
        <v>2</v>
      </c>
      <c r="J476">
        <f>VLOOKUP($C476,'2000 Place'!$C$2:$Y$523,11,FALSE)</f>
        <v>0</v>
      </c>
      <c r="K476">
        <f>VLOOKUP($C476,'2000 Place'!$C$2:$Y$523,12,FALSE)</f>
        <v>0</v>
      </c>
      <c r="L476">
        <f>VLOOKUP($C476,'2000 Place'!$C$2:$Y$523,13,FALSE)</f>
        <v>0</v>
      </c>
      <c r="M476">
        <f>VLOOKUP($C476,'2000 Place'!$C$2:$Y$523,14,FALSE)</f>
        <v>2</v>
      </c>
      <c r="N476">
        <f>VLOOKUP($C476,'2000 Place'!$C$2:$Y$523,15,FALSE)</f>
        <v>0</v>
      </c>
      <c r="O476">
        <f>VLOOKUP($C476,'2000 Place'!$C$2:$Y$523,16,FALSE)</f>
        <v>0</v>
      </c>
      <c r="P476">
        <f>VLOOKUP($C476,'2000 Place'!$C$2:$Y$523,17,FALSE)</f>
        <v>0</v>
      </c>
      <c r="Q476">
        <f>VLOOKUP($C476,'2000 Place'!$C$2:$Y$523,18,FALSE)</f>
        <v>0</v>
      </c>
      <c r="R476">
        <f>VLOOKUP($C476,'2000 Place'!$C$2:$Y$523,19,FALSE)</f>
        <v>0</v>
      </c>
      <c r="S476">
        <f>VLOOKUP($C476,'2000 Place'!$C$2:$Y$523,20,FALSE)</f>
        <v>0</v>
      </c>
      <c r="T476">
        <f>VLOOKUP($C476,'2000 Place'!$C$2:$Y$523,21,FALSE)</f>
        <v>0</v>
      </c>
      <c r="U476">
        <f>VLOOKUP($C476,'2000 Place'!$C$2:$Y$523,22,FALSE)</f>
        <v>8</v>
      </c>
      <c r="V476">
        <f>VLOOKUP($C476,'2000 Place'!$C$2:$Y$523,23,FALSE)</f>
        <v>0</v>
      </c>
    </row>
    <row r="477" spans="1:22" x14ac:dyDescent="0.25">
      <c r="A477" t="s">
        <v>1198</v>
      </c>
      <c r="B477">
        <v>5359180</v>
      </c>
      <c r="C477" t="s">
        <v>1199</v>
      </c>
      <c r="D477">
        <f>VLOOKUP($C477,'2000 Place'!$C$2:$Y$523,5,FALSE)</f>
        <v>883</v>
      </c>
      <c r="E477">
        <f>VLOOKUP($C477,'2000 Place'!$C$2:$Y$523,6,FALSE)</f>
        <v>725</v>
      </c>
      <c r="F477">
        <f>VLOOKUP($C477,'2000 Place'!$C$2:$Y$523,7,FALSE)</f>
        <v>158</v>
      </c>
      <c r="G477">
        <f>VLOOKUP($C477,'2000 Place'!$C$2:$Y$523,8,FALSE)</f>
        <v>567</v>
      </c>
      <c r="H477">
        <f>VLOOKUP($C477,'2000 Place'!$C$2:$Y$523,9,FALSE)</f>
        <v>5</v>
      </c>
      <c r="I477">
        <f>VLOOKUP($C477,'2000 Place'!$C$2:$Y$523,10,FALSE)</f>
        <v>38</v>
      </c>
      <c r="J477">
        <f>VLOOKUP($C477,'2000 Place'!$C$2:$Y$523,11,FALSE)</f>
        <v>33</v>
      </c>
      <c r="K477">
        <f>VLOOKUP($C477,'2000 Place'!$C$2:$Y$523,12,FALSE)</f>
        <v>0</v>
      </c>
      <c r="L477">
        <f>VLOOKUP($C477,'2000 Place'!$C$2:$Y$523,13,FALSE)</f>
        <v>0</v>
      </c>
      <c r="M477">
        <f>VLOOKUP($C477,'2000 Place'!$C$2:$Y$523,14,FALSE)</f>
        <v>8</v>
      </c>
      <c r="N477">
        <f>VLOOKUP($C477,'2000 Place'!$C$2:$Y$523,15,FALSE)</f>
        <v>5</v>
      </c>
      <c r="O477">
        <f>VLOOKUP($C477,'2000 Place'!$C$2:$Y$523,16,FALSE)</f>
        <v>5</v>
      </c>
      <c r="P477">
        <f>VLOOKUP($C477,'2000 Place'!$C$2:$Y$523,17,FALSE)</f>
        <v>0</v>
      </c>
      <c r="Q477">
        <f>VLOOKUP($C477,'2000 Place'!$C$2:$Y$523,18,FALSE)</f>
        <v>0</v>
      </c>
      <c r="R477">
        <f>VLOOKUP($C477,'2000 Place'!$C$2:$Y$523,19,FALSE)</f>
        <v>0</v>
      </c>
      <c r="S477">
        <f>VLOOKUP($C477,'2000 Place'!$C$2:$Y$523,20,FALSE)</f>
        <v>101</v>
      </c>
      <c r="T477">
        <f>VLOOKUP($C477,'2000 Place'!$C$2:$Y$523,21,FALSE)</f>
        <v>112</v>
      </c>
      <c r="U477">
        <f>VLOOKUP($C477,'2000 Place'!$C$2:$Y$523,22,FALSE)</f>
        <v>6</v>
      </c>
      <c r="V477">
        <f>VLOOKUP($C477,'2000 Place'!$C$2:$Y$523,23,FALSE)</f>
        <v>3</v>
      </c>
    </row>
    <row r="478" spans="1:22" x14ac:dyDescent="0.25">
      <c r="A478" t="s">
        <v>1200</v>
      </c>
      <c r="B478">
        <v>5359250</v>
      </c>
      <c r="C478" t="s">
        <v>1201</v>
      </c>
      <c r="D478">
        <f>VLOOKUP($C478,'2000 Place'!$C$2:$Y$523,5,FALSE)</f>
        <v>53</v>
      </c>
      <c r="E478">
        <f>VLOOKUP($C478,'2000 Place'!$C$2:$Y$523,6,FALSE)</f>
        <v>53</v>
      </c>
      <c r="F478">
        <f>VLOOKUP($C478,'2000 Place'!$C$2:$Y$523,7,FALSE)</f>
        <v>0</v>
      </c>
      <c r="G478">
        <f>VLOOKUP($C478,'2000 Place'!$C$2:$Y$523,8,FALSE)</f>
        <v>45</v>
      </c>
      <c r="H478">
        <f>VLOOKUP($C478,'2000 Place'!$C$2:$Y$523,9,FALSE)</f>
        <v>0</v>
      </c>
      <c r="I478">
        <f>VLOOKUP($C478,'2000 Place'!$C$2:$Y$523,10,FALSE)</f>
        <v>0</v>
      </c>
      <c r="J478">
        <f>VLOOKUP($C478,'2000 Place'!$C$2:$Y$523,11,FALSE)</f>
        <v>0</v>
      </c>
      <c r="K478">
        <f>VLOOKUP($C478,'2000 Place'!$C$2:$Y$523,12,FALSE)</f>
        <v>0</v>
      </c>
      <c r="L478">
        <f>VLOOKUP($C478,'2000 Place'!$C$2:$Y$523,13,FALSE)</f>
        <v>0</v>
      </c>
      <c r="M478">
        <f>VLOOKUP($C478,'2000 Place'!$C$2:$Y$523,14,FALSE)</f>
        <v>8</v>
      </c>
      <c r="N478">
        <f>VLOOKUP($C478,'2000 Place'!$C$2:$Y$523,15,FALSE)</f>
        <v>0</v>
      </c>
      <c r="O478">
        <f>VLOOKUP($C478,'2000 Place'!$C$2:$Y$523,16,FALSE)</f>
        <v>0</v>
      </c>
      <c r="P478">
        <f>VLOOKUP($C478,'2000 Place'!$C$2:$Y$523,17,FALSE)</f>
        <v>0</v>
      </c>
      <c r="Q478">
        <f>VLOOKUP($C478,'2000 Place'!$C$2:$Y$523,18,FALSE)</f>
        <v>0</v>
      </c>
      <c r="R478">
        <f>VLOOKUP($C478,'2000 Place'!$C$2:$Y$523,19,FALSE)</f>
        <v>0</v>
      </c>
      <c r="S478">
        <f>VLOOKUP($C478,'2000 Place'!$C$2:$Y$523,20,FALSE)</f>
        <v>0</v>
      </c>
      <c r="T478">
        <f>VLOOKUP($C478,'2000 Place'!$C$2:$Y$523,21,FALSE)</f>
        <v>0</v>
      </c>
      <c r="U478">
        <f>VLOOKUP($C478,'2000 Place'!$C$2:$Y$523,22,FALSE)</f>
        <v>0</v>
      </c>
      <c r="V478">
        <f>VLOOKUP($C478,'2000 Place'!$C$2:$Y$523,23,FALSE)</f>
        <v>0</v>
      </c>
    </row>
    <row r="479" spans="1:22" x14ac:dyDescent="0.25">
      <c r="A479" t="s">
        <v>1202</v>
      </c>
      <c r="B479">
        <v>5359390</v>
      </c>
      <c r="C479" t="s">
        <v>1203</v>
      </c>
      <c r="D479" t="e">
        <f>VLOOKUP($C479,'2000 Place'!$C$2:$Y$523,5,FALSE)</f>
        <v>#N/A</v>
      </c>
      <c r="E479" t="e">
        <f>VLOOKUP($C479,'2000 Place'!$C$2:$Y$523,6,FALSE)</f>
        <v>#N/A</v>
      </c>
      <c r="F479" t="e">
        <f>VLOOKUP($C479,'2000 Place'!$C$2:$Y$523,7,FALSE)</f>
        <v>#N/A</v>
      </c>
      <c r="G479" t="e">
        <f>VLOOKUP($C479,'2000 Place'!$C$2:$Y$523,8,FALSE)</f>
        <v>#N/A</v>
      </c>
      <c r="H479" t="e">
        <f>VLOOKUP($C479,'2000 Place'!$C$2:$Y$523,9,FALSE)</f>
        <v>#N/A</v>
      </c>
      <c r="I479" t="e">
        <f>VLOOKUP($C479,'2000 Place'!$C$2:$Y$523,10,FALSE)</f>
        <v>#N/A</v>
      </c>
      <c r="J479" t="e">
        <f>VLOOKUP($C479,'2000 Place'!$C$2:$Y$523,11,FALSE)</f>
        <v>#N/A</v>
      </c>
      <c r="K479" t="e">
        <f>VLOOKUP($C479,'2000 Place'!$C$2:$Y$523,12,FALSE)</f>
        <v>#N/A</v>
      </c>
      <c r="L479" t="e">
        <f>VLOOKUP($C479,'2000 Place'!$C$2:$Y$523,13,FALSE)</f>
        <v>#N/A</v>
      </c>
      <c r="M479" t="e">
        <f>VLOOKUP($C479,'2000 Place'!$C$2:$Y$523,14,FALSE)</f>
        <v>#N/A</v>
      </c>
      <c r="N479" t="e">
        <f>VLOOKUP($C479,'2000 Place'!$C$2:$Y$523,15,FALSE)</f>
        <v>#N/A</v>
      </c>
      <c r="O479" t="e">
        <f>VLOOKUP($C479,'2000 Place'!$C$2:$Y$523,16,FALSE)</f>
        <v>#N/A</v>
      </c>
      <c r="P479" t="e">
        <f>VLOOKUP($C479,'2000 Place'!$C$2:$Y$523,17,FALSE)</f>
        <v>#N/A</v>
      </c>
      <c r="Q479" t="e">
        <f>VLOOKUP($C479,'2000 Place'!$C$2:$Y$523,18,FALSE)</f>
        <v>#N/A</v>
      </c>
      <c r="R479" t="e">
        <f>VLOOKUP($C479,'2000 Place'!$C$2:$Y$523,19,FALSE)</f>
        <v>#N/A</v>
      </c>
      <c r="S479" t="e">
        <f>VLOOKUP($C479,'2000 Place'!$C$2:$Y$523,20,FALSE)</f>
        <v>#N/A</v>
      </c>
      <c r="T479" t="e">
        <f>VLOOKUP($C479,'2000 Place'!$C$2:$Y$523,21,FALSE)</f>
        <v>#N/A</v>
      </c>
      <c r="U479" t="e">
        <f>VLOOKUP($C479,'2000 Place'!$C$2:$Y$523,22,FALSE)</f>
        <v>#N/A</v>
      </c>
      <c r="V479" t="e">
        <f>VLOOKUP($C479,'2000 Place'!$C$2:$Y$523,23,FALSE)</f>
        <v>#N/A</v>
      </c>
    </row>
    <row r="480" spans="1:22" x14ac:dyDescent="0.25">
      <c r="A480" t="s">
        <v>1204</v>
      </c>
      <c r="B480">
        <v>5359635</v>
      </c>
      <c r="C480" t="s">
        <v>1205</v>
      </c>
      <c r="D480">
        <f>VLOOKUP($C480,'2000 Place'!$C$2:$Y$523,5,FALSE)</f>
        <v>177</v>
      </c>
      <c r="E480">
        <f>VLOOKUP($C480,'2000 Place'!$C$2:$Y$523,6,FALSE)</f>
        <v>164</v>
      </c>
      <c r="F480">
        <f>VLOOKUP($C480,'2000 Place'!$C$2:$Y$523,7,FALSE)</f>
        <v>13</v>
      </c>
      <c r="G480">
        <f>VLOOKUP($C480,'2000 Place'!$C$2:$Y$523,8,FALSE)</f>
        <v>164</v>
      </c>
      <c r="H480">
        <f>VLOOKUP($C480,'2000 Place'!$C$2:$Y$523,9,FALSE)</f>
        <v>13</v>
      </c>
      <c r="I480">
        <f>VLOOKUP($C480,'2000 Place'!$C$2:$Y$523,10,FALSE)</f>
        <v>0</v>
      </c>
      <c r="J480">
        <f>VLOOKUP($C480,'2000 Place'!$C$2:$Y$523,11,FALSE)</f>
        <v>0</v>
      </c>
      <c r="K480">
        <f>VLOOKUP($C480,'2000 Place'!$C$2:$Y$523,12,FALSE)</f>
        <v>0</v>
      </c>
      <c r="L480">
        <f>VLOOKUP($C480,'2000 Place'!$C$2:$Y$523,13,FALSE)</f>
        <v>0</v>
      </c>
      <c r="M480">
        <f>VLOOKUP($C480,'2000 Place'!$C$2:$Y$523,14,FALSE)</f>
        <v>0</v>
      </c>
      <c r="N480">
        <f>VLOOKUP($C480,'2000 Place'!$C$2:$Y$523,15,FALSE)</f>
        <v>0</v>
      </c>
      <c r="O480">
        <f>VLOOKUP($C480,'2000 Place'!$C$2:$Y$523,16,FALSE)</f>
        <v>0</v>
      </c>
      <c r="P480">
        <f>VLOOKUP($C480,'2000 Place'!$C$2:$Y$523,17,FALSE)</f>
        <v>0</v>
      </c>
      <c r="Q480">
        <f>VLOOKUP($C480,'2000 Place'!$C$2:$Y$523,18,FALSE)</f>
        <v>0</v>
      </c>
      <c r="R480">
        <f>VLOOKUP($C480,'2000 Place'!$C$2:$Y$523,19,FALSE)</f>
        <v>0</v>
      </c>
      <c r="S480">
        <f>VLOOKUP($C480,'2000 Place'!$C$2:$Y$523,20,FALSE)</f>
        <v>0</v>
      </c>
      <c r="T480">
        <f>VLOOKUP($C480,'2000 Place'!$C$2:$Y$523,21,FALSE)</f>
        <v>0</v>
      </c>
      <c r="U480">
        <f>VLOOKUP($C480,'2000 Place'!$C$2:$Y$523,22,FALSE)</f>
        <v>0</v>
      </c>
      <c r="V480">
        <f>VLOOKUP($C480,'2000 Place'!$C$2:$Y$523,23,FALSE)</f>
        <v>0</v>
      </c>
    </row>
    <row r="481" spans="1:22" x14ac:dyDescent="0.25">
      <c r="A481" t="s">
        <v>1206</v>
      </c>
      <c r="B481">
        <v>5359705</v>
      </c>
      <c r="C481" t="s">
        <v>1207</v>
      </c>
      <c r="D481">
        <f>VLOOKUP($C481,'2000 Place'!$C$2:$Y$523,5,FALSE)</f>
        <v>116</v>
      </c>
      <c r="E481">
        <f>VLOOKUP($C481,'2000 Place'!$C$2:$Y$523,6,FALSE)</f>
        <v>97</v>
      </c>
      <c r="F481">
        <f>VLOOKUP($C481,'2000 Place'!$C$2:$Y$523,7,FALSE)</f>
        <v>19</v>
      </c>
      <c r="G481">
        <f>VLOOKUP($C481,'2000 Place'!$C$2:$Y$523,8,FALSE)</f>
        <v>76</v>
      </c>
      <c r="H481">
        <f>VLOOKUP($C481,'2000 Place'!$C$2:$Y$523,9,FALSE)</f>
        <v>0</v>
      </c>
      <c r="I481">
        <f>VLOOKUP($C481,'2000 Place'!$C$2:$Y$523,10,FALSE)</f>
        <v>0</v>
      </c>
      <c r="J481">
        <f>VLOOKUP($C481,'2000 Place'!$C$2:$Y$523,11,FALSE)</f>
        <v>0</v>
      </c>
      <c r="K481">
        <f>VLOOKUP($C481,'2000 Place'!$C$2:$Y$523,12,FALSE)</f>
        <v>0</v>
      </c>
      <c r="L481">
        <f>VLOOKUP($C481,'2000 Place'!$C$2:$Y$523,13,FALSE)</f>
        <v>0</v>
      </c>
      <c r="M481">
        <f>VLOOKUP($C481,'2000 Place'!$C$2:$Y$523,14,FALSE)</f>
        <v>0</v>
      </c>
      <c r="N481">
        <f>VLOOKUP($C481,'2000 Place'!$C$2:$Y$523,15,FALSE)</f>
        <v>0</v>
      </c>
      <c r="O481">
        <f>VLOOKUP($C481,'2000 Place'!$C$2:$Y$523,16,FALSE)</f>
        <v>0</v>
      </c>
      <c r="P481">
        <f>VLOOKUP($C481,'2000 Place'!$C$2:$Y$523,17,FALSE)</f>
        <v>0</v>
      </c>
      <c r="Q481">
        <f>VLOOKUP($C481,'2000 Place'!$C$2:$Y$523,18,FALSE)</f>
        <v>0</v>
      </c>
      <c r="R481">
        <f>VLOOKUP($C481,'2000 Place'!$C$2:$Y$523,19,FALSE)</f>
        <v>0</v>
      </c>
      <c r="S481">
        <f>VLOOKUP($C481,'2000 Place'!$C$2:$Y$523,20,FALSE)</f>
        <v>8</v>
      </c>
      <c r="T481">
        <f>VLOOKUP($C481,'2000 Place'!$C$2:$Y$523,21,FALSE)</f>
        <v>19</v>
      </c>
      <c r="U481">
        <f>VLOOKUP($C481,'2000 Place'!$C$2:$Y$523,22,FALSE)</f>
        <v>13</v>
      </c>
      <c r="V481">
        <f>VLOOKUP($C481,'2000 Place'!$C$2:$Y$523,23,FALSE)</f>
        <v>0</v>
      </c>
    </row>
    <row r="482" spans="1:22" x14ac:dyDescent="0.25">
      <c r="A482" t="s">
        <v>1208</v>
      </c>
      <c r="B482">
        <v>5359775</v>
      </c>
      <c r="C482" t="s">
        <v>1209</v>
      </c>
      <c r="D482">
        <f>VLOOKUP($C482,'2000 Place'!$C$2:$Y$523,5,FALSE)</f>
        <v>649</v>
      </c>
      <c r="E482">
        <f>VLOOKUP($C482,'2000 Place'!$C$2:$Y$523,6,FALSE)</f>
        <v>639</v>
      </c>
      <c r="F482">
        <f>VLOOKUP($C482,'2000 Place'!$C$2:$Y$523,7,FALSE)</f>
        <v>10</v>
      </c>
      <c r="G482">
        <f>VLOOKUP($C482,'2000 Place'!$C$2:$Y$523,8,FALSE)</f>
        <v>607</v>
      </c>
      <c r="H482">
        <f>VLOOKUP($C482,'2000 Place'!$C$2:$Y$523,9,FALSE)</f>
        <v>8</v>
      </c>
      <c r="I482">
        <f>VLOOKUP($C482,'2000 Place'!$C$2:$Y$523,10,FALSE)</f>
        <v>2</v>
      </c>
      <c r="J482">
        <f>VLOOKUP($C482,'2000 Place'!$C$2:$Y$523,11,FALSE)</f>
        <v>0</v>
      </c>
      <c r="K482">
        <f>VLOOKUP($C482,'2000 Place'!$C$2:$Y$523,12,FALSE)</f>
        <v>4</v>
      </c>
      <c r="L482">
        <f>VLOOKUP($C482,'2000 Place'!$C$2:$Y$523,13,FALSE)</f>
        <v>0</v>
      </c>
      <c r="M482">
        <f>VLOOKUP($C482,'2000 Place'!$C$2:$Y$523,14,FALSE)</f>
        <v>7</v>
      </c>
      <c r="N482">
        <f>VLOOKUP($C482,'2000 Place'!$C$2:$Y$523,15,FALSE)</f>
        <v>0</v>
      </c>
      <c r="O482">
        <f>VLOOKUP($C482,'2000 Place'!$C$2:$Y$523,16,FALSE)</f>
        <v>6</v>
      </c>
      <c r="P482">
        <f>VLOOKUP($C482,'2000 Place'!$C$2:$Y$523,17,FALSE)</f>
        <v>2</v>
      </c>
      <c r="Q482">
        <f>VLOOKUP($C482,'2000 Place'!$C$2:$Y$523,18,FALSE)</f>
        <v>0</v>
      </c>
      <c r="R482">
        <f>VLOOKUP($C482,'2000 Place'!$C$2:$Y$523,19,FALSE)</f>
        <v>0</v>
      </c>
      <c r="S482">
        <f>VLOOKUP($C482,'2000 Place'!$C$2:$Y$523,20,FALSE)</f>
        <v>0</v>
      </c>
      <c r="T482">
        <f>VLOOKUP($C482,'2000 Place'!$C$2:$Y$523,21,FALSE)</f>
        <v>0</v>
      </c>
      <c r="U482">
        <f>VLOOKUP($C482,'2000 Place'!$C$2:$Y$523,22,FALSE)</f>
        <v>13</v>
      </c>
      <c r="V482">
        <f>VLOOKUP($C482,'2000 Place'!$C$2:$Y$523,23,FALSE)</f>
        <v>0</v>
      </c>
    </row>
    <row r="483" spans="1:22" x14ac:dyDescent="0.25">
      <c r="A483" t="s">
        <v>1210</v>
      </c>
      <c r="B483">
        <v>5359845</v>
      </c>
      <c r="C483" t="s">
        <v>1211</v>
      </c>
      <c r="D483" t="e">
        <f>VLOOKUP($C483,'2000 Place'!$C$2:$Y$523,5,FALSE)</f>
        <v>#N/A</v>
      </c>
      <c r="E483" t="e">
        <f>VLOOKUP($C483,'2000 Place'!$C$2:$Y$523,6,FALSE)</f>
        <v>#N/A</v>
      </c>
      <c r="F483" t="e">
        <f>VLOOKUP($C483,'2000 Place'!$C$2:$Y$523,7,FALSE)</f>
        <v>#N/A</v>
      </c>
      <c r="G483" t="e">
        <f>VLOOKUP($C483,'2000 Place'!$C$2:$Y$523,8,FALSE)</f>
        <v>#N/A</v>
      </c>
      <c r="H483" t="e">
        <f>VLOOKUP($C483,'2000 Place'!$C$2:$Y$523,9,FALSE)</f>
        <v>#N/A</v>
      </c>
      <c r="I483" t="e">
        <f>VLOOKUP($C483,'2000 Place'!$C$2:$Y$523,10,FALSE)</f>
        <v>#N/A</v>
      </c>
      <c r="J483" t="e">
        <f>VLOOKUP($C483,'2000 Place'!$C$2:$Y$523,11,FALSE)</f>
        <v>#N/A</v>
      </c>
      <c r="K483" t="e">
        <f>VLOOKUP($C483,'2000 Place'!$C$2:$Y$523,12,FALSE)</f>
        <v>#N/A</v>
      </c>
      <c r="L483" t="e">
        <f>VLOOKUP($C483,'2000 Place'!$C$2:$Y$523,13,FALSE)</f>
        <v>#N/A</v>
      </c>
      <c r="M483" t="e">
        <f>VLOOKUP($C483,'2000 Place'!$C$2:$Y$523,14,FALSE)</f>
        <v>#N/A</v>
      </c>
      <c r="N483" t="e">
        <f>VLOOKUP($C483,'2000 Place'!$C$2:$Y$523,15,FALSE)</f>
        <v>#N/A</v>
      </c>
      <c r="O483" t="e">
        <f>VLOOKUP($C483,'2000 Place'!$C$2:$Y$523,16,FALSE)</f>
        <v>#N/A</v>
      </c>
      <c r="P483" t="e">
        <f>VLOOKUP($C483,'2000 Place'!$C$2:$Y$523,17,FALSE)</f>
        <v>#N/A</v>
      </c>
      <c r="Q483" t="e">
        <f>VLOOKUP($C483,'2000 Place'!$C$2:$Y$523,18,FALSE)</f>
        <v>#N/A</v>
      </c>
      <c r="R483" t="e">
        <f>VLOOKUP($C483,'2000 Place'!$C$2:$Y$523,19,FALSE)</f>
        <v>#N/A</v>
      </c>
      <c r="S483" t="e">
        <f>VLOOKUP($C483,'2000 Place'!$C$2:$Y$523,20,FALSE)</f>
        <v>#N/A</v>
      </c>
      <c r="T483" t="e">
        <f>VLOOKUP($C483,'2000 Place'!$C$2:$Y$523,21,FALSE)</f>
        <v>#N/A</v>
      </c>
      <c r="U483" t="e">
        <f>VLOOKUP($C483,'2000 Place'!$C$2:$Y$523,22,FALSE)</f>
        <v>#N/A</v>
      </c>
      <c r="V483" t="e">
        <f>VLOOKUP($C483,'2000 Place'!$C$2:$Y$523,23,FALSE)</f>
        <v>#N/A</v>
      </c>
    </row>
    <row r="484" spans="1:22" x14ac:dyDescent="0.25">
      <c r="A484" t="s">
        <v>1212</v>
      </c>
      <c r="B484">
        <v>5359880</v>
      </c>
      <c r="C484" t="s">
        <v>1213</v>
      </c>
      <c r="D484" t="e">
        <f>VLOOKUP($C484,'2000 Place'!$C$2:$Y$523,5,FALSE)</f>
        <v>#N/A</v>
      </c>
      <c r="E484" t="e">
        <f>VLOOKUP($C484,'2000 Place'!$C$2:$Y$523,6,FALSE)</f>
        <v>#N/A</v>
      </c>
      <c r="F484" t="e">
        <f>VLOOKUP($C484,'2000 Place'!$C$2:$Y$523,7,FALSE)</f>
        <v>#N/A</v>
      </c>
      <c r="G484" t="e">
        <f>VLOOKUP($C484,'2000 Place'!$C$2:$Y$523,8,FALSE)</f>
        <v>#N/A</v>
      </c>
      <c r="H484" t="e">
        <f>VLOOKUP($C484,'2000 Place'!$C$2:$Y$523,9,FALSE)</f>
        <v>#N/A</v>
      </c>
      <c r="I484" t="e">
        <f>VLOOKUP($C484,'2000 Place'!$C$2:$Y$523,10,FALSE)</f>
        <v>#N/A</v>
      </c>
      <c r="J484" t="e">
        <f>VLOOKUP($C484,'2000 Place'!$C$2:$Y$523,11,FALSE)</f>
        <v>#N/A</v>
      </c>
      <c r="K484" t="e">
        <f>VLOOKUP($C484,'2000 Place'!$C$2:$Y$523,12,FALSE)</f>
        <v>#N/A</v>
      </c>
      <c r="L484" t="e">
        <f>VLOOKUP($C484,'2000 Place'!$C$2:$Y$523,13,FALSE)</f>
        <v>#N/A</v>
      </c>
      <c r="M484" t="e">
        <f>VLOOKUP($C484,'2000 Place'!$C$2:$Y$523,14,FALSE)</f>
        <v>#N/A</v>
      </c>
      <c r="N484" t="e">
        <f>VLOOKUP($C484,'2000 Place'!$C$2:$Y$523,15,FALSE)</f>
        <v>#N/A</v>
      </c>
      <c r="O484" t="e">
        <f>VLOOKUP($C484,'2000 Place'!$C$2:$Y$523,16,FALSE)</f>
        <v>#N/A</v>
      </c>
      <c r="P484" t="e">
        <f>VLOOKUP($C484,'2000 Place'!$C$2:$Y$523,17,FALSE)</f>
        <v>#N/A</v>
      </c>
      <c r="Q484" t="e">
        <f>VLOOKUP($C484,'2000 Place'!$C$2:$Y$523,18,FALSE)</f>
        <v>#N/A</v>
      </c>
      <c r="R484" t="e">
        <f>VLOOKUP($C484,'2000 Place'!$C$2:$Y$523,19,FALSE)</f>
        <v>#N/A</v>
      </c>
      <c r="S484" t="e">
        <f>VLOOKUP($C484,'2000 Place'!$C$2:$Y$523,20,FALSE)</f>
        <v>#N/A</v>
      </c>
      <c r="T484" t="e">
        <f>VLOOKUP($C484,'2000 Place'!$C$2:$Y$523,21,FALSE)</f>
        <v>#N/A</v>
      </c>
      <c r="U484" t="e">
        <f>VLOOKUP($C484,'2000 Place'!$C$2:$Y$523,22,FALSE)</f>
        <v>#N/A</v>
      </c>
      <c r="V484" t="e">
        <f>VLOOKUP($C484,'2000 Place'!$C$2:$Y$523,23,FALSE)</f>
        <v>#N/A</v>
      </c>
    </row>
    <row r="485" spans="1:22" x14ac:dyDescent="0.25">
      <c r="A485" t="s">
        <v>1214</v>
      </c>
      <c r="B485">
        <v>5360055</v>
      </c>
      <c r="C485" t="s">
        <v>1215</v>
      </c>
      <c r="D485">
        <f>VLOOKUP($C485,'2000 Place'!$C$2:$Y$523,5,FALSE)</f>
        <v>1014</v>
      </c>
      <c r="E485">
        <f>VLOOKUP($C485,'2000 Place'!$C$2:$Y$523,6,FALSE)</f>
        <v>981</v>
      </c>
      <c r="F485">
        <f>VLOOKUP($C485,'2000 Place'!$C$2:$Y$523,7,FALSE)</f>
        <v>33</v>
      </c>
      <c r="G485">
        <f>VLOOKUP($C485,'2000 Place'!$C$2:$Y$523,8,FALSE)</f>
        <v>917</v>
      </c>
      <c r="H485">
        <f>VLOOKUP($C485,'2000 Place'!$C$2:$Y$523,9,FALSE)</f>
        <v>31</v>
      </c>
      <c r="I485">
        <f>VLOOKUP($C485,'2000 Place'!$C$2:$Y$523,10,FALSE)</f>
        <v>1</v>
      </c>
      <c r="J485">
        <f>VLOOKUP($C485,'2000 Place'!$C$2:$Y$523,11,FALSE)</f>
        <v>2</v>
      </c>
      <c r="K485">
        <f>VLOOKUP($C485,'2000 Place'!$C$2:$Y$523,12,FALSE)</f>
        <v>21</v>
      </c>
      <c r="L485">
        <f>VLOOKUP($C485,'2000 Place'!$C$2:$Y$523,13,FALSE)</f>
        <v>0</v>
      </c>
      <c r="M485">
        <f>VLOOKUP($C485,'2000 Place'!$C$2:$Y$523,14,FALSE)</f>
        <v>18</v>
      </c>
      <c r="N485">
        <f>VLOOKUP($C485,'2000 Place'!$C$2:$Y$523,15,FALSE)</f>
        <v>0</v>
      </c>
      <c r="O485">
        <f>VLOOKUP($C485,'2000 Place'!$C$2:$Y$523,16,FALSE)</f>
        <v>0</v>
      </c>
      <c r="P485">
        <f>VLOOKUP($C485,'2000 Place'!$C$2:$Y$523,17,FALSE)</f>
        <v>0</v>
      </c>
      <c r="Q485">
        <f>VLOOKUP($C485,'2000 Place'!$C$2:$Y$523,18,FALSE)</f>
        <v>0</v>
      </c>
      <c r="R485">
        <f>VLOOKUP($C485,'2000 Place'!$C$2:$Y$523,19,FALSE)</f>
        <v>0</v>
      </c>
      <c r="S485">
        <f>VLOOKUP($C485,'2000 Place'!$C$2:$Y$523,20,FALSE)</f>
        <v>0</v>
      </c>
      <c r="T485">
        <f>VLOOKUP($C485,'2000 Place'!$C$2:$Y$523,21,FALSE)</f>
        <v>0</v>
      </c>
      <c r="U485">
        <f>VLOOKUP($C485,'2000 Place'!$C$2:$Y$523,22,FALSE)</f>
        <v>24</v>
      </c>
      <c r="V485">
        <f>VLOOKUP($C485,'2000 Place'!$C$2:$Y$523,23,FALSE)</f>
        <v>0</v>
      </c>
    </row>
    <row r="486" spans="1:22" x14ac:dyDescent="0.25">
      <c r="A486" t="s">
        <v>1216</v>
      </c>
      <c r="B486">
        <v>5360160</v>
      </c>
      <c r="C486" t="s">
        <v>1217</v>
      </c>
      <c r="D486">
        <f>VLOOKUP($C486,'2000 Place'!$C$2:$Y$523,5,FALSE)</f>
        <v>259</v>
      </c>
      <c r="E486">
        <f>VLOOKUP($C486,'2000 Place'!$C$2:$Y$523,6,FALSE)</f>
        <v>247</v>
      </c>
      <c r="F486">
        <f>VLOOKUP($C486,'2000 Place'!$C$2:$Y$523,7,FALSE)</f>
        <v>12</v>
      </c>
      <c r="G486">
        <f>VLOOKUP($C486,'2000 Place'!$C$2:$Y$523,8,FALSE)</f>
        <v>188</v>
      </c>
      <c r="H486">
        <f>VLOOKUP($C486,'2000 Place'!$C$2:$Y$523,9,FALSE)</f>
        <v>8</v>
      </c>
      <c r="I486">
        <f>VLOOKUP($C486,'2000 Place'!$C$2:$Y$523,10,FALSE)</f>
        <v>5</v>
      </c>
      <c r="J486">
        <f>VLOOKUP($C486,'2000 Place'!$C$2:$Y$523,11,FALSE)</f>
        <v>0</v>
      </c>
      <c r="K486">
        <f>VLOOKUP($C486,'2000 Place'!$C$2:$Y$523,12,FALSE)</f>
        <v>0</v>
      </c>
      <c r="L486">
        <f>VLOOKUP($C486,'2000 Place'!$C$2:$Y$523,13,FALSE)</f>
        <v>0</v>
      </c>
      <c r="M486">
        <f>VLOOKUP($C486,'2000 Place'!$C$2:$Y$523,14,FALSE)</f>
        <v>9</v>
      </c>
      <c r="N486">
        <f>VLOOKUP($C486,'2000 Place'!$C$2:$Y$523,15,FALSE)</f>
        <v>0</v>
      </c>
      <c r="O486">
        <f>VLOOKUP($C486,'2000 Place'!$C$2:$Y$523,16,FALSE)</f>
        <v>0</v>
      </c>
      <c r="P486">
        <f>VLOOKUP($C486,'2000 Place'!$C$2:$Y$523,17,FALSE)</f>
        <v>4</v>
      </c>
      <c r="Q486">
        <f>VLOOKUP($C486,'2000 Place'!$C$2:$Y$523,18,FALSE)</f>
        <v>0</v>
      </c>
      <c r="R486">
        <f>VLOOKUP($C486,'2000 Place'!$C$2:$Y$523,19,FALSE)</f>
        <v>0</v>
      </c>
      <c r="S486">
        <f>VLOOKUP($C486,'2000 Place'!$C$2:$Y$523,20,FALSE)</f>
        <v>10</v>
      </c>
      <c r="T486">
        <f>VLOOKUP($C486,'2000 Place'!$C$2:$Y$523,21,FALSE)</f>
        <v>0</v>
      </c>
      <c r="U486">
        <f>VLOOKUP($C486,'2000 Place'!$C$2:$Y$523,22,FALSE)</f>
        <v>35</v>
      </c>
      <c r="V486">
        <f>VLOOKUP($C486,'2000 Place'!$C$2:$Y$523,23,FALSE)</f>
        <v>0</v>
      </c>
    </row>
    <row r="487" spans="1:22" x14ac:dyDescent="0.25">
      <c r="A487" t="s">
        <v>1218</v>
      </c>
      <c r="B487">
        <v>5360230</v>
      </c>
      <c r="C487" t="s">
        <v>1219</v>
      </c>
      <c r="D487">
        <f>VLOOKUP($C487,'2000 Place'!$C$2:$Y$523,5,FALSE)</f>
        <v>1840</v>
      </c>
      <c r="E487">
        <f>VLOOKUP($C487,'2000 Place'!$C$2:$Y$523,6,FALSE)</f>
        <v>875</v>
      </c>
      <c r="F487">
        <f>VLOOKUP($C487,'2000 Place'!$C$2:$Y$523,7,FALSE)</f>
        <v>965</v>
      </c>
      <c r="G487">
        <f>VLOOKUP($C487,'2000 Place'!$C$2:$Y$523,8,FALSE)</f>
        <v>352</v>
      </c>
      <c r="H487">
        <f>VLOOKUP($C487,'2000 Place'!$C$2:$Y$523,9,FALSE)</f>
        <v>5</v>
      </c>
      <c r="I487">
        <f>VLOOKUP($C487,'2000 Place'!$C$2:$Y$523,10,FALSE)</f>
        <v>279</v>
      </c>
      <c r="J487">
        <f>VLOOKUP($C487,'2000 Place'!$C$2:$Y$523,11,FALSE)</f>
        <v>618</v>
      </c>
      <c r="K487">
        <f>VLOOKUP($C487,'2000 Place'!$C$2:$Y$523,12,FALSE)</f>
        <v>0</v>
      </c>
      <c r="L487">
        <f>VLOOKUP($C487,'2000 Place'!$C$2:$Y$523,13,FALSE)</f>
        <v>4</v>
      </c>
      <c r="M487">
        <f>VLOOKUP($C487,'2000 Place'!$C$2:$Y$523,14,FALSE)</f>
        <v>15</v>
      </c>
      <c r="N487">
        <f>VLOOKUP($C487,'2000 Place'!$C$2:$Y$523,15,FALSE)</f>
        <v>5</v>
      </c>
      <c r="O487">
        <f>VLOOKUP($C487,'2000 Place'!$C$2:$Y$523,16,FALSE)</f>
        <v>0</v>
      </c>
      <c r="P487">
        <f>VLOOKUP($C487,'2000 Place'!$C$2:$Y$523,17,FALSE)</f>
        <v>0</v>
      </c>
      <c r="Q487">
        <f>VLOOKUP($C487,'2000 Place'!$C$2:$Y$523,18,FALSE)</f>
        <v>0</v>
      </c>
      <c r="R487">
        <f>VLOOKUP($C487,'2000 Place'!$C$2:$Y$523,19,FALSE)</f>
        <v>0</v>
      </c>
      <c r="S487">
        <f>VLOOKUP($C487,'2000 Place'!$C$2:$Y$523,20,FALSE)</f>
        <v>222</v>
      </c>
      <c r="T487">
        <f>VLOOKUP($C487,'2000 Place'!$C$2:$Y$523,21,FALSE)</f>
        <v>330</v>
      </c>
      <c r="U487">
        <f>VLOOKUP($C487,'2000 Place'!$C$2:$Y$523,22,FALSE)</f>
        <v>7</v>
      </c>
      <c r="V487">
        <f>VLOOKUP($C487,'2000 Place'!$C$2:$Y$523,23,FALSE)</f>
        <v>3</v>
      </c>
    </row>
    <row r="488" spans="1:22" x14ac:dyDescent="0.25">
      <c r="A488" t="s">
        <v>1220</v>
      </c>
      <c r="B488">
        <v>5360510</v>
      </c>
      <c r="C488" t="s">
        <v>1221</v>
      </c>
      <c r="D488">
        <f>VLOOKUP($C488,'2000 Place'!$C$2:$Y$523,5,FALSE)</f>
        <v>742</v>
      </c>
      <c r="E488">
        <f>VLOOKUP($C488,'2000 Place'!$C$2:$Y$523,6,FALSE)</f>
        <v>676</v>
      </c>
      <c r="F488">
        <f>VLOOKUP($C488,'2000 Place'!$C$2:$Y$523,7,FALSE)</f>
        <v>66</v>
      </c>
      <c r="G488">
        <f>VLOOKUP($C488,'2000 Place'!$C$2:$Y$523,8,FALSE)</f>
        <v>574</v>
      </c>
      <c r="H488">
        <f>VLOOKUP($C488,'2000 Place'!$C$2:$Y$523,9,FALSE)</f>
        <v>40</v>
      </c>
      <c r="I488">
        <f>VLOOKUP($C488,'2000 Place'!$C$2:$Y$523,10,FALSE)</f>
        <v>21</v>
      </c>
      <c r="J488">
        <f>VLOOKUP($C488,'2000 Place'!$C$2:$Y$523,11,FALSE)</f>
        <v>0</v>
      </c>
      <c r="K488">
        <f>VLOOKUP($C488,'2000 Place'!$C$2:$Y$523,12,FALSE)</f>
        <v>15</v>
      </c>
      <c r="L488">
        <f>VLOOKUP($C488,'2000 Place'!$C$2:$Y$523,13,FALSE)</f>
        <v>0</v>
      </c>
      <c r="M488">
        <f>VLOOKUP($C488,'2000 Place'!$C$2:$Y$523,14,FALSE)</f>
        <v>13</v>
      </c>
      <c r="N488">
        <f>VLOOKUP($C488,'2000 Place'!$C$2:$Y$523,15,FALSE)</f>
        <v>0</v>
      </c>
      <c r="O488">
        <f>VLOOKUP($C488,'2000 Place'!$C$2:$Y$523,16,FALSE)</f>
        <v>19</v>
      </c>
      <c r="P488">
        <f>VLOOKUP($C488,'2000 Place'!$C$2:$Y$523,17,FALSE)</f>
        <v>21</v>
      </c>
      <c r="Q488">
        <f>VLOOKUP($C488,'2000 Place'!$C$2:$Y$523,18,FALSE)</f>
        <v>0</v>
      </c>
      <c r="R488">
        <f>VLOOKUP($C488,'2000 Place'!$C$2:$Y$523,19,FALSE)</f>
        <v>0</v>
      </c>
      <c r="S488">
        <f>VLOOKUP($C488,'2000 Place'!$C$2:$Y$523,20,FALSE)</f>
        <v>5</v>
      </c>
      <c r="T488">
        <f>VLOOKUP($C488,'2000 Place'!$C$2:$Y$523,21,FALSE)</f>
        <v>0</v>
      </c>
      <c r="U488">
        <f>VLOOKUP($C488,'2000 Place'!$C$2:$Y$523,22,FALSE)</f>
        <v>29</v>
      </c>
      <c r="V488">
        <f>VLOOKUP($C488,'2000 Place'!$C$2:$Y$523,23,FALSE)</f>
        <v>5</v>
      </c>
    </row>
    <row r="489" spans="1:22" x14ac:dyDescent="0.25">
      <c r="A489" t="s">
        <v>1222</v>
      </c>
      <c r="B489">
        <v>5360580</v>
      </c>
      <c r="C489" t="s">
        <v>1223</v>
      </c>
      <c r="D489" t="e">
        <f>VLOOKUP($C489,'2000 Place'!$C$2:$Y$523,5,FALSE)</f>
        <v>#N/A</v>
      </c>
      <c r="E489" t="e">
        <f>VLOOKUP($C489,'2000 Place'!$C$2:$Y$523,6,FALSE)</f>
        <v>#N/A</v>
      </c>
      <c r="F489" t="e">
        <f>VLOOKUP($C489,'2000 Place'!$C$2:$Y$523,7,FALSE)</f>
        <v>#N/A</v>
      </c>
      <c r="G489" t="e">
        <f>VLOOKUP($C489,'2000 Place'!$C$2:$Y$523,8,FALSE)</f>
        <v>#N/A</v>
      </c>
      <c r="H489" t="e">
        <f>VLOOKUP($C489,'2000 Place'!$C$2:$Y$523,9,FALSE)</f>
        <v>#N/A</v>
      </c>
      <c r="I489" t="e">
        <f>VLOOKUP($C489,'2000 Place'!$C$2:$Y$523,10,FALSE)</f>
        <v>#N/A</v>
      </c>
      <c r="J489" t="e">
        <f>VLOOKUP($C489,'2000 Place'!$C$2:$Y$523,11,FALSE)</f>
        <v>#N/A</v>
      </c>
      <c r="K489" t="e">
        <f>VLOOKUP($C489,'2000 Place'!$C$2:$Y$523,12,FALSE)</f>
        <v>#N/A</v>
      </c>
      <c r="L489" t="e">
        <f>VLOOKUP($C489,'2000 Place'!$C$2:$Y$523,13,FALSE)</f>
        <v>#N/A</v>
      </c>
      <c r="M489" t="e">
        <f>VLOOKUP($C489,'2000 Place'!$C$2:$Y$523,14,FALSE)</f>
        <v>#N/A</v>
      </c>
      <c r="N489" t="e">
        <f>VLOOKUP($C489,'2000 Place'!$C$2:$Y$523,15,FALSE)</f>
        <v>#N/A</v>
      </c>
      <c r="O489" t="e">
        <f>VLOOKUP($C489,'2000 Place'!$C$2:$Y$523,16,FALSE)</f>
        <v>#N/A</v>
      </c>
      <c r="P489" t="e">
        <f>VLOOKUP($C489,'2000 Place'!$C$2:$Y$523,17,FALSE)</f>
        <v>#N/A</v>
      </c>
      <c r="Q489" t="e">
        <f>VLOOKUP($C489,'2000 Place'!$C$2:$Y$523,18,FALSE)</f>
        <v>#N/A</v>
      </c>
      <c r="R489" t="e">
        <f>VLOOKUP($C489,'2000 Place'!$C$2:$Y$523,19,FALSE)</f>
        <v>#N/A</v>
      </c>
      <c r="S489" t="e">
        <f>VLOOKUP($C489,'2000 Place'!$C$2:$Y$523,20,FALSE)</f>
        <v>#N/A</v>
      </c>
      <c r="T489" t="e">
        <f>VLOOKUP($C489,'2000 Place'!$C$2:$Y$523,21,FALSE)</f>
        <v>#N/A</v>
      </c>
      <c r="U489" t="e">
        <f>VLOOKUP($C489,'2000 Place'!$C$2:$Y$523,22,FALSE)</f>
        <v>#N/A</v>
      </c>
      <c r="V489" t="e">
        <f>VLOOKUP($C489,'2000 Place'!$C$2:$Y$523,23,FALSE)</f>
        <v>#N/A</v>
      </c>
    </row>
    <row r="490" spans="1:22" x14ac:dyDescent="0.25">
      <c r="A490" t="s">
        <v>1224</v>
      </c>
      <c r="B490">
        <v>5360860</v>
      </c>
      <c r="C490" t="s">
        <v>1225</v>
      </c>
      <c r="D490">
        <f>VLOOKUP($C490,'2000 Place'!$C$2:$Y$523,5,FALSE)</f>
        <v>568</v>
      </c>
      <c r="E490">
        <f>VLOOKUP($C490,'2000 Place'!$C$2:$Y$523,6,FALSE)</f>
        <v>556</v>
      </c>
      <c r="F490">
        <f>VLOOKUP($C490,'2000 Place'!$C$2:$Y$523,7,FALSE)</f>
        <v>12</v>
      </c>
      <c r="G490">
        <f>VLOOKUP($C490,'2000 Place'!$C$2:$Y$523,8,FALSE)</f>
        <v>533</v>
      </c>
      <c r="H490">
        <f>VLOOKUP($C490,'2000 Place'!$C$2:$Y$523,9,FALSE)</f>
        <v>6</v>
      </c>
      <c r="I490">
        <f>VLOOKUP($C490,'2000 Place'!$C$2:$Y$523,10,FALSE)</f>
        <v>16</v>
      </c>
      <c r="J490">
        <f>VLOOKUP($C490,'2000 Place'!$C$2:$Y$523,11,FALSE)</f>
        <v>0</v>
      </c>
      <c r="K490">
        <f>VLOOKUP($C490,'2000 Place'!$C$2:$Y$523,12,FALSE)</f>
        <v>0</v>
      </c>
      <c r="L490">
        <f>VLOOKUP($C490,'2000 Place'!$C$2:$Y$523,13,FALSE)</f>
        <v>0</v>
      </c>
      <c r="M490">
        <f>VLOOKUP($C490,'2000 Place'!$C$2:$Y$523,14,FALSE)</f>
        <v>0</v>
      </c>
      <c r="N490">
        <f>VLOOKUP($C490,'2000 Place'!$C$2:$Y$523,15,FALSE)</f>
        <v>0</v>
      </c>
      <c r="O490">
        <f>VLOOKUP($C490,'2000 Place'!$C$2:$Y$523,16,FALSE)</f>
        <v>0</v>
      </c>
      <c r="P490">
        <f>VLOOKUP($C490,'2000 Place'!$C$2:$Y$523,17,FALSE)</f>
        <v>6</v>
      </c>
      <c r="Q490">
        <f>VLOOKUP($C490,'2000 Place'!$C$2:$Y$523,18,FALSE)</f>
        <v>0</v>
      </c>
      <c r="R490">
        <f>VLOOKUP($C490,'2000 Place'!$C$2:$Y$523,19,FALSE)</f>
        <v>0</v>
      </c>
      <c r="S490">
        <f>VLOOKUP($C490,'2000 Place'!$C$2:$Y$523,20,FALSE)</f>
        <v>0</v>
      </c>
      <c r="T490">
        <f>VLOOKUP($C490,'2000 Place'!$C$2:$Y$523,21,FALSE)</f>
        <v>0</v>
      </c>
      <c r="U490">
        <f>VLOOKUP($C490,'2000 Place'!$C$2:$Y$523,22,FALSE)</f>
        <v>7</v>
      </c>
      <c r="V490">
        <f>VLOOKUP($C490,'2000 Place'!$C$2:$Y$523,23,FALSE)</f>
        <v>0</v>
      </c>
    </row>
    <row r="491" spans="1:22" x14ac:dyDescent="0.25">
      <c r="A491" t="s">
        <v>1226</v>
      </c>
      <c r="B491">
        <v>5361000</v>
      </c>
      <c r="C491" t="s">
        <v>1227</v>
      </c>
      <c r="D491">
        <f>VLOOKUP($C491,'2000 Place'!$C$2:$Y$523,5,FALSE)</f>
        <v>16730</v>
      </c>
      <c r="E491">
        <f>VLOOKUP($C491,'2000 Place'!$C$2:$Y$523,6,FALSE)</f>
        <v>15522</v>
      </c>
      <c r="F491">
        <f>VLOOKUP($C491,'2000 Place'!$C$2:$Y$523,7,FALSE)</f>
        <v>1208</v>
      </c>
      <c r="G491">
        <f>VLOOKUP($C491,'2000 Place'!$C$2:$Y$523,8,FALSE)</f>
        <v>14397</v>
      </c>
      <c r="H491">
        <f>VLOOKUP($C491,'2000 Place'!$C$2:$Y$523,9,FALSE)</f>
        <v>412</v>
      </c>
      <c r="I491">
        <f>VLOOKUP($C491,'2000 Place'!$C$2:$Y$523,10,FALSE)</f>
        <v>316</v>
      </c>
      <c r="J491">
        <f>VLOOKUP($C491,'2000 Place'!$C$2:$Y$523,11,FALSE)</f>
        <v>240</v>
      </c>
      <c r="K491">
        <f>VLOOKUP($C491,'2000 Place'!$C$2:$Y$523,12,FALSE)</f>
        <v>185</v>
      </c>
      <c r="L491">
        <f>VLOOKUP($C491,'2000 Place'!$C$2:$Y$523,13,FALSE)</f>
        <v>30</v>
      </c>
      <c r="M491">
        <f>VLOOKUP($C491,'2000 Place'!$C$2:$Y$523,14,FALSE)</f>
        <v>65</v>
      </c>
      <c r="N491">
        <f>VLOOKUP($C491,'2000 Place'!$C$2:$Y$523,15,FALSE)</f>
        <v>42</v>
      </c>
      <c r="O491">
        <f>VLOOKUP($C491,'2000 Place'!$C$2:$Y$523,16,FALSE)</f>
        <v>101</v>
      </c>
      <c r="P491">
        <f>VLOOKUP($C491,'2000 Place'!$C$2:$Y$523,17,FALSE)</f>
        <v>377</v>
      </c>
      <c r="Q491">
        <f>VLOOKUP($C491,'2000 Place'!$C$2:$Y$523,18,FALSE)</f>
        <v>27</v>
      </c>
      <c r="R491">
        <f>VLOOKUP($C491,'2000 Place'!$C$2:$Y$523,19,FALSE)</f>
        <v>0</v>
      </c>
      <c r="S491">
        <f>VLOOKUP($C491,'2000 Place'!$C$2:$Y$523,20,FALSE)</f>
        <v>68</v>
      </c>
      <c r="T491">
        <f>VLOOKUP($C491,'2000 Place'!$C$2:$Y$523,21,FALSE)</f>
        <v>34</v>
      </c>
      <c r="U491">
        <f>VLOOKUP($C491,'2000 Place'!$C$2:$Y$523,22,FALSE)</f>
        <v>363</v>
      </c>
      <c r="V491">
        <f>VLOOKUP($C491,'2000 Place'!$C$2:$Y$523,23,FALSE)</f>
        <v>73</v>
      </c>
    </row>
    <row r="492" spans="1:22" x14ac:dyDescent="0.25">
      <c r="A492" t="s">
        <v>1228</v>
      </c>
      <c r="B492">
        <v>5361115</v>
      </c>
      <c r="C492" t="s">
        <v>1229</v>
      </c>
      <c r="D492">
        <f>VLOOKUP($C492,'2000 Place'!$C$2:$Y$523,5,FALSE)</f>
        <v>34119</v>
      </c>
      <c r="E492">
        <f>VLOOKUP($C492,'2000 Place'!$C$2:$Y$523,6,FALSE)</f>
        <v>30279</v>
      </c>
      <c r="F492">
        <f>VLOOKUP($C492,'2000 Place'!$C$2:$Y$523,7,FALSE)</f>
        <v>3840</v>
      </c>
      <c r="G492">
        <f>VLOOKUP($C492,'2000 Place'!$C$2:$Y$523,8,FALSE)</f>
        <v>27472</v>
      </c>
      <c r="H492">
        <f>VLOOKUP($C492,'2000 Place'!$C$2:$Y$523,9,FALSE)</f>
        <v>1825</v>
      </c>
      <c r="I492">
        <f>VLOOKUP($C492,'2000 Place'!$C$2:$Y$523,10,FALSE)</f>
        <v>442</v>
      </c>
      <c r="J492">
        <f>VLOOKUP($C492,'2000 Place'!$C$2:$Y$523,11,FALSE)</f>
        <v>71</v>
      </c>
      <c r="K492">
        <f>VLOOKUP($C492,'2000 Place'!$C$2:$Y$523,12,FALSE)</f>
        <v>173</v>
      </c>
      <c r="L492">
        <f>VLOOKUP($C492,'2000 Place'!$C$2:$Y$523,13,FALSE)</f>
        <v>21</v>
      </c>
      <c r="M492">
        <f>VLOOKUP($C492,'2000 Place'!$C$2:$Y$523,14,FALSE)</f>
        <v>135</v>
      </c>
      <c r="N492">
        <f>VLOOKUP($C492,'2000 Place'!$C$2:$Y$523,15,FALSE)</f>
        <v>10</v>
      </c>
      <c r="O492">
        <f>VLOOKUP($C492,'2000 Place'!$C$2:$Y$523,16,FALSE)</f>
        <v>924</v>
      </c>
      <c r="P492">
        <f>VLOOKUP($C492,'2000 Place'!$C$2:$Y$523,17,FALSE)</f>
        <v>1606</v>
      </c>
      <c r="Q492">
        <f>VLOOKUP($C492,'2000 Place'!$C$2:$Y$523,18,FALSE)</f>
        <v>38</v>
      </c>
      <c r="R492">
        <f>VLOOKUP($C492,'2000 Place'!$C$2:$Y$523,19,FALSE)</f>
        <v>20</v>
      </c>
      <c r="S492">
        <f>VLOOKUP($C492,'2000 Place'!$C$2:$Y$523,20,FALSE)</f>
        <v>198</v>
      </c>
      <c r="T492">
        <f>VLOOKUP($C492,'2000 Place'!$C$2:$Y$523,21,FALSE)</f>
        <v>57</v>
      </c>
      <c r="U492">
        <f>VLOOKUP($C492,'2000 Place'!$C$2:$Y$523,22,FALSE)</f>
        <v>897</v>
      </c>
      <c r="V492">
        <f>VLOOKUP($C492,'2000 Place'!$C$2:$Y$523,23,FALSE)</f>
        <v>230</v>
      </c>
    </row>
    <row r="493" spans="1:22" x14ac:dyDescent="0.25">
      <c r="A493" t="s">
        <v>1230</v>
      </c>
      <c r="B493">
        <v>5361235</v>
      </c>
      <c r="C493" t="s">
        <v>1231</v>
      </c>
      <c r="D493" t="e">
        <f>VLOOKUP($C493,'2000 Place'!$C$2:$Y$523,5,FALSE)</f>
        <v>#N/A</v>
      </c>
      <c r="E493" t="e">
        <f>VLOOKUP($C493,'2000 Place'!$C$2:$Y$523,6,FALSE)</f>
        <v>#N/A</v>
      </c>
      <c r="F493" t="e">
        <f>VLOOKUP($C493,'2000 Place'!$C$2:$Y$523,7,FALSE)</f>
        <v>#N/A</v>
      </c>
      <c r="G493" t="e">
        <f>VLOOKUP($C493,'2000 Place'!$C$2:$Y$523,8,FALSE)</f>
        <v>#N/A</v>
      </c>
      <c r="H493" t="e">
        <f>VLOOKUP($C493,'2000 Place'!$C$2:$Y$523,9,FALSE)</f>
        <v>#N/A</v>
      </c>
      <c r="I493" t="e">
        <f>VLOOKUP($C493,'2000 Place'!$C$2:$Y$523,10,FALSE)</f>
        <v>#N/A</v>
      </c>
      <c r="J493" t="e">
        <f>VLOOKUP($C493,'2000 Place'!$C$2:$Y$523,11,FALSE)</f>
        <v>#N/A</v>
      </c>
      <c r="K493" t="e">
        <f>VLOOKUP($C493,'2000 Place'!$C$2:$Y$523,12,FALSE)</f>
        <v>#N/A</v>
      </c>
      <c r="L493" t="e">
        <f>VLOOKUP($C493,'2000 Place'!$C$2:$Y$523,13,FALSE)</f>
        <v>#N/A</v>
      </c>
      <c r="M493" t="e">
        <f>VLOOKUP($C493,'2000 Place'!$C$2:$Y$523,14,FALSE)</f>
        <v>#N/A</v>
      </c>
      <c r="N493" t="e">
        <f>VLOOKUP($C493,'2000 Place'!$C$2:$Y$523,15,FALSE)</f>
        <v>#N/A</v>
      </c>
      <c r="O493" t="e">
        <f>VLOOKUP($C493,'2000 Place'!$C$2:$Y$523,16,FALSE)</f>
        <v>#N/A</v>
      </c>
      <c r="P493" t="e">
        <f>VLOOKUP($C493,'2000 Place'!$C$2:$Y$523,17,FALSE)</f>
        <v>#N/A</v>
      </c>
      <c r="Q493" t="e">
        <f>VLOOKUP($C493,'2000 Place'!$C$2:$Y$523,18,FALSE)</f>
        <v>#N/A</v>
      </c>
      <c r="R493" t="e">
        <f>VLOOKUP($C493,'2000 Place'!$C$2:$Y$523,19,FALSE)</f>
        <v>#N/A</v>
      </c>
      <c r="S493" t="e">
        <f>VLOOKUP($C493,'2000 Place'!$C$2:$Y$523,20,FALSE)</f>
        <v>#N/A</v>
      </c>
      <c r="T493" t="e">
        <f>VLOOKUP($C493,'2000 Place'!$C$2:$Y$523,21,FALSE)</f>
        <v>#N/A</v>
      </c>
      <c r="U493" t="e">
        <f>VLOOKUP($C493,'2000 Place'!$C$2:$Y$523,22,FALSE)</f>
        <v>#N/A</v>
      </c>
      <c r="V493" t="e">
        <f>VLOOKUP($C493,'2000 Place'!$C$2:$Y$523,23,FALSE)</f>
        <v>#N/A</v>
      </c>
    </row>
    <row r="494" spans="1:22" x14ac:dyDescent="0.25">
      <c r="A494" t="s">
        <v>1232</v>
      </c>
      <c r="B494">
        <v>5361350</v>
      </c>
      <c r="C494" t="s">
        <v>1233</v>
      </c>
      <c r="D494">
        <f>VLOOKUP($C494,'2000 Place'!$C$2:$Y$523,5,FALSE)</f>
        <v>648</v>
      </c>
      <c r="E494">
        <f>VLOOKUP($C494,'2000 Place'!$C$2:$Y$523,6,FALSE)</f>
        <v>645</v>
      </c>
      <c r="F494">
        <f>VLOOKUP($C494,'2000 Place'!$C$2:$Y$523,7,FALSE)</f>
        <v>3</v>
      </c>
      <c r="G494">
        <f>VLOOKUP($C494,'2000 Place'!$C$2:$Y$523,8,FALSE)</f>
        <v>632</v>
      </c>
      <c r="H494">
        <f>VLOOKUP($C494,'2000 Place'!$C$2:$Y$523,9,FALSE)</f>
        <v>2</v>
      </c>
      <c r="I494">
        <f>VLOOKUP($C494,'2000 Place'!$C$2:$Y$523,10,FALSE)</f>
        <v>3</v>
      </c>
      <c r="J494">
        <f>VLOOKUP($C494,'2000 Place'!$C$2:$Y$523,11,FALSE)</f>
        <v>0</v>
      </c>
      <c r="K494">
        <f>VLOOKUP($C494,'2000 Place'!$C$2:$Y$523,12,FALSE)</f>
        <v>0</v>
      </c>
      <c r="L494">
        <f>VLOOKUP($C494,'2000 Place'!$C$2:$Y$523,13,FALSE)</f>
        <v>0</v>
      </c>
      <c r="M494">
        <f>VLOOKUP($C494,'2000 Place'!$C$2:$Y$523,14,FALSE)</f>
        <v>7</v>
      </c>
      <c r="N494">
        <f>VLOOKUP($C494,'2000 Place'!$C$2:$Y$523,15,FALSE)</f>
        <v>0</v>
      </c>
      <c r="O494">
        <f>VLOOKUP($C494,'2000 Place'!$C$2:$Y$523,16,FALSE)</f>
        <v>0</v>
      </c>
      <c r="P494">
        <f>VLOOKUP($C494,'2000 Place'!$C$2:$Y$523,17,FALSE)</f>
        <v>1</v>
      </c>
      <c r="Q494">
        <f>VLOOKUP($C494,'2000 Place'!$C$2:$Y$523,18,FALSE)</f>
        <v>0</v>
      </c>
      <c r="R494">
        <f>VLOOKUP($C494,'2000 Place'!$C$2:$Y$523,19,FALSE)</f>
        <v>0</v>
      </c>
      <c r="S494">
        <f>VLOOKUP($C494,'2000 Place'!$C$2:$Y$523,20,FALSE)</f>
        <v>0</v>
      </c>
      <c r="T494">
        <f>VLOOKUP($C494,'2000 Place'!$C$2:$Y$523,21,FALSE)</f>
        <v>0</v>
      </c>
      <c r="U494">
        <f>VLOOKUP($C494,'2000 Place'!$C$2:$Y$523,22,FALSE)</f>
        <v>3</v>
      </c>
      <c r="V494">
        <f>VLOOKUP($C494,'2000 Place'!$C$2:$Y$523,23,FALSE)</f>
        <v>0</v>
      </c>
    </row>
    <row r="495" spans="1:22" x14ac:dyDescent="0.25">
      <c r="A495" t="s">
        <v>1234</v>
      </c>
      <c r="B495">
        <v>5362120</v>
      </c>
      <c r="C495" t="s">
        <v>1235</v>
      </c>
      <c r="D495" t="e">
        <f>VLOOKUP($C495,'2000 Place'!$C$2:$Y$523,5,FALSE)</f>
        <v>#N/A</v>
      </c>
      <c r="E495" t="e">
        <f>VLOOKUP($C495,'2000 Place'!$C$2:$Y$523,6,FALSE)</f>
        <v>#N/A</v>
      </c>
      <c r="F495" t="e">
        <f>VLOOKUP($C495,'2000 Place'!$C$2:$Y$523,7,FALSE)</f>
        <v>#N/A</v>
      </c>
      <c r="G495" t="e">
        <f>VLOOKUP($C495,'2000 Place'!$C$2:$Y$523,8,FALSE)</f>
        <v>#N/A</v>
      </c>
      <c r="H495" t="e">
        <f>VLOOKUP($C495,'2000 Place'!$C$2:$Y$523,9,FALSE)</f>
        <v>#N/A</v>
      </c>
      <c r="I495" t="e">
        <f>VLOOKUP($C495,'2000 Place'!$C$2:$Y$523,10,FALSE)</f>
        <v>#N/A</v>
      </c>
      <c r="J495" t="e">
        <f>VLOOKUP($C495,'2000 Place'!$C$2:$Y$523,11,FALSE)</f>
        <v>#N/A</v>
      </c>
      <c r="K495" t="e">
        <f>VLOOKUP($C495,'2000 Place'!$C$2:$Y$523,12,FALSE)</f>
        <v>#N/A</v>
      </c>
      <c r="L495" t="e">
        <f>VLOOKUP($C495,'2000 Place'!$C$2:$Y$523,13,FALSE)</f>
        <v>#N/A</v>
      </c>
      <c r="M495" t="e">
        <f>VLOOKUP($C495,'2000 Place'!$C$2:$Y$523,14,FALSE)</f>
        <v>#N/A</v>
      </c>
      <c r="N495" t="e">
        <f>VLOOKUP($C495,'2000 Place'!$C$2:$Y$523,15,FALSE)</f>
        <v>#N/A</v>
      </c>
      <c r="O495" t="e">
        <f>VLOOKUP($C495,'2000 Place'!$C$2:$Y$523,16,FALSE)</f>
        <v>#N/A</v>
      </c>
      <c r="P495" t="e">
        <f>VLOOKUP($C495,'2000 Place'!$C$2:$Y$523,17,FALSE)</f>
        <v>#N/A</v>
      </c>
      <c r="Q495" t="e">
        <f>VLOOKUP($C495,'2000 Place'!$C$2:$Y$523,18,FALSE)</f>
        <v>#N/A</v>
      </c>
      <c r="R495" t="e">
        <f>VLOOKUP($C495,'2000 Place'!$C$2:$Y$523,19,FALSE)</f>
        <v>#N/A</v>
      </c>
      <c r="S495" t="e">
        <f>VLOOKUP($C495,'2000 Place'!$C$2:$Y$523,20,FALSE)</f>
        <v>#N/A</v>
      </c>
      <c r="T495" t="e">
        <f>VLOOKUP($C495,'2000 Place'!$C$2:$Y$523,21,FALSE)</f>
        <v>#N/A</v>
      </c>
      <c r="U495" t="e">
        <f>VLOOKUP($C495,'2000 Place'!$C$2:$Y$523,22,FALSE)</f>
        <v>#N/A</v>
      </c>
      <c r="V495" t="e">
        <f>VLOOKUP($C495,'2000 Place'!$C$2:$Y$523,23,FALSE)</f>
        <v>#N/A</v>
      </c>
    </row>
    <row r="496" spans="1:22" x14ac:dyDescent="0.25">
      <c r="A496" t="s">
        <v>1236</v>
      </c>
      <c r="B496">
        <v>5362288</v>
      </c>
      <c r="C496" t="s">
        <v>1237</v>
      </c>
      <c r="D496">
        <f>VLOOKUP($C496,'2000 Place'!$C$2:$Y$523,5,FALSE)</f>
        <v>25523</v>
      </c>
      <c r="E496">
        <f>VLOOKUP($C496,'2000 Place'!$C$2:$Y$523,6,FALSE)</f>
        <v>19278</v>
      </c>
      <c r="F496">
        <f>VLOOKUP($C496,'2000 Place'!$C$2:$Y$523,7,FALSE)</f>
        <v>6245</v>
      </c>
      <c r="G496">
        <f>VLOOKUP($C496,'2000 Place'!$C$2:$Y$523,8,FALSE)</f>
        <v>13584</v>
      </c>
      <c r="H496">
        <f>VLOOKUP($C496,'2000 Place'!$C$2:$Y$523,9,FALSE)</f>
        <v>826</v>
      </c>
      <c r="I496">
        <f>VLOOKUP($C496,'2000 Place'!$C$2:$Y$523,10,FALSE)</f>
        <v>789</v>
      </c>
      <c r="J496">
        <f>VLOOKUP($C496,'2000 Place'!$C$2:$Y$523,11,FALSE)</f>
        <v>689</v>
      </c>
      <c r="K496">
        <f>VLOOKUP($C496,'2000 Place'!$C$2:$Y$523,12,FALSE)</f>
        <v>1639</v>
      </c>
      <c r="L496">
        <f>VLOOKUP($C496,'2000 Place'!$C$2:$Y$523,13,FALSE)</f>
        <v>749</v>
      </c>
      <c r="M496">
        <f>VLOOKUP($C496,'2000 Place'!$C$2:$Y$523,14,FALSE)</f>
        <v>316</v>
      </c>
      <c r="N496">
        <f>VLOOKUP($C496,'2000 Place'!$C$2:$Y$523,15,FALSE)</f>
        <v>20</v>
      </c>
      <c r="O496">
        <f>VLOOKUP($C496,'2000 Place'!$C$2:$Y$523,16,FALSE)</f>
        <v>818</v>
      </c>
      <c r="P496">
        <f>VLOOKUP($C496,'2000 Place'!$C$2:$Y$523,17,FALSE)</f>
        <v>2127</v>
      </c>
      <c r="Q496">
        <f>VLOOKUP($C496,'2000 Place'!$C$2:$Y$523,18,FALSE)</f>
        <v>218</v>
      </c>
      <c r="R496">
        <f>VLOOKUP($C496,'2000 Place'!$C$2:$Y$523,19,FALSE)</f>
        <v>396</v>
      </c>
      <c r="S496">
        <f>VLOOKUP($C496,'2000 Place'!$C$2:$Y$523,20,FALSE)</f>
        <v>644</v>
      </c>
      <c r="T496">
        <f>VLOOKUP($C496,'2000 Place'!$C$2:$Y$523,21,FALSE)</f>
        <v>1081</v>
      </c>
      <c r="U496">
        <f>VLOOKUP($C496,'2000 Place'!$C$2:$Y$523,22,FALSE)</f>
        <v>1270</v>
      </c>
      <c r="V496">
        <f>VLOOKUP($C496,'2000 Place'!$C$2:$Y$523,23,FALSE)</f>
        <v>357</v>
      </c>
    </row>
    <row r="497" spans="1:22" x14ac:dyDescent="0.25">
      <c r="A497" t="s">
        <v>1238</v>
      </c>
      <c r="B497">
        <v>5363000</v>
      </c>
      <c r="C497" t="s">
        <v>1239</v>
      </c>
      <c r="D497">
        <f>VLOOKUP($C497,'2000 Place'!$C$2:$Y$523,5,FALSE)</f>
        <v>563375</v>
      </c>
      <c r="E497">
        <f>VLOOKUP($C497,'2000 Place'!$C$2:$Y$523,6,FALSE)</f>
        <v>458764</v>
      </c>
      <c r="F497">
        <f>VLOOKUP($C497,'2000 Place'!$C$2:$Y$523,7,FALSE)</f>
        <v>104611</v>
      </c>
      <c r="G497">
        <f>VLOOKUP($C497,'2000 Place'!$C$2:$Y$523,8,FALSE)</f>
        <v>353925</v>
      </c>
      <c r="H497">
        <f>VLOOKUP($C497,'2000 Place'!$C$2:$Y$523,9,FALSE)</f>
        <v>28245</v>
      </c>
      <c r="I497">
        <f>VLOOKUP($C497,'2000 Place'!$C$2:$Y$523,10,FALSE)</f>
        <v>7262</v>
      </c>
      <c r="J497">
        <f>VLOOKUP($C497,'2000 Place'!$C$2:$Y$523,11,FALSE)</f>
        <v>5086</v>
      </c>
      <c r="K497">
        <f>VLOOKUP($C497,'2000 Place'!$C$2:$Y$523,12,FALSE)</f>
        <v>40512</v>
      </c>
      <c r="L497">
        <f>VLOOKUP($C497,'2000 Place'!$C$2:$Y$523,13,FALSE)</f>
        <v>6204</v>
      </c>
      <c r="M497">
        <f>VLOOKUP($C497,'2000 Place'!$C$2:$Y$523,14,FALSE)</f>
        <v>5129</v>
      </c>
      <c r="N497">
        <f>VLOOKUP($C497,'2000 Place'!$C$2:$Y$523,15,FALSE)</f>
        <v>516</v>
      </c>
      <c r="O497">
        <f>VLOOKUP($C497,'2000 Place'!$C$2:$Y$523,16,FALSE)</f>
        <v>23103</v>
      </c>
      <c r="P497">
        <f>VLOOKUP($C497,'2000 Place'!$C$2:$Y$523,17,FALSE)</f>
        <v>50746</v>
      </c>
      <c r="Q497">
        <f>VLOOKUP($C497,'2000 Place'!$C$2:$Y$523,18,FALSE)</f>
        <v>1456</v>
      </c>
      <c r="R497">
        <f>VLOOKUP($C497,'2000 Place'!$C$2:$Y$523,19,FALSE)</f>
        <v>1058</v>
      </c>
      <c r="S497">
        <f>VLOOKUP($C497,'2000 Place'!$C$2:$Y$523,20,FALSE)</f>
        <v>6748</v>
      </c>
      <c r="T497">
        <f>VLOOKUP($C497,'2000 Place'!$C$2:$Y$523,21,FALSE)</f>
        <v>6248</v>
      </c>
      <c r="U497">
        <f>VLOOKUP($C497,'2000 Place'!$C$2:$Y$523,22,FALSE)</f>
        <v>20629</v>
      </c>
      <c r="V497">
        <f>VLOOKUP($C497,'2000 Place'!$C$2:$Y$523,23,FALSE)</f>
        <v>6508</v>
      </c>
    </row>
    <row r="498" spans="1:22" x14ac:dyDescent="0.25">
      <c r="A498" t="s">
        <v>1240</v>
      </c>
      <c r="B498">
        <v>5363210</v>
      </c>
      <c r="C498" t="s">
        <v>1241</v>
      </c>
      <c r="D498">
        <f>VLOOKUP($C498,'2000 Place'!$C$2:$Y$523,5,FALSE)</f>
        <v>8698</v>
      </c>
      <c r="E498">
        <f>VLOOKUP($C498,'2000 Place'!$C$2:$Y$523,6,FALSE)</f>
        <v>8257</v>
      </c>
      <c r="F498">
        <f>VLOOKUP($C498,'2000 Place'!$C$2:$Y$523,7,FALSE)</f>
        <v>441</v>
      </c>
      <c r="G498">
        <f>VLOOKUP($C498,'2000 Place'!$C$2:$Y$523,8,FALSE)</f>
        <v>7678</v>
      </c>
      <c r="H498">
        <f>VLOOKUP($C498,'2000 Place'!$C$2:$Y$523,9,FALSE)</f>
        <v>186</v>
      </c>
      <c r="I498">
        <f>VLOOKUP($C498,'2000 Place'!$C$2:$Y$523,10,FALSE)</f>
        <v>295</v>
      </c>
      <c r="J498">
        <f>VLOOKUP($C498,'2000 Place'!$C$2:$Y$523,11,FALSE)</f>
        <v>51</v>
      </c>
      <c r="K498">
        <f>VLOOKUP($C498,'2000 Place'!$C$2:$Y$523,12,FALSE)</f>
        <v>17</v>
      </c>
      <c r="L498">
        <f>VLOOKUP($C498,'2000 Place'!$C$2:$Y$523,13,FALSE)</f>
        <v>0</v>
      </c>
      <c r="M498">
        <f>VLOOKUP($C498,'2000 Place'!$C$2:$Y$523,14,FALSE)</f>
        <v>21</v>
      </c>
      <c r="N498">
        <f>VLOOKUP($C498,'2000 Place'!$C$2:$Y$523,15,FALSE)</f>
        <v>0</v>
      </c>
      <c r="O498">
        <f>VLOOKUP($C498,'2000 Place'!$C$2:$Y$523,16,FALSE)</f>
        <v>7</v>
      </c>
      <c r="P498">
        <f>VLOOKUP($C498,'2000 Place'!$C$2:$Y$523,17,FALSE)</f>
        <v>39</v>
      </c>
      <c r="Q498">
        <f>VLOOKUP($C498,'2000 Place'!$C$2:$Y$523,18,FALSE)</f>
        <v>0</v>
      </c>
      <c r="R498">
        <f>VLOOKUP($C498,'2000 Place'!$C$2:$Y$523,19,FALSE)</f>
        <v>0</v>
      </c>
      <c r="S498">
        <f>VLOOKUP($C498,'2000 Place'!$C$2:$Y$523,20,FALSE)</f>
        <v>97</v>
      </c>
      <c r="T498">
        <f>VLOOKUP($C498,'2000 Place'!$C$2:$Y$523,21,FALSE)</f>
        <v>155</v>
      </c>
      <c r="U498">
        <f>VLOOKUP($C498,'2000 Place'!$C$2:$Y$523,22,FALSE)</f>
        <v>142</v>
      </c>
      <c r="V498">
        <f>VLOOKUP($C498,'2000 Place'!$C$2:$Y$523,23,FALSE)</f>
        <v>10</v>
      </c>
    </row>
    <row r="499" spans="1:22" x14ac:dyDescent="0.25">
      <c r="A499" t="s">
        <v>1242</v>
      </c>
      <c r="B499">
        <v>5363245</v>
      </c>
      <c r="C499" t="s">
        <v>1243</v>
      </c>
      <c r="D499" t="e">
        <f>VLOOKUP($C499,'2000 Place'!$C$2:$Y$523,5,FALSE)</f>
        <v>#N/A</v>
      </c>
      <c r="E499" t="e">
        <f>VLOOKUP($C499,'2000 Place'!$C$2:$Y$523,6,FALSE)</f>
        <v>#N/A</v>
      </c>
      <c r="F499" t="e">
        <f>VLOOKUP($C499,'2000 Place'!$C$2:$Y$523,7,FALSE)</f>
        <v>#N/A</v>
      </c>
      <c r="G499" t="e">
        <f>VLOOKUP($C499,'2000 Place'!$C$2:$Y$523,8,FALSE)</f>
        <v>#N/A</v>
      </c>
      <c r="H499" t="e">
        <f>VLOOKUP($C499,'2000 Place'!$C$2:$Y$523,9,FALSE)</f>
        <v>#N/A</v>
      </c>
      <c r="I499" t="e">
        <f>VLOOKUP($C499,'2000 Place'!$C$2:$Y$523,10,FALSE)</f>
        <v>#N/A</v>
      </c>
      <c r="J499" t="e">
        <f>VLOOKUP($C499,'2000 Place'!$C$2:$Y$523,11,FALSE)</f>
        <v>#N/A</v>
      </c>
      <c r="K499" t="e">
        <f>VLOOKUP($C499,'2000 Place'!$C$2:$Y$523,12,FALSE)</f>
        <v>#N/A</v>
      </c>
      <c r="L499" t="e">
        <f>VLOOKUP($C499,'2000 Place'!$C$2:$Y$523,13,FALSE)</f>
        <v>#N/A</v>
      </c>
      <c r="M499" t="e">
        <f>VLOOKUP($C499,'2000 Place'!$C$2:$Y$523,14,FALSE)</f>
        <v>#N/A</v>
      </c>
      <c r="N499" t="e">
        <f>VLOOKUP($C499,'2000 Place'!$C$2:$Y$523,15,FALSE)</f>
        <v>#N/A</v>
      </c>
      <c r="O499" t="e">
        <f>VLOOKUP($C499,'2000 Place'!$C$2:$Y$523,16,FALSE)</f>
        <v>#N/A</v>
      </c>
      <c r="P499" t="e">
        <f>VLOOKUP($C499,'2000 Place'!$C$2:$Y$523,17,FALSE)</f>
        <v>#N/A</v>
      </c>
      <c r="Q499" t="e">
        <f>VLOOKUP($C499,'2000 Place'!$C$2:$Y$523,18,FALSE)</f>
        <v>#N/A</v>
      </c>
      <c r="R499" t="e">
        <f>VLOOKUP($C499,'2000 Place'!$C$2:$Y$523,19,FALSE)</f>
        <v>#N/A</v>
      </c>
      <c r="S499" t="e">
        <f>VLOOKUP($C499,'2000 Place'!$C$2:$Y$523,20,FALSE)</f>
        <v>#N/A</v>
      </c>
      <c r="T499" t="e">
        <f>VLOOKUP($C499,'2000 Place'!$C$2:$Y$523,21,FALSE)</f>
        <v>#N/A</v>
      </c>
      <c r="U499" t="e">
        <f>VLOOKUP($C499,'2000 Place'!$C$2:$Y$523,22,FALSE)</f>
        <v>#N/A</v>
      </c>
      <c r="V499" t="e">
        <f>VLOOKUP($C499,'2000 Place'!$C$2:$Y$523,23,FALSE)</f>
        <v>#N/A</v>
      </c>
    </row>
    <row r="500" spans="1:22" x14ac:dyDescent="0.25">
      <c r="A500" t="s">
        <v>1244</v>
      </c>
      <c r="B500">
        <v>5363280</v>
      </c>
      <c r="C500" t="s">
        <v>1245</v>
      </c>
      <c r="D500">
        <f>VLOOKUP($C500,'2000 Place'!$C$2:$Y$523,5,FALSE)</f>
        <v>6413</v>
      </c>
      <c r="E500">
        <f>VLOOKUP($C500,'2000 Place'!$C$2:$Y$523,6,FALSE)</f>
        <v>6105</v>
      </c>
      <c r="F500">
        <f>VLOOKUP($C500,'2000 Place'!$C$2:$Y$523,7,FALSE)</f>
        <v>308</v>
      </c>
      <c r="G500">
        <f>VLOOKUP($C500,'2000 Place'!$C$2:$Y$523,8,FALSE)</f>
        <v>5379</v>
      </c>
      <c r="H500">
        <f>VLOOKUP($C500,'2000 Place'!$C$2:$Y$523,9,FALSE)</f>
        <v>76</v>
      </c>
      <c r="I500">
        <f>VLOOKUP($C500,'2000 Place'!$C$2:$Y$523,10,FALSE)</f>
        <v>181</v>
      </c>
      <c r="J500">
        <f>VLOOKUP($C500,'2000 Place'!$C$2:$Y$523,11,FALSE)</f>
        <v>48</v>
      </c>
      <c r="K500">
        <f>VLOOKUP($C500,'2000 Place'!$C$2:$Y$523,12,FALSE)</f>
        <v>15</v>
      </c>
      <c r="L500">
        <f>VLOOKUP($C500,'2000 Place'!$C$2:$Y$523,13,FALSE)</f>
        <v>12</v>
      </c>
      <c r="M500">
        <f>VLOOKUP($C500,'2000 Place'!$C$2:$Y$523,14,FALSE)</f>
        <v>7</v>
      </c>
      <c r="N500">
        <f>VLOOKUP($C500,'2000 Place'!$C$2:$Y$523,15,FALSE)</f>
        <v>0</v>
      </c>
      <c r="O500">
        <f>VLOOKUP($C500,'2000 Place'!$C$2:$Y$523,16,FALSE)</f>
        <v>0</v>
      </c>
      <c r="P500">
        <f>VLOOKUP($C500,'2000 Place'!$C$2:$Y$523,17,FALSE)</f>
        <v>0</v>
      </c>
      <c r="Q500">
        <f>VLOOKUP($C500,'2000 Place'!$C$2:$Y$523,18,FALSE)</f>
        <v>0</v>
      </c>
      <c r="R500">
        <f>VLOOKUP($C500,'2000 Place'!$C$2:$Y$523,19,FALSE)</f>
        <v>0</v>
      </c>
      <c r="S500">
        <f>VLOOKUP($C500,'2000 Place'!$C$2:$Y$523,20,FALSE)</f>
        <v>225</v>
      </c>
      <c r="T500">
        <f>VLOOKUP($C500,'2000 Place'!$C$2:$Y$523,21,FALSE)</f>
        <v>172</v>
      </c>
      <c r="U500">
        <f>VLOOKUP($C500,'2000 Place'!$C$2:$Y$523,22,FALSE)</f>
        <v>298</v>
      </c>
      <c r="V500">
        <f>VLOOKUP($C500,'2000 Place'!$C$2:$Y$523,23,FALSE)</f>
        <v>0</v>
      </c>
    </row>
    <row r="501" spans="1:22" x14ac:dyDescent="0.25">
      <c r="A501" t="s">
        <v>1246</v>
      </c>
      <c r="B501">
        <v>5363385</v>
      </c>
      <c r="C501" t="s">
        <v>1247</v>
      </c>
      <c r="D501">
        <f>VLOOKUP($C501,'2000 Place'!$C$2:$Y$523,5,FALSE)</f>
        <v>4323</v>
      </c>
      <c r="E501">
        <f>VLOOKUP($C501,'2000 Place'!$C$2:$Y$523,6,FALSE)</f>
        <v>3929</v>
      </c>
      <c r="F501">
        <f>VLOOKUP($C501,'2000 Place'!$C$2:$Y$523,7,FALSE)</f>
        <v>394</v>
      </c>
      <c r="G501">
        <f>VLOOKUP($C501,'2000 Place'!$C$2:$Y$523,8,FALSE)</f>
        <v>3664</v>
      </c>
      <c r="H501">
        <f>VLOOKUP($C501,'2000 Place'!$C$2:$Y$523,9,FALSE)</f>
        <v>285</v>
      </c>
      <c r="I501">
        <f>VLOOKUP($C501,'2000 Place'!$C$2:$Y$523,10,FALSE)</f>
        <v>77</v>
      </c>
      <c r="J501">
        <f>VLOOKUP($C501,'2000 Place'!$C$2:$Y$523,11,FALSE)</f>
        <v>15</v>
      </c>
      <c r="K501">
        <f>VLOOKUP($C501,'2000 Place'!$C$2:$Y$523,12,FALSE)</f>
        <v>0</v>
      </c>
      <c r="L501">
        <f>VLOOKUP($C501,'2000 Place'!$C$2:$Y$523,13,FALSE)</f>
        <v>0</v>
      </c>
      <c r="M501">
        <f>VLOOKUP($C501,'2000 Place'!$C$2:$Y$523,14,FALSE)</f>
        <v>44</v>
      </c>
      <c r="N501">
        <f>VLOOKUP($C501,'2000 Place'!$C$2:$Y$523,15,FALSE)</f>
        <v>0</v>
      </c>
      <c r="O501">
        <f>VLOOKUP($C501,'2000 Place'!$C$2:$Y$523,16,FALSE)</f>
        <v>47</v>
      </c>
      <c r="P501">
        <f>VLOOKUP($C501,'2000 Place'!$C$2:$Y$523,17,FALSE)</f>
        <v>63</v>
      </c>
      <c r="Q501">
        <f>VLOOKUP($C501,'2000 Place'!$C$2:$Y$523,18,FALSE)</f>
        <v>0</v>
      </c>
      <c r="R501">
        <f>VLOOKUP($C501,'2000 Place'!$C$2:$Y$523,19,FALSE)</f>
        <v>0</v>
      </c>
      <c r="S501">
        <f>VLOOKUP($C501,'2000 Place'!$C$2:$Y$523,20,FALSE)</f>
        <v>41</v>
      </c>
      <c r="T501">
        <f>VLOOKUP($C501,'2000 Place'!$C$2:$Y$523,21,FALSE)</f>
        <v>31</v>
      </c>
      <c r="U501">
        <f>VLOOKUP($C501,'2000 Place'!$C$2:$Y$523,22,FALSE)</f>
        <v>56</v>
      </c>
      <c r="V501">
        <f>VLOOKUP($C501,'2000 Place'!$C$2:$Y$523,23,FALSE)</f>
        <v>0</v>
      </c>
    </row>
    <row r="502" spans="1:22" x14ac:dyDescent="0.25">
      <c r="A502" t="s">
        <v>1248</v>
      </c>
      <c r="B502">
        <v>5363545</v>
      </c>
      <c r="C502" t="s">
        <v>1249</v>
      </c>
      <c r="D502" t="e">
        <f>VLOOKUP($C502,'2000 Place'!$C$2:$Y$523,5,FALSE)</f>
        <v>#N/A</v>
      </c>
      <c r="E502" t="e">
        <f>VLOOKUP($C502,'2000 Place'!$C$2:$Y$523,6,FALSE)</f>
        <v>#N/A</v>
      </c>
      <c r="F502" t="e">
        <f>VLOOKUP($C502,'2000 Place'!$C$2:$Y$523,7,FALSE)</f>
        <v>#N/A</v>
      </c>
      <c r="G502" t="e">
        <f>VLOOKUP($C502,'2000 Place'!$C$2:$Y$523,8,FALSE)</f>
        <v>#N/A</v>
      </c>
      <c r="H502" t="e">
        <f>VLOOKUP($C502,'2000 Place'!$C$2:$Y$523,9,FALSE)</f>
        <v>#N/A</v>
      </c>
      <c r="I502" t="e">
        <f>VLOOKUP($C502,'2000 Place'!$C$2:$Y$523,10,FALSE)</f>
        <v>#N/A</v>
      </c>
      <c r="J502" t="e">
        <f>VLOOKUP($C502,'2000 Place'!$C$2:$Y$523,11,FALSE)</f>
        <v>#N/A</v>
      </c>
      <c r="K502" t="e">
        <f>VLOOKUP($C502,'2000 Place'!$C$2:$Y$523,12,FALSE)</f>
        <v>#N/A</v>
      </c>
      <c r="L502" t="e">
        <f>VLOOKUP($C502,'2000 Place'!$C$2:$Y$523,13,FALSE)</f>
        <v>#N/A</v>
      </c>
      <c r="M502" t="e">
        <f>VLOOKUP($C502,'2000 Place'!$C$2:$Y$523,14,FALSE)</f>
        <v>#N/A</v>
      </c>
      <c r="N502" t="e">
        <f>VLOOKUP($C502,'2000 Place'!$C$2:$Y$523,15,FALSE)</f>
        <v>#N/A</v>
      </c>
      <c r="O502" t="e">
        <f>VLOOKUP($C502,'2000 Place'!$C$2:$Y$523,16,FALSE)</f>
        <v>#N/A</v>
      </c>
      <c r="P502" t="e">
        <f>VLOOKUP($C502,'2000 Place'!$C$2:$Y$523,17,FALSE)</f>
        <v>#N/A</v>
      </c>
      <c r="Q502" t="e">
        <f>VLOOKUP($C502,'2000 Place'!$C$2:$Y$523,18,FALSE)</f>
        <v>#N/A</v>
      </c>
      <c r="R502" t="e">
        <f>VLOOKUP($C502,'2000 Place'!$C$2:$Y$523,19,FALSE)</f>
        <v>#N/A</v>
      </c>
      <c r="S502" t="e">
        <f>VLOOKUP($C502,'2000 Place'!$C$2:$Y$523,20,FALSE)</f>
        <v>#N/A</v>
      </c>
      <c r="T502" t="e">
        <f>VLOOKUP($C502,'2000 Place'!$C$2:$Y$523,21,FALSE)</f>
        <v>#N/A</v>
      </c>
      <c r="U502" t="e">
        <f>VLOOKUP($C502,'2000 Place'!$C$2:$Y$523,22,FALSE)</f>
        <v>#N/A</v>
      </c>
      <c r="V502" t="e">
        <f>VLOOKUP($C502,'2000 Place'!$C$2:$Y$523,23,FALSE)</f>
        <v>#N/A</v>
      </c>
    </row>
    <row r="503" spans="1:22" x14ac:dyDescent="0.25">
      <c r="A503" t="s">
        <v>1250</v>
      </c>
      <c r="B503">
        <v>5363735</v>
      </c>
      <c r="C503" t="s">
        <v>1251</v>
      </c>
      <c r="D503">
        <f>VLOOKUP($C503,'2000 Place'!$C$2:$Y$523,5,FALSE)</f>
        <v>8422</v>
      </c>
      <c r="E503">
        <f>VLOOKUP($C503,'2000 Place'!$C$2:$Y$523,6,FALSE)</f>
        <v>7582</v>
      </c>
      <c r="F503">
        <f>VLOOKUP($C503,'2000 Place'!$C$2:$Y$523,7,FALSE)</f>
        <v>840</v>
      </c>
      <c r="G503">
        <f>VLOOKUP($C503,'2000 Place'!$C$2:$Y$523,8,FALSE)</f>
        <v>6616</v>
      </c>
      <c r="H503">
        <f>VLOOKUP($C503,'2000 Place'!$C$2:$Y$523,9,FALSE)</f>
        <v>182</v>
      </c>
      <c r="I503">
        <f>VLOOKUP($C503,'2000 Place'!$C$2:$Y$523,10,FALSE)</f>
        <v>196</v>
      </c>
      <c r="J503">
        <f>VLOOKUP($C503,'2000 Place'!$C$2:$Y$523,11,FALSE)</f>
        <v>204</v>
      </c>
      <c r="K503">
        <f>VLOOKUP($C503,'2000 Place'!$C$2:$Y$523,12,FALSE)</f>
        <v>8</v>
      </c>
      <c r="L503">
        <f>VLOOKUP($C503,'2000 Place'!$C$2:$Y$523,13,FALSE)</f>
        <v>6</v>
      </c>
      <c r="M503">
        <f>VLOOKUP($C503,'2000 Place'!$C$2:$Y$523,14,FALSE)</f>
        <v>183</v>
      </c>
      <c r="N503">
        <f>VLOOKUP($C503,'2000 Place'!$C$2:$Y$523,15,FALSE)</f>
        <v>0</v>
      </c>
      <c r="O503">
        <f>VLOOKUP($C503,'2000 Place'!$C$2:$Y$523,16,FALSE)</f>
        <v>39</v>
      </c>
      <c r="P503">
        <f>VLOOKUP($C503,'2000 Place'!$C$2:$Y$523,17,FALSE)</f>
        <v>53</v>
      </c>
      <c r="Q503">
        <f>VLOOKUP($C503,'2000 Place'!$C$2:$Y$523,18,FALSE)</f>
        <v>66</v>
      </c>
      <c r="R503">
        <f>VLOOKUP($C503,'2000 Place'!$C$2:$Y$523,19,FALSE)</f>
        <v>15</v>
      </c>
      <c r="S503">
        <f>VLOOKUP($C503,'2000 Place'!$C$2:$Y$523,20,FALSE)</f>
        <v>194</v>
      </c>
      <c r="T503">
        <f>VLOOKUP($C503,'2000 Place'!$C$2:$Y$523,21,FALSE)</f>
        <v>320</v>
      </c>
      <c r="U503">
        <f>VLOOKUP($C503,'2000 Place'!$C$2:$Y$523,22,FALSE)</f>
        <v>280</v>
      </c>
      <c r="V503">
        <f>VLOOKUP($C503,'2000 Place'!$C$2:$Y$523,23,FALSE)</f>
        <v>60</v>
      </c>
    </row>
    <row r="504" spans="1:22" x14ac:dyDescent="0.25">
      <c r="A504" t="s">
        <v>1252</v>
      </c>
      <c r="B504">
        <v>5363960</v>
      </c>
      <c r="C504" t="s">
        <v>1253</v>
      </c>
      <c r="D504">
        <f>VLOOKUP($C504,'2000 Place'!$C$2:$Y$523,5,FALSE)</f>
        <v>52954</v>
      </c>
      <c r="E504">
        <f>VLOOKUP($C504,'2000 Place'!$C$2:$Y$523,6,FALSE)</f>
        <v>43331</v>
      </c>
      <c r="F504">
        <f>VLOOKUP($C504,'2000 Place'!$C$2:$Y$523,7,FALSE)</f>
        <v>9623</v>
      </c>
      <c r="G504">
        <f>VLOOKUP($C504,'2000 Place'!$C$2:$Y$523,8,FALSE)</f>
        <v>36920</v>
      </c>
      <c r="H504">
        <f>VLOOKUP($C504,'2000 Place'!$C$2:$Y$523,9,FALSE)</f>
        <v>3021</v>
      </c>
      <c r="I504">
        <f>VLOOKUP($C504,'2000 Place'!$C$2:$Y$523,10,FALSE)</f>
        <v>476</v>
      </c>
      <c r="J504">
        <f>VLOOKUP($C504,'2000 Place'!$C$2:$Y$523,11,FALSE)</f>
        <v>209</v>
      </c>
      <c r="K504">
        <f>VLOOKUP($C504,'2000 Place'!$C$2:$Y$523,12,FALSE)</f>
        <v>1103</v>
      </c>
      <c r="L504">
        <f>VLOOKUP($C504,'2000 Place'!$C$2:$Y$523,13,FALSE)</f>
        <v>341</v>
      </c>
      <c r="M504">
        <f>VLOOKUP($C504,'2000 Place'!$C$2:$Y$523,14,FALSE)</f>
        <v>517</v>
      </c>
      <c r="N504">
        <f>VLOOKUP($C504,'2000 Place'!$C$2:$Y$523,15,FALSE)</f>
        <v>35</v>
      </c>
      <c r="O504">
        <f>VLOOKUP($C504,'2000 Place'!$C$2:$Y$523,16,FALSE)</f>
        <v>1697</v>
      </c>
      <c r="P504">
        <f>VLOOKUP($C504,'2000 Place'!$C$2:$Y$523,17,FALSE)</f>
        <v>4916</v>
      </c>
      <c r="Q504">
        <f>VLOOKUP($C504,'2000 Place'!$C$2:$Y$523,18,FALSE)</f>
        <v>49</v>
      </c>
      <c r="R504">
        <f>VLOOKUP($C504,'2000 Place'!$C$2:$Y$523,19,FALSE)</f>
        <v>154</v>
      </c>
      <c r="S504">
        <f>VLOOKUP($C504,'2000 Place'!$C$2:$Y$523,20,FALSE)</f>
        <v>457</v>
      </c>
      <c r="T504">
        <f>VLOOKUP($C504,'2000 Place'!$C$2:$Y$523,21,FALSE)</f>
        <v>539</v>
      </c>
      <c r="U504">
        <f>VLOOKUP($C504,'2000 Place'!$C$2:$Y$523,22,FALSE)</f>
        <v>2112</v>
      </c>
      <c r="V504">
        <f>VLOOKUP($C504,'2000 Place'!$C$2:$Y$523,23,FALSE)</f>
        <v>408</v>
      </c>
    </row>
    <row r="505" spans="1:22" x14ac:dyDescent="0.25">
      <c r="A505" t="s">
        <v>1254</v>
      </c>
      <c r="B505">
        <v>5364190</v>
      </c>
      <c r="C505" t="s">
        <v>1255</v>
      </c>
      <c r="D505">
        <f>VLOOKUP($C505,'2000 Place'!$C$2:$Y$523,5,FALSE)</f>
        <v>96</v>
      </c>
      <c r="E505">
        <f>VLOOKUP($C505,'2000 Place'!$C$2:$Y$523,6,FALSE)</f>
        <v>96</v>
      </c>
      <c r="F505">
        <f>VLOOKUP($C505,'2000 Place'!$C$2:$Y$523,7,FALSE)</f>
        <v>0</v>
      </c>
      <c r="G505">
        <f>VLOOKUP($C505,'2000 Place'!$C$2:$Y$523,8,FALSE)</f>
        <v>51</v>
      </c>
      <c r="H505">
        <f>VLOOKUP($C505,'2000 Place'!$C$2:$Y$523,9,FALSE)</f>
        <v>0</v>
      </c>
      <c r="I505">
        <f>VLOOKUP($C505,'2000 Place'!$C$2:$Y$523,10,FALSE)</f>
        <v>0</v>
      </c>
      <c r="J505">
        <f>VLOOKUP($C505,'2000 Place'!$C$2:$Y$523,11,FALSE)</f>
        <v>0</v>
      </c>
      <c r="K505">
        <f>VLOOKUP($C505,'2000 Place'!$C$2:$Y$523,12,FALSE)</f>
        <v>0</v>
      </c>
      <c r="L505">
        <f>VLOOKUP($C505,'2000 Place'!$C$2:$Y$523,13,FALSE)</f>
        <v>0</v>
      </c>
      <c r="M505">
        <f>VLOOKUP($C505,'2000 Place'!$C$2:$Y$523,14,FALSE)</f>
        <v>45</v>
      </c>
      <c r="N505">
        <f>VLOOKUP($C505,'2000 Place'!$C$2:$Y$523,15,FALSE)</f>
        <v>0</v>
      </c>
      <c r="O505">
        <f>VLOOKUP($C505,'2000 Place'!$C$2:$Y$523,16,FALSE)</f>
        <v>0</v>
      </c>
      <c r="P505">
        <f>VLOOKUP($C505,'2000 Place'!$C$2:$Y$523,17,FALSE)</f>
        <v>0</v>
      </c>
      <c r="Q505">
        <f>VLOOKUP($C505,'2000 Place'!$C$2:$Y$523,18,FALSE)</f>
        <v>0</v>
      </c>
      <c r="R505">
        <f>VLOOKUP($C505,'2000 Place'!$C$2:$Y$523,19,FALSE)</f>
        <v>0</v>
      </c>
      <c r="S505">
        <f>VLOOKUP($C505,'2000 Place'!$C$2:$Y$523,20,FALSE)</f>
        <v>0</v>
      </c>
      <c r="T505">
        <f>VLOOKUP($C505,'2000 Place'!$C$2:$Y$523,21,FALSE)</f>
        <v>0</v>
      </c>
      <c r="U505">
        <f>VLOOKUP($C505,'2000 Place'!$C$2:$Y$523,22,FALSE)</f>
        <v>0</v>
      </c>
      <c r="V505">
        <f>VLOOKUP($C505,'2000 Place'!$C$2:$Y$523,23,FALSE)</f>
        <v>0</v>
      </c>
    </row>
    <row r="506" spans="1:22" x14ac:dyDescent="0.25">
      <c r="A506" t="s">
        <v>1256</v>
      </c>
      <c r="B506">
        <v>5364365</v>
      </c>
      <c r="C506" t="s">
        <v>1257</v>
      </c>
      <c r="D506">
        <f>VLOOKUP($C506,'2000 Place'!$C$2:$Y$523,5,FALSE)</f>
        <v>15768</v>
      </c>
      <c r="E506">
        <f>VLOOKUP($C506,'2000 Place'!$C$2:$Y$523,6,FALSE)</f>
        <v>13509</v>
      </c>
      <c r="F506">
        <f>VLOOKUP($C506,'2000 Place'!$C$2:$Y$523,7,FALSE)</f>
        <v>2259</v>
      </c>
      <c r="G506">
        <f>VLOOKUP($C506,'2000 Place'!$C$2:$Y$523,8,FALSE)</f>
        <v>11371</v>
      </c>
      <c r="H506">
        <f>VLOOKUP($C506,'2000 Place'!$C$2:$Y$523,9,FALSE)</f>
        <v>530</v>
      </c>
      <c r="I506">
        <f>VLOOKUP($C506,'2000 Place'!$C$2:$Y$523,10,FALSE)</f>
        <v>225</v>
      </c>
      <c r="J506">
        <f>VLOOKUP($C506,'2000 Place'!$C$2:$Y$523,11,FALSE)</f>
        <v>52</v>
      </c>
      <c r="K506">
        <f>VLOOKUP($C506,'2000 Place'!$C$2:$Y$523,12,FALSE)</f>
        <v>476</v>
      </c>
      <c r="L506">
        <f>VLOOKUP($C506,'2000 Place'!$C$2:$Y$523,13,FALSE)</f>
        <v>47</v>
      </c>
      <c r="M506">
        <f>VLOOKUP($C506,'2000 Place'!$C$2:$Y$523,14,FALSE)</f>
        <v>85</v>
      </c>
      <c r="N506">
        <f>VLOOKUP($C506,'2000 Place'!$C$2:$Y$523,15,FALSE)</f>
        <v>4</v>
      </c>
      <c r="O506">
        <f>VLOOKUP($C506,'2000 Place'!$C$2:$Y$523,16,FALSE)</f>
        <v>497</v>
      </c>
      <c r="P506">
        <f>VLOOKUP($C506,'2000 Place'!$C$2:$Y$523,17,FALSE)</f>
        <v>1254</v>
      </c>
      <c r="Q506">
        <f>VLOOKUP($C506,'2000 Place'!$C$2:$Y$523,18,FALSE)</f>
        <v>53</v>
      </c>
      <c r="R506">
        <f>VLOOKUP($C506,'2000 Place'!$C$2:$Y$523,19,FALSE)</f>
        <v>109</v>
      </c>
      <c r="S506">
        <f>VLOOKUP($C506,'2000 Place'!$C$2:$Y$523,20,FALSE)</f>
        <v>186</v>
      </c>
      <c r="T506">
        <f>VLOOKUP($C506,'2000 Place'!$C$2:$Y$523,21,FALSE)</f>
        <v>81</v>
      </c>
      <c r="U506">
        <f>VLOOKUP($C506,'2000 Place'!$C$2:$Y$523,22,FALSE)</f>
        <v>616</v>
      </c>
      <c r="V506">
        <f>VLOOKUP($C506,'2000 Place'!$C$2:$Y$523,23,FALSE)</f>
        <v>182</v>
      </c>
    </row>
    <row r="507" spans="1:22" x14ac:dyDescent="0.25">
      <c r="A507" t="s">
        <v>1258</v>
      </c>
      <c r="B507">
        <v>5364380</v>
      </c>
      <c r="C507" t="s">
        <v>1259</v>
      </c>
      <c r="D507" t="e">
        <f>VLOOKUP($C507,'2000 Place'!$C$2:$Y$523,5,FALSE)</f>
        <v>#N/A</v>
      </c>
      <c r="E507" t="e">
        <f>VLOOKUP($C507,'2000 Place'!$C$2:$Y$523,6,FALSE)</f>
        <v>#N/A</v>
      </c>
      <c r="F507" t="e">
        <f>VLOOKUP($C507,'2000 Place'!$C$2:$Y$523,7,FALSE)</f>
        <v>#N/A</v>
      </c>
      <c r="G507" t="e">
        <f>VLOOKUP($C507,'2000 Place'!$C$2:$Y$523,8,FALSE)</f>
        <v>#N/A</v>
      </c>
      <c r="H507" t="e">
        <f>VLOOKUP($C507,'2000 Place'!$C$2:$Y$523,9,FALSE)</f>
        <v>#N/A</v>
      </c>
      <c r="I507" t="e">
        <f>VLOOKUP($C507,'2000 Place'!$C$2:$Y$523,10,FALSE)</f>
        <v>#N/A</v>
      </c>
      <c r="J507" t="e">
        <f>VLOOKUP($C507,'2000 Place'!$C$2:$Y$523,11,FALSE)</f>
        <v>#N/A</v>
      </c>
      <c r="K507" t="e">
        <f>VLOOKUP($C507,'2000 Place'!$C$2:$Y$523,12,FALSE)</f>
        <v>#N/A</v>
      </c>
      <c r="L507" t="e">
        <f>VLOOKUP($C507,'2000 Place'!$C$2:$Y$523,13,FALSE)</f>
        <v>#N/A</v>
      </c>
      <c r="M507" t="e">
        <f>VLOOKUP($C507,'2000 Place'!$C$2:$Y$523,14,FALSE)</f>
        <v>#N/A</v>
      </c>
      <c r="N507" t="e">
        <f>VLOOKUP($C507,'2000 Place'!$C$2:$Y$523,15,FALSE)</f>
        <v>#N/A</v>
      </c>
      <c r="O507" t="e">
        <f>VLOOKUP($C507,'2000 Place'!$C$2:$Y$523,16,FALSE)</f>
        <v>#N/A</v>
      </c>
      <c r="P507" t="e">
        <f>VLOOKUP($C507,'2000 Place'!$C$2:$Y$523,17,FALSE)</f>
        <v>#N/A</v>
      </c>
      <c r="Q507" t="e">
        <f>VLOOKUP($C507,'2000 Place'!$C$2:$Y$523,18,FALSE)</f>
        <v>#N/A</v>
      </c>
      <c r="R507" t="e">
        <f>VLOOKUP($C507,'2000 Place'!$C$2:$Y$523,19,FALSE)</f>
        <v>#N/A</v>
      </c>
      <c r="S507" t="e">
        <f>VLOOKUP($C507,'2000 Place'!$C$2:$Y$523,20,FALSE)</f>
        <v>#N/A</v>
      </c>
      <c r="T507" t="e">
        <f>VLOOKUP($C507,'2000 Place'!$C$2:$Y$523,21,FALSE)</f>
        <v>#N/A</v>
      </c>
      <c r="U507" t="e">
        <f>VLOOKUP($C507,'2000 Place'!$C$2:$Y$523,22,FALSE)</f>
        <v>#N/A</v>
      </c>
      <c r="V507" t="e">
        <f>VLOOKUP($C507,'2000 Place'!$C$2:$Y$523,23,FALSE)</f>
        <v>#N/A</v>
      </c>
    </row>
    <row r="508" spans="1:22" x14ac:dyDescent="0.25">
      <c r="A508" t="s">
        <v>1260</v>
      </c>
      <c r="B508">
        <v>5364610</v>
      </c>
      <c r="C508" t="s">
        <v>1261</v>
      </c>
      <c r="D508" t="e">
        <f>VLOOKUP($C508,'2000 Place'!$C$2:$Y$523,5,FALSE)</f>
        <v>#N/A</v>
      </c>
      <c r="E508" t="e">
        <f>VLOOKUP($C508,'2000 Place'!$C$2:$Y$523,6,FALSE)</f>
        <v>#N/A</v>
      </c>
      <c r="F508" t="e">
        <f>VLOOKUP($C508,'2000 Place'!$C$2:$Y$523,7,FALSE)</f>
        <v>#N/A</v>
      </c>
      <c r="G508" t="e">
        <f>VLOOKUP($C508,'2000 Place'!$C$2:$Y$523,8,FALSE)</f>
        <v>#N/A</v>
      </c>
      <c r="H508" t="e">
        <f>VLOOKUP($C508,'2000 Place'!$C$2:$Y$523,9,FALSE)</f>
        <v>#N/A</v>
      </c>
      <c r="I508" t="e">
        <f>VLOOKUP($C508,'2000 Place'!$C$2:$Y$523,10,FALSE)</f>
        <v>#N/A</v>
      </c>
      <c r="J508" t="e">
        <f>VLOOKUP($C508,'2000 Place'!$C$2:$Y$523,11,FALSE)</f>
        <v>#N/A</v>
      </c>
      <c r="K508" t="e">
        <f>VLOOKUP($C508,'2000 Place'!$C$2:$Y$523,12,FALSE)</f>
        <v>#N/A</v>
      </c>
      <c r="L508" t="e">
        <f>VLOOKUP($C508,'2000 Place'!$C$2:$Y$523,13,FALSE)</f>
        <v>#N/A</v>
      </c>
      <c r="M508" t="e">
        <f>VLOOKUP($C508,'2000 Place'!$C$2:$Y$523,14,FALSE)</f>
        <v>#N/A</v>
      </c>
      <c r="N508" t="e">
        <f>VLOOKUP($C508,'2000 Place'!$C$2:$Y$523,15,FALSE)</f>
        <v>#N/A</v>
      </c>
      <c r="O508" t="e">
        <f>VLOOKUP($C508,'2000 Place'!$C$2:$Y$523,16,FALSE)</f>
        <v>#N/A</v>
      </c>
      <c r="P508" t="e">
        <f>VLOOKUP($C508,'2000 Place'!$C$2:$Y$523,17,FALSE)</f>
        <v>#N/A</v>
      </c>
      <c r="Q508" t="e">
        <f>VLOOKUP($C508,'2000 Place'!$C$2:$Y$523,18,FALSE)</f>
        <v>#N/A</v>
      </c>
      <c r="R508" t="e">
        <f>VLOOKUP($C508,'2000 Place'!$C$2:$Y$523,19,FALSE)</f>
        <v>#N/A</v>
      </c>
      <c r="S508" t="e">
        <f>VLOOKUP($C508,'2000 Place'!$C$2:$Y$523,20,FALSE)</f>
        <v>#N/A</v>
      </c>
      <c r="T508" t="e">
        <f>VLOOKUP($C508,'2000 Place'!$C$2:$Y$523,21,FALSE)</f>
        <v>#N/A</v>
      </c>
      <c r="U508" t="e">
        <f>VLOOKUP($C508,'2000 Place'!$C$2:$Y$523,22,FALSE)</f>
        <v>#N/A</v>
      </c>
      <c r="V508" t="e">
        <f>VLOOKUP($C508,'2000 Place'!$C$2:$Y$523,23,FALSE)</f>
        <v>#N/A</v>
      </c>
    </row>
    <row r="509" spans="1:22" x14ac:dyDescent="0.25">
      <c r="A509" t="s">
        <v>1262</v>
      </c>
      <c r="B509">
        <v>5364755</v>
      </c>
      <c r="C509" t="s">
        <v>1263</v>
      </c>
      <c r="D509" t="e">
        <f>VLOOKUP($C509,'2000 Place'!$C$2:$Y$523,5,FALSE)</f>
        <v>#N/A</v>
      </c>
      <c r="E509" t="e">
        <f>VLOOKUP($C509,'2000 Place'!$C$2:$Y$523,6,FALSE)</f>
        <v>#N/A</v>
      </c>
      <c r="F509" t="e">
        <f>VLOOKUP($C509,'2000 Place'!$C$2:$Y$523,7,FALSE)</f>
        <v>#N/A</v>
      </c>
      <c r="G509" t="e">
        <f>VLOOKUP($C509,'2000 Place'!$C$2:$Y$523,8,FALSE)</f>
        <v>#N/A</v>
      </c>
      <c r="H509" t="e">
        <f>VLOOKUP($C509,'2000 Place'!$C$2:$Y$523,9,FALSE)</f>
        <v>#N/A</v>
      </c>
      <c r="I509" t="e">
        <f>VLOOKUP($C509,'2000 Place'!$C$2:$Y$523,10,FALSE)</f>
        <v>#N/A</v>
      </c>
      <c r="J509" t="e">
        <f>VLOOKUP($C509,'2000 Place'!$C$2:$Y$523,11,FALSE)</f>
        <v>#N/A</v>
      </c>
      <c r="K509" t="e">
        <f>VLOOKUP($C509,'2000 Place'!$C$2:$Y$523,12,FALSE)</f>
        <v>#N/A</v>
      </c>
      <c r="L509" t="e">
        <f>VLOOKUP($C509,'2000 Place'!$C$2:$Y$523,13,FALSE)</f>
        <v>#N/A</v>
      </c>
      <c r="M509" t="e">
        <f>VLOOKUP($C509,'2000 Place'!$C$2:$Y$523,14,FALSE)</f>
        <v>#N/A</v>
      </c>
      <c r="N509" t="e">
        <f>VLOOKUP($C509,'2000 Place'!$C$2:$Y$523,15,FALSE)</f>
        <v>#N/A</v>
      </c>
      <c r="O509" t="e">
        <f>VLOOKUP($C509,'2000 Place'!$C$2:$Y$523,16,FALSE)</f>
        <v>#N/A</v>
      </c>
      <c r="P509" t="e">
        <f>VLOOKUP($C509,'2000 Place'!$C$2:$Y$523,17,FALSE)</f>
        <v>#N/A</v>
      </c>
      <c r="Q509" t="e">
        <f>VLOOKUP($C509,'2000 Place'!$C$2:$Y$523,18,FALSE)</f>
        <v>#N/A</v>
      </c>
      <c r="R509" t="e">
        <f>VLOOKUP($C509,'2000 Place'!$C$2:$Y$523,19,FALSE)</f>
        <v>#N/A</v>
      </c>
      <c r="S509" t="e">
        <f>VLOOKUP($C509,'2000 Place'!$C$2:$Y$523,20,FALSE)</f>
        <v>#N/A</v>
      </c>
      <c r="T509" t="e">
        <f>VLOOKUP($C509,'2000 Place'!$C$2:$Y$523,21,FALSE)</f>
        <v>#N/A</v>
      </c>
      <c r="U509" t="e">
        <f>VLOOKUP($C509,'2000 Place'!$C$2:$Y$523,22,FALSE)</f>
        <v>#N/A</v>
      </c>
      <c r="V509" t="e">
        <f>VLOOKUP($C509,'2000 Place'!$C$2:$Y$523,23,FALSE)</f>
        <v>#N/A</v>
      </c>
    </row>
    <row r="510" spans="1:22" x14ac:dyDescent="0.25">
      <c r="A510" t="s">
        <v>1264</v>
      </c>
      <c r="B510">
        <v>5364775</v>
      </c>
      <c r="C510" t="s">
        <v>1265</v>
      </c>
      <c r="D510">
        <f>VLOOKUP($C510,'2000 Place'!$C$2:$Y$523,5,FALSE)</f>
        <v>648</v>
      </c>
      <c r="E510">
        <f>VLOOKUP($C510,'2000 Place'!$C$2:$Y$523,6,FALSE)</f>
        <v>644</v>
      </c>
      <c r="F510">
        <f>VLOOKUP($C510,'2000 Place'!$C$2:$Y$523,7,FALSE)</f>
        <v>4</v>
      </c>
      <c r="G510">
        <f>VLOOKUP($C510,'2000 Place'!$C$2:$Y$523,8,FALSE)</f>
        <v>122</v>
      </c>
      <c r="H510">
        <f>VLOOKUP($C510,'2000 Place'!$C$2:$Y$523,9,FALSE)</f>
        <v>0</v>
      </c>
      <c r="I510">
        <f>VLOOKUP($C510,'2000 Place'!$C$2:$Y$523,10,FALSE)</f>
        <v>4</v>
      </c>
      <c r="J510">
        <f>VLOOKUP($C510,'2000 Place'!$C$2:$Y$523,11,FALSE)</f>
        <v>0</v>
      </c>
      <c r="K510">
        <f>VLOOKUP($C510,'2000 Place'!$C$2:$Y$523,12,FALSE)</f>
        <v>0</v>
      </c>
      <c r="L510">
        <f>VLOOKUP($C510,'2000 Place'!$C$2:$Y$523,13,FALSE)</f>
        <v>0</v>
      </c>
      <c r="M510">
        <f>VLOOKUP($C510,'2000 Place'!$C$2:$Y$523,14,FALSE)</f>
        <v>507</v>
      </c>
      <c r="N510">
        <f>VLOOKUP($C510,'2000 Place'!$C$2:$Y$523,15,FALSE)</f>
        <v>1</v>
      </c>
      <c r="O510">
        <f>VLOOKUP($C510,'2000 Place'!$C$2:$Y$523,16,FALSE)</f>
        <v>0</v>
      </c>
      <c r="P510">
        <f>VLOOKUP($C510,'2000 Place'!$C$2:$Y$523,17,FALSE)</f>
        <v>0</v>
      </c>
      <c r="Q510">
        <f>VLOOKUP($C510,'2000 Place'!$C$2:$Y$523,18,FALSE)</f>
        <v>0</v>
      </c>
      <c r="R510">
        <f>VLOOKUP($C510,'2000 Place'!$C$2:$Y$523,19,FALSE)</f>
        <v>3</v>
      </c>
      <c r="S510">
        <f>VLOOKUP($C510,'2000 Place'!$C$2:$Y$523,20,FALSE)</f>
        <v>0</v>
      </c>
      <c r="T510">
        <f>VLOOKUP($C510,'2000 Place'!$C$2:$Y$523,21,FALSE)</f>
        <v>0</v>
      </c>
      <c r="U510">
        <f>VLOOKUP($C510,'2000 Place'!$C$2:$Y$523,22,FALSE)</f>
        <v>11</v>
      </c>
      <c r="V510">
        <f>VLOOKUP($C510,'2000 Place'!$C$2:$Y$523,23,FALSE)</f>
        <v>0</v>
      </c>
    </row>
    <row r="511" spans="1:22" x14ac:dyDescent="0.25">
      <c r="A511" t="s">
        <v>1266</v>
      </c>
      <c r="B511">
        <v>5364855</v>
      </c>
      <c r="C511" t="s">
        <v>1267</v>
      </c>
      <c r="D511">
        <f>VLOOKUP($C511,'2000 Place'!$C$2:$Y$523,5,FALSE)</f>
        <v>212</v>
      </c>
      <c r="E511">
        <f>VLOOKUP($C511,'2000 Place'!$C$2:$Y$523,6,FALSE)</f>
        <v>204</v>
      </c>
      <c r="F511">
        <f>VLOOKUP($C511,'2000 Place'!$C$2:$Y$523,7,FALSE)</f>
        <v>8</v>
      </c>
      <c r="G511">
        <f>VLOOKUP($C511,'2000 Place'!$C$2:$Y$523,8,FALSE)</f>
        <v>202</v>
      </c>
      <c r="H511">
        <f>VLOOKUP($C511,'2000 Place'!$C$2:$Y$523,9,FALSE)</f>
        <v>8</v>
      </c>
      <c r="I511">
        <f>VLOOKUP($C511,'2000 Place'!$C$2:$Y$523,10,FALSE)</f>
        <v>0</v>
      </c>
      <c r="J511">
        <f>VLOOKUP($C511,'2000 Place'!$C$2:$Y$523,11,FALSE)</f>
        <v>0</v>
      </c>
      <c r="K511">
        <f>VLOOKUP($C511,'2000 Place'!$C$2:$Y$523,12,FALSE)</f>
        <v>0</v>
      </c>
      <c r="L511">
        <f>VLOOKUP($C511,'2000 Place'!$C$2:$Y$523,13,FALSE)</f>
        <v>0</v>
      </c>
      <c r="M511">
        <f>VLOOKUP($C511,'2000 Place'!$C$2:$Y$523,14,FALSE)</f>
        <v>0</v>
      </c>
      <c r="N511">
        <f>VLOOKUP($C511,'2000 Place'!$C$2:$Y$523,15,FALSE)</f>
        <v>0</v>
      </c>
      <c r="O511">
        <f>VLOOKUP($C511,'2000 Place'!$C$2:$Y$523,16,FALSE)</f>
        <v>0</v>
      </c>
      <c r="P511">
        <f>VLOOKUP($C511,'2000 Place'!$C$2:$Y$523,17,FALSE)</f>
        <v>0</v>
      </c>
      <c r="Q511">
        <f>VLOOKUP($C511,'2000 Place'!$C$2:$Y$523,18,FALSE)</f>
        <v>0</v>
      </c>
      <c r="R511">
        <f>VLOOKUP($C511,'2000 Place'!$C$2:$Y$523,19,FALSE)</f>
        <v>0</v>
      </c>
      <c r="S511">
        <f>VLOOKUP($C511,'2000 Place'!$C$2:$Y$523,20,FALSE)</f>
        <v>0</v>
      </c>
      <c r="T511">
        <f>VLOOKUP($C511,'2000 Place'!$C$2:$Y$523,21,FALSE)</f>
        <v>0</v>
      </c>
      <c r="U511">
        <f>VLOOKUP($C511,'2000 Place'!$C$2:$Y$523,22,FALSE)</f>
        <v>2</v>
      </c>
      <c r="V511">
        <f>VLOOKUP($C511,'2000 Place'!$C$2:$Y$523,23,FALSE)</f>
        <v>0</v>
      </c>
    </row>
    <row r="512" spans="1:22" x14ac:dyDescent="0.25">
      <c r="A512" t="s">
        <v>1268</v>
      </c>
      <c r="B512">
        <v>5365170</v>
      </c>
      <c r="C512" t="s">
        <v>1269</v>
      </c>
      <c r="D512">
        <f>VLOOKUP($C512,'2000 Place'!$C$2:$Y$523,5,FALSE)</f>
        <v>8454</v>
      </c>
      <c r="E512">
        <f>VLOOKUP($C512,'2000 Place'!$C$2:$Y$523,6,FALSE)</f>
        <v>7967</v>
      </c>
      <c r="F512">
        <f>VLOOKUP($C512,'2000 Place'!$C$2:$Y$523,7,FALSE)</f>
        <v>487</v>
      </c>
      <c r="G512">
        <f>VLOOKUP($C512,'2000 Place'!$C$2:$Y$523,8,FALSE)</f>
        <v>7450</v>
      </c>
      <c r="H512">
        <f>VLOOKUP($C512,'2000 Place'!$C$2:$Y$523,9,FALSE)</f>
        <v>190</v>
      </c>
      <c r="I512">
        <f>VLOOKUP($C512,'2000 Place'!$C$2:$Y$523,10,FALSE)</f>
        <v>95</v>
      </c>
      <c r="J512">
        <f>VLOOKUP($C512,'2000 Place'!$C$2:$Y$523,11,FALSE)</f>
        <v>140</v>
      </c>
      <c r="K512">
        <f>VLOOKUP($C512,'2000 Place'!$C$2:$Y$523,12,FALSE)</f>
        <v>23</v>
      </c>
      <c r="L512">
        <f>VLOOKUP($C512,'2000 Place'!$C$2:$Y$523,13,FALSE)</f>
        <v>5</v>
      </c>
      <c r="M512">
        <f>VLOOKUP($C512,'2000 Place'!$C$2:$Y$523,14,FALSE)</f>
        <v>59</v>
      </c>
      <c r="N512">
        <f>VLOOKUP($C512,'2000 Place'!$C$2:$Y$523,15,FALSE)</f>
        <v>0</v>
      </c>
      <c r="O512">
        <f>VLOOKUP($C512,'2000 Place'!$C$2:$Y$523,16,FALSE)</f>
        <v>11</v>
      </c>
      <c r="P512">
        <f>VLOOKUP($C512,'2000 Place'!$C$2:$Y$523,17,FALSE)</f>
        <v>89</v>
      </c>
      <c r="Q512">
        <f>VLOOKUP($C512,'2000 Place'!$C$2:$Y$523,18,FALSE)</f>
        <v>0</v>
      </c>
      <c r="R512">
        <f>VLOOKUP($C512,'2000 Place'!$C$2:$Y$523,19,FALSE)</f>
        <v>0</v>
      </c>
      <c r="S512">
        <f>VLOOKUP($C512,'2000 Place'!$C$2:$Y$523,20,FALSE)</f>
        <v>74</v>
      </c>
      <c r="T512">
        <f>VLOOKUP($C512,'2000 Place'!$C$2:$Y$523,21,FALSE)</f>
        <v>38</v>
      </c>
      <c r="U512">
        <f>VLOOKUP($C512,'2000 Place'!$C$2:$Y$523,22,FALSE)</f>
        <v>255</v>
      </c>
      <c r="V512">
        <f>VLOOKUP($C512,'2000 Place'!$C$2:$Y$523,23,FALSE)</f>
        <v>25</v>
      </c>
    </row>
    <row r="513" spans="1:22" x14ac:dyDescent="0.25">
      <c r="A513" t="s">
        <v>1270</v>
      </c>
      <c r="B513">
        <v>5365205</v>
      </c>
      <c r="C513" t="s">
        <v>1271</v>
      </c>
      <c r="D513">
        <f>VLOOKUP($C513,'2000 Place'!$C$2:$Y$523,5,FALSE)</f>
        <v>1659</v>
      </c>
      <c r="E513">
        <f>VLOOKUP($C513,'2000 Place'!$C$2:$Y$523,6,FALSE)</f>
        <v>1553</v>
      </c>
      <c r="F513">
        <f>VLOOKUP($C513,'2000 Place'!$C$2:$Y$523,7,FALSE)</f>
        <v>106</v>
      </c>
      <c r="G513">
        <f>VLOOKUP($C513,'2000 Place'!$C$2:$Y$523,8,FALSE)</f>
        <v>1356</v>
      </c>
      <c r="H513">
        <f>VLOOKUP($C513,'2000 Place'!$C$2:$Y$523,9,FALSE)</f>
        <v>50</v>
      </c>
      <c r="I513">
        <f>VLOOKUP($C513,'2000 Place'!$C$2:$Y$523,10,FALSE)</f>
        <v>40</v>
      </c>
      <c r="J513">
        <f>VLOOKUP($C513,'2000 Place'!$C$2:$Y$523,11,FALSE)</f>
        <v>0</v>
      </c>
      <c r="K513">
        <f>VLOOKUP($C513,'2000 Place'!$C$2:$Y$523,12,FALSE)</f>
        <v>0</v>
      </c>
      <c r="L513">
        <f>VLOOKUP($C513,'2000 Place'!$C$2:$Y$523,13,FALSE)</f>
        <v>0</v>
      </c>
      <c r="M513">
        <f>VLOOKUP($C513,'2000 Place'!$C$2:$Y$523,14,FALSE)</f>
        <v>67</v>
      </c>
      <c r="N513">
        <f>VLOOKUP($C513,'2000 Place'!$C$2:$Y$523,15,FALSE)</f>
        <v>0</v>
      </c>
      <c r="O513">
        <f>VLOOKUP($C513,'2000 Place'!$C$2:$Y$523,16,FALSE)</f>
        <v>12</v>
      </c>
      <c r="P513">
        <f>VLOOKUP($C513,'2000 Place'!$C$2:$Y$523,17,FALSE)</f>
        <v>36</v>
      </c>
      <c r="Q513">
        <f>VLOOKUP($C513,'2000 Place'!$C$2:$Y$523,18,FALSE)</f>
        <v>17</v>
      </c>
      <c r="R513">
        <f>VLOOKUP($C513,'2000 Place'!$C$2:$Y$523,19,FALSE)</f>
        <v>3</v>
      </c>
      <c r="S513">
        <f>VLOOKUP($C513,'2000 Place'!$C$2:$Y$523,20,FALSE)</f>
        <v>6</v>
      </c>
      <c r="T513">
        <f>VLOOKUP($C513,'2000 Place'!$C$2:$Y$523,21,FALSE)</f>
        <v>17</v>
      </c>
      <c r="U513">
        <f>VLOOKUP($C513,'2000 Place'!$C$2:$Y$523,22,FALSE)</f>
        <v>55</v>
      </c>
      <c r="V513">
        <f>VLOOKUP($C513,'2000 Place'!$C$2:$Y$523,23,FALSE)</f>
        <v>0</v>
      </c>
    </row>
    <row r="514" spans="1:22" x14ac:dyDescent="0.25">
      <c r="A514" t="s">
        <v>1272</v>
      </c>
      <c r="B514">
        <v>5365275</v>
      </c>
      <c r="C514" t="s">
        <v>1273</v>
      </c>
      <c r="D514">
        <f>VLOOKUP($C514,'2000 Place'!$C$2:$Y$523,5,FALSE)</f>
        <v>212</v>
      </c>
      <c r="E514">
        <f>VLOOKUP($C514,'2000 Place'!$C$2:$Y$523,6,FALSE)</f>
        <v>200</v>
      </c>
      <c r="F514">
        <f>VLOOKUP($C514,'2000 Place'!$C$2:$Y$523,7,FALSE)</f>
        <v>12</v>
      </c>
      <c r="G514">
        <f>VLOOKUP($C514,'2000 Place'!$C$2:$Y$523,8,FALSE)</f>
        <v>167</v>
      </c>
      <c r="H514">
        <f>VLOOKUP($C514,'2000 Place'!$C$2:$Y$523,9,FALSE)</f>
        <v>10</v>
      </c>
      <c r="I514">
        <f>VLOOKUP($C514,'2000 Place'!$C$2:$Y$523,10,FALSE)</f>
        <v>2</v>
      </c>
      <c r="J514">
        <f>VLOOKUP($C514,'2000 Place'!$C$2:$Y$523,11,FALSE)</f>
        <v>0</v>
      </c>
      <c r="K514">
        <f>VLOOKUP($C514,'2000 Place'!$C$2:$Y$523,12,FALSE)</f>
        <v>0</v>
      </c>
      <c r="L514">
        <f>VLOOKUP($C514,'2000 Place'!$C$2:$Y$523,13,FALSE)</f>
        <v>0</v>
      </c>
      <c r="M514">
        <f>VLOOKUP($C514,'2000 Place'!$C$2:$Y$523,14,FALSE)</f>
        <v>0</v>
      </c>
      <c r="N514">
        <f>VLOOKUP($C514,'2000 Place'!$C$2:$Y$523,15,FALSE)</f>
        <v>0</v>
      </c>
      <c r="O514">
        <f>VLOOKUP($C514,'2000 Place'!$C$2:$Y$523,16,FALSE)</f>
        <v>3</v>
      </c>
      <c r="P514">
        <f>VLOOKUP($C514,'2000 Place'!$C$2:$Y$523,17,FALSE)</f>
        <v>0</v>
      </c>
      <c r="Q514">
        <f>VLOOKUP($C514,'2000 Place'!$C$2:$Y$523,18,FALSE)</f>
        <v>3</v>
      </c>
      <c r="R514">
        <f>VLOOKUP($C514,'2000 Place'!$C$2:$Y$523,19,FALSE)</f>
        <v>2</v>
      </c>
      <c r="S514">
        <f>VLOOKUP($C514,'2000 Place'!$C$2:$Y$523,20,FALSE)</f>
        <v>2</v>
      </c>
      <c r="T514">
        <f>VLOOKUP($C514,'2000 Place'!$C$2:$Y$523,21,FALSE)</f>
        <v>0</v>
      </c>
      <c r="U514">
        <f>VLOOKUP($C514,'2000 Place'!$C$2:$Y$523,22,FALSE)</f>
        <v>23</v>
      </c>
      <c r="V514">
        <f>VLOOKUP($C514,'2000 Place'!$C$2:$Y$523,23,FALSE)</f>
        <v>0</v>
      </c>
    </row>
    <row r="515" spans="1:22" x14ac:dyDescent="0.25">
      <c r="A515" t="s">
        <v>1274</v>
      </c>
      <c r="B515">
        <v>5365345</v>
      </c>
      <c r="C515" t="s">
        <v>1275</v>
      </c>
      <c r="D515">
        <f>VLOOKUP($C515,'2000 Place'!$C$2:$Y$523,5,FALSE)</f>
        <v>1741</v>
      </c>
      <c r="E515">
        <f>VLOOKUP($C515,'2000 Place'!$C$2:$Y$523,6,FALSE)</f>
        <v>1426</v>
      </c>
      <c r="F515">
        <f>VLOOKUP($C515,'2000 Place'!$C$2:$Y$523,7,FALSE)</f>
        <v>315</v>
      </c>
      <c r="G515">
        <f>VLOOKUP($C515,'2000 Place'!$C$2:$Y$523,8,FALSE)</f>
        <v>1231</v>
      </c>
      <c r="H515">
        <f>VLOOKUP($C515,'2000 Place'!$C$2:$Y$523,9,FALSE)</f>
        <v>198</v>
      </c>
      <c r="I515">
        <f>VLOOKUP($C515,'2000 Place'!$C$2:$Y$523,10,FALSE)</f>
        <v>49</v>
      </c>
      <c r="J515">
        <f>VLOOKUP($C515,'2000 Place'!$C$2:$Y$523,11,FALSE)</f>
        <v>18</v>
      </c>
      <c r="K515">
        <f>VLOOKUP($C515,'2000 Place'!$C$2:$Y$523,12,FALSE)</f>
        <v>2</v>
      </c>
      <c r="L515">
        <f>VLOOKUP($C515,'2000 Place'!$C$2:$Y$523,13,FALSE)</f>
        <v>13</v>
      </c>
      <c r="M515">
        <f>VLOOKUP($C515,'2000 Place'!$C$2:$Y$523,14,FALSE)</f>
        <v>24</v>
      </c>
      <c r="N515">
        <f>VLOOKUP($C515,'2000 Place'!$C$2:$Y$523,15,FALSE)</f>
        <v>2</v>
      </c>
      <c r="O515">
        <f>VLOOKUP($C515,'2000 Place'!$C$2:$Y$523,16,FALSE)</f>
        <v>2</v>
      </c>
      <c r="P515">
        <f>VLOOKUP($C515,'2000 Place'!$C$2:$Y$523,17,FALSE)</f>
        <v>0</v>
      </c>
      <c r="Q515">
        <f>VLOOKUP($C515,'2000 Place'!$C$2:$Y$523,18,FALSE)</f>
        <v>0</v>
      </c>
      <c r="R515">
        <f>VLOOKUP($C515,'2000 Place'!$C$2:$Y$523,19,FALSE)</f>
        <v>0</v>
      </c>
      <c r="S515">
        <f>VLOOKUP($C515,'2000 Place'!$C$2:$Y$523,20,FALSE)</f>
        <v>61</v>
      </c>
      <c r="T515">
        <f>VLOOKUP($C515,'2000 Place'!$C$2:$Y$523,21,FALSE)</f>
        <v>49</v>
      </c>
      <c r="U515">
        <f>VLOOKUP($C515,'2000 Place'!$C$2:$Y$523,22,FALSE)</f>
        <v>57</v>
      </c>
      <c r="V515">
        <f>VLOOKUP($C515,'2000 Place'!$C$2:$Y$523,23,FALSE)</f>
        <v>35</v>
      </c>
    </row>
    <row r="516" spans="1:22" x14ac:dyDescent="0.25">
      <c r="A516" t="s">
        <v>1276</v>
      </c>
      <c r="B516">
        <v>5365625</v>
      </c>
      <c r="C516" t="s">
        <v>1277</v>
      </c>
      <c r="D516">
        <f>VLOOKUP($C516,'2000 Place'!$C$2:$Y$523,5,FALSE)</f>
        <v>1873</v>
      </c>
      <c r="E516">
        <f>VLOOKUP($C516,'2000 Place'!$C$2:$Y$523,6,FALSE)</f>
        <v>1683</v>
      </c>
      <c r="F516">
        <f>VLOOKUP($C516,'2000 Place'!$C$2:$Y$523,7,FALSE)</f>
        <v>190</v>
      </c>
      <c r="G516">
        <f>VLOOKUP($C516,'2000 Place'!$C$2:$Y$523,8,FALSE)</f>
        <v>1409</v>
      </c>
      <c r="H516">
        <f>VLOOKUP($C516,'2000 Place'!$C$2:$Y$523,9,FALSE)</f>
        <v>38</v>
      </c>
      <c r="I516">
        <f>VLOOKUP($C516,'2000 Place'!$C$2:$Y$523,10,FALSE)</f>
        <v>50</v>
      </c>
      <c r="J516">
        <f>VLOOKUP($C516,'2000 Place'!$C$2:$Y$523,11,FALSE)</f>
        <v>49</v>
      </c>
      <c r="K516">
        <f>VLOOKUP($C516,'2000 Place'!$C$2:$Y$523,12,FALSE)</f>
        <v>3</v>
      </c>
      <c r="L516">
        <f>VLOOKUP($C516,'2000 Place'!$C$2:$Y$523,13,FALSE)</f>
        <v>3</v>
      </c>
      <c r="M516">
        <f>VLOOKUP($C516,'2000 Place'!$C$2:$Y$523,14,FALSE)</f>
        <v>80</v>
      </c>
      <c r="N516">
        <f>VLOOKUP($C516,'2000 Place'!$C$2:$Y$523,15,FALSE)</f>
        <v>0</v>
      </c>
      <c r="O516">
        <f>VLOOKUP($C516,'2000 Place'!$C$2:$Y$523,16,FALSE)</f>
        <v>27</v>
      </c>
      <c r="P516">
        <f>VLOOKUP($C516,'2000 Place'!$C$2:$Y$523,17,FALSE)</f>
        <v>57</v>
      </c>
      <c r="Q516">
        <f>VLOOKUP($C516,'2000 Place'!$C$2:$Y$523,18,FALSE)</f>
        <v>0</v>
      </c>
      <c r="R516">
        <f>VLOOKUP($C516,'2000 Place'!$C$2:$Y$523,19,FALSE)</f>
        <v>0</v>
      </c>
      <c r="S516">
        <f>VLOOKUP($C516,'2000 Place'!$C$2:$Y$523,20,FALSE)</f>
        <v>34</v>
      </c>
      <c r="T516">
        <f>VLOOKUP($C516,'2000 Place'!$C$2:$Y$523,21,FALSE)</f>
        <v>34</v>
      </c>
      <c r="U516">
        <f>VLOOKUP($C516,'2000 Place'!$C$2:$Y$523,22,FALSE)</f>
        <v>80</v>
      </c>
      <c r="V516">
        <f>VLOOKUP($C516,'2000 Place'!$C$2:$Y$523,23,FALSE)</f>
        <v>9</v>
      </c>
    </row>
    <row r="517" spans="1:22" x14ac:dyDescent="0.25">
      <c r="A517" t="s">
        <v>1278</v>
      </c>
      <c r="B517">
        <v>5365765</v>
      </c>
      <c r="C517" t="s">
        <v>1279</v>
      </c>
      <c r="D517">
        <f>VLOOKUP($C517,'2000 Place'!$C$2:$Y$523,5,FALSE)</f>
        <v>460</v>
      </c>
      <c r="E517">
        <f>VLOOKUP($C517,'2000 Place'!$C$2:$Y$523,6,FALSE)</f>
        <v>454</v>
      </c>
      <c r="F517">
        <f>VLOOKUP($C517,'2000 Place'!$C$2:$Y$523,7,FALSE)</f>
        <v>6</v>
      </c>
      <c r="G517">
        <f>VLOOKUP($C517,'2000 Place'!$C$2:$Y$523,8,FALSE)</f>
        <v>427</v>
      </c>
      <c r="H517">
        <f>VLOOKUP($C517,'2000 Place'!$C$2:$Y$523,9,FALSE)</f>
        <v>1</v>
      </c>
      <c r="I517">
        <f>VLOOKUP($C517,'2000 Place'!$C$2:$Y$523,10,FALSE)</f>
        <v>14</v>
      </c>
      <c r="J517">
        <f>VLOOKUP($C517,'2000 Place'!$C$2:$Y$523,11,FALSE)</f>
        <v>0</v>
      </c>
      <c r="K517">
        <f>VLOOKUP($C517,'2000 Place'!$C$2:$Y$523,12,FALSE)</f>
        <v>0</v>
      </c>
      <c r="L517">
        <f>VLOOKUP($C517,'2000 Place'!$C$2:$Y$523,13,FALSE)</f>
        <v>0</v>
      </c>
      <c r="M517">
        <f>VLOOKUP($C517,'2000 Place'!$C$2:$Y$523,14,FALSE)</f>
        <v>3</v>
      </c>
      <c r="N517">
        <f>VLOOKUP($C517,'2000 Place'!$C$2:$Y$523,15,FALSE)</f>
        <v>0</v>
      </c>
      <c r="O517">
        <f>VLOOKUP($C517,'2000 Place'!$C$2:$Y$523,16,FALSE)</f>
        <v>5</v>
      </c>
      <c r="P517">
        <f>VLOOKUP($C517,'2000 Place'!$C$2:$Y$523,17,FALSE)</f>
        <v>5</v>
      </c>
      <c r="Q517">
        <f>VLOOKUP($C517,'2000 Place'!$C$2:$Y$523,18,FALSE)</f>
        <v>0</v>
      </c>
      <c r="R517">
        <f>VLOOKUP($C517,'2000 Place'!$C$2:$Y$523,19,FALSE)</f>
        <v>0</v>
      </c>
      <c r="S517">
        <f>VLOOKUP($C517,'2000 Place'!$C$2:$Y$523,20,FALSE)</f>
        <v>0</v>
      </c>
      <c r="T517">
        <f>VLOOKUP($C517,'2000 Place'!$C$2:$Y$523,21,FALSE)</f>
        <v>0</v>
      </c>
      <c r="U517">
        <f>VLOOKUP($C517,'2000 Place'!$C$2:$Y$523,22,FALSE)</f>
        <v>5</v>
      </c>
      <c r="V517">
        <f>VLOOKUP($C517,'2000 Place'!$C$2:$Y$523,23,FALSE)</f>
        <v>0</v>
      </c>
    </row>
    <row r="518" spans="1:22" x14ac:dyDescent="0.25">
      <c r="A518" t="s">
        <v>1280</v>
      </c>
      <c r="B518">
        <v>5365810</v>
      </c>
      <c r="C518" t="s">
        <v>1281</v>
      </c>
      <c r="D518" t="e">
        <f>VLOOKUP($C518,'2000 Place'!$C$2:$Y$523,5,FALSE)</f>
        <v>#N/A</v>
      </c>
      <c r="E518" t="e">
        <f>VLOOKUP($C518,'2000 Place'!$C$2:$Y$523,6,FALSE)</f>
        <v>#N/A</v>
      </c>
      <c r="F518" t="e">
        <f>VLOOKUP($C518,'2000 Place'!$C$2:$Y$523,7,FALSE)</f>
        <v>#N/A</v>
      </c>
      <c r="G518" t="e">
        <f>VLOOKUP($C518,'2000 Place'!$C$2:$Y$523,8,FALSE)</f>
        <v>#N/A</v>
      </c>
      <c r="H518" t="e">
        <f>VLOOKUP($C518,'2000 Place'!$C$2:$Y$523,9,FALSE)</f>
        <v>#N/A</v>
      </c>
      <c r="I518" t="e">
        <f>VLOOKUP($C518,'2000 Place'!$C$2:$Y$523,10,FALSE)</f>
        <v>#N/A</v>
      </c>
      <c r="J518" t="e">
        <f>VLOOKUP($C518,'2000 Place'!$C$2:$Y$523,11,FALSE)</f>
        <v>#N/A</v>
      </c>
      <c r="K518" t="e">
        <f>VLOOKUP($C518,'2000 Place'!$C$2:$Y$523,12,FALSE)</f>
        <v>#N/A</v>
      </c>
      <c r="L518" t="e">
        <f>VLOOKUP($C518,'2000 Place'!$C$2:$Y$523,13,FALSE)</f>
        <v>#N/A</v>
      </c>
      <c r="M518" t="e">
        <f>VLOOKUP($C518,'2000 Place'!$C$2:$Y$523,14,FALSE)</f>
        <v>#N/A</v>
      </c>
      <c r="N518" t="e">
        <f>VLOOKUP($C518,'2000 Place'!$C$2:$Y$523,15,FALSE)</f>
        <v>#N/A</v>
      </c>
      <c r="O518" t="e">
        <f>VLOOKUP($C518,'2000 Place'!$C$2:$Y$523,16,FALSE)</f>
        <v>#N/A</v>
      </c>
      <c r="P518" t="e">
        <f>VLOOKUP($C518,'2000 Place'!$C$2:$Y$523,17,FALSE)</f>
        <v>#N/A</v>
      </c>
      <c r="Q518" t="e">
        <f>VLOOKUP($C518,'2000 Place'!$C$2:$Y$523,18,FALSE)</f>
        <v>#N/A</v>
      </c>
      <c r="R518" t="e">
        <f>VLOOKUP($C518,'2000 Place'!$C$2:$Y$523,19,FALSE)</f>
        <v>#N/A</v>
      </c>
      <c r="S518" t="e">
        <f>VLOOKUP($C518,'2000 Place'!$C$2:$Y$523,20,FALSE)</f>
        <v>#N/A</v>
      </c>
      <c r="T518" t="e">
        <f>VLOOKUP($C518,'2000 Place'!$C$2:$Y$523,21,FALSE)</f>
        <v>#N/A</v>
      </c>
      <c r="U518" t="e">
        <f>VLOOKUP($C518,'2000 Place'!$C$2:$Y$523,22,FALSE)</f>
        <v>#N/A</v>
      </c>
      <c r="V518" t="e">
        <f>VLOOKUP($C518,'2000 Place'!$C$2:$Y$523,23,FALSE)</f>
        <v>#N/A</v>
      </c>
    </row>
    <row r="519" spans="1:22" x14ac:dyDescent="0.25">
      <c r="A519" t="s">
        <v>1282</v>
      </c>
      <c r="B519">
        <v>5365922</v>
      </c>
      <c r="C519" t="s">
        <v>1283</v>
      </c>
      <c r="D519">
        <f>VLOOKUP($C519,'2000 Place'!$C$2:$Y$523,5,FALSE)</f>
        <v>31831</v>
      </c>
      <c r="E519">
        <f>VLOOKUP($C519,'2000 Place'!$C$2:$Y$523,6,FALSE)</f>
        <v>29741</v>
      </c>
      <c r="F519">
        <f>VLOOKUP($C519,'2000 Place'!$C$2:$Y$523,7,FALSE)</f>
        <v>2090</v>
      </c>
      <c r="G519">
        <f>VLOOKUP($C519,'2000 Place'!$C$2:$Y$523,8,FALSE)</f>
        <v>26060</v>
      </c>
      <c r="H519">
        <f>VLOOKUP($C519,'2000 Place'!$C$2:$Y$523,9,FALSE)</f>
        <v>959</v>
      </c>
      <c r="I519">
        <f>VLOOKUP($C519,'2000 Place'!$C$2:$Y$523,10,FALSE)</f>
        <v>534</v>
      </c>
      <c r="J519">
        <f>VLOOKUP($C519,'2000 Place'!$C$2:$Y$523,11,FALSE)</f>
        <v>89</v>
      </c>
      <c r="K519">
        <f>VLOOKUP($C519,'2000 Place'!$C$2:$Y$523,12,FALSE)</f>
        <v>675</v>
      </c>
      <c r="L519">
        <f>VLOOKUP($C519,'2000 Place'!$C$2:$Y$523,13,FALSE)</f>
        <v>69</v>
      </c>
      <c r="M519">
        <f>VLOOKUP($C519,'2000 Place'!$C$2:$Y$523,14,FALSE)</f>
        <v>287</v>
      </c>
      <c r="N519">
        <f>VLOOKUP($C519,'2000 Place'!$C$2:$Y$523,15,FALSE)</f>
        <v>0</v>
      </c>
      <c r="O519">
        <f>VLOOKUP($C519,'2000 Place'!$C$2:$Y$523,16,FALSE)</f>
        <v>312</v>
      </c>
      <c r="P519">
        <f>VLOOKUP($C519,'2000 Place'!$C$2:$Y$523,17,FALSE)</f>
        <v>651</v>
      </c>
      <c r="Q519">
        <f>VLOOKUP($C519,'2000 Place'!$C$2:$Y$523,18,FALSE)</f>
        <v>37</v>
      </c>
      <c r="R519">
        <f>VLOOKUP($C519,'2000 Place'!$C$2:$Y$523,19,FALSE)</f>
        <v>14</v>
      </c>
      <c r="S519">
        <f>VLOOKUP($C519,'2000 Place'!$C$2:$Y$523,20,FALSE)</f>
        <v>298</v>
      </c>
      <c r="T519">
        <f>VLOOKUP($C519,'2000 Place'!$C$2:$Y$523,21,FALSE)</f>
        <v>195</v>
      </c>
      <c r="U519">
        <f>VLOOKUP($C519,'2000 Place'!$C$2:$Y$523,22,FALSE)</f>
        <v>1538</v>
      </c>
      <c r="V519">
        <f>VLOOKUP($C519,'2000 Place'!$C$2:$Y$523,23,FALSE)</f>
        <v>113</v>
      </c>
    </row>
    <row r="520" spans="1:22" x14ac:dyDescent="0.25">
      <c r="A520" t="s">
        <v>1284</v>
      </c>
      <c r="B520">
        <v>5366045</v>
      </c>
      <c r="C520" t="s">
        <v>1285</v>
      </c>
      <c r="D520">
        <f>VLOOKUP($C520,'2000 Place'!$C$2:$Y$523,5,FALSE)</f>
        <v>452</v>
      </c>
      <c r="E520">
        <f>VLOOKUP($C520,'2000 Place'!$C$2:$Y$523,6,FALSE)</f>
        <v>432</v>
      </c>
      <c r="F520">
        <f>VLOOKUP($C520,'2000 Place'!$C$2:$Y$523,7,FALSE)</f>
        <v>20</v>
      </c>
      <c r="G520">
        <f>VLOOKUP($C520,'2000 Place'!$C$2:$Y$523,8,FALSE)</f>
        <v>415</v>
      </c>
      <c r="H520">
        <f>VLOOKUP($C520,'2000 Place'!$C$2:$Y$523,9,FALSE)</f>
        <v>14</v>
      </c>
      <c r="I520">
        <f>VLOOKUP($C520,'2000 Place'!$C$2:$Y$523,10,FALSE)</f>
        <v>2</v>
      </c>
      <c r="J520">
        <f>VLOOKUP($C520,'2000 Place'!$C$2:$Y$523,11,FALSE)</f>
        <v>0</v>
      </c>
      <c r="K520">
        <f>VLOOKUP($C520,'2000 Place'!$C$2:$Y$523,12,FALSE)</f>
        <v>2</v>
      </c>
      <c r="L520">
        <f>VLOOKUP($C520,'2000 Place'!$C$2:$Y$523,13,FALSE)</f>
        <v>0</v>
      </c>
      <c r="M520">
        <f>VLOOKUP($C520,'2000 Place'!$C$2:$Y$523,14,FALSE)</f>
        <v>5</v>
      </c>
      <c r="N520">
        <f>VLOOKUP($C520,'2000 Place'!$C$2:$Y$523,15,FALSE)</f>
        <v>0</v>
      </c>
      <c r="O520">
        <f>VLOOKUP($C520,'2000 Place'!$C$2:$Y$523,16,FALSE)</f>
        <v>7</v>
      </c>
      <c r="P520">
        <f>VLOOKUP($C520,'2000 Place'!$C$2:$Y$523,17,FALSE)</f>
        <v>6</v>
      </c>
      <c r="Q520">
        <f>VLOOKUP($C520,'2000 Place'!$C$2:$Y$523,18,FALSE)</f>
        <v>0</v>
      </c>
      <c r="R520">
        <f>VLOOKUP($C520,'2000 Place'!$C$2:$Y$523,19,FALSE)</f>
        <v>0</v>
      </c>
      <c r="S520">
        <f>VLOOKUP($C520,'2000 Place'!$C$2:$Y$523,20,FALSE)</f>
        <v>0</v>
      </c>
      <c r="T520">
        <f>VLOOKUP($C520,'2000 Place'!$C$2:$Y$523,21,FALSE)</f>
        <v>0</v>
      </c>
      <c r="U520">
        <f>VLOOKUP($C520,'2000 Place'!$C$2:$Y$523,22,FALSE)</f>
        <v>1</v>
      </c>
      <c r="V520">
        <f>VLOOKUP($C520,'2000 Place'!$C$2:$Y$523,23,FALSE)</f>
        <v>0</v>
      </c>
    </row>
    <row r="521" spans="1:22" x14ac:dyDescent="0.25">
      <c r="A521" t="s">
        <v>1286</v>
      </c>
      <c r="B521">
        <v>5366185</v>
      </c>
      <c r="C521" t="s">
        <v>1287</v>
      </c>
      <c r="D521">
        <f>VLOOKUP($C521,'2000 Place'!$C$2:$Y$523,5,FALSE)</f>
        <v>2047</v>
      </c>
      <c r="E521">
        <f>VLOOKUP($C521,'2000 Place'!$C$2:$Y$523,6,FALSE)</f>
        <v>1524</v>
      </c>
      <c r="F521">
        <f>VLOOKUP($C521,'2000 Place'!$C$2:$Y$523,7,FALSE)</f>
        <v>523</v>
      </c>
      <c r="G521">
        <f>VLOOKUP($C521,'2000 Place'!$C$2:$Y$523,8,FALSE)</f>
        <v>1167</v>
      </c>
      <c r="H521">
        <f>VLOOKUP($C521,'2000 Place'!$C$2:$Y$523,9,FALSE)</f>
        <v>26</v>
      </c>
      <c r="I521">
        <f>VLOOKUP($C521,'2000 Place'!$C$2:$Y$523,10,FALSE)</f>
        <v>130</v>
      </c>
      <c r="J521">
        <f>VLOOKUP($C521,'2000 Place'!$C$2:$Y$523,11,FALSE)</f>
        <v>82</v>
      </c>
      <c r="K521">
        <f>VLOOKUP($C521,'2000 Place'!$C$2:$Y$523,12,FALSE)</f>
        <v>0</v>
      </c>
      <c r="L521">
        <f>VLOOKUP($C521,'2000 Place'!$C$2:$Y$523,13,FALSE)</f>
        <v>0</v>
      </c>
      <c r="M521">
        <f>VLOOKUP($C521,'2000 Place'!$C$2:$Y$523,14,FALSE)</f>
        <v>10</v>
      </c>
      <c r="N521">
        <f>VLOOKUP($C521,'2000 Place'!$C$2:$Y$523,15,FALSE)</f>
        <v>0</v>
      </c>
      <c r="O521">
        <f>VLOOKUP($C521,'2000 Place'!$C$2:$Y$523,16,FALSE)</f>
        <v>6</v>
      </c>
      <c r="P521">
        <f>VLOOKUP($C521,'2000 Place'!$C$2:$Y$523,17,FALSE)</f>
        <v>0</v>
      </c>
      <c r="Q521">
        <f>VLOOKUP($C521,'2000 Place'!$C$2:$Y$523,18,FALSE)</f>
        <v>0</v>
      </c>
      <c r="R521">
        <f>VLOOKUP($C521,'2000 Place'!$C$2:$Y$523,19,FALSE)</f>
        <v>0</v>
      </c>
      <c r="S521">
        <f>VLOOKUP($C521,'2000 Place'!$C$2:$Y$523,20,FALSE)</f>
        <v>195</v>
      </c>
      <c r="T521">
        <f>VLOOKUP($C521,'2000 Place'!$C$2:$Y$523,21,FALSE)</f>
        <v>367</v>
      </c>
      <c r="U521">
        <f>VLOOKUP($C521,'2000 Place'!$C$2:$Y$523,22,FALSE)</f>
        <v>16</v>
      </c>
      <c r="V521">
        <f>VLOOKUP($C521,'2000 Place'!$C$2:$Y$523,23,FALSE)</f>
        <v>48</v>
      </c>
    </row>
    <row r="522" spans="1:22" x14ac:dyDescent="0.25">
      <c r="A522" t="s">
        <v>1288</v>
      </c>
      <c r="B522">
        <v>5366220</v>
      </c>
      <c r="C522" t="s">
        <v>1289</v>
      </c>
      <c r="D522" t="e">
        <f>VLOOKUP($C522,'2000 Place'!$C$2:$Y$523,5,FALSE)</f>
        <v>#N/A</v>
      </c>
      <c r="E522" t="e">
        <f>VLOOKUP($C522,'2000 Place'!$C$2:$Y$523,6,FALSE)</f>
        <v>#N/A</v>
      </c>
      <c r="F522" t="e">
        <f>VLOOKUP($C522,'2000 Place'!$C$2:$Y$523,7,FALSE)</f>
        <v>#N/A</v>
      </c>
      <c r="G522" t="e">
        <f>VLOOKUP($C522,'2000 Place'!$C$2:$Y$523,8,FALSE)</f>
        <v>#N/A</v>
      </c>
      <c r="H522" t="e">
        <f>VLOOKUP($C522,'2000 Place'!$C$2:$Y$523,9,FALSE)</f>
        <v>#N/A</v>
      </c>
      <c r="I522" t="e">
        <f>VLOOKUP($C522,'2000 Place'!$C$2:$Y$523,10,FALSE)</f>
        <v>#N/A</v>
      </c>
      <c r="J522" t="e">
        <f>VLOOKUP($C522,'2000 Place'!$C$2:$Y$523,11,FALSE)</f>
        <v>#N/A</v>
      </c>
      <c r="K522" t="e">
        <f>VLOOKUP($C522,'2000 Place'!$C$2:$Y$523,12,FALSE)</f>
        <v>#N/A</v>
      </c>
      <c r="L522" t="e">
        <f>VLOOKUP($C522,'2000 Place'!$C$2:$Y$523,13,FALSE)</f>
        <v>#N/A</v>
      </c>
      <c r="M522" t="e">
        <f>VLOOKUP($C522,'2000 Place'!$C$2:$Y$523,14,FALSE)</f>
        <v>#N/A</v>
      </c>
      <c r="N522" t="e">
        <f>VLOOKUP($C522,'2000 Place'!$C$2:$Y$523,15,FALSE)</f>
        <v>#N/A</v>
      </c>
      <c r="O522" t="e">
        <f>VLOOKUP($C522,'2000 Place'!$C$2:$Y$523,16,FALSE)</f>
        <v>#N/A</v>
      </c>
      <c r="P522" t="e">
        <f>VLOOKUP($C522,'2000 Place'!$C$2:$Y$523,17,FALSE)</f>
        <v>#N/A</v>
      </c>
      <c r="Q522" t="e">
        <f>VLOOKUP($C522,'2000 Place'!$C$2:$Y$523,18,FALSE)</f>
        <v>#N/A</v>
      </c>
      <c r="R522" t="e">
        <f>VLOOKUP($C522,'2000 Place'!$C$2:$Y$523,19,FALSE)</f>
        <v>#N/A</v>
      </c>
      <c r="S522" t="e">
        <f>VLOOKUP($C522,'2000 Place'!$C$2:$Y$523,20,FALSE)</f>
        <v>#N/A</v>
      </c>
      <c r="T522" t="e">
        <f>VLOOKUP($C522,'2000 Place'!$C$2:$Y$523,21,FALSE)</f>
        <v>#N/A</v>
      </c>
      <c r="U522" t="e">
        <f>VLOOKUP($C522,'2000 Place'!$C$2:$Y$523,22,FALSE)</f>
        <v>#N/A</v>
      </c>
      <c r="V522" t="e">
        <f>VLOOKUP($C522,'2000 Place'!$C$2:$Y$523,23,FALSE)</f>
        <v>#N/A</v>
      </c>
    </row>
    <row r="523" spans="1:22" x14ac:dyDescent="0.25">
      <c r="A523" t="s">
        <v>1290</v>
      </c>
      <c r="B523">
        <v>5366255</v>
      </c>
      <c r="C523" t="s">
        <v>1291</v>
      </c>
      <c r="D523">
        <f>VLOOKUP($C523,'2000 Place'!$C$2:$Y$523,5,FALSE)</f>
        <v>21447</v>
      </c>
      <c r="E523">
        <f>VLOOKUP($C523,'2000 Place'!$C$2:$Y$523,6,FALSE)</f>
        <v>18447</v>
      </c>
      <c r="F523">
        <f>VLOOKUP($C523,'2000 Place'!$C$2:$Y$523,7,FALSE)</f>
        <v>3000</v>
      </c>
      <c r="G523">
        <f>VLOOKUP($C523,'2000 Place'!$C$2:$Y$523,8,FALSE)</f>
        <v>13644</v>
      </c>
      <c r="H523">
        <f>VLOOKUP($C523,'2000 Place'!$C$2:$Y$523,9,FALSE)</f>
        <v>894</v>
      </c>
      <c r="I523">
        <f>VLOOKUP($C523,'2000 Place'!$C$2:$Y$523,10,FALSE)</f>
        <v>283</v>
      </c>
      <c r="J523">
        <f>VLOOKUP($C523,'2000 Place'!$C$2:$Y$523,11,FALSE)</f>
        <v>145</v>
      </c>
      <c r="K523">
        <f>VLOOKUP($C523,'2000 Place'!$C$2:$Y$523,12,FALSE)</f>
        <v>2003</v>
      </c>
      <c r="L523">
        <f>VLOOKUP($C523,'2000 Place'!$C$2:$Y$523,13,FALSE)</f>
        <v>96</v>
      </c>
      <c r="M523">
        <f>VLOOKUP($C523,'2000 Place'!$C$2:$Y$523,14,FALSE)</f>
        <v>232</v>
      </c>
      <c r="N523">
        <f>VLOOKUP($C523,'2000 Place'!$C$2:$Y$523,15,FALSE)</f>
        <v>14</v>
      </c>
      <c r="O523">
        <f>VLOOKUP($C523,'2000 Place'!$C$2:$Y$523,16,FALSE)</f>
        <v>229</v>
      </c>
      <c r="P523">
        <f>VLOOKUP($C523,'2000 Place'!$C$2:$Y$523,17,FALSE)</f>
        <v>1046</v>
      </c>
      <c r="Q523">
        <f>VLOOKUP($C523,'2000 Place'!$C$2:$Y$523,18,FALSE)</f>
        <v>239</v>
      </c>
      <c r="R523">
        <f>VLOOKUP($C523,'2000 Place'!$C$2:$Y$523,19,FALSE)</f>
        <v>339</v>
      </c>
      <c r="S523">
        <f>VLOOKUP($C523,'2000 Place'!$C$2:$Y$523,20,FALSE)</f>
        <v>383</v>
      </c>
      <c r="T523">
        <f>VLOOKUP($C523,'2000 Place'!$C$2:$Y$523,21,FALSE)</f>
        <v>169</v>
      </c>
      <c r="U523">
        <f>VLOOKUP($C523,'2000 Place'!$C$2:$Y$523,22,FALSE)</f>
        <v>1434</v>
      </c>
      <c r="V523">
        <f>VLOOKUP($C523,'2000 Place'!$C$2:$Y$523,23,FALSE)</f>
        <v>297</v>
      </c>
    </row>
    <row r="524" spans="1:22" x14ac:dyDescent="0.25">
      <c r="A524" t="s">
        <v>1292</v>
      </c>
      <c r="B524">
        <v>5366290</v>
      </c>
      <c r="C524" t="s">
        <v>1293</v>
      </c>
      <c r="D524" t="e">
        <f>VLOOKUP($C524,'2000 Place'!$C$2:$Y$523,5,FALSE)</f>
        <v>#N/A</v>
      </c>
      <c r="E524" t="e">
        <f>VLOOKUP($C524,'2000 Place'!$C$2:$Y$523,6,FALSE)</f>
        <v>#N/A</v>
      </c>
      <c r="F524" t="e">
        <f>VLOOKUP($C524,'2000 Place'!$C$2:$Y$523,7,FALSE)</f>
        <v>#N/A</v>
      </c>
      <c r="G524" t="e">
        <f>VLOOKUP($C524,'2000 Place'!$C$2:$Y$523,8,FALSE)</f>
        <v>#N/A</v>
      </c>
      <c r="H524" t="e">
        <f>VLOOKUP($C524,'2000 Place'!$C$2:$Y$523,9,FALSE)</f>
        <v>#N/A</v>
      </c>
      <c r="I524" t="e">
        <f>VLOOKUP($C524,'2000 Place'!$C$2:$Y$523,10,FALSE)</f>
        <v>#N/A</v>
      </c>
      <c r="J524" t="e">
        <f>VLOOKUP($C524,'2000 Place'!$C$2:$Y$523,11,FALSE)</f>
        <v>#N/A</v>
      </c>
      <c r="K524" t="e">
        <f>VLOOKUP($C524,'2000 Place'!$C$2:$Y$523,12,FALSE)</f>
        <v>#N/A</v>
      </c>
      <c r="L524" t="e">
        <f>VLOOKUP($C524,'2000 Place'!$C$2:$Y$523,13,FALSE)</f>
        <v>#N/A</v>
      </c>
      <c r="M524" t="e">
        <f>VLOOKUP($C524,'2000 Place'!$C$2:$Y$523,14,FALSE)</f>
        <v>#N/A</v>
      </c>
      <c r="N524" t="e">
        <f>VLOOKUP($C524,'2000 Place'!$C$2:$Y$523,15,FALSE)</f>
        <v>#N/A</v>
      </c>
      <c r="O524" t="e">
        <f>VLOOKUP($C524,'2000 Place'!$C$2:$Y$523,16,FALSE)</f>
        <v>#N/A</v>
      </c>
      <c r="P524" t="e">
        <f>VLOOKUP($C524,'2000 Place'!$C$2:$Y$523,17,FALSE)</f>
        <v>#N/A</v>
      </c>
      <c r="Q524" t="e">
        <f>VLOOKUP($C524,'2000 Place'!$C$2:$Y$523,18,FALSE)</f>
        <v>#N/A</v>
      </c>
      <c r="R524" t="e">
        <f>VLOOKUP($C524,'2000 Place'!$C$2:$Y$523,19,FALSE)</f>
        <v>#N/A</v>
      </c>
      <c r="S524" t="e">
        <f>VLOOKUP($C524,'2000 Place'!$C$2:$Y$523,20,FALSE)</f>
        <v>#N/A</v>
      </c>
      <c r="T524" t="e">
        <f>VLOOKUP($C524,'2000 Place'!$C$2:$Y$523,21,FALSE)</f>
        <v>#N/A</v>
      </c>
      <c r="U524" t="e">
        <f>VLOOKUP($C524,'2000 Place'!$C$2:$Y$523,22,FALSE)</f>
        <v>#N/A</v>
      </c>
      <c r="V524" t="e">
        <f>VLOOKUP($C524,'2000 Place'!$C$2:$Y$523,23,FALSE)</f>
        <v>#N/A</v>
      </c>
    </row>
    <row r="525" spans="1:22" x14ac:dyDescent="0.25">
      <c r="A525" t="s">
        <v>1294</v>
      </c>
      <c r="B525">
        <v>5367000</v>
      </c>
      <c r="C525" t="s">
        <v>1295</v>
      </c>
      <c r="D525">
        <f>VLOOKUP($C525,'2000 Place'!$C$2:$Y$523,5,FALSE)</f>
        <v>196143</v>
      </c>
      <c r="E525">
        <f>VLOOKUP($C525,'2000 Place'!$C$2:$Y$523,6,FALSE)</f>
        <v>182431</v>
      </c>
      <c r="F525">
        <f>VLOOKUP($C525,'2000 Place'!$C$2:$Y$523,7,FALSE)</f>
        <v>13712</v>
      </c>
      <c r="G525">
        <f>VLOOKUP($C525,'2000 Place'!$C$2:$Y$523,8,FALSE)</f>
        <v>163204</v>
      </c>
      <c r="H525">
        <f>VLOOKUP($C525,'2000 Place'!$C$2:$Y$523,9,FALSE)</f>
        <v>8333</v>
      </c>
      <c r="I525">
        <f>VLOOKUP($C525,'2000 Place'!$C$2:$Y$523,10,FALSE)</f>
        <v>2881</v>
      </c>
      <c r="J525">
        <f>VLOOKUP($C525,'2000 Place'!$C$2:$Y$523,11,FALSE)</f>
        <v>415</v>
      </c>
      <c r="K525">
        <f>VLOOKUP($C525,'2000 Place'!$C$2:$Y$523,12,FALSE)</f>
        <v>3654</v>
      </c>
      <c r="L525">
        <f>VLOOKUP($C525,'2000 Place'!$C$2:$Y$523,13,FALSE)</f>
        <v>223</v>
      </c>
      <c r="M525">
        <f>VLOOKUP($C525,'2000 Place'!$C$2:$Y$523,14,FALSE)</f>
        <v>3418</v>
      </c>
      <c r="N525">
        <f>VLOOKUP($C525,'2000 Place'!$C$2:$Y$523,15,FALSE)</f>
        <v>77</v>
      </c>
      <c r="O525">
        <f>VLOOKUP($C525,'2000 Place'!$C$2:$Y$523,16,FALSE)</f>
        <v>1508</v>
      </c>
      <c r="P525">
        <f>VLOOKUP($C525,'2000 Place'!$C$2:$Y$523,17,FALSE)</f>
        <v>2871</v>
      </c>
      <c r="Q525">
        <f>VLOOKUP($C525,'2000 Place'!$C$2:$Y$523,18,FALSE)</f>
        <v>260</v>
      </c>
      <c r="R525">
        <f>VLOOKUP($C525,'2000 Place'!$C$2:$Y$523,19,FALSE)</f>
        <v>162</v>
      </c>
      <c r="S525">
        <f>VLOOKUP($C525,'2000 Place'!$C$2:$Y$523,20,FALSE)</f>
        <v>1190</v>
      </c>
      <c r="T525">
        <f>VLOOKUP($C525,'2000 Place'!$C$2:$Y$523,21,FALSE)</f>
        <v>312</v>
      </c>
      <c r="U525">
        <f>VLOOKUP($C525,'2000 Place'!$C$2:$Y$523,22,FALSE)</f>
        <v>6316</v>
      </c>
      <c r="V525">
        <f>VLOOKUP($C525,'2000 Place'!$C$2:$Y$523,23,FALSE)</f>
        <v>1319</v>
      </c>
    </row>
    <row r="526" spans="1:22" x14ac:dyDescent="0.25">
      <c r="A526" t="s">
        <v>1296</v>
      </c>
      <c r="B526">
        <v>5367167</v>
      </c>
      <c r="C526" t="s">
        <v>1297</v>
      </c>
      <c r="D526" t="e">
        <f>VLOOKUP($C526,'2000 Place'!$C$2:$Y$523,5,FALSE)</f>
        <v>#N/A</v>
      </c>
      <c r="E526" t="e">
        <f>VLOOKUP($C526,'2000 Place'!$C$2:$Y$523,6,FALSE)</f>
        <v>#N/A</v>
      </c>
      <c r="F526" t="e">
        <f>VLOOKUP($C526,'2000 Place'!$C$2:$Y$523,7,FALSE)</f>
        <v>#N/A</v>
      </c>
      <c r="G526" t="e">
        <f>VLOOKUP($C526,'2000 Place'!$C$2:$Y$523,8,FALSE)</f>
        <v>#N/A</v>
      </c>
      <c r="H526" t="e">
        <f>VLOOKUP($C526,'2000 Place'!$C$2:$Y$523,9,FALSE)</f>
        <v>#N/A</v>
      </c>
      <c r="I526" t="e">
        <f>VLOOKUP($C526,'2000 Place'!$C$2:$Y$523,10,FALSE)</f>
        <v>#N/A</v>
      </c>
      <c r="J526" t="e">
        <f>VLOOKUP($C526,'2000 Place'!$C$2:$Y$523,11,FALSE)</f>
        <v>#N/A</v>
      </c>
      <c r="K526" t="e">
        <f>VLOOKUP($C526,'2000 Place'!$C$2:$Y$523,12,FALSE)</f>
        <v>#N/A</v>
      </c>
      <c r="L526" t="e">
        <f>VLOOKUP($C526,'2000 Place'!$C$2:$Y$523,13,FALSE)</f>
        <v>#N/A</v>
      </c>
      <c r="M526" t="e">
        <f>VLOOKUP($C526,'2000 Place'!$C$2:$Y$523,14,FALSE)</f>
        <v>#N/A</v>
      </c>
      <c r="N526" t="e">
        <f>VLOOKUP($C526,'2000 Place'!$C$2:$Y$523,15,FALSE)</f>
        <v>#N/A</v>
      </c>
      <c r="O526" t="e">
        <f>VLOOKUP($C526,'2000 Place'!$C$2:$Y$523,16,FALSE)</f>
        <v>#N/A</v>
      </c>
      <c r="P526" t="e">
        <f>VLOOKUP($C526,'2000 Place'!$C$2:$Y$523,17,FALSE)</f>
        <v>#N/A</v>
      </c>
      <c r="Q526" t="e">
        <f>VLOOKUP($C526,'2000 Place'!$C$2:$Y$523,18,FALSE)</f>
        <v>#N/A</v>
      </c>
      <c r="R526" t="e">
        <f>VLOOKUP($C526,'2000 Place'!$C$2:$Y$523,19,FALSE)</f>
        <v>#N/A</v>
      </c>
      <c r="S526" t="e">
        <f>VLOOKUP($C526,'2000 Place'!$C$2:$Y$523,20,FALSE)</f>
        <v>#N/A</v>
      </c>
      <c r="T526" t="e">
        <f>VLOOKUP($C526,'2000 Place'!$C$2:$Y$523,21,FALSE)</f>
        <v>#N/A</v>
      </c>
      <c r="U526" t="e">
        <f>VLOOKUP($C526,'2000 Place'!$C$2:$Y$523,22,FALSE)</f>
        <v>#N/A</v>
      </c>
      <c r="V526" t="e">
        <f>VLOOKUP($C526,'2000 Place'!$C$2:$Y$523,23,FALSE)</f>
        <v>#N/A</v>
      </c>
    </row>
    <row r="527" spans="1:22" x14ac:dyDescent="0.25">
      <c r="A527" t="s">
        <v>1298</v>
      </c>
      <c r="B527">
        <v>5367175</v>
      </c>
      <c r="C527" t="s">
        <v>1299</v>
      </c>
      <c r="D527">
        <f>VLOOKUP($C527,'2000 Place'!$C$2:$Y$523,5,FALSE)</f>
        <v>478</v>
      </c>
      <c r="E527">
        <f>VLOOKUP($C527,'2000 Place'!$C$2:$Y$523,6,FALSE)</f>
        <v>453</v>
      </c>
      <c r="F527">
        <f>VLOOKUP($C527,'2000 Place'!$C$2:$Y$523,7,FALSE)</f>
        <v>25</v>
      </c>
      <c r="G527">
        <f>VLOOKUP($C527,'2000 Place'!$C$2:$Y$523,8,FALSE)</f>
        <v>418</v>
      </c>
      <c r="H527">
        <f>VLOOKUP($C527,'2000 Place'!$C$2:$Y$523,9,FALSE)</f>
        <v>17</v>
      </c>
      <c r="I527">
        <f>VLOOKUP($C527,'2000 Place'!$C$2:$Y$523,10,FALSE)</f>
        <v>10</v>
      </c>
      <c r="J527">
        <f>VLOOKUP($C527,'2000 Place'!$C$2:$Y$523,11,FALSE)</f>
        <v>1</v>
      </c>
      <c r="K527">
        <f>VLOOKUP($C527,'2000 Place'!$C$2:$Y$523,12,FALSE)</f>
        <v>1</v>
      </c>
      <c r="L527">
        <f>VLOOKUP($C527,'2000 Place'!$C$2:$Y$523,13,FALSE)</f>
        <v>0</v>
      </c>
      <c r="M527">
        <f>VLOOKUP($C527,'2000 Place'!$C$2:$Y$523,14,FALSE)</f>
        <v>16</v>
      </c>
      <c r="N527">
        <f>VLOOKUP($C527,'2000 Place'!$C$2:$Y$523,15,FALSE)</f>
        <v>0</v>
      </c>
      <c r="O527">
        <f>VLOOKUP($C527,'2000 Place'!$C$2:$Y$523,16,FALSE)</f>
        <v>2</v>
      </c>
      <c r="P527">
        <f>VLOOKUP($C527,'2000 Place'!$C$2:$Y$523,17,FALSE)</f>
        <v>2</v>
      </c>
      <c r="Q527">
        <f>VLOOKUP($C527,'2000 Place'!$C$2:$Y$523,18,FALSE)</f>
        <v>0</v>
      </c>
      <c r="R527">
        <f>VLOOKUP($C527,'2000 Place'!$C$2:$Y$523,19,FALSE)</f>
        <v>0</v>
      </c>
      <c r="S527">
        <f>VLOOKUP($C527,'2000 Place'!$C$2:$Y$523,20,FALSE)</f>
        <v>4</v>
      </c>
      <c r="T527">
        <f>VLOOKUP($C527,'2000 Place'!$C$2:$Y$523,21,FALSE)</f>
        <v>5</v>
      </c>
      <c r="U527">
        <f>VLOOKUP($C527,'2000 Place'!$C$2:$Y$523,22,FALSE)</f>
        <v>2</v>
      </c>
      <c r="V527">
        <f>VLOOKUP($C527,'2000 Place'!$C$2:$Y$523,23,FALSE)</f>
        <v>0</v>
      </c>
    </row>
    <row r="528" spans="1:22" x14ac:dyDescent="0.25">
      <c r="A528" t="s">
        <v>1300</v>
      </c>
      <c r="B528">
        <v>5367210</v>
      </c>
      <c r="C528" t="s">
        <v>1301</v>
      </c>
      <c r="D528">
        <f>VLOOKUP($C528,'2000 Place'!$C$2:$Y$523,5,FALSE)</f>
        <v>323</v>
      </c>
      <c r="E528">
        <f>VLOOKUP($C528,'2000 Place'!$C$2:$Y$523,6,FALSE)</f>
        <v>316</v>
      </c>
      <c r="F528">
        <f>VLOOKUP($C528,'2000 Place'!$C$2:$Y$523,7,FALSE)</f>
        <v>7</v>
      </c>
      <c r="G528">
        <f>VLOOKUP($C528,'2000 Place'!$C$2:$Y$523,8,FALSE)</f>
        <v>278</v>
      </c>
      <c r="H528">
        <f>VLOOKUP($C528,'2000 Place'!$C$2:$Y$523,9,FALSE)</f>
        <v>5</v>
      </c>
      <c r="I528">
        <f>VLOOKUP($C528,'2000 Place'!$C$2:$Y$523,10,FALSE)</f>
        <v>2</v>
      </c>
      <c r="J528">
        <f>VLOOKUP($C528,'2000 Place'!$C$2:$Y$523,11,FALSE)</f>
        <v>0</v>
      </c>
      <c r="K528">
        <f>VLOOKUP($C528,'2000 Place'!$C$2:$Y$523,12,FALSE)</f>
        <v>0</v>
      </c>
      <c r="L528">
        <f>VLOOKUP($C528,'2000 Place'!$C$2:$Y$523,13,FALSE)</f>
        <v>0</v>
      </c>
      <c r="M528">
        <f>VLOOKUP($C528,'2000 Place'!$C$2:$Y$523,14,FALSE)</f>
        <v>2</v>
      </c>
      <c r="N528">
        <f>VLOOKUP($C528,'2000 Place'!$C$2:$Y$523,15,FALSE)</f>
        <v>0</v>
      </c>
      <c r="O528">
        <f>VLOOKUP($C528,'2000 Place'!$C$2:$Y$523,16,FALSE)</f>
        <v>0</v>
      </c>
      <c r="P528">
        <f>VLOOKUP($C528,'2000 Place'!$C$2:$Y$523,17,FALSE)</f>
        <v>0</v>
      </c>
      <c r="Q528">
        <f>VLOOKUP($C528,'2000 Place'!$C$2:$Y$523,18,FALSE)</f>
        <v>5</v>
      </c>
      <c r="R528">
        <f>VLOOKUP($C528,'2000 Place'!$C$2:$Y$523,19,FALSE)</f>
        <v>0</v>
      </c>
      <c r="S528">
        <f>VLOOKUP($C528,'2000 Place'!$C$2:$Y$523,20,FALSE)</f>
        <v>0</v>
      </c>
      <c r="T528">
        <f>VLOOKUP($C528,'2000 Place'!$C$2:$Y$523,21,FALSE)</f>
        <v>2</v>
      </c>
      <c r="U528">
        <f>VLOOKUP($C528,'2000 Place'!$C$2:$Y$523,22,FALSE)</f>
        <v>29</v>
      </c>
      <c r="V528">
        <f>VLOOKUP($C528,'2000 Place'!$C$2:$Y$523,23,FALSE)</f>
        <v>0</v>
      </c>
    </row>
    <row r="529" spans="1:22" x14ac:dyDescent="0.25">
      <c r="A529" t="s">
        <v>1302</v>
      </c>
      <c r="B529">
        <v>5367435</v>
      </c>
      <c r="C529" t="s">
        <v>1303</v>
      </c>
      <c r="D529" t="e">
        <f>VLOOKUP($C529,'2000 Place'!$C$2:$Y$523,5,FALSE)</f>
        <v>#N/A</v>
      </c>
      <c r="E529" t="e">
        <f>VLOOKUP($C529,'2000 Place'!$C$2:$Y$523,6,FALSE)</f>
        <v>#N/A</v>
      </c>
      <c r="F529" t="e">
        <f>VLOOKUP($C529,'2000 Place'!$C$2:$Y$523,7,FALSE)</f>
        <v>#N/A</v>
      </c>
      <c r="G529" t="e">
        <f>VLOOKUP($C529,'2000 Place'!$C$2:$Y$523,8,FALSE)</f>
        <v>#N/A</v>
      </c>
      <c r="H529" t="e">
        <f>VLOOKUP($C529,'2000 Place'!$C$2:$Y$523,9,FALSE)</f>
        <v>#N/A</v>
      </c>
      <c r="I529" t="e">
        <f>VLOOKUP($C529,'2000 Place'!$C$2:$Y$523,10,FALSE)</f>
        <v>#N/A</v>
      </c>
      <c r="J529" t="e">
        <f>VLOOKUP($C529,'2000 Place'!$C$2:$Y$523,11,FALSE)</f>
        <v>#N/A</v>
      </c>
      <c r="K529" t="e">
        <f>VLOOKUP($C529,'2000 Place'!$C$2:$Y$523,12,FALSE)</f>
        <v>#N/A</v>
      </c>
      <c r="L529" t="e">
        <f>VLOOKUP($C529,'2000 Place'!$C$2:$Y$523,13,FALSE)</f>
        <v>#N/A</v>
      </c>
      <c r="M529" t="e">
        <f>VLOOKUP($C529,'2000 Place'!$C$2:$Y$523,14,FALSE)</f>
        <v>#N/A</v>
      </c>
      <c r="N529" t="e">
        <f>VLOOKUP($C529,'2000 Place'!$C$2:$Y$523,15,FALSE)</f>
        <v>#N/A</v>
      </c>
      <c r="O529" t="e">
        <f>VLOOKUP($C529,'2000 Place'!$C$2:$Y$523,16,FALSE)</f>
        <v>#N/A</v>
      </c>
      <c r="P529" t="e">
        <f>VLOOKUP($C529,'2000 Place'!$C$2:$Y$523,17,FALSE)</f>
        <v>#N/A</v>
      </c>
      <c r="Q529" t="e">
        <f>VLOOKUP($C529,'2000 Place'!$C$2:$Y$523,18,FALSE)</f>
        <v>#N/A</v>
      </c>
      <c r="R529" t="e">
        <f>VLOOKUP($C529,'2000 Place'!$C$2:$Y$523,19,FALSE)</f>
        <v>#N/A</v>
      </c>
      <c r="S529" t="e">
        <f>VLOOKUP($C529,'2000 Place'!$C$2:$Y$523,20,FALSE)</f>
        <v>#N/A</v>
      </c>
      <c r="T529" t="e">
        <f>VLOOKUP($C529,'2000 Place'!$C$2:$Y$523,21,FALSE)</f>
        <v>#N/A</v>
      </c>
      <c r="U529" t="e">
        <f>VLOOKUP($C529,'2000 Place'!$C$2:$Y$523,22,FALSE)</f>
        <v>#N/A</v>
      </c>
      <c r="V529" t="e">
        <f>VLOOKUP($C529,'2000 Place'!$C$2:$Y$523,23,FALSE)</f>
        <v>#N/A</v>
      </c>
    </row>
    <row r="530" spans="1:22" x14ac:dyDescent="0.25">
      <c r="A530" t="s">
        <v>1304</v>
      </c>
      <c r="B530">
        <v>5367455</v>
      </c>
      <c r="C530" t="s">
        <v>1305</v>
      </c>
      <c r="D530">
        <f>VLOOKUP($C530,'2000 Place'!$C$2:$Y$523,5,FALSE)</f>
        <v>3858</v>
      </c>
      <c r="E530">
        <f>VLOOKUP($C530,'2000 Place'!$C$2:$Y$523,6,FALSE)</f>
        <v>3645</v>
      </c>
      <c r="F530">
        <f>VLOOKUP($C530,'2000 Place'!$C$2:$Y$523,7,FALSE)</f>
        <v>213</v>
      </c>
      <c r="G530">
        <f>VLOOKUP($C530,'2000 Place'!$C$2:$Y$523,8,FALSE)</f>
        <v>3261</v>
      </c>
      <c r="H530">
        <f>VLOOKUP($C530,'2000 Place'!$C$2:$Y$523,9,FALSE)</f>
        <v>53</v>
      </c>
      <c r="I530">
        <f>VLOOKUP($C530,'2000 Place'!$C$2:$Y$523,10,FALSE)</f>
        <v>9</v>
      </c>
      <c r="J530">
        <f>VLOOKUP($C530,'2000 Place'!$C$2:$Y$523,11,FALSE)</f>
        <v>41</v>
      </c>
      <c r="K530">
        <f>VLOOKUP($C530,'2000 Place'!$C$2:$Y$523,12,FALSE)</f>
        <v>20</v>
      </c>
      <c r="L530">
        <f>VLOOKUP($C530,'2000 Place'!$C$2:$Y$523,13,FALSE)</f>
        <v>0</v>
      </c>
      <c r="M530">
        <f>VLOOKUP($C530,'2000 Place'!$C$2:$Y$523,14,FALSE)</f>
        <v>44</v>
      </c>
      <c r="N530">
        <f>VLOOKUP($C530,'2000 Place'!$C$2:$Y$523,15,FALSE)</f>
        <v>0</v>
      </c>
      <c r="O530">
        <f>VLOOKUP($C530,'2000 Place'!$C$2:$Y$523,16,FALSE)</f>
        <v>16</v>
      </c>
      <c r="P530">
        <f>VLOOKUP($C530,'2000 Place'!$C$2:$Y$523,17,FALSE)</f>
        <v>52</v>
      </c>
      <c r="Q530">
        <f>VLOOKUP($C530,'2000 Place'!$C$2:$Y$523,18,FALSE)</f>
        <v>0</v>
      </c>
      <c r="R530">
        <f>VLOOKUP($C530,'2000 Place'!$C$2:$Y$523,19,FALSE)</f>
        <v>0</v>
      </c>
      <c r="S530">
        <f>VLOOKUP($C530,'2000 Place'!$C$2:$Y$523,20,FALSE)</f>
        <v>91</v>
      </c>
      <c r="T530">
        <f>VLOOKUP($C530,'2000 Place'!$C$2:$Y$523,21,FALSE)</f>
        <v>54</v>
      </c>
      <c r="U530">
        <f>VLOOKUP($C530,'2000 Place'!$C$2:$Y$523,22,FALSE)</f>
        <v>204</v>
      </c>
      <c r="V530">
        <f>VLOOKUP($C530,'2000 Place'!$C$2:$Y$523,23,FALSE)</f>
        <v>13</v>
      </c>
    </row>
    <row r="531" spans="1:22" x14ac:dyDescent="0.25">
      <c r="A531" t="s">
        <v>1306</v>
      </c>
      <c r="B531">
        <v>5367490</v>
      </c>
      <c r="C531" t="s">
        <v>1307</v>
      </c>
      <c r="D531">
        <f>VLOOKUP($C531,'2000 Place'!$C$2:$Y$523,5,FALSE)</f>
        <v>115</v>
      </c>
      <c r="E531">
        <f>VLOOKUP($C531,'2000 Place'!$C$2:$Y$523,6,FALSE)</f>
        <v>115</v>
      </c>
      <c r="F531">
        <f>VLOOKUP($C531,'2000 Place'!$C$2:$Y$523,7,FALSE)</f>
        <v>0</v>
      </c>
      <c r="G531">
        <f>VLOOKUP($C531,'2000 Place'!$C$2:$Y$523,8,FALSE)</f>
        <v>112</v>
      </c>
      <c r="H531">
        <f>VLOOKUP($C531,'2000 Place'!$C$2:$Y$523,9,FALSE)</f>
        <v>0</v>
      </c>
      <c r="I531">
        <f>VLOOKUP($C531,'2000 Place'!$C$2:$Y$523,10,FALSE)</f>
        <v>3</v>
      </c>
      <c r="J531">
        <f>VLOOKUP($C531,'2000 Place'!$C$2:$Y$523,11,FALSE)</f>
        <v>0</v>
      </c>
      <c r="K531">
        <f>VLOOKUP($C531,'2000 Place'!$C$2:$Y$523,12,FALSE)</f>
        <v>0</v>
      </c>
      <c r="L531">
        <f>VLOOKUP($C531,'2000 Place'!$C$2:$Y$523,13,FALSE)</f>
        <v>0</v>
      </c>
      <c r="M531">
        <f>VLOOKUP($C531,'2000 Place'!$C$2:$Y$523,14,FALSE)</f>
        <v>0</v>
      </c>
      <c r="N531">
        <f>VLOOKUP($C531,'2000 Place'!$C$2:$Y$523,15,FALSE)</f>
        <v>0</v>
      </c>
      <c r="O531">
        <f>VLOOKUP($C531,'2000 Place'!$C$2:$Y$523,16,FALSE)</f>
        <v>0</v>
      </c>
      <c r="P531">
        <f>VLOOKUP($C531,'2000 Place'!$C$2:$Y$523,17,FALSE)</f>
        <v>0</v>
      </c>
      <c r="Q531">
        <f>VLOOKUP($C531,'2000 Place'!$C$2:$Y$523,18,FALSE)</f>
        <v>0</v>
      </c>
      <c r="R531">
        <f>VLOOKUP($C531,'2000 Place'!$C$2:$Y$523,19,FALSE)</f>
        <v>0</v>
      </c>
      <c r="S531">
        <f>VLOOKUP($C531,'2000 Place'!$C$2:$Y$523,20,FALSE)</f>
        <v>0</v>
      </c>
      <c r="T531">
        <f>VLOOKUP($C531,'2000 Place'!$C$2:$Y$523,21,FALSE)</f>
        <v>0</v>
      </c>
      <c r="U531">
        <f>VLOOKUP($C531,'2000 Place'!$C$2:$Y$523,22,FALSE)</f>
        <v>0</v>
      </c>
      <c r="V531">
        <f>VLOOKUP($C531,'2000 Place'!$C$2:$Y$523,23,FALSE)</f>
        <v>0</v>
      </c>
    </row>
    <row r="532" spans="1:22" x14ac:dyDescent="0.25">
      <c r="A532" t="s">
        <v>1308</v>
      </c>
      <c r="B532">
        <v>5367595</v>
      </c>
      <c r="C532" t="s">
        <v>1309</v>
      </c>
      <c r="D532">
        <f>VLOOKUP($C532,'2000 Place'!$C$2:$Y$523,5,FALSE)</f>
        <v>785</v>
      </c>
      <c r="E532">
        <f>VLOOKUP($C532,'2000 Place'!$C$2:$Y$523,6,FALSE)</f>
        <v>740</v>
      </c>
      <c r="F532">
        <f>VLOOKUP($C532,'2000 Place'!$C$2:$Y$523,7,FALSE)</f>
        <v>45</v>
      </c>
      <c r="G532">
        <f>VLOOKUP($C532,'2000 Place'!$C$2:$Y$523,8,FALSE)</f>
        <v>659</v>
      </c>
      <c r="H532">
        <f>VLOOKUP($C532,'2000 Place'!$C$2:$Y$523,9,FALSE)</f>
        <v>6</v>
      </c>
      <c r="I532">
        <f>VLOOKUP($C532,'2000 Place'!$C$2:$Y$523,10,FALSE)</f>
        <v>0</v>
      </c>
      <c r="J532">
        <f>VLOOKUP($C532,'2000 Place'!$C$2:$Y$523,11,FALSE)</f>
        <v>0</v>
      </c>
      <c r="K532">
        <f>VLOOKUP($C532,'2000 Place'!$C$2:$Y$523,12,FALSE)</f>
        <v>8</v>
      </c>
      <c r="L532">
        <f>VLOOKUP($C532,'2000 Place'!$C$2:$Y$523,13,FALSE)</f>
        <v>0</v>
      </c>
      <c r="M532">
        <f>VLOOKUP($C532,'2000 Place'!$C$2:$Y$523,14,FALSE)</f>
        <v>0</v>
      </c>
      <c r="N532">
        <f>VLOOKUP($C532,'2000 Place'!$C$2:$Y$523,15,FALSE)</f>
        <v>0</v>
      </c>
      <c r="O532">
        <f>VLOOKUP($C532,'2000 Place'!$C$2:$Y$523,16,FALSE)</f>
        <v>36</v>
      </c>
      <c r="P532">
        <f>VLOOKUP($C532,'2000 Place'!$C$2:$Y$523,17,FALSE)</f>
        <v>39</v>
      </c>
      <c r="Q532">
        <f>VLOOKUP($C532,'2000 Place'!$C$2:$Y$523,18,FALSE)</f>
        <v>9</v>
      </c>
      <c r="R532">
        <f>VLOOKUP($C532,'2000 Place'!$C$2:$Y$523,19,FALSE)</f>
        <v>0</v>
      </c>
      <c r="S532">
        <f>VLOOKUP($C532,'2000 Place'!$C$2:$Y$523,20,FALSE)</f>
        <v>3</v>
      </c>
      <c r="T532">
        <f>VLOOKUP($C532,'2000 Place'!$C$2:$Y$523,21,FALSE)</f>
        <v>0</v>
      </c>
      <c r="U532">
        <f>VLOOKUP($C532,'2000 Place'!$C$2:$Y$523,22,FALSE)</f>
        <v>25</v>
      </c>
      <c r="V532">
        <f>VLOOKUP($C532,'2000 Place'!$C$2:$Y$523,23,FALSE)</f>
        <v>0</v>
      </c>
    </row>
    <row r="533" spans="1:22" x14ac:dyDescent="0.25">
      <c r="A533" t="s">
        <v>1310</v>
      </c>
      <c r="B533">
        <v>5367770</v>
      </c>
      <c r="C533" t="s">
        <v>1311</v>
      </c>
      <c r="D533">
        <f>VLOOKUP($C533,'2000 Place'!$C$2:$Y$523,5,FALSE)</f>
        <v>5980</v>
      </c>
      <c r="E533">
        <f>VLOOKUP($C533,'2000 Place'!$C$2:$Y$523,6,FALSE)</f>
        <v>5100</v>
      </c>
      <c r="F533">
        <f>VLOOKUP($C533,'2000 Place'!$C$2:$Y$523,7,FALSE)</f>
        <v>880</v>
      </c>
      <c r="G533">
        <f>VLOOKUP($C533,'2000 Place'!$C$2:$Y$523,8,FALSE)</f>
        <v>4221</v>
      </c>
      <c r="H533">
        <f>VLOOKUP($C533,'2000 Place'!$C$2:$Y$523,9,FALSE)</f>
        <v>399</v>
      </c>
      <c r="I533">
        <f>VLOOKUP($C533,'2000 Place'!$C$2:$Y$523,10,FALSE)</f>
        <v>108</v>
      </c>
      <c r="J533">
        <f>VLOOKUP($C533,'2000 Place'!$C$2:$Y$523,11,FALSE)</f>
        <v>56</v>
      </c>
      <c r="K533">
        <f>VLOOKUP($C533,'2000 Place'!$C$2:$Y$523,12,FALSE)</f>
        <v>324</v>
      </c>
      <c r="L533">
        <f>VLOOKUP($C533,'2000 Place'!$C$2:$Y$523,13,FALSE)</f>
        <v>29</v>
      </c>
      <c r="M533">
        <f>VLOOKUP($C533,'2000 Place'!$C$2:$Y$523,14,FALSE)</f>
        <v>71</v>
      </c>
      <c r="N533">
        <f>VLOOKUP($C533,'2000 Place'!$C$2:$Y$523,15,FALSE)</f>
        <v>0</v>
      </c>
      <c r="O533">
        <f>VLOOKUP($C533,'2000 Place'!$C$2:$Y$523,16,FALSE)</f>
        <v>82</v>
      </c>
      <c r="P533">
        <f>VLOOKUP($C533,'2000 Place'!$C$2:$Y$523,17,FALSE)</f>
        <v>334</v>
      </c>
      <c r="Q533">
        <f>VLOOKUP($C533,'2000 Place'!$C$2:$Y$523,18,FALSE)</f>
        <v>0</v>
      </c>
      <c r="R533">
        <f>VLOOKUP($C533,'2000 Place'!$C$2:$Y$523,19,FALSE)</f>
        <v>0</v>
      </c>
      <c r="S533">
        <f>VLOOKUP($C533,'2000 Place'!$C$2:$Y$523,20,FALSE)</f>
        <v>118</v>
      </c>
      <c r="T533">
        <f>VLOOKUP($C533,'2000 Place'!$C$2:$Y$523,21,FALSE)</f>
        <v>28</v>
      </c>
      <c r="U533">
        <f>VLOOKUP($C533,'2000 Place'!$C$2:$Y$523,22,FALSE)</f>
        <v>176</v>
      </c>
      <c r="V533">
        <f>VLOOKUP($C533,'2000 Place'!$C$2:$Y$523,23,FALSE)</f>
        <v>34</v>
      </c>
    </row>
    <row r="534" spans="1:22" x14ac:dyDescent="0.25">
      <c r="A534" t="s">
        <v>1312</v>
      </c>
      <c r="B534">
        <v>5367805</v>
      </c>
      <c r="C534" t="s">
        <v>1313</v>
      </c>
      <c r="D534" t="e">
        <f>VLOOKUP($C534,'2000 Place'!$C$2:$Y$523,5,FALSE)</f>
        <v>#N/A</v>
      </c>
      <c r="E534" t="e">
        <f>VLOOKUP($C534,'2000 Place'!$C$2:$Y$523,6,FALSE)</f>
        <v>#N/A</v>
      </c>
      <c r="F534" t="e">
        <f>VLOOKUP($C534,'2000 Place'!$C$2:$Y$523,7,FALSE)</f>
        <v>#N/A</v>
      </c>
      <c r="G534" t="e">
        <f>VLOOKUP($C534,'2000 Place'!$C$2:$Y$523,8,FALSE)</f>
        <v>#N/A</v>
      </c>
      <c r="H534" t="e">
        <f>VLOOKUP($C534,'2000 Place'!$C$2:$Y$523,9,FALSE)</f>
        <v>#N/A</v>
      </c>
      <c r="I534" t="e">
        <f>VLOOKUP($C534,'2000 Place'!$C$2:$Y$523,10,FALSE)</f>
        <v>#N/A</v>
      </c>
      <c r="J534" t="e">
        <f>VLOOKUP($C534,'2000 Place'!$C$2:$Y$523,11,FALSE)</f>
        <v>#N/A</v>
      </c>
      <c r="K534" t="e">
        <f>VLOOKUP($C534,'2000 Place'!$C$2:$Y$523,12,FALSE)</f>
        <v>#N/A</v>
      </c>
      <c r="L534" t="e">
        <f>VLOOKUP($C534,'2000 Place'!$C$2:$Y$523,13,FALSE)</f>
        <v>#N/A</v>
      </c>
      <c r="M534" t="e">
        <f>VLOOKUP($C534,'2000 Place'!$C$2:$Y$523,14,FALSE)</f>
        <v>#N/A</v>
      </c>
      <c r="N534" t="e">
        <f>VLOOKUP($C534,'2000 Place'!$C$2:$Y$523,15,FALSE)</f>
        <v>#N/A</v>
      </c>
      <c r="O534" t="e">
        <f>VLOOKUP($C534,'2000 Place'!$C$2:$Y$523,16,FALSE)</f>
        <v>#N/A</v>
      </c>
      <c r="P534" t="e">
        <f>VLOOKUP($C534,'2000 Place'!$C$2:$Y$523,17,FALSE)</f>
        <v>#N/A</v>
      </c>
      <c r="Q534" t="e">
        <f>VLOOKUP($C534,'2000 Place'!$C$2:$Y$523,18,FALSE)</f>
        <v>#N/A</v>
      </c>
      <c r="R534" t="e">
        <f>VLOOKUP($C534,'2000 Place'!$C$2:$Y$523,19,FALSE)</f>
        <v>#N/A</v>
      </c>
      <c r="S534" t="e">
        <f>VLOOKUP($C534,'2000 Place'!$C$2:$Y$523,20,FALSE)</f>
        <v>#N/A</v>
      </c>
      <c r="T534" t="e">
        <f>VLOOKUP($C534,'2000 Place'!$C$2:$Y$523,21,FALSE)</f>
        <v>#N/A</v>
      </c>
      <c r="U534" t="e">
        <f>VLOOKUP($C534,'2000 Place'!$C$2:$Y$523,22,FALSE)</f>
        <v>#N/A</v>
      </c>
      <c r="V534" t="e">
        <f>VLOOKUP($C534,'2000 Place'!$C$2:$Y$523,23,FALSE)</f>
        <v>#N/A</v>
      </c>
    </row>
    <row r="535" spans="1:22" x14ac:dyDescent="0.25">
      <c r="A535" t="s">
        <v>1314</v>
      </c>
      <c r="B535">
        <v>5367875</v>
      </c>
      <c r="C535" t="s">
        <v>1315</v>
      </c>
      <c r="D535">
        <f>VLOOKUP($C535,'2000 Place'!$C$2:$Y$523,5,FALSE)</f>
        <v>1211</v>
      </c>
      <c r="E535">
        <f>VLOOKUP($C535,'2000 Place'!$C$2:$Y$523,6,FALSE)</f>
        <v>1182</v>
      </c>
      <c r="F535">
        <f>VLOOKUP($C535,'2000 Place'!$C$2:$Y$523,7,FALSE)</f>
        <v>29</v>
      </c>
      <c r="G535">
        <f>VLOOKUP($C535,'2000 Place'!$C$2:$Y$523,8,FALSE)</f>
        <v>1081</v>
      </c>
      <c r="H535">
        <f>VLOOKUP($C535,'2000 Place'!$C$2:$Y$523,9,FALSE)</f>
        <v>23</v>
      </c>
      <c r="I535">
        <f>VLOOKUP($C535,'2000 Place'!$C$2:$Y$523,10,FALSE)</f>
        <v>12</v>
      </c>
      <c r="J535">
        <f>VLOOKUP($C535,'2000 Place'!$C$2:$Y$523,11,FALSE)</f>
        <v>0</v>
      </c>
      <c r="K535">
        <f>VLOOKUP($C535,'2000 Place'!$C$2:$Y$523,12,FALSE)</f>
        <v>2</v>
      </c>
      <c r="L535">
        <f>VLOOKUP($C535,'2000 Place'!$C$2:$Y$523,13,FALSE)</f>
        <v>0</v>
      </c>
      <c r="M535">
        <f>VLOOKUP($C535,'2000 Place'!$C$2:$Y$523,14,FALSE)</f>
        <v>37</v>
      </c>
      <c r="N535">
        <f>VLOOKUP($C535,'2000 Place'!$C$2:$Y$523,15,FALSE)</f>
        <v>0</v>
      </c>
      <c r="O535">
        <f>VLOOKUP($C535,'2000 Place'!$C$2:$Y$523,16,FALSE)</f>
        <v>0</v>
      </c>
      <c r="P535">
        <f>VLOOKUP($C535,'2000 Place'!$C$2:$Y$523,17,FALSE)</f>
        <v>4</v>
      </c>
      <c r="Q535">
        <f>VLOOKUP($C535,'2000 Place'!$C$2:$Y$523,18,FALSE)</f>
        <v>0</v>
      </c>
      <c r="R535">
        <f>VLOOKUP($C535,'2000 Place'!$C$2:$Y$523,19,FALSE)</f>
        <v>0</v>
      </c>
      <c r="S535">
        <f>VLOOKUP($C535,'2000 Place'!$C$2:$Y$523,20,FALSE)</f>
        <v>12</v>
      </c>
      <c r="T535">
        <f>VLOOKUP($C535,'2000 Place'!$C$2:$Y$523,21,FALSE)</f>
        <v>0</v>
      </c>
      <c r="U535">
        <f>VLOOKUP($C535,'2000 Place'!$C$2:$Y$523,22,FALSE)</f>
        <v>38</v>
      </c>
      <c r="V535">
        <f>VLOOKUP($C535,'2000 Place'!$C$2:$Y$523,23,FALSE)</f>
        <v>2</v>
      </c>
    </row>
    <row r="536" spans="1:22" x14ac:dyDescent="0.25">
      <c r="A536" t="s">
        <v>1316</v>
      </c>
      <c r="B536">
        <v>5368200</v>
      </c>
      <c r="C536" t="s">
        <v>1317</v>
      </c>
      <c r="D536">
        <f>VLOOKUP($C536,'2000 Place'!$C$2:$Y$523,5,FALSE)</f>
        <v>4175</v>
      </c>
      <c r="E536">
        <f>VLOOKUP($C536,'2000 Place'!$C$2:$Y$523,6,FALSE)</f>
        <v>3780</v>
      </c>
      <c r="F536">
        <f>VLOOKUP($C536,'2000 Place'!$C$2:$Y$523,7,FALSE)</f>
        <v>395</v>
      </c>
      <c r="G536">
        <f>VLOOKUP($C536,'2000 Place'!$C$2:$Y$523,8,FALSE)</f>
        <v>3480</v>
      </c>
      <c r="H536">
        <f>VLOOKUP($C536,'2000 Place'!$C$2:$Y$523,9,FALSE)</f>
        <v>356</v>
      </c>
      <c r="I536">
        <f>VLOOKUP($C536,'2000 Place'!$C$2:$Y$523,10,FALSE)</f>
        <v>45</v>
      </c>
      <c r="J536">
        <f>VLOOKUP($C536,'2000 Place'!$C$2:$Y$523,11,FALSE)</f>
        <v>9</v>
      </c>
      <c r="K536">
        <f>VLOOKUP($C536,'2000 Place'!$C$2:$Y$523,12,FALSE)</f>
        <v>82</v>
      </c>
      <c r="L536">
        <f>VLOOKUP($C536,'2000 Place'!$C$2:$Y$523,13,FALSE)</f>
        <v>0</v>
      </c>
      <c r="M536">
        <f>VLOOKUP($C536,'2000 Place'!$C$2:$Y$523,14,FALSE)</f>
        <v>43</v>
      </c>
      <c r="N536">
        <f>VLOOKUP($C536,'2000 Place'!$C$2:$Y$523,15,FALSE)</f>
        <v>0</v>
      </c>
      <c r="O536">
        <f>VLOOKUP($C536,'2000 Place'!$C$2:$Y$523,16,FALSE)</f>
        <v>14</v>
      </c>
      <c r="P536">
        <f>VLOOKUP($C536,'2000 Place'!$C$2:$Y$523,17,FALSE)</f>
        <v>15</v>
      </c>
      <c r="Q536">
        <f>VLOOKUP($C536,'2000 Place'!$C$2:$Y$523,18,FALSE)</f>
        <v>0</v>
      </c>
      <c r="R536">
        <f>VLOOKUP($C536,'2000 Place'!$C$2:$Y$523,19,FALSE)</f>
        <v>0</v>
      </c>
      <c r="S536">
        <f>VLOOKUP($C536,'2000 Place'!$C$2:$Y$523,20,FALSE)</f>
        <v>10</v>
      </c>
      <c r="T536">
        <f>VLOOKUP($C536,'2000 Place'!$C$2:$Y$523,21,FALSE)</f>
        <v>0</v>
      </c>
      <c r="U536">
        <f>VLOOKUP($C536,'2000 Place'!$C$2:$Y$523,22,FALSE)</f>
        <v>106</v>
      </c>
      <c r="V536">
        <f>VLOOKUP($C536,'2000 Place'!$C$2:$Y$523,23,FALSE)</f>
        <v>15</v>
      </c>
    </row>
    <row r="537" spans="1:22" x14ac:dyDescent="0.25">
      <c r="A537" t="s">
        <v>1318</v>
      </c>
      <c r="B537">
        <v>5368260</v>
      </c>
      <c r="C537" t="s">
        <v>1319</v>
      </c>
      <c r="D537">
        <f>VLOOKUP($C537,'2000 Place'!$C$2:$Y$523,5,FALSE)</f>
        <v>3372</v>
      </c>
      <c r="E537">
        <f>VLOOKUP($C537,'2000 Place'!$C$2:$Y$523,6,FALSE)</f>
        <v>3150</v>
      </c>
      <c r="F537">
        <f>VLOOKUP($C537,'2000 Place'!$C$2:$Y$523,7,FALSE)</f>
        <v>222</v>
      </c>
      <c r="G537">
        <f>VLOOKUP($C537,'2000 Place'!$C$2:$Y$523,8,FALSE)</f>
        <v>2886</v>
      </c>
      <c r="H537">
        <f>VLOOKUP($C537,'2000 Place'!$C$2:$Y$523,9,FALSE)</f>
        <v>129</v>
      </c>
      <c r="I537">
        <f>VLOOKUP($C537,'2000 Place'!$C$2:$Y$523,10,FALSE)</f>
        <v>5</v>
      </c>
      <c r="J537">
        <f>VLOOKUP($C537,'2000 Place'!$C$2:$Y$523,11,FALSE)</f>
        <v>0</v>
      </c>
      <c r="K537">
        <f>VLOOKUP($C537,'2000 Place'!$C$2:$Y$523,12,FALSE)</f>
        <v>0</v>
      </c>
      <c r="L537">
        <f>VLOOKUP($C537,'2000 Place'!$C$2:$Y$523,13,FALSE)</f>
        <v>0</v>
      </c>
      <c r="M537">
        <f>VLOOKUP($C537,'2000 Place'!$C$2:$Y$523,14,FALSE)</f>
        <v>44</v>
      </c>
      <c r="N537">
        <f>VLOOKUP($C537,'2000 Place'!$C$2:$Y$523,15,FALSE)</f>
        <v>0</v>
      </c>
      <c r="O537">
        <f>VLOOKUP($C537,'2000 Place'!$C$2:$Y$523,16,FALSE)</f>
        <v>42</v>
      </c>
      <c r="P537">
        <f>VLOOKUP($C537,'2000 Place'!$C$2:$Y$523,17,FALSE)</f>
        <v>93</v>
      </c>
      <c r="Q537">
        <f>VLOOKUP($C537,'2000 Place'!$C$2:$Y$523,18,FALSE)</f>
        <v>5</v>
      </c>
      <c r="R537">
        <f>VLOOKUP($C537,'2000 Place'!$C$2:$Y$523,19,FALSE)</f>
        <v>0</v>
      </c>
      <c r="S537">
        <f>VLOOKUP($C537,'2000 Place'!$C$2:$Y$523,20,FALSE)</f>
        <v>0</v>
      </c>
      <c r="T537">
        <f>VLOOKUP($C537,'2000 Place'!$C$2:$Y$523,21,FALSE)</f>
        <v>0</v>
      </c>
      <c r="U537">
        <f>VLOOKUP($C537,'2000 Place'!$C$2:$Y$523,22,FALSE)</f>
        <v>168</v>
      </c>
      <c r="V537">
        <f>VLOOKUP($C537,'2000 Place'!$C$2:$Y$523,23,FALSE)</f>
        <v>0</v>
      </c>
    </row>
    <row r="538" spans="1:22" x14ac:dyDescent="0.25">
      <c r="A538" t="s">
        <v>1320</v>
      </c>
      <c r="B538">
        <v>5368330</v>
      </c>
      <c r="C538" t="s">
        <v>1321</v>
      </c>
      <c r="D538">
        <f>VLOOKUP($C538,'2000 Place'!$C$2:$Y$523,5,FALSE)</f>
        <v>965</v>
      </c>
      <c r="E538">
        <f>VLOOKUP($C538,'2000 Place'!$C$2:$Y$523,6,FALSE)</f>
        <v>810</v>
      </c>
      <c r="F538">
        <f>VLOOKUP($C538,'2000 Place'!$C$2:$Y$523,7,FALSE)</f>
        <v>155</v>
      </c>
      <c r="G538">
        <f>VLOOKUP($C538,'2000 Place'!$C$2:$Y$523,8,FALSE)</f>
        <v>715</v>
      </c>
      <c r="H538">
        <f>VLOOKUP($C538,'2000 Place'!$C$2:$Y$523,9,FALSE)</f>
        <v>93</v>
      </c>
      <c r="I538">
        <f>VLOOKUP($C538,'2000 Place'!$C$2:$Y$523,10,FALSE)</f>
        <v>11</v>
      </c>
      <c r="J538">
        <f>VLOOKUP($C538,'2000 Place'!$C$2:$Y$523,11,FALSE)</f>
        <v>2</v>
      </c>
      <c r="K538">
        <f>VLOOKUP($C538,'2000 Place'!$C$2:$Y$523,12,FALSE)</f>
        <v>0</v>
      </c>
      <c r="L538">
        <f>VLOOKUP($C538,'2000 Place'!$C$2:$Y$523,13,FALSE)</f>
        <v>0</v>
      </c>
      <c r="M538">
        <f>VLOOKUP($C538,'2000 Place'!$C$2:$Y$523,14,FALSE)</f>
        <v>32</v>
      </c>
      <c r="N538">
        <f>VLOOKUP($C538,'2000 Place'!$C$2:$Y$523,15,FALSE)</f>
        <v>2</v>
      </c>
      <c r="O538">
        <f>VLOOKUP($C538,'2000 Place'!$C$2:$Y$523,16,FALSE)</f>
        <v>24</v>
      </c>
      <c r="P538">
        <f>VLOOKUP($C538,'2000 Place'!$C$2:$Y$523,17,FALSE)</f>
        <v>47</v>
      </c>
      <c r="Q538">
        <f>VLOOKUP($C538,'2000 Place'!$C$2:$Y$523,18,FALSE)</f>
        <v>0</v>
      </c>
      <c r="R538">
        <f>VLOOKUP($C538,'2000 Place'!$C$2:$Y$523,19,FALSE)</f>
        <v>0</v>
      </c>
      <c r="S538">
        <f>VLOOKUP($C538,'2000 Place'!$C$2:$Y$523,20,FALSE)</f>
        <v>21</v>
      </c>
      <c r="T538">
        <f>VLOOKUP($C538,'2000 Place'!$C$2:$Y$523,21,FALSE)</f>
        <v>11</v>
      </c>
      <c r="U538">
        <f>VLOOKUP($C538,'2000 Place'!$C$2:$Y$523,22,FALSE)</f>
        <v>7</v>
      </c>
      <c r="V538">
        <f>VLOOKUP($C538,'2000 Place'!$C$2:$Y$523,23,FALSE)</f>
        <v>0</v>
      </c>
    </row>
    <row r="539" spans="1:22" x14ac:dyDescent="0.25">
      <c r="A539" t="s">
        <v>1322</v>
      </c>
      <c r="B539">
        <v>5368365</v>
      </c>
      <c r="C539" t="s">
        <v>1323</v>
      </c>
      <c r="D539">
        <f>VLOOKUP($C539,'2000 Place'!$C$2:$Y$523,5,FALSE)</f>
        <v>8125</v>
      </c>
      <c r="E539">
        <f>VLOOKUP($C539,'2000 Place'!$C$2:$Y$523,6,FALSE)</f>
        <v>7637</v>
      </c>
      <c r="F539">
        <f>VLOOKUP($C539,'2000 Place'!$C$2:$Y$523,7,FALSE)</f>
        <v>488</v>
      </c>
      <c r="G539">
        <f>VLOOKUP($C539,'2000 Place'!$C$2:$Y$523,8,FALSE)</f>
        <v>6785</v>
      </c>
      <c r="H539">
        <f>VLOOKUP($C539,'2000 Place'!$C$2:$Y$523,9,FALSE)</f>
        <v>174</v>
      </c>
      <c r="I539">
        <f>VLOOKUP($C539,'2000 Place'!$C$2:$Y$523,10,FALSE)</f>
        <v>29</v>
      </c>
      <c r="J539">
        <f>VLOOKUP($C539,'2000 Place'!$C$2:$Y$523,11,FALSE)</f>
        <v>32</v>
      </c>
      <c r="K539">
        <f>VLOOKUP($C539,'2000 Place'!$C$2:$Y$523,12,FALSE)</f>
        <v>181</v>
      </c>
      <c r="L539">
        <f>VLOOKUP($C539,'2000 Place'!$C$2:$Y$523,13,FALSE)</f>
        <v>38</v>
      </c>
      <c r="M539">
        <f>VLOOKUP($C539,'2000 Place'!$C$2:$Y$523,14,FALSE)</f>
        <v>113</v>
      </c>
      <c r="N539">
        <f>VLOOKUP($C539,'2000 Place'!$C$2:$Y$523,15,FALSE)</f>
        <v>0</v>
      </c>
      <c r="O539">
        <f>VLOOKUP($C539,'2000 Place'!$C$2:$Y$523,16,FALSE)</f>
        <v>64</v>
      </c>
      <c r="P539">
        <f>VLOOKUP($C539,'2000 Place'!$C$2:$Y$523,17,FALSE)</f>
        <v>115</v>
      </c>
      <c r="Q539">
        <f>VLOOKUP($C539,'2000 Place'!$C$2:$Y$523,18,FALSE)</f>
        <v>27</v>
      </c>
      <c r="R539">
        <f>VLOOKUP($C539,'2000 Place'!$C$2:$Y$523,19,FALSE)</f>
        <v>0</v>
      </c>
      <c r="S539">
        <f>VLOOKUP($C539,'2000 Place'!$C$2:$Y$523,20,FALSE)</f>
        <v>59</v>
      </c>
      <c r="T539">
        <f>VLOOKUP($C539,'2000 Place'!$C$2:$Y$523,21,FALSE)</f>
        <v>37</v>
      </c>
      <c r="U539">
        <f>VLOOKUP($C539,'2000 Place'!$C$2:$Y$523,22,FALSE)</f>
        <v>379</v>
      </c>
      <c r="V539">
        <f>VLOOKUP($C539,'2000 Place'!$C$2:$Y$523,23,FALSE)</f>
        <v>92</v>
      </c>
    </row>
    <row r="540" spans="1:22" x14ac:dyDescent="0.25">
      <c r="A540" t="s">
        <v>1324</v>
      </c>
      <c r="B540">
        <v>5368410</v>
      </c>
      <c r="C540" t="s">
        <v>1325</v>
      </c>
      <c r="D540" t="e">
        <f>VLOOKUP($C540,'2000 Place'!$C$2:$Y$523,5,FALSE)</f>
        <v>#N/A</v>
      </c>
      <c r="E540" t="e">
        <f>VLOOKUP($C540,'2000 Place'!$C$2:$Y$523,6,FALSE)</f>
        <v>#N/A</v>
      </c>
      <c r="F540" t="e">
        <f>VLOOKUP($C540,'2000 Place'!$C$2:$Y$523,7,FALSE)</f>
        <v>#N/A</v>
      </c>
      <c r="G540" t="e">
        <f>VLOOKUP($C540,'2000 Place'!$C$2:$Y$523,8,FALSE)</f>
        <v>#N/A</v>
      </c>
      <c r="H540" t="e">
        <f>VLOOKUP($C540,'2000 Place'!$C$2:$Y$523,9,FALSE)</f>
        <v>#N/A</v>
      </c>
      <c r="I540" t="e">
        <f>VLOOKUP($C540,'2000 Place'!$C$2:$Y$523,10,FALSE)</f>
        <v>#N/A</v>
      </c>
      <c r="J540" t="e">
        <f>VLOOKUP($C540,'2000 Place'!$C$2:$Y$523,11,FALSE)</f>
        <v>#N/A</v>
      </c>
      <c r="K540" t="e">
        <f>VLOOKUP($C540,'2000 Place'!$C$2:$Y$523,12,FALSE)</f>
        <v>#N/A</v>
      </c>
      <c r="L540" t="e">
        <f>VLOOKUP($C540,'2000 Place'!$C$2:$Y$523,13,FALSE)</f>
        <v>#N/A</v>
      </c>
      <c r="M540" t="e">
        <f>VLOOKUP($C540,'2000 Place'!$C$2:$Y$523,14,FALSE)</f>
        <v>#N/A</v>
      </c>
      <c r="N540" t="e">
        <f>VLOOKUP($C540,'2000 Place'!$C$2:$Y$523,15,FALSE)</f>
        <v>#N/A</v>
      </c>
      <c r="O540" t="e">
        <f>VLOOKUP($C540,'2000 Place'!$C$2:$Y$523,16,FALSE)</f>
        <v>#N/A</v>
      </c>
      <c r="P540" t="e">
        <f>VLOOKUP($C540,'2000 Place'!$C$2:$Y$523,17,FALSE)</f>
        <v>#N/A</v>
      </c>
      <c r="Q540" t="e">
        <f>VLOOKUP($C540,'2000 Place'!$C$2:$Y$523,18,FALSE)</f>
        <v>#N/A</v>
      </c>
      <c r="R540" t="e">
        <f>VLOOKUP($C540,'2000 Place'!$C$2:$Y$523,19,FALSE)</f>
        <v>#N/A</v>
      </c>
      <c r="S540" t="e">
        <f>VLOOKUP($C540,'2000 Place'!$C$2:$Y$523,20,FALSE)</f>
        <v>#N/A</v>
      </c>
      <c r="T540" t="e">
        <f>VLOOKUP($C540,'2000 Place'!$C$2:$Y$523,21,FALSE)</f>
        <v>#N/A</v>
      </c>
      <c r="U540" t="e">
        <f>VLOOKUP($C540,'2000 Place'!$C$2:$Y$523,22,FALSE)</f>
        <v>#N/A</v>
      </c>
      <c r="V540" t="e">
        <f>VLOOKUP($C540,'2000 Place'!$C$2:$Y$523,23,FALSE)</f>
        <v>#N/A</v>
      </c>
    </row>
    <row r="541" spans="1:22" x14ac:dyDescent="0.25">
      <c r="A541" t="s">
        <v>1326</v>
      </c>
      <c r="B541">
        <v>5368417</v>
      </c>
      <c r="C541" t="s">
        <v>1327</v>
      </c>
      <c r="D541">
        <f>VLOOKUP($C541,'2000 Place'!$C$2:$Y$523,5,FALSE)</f>
        <v>793</v>
      </c>
      <c r="E541">
        <f>VLOOKUP($C541,'2000 Place'!$C$2:$Y$523,6,FALSE)</f>
        <v>782</v>
      </c>
      <c r="F541">
        <f>VLOOKUP($C541,'2000 Place'!$C$2:$Y$523,7,FALSE)</f>
        <v>11</v>
      </c>
      <c r="G541">
        <f>VLOOKUP($C541,'2000 Place'!$C$2:$Y$523,8,FALSE)</f>
        <v>735</v>
      </c>
      <c r="H541">
        <f>VLOOKUP($C541,'2000 Place'!$C$2:$Y$523,9,FALSE)</f>
        <v>0</v>
      </c>
      <c r="I541">
        <f>VLOOKUP($C541,'2000 Place'!$C$2:$Y$523,10,FALSE)</f>
        <v>8</v>
      </c>
      <c r="J541">
        <f>VLOOKUP($C541,'2000 Place'!$C$2:$Y$523,11,FALSE)</f>
        <v>0</v>
      </c>
      <c r="K541">
        <f>VLOOKUP($C541,'2000 Place'!$C$2:$Y$523,12,FALSE)</f>
        <v>0</v>
      </c>
      <c r="L541">
        <f>VLOOKUP($C541,'2000 Place'!$C$2:$Y$523,13,FALSE)</f>
        <v>0</v>
      </c>
      <c r="M541">
        <f>VLOOKUP($C541,'2000 Place'!$C$2:$Y$523,14,FALSE)</f>
        <v>27</v>
      </c>
      <c r="N541">
        <f>VLOOKUP($C541,'2000 Place'!$C$2:$Y$523,15,FALSE)</f>
        <v>0</v>
      </c>
      <c r="O541">
        <f>VLOOKUP($C541,'2000 Place'!$C$2:$Y$523,16,FALSE)</f>
        <v>0</v>
      </c>
      <c r="P541">
        <f>VLOOKUP($C541,'2000 Place'!$C$2:$Y$523,17,FALSE)</f>
        <v>0</v>
      </c>
      <c r="Q541">
        <f>VLOOKUP($C541,'2000 Place'!$C$2:$Y$523,18,FALSE)</f>
        <v>0</v>
      </c>
      <c r="R541">
        <f>VLOOKUP($C541,'2000 Place'!$C$2:$Y$523,19,FALSE)</f>
        <v>0</v>
      </c>
      <c r="S541">
        <f>VLOOKUP($C541,'2000 Place'!$C$2:$Y$523,20,FALSE)</f>
        <v>12</v>
      </c>
      <c r="T541">
        <f>VLOOKUP($C541,'2000 Place'!$C$2:$Y$523,21,FALSE)</f>
        <v>11</v>
      </c>
      <c r="U541">
        <f>VLOOKUP($C541,'2000 Place'!$C$2:$Y$523,22,FALSE)</f>
        <v>0</v>
      </c>
      <c r="V541">
        <f>VLOOKUP($C541,'2000 Place'!$C$2:$Y$523,23,FALSE)</f>
        <v>0</v>
      </c>
    </row>
    <row r="542" spans="1:22" x14ac:dyDescent="0.25">
      <c r="A542" t="s">
        <v>1328</v>
      </c>
      <c r="B542">
        <v>5368435</v>
      </c>
      <c r="C542" t="s">
        <v>1329</v>
      </c>
      <c r="D542">
        <f>VLOOKUP($C542,'2000 Place'!$C$2:$Y$523,5,FALSE)</f>
        <v>8443</v>
      </c>
      <c r="E542">
        <f>VLOOKUP($C542,'2000 Place'!$C$2:$Y$523,6,FALSE)</f>
        <v>7936</v>
      </c>
      <c r="F542">
        <f>VLOOKUP($C542,'2000 Place'!$C$2:$Y$523,7,FALSE)</f>
        <v>507</v>
      </c>
      <c r="G542">
        <f>VLOOKUP($C542,'2000 Place'!$C$2:$Y$523,8,FALSE)</f>
        <v>7212</v>
      </c>
      <c r="H542">
        <f>VLOOKUP($C542,'2000 Place'!$C$2:$Y$523,9,FALSE)</f>
        <v>269</v>
      </c>
      <c r="I542">
        <f>VLOOKUP($C542,'2000 Place'!$C$2:$Y$523,10,FALSE)</f>
        <v>180</v>
      </c>
      <c r="J542">
        <f>VLOOKUP($C542,'2000 Place'!$C$2:$Y$523,11,FALSE)</f>
        <v>34</v>
      </c>
      <c r="K542">
        <f>VLOOKUP($C542,'2000 Place'!$C$2:$Y$523,12,FALSE)</f>
        <v>83</v>
      </c>
      <c r="L542">
        <f>VLOOKUP($C542,'2000 Place'!$C$2:$Y$523,13,FALSE)</f>
        <v>6</v>
      </c>
      <c r="M542">
        <f>VLOOKUP($C542,'2000 Place'!$C$2:$Y$523,14,FALSE)</f>
        <v>116</v>
      </c>
      <c r="N542">
        <f>VLOOKUP($C542,'2000 Place'!$C$2:$Y$523,15,FALSE)</f>
        <v>12</v>
      </c>
      <c r="O542">
        <f>VLOOKUP($C542,'2000 Place'!$C$2:$Y$523,16,FALSE)</f>
        <v>33</v>
      </c>
      <c r="P542">
        <f>VLOOKUP($C542,'2000 Place'!$C$2:$Y$523,17,FALSE)</f>
        <v>51</v>
      </c>
      <c r="Q542">
        <f>VLOOKUP($C542,'2000 Place'!$C$2:$Y$523,18,FALSE)</f>
        <v>25</v>
      </c>
      <c r="R542">
        <f>VLOOKUP($C542,'2000 Place'!$C$2:$Y$523,19,FALSE)</f>
        <v>4</v>
      </c>
      <c r="S542">
        <f>VLOOKUP($C542,'2000 Place'!$C$2:$Y$523,20,FALSE)</f>
        <v>52</v>
      </c>
      <c r="T542">
        <f>VLOOKUP($C542,'2000 Place'!$C$2:$Y$523,21,FALSE)</f>
        <v>110</v>
      </c>
      <c r="U542">
        <f>VLOOKUP($C542,'2000 Place'!$C$2:$Y$523,22,FALSE)</f>
        <v>235</v>
      </c>
      <c r="V542">
        <f>VLOOKUP($C542,'2000 Place'!$C$2:$Y$523,23,FALSE)</f>
        <v>21</v>
      </c>
    </row>
    <row r="543" spans="1:22" x14ac:dyDescent="0.25">
      <c r="A543" t="s">
        <v>1330</v>
      </c>
      <c r="B543">
        <v>5368480</v>
      </c>
      <c r="C543" t="s">
        <v>1331</v>
      </c>
      <c r="D543" t="e">
        <f>VLOOKUP($C543,'2000 Place'!$C$2:$Y$523,5,FALSE)</f>
        <v>#N/A</v>
      </c>
      <c r="E543" t="e">
        <f>VLOOKUP($C543,'2000 Place'!$C$2:$Y$523,6,FALSE)</f>
        <v>#N/A</v>
      </c>
      <c r="F543" t="e">
        <f>VLOOKUP($C543,'2000 Place'!$C$2:$Y$523,7,FALSE)</f>
        <v>#N/A</v>
      </c>
      <c r="G543" t="e">
        <f>VLOOKUP($C543,'2000 Place'!$C$2:$Y$523,8,FALSE)</f>
        <v>#N/A</v>
      </c>
      <c r="H543" t="e">
        <f>VLOOKUP($C543,'2000 Place'!$C$2:$Y$523,9,FALSE)</f>
        <v>#N/A</v>
      </c>
      <c r="I543" t="e">
        <f>VLOOKUP($C543,'2000 Place'!$C$2:$Y$523,10,FALSE)</f>
        <v>#N/A</v>
      </c>
      <c r="J543" t="e">
        <f>VLOOKUP($C543,'2000 Place'!$C$2:$Y$523,11,FALSE)</f>
        <v>#N/A</v>
      </c>
      <c r="K543" t="e">
        <f>VLOOKUP($C543,'2000 Place'!$C$2:$Y$523,12,FALSE)</f>
        <v>#N/A</v>
      </c>
      <c r="L543" t="e">
        <f>VLOOKUP($C543,'2000 Place'!$C$2:$Y$523,13,FALSE)</f>
        <v>#N/A</v>
      </c>
      <c r="M543" t="e">
        <f>VLOOKUP($C543,'2000 Place'!$C$2:$Y$523,14,FALSE)</f>
        <v>#N/A</v>
      </c>
      <c r="N543" t="e">
        <f>VLOOKUP($C543,'2000 Place'!$C$2:$Y$523,15,FALSE)</f>
        <v>#N/A</v>
      </c>
      <c r="O543" t="e">
        <f>VLOOKUP($C543,'2000 Place'!$C$2:$Y$523,16,FALSE)</f>
        <v>#N/A</v>
      </c>
      <c r="P543" t="e">
        <f>VLOOKUP($C543,'2000 Place'!$C$2:$Y$523,17,FALSE)</f>
        <v>#N/A</v>
      </c>
      <c r="Q543" t="e">
        <f>VLOOKUP($C543,'2000 Place'!$C$2:$Y$523,18,FALSE)</f>
        <v>#N/A</v>
      </c>
      <c r="R543" t="e">
        <f>VLOOKUP($C543,'2000 Place'!$C$2:$Y$523,19,FALSE)</f>
        <v>#N/A</v>
      </c>
      <c r="S543" t="e">
        <f>VLOOKUP($C543,'2000 Place'!$C$2:$Y$523,20,FALSE)</f>
        <v>#N/A</v>
      </c>
      <c r="T543" t="e">
        <f>VLOOKUP($C543,'2000 Place'!$C$2:$Y$523,21,FALSE)</f>
        <v>#N/A</v>
      </c>
      <c r="U543" t="e">
        <f>VLOOKUP($C543,'2000 Place'!$C$2:$Y$523,22,FALSE)</f>
        <v>#N/A</v>
      </c>
      <c r="V543" t="e">
        <f>VLOOKUP($C543,'2000 Place'!$C$2:$Y$523,23,FALSE)</f>
        <v>#N/A</v>
      </c>
    </row>
    <row r="544" spans="1:22" x14ac:dyDescent="0.25">
      <c r="A544" t="s">
        <v>1332</v>
      </c>
      <c r="B544">
        <v>5368750</v>
      </c>
      <c r="C544" t="s">
        <v>1333</v>
      </c>
      <c r="D544">
        <f>VLOOKUP($C544,'2000 Place'!$C$2:$Y$523,5,FALSE)</f>
        <v>14072</v>
      </c>
      <c r="E544">
        <f>VLOOKUP($C544,'2000 Place'!$C$2:$Y$523,6,FALSE)</f>
        <v>9050</v>
      </c>
      <c r="F544">
        <f>VLOOKUP($C544,'2000 Place'!$C$2:$Y$523,7,FALSE)</f>
        <v>5022</v>
      </c>
      <c r="G544">
        <f>VLOOKUP($C544,'2000 Place'!$C$2:$Y$523,8,FALSE)</f>
        <v>3416</v>
      </c>
      <c r="H544">
        <f>VLOOKUP($C544,'2000 Place'!$C$2:$Y$523,9,FALSE)</f>
        <v>179</v>
      </c>
      <c r="I544">
        <f>VLOOKUP($C544,'2000 Place'!$C$2:$Y$523,10,FALSE)</f>
        <v>1205</v>
      </c>
      <c r="J544">
        <f>VLOOKUP($C544,'2000 Place'!$C$2:$Y$523,11,FALSE)</f>
        <v>1254</v>
      </c>
      <c r="K544">
        <f>VLOOKUP($C544,'2000 Place'!$C$2:$Y$523,12,FALSE)</f>
        <v>56</v>
      </c>
      <c r="L544">
        <f>VLOOKUP($C544,'2000 Place'!$C$2:$Y$523,13,FALSE)</f>
        <v>0</v>
      </c>
      <c r="M544">
        <f>VLOOKUP($C544,'2000 Place'!$C$2:$Y$523,14,FALSE)</f>
        <v>90</v>
      </c>
      <c r="N544">
        <f>VLOOKUP($C544,'2000 Place'!$C$2:$Y$523,15,FALSE)</f>
        <v>0</v>
      </c>
      <c r="O544">
        <f>VLOOKUP($C544,'2000 Place'!$C$2:$Y$523,16,FALSE)</f>
        <v>28</v>
      </c>
      <c r="P544">
        <f>VLOOKUP($C544,'2000 Place'!$C$2:$Y$523,17,FALSE)</f>
        <v>43</v>
      </c>
      <c r="Q544">
        <f>VLOOKUP($C544,'2000 Place'!$C$2:$Y$523,18,FALSE)</f>
        <v>40</v>
      </c>
      <c r="R544">
        <f>VLOOKUP($C544,'2000 Place'!$C$2:$Y$523,19,FALSE)</f>
        <v>18</v>
      </c>
      <c r="S544">
        <f>VLOOKUP($C544,'2000 Place'!$C$2:$Y$523,20,FALSE)</f>
        <v>3931</v>
      </c>
      <c r="T544">
        <f>VLOOKUP($C544,'2000 Place'!$C$2:$Y$523,21,FALSE)</f>
        <v>3407</v>
      </c>
      <c r="U544">
        <f>VLOOKUP($C544,'2000 Place'!$C$2:$Y$523,22,FALSE)</f>
        <v>284</v>
      </c>
      <c r="V544">
        <f>VLOOKUP($C544,'2000 Place'!$C$2:$Y$523,23,FALSE)</f>
        <v>121</v>
      </c>
    </row>
    <row r="545" spans="1:22" x14ac:dyDescent="0.25">
      <c r="A545" t="s">
        <v>1334</v>
      </c>
      <c r="B545">
        <v>5368785</v>
      </c>
      <c r="C545" t="s">
        <v>1335</v>
      </c>
      <c r="D545">
        <f>VLOOKUP($C545,'2000 Place'!$C$2:$Y$523,5,FALSE)</f>
        <v>2481</v>
      </c>
      <c r="E545">
        <f>VLOOKUP($C545,'2000 Place'!$C$2:$Y$523,6,FALSE)</f>
        <v>2318</v>
      </c>
      <c r="F545">
        <f>VLOOKUP($C545,'2000 Place'!$C$2:$Y$523,7,FALSE)</f>
        <v>163</v>
      </c>
      <c r="G545">
        <f>VLOOKUP($C545,'2000 Place'!$C$2:$Y$523,8,FALSE)</f>
        <v>2084</v>
      </c>
      <c r="H545">
        <f>VLOOKUP($C545,'2000 Place'!$C$2:$Y$523,9,FALSE)</f>
        <v>59</v>
      </c>
      <c r="I545">
        <f>VLOOKUP($C545,'2000 Place'!$C$2:$Y$523,10,FALSE)</f>
        <v>61</v>
      </c>
      <c r="J545">
        <f>VLOOKUP($C545,'2000 Place'!$C$2:$Y$523,11,FALSE)</f>
        <v>56</v>
      </c>
      <c r="K545">
        <f>VLOOKUP($C545,'2000 Place'!$C$2:$Y$523,12,FALSE)</f>
        <v>0</v>
      </c>
      <c r="L545">
        <f>VLOOKUP($C545,'2000 Place'!$C$2:$Y$523,13,FALSE)</f>
        <v>0</v>
      </c>
      <c r="M545">
        <f>VLOOKUP($C545,'2000 Place'!$C$2:$Y$523,14,FALSE)</f>
        <v>14</v>
      </c>
      <c r="N545">
        <f>VLOOKUP($C545,'2000 Place'!$C$2:$Y$523,15,FALSE)</f>
        <v>0</v>
      </c>
      <c r="O545">
        <f>VLOOKUP($C545,'2000 Place'!$C$2:$Y$523,16,FALSE)</f>
        <v>0</v>
      </c>
      <c r="P545">
        <f>VLOOKUP($C545,'2000 Place'!$C$2:$Y$523,17,FALSE)</f>
        <v>12</v>
      </c>
      <c r="Q545">
        <f>VLOOKUP($C545,'2000 Place'!$C$2:$Y$523,18,FALSE)</f>
        <v>0</v>
      </c>
      <c r="R545">
        <f>VLOOKUP($C545,'2000 Place'!$C$2:$Y$523,19,FALSE)</f>
        <v>0</v>
      </c>
      <c r="S545">
        <f>VLOOKUP($C545,'2000 Place'!$C$2:$Y$523,20,FALSE)</f>
        <v>109</v>
      </c>
      <c r="T545">
        <f>VLOOKUP($C545,'2000 Place'!$C$2:$Y$523,21,FALSE)</f>
        <v>36</v>
      </c>
      <c r="U545">
        <f>VLOOKUP($C545,'2000 Place'!$C$2:$Y$523,22,FALSE)</f>
        <v>50</v>
      </c>
      <c r="V545">
        <f>VLOOKUP($C545,'2000 Place'!$C$2:$Y$523,23,FALSE)</f>
        <v>0</v>
      </c>
    </row>
    <row r="546" spans="1:22" x14ac:dyDescent="0.25">
      <c r="A546" t="s">
        <v>1336</v>
      </c>
      <c r="B546">
        <v>5369170</v>
      </c>
      <c r="C546" t="s">
        <v>1337</v>
      </c>
      <c r="D546">
        <f>VLOOKUP($C546,'2000 Place'!$C$2:$Y$523,5,FALSE)</f>
        <v>3511</v>
      </c>
      <c r="E546">
        <f>VLOOKUP($C546,'2000 Place'!$C$2:$Y$523,6,FALSE)</f>
        <v>3303</v>
      </c>
      <c r="F546">
        <f>VLOOKUP($C546,'2000 Place'!$C$2:$Y$523,7,FALSE)</f>
        <v>208</v>
      </c>
      <c r="G546">
        <f>VLOOKUP($C546,'2000 Place'!$C$2:$Y$523,8,FALSE)</f>
        <v>2693</v>
      </c>
      <c r="H546">
        <f>VLOOKUP($C546,'2000 Place'!$C$2:$Y$523,9,FALSE)</f>
        <v>111</v>
      </c>
      <c r="I546">
        <f>VLOOKUP($C546,'2000 Place'!$C$2:$Y$523,10,FALSE)</f>
        <v>40</v>
      </c>
      <c r="J546">
        <f>VLOOKUP($C546,'2000 Place'!$C$2:$Y$523,11,FALSE)</f>
        <v>5</v>
      </c>
      <c r="K546">
        <f>VLOOKUP($C546,'2000 Place'!$C$2:$Y$523,12,FALSE)</f>
        <v>7</v>
      </c>
      <c r="L546">
        <f>VLOOKUP($C546,'2000 Place'!$C$2:$Y$523,13,FALSE)</f>
        <v>0</v>
      </c>
      <c r="M546">
        <f>VLOOKUP($C546,'2000 Place'!$C$2:$Y$523,14,FALSE)</f>
        <v>352</v>
      </c>
      <c r="N546">
        <f>VLOOKUP($C546,'2000 Place'!$C$2:$Y$523,15,FALSE)</f>
        <v>4</v>
      </c>
      <c r="O546">
        <f>VLOOKUP($C546,'2000 Place'!$C$2:$Y$523,16,FALSE)</f>
        <v>31</v>
      </c>
      <c r="P546">
        <f>VLOOKUP($C546,'2000 Place'!$C$2:$Y$523,17,FALSE)</f>
        <v>64</v>
      </c>
      <c r="Q546">
        <f>VLOOKUP($C546,'2000 Place'!$C$2:$Y$523,18,FALSE)</f>
        <v>0</v>
      </c>
      <c r="R546">
        <f>VLOOKUP($C546,'2000 Place'!$C$2:$Y$523,19,FALSE)</f>
        <v>0</v>
      </c>
      <c r="S546">
        <f>VLOOKUP($C546,'2000 Place'!$C$2:$Y$523,20,FALSE)</f>
        <v>43</v>
      </c>
      <c r="T546">
        <f>VLOOKUP($C546,'2000 Place'!$C$2:$Y$523,21,FALSE)</f>
        <v>7</v>
      </c>
      <c r="U546">
        <f>VLOOKUP($C546,'2000 Place'!$C$2:$Y$523,22,FALSE)</f>
        <v>137</v>
      </c>
      <c r="V546">
        <f>VLOOKUP($C546,'2000 Place'!$C$2:$Y$523,23,FALSE)</f>
        <v>17</v>
      </c>
    </row>
    <row r="547" spans="1:22" x14ac:dyDescent="0.25">
      <c r="A547" t="s">
        <v>1338</v>
      </c>
      <c r="B547">
        <v>5369280</v>
      </c>
      <c r="C547" t="s">
        <v>1339</v>
      </c>
      <c r="D547" t="e">
        <f>VLOOKUP($C547,'2000 Place'!$C$2:$Y$523,5,FALSE)</f>
        <v>#N/A</v>
      </c>
      <c r="E547" t="e">
        <f>VLOOKUP($C547,'2000 Place'!$C$2:$Y$523,6,FALSE)</f>
        <v>#N/A</v>
      </c>
      <c r="F547" t="e">
        <f>VLOOKUP($C547,'2000 Place'!$C$2:$Y$523,7,FALSE)</f>
        <v>#N/A</v>
      </c>
      <c r="G547" t="e">
        <f>VLOOKUP($C547,'2000 Place'!$C$2:$Y$523,8,FALSE)</f>
        <v>#N/A</v>
      </c>
      <c r="H547" t="e">
        <f>VLOOKUP($C547,'2000 Place'!$C$2:$Y$523,9,FALSE)</f>
        <v>#N/A</v>
      </c>
      <c r="I547" t="e">
        <f>VLOOKUP($C547,'2000 Place'!$C$2:$Y$523,10,FALSE)</f>
        <v>#N/A</v>
      </c>
      <c r="J547" t="e">
        <f>VLOOKUP($C547,'2000 Place'!$C$2:$Y$523,11,FALSE)</f>
        <v>#N/A</v>
      </c>
      <c r="K547" t="e">
        <f>VLOOKUP($C547,'2000 Place'!$C$2:$Y$523,12,FALSE)</f>
        <v>#N/A</v>
      </c>
      <c r="L547" t="e">
        <f>VLOOKUP($C547,'2000 Place'!$C$2:$Y$523,13,FALSE)</f>
        <v>#N/A</v>
      </c>
      <c r="M547" t="e">
        <f>VLOOKUP($C547,'2000 Place'!$C$2:$Y$523,14,FALSE)</f>
        <v>#N/A</v>
      </c>
      <c r="N547" t="e">
        <f>VLOOKUP($C547,'2000 Place'!$C$2:$Y$523,15,FALSE)</f>
        <v>#N/A</v>
      </c>
      <c r="O547" t="e">
        <f>VLOOKUP($C547,'2000 Place'!$C$2:$Y$523,16,FALSE)</f>
        <v>#N/A</v>
      </c>
      <c r="P547" t="e">
        <f>VLOOKUP($C547,'2000 Place'!$C$2:$Y$523,17,FALSE)</f>
        <v>#N/A</v>
      </c>
      <c r="Q547" t="e">
        <f>VLOOKUP($C547,'2000 Place'!$C$2:$Y$523,18,FALSE)</f>
        <v>#N/A</v>
      </c>
      <c r="R547" t="e">
        <f>VLOOKUP($C547,'2000 Place'!$C$2:$Y$523,19,FALSE)</f>
        <v>#N/A</v>
      </c>
      <c r="S547" t="e">
        <f>VLOOKUP($C547,'2000 Place'!$C$2:$Y$523,20,FALSE)</f>
        <v>#N/A</v>
      </c>
      <c r="T547" t="e">
        <f>VLOOKUP($C547,'2000 Place'!$C$2:$Y$523,21,FALSE)</f>
        <v>#N/A</v>
      </c>
      <c r="U547" t="e">
        <f>VLOOKUP($C547,'2000 Place'!$C$2:$Y$523,22,FALSE)</f>
        <v>#N/A</v>
      </c>
      <c r="V547" t="e">
        <f>VLOOKUP($C547,'2000 Place'!$C$2:$Y$523,23,FALSE)</f>
        <v>#N/A</v>
      </c>
    </row>
    <row r="548" spans="1:22" x14ac:dyDescent="0.25">
      <c r="A548" t="s">
        <v>1340</v>
      </c>
      <c r="B548">
        <v>5370000</v>
      </c>
      <c r="C548" t="s">
        <v>1341</v>
      </c>
      <c r="D548">
        <f>VLOOKUP($C548,'2000 Place'!$C$2:$Y$523,5,FALSE)</f>
        <v>193177</v>
      </c>
      <c r="E548">
        <f>VLOOKUP($C548,'2000 Place'!$C$2:$Y$523,6,FALSE)</f>
        <v>165716</v>
      </c>
      <c r="F548">
        <f>VLOOKUP($C548,'2000 Place'!$C$2:$Y$523,7,FALSE)</f>
        <v>27461</v>
      </c>
      <c r="G548">
        <f>VLOOKUP($C548,'2000 Place'!$C$2:$Y$523,8,FALSE)</f>
        <v>119662</v>
      </c>
      <c r="H548">
        <f>VLOOKUP($C548,'2000 Place'!$C$2:$Y$523,9,FALSE)</f>
        <v>8856</v>
      </c>
      <c r="I548">
        <f>VLOOKUP($C548,'2000 Place'!$C$2:$Y$523,10,FALSE)</f>
        <v>3412</v>
      </c>
      <c r="J548">
        <f>VLOOKUP($C548,'2000 Place'!$C$2:$Y$523,11,FALSE)</f>
        <v>1851</v>
      </c>
      <c r="K548">
        <f>VLOOKUP($C548,'2000 Place'!$C$2:$Y$523,12,FALSE)</f>
        <v>20486</v>
      </c>
      <c r="L548">
        <f>VLOOKUP($C548,'2000 Place'!$C$2:$Y$523,13,FALSE)</f>
        <v>1181</v>
      </c>
      <c r="M548">
        <f>VLOOKUP($C548,'2000 Place'!$C$2:$Y$523,14,FALSE)</f>
        <v>3638</v>
      </c>
      <c r="N548">
        <f>VLOOKUP($C548,'2000 Place'!$C$2:$Y$523,15,FALSE)</f>
        <v>101</v>
      </c>
      <c r="O548">
        <f>VLOOKUP($C548,'2000 Place'!$C$2:$Y$523,16,FALSE)</f>
        <v>4026</v>
      </c>
      <c r="P548">
        <f>VLOOKUP($C548,'2000 Place'!$C$2:$Y$523,17,FALSE)</f>
        <v>10310</v>
      </c>
      <c r="Q548">
        <f>VLOOKUP($C548,'2000 Place'!$C$2:$Y$523,18,FALSE)</f>
        <v>719</v>
      </c>
      <c r="R548">
        <f>VLOOKUP($C548,'2000 Place'!$C$2:$Y$523,19,FALSE)</f>
        <v>628</v>
      </c>
      <c r="S548">
        <f>VLOOKUP($C548,'2000 Place'!$C$2:$Y$523,20,FALSE)</f>
        <v>2584</v>
      </c>
      <c r="T548">
        <f>VLOOKUP($C548,'2000 Place'!$C$2:$Y$523,21,FALSE)</f>
        <v>2618</v>
      </c>
      <c r="U548">
        <f>VLOOKUP($C548,'2000 Place'!$C$2:$Y$523,22,FALSE)</f>
        <v>11189</v>
      </c>
      <c r="V548">
        <f>VLOOKUP($C548,'2000 Place'!$C$2:$Y$523,23,FALSE)</f>
        <v>1916</v>
      </c>
    </row>
    <row r="549" spans="1:22" x14ac:dyDescent="0.25">
      <c r="A549" t="s">
        <v>1342</v>
      </c>
      <c r="B549">
        <v>5370175</v>
      </c>
      <c r="C549" t="s">
        <v>1343</v>
      </c>
      <c r="D549">
        <f>VLOOKUP($C549,'2000 Place'!$C$2:$Y$523,5,FALSE)</f>
        <v>786</v>
      </c>
      <c r="E549">
        <f>VLOOKUP($C549,'2000 Place'!$C$2:$Y$523,6,FALSE)</f>
        <v>765</v>
      </c>
      <c r="F549">
        <f>VLOOKUP($C549,'2000 Place'!$C$2:$Y$523,7,FALSE)</f>
        <v>21</v>
      </c>
      <c r="G549">
        <f>VLOOKUP($C549,'2000 Place'!$C$2:$Y$523,8,FALSE)</f>
        <v>34</v>
      </c>
      <c r="H549">
        <f>VLOOKUP($C549,'2000 Place'!$C$2:$Y$523,9,FALSE)</f>
        <v>0</v>
      </c>
      <c r="I549">
        <f>VLOOKUP($C549,'2000 Place'!$C$2:$Y$523,10,FALSE)</f>
        <v>3</v>
      </c>
      <c r="J549">
        <f>VLOOKUP($C549,'2000 Place'!$C$2:$Y$523,11,FALSE)</f>
        <v>0</v>
      </c>
      <c r="K549">
        <f>VLOOKUP($C549,'2000 Place'!$C$2:$Y$523,12,FALSE)</f>
        <v>0</v>
      </c>
      <c r="L549">
        <f>VLOOKUP($C549,'2000 Place'!$C$2:$Y$523,13,FALSE)</f>
        <v>0</v>
      </c>
      <c r="M549">
        <f>VLOOKUP($C549,'2000 Place'!$C$2:$Y$523,14,FALSE)</f>
        <v>708</v>
      </c>
      <c r="N549">
        <f>VLOOKUP($C549,'2000 Place'!$C$2:$Y$523,15,FALSE)</f>
        <v>13</v>
      </c>
      <c r="O549">
        <f>VLOOKUP($C549,'2000 Place'!$C$2:$Y$523,16,FALSE)</f>
        <v>2</v>
      </c>
      <c r="P549">
        <f>VLOOKUP($C549,'2000 Place'!$C$2:$Y$523,17,FALSE)</f>
        <v>6</v>
      </c>
      <c r="Q549">
        <f>VLOOKUP($C549,'2000 Place'!$C$2:$Y$523,18,FALSE)</f>
        <v>0</v>
      </c>
      <c r="R549">
        <f>VLOOKUP($C549,'2000 Place'!$C$2:$Y$523,19,FALSE)</f>
        <v>0</v>
      </c>
      <c r="S549">
        <f>VLOOKUP($C549,'2000 Place'!$C$2:$Y$523,20,FALSE)</f>
        <v>2</v>
      </c>
      <c r="T549">
        <f>VLOOKUP($C549,'2000 Place'!$C$2:$Y$523,21,FALSE)</f>
        <v>0</v>
      </c>
      <c r="U549">
        <f>VLOOKUP($C549,'2000 Place'!$C$2:$Y$523,22,FALSE)</f>
        <v>16</v>
      </c>
      <c r="V549">
        <f>VLOOKUP($C549,'2000 Place'!$C$2:$Y$523,23,FALSE)</f>
        <v>2</v>
      </c>
    </row>
    <row r="550" spans="1:22" x14ac:dyDescent="0.25">
      <c r="A550" t="s">
        <v>1344</v>
      </c>
      <c r="B550">
        <v>5370245</v>
      </c>
      <c r="C550" t="s">
        <v>1345</v>
      </c>
      <c r="D550" t="e">
        <f>VLOOKUP($C550,'2000 Place'!$C$2:$Y$523,5,FALSE)</f>
        <v>#N/A</v>
      </c>
      <c r="E550" t="e">
        <f>VLOOKUP($C550,'2000 Place'!$C$2:$Y$523,6,FALSE)</f>
        <v>#N/A</v>
      </c>
      <c r="F550" t="e">
        <f>VLOOKUP($C550,'2000 Place'!$C$2:$Y$523,7,FALSE)</f>
        <v>#N/A</v>
      </c>
      <c r="G550" t="e">
        <f>VLOOKUP($C550,'2000 Place'!$C$2:$Y$523,8,FALSE)</f>
        <v>#N/A</v>
      </c>
      <c r="H550" t="e">
        <f>VLOOKUP($C550,'2000 Place'!$C$2:$Y$523,9,FALSE)</f>
        <v>#N/A</v>
      </c>
      <c r="I550" t="e">
        <f>VLOOKUP($C550,'2000 Place'!$C$2:$Y$523,10,FALSE)</f>
        <v>#N/A</v>
      </c>
      <c r="J550" t="e">
        <f>VLOOKUP($C550,'2000 Place'!$C$2:$Y$523,11,FALSE)</f>
        <v>#N/A</v>
      </c>
      <c r="K550" t="e">
        <f>VLOOKUP($C550,'2000 Place'!$C$2:$Y$523,12,FALSE)</f>
        <v>#N/A</v>
      </c>
      <c r="L550" t="e">
        <f>VLOOKUP($C550,'2000 Place'!$C$2:$Y$523,13,FALSE)</f>
        <v>#N/A</v>
      </c>
      <c r="M550" t="e">
        <f>VLOOKUP($C550,'2000 Place'!$C$2:$Y$523,14,FALSE)</f>
        <v>#N/A</v>
      </c>
      <c r="N550" t="e">
        <f>VLOOKUP($C550,'2000 Place'!$C$2:$Y$523,15,FALSE)</f>
        <v>#N/A</v>
      </c>
      <c r="O550" t="e">
        <f>VLOOKUP($C550,'2000 Place'!$C$2:$Y$523,16,FALSE)</f>
        <v>#N/A</v>
      </c>
      <c r="P550" t="e">
        <f>VLOOKUP($C550,'2000 Place'!$C$2:$Y$523,17,FALSE)</f>
        <v>#N/A</v>
      </c>
      <c r="Q550" t="e">
        <f>VLOOKUP($C550,'2000 Place'!$C$2:$Y$523,18,FALSE)</f>
        <v>#N/A</v>
      </c>
      <c r="R550" t="e">
        <f>VLOOKUP($C550,'2000 Place'!$C$2:$Y$523,19,FALSE)</f>
        <v>#N/A</v>
      </c>
      <c r="S550" t="e">
        <f>VLOOKUP($C550,'2000 Place'!$C$2:$Y$523,20,FALSE)</f>
        <v>#N/A</v>
      </c>
      <c r="T550" t="e">
        <f>VLOOKUP($C550,'2000 Place'!$C$2:$Y$523,21,FALSE)</f>
        <v>#N/A</v>
      </c>
      <c r="U550" t="e">
        <f>VLOOKUP($C550,'2000 Place'!$C$2:$Y$523,22,FALSE)</f>
        <v>#N/A</v>
      </c>
      <c r="V550" t="e">
        <f>VLOOKUP($C550,'2000 Place'!$C$2:$Y$523,23,FALSE)</f>
        <v>#N/A</v>
      </c>
    </row>
    <row r="551" spans="1:22" x14ac:dyDescent="0.25">
      <c r="A551" t="s">
        <v>1346</v>
      </c>
      <c r="B551">
        <v>5370280</v>
      </c>
      <c r="C551" t="s">
        <v>1347</v>
      </c>
      <c r="D551" t="e">
        <f>VLOOKUP($C551,'2000 Place'!$C$2:$Y$523,5,FALSE)</f>
        <v>#N/A</v>
      </c>
      <c r="E551" t="e">
        <f>VLOOKUP($C551,'2000 Place'!$C$2:$Y$523,6,FALSE)</f>
        <v>#N/A</v>
      </c>
      <c r="F551" t="e">
        <f>VLOOKUP($C551,'2000 Place'!$C$2:$Y$523,7,FALSE)</f>
        <v>#N/A</v>
      </c>
      <c r="G551" t="e">
        <f>VLOOKUP($C551,'2000 Place'!$C$2:$Y$523,8,FALSE)</f>
        <v>#N/A</v>
      </c>
      <c r="H551" t="e">
        <f>VLOOKUP($C551,'2000 Place'!$C$2:$Y$523,9,FALSE)</f>
        <v>#N/A</v>
      </c>
      <c r="I551" t="e">
        <f>VLOOKUP($C551,'2000 Place'!$C$2:$Y$523,10,FALSE)</f>
        <v>#N/A</v>
      </c>
      <c r="J551" t="e">
        <f>VLOOKUP($C551,'2000 Place'!$C$2:$Y$523,11,FALSE)</f>
        <v>#N/A</v>
      </c>
      <c r="K551" t="e">
        <f>VLOOKUP($C551,'2000 Place'!$C$2:$Y$523,12,FALSE)</f>
        <v>#N/A</v>
      </c>
      <c r="L551" t="e">
        <f>VLOOKUP($C551,'2000 Place'!$C$2:$Y$523,13,FALSE)</f>
        <v>#N/A</v>
      </c>
      <c r="M551" t="e">
        <f>VLOOKUP($C551,'2000 Place'!$C$2:$Y$523,14,FALSE)</f>
        <v>#N/A</v>
      </c>
      <c r="N551" t="e">
        <f>VLOOKUP($C551,'2000 Place'!$C$2:$Y$523,15,FALSE)</f>
        <v>#N/A</v>
      </c>
      <c r="O551" t="e">
        <f>VLOOKUP($C551,'2000 Place'!$C$2:$Y$523,16,FALSE)</f>
        <v>#N/A</v>
      </c>
      <c r="P551" t="e">
        <f>VLOOKUP($C551,'2000 Place'!$C$2:$Y$523,17,FALSE)</f>
        <v>#N/A</v>
      </c>
      <c r="Q551" t="e">
        <f>VLOOKUP($C551,'2000 Place'!$C$2:$Y$523,18,FALSE)</f>
        <v>#N/A</v>
      </c>
      <c r="R551" t="e">
        <f>VLOOKUP($C551,'2000 Place'!$C$2:$Y$523,19,FALSE)</f>
        <v>#N/A</v>
      </c>
      <c r="S551" t="e">
        <f>VLOOKUP($C551,'2000 Place'!$C$2:$Y$523,20,FALSE)</f>
        <v>#N/A</v>
      </c>
      <c r="T551" t="e">
        <f>VLOOKUP($C551,'2000 Place'!$C$2:$Y$523,21,FALSE)</f>
        <v>#N/A</v>
      </c>
      <c r="U551" t="e">
        <f>VLOOKUP($C551,'2000 Place'!$C$2:$Y$523,22,FALSE)</f>
        <v>#N/A</v>
      </c>
      <c r="V551" t="e">
        <f>VLOOKUP($C551,'2000 Place'!$C$2:$Y$523,23,FALSE)</f>
        <v>#N/A</v>
      </c>
    </row>
    <row r="552" spans="1:22" x14ac:dyDescent="0.25">
      <c r="A552" t="s">
        <v>1348</v>
      </c>
      <c r="B552">
        <v>5370315</v>
      </c>
      <c r="C552" t="s">
        <v>1349</v>
      </c>
      <c r="D552">
        <f>VLOOKUP($C552,'2000 Place'!$C$2:$Y$523,5,FALSE)</f>
        <v>2961</v>
      </c>
      <c r="E552">
        <f>VLOOKUP($C552,'2000 Place'!$C$2:$Y$523,6,FALSE)</f>
        <v>2800</v>
      </c>
      <c r="F552">
        <f>VLOOKUP($C552,'2000 Place'!$C$2:$Y$523,7,FALSE)</f>
        <v>161</v>
      </c>
      <c r="G552">
        <f>VLOOKUP($C552,'2000 Place'!$C$2:$Y$523,8,FALSE)</f>
        <v>2611</v>
      </c>
      <c r="H552">
        <f>VLOOKUP($C552,'2000 Place'!$C$2:$Y$523,9,FALSE)</f>
        <v>144</v>
      </c>
      <c r="I552">
        <f>VLOOKUP($C552,'2000 Place'!$C$2:$Y$523,10,FALSE)</f>
        <v>0</v>
      </c>
      <c r="J552">
        <f>VLOOKUP($C552,'2000 Place'!$C$2:$Y$523,11,FALSE)</f>
        <v>0</v>
      </c>
      <c r="K552">
        <f>VLOOKUP($C552,'2000 Place'!$C$2:$Y$523,12,FALSE)</f>
        <v>21</v>
      </c>
      <c r="L552">
        <f>VLOOKUP($C552,'2000 Place'!$C$2:$Y$523,13,FALSE)</f>
        <v>0</v>
      </c>
      <c r="M552">
        <f>VLOOKUP($C552,'2000 Place'!$C$2:$Y$523,14,FALSE)</f>
        <v>71</v>
      </c>
      <c r="N552">
        <f>VLOOKUP($C552,'2000 Place'!$C$2:$Y$523,15,FALSE)</f>
        <v>0</v>
      </c>
      <c r="O552">
        <f>VLOOKUP($C552,'2000 Place'!$C$2:$Y$523,16,FALSE)</f>
        <v>8</v>
      </c>
      <c r="P552">
        <f>VLOOKUP($C552,'2000 Place'!$C$2:$Y$523,17,FALSE)</f>
        <v>9</v>
      </c>
      <c r="Q552">
        <f>VLOOKUP($C552,'2000 Place'!$C$2:$Y$523,18,FALSE)</f>
        <v>0</v>
      </c>
      <c r="R552">
        <f>VLOOKUP($C552,'2000 Place'!$C$2:$Y$523,19,FALSE)</f>
        <v>0</v>
      </c>
      <c r="S552">
        <f>VLOOKUP($C552,'2000 Place'!$C$2:$Y$523,20,FALSE)</f>
        <v>9</v>
      </c>
      <c r="T552">
        <f>VLOOKUP($C552,'2000 Place'!$C$2:$Y$523,21,FALSE)</f>
        <v>8</v>
      </c>
      <c r="U552">
        <f>VLOOKUP($C552,'2000 Place'!$C$2:$Y$523,22,FALSE)</f>
        <v>80</v>
      </c>
      <c r="V552">
        <f>VLOOKUP($C552,'2000 Place'!$C$2:$Y$523,23,FALSE)</f>
        <v>0</v>
      </c>
    </row>
    <row r="553" spans="1:22" x14ac:dyDescent="0.25">
      <c r="A553" t="s">
        <v>1350</v>
      </c>
      <c r="B553">
        <v>5370560</v>
      </c>
      <c r="C553" t="s">
        <v>1351</v>
      </c>
      <c r="D553">
        <f>VLOOKUP($C553,'2000 Place'!$C$2:$Y$523,5,FALSE)</f>
        <v>830</v>
      </c>
      <c r="E553">
        <f>VLOOKUP($C553,'2000 Place'!$C$2:$Y$523,6,FALSE)</f>
        <v>815</v>
      </c>
      <c r="F553">
        <f>VLOOKUP($C553,'2000 Place'!$C$2:$Y$523,7,FALSE)</f>
        <v>15</v>
      </c>
      <c r="G553">
        <f>VLOOKUP($C553,'2000 Place'!$C$2:$Y$523,8,FALSE)</f>
        <v>772</v>
      </c>
      <c r="H553">
        <f>VLOOKUP($C553,'2000 Place'!$C$2:$Y$523,9,FALSE)</f>
        <v>6</v>
      </c>
      <c r="I553">
        <f>VLOOKUP($C553,'2000 Place'!$C$2:$Y$523,10,FALSE)</f>
        <v>11</v>
      </c>
      <c r="J553">
        <f>VLOOKUP($C553,'2000 Place'!$C$2:$Y$523,11,FALSE)</f>
        <v>5</v>
      </c>
      <c r="K553">
        <f>VLOOKUP($C553,'2000 Place'!$C$2:$Y$523,12,FALSE)</f>
        <v>2</v>
      </c>
      <c r="L553">
        <f>VLOOKUP($C553,'2000 Place'!$C$2:$Y$523,13,FALSE)</f>
        <v>0</v>
      </c>
      <c r="M553">
        <f>VLOOKUP($C553,'2000 Place'!$C$2:$Y$523,14,FALSE)</f>
        <v>8</v>
      </c>
      <c r="N553">
        <f>VLOOKUP($C553,'2000 Place'!$C$2:$Y$523,15,FALSE)</f>
        <v>0</v>
      </c>
      <c r="O553">
        <f>VLOOKUP($C553,'2000 Place'!$C$2:$Y$523,16,FALSE)</f>
        <v>0</v>
      </c>
      <c r="P553">
        <f>VLOOKUP($C553,'2000 Place'!$C$2:$Y$523,17,FALSE)</f>
        <v>4</v>
      </c>
      <c r="Q553">
        <f>VLOOKUP($C553,'2000 Place'!$C$2:$Y$523,18,FALSE)</f>
        <v>0</v>
      </c>
      <c r="R553">
        <f>VLOOKUP($C553,'2000 Place'!$C$2:$Y$523,19,FALSE)</f>
        <v>0</v>
      </c>
      <c r="S553">
        <f>VLOOKUP($C553,'2000 Place'!$C$2:$Y$523,20,FALSE)</f>
        <v>2</v>
      </c>
      <c r="T553">
        <f>VLOOKUP($C553,'2000 Place'!$C$2:$Y$523,21,FALSE)</f>
        <v>0</v>
      </c>
      <c r="U553">
        <f>VLOOKUP($C553,'2000 Place'!$C$2:$Y$523,22,FALSE)</f>
        <v>20</v>
      </c>
      <c r="V553">
        <f>VLOOKUP($C553,'2000 Place'!$C$2:$Y$523,23,FALSE)</f>
        <v>0</v>
      </c>
    </row>
    <row r="554" spans="1:22" x14ac:dyDescent="0.25">
      <c r="A554" t="s">
        <v>1352</v>
      </c>
      <c r="B554">
        <v>5370630</v>
      </c>
      <c r="C554" t="s">
        <v>1353</v>
      </c>
      <c r="D554">
        <f>VLOOKUP($C554,'2000 Place'!$C$2:$Y$523,5,FALSE)</f>
        <v>1448</v>
      </c>
      <c r="E554">
        <f>VLOOKUP($C554,'2000 Place'!$C$2:$Y$523,6,FALSE)</f>
        <v>1359</v>
      </c>
      <c r="F554">
        <f>VLOOKUP($C554,'2000 Place'!$C$2:$Y$523,7,FALSE)</f>
        <v>89</v>
      </c>
      <c r="G554">
        <f>VLOOKUP($C554,'2000 Place'!$C$2:$Y$523,8,FALSE)</f>
        <v>1245</v>
      </c>
      <c r="H554">
        <f>VLOOKUP($C554,'2000 Place'!$C$2:$Y$523,9,FALSE)</f>
        <v>23</v>
      </c>
      <c r="I554">
        <f>VLOOKUP($C554,'2000 Place'!$C$2:$Y$523,10,FALSE)</f>
        <v>15</v>
      </c>
      <c r="J554">
        <f>VLOOKUP($C554,'2000 Place'!$C$2:$Y$523,11,FALSE)</f>
        <v>10</v>
      </c>
      <c r="K554">
        <f>VLOOKUP($C554,'2000 Place'!$C$2:$Y$523,12,FALSE)</f>
        <v>8</v>
      </c>
      <c r="L554">
        <f>VLOOKUP($C554,'2000 Place'!$C$2:$Y$523,13,FALSE)</f>
        <v>1</v>
      </c>
      <c r="M554">
        <f>VLOOKUP($C554,'2000 Place'!$C$2:$Y$523,14,FALSE)</f>
        <v>9</v>
      </c>
      <c r="N554">
        <f>VLOOKUP($C554,'2000 Place'!$C$2:$Y$523,15,FALSE)</f>
        <v>0</v>
      </c>
      <c r="O554">
        <f>VLOOKUP($C554,'2000 Place'!$C$2:$Y$523,16,FALSE)</f>
        <v>41</v>
      </c>
      <c r="P554">
        <f>VLOOKUP($C554,'2000 Place'!$C$2:$Y$523,17,FALSE)</f>
        <v>51</v>
      </c>
      <c r="Q554">
        <f>VLOOKUP($C554,'2000 Place'!$C$2:$Y$523,18,FALSE)</f>
        <v>0</v>
      </c>
      <c r="R554">
        <f>VLOOKUP($C554,'2000 Place'!$C$2:$Y$523,19,FALSE)</f>
        <v>0</v>
      </c>
      <c r="S554">
        <f>VLOOKUP($C554,'2000 Place'!$C$2:$Y$523,20,FALSE)</f>
        <v>5</v>
      </c>
      <c r="T554">
        <f>VLOOKUP($C554,'2000 Place'!$C$2:$Y$523,21,FALSE)</f>
        <v>2</v>
      </c>
      <c r="U554">
        <f>VLOOKUP($C554,'2000 Place'!$C$2:$Y$523,22,FALSE)</f>
        <v>36</v>
      </c>
      <c r="V554">
        <f>VLOOKUP($C554,'2000 Place'!$C$2:$Y$523,23,FALSE)</f>
        <v>2</v>
      </c>
    </row>
    <row r="555" spans="1:22" x14ac:dyDescent="0.25">
      <c r="A555" t="s">
        <v>1354</v>
      </c>
      <c r="B555">
        <v>5370805</v>
      </c>
      <c r="C555" t="s">
        <v>1355</v>
      </c>
      <c r="D555">
        <f>VLOOKUP($C555,'2000 Place'!$C$2:$Y$523,5,FALSE)</f>
        <v>6541</v>
      </c>
      <c r="E555">
        <f>VLOOKUP($C555,'2000 Place'!$C$2:$Y$523,6,FALSE)</f>
        <v>6136</v>
      </c>
      <c r="F555">
        <f>VLOOKUP($C555,'2000 Place'!$C$2:$Y$523,7,FALSE)</f>
        <v>405</v>
      </c>
      <c r="G555">
        <f>VLOOKUP($C555,'2000 Place'!$C$2:$Y$523,8,FALSE)</f>
        <v>5423</v>
      </c>
      <c r="H555">
        <f>VLOOKUP($C555,'2000 Place'!$C$2:$Y$523,9,FALSE)</f>
        <v>155</v>
      </c>
      <c r="I555">
        <f>VLOOKUP($C555,'2000 Place'!$C$2:$Y$523,10,FALSE)</f>
        <v>158</v>
      </c>
      <c r="J555">
        <f>VLOOKUP($C555,'2000 Place'!$C$2:$Y$523,11,FALSE)</f>
        <v>66</v>
      </c>
      <c r="K555">
        <f>VLOOKUP($C555,'2000 Place'!$C$2:$Y$523,12,FALSE)</f>
        <v>148</v>
      </c>
      <c r="L555">
        <f>VLOOKUP($C555,'2000 Place'!$C$2:$Y$523,13,FALSE)</f>
        <v>0</v>
      </c>
      <c r="M555">
        <f>VLOOKUP($C555,'2000 Place'!$C$2:$Y$523,14,FALSE)</f>
        <v>29</v>
      </c>
      <c r="N555">
        <f>VLOOKUP($C555,'2000 Place'!$C$2:$Y$523,15,FALSE)</f>
        <v>2</v>
      </c>
      <c r="O555">
        <f>VLOOKUP($C555,'2000 Place'!$C$2:$Y$523,16,FALSE)</f>
        <v>0</v>
      </c>
      <c r="P555">
        <f>VLOOKUP($C555,'2000 Place'!$C$2:$Y$523,17,FALSE)</f>
        <v>5</v>
      </c>
      <c r="Q555">
        <f>VLOOKUP($C555,'2000 Place'!$C$2:$Y$523,18,FALSE)</f>
        <v>0</v>
      </c>
      <c r="R555">
        <f>VLOOKUP($C555,'2000 Place'!$C$2:$Y$523,19,FALSE)</f>
        <v>0</v>
      </c>
      <c r="S555">
        <f>VLOOKUP($C555,'2000 Place'!$C$2:$Y$523,20,FALSE)</f>
        <v>172</v>
      </c>
      <c r="T555">
        <f>VLOOKUP($C555,'2000 Place'!$C$2:$Y$523,21,FALSE)</f>
        <v>164</v>
      </c>
      <c r="U555">
        <f>VLOOKUP($C555,'2000 Place'!$C$2:$Y$523,22,FALSE)</f>
        <v>206</v>
      </c>
      <c r="V555">
        <f>VLOOKUP($C555,'2000 Place'!$C$2:$Y$523,23,FALSE)</f>
        <v>13</v>
      </c>
    </row>
    <row r="556" spans="1:22" x14ac:dyDescent="0.25">
      <c r="A556" t="s">
        <v>1356</v>
      </c>
      <c r="B556">
        <v>5371225</v>
      </c>
      <c r="C556" t="s">
        <v>1357</v>
      </c>
      <c r="D556">
        <f>VLOOKUP($C556,'2000 Place'!$C$2:$Y$523,5,FALSE)</f>
        <v>289</v>
      </c>
      <c r="E556">
        <f>VLOOKUP($C556,'2000 Place'!$C$2:$Y$523,6,FALSE)</f>
        <v>279</v>
      </c>
      <c r="F556">
        <f>VLOOKUP($C556,'2000 Place'!$C$2:$Y$523,7,FALSE)</f>
        <v>10</v>
      </c>
      <c r="G556">
        <f>VLOOKUP($C556,'2000 Place'!$C$2:$Y$523,8,FALSE)</f>
        <v>272</v>
      </c>
      <c r="H556">
        <f>VLOOKUP($C556,'2000 Place'!$C$2:$Y$523,9,FALSE)</f>
        <v>0</v>
      </c>
      <c r="I556">
        <f>VLOOKUP($C556,'2000 Place'!$C$2:$Y$523,10,FALSE)</f>
        <v>2</v>
      </c>
      <c r="J556">
        <f>VLOOKUP($C556,'2000 Place'!$C$2:$Y$523,11,FALSE)</f>
        <v>2</v>
      </c>
      <c r="K556">
        <f>VLOOKUP($C556,'2000 Place'!$C$2:$Y$523,12,FALSE)</f>
        <v>0</v>
      </c>
      <c r="L556">
        <f>VLOOKUP($C556,'2000 Place'!$C$2:$Y$523,13,FALSE)</f>
        <v>0</v>
      </c>
      <c r="M556">
        <f>VLOOKUP($C556,'2000 Place'!$C$2:$Y$523,14,FALSE)</f>
        <v>2</v>
      </c>
      <c r="N556">
        <f>VLOOKUP($C556,'2000 Place'!$C$2:$Y$523,15,FALSE)</f>
        <v>0</v>
      </c>
      <c r="O556">
        <f>VLOOKUP($C556,'2000 Place'!$C$2:$Y$523,16,FALSE)</f>
        <v>0</v>
      </c>
      <c r="P556">
        <f>VLOOKUP($C556,'2000 Place'!$C$2:$Y$523,17,FALSE)</f>
        <v>0</v>
      </c>
      <c r="Q556">
        <f>VLOOKUP($C556,'2000 Place'!$C$2:$Y$523,18,FALSE)</f>
        <v>0</v>
      </c>
      <c r="R556">
        <f>VLOOKUP($C556,'2000 Place'!$C$2:$Y$523,19,FALSE)</f>
        <v>0</v>
      </c>
      <c r="S556">
        <f>VLOOKUP($C556,'2000 Place'!$C$2:$Y$523,20,FALSE)</f>
        <v>0</v>
      </c>
      <c r="T556">
        <f>VLOOKUP($C556,'2000 Place'!$C$2:$Y$523,21,FALSE)</f>
        <v>8</v>
      </c>
      <c r="U556">
        <f>VLOOKUP($C556,'2000 Place'!$C$2:$Y$523,22,FALSE)</f>
        <v>3</v>
      </c>
      <c r="V556">
        <f>VLOOKUP($C556,'2000 Place'!$C$2:$Y$523,23,FALSE)</f>
        <v>0</v>
      </c>
    </row>
    <row r="557" spans="1:22" x14ac:dyDescent="0.25">
      <c r="A557" t="s">
        <v>1358</v>
      </c>
      <c r="B557">
        <v>5371330</v>
      </c>
      <c r="C557" t="s">
        <v>1359</v>
      </c>
      <c r="D557">
        <f>VLOOKUP($C557,'2000 Place'!$C$2:$Y$523,5,FALSE)</f>
        <v>2499</v>
      </c>
      <c r="E557">
        <f>VLOOKUP($C557,'2000 Place'!$C$2:$Y$523,6,FALSE)</f>
        <v>2406</v>
      </c>
      <c r="F557">
        <f>VLOOKUP($C557,'2000 Place'!$C$2:$Y$523,7,FALSE)</f>
        <v>93</v>
      </c>
      <c r="G557">
        <f>VLOOKUP($C557,'2000 Place'!$C$2:$Y$523,8,FALSE)</f>
        <v>2324</v>
      </c>
      <c r="H557">
        <f>VLOOKUP($C557,'2000 Place'!$C$2:$Y$523,9,FALSE)</f>
        <v>93</v>
      </c>
      <c r="I557">
        <f>VLOOKUP($C557,'2000 Place'!$C$2:$Y$523,10,FALSE)</f>
        <v>0</v>
      </c>
      <c r="J557">
        <f>VLOOKUP($C557,'2000 Place'!$C$2:$Y$523,11,FALSE)</f>
        <v>0</v>
      </c>
      <c r="K557">
        <f>VLOOKUP($C557,'2000 Place'!$C$2:$Y$523,12,FALSE)</f>
        <v>5</v>
      </c>
      <c r="L557">
        <f>VLOOKUP($C557,'2000 Place'!$C$2:$Y$523,13,FALSE)</f>
        <v>0</v>
      </c>
      <c r="M557">
        <f>VLOOKUP($C557,'2000 Place'!$C$2:$Y$523,14,FALSE)</f>
        <v>0</v>
      </c>
      <c r="N557">
        <f>VLOOKUP($C557,'2000 Place'!$C$2:$Y$523,15,FALSE)</f>
        <v>0</v>
      </c>
      <c r="O557">
        <f>VLOOKUP($C557,'2000 Place'!$C$2:$Y$523,16,FALSE)</f>
        <v>0</v>
      </c>
      <c r="P557">
        <f>VLOOKUP($C557,'2000 Place'!$C$2:$Y$523,17,FALSE)</f>
        <v>0</v>
      </c>
      <c r="Q557">
        <f>VLOOKUP($C557,'2000 Place'!$C$2:$Y$523,18,FALSE)</f>
        <v>0</v>
      </c>
      <c r="R557">
        <f>VLOOKUP($C557,'2000 Place'!$C$2:$Y$523,19,FALSE)</f>
        <v>0</v>
      </c>
      <c r="S557">
        <f>VLOOKUP($C557,'2000 Place'!$C$2:$Y$523,20,FALSE)</f>
        <v>8</v>
      </c>
      <c r="T557">
        <f>VLOOKUP($C557,'2000 Place'!$C$2:$Y$523,21,FALSE)</f>
        <v>0</v>
      </c>
      <c r="U557">
        <f>VLOOKUP($C557,'2000 Place'!$C$2:$Y$523,22,FALSE)</f>
        <v>69</v>
      </c>
      <c r="V557">
        <f>VLOOKUP($C557,'2000 Place'!$C$2:$Y$523,23,FALSE)</f>
        <v>0</v>
      </c>
    </row>
    <row r="558" spans="1:22" x14ac:dyDescent="0.25">
      <c r="A558" t="s">
        <v>1360</v>
      </c>
      <c r="B558">
        <v>5371400</v>
      </c>
      <c r="C558" t="s">
        <v>1361</v>
      </c>
      <c r="D558" t="e">
        <f>VLOOKUP($C558,'2000 Place'!$C$2:$Y$523,5,FALSE)</f>
        <v>#N/A</v>
      </c>
      <c r="E558" t="e">
        <f>VLOOKUP($C558,'2000 Place'!$C$2:$Y$523,6,FALSE)</f>
        <v>#N/A</v>
      </c>
      <c r="F558" t="e">
        <f>VLOOKUP($C558,'2000 Place'!$C$2:$Y$523,7,FALSE)</f>
        <v>#N/A</v>
      </c>
      <c r="G558" t="e">
        <f>VLOOKUP($C558,'2000 Place'!$C$2:$Y$523,8,FALSE)</f>
        <v>#N/A</v>
      </c>
      <c r="H558" t="e">
        <f>VLOOKUP($C558,'2000 Place'!$C$2:$Y$523,9,FALSE)</f>
        <v>#N/A</v>
      </c>
      <c r="I558" t="e">
        <f>VLOOKUP($C558,'2000 Place'!$C$2:$Y$523,10,FALSE)</f>
        <v>#N/A</v>
      </c>
      <c r="J558" t="e">
        <f>VLOOKUP($C558,'2000 Place'!$C$2:$Y$523,11,FALSE)</f>
        <v>#N/A</v>
      </c>
      <c r="K558" t="e">
        <f>VLOOKUP($C558,'2000 Place'!$C$2:$Y$523,12,FALSE)</f>
        <v>#N/A</v>
      </c>
      <c r="L558" t="e">
        <f>VLOOKUP($C558,'2000 Place'!$C$2:$Y$523,13,FALSE)</f>
        <v>#N/A</v>
      </c>
      <c r="M558" t="e">
        <f>VLOOKUP($C558,'2000 Place'!$C$2:$Y$523,14,FALSE)</f>
        <v>#N/A</v>
      </c>
      <c r="N558" t="e">
        <f>VLOOKUP($C558,'2000 Place'!$C$2:$Y$523,15,FALSE)</f>
        <v>#N/A</v>
      </c>
      <c r="O558" t="e">
        <f>VLOOKUP($C558,'2000 Place'!$C$2:$Y$523,16,FALSE)</f>
        <v>#N/A</v>
      </c>
      <c r="P558" t="e">
        <f>VLOOKUP($C558,'2000 Place'!$C$2:$Y$523,17,FALSE)</f>
        <v>#N/A</v>
      </c>
      <c r="Q558" t="e">
        <f>VLOOKUP($C558,'2000 Place'!$C$2:$Y$523,18,FALSE)</f>
        <v>#N/A</v>
      </c>
      <c r="R558" t="e">
        <f>VLOOKUP($C558,'2000 Place'!$C$2:$Y$523,19,FALSE)</f>
        <v>#N/A</v>
      </c>
      <c r="S558" t="e">
        <f>VLOOKUP($C558,'2000 Place'!$C$2:$Y$523,20,FALSE)</f>
        <v>#N/A</v>
      </c>
      <c r="T558" t="e">
        <f>VLOOKUP($C558,'2000 Place'!$C$2:$Y$523,21,FALSE)</f>
        <v>#N/A</v>
      </c>
      <c r="U558" t="e">
        <f>VLOOKUP($C558,'2000 Place'!$C$2:$Y$523,22,FALSE)</f>
        <v>#N/A</v>
      </c>
      <c r="V558" t="e">
        <f>VLOOKUP($C558,'2000 Place'!$C$2:$Y$523,23,FALSE)</f>
        <v>#N/A</v>
      </c>
    </row>
    <row r="559" spans="1:22" x14ac:dyDescent="0.25">
      <c r="A559" t="s">
        <v>1362</v>
      </c>
      <c r="B559">
        <v>5371680</v>
      </c>
      <c r="C559" t="s">
        <v>1363</v>
      </c>
      <c r="D559">
        <f>VLOOKUP($C559,'2000 Place'!$C$2:$Y$523,5,FALSE)</f>
        <v>275</v>
      </c>
      <c r="E559">
        <f>VLOOKUP($C559,'2000 Place'!$C$2:$Y$523,6,FALSE)</f>
        <v>264</v>
      </c>
      <c r="F559">
        <f>VLOOKUP($C559,'2000 Place'!$C$2:$Y$523,7,FALSE)</f>
        <v>11</v>
      </c>
      <c r="G559">
        <f>VLOOKUP($C559,'2000 Place'!$C$2:$Y$523,8,FALSE)</f>
        <v>248</v>
      </c>
      <c r="H559">
        <f>VLOOKUP($C559,'2000 Place'!$C$2:$Y$523,9,FALSE)</f>
        <v>6</v>
      </c>
      <c r="I559">
        <f>VLOOKUP($C559,'2000 Place'!$C$2:$Y$523,10,FALSE)</f>
        <v>0</v>
      </c>
      <c r="J559">
        <f>VLOOKUP($C559,'2000 Place'!$C$2:$Y$523,11,FALSE)</f>
        <v>0</v>
      </c>
      <c r="K559">
        <f>VLOOKUP($C559,'2000 Place'!$C$2:$Y$523,12,FALSE)</f>
        <v>0</v>
      </c>
      <c r="L559">
        <f>VLOOKUP($C559,'2000 Place'!$C$2:$Y$523,13,FALSE)</f>
        <v>0</v>
      </c>
      <c r="M559">
        <f>VLOOKUP($C559,'2000 Place'!$C$2:$Y$523,14,FALSE)</f>
        <v>16</v>
      </c>
      <c r="N559">
        <f>VLOOKUP($C559,'2000 Place'!$C$2:$Y$523,15,FALSE)</f>
        <v>0</v>
      </c>
      <c r="O559">
        <f>VLOOKUP($C559,'2000 Place'!$C$2:$Y$523,16,FALSE)</f>
        <v>0</v>
      </c>
      <c r="P559">
        <f>VLOOKUP($C559,'2000 Place'!$C$2:$Y$523,17,FALSE)</f>
        <v>5</v>
      </c>
      <c r="Q559">
        <f>VLOOKUP($C559,'2000 Place'!$C$2:$Y$523,18,FALSE)</f>
        <v>0</v>
      </c>
      <c r="R559">
        <f>VLOOKUP($C559,'2000 Place'!$C$2:$Y$523,19,FALSE)</f>
        <v>0</v>
      </c>
      <c r="S559">
        <f>VLOOKUP($C559,'2000 Place'!$C$2:$Y$523,20,FALSE)</f>
        <v>0</v>
      </c>
      <c r="T559">
        <f>VLOOKUP($C559,'2000 Place'!$C$2:$Y$523,21,FALSE)</f>
        <v>0</v>
      </c>
      <c r="U559">
        <f>VLOOKUP($C559,'2000 Place'!$C$2:$Y$523,22,FALSE)</f>
        <v>0</v>
      </c>
      <c r="V559">
        <f>VLOOKUP($C559,'2000 Place'!$C$2:$Y$523,23,FALSE)</f>
        <v>0</v>
      </c>
    </row>
    <row r="560" spans="1:22" x14ac:dyDescent="0.25">
      <c r="A560" t="s">
        <v>1364</v>
      </c>
      <c r="B560">
        <v>5371785</v>
      </c>
      <c r="C560" t="s">
        <v>1365</v>
      </c>
      <c r="D560">
        <f>VLOOKUP($C560,'2000 Place'!$C$2:$Y$523,5,FALSE)</f>
        <v>612</v>
      </c>
      <c r="E560">
        <f>VLOOKUP($C560,'2000 Place'!$C$2:$Y$523,6,FALSE)</f>
        <v>586</v>
      </c>
      <c r="F560">
        <f>VLOOKUP($C560,'2000 Place'!$C$2:$Y$523,7,FALSE)</f>
        <v>26</v>
      </c>
      <c r="G560">
        <f>VLOOKUP($C560,'2000 Place'!$C$2:$Y$523,8,FALSE)</f>
        <v>551</v>
      </c>
      <c r="H560">
        <f>VLOOKUP($C560,'2000 Place'!$C$2:$Y$523,9,FALSE)</f>
        <v>10</v>
      </c>
      <c r="I560">
        <f>VLOOKUP($C560,'2000 Place'!$C$2:$Y$523,10,FALSE)</f>
        <v>3</v>
      </c>
      <c r="J560">
        <f>VLOOKUP($C560,'2000 Place'!$C$2:$Y$523,11,FALSE)</f>
        <v>6</v>
      </c>
      <c r="K560">
        <f>VLOOKUP($C560,'2000 Place'!$C$2:$Y$523,12,FALSE)</f>
        <v>7</v>
      </c>
      <c r="L560">
        <f>VLOOKUP($C560,'2000 Place'!$C$2:$Y$523,13,FALSE)</f>
        <v>2</v>
      </c>
      <c r="M560">
        <f>VLOOKUP($C560,'2000 Place'!$C$2:$Y$523,14,FALSE)</f>
        <v>14</v>
      </c>
      <c r="N560">
        <f>VLOOKUP($C560,'2000 Place'!$C$2:$Y$523,15,FALSE)</f>
        <v>0</v>
      </c>
      <c r="O560">
        <f>VLOOKUP($C560,'2000 Place'!$C$2:$Y$523,16,FALSE)</f>
        <v>0</v>
      </c>
      <c r="P560">
        <f>VLOOKUP($C560,'2000 Place'!$C$2:$Y$523,17,FALSE)</f>
        <v>4</v>
      </c>
      <c r="Q560">
        <f>VLOOKUP($C560,'2000 Place'!$C$2:$Y$523,18,FALSE)</f>
        <v>0</v>
      </c>
      <c r="R560">
        <f>VLOOKUP($C560,'2000 Place'!$C$2:$Y$523,19,FALSE)</f>
        <v>0</v>
      </c>
      <c r="S560">
        <f>VLOOKUP($C560,'2000 Place'!$C$2:$Y$523,20,FALSE)</f>
        <v>2</v>
      </c>
      <c r="T560">
        <f>VLOOKUP($C560,'2000 Place'!$C$2:$Y$523,21,FALSE)</f>
        <v>4</v>
      </c>
      <c r="U560">
        <f>VLOOKUP($C560,'2000 Place'!$C$2:$Y$523,22,FALSE)</f>
        <v>9</v>
      </c>
      <c r="V560">
        <f>VLOOKUP($C560,'2000 Place'!$C$2:$Y$523,23,FALSE)</f>
        <v>0</v>
      </c>
    </row>
    <row r="561" spans="1:22" x14ac:dyDescent="0.25">
      <c r="A561" t="s">
        <v>1366</v>
      </c>
      <c r="B561">
        <v>5371890</v>
      </c>
      <c r="C561" t="s">
        <v>1367</v>
      </c>
      <c r="D561">
        <f>VLOOKUP($C561,'2000 Place'!$C$2:$Y$523,5,FALSE)</f>
        <v>986</v>
      </c>
      <c r="E561">
        <f>VLOOKUP($C561,'2000 Place'!$C$2:$Y$523,6,FALSE)</f>
        <v>915</v>
      </c>
      <c r="F561">
        <f>VLOOKUP($C561,'2000 Place'!$C$2:$Y$523,7,FALSE)</f>
        <v>71</v>
      </c>
      <c r="G561">
        <f>VLOOKUP($C561,'2000 Place'!$C$2:$Y$523,8,FALSE)</f>
        <v>866</v>
      </c>
      <c r="H561">
        <f>VLOOKUP($C561,'2000 Place'!$C$2:$Y$523,9,FALSE)</f>
        <v>21</v>
      </c>
      <c r="I561">
        <f>VLOOKUP($C561,'2000 Place'!$C$2:$Y$523,10,FALSE)</f>
        <v>3</v>
      </c>
      <c r="J561">
        <f>VLOOKUP($C561,'2000 Place'!$C$2:$Y$523,11,FALSE)</f>
        <v>4</v>
      </c>
      <c r="K561">
        <f>VLOOKUP($C561,'2000 Place'!$C$2:$Y$523,12,FALSE)</f>
        <v>0</v>
      </c>
      <c r="L561">
        <f>VLOOKUP($C561,'2000 Place'!$C$2:$Y$523,13,FALSE)</f>
        <v>0</v>
      </c>
      <c r="M561">
        <f>VLOOKUP($C561,'2000 Place'!$C$2:$Y$523,14,FALSE)</f>
        <v>19</v>
      </c>
      <c r="N561">
        <f>VLOOKUP($C561,'2000 Place'!$C$2:$Y$523,15,FALSE)</f>
        <v>4</v>
      </c>
      <c r="O561">
        <f>VLOOKUP($C561,'2000 Place'!$C$2:$Y$523,16,FALSE)</f>
        <v>0</v>
      </c>
      <c r="P561">
        <f>VLOOKUP($C561,'2000 Place'!$C$2:$Y$523,17,FALSE)</f>
        <v>0</v>
      </c>
      <c r="Q561">
        <f>VLOOKUP($C561,'2000 Place'!$C$2:$Y$523,18,FALSE)</f>
        <v>0</v>
      </c>
      <c r="R561">
        <f>VLOOKUP($C561,'2000 Place'!$C$2:$Y$523,19,FALSE)</f>
        <v>0</v>
      </c>
      <c r="S561">
        <f>VLOOKUP($C561,'2000 Place'!$C$2:$Y$523,20,FALSE)</f>
        <v>21</v>
      </c>
      <c r="T561">
        <f>VLOOKUP($C561,'2000 Place'!$C$2:$Y$523,21,FALSE)</f>
        <v>38</v>
      </c>
      <c r="U561">
        <f>VLOOKUP($C561,'2000 Place'!$C$2:$Y$523,22,FALSE)</f>
        <v>6</v>
      </c>
      <c r="V561">
        <f>VLOOKUP($C561,'2000 Place'!$C$2:$Y$523,23,FALSE)</f>
        <v>4</v>
      </c>
    </row>
    <row r="562" spans="1:22" x14ac:dyDescent="0.25">
      <c r="A562" t="s">
        <v>1368</v>
      </c>
      <c r="B562">
        <v>5371960</v>
      </c>
      <c r="C562" t="s">
        <v>1369</v>
      </c>
      <c r="D562">
        <f>VLOOKUP($C562,'2000 Place'!$C$2:$Y$523,5,FALSE)</f>
        <v>8912</v>
      </c>
      <c r="E562">
        <f>VLOOKUP($C562,'2000 Place'!$C$2:$Y$523,6,FALSE)</f>
        <v>5998</v>
      </c>
      <c r="F562">
        <f>VLOOKUP($C562,'2000 Place'!$C$2:$Y$523,7,FALSE)</f>
        <v>2914</v>
      </c>
      <c r="G562">
        <f>VLOOKUP($C562,'2000 Place'!$C$2:$Y$523,8,FALSE)</f>
        <v>1348</v>
      </c>
      <c r="H562">
        <f>VLOOKUP($C562,'2000 Place'!$C$2:$Y$523,9,FALSE)</f>
        <v>34</v>
      </c>
      <c r="I562">
        <f>VLOOKUP($C562,'2000 Place'!$C$2:$Y$523,10,FALSE)</f>
        <v>845</v>
      </c>
      <c r="J562">
        <f>VLOOKUP($C562,'2000 Place'!$C$2:$Y$523,11,FALSE)</f>
        <v>550</v>
      </c>
      <c r="K562">
        <f>VLOOKUP($C562,'2000 Place'!$C$2:$Y$523,12,FALSE)</f>
        <v>44</v>
      </c>
      <c r="L562">
        <f>VLOOKUP($C562,'2000 Place'!$C$2:$Y$523,13,FALSE)</f>
        <v>0</v>
      </c>
      <c r="M562">
        <f>VLOOKUP($C562,'2000 Place'!$C$2:$Y$523,14,FALSE)</f>
        <v>620</v>
      </c>
      <c r="N562">
        <f>VLOOKUP($C562,'2000 Place'!$C$2:$Y$523,15,FALSE)</f>
        <v>15</v>
      </c>
      <c r="O562">
        <f>VLOOKUP($C562,'2000 Place'!$C$2:$Y$523,16,FALSE)</f>
        <v>0</v>
      </c>
      <c r="P562">
        <f>VLOOKUP($C562,'2000 Place'!$C$2:$Y$523,17,FALSE)</f>
        <v>0</v>
      </c>
      <c r="Q562">
        <f>VLOOKUP($C562,'2000 Place'!$C$2:$Y$523,18,FALSE)</f>
        <v>0</v>
      </c>
      <c r="R562">
        <f>VLOOKUP($C562,'2000 Place'!$C$2:$Y$523,19,FALSE)</f>
        <v>0</v>
      </c>
      <c r="S562">
        <f>VLOOKUP($C562,'2000 Place'!$C$2:$Y$523,20,FALSE)</f>
        <v>2879</v>
      </c>
      <c r="T562">
        <f>VLOOKUP($C562,'2000 Place'!$C$2:$Y$523,21,FALSE)</f>
        <v>2248</v>
      </c>
      <c r="U562">
        <f>VLOOKUP($C562,'2000 Place'!$C$2:$Y$523,22,FALSE)</f>
        <v>262</v>
      </c>
      <c r="V562">
        <f>VLOOKUP($C562,'2000 Place'!$C$2:$Y$523,23,FALSE)</f>
        <v>67</v>
      </c>
    </row>
    <row r="563" spans="1:22" x14ac:dyDescent="0.25">
      <c r="A563" t="s">
        <v>1370</v>
      </c>
      <c r="B563">
        <v>5371995</v>
      </c>
      <c r="C563" t="s">
        <v>1371</v>
      </c>
      <c r="D563" t="e">
        <f>VLOOKUP($C563,'2000 Place'!$C$2:$Y$523,5,FALSE)</f>
        <v>#N/A</v>
      </c>
      <c r="E563" t="e">
        <f>VLOOKUP($C563,'2000 Place'!$C$2:$Y$523,6,FALSE)</f>
        <v>#N/A</v>
      </c>
      <c r="F563" t="e">
        <f>VLOOKUP($C563,'2000 Place'!$C$2:$Y$523,7,FALSE)</f>
        <v>#N/A</v>
      </c>
      <c r="G563" t="e">
        <f>VLOOKUP($C563,'2000 Place'!$C$2:$Y$523,8,FALSE)</f>
        <v>#N/A</v>
      </c>
      <c r="H563" t="e">
        <f>VLOOKUP($C563,'2000 Place'!$C$2:$Y$523,9,FALSE)</f>
        <v>#N/A</v>
      </c>
      <c r="I563" t="e">
        <f>VLOOKUP($C563,'2000 Place'!$C$2:$Y$523,10,FALSE)</f>
        <v>#N/A</v>
      </c>
      <c r="J563" t="e">
        <f>VLOOKUP($C563,'2000 Place'!$C$2:$Y$523,11,FALSE)</f>
        <v>#N/A</v>
      </c>
      <c r="K563" t="e">
        <f>VLOOKUP($C563,'2000 Place'!$C$2:$Y$523,12,FALSE)</f>
        <v>#N/A</v>
      </c>
      <c r="L563" t="e">
        <f>VLOOKUP($C563,'2000 Place'!$C$2:$Y$523,13,FALSE)</f>
        <v>#N/A</v>
      </c>
      <c r="M563" t="e">
        <f>VLOOKUP($C563,'2000 Place'!$C$2:$Y$523,14,FALSE)</f>
        <v>#N/A</v>
      </c>
      <c r="N563" t="e">
        <f>VLOOKUP($C563,'2000 Place'!$C$2:$Y$523,15,FALSE)</f>
        <v>#N/A</v>
      </c>
      <c r="O563" t="e">
        <f>VLOOKUP($C563,'2000 Place'!$C$2:$Y$523,16,FALSE)</f>
        <v>#N/A</v>
      </c>
      <c r="P563" t="e">
        <f>VLOOKUP($C563,'2000 Place'!$C$2:$Y$523,17,FALSE)</f>
        <v>#N/A</v>
      </c>
      <c r="Q563" t="e">
        <f>VLOOKUP($C563,'2000 Place'!$C$2:$Y$523,18,FALSE)</f>
        <v>#N/A</v>
      </c>
      <c r="R563" t="e">
        <f>VLOOKUP($C563,'2000 Place'!$C$2:$Y$523,19,FALSE)</f>
        <v>#N/A</v>
      </c>
      <c r="S563" t="e">
        <f>VLOOKUP($C563,'2000 Place'!$C$2:$Y$523,20,FALSE)</f>
        <v>#N/A</v>
      </c>
      <c r="T563" t="e">
        <f>VLOOKUP($C563,'2000 Place'!$C$2:$Y$523,21,FALSE)</f>
        <v>#N/A</v>
      </c>
      <c r="U563" t="e">
        <f>VLOOKUP($C563,'2000 Place'!$C$2:$Y$523,22,FALSE)</f>
        <v>#N/A</v>
      </c>
      <c r="V563" t="e">
        <f>VLOOKUP($C563,'2000 Place'!$C$2:$Y$523,23,FALSE)</f>
        <v>#N/A</v>
      </c>
    </row>
    <row r="564" spans="1:22" x14ac:dyDescent="0.25">
      <c r="A564" t="s">
        <v>1372</v>
      </c>
      <c r="B564">
        <v>5372030</v>
      </c>
      <c r="C564" t="s">
        <v>1373</v>
      </c>
      <c r="D564">
        <f>VLOOKUP($C564,'2000 Place'!$C$2:$Y$523,5,FALSE)</f>
        <v>388</v>
      </c>
      <c r="E564">
        <f>VLOOKUP($C564,'2000 Place'!$C$2:$Y$523,6,FALSE)</f>
        <v>344</v>
      </c>
      <c r="F564">
        <f>VLOOKUP($C564,'2000 Place'!$C$2:$Y$523,7,FALSE)</f>
        <v>44</v>
      </c>
      <c r="G564">
        <f>VLOOKUP($C564,'2000 Place'!$C$2:$Y$523,8,FALSE)</f>
        <v>296</v>
      </c>
      <c r="H564">
        <f>VLOOKUP($C564,'2000 Place'!$C$2:$Y$523,9,FALSE)</f>
        <v>3</v>
      </c>
      <c r="I564">
        <f>VLOOKUP($C564,'2000 Place'!$C$2:$Y$523,10,FALSE)</f>
        <v>31</v>
      </c>
      <c r="J564">
        <f>VLOOKUP($C564,'2000 Place'!$C$2:$Y$523,11,FALSE)</f>
        <v>15</v>
      </c>
      <c r="K564">
        <f>VLOOKUP($C564,'2000 Place'!$C$2:$Y$523,12,FALSE)</f>
        <v>0</v>
      </c>
      <c r="L564">
        <f>VLOOKUP($C564,'2000 Place'!$C$2:$Y$523,13,FALSE)</f>
        <v>0</v>
      </c>
      <c r="M564">
        <f>VLOOKUP($C564,'2000 Place'!$C$2:$Y$523,14,FALSE)</f>
        <v>0</v>
      </c>
      <c r="N564">
        <f>VLOOKUP($C564,'2000 Place'!$C$2:$Y$523,15,FALSE)</f>
        <v>0</v>
      </c>
      <c r="O564">
        <f>VLOOKUP($C564,'2000 Place'!$C$2:$Y$523,16,FALSE)</f>
        <v>2</v>
      </c>
      <c r="P564">
        <f>VLOOKUP($C564,'2000 Place'!$C$2:$Y$523,17,FALSE)</f>
        <v>5</v>
      </c>
      <c r="Q564">
        <f>VLOOKUP($C564,'2000 Place'!$C$2:$Y$523,18,FALSE)</f>
        <v>0</v>
      </c>
      <c r="R564">
        <f>VLOOKUP($C564,'2000 Place'!$C$2:$Y$523,19,FALSE)</f>
        <v>0</v>
      </c>
      <c r="S564">
        <f>VLOOKUP($C564,'2000 Place'!$C$2:$Y$523,20,FALSE)</f>
        <v>10</v>
      </c>
      <c r="T564">
        <f>VLOOKUP($C564,'2000 Place'!$C$2:$Y$523,21,FALSE)</f>
        <v>19</v>
      </c>
      <c r="U564">
        <f>VLOOKUP($C564,'2000 Place'!$C$2:$Y$523,22,FALSE)</f>
        <v>5</v>
      </c>
      <c r="V564">
        <f>VLOOKUP($C564,'2000 Place'!$C$2:$Y$523,23,FALSE)</f>
        <v>2</v>
      </c>
    </row>
    <row r="565" spans="1:22" x14ac:dyDescent="0.25">
      <c r="A565" t="s">
        <v>1374</v>
      </c>
      <c r="B565">
        <v>5372170</v>
      </c>
      <c r="C565" t="s">
        <v>1375</v>
      </c>
      <c r="D565">
        <f>VLOOKUP($C565,'2000 Place'!$C$2:$Y$523,5,FALSE)</f>
        <v>4417</v>
      </c>
      <c r="E565">
        <f>VLOOKUP($C565,'2000 Place'!$C$2:$Y$523,6,FALSE)</f>
        <v>4201</v>
      </c>
      <c r="F565">
        <f>VLOOKUP($C565,'2000 Place'!$C$2:$Y$523,7,FALSE)</f>
        <v>216</v>
      </c>
      <c r="G565">
        <f>VLOOKUP($C565,'2000 Place'!$C$2:$Y$523,8,FALSE)</f>
        <v>3946</v>
      </c>
      <c r="H565">
        <f>VLOOKUP($C565,'2000 Place'!$C$2:$Y$523,9,FALSE)</f>
        <v>141</v>
      </c>
      <c r="I565">
        <f>VLOOKUP($C565,'2000 Place'!$C$2:$Y$523,10,FALSE)</f>
        <v>37</v>
      </c>
      <c r="J565">
        <f>VLOOKUP($C565,'2000 Place'!$C$2:$Y$523,11,FALSE)</f>
        <v>14</v>
      </c>
      <c r="K565">
        <f>VLOOKUP($C565,'2000 Place'!$C$2:$Y$523,12,FALSE)</f>
        <v>21</v>
      </c>
      <c r="L565">
        <f>VLOOKUP($C565,'2000 Place'!$C$2:$Y$523,13,FALSE)</f>
        <v>0</v>
      </c>
      <c r="M565">
        <f>VLOOKUP($C565,'2000 Place'!$C$2:$Y$523,14,FALSE)</f>
        <v>49</v>
      </c>
      <c r="N565">
        <f>VLOOKUP($C565,'2000 Place'!$C$2:$Y$523,15,FALSE)</f>
        <v>0</v>
      </c>
      <c r="O565">
        <f>VLOOKUP($C565,'2000 Place'!$C$2:$Y$523,16,FALSE)</f>
        <v>0</v>
      </c>
      <c r="P565">
        <f>VLOOKUP($C565,'2000 Place'!$C$2:$Y$523,17,FALSE)</f>
        <v>4</v>
      </c>
      <c r="Q565">
        <f>VLOOKUP($C565,'2000 Place'!$C$2:$Y$523,18,FALSE)</f>
        <v>0</v>
      </c>
      <c r="R565">
        <f>VLOOKUP($C565,'2000 Place'!$C$2:$Y$523,19,FALSE)</f>
        <v>0</v>
      </c>
      <c r="S565">
        <f>VLOOKUP($C565,'2000 Place'!$C$2:$Y$523,20,FALSE)</f>
        <v>53</v>
      </c>
      <c r="T565">
        <f>VLOOKUP($C565,'2000 Place'!$C$2:$Y$523,21,FALSE)</f>
        <v>45</v>
      </c>
      <c r="U565">
        <f>VLOOKUP($C565,'2000 Place'!$C$2:$Y$523,22,FALSE)</f>
        <v>95</v>
      </c>
      <c r="V565">
        <f>VLOOKUP($C565,'2000 Place'!$C$2:$Y$523,23,FALSE)</f>
        <v>12</v>
      </c>
    </row>
    <row r="566" spans="1:22" x14ac:dyDescent="0.25">
      <c r="A566" t="s">
        <v>1376</v>
      </c>
      <c r="B566">
        <v>5372205</v>
      </c>
      <c r="C566" t="s">
        <v>1377</v>
      </c>
      <c r="D566">
        <f>VLOOKUP($C566,'2000 Place'!$C$2:$Y$523,5,FALSE)</f>
        <v>3267</v>
      </c>
      <c r="E566">
        <f>VLOOKUP($C566,'2000 Place'!$C$2:$Y$523,6,FALSE)</f>
        <v>2975</v>
      </c>
      <c r="F566">
        <f>VLOOKUP($C566,'2000 Place'!$C$2:$Y$523,7,FALSE)</f>
        <v>292</v>
      </c>
      <c r="G566">
        <f>VLOOKUP($C566,'2000 Place'!$C$2:$Y$523,8,FALSE)</f>
        <v>2517</v>
      </c>
      <c r="H566">
        <f>VLOOKUP($C566,'2000 Place'!$C$2:$Y$523,9,FALSE)</f>
        <v>87</v>
      </c>
      <c r="I566">
        <f>VLOOKUP($C566,'2000 Place'!$C$2:$Y$523,10,FALSE)</f>
        <v>20</v>
      </c>
      <c r="J566">
        <f>VLOOKUP($C566,'2000 Place'!$C$2:$Y$523,11,FALSE)</f>
        <v>0</v>
      </c>
      <c r="K566">
        <f>VLOOKUP($C566,'2000 Place'!$C$2:$Y$523,12,FALSE)</f>
        <v>111</v>
      </c>
      <c r="L566">
        <f>VLOOKUP($C566,'2000 Place'!$C$2:$Y$523,13,FALSE)</f>
        <v>25</v>
      </c>
      <c r="M566">
        <f>VLOOKUP($C566,'2000 Place'!$C$2:$Y$523,14,FALSE)</f>
        <v>6</v>
      </c>
      <c r="N566">
        <f>VLOOKUP($C566,'2000 Place'!$C$2:$Y$523,15,FALSE)</f>
        <v>0</v>
      </c>
      <c r="O566">
        <f>VLOOKUP($C566,'2000 Place'!$C$2:$Y$523,16,FALSE)</f>
        <v>46</v>
      </c>
      <c r="P566">
        <f>VLOOKUP($C566,'2000 Place'!$C$2:$Y$523,17,FALSE)</f>
        <v>112</v>
      </c>
      <c r="Q566">
        <f>VLOOKUP($C566,'2000 Place'!$C$2:$Y$523,18,FALSE)</f>
        <v>6</v>
      </c>
      <c r="R566">
        <f>VLOOKUP($C566,'2000 Place'!$C$2:$Y$523,19,FALSE)</f>
        <v>29</v>
      </c>
      <c r="S566">
        <f>VLOOKUP($C566,'2000 Place'!$C$2:$Y$523,20,FALSE)</f>
        <v>95</v>
      </c>
      <c r="T566">
        <f>VLOOKUP($C566,'2000 Place'!$C$2:$Y$523,21,FALSE)</f>
        <v>29</v>
      </c>
      <c r="U566">
        <f>VLOOKUP($C566,'2000 Place'!$C$2:$Y$523,22,FALSE)</f>
        <v>174</v>
      </c>
      <c r="V566">
        <f>VLOOKUP($C566,'2000 Place'!$C$2:$Y$523,23,FALSE)</f>
        <v>10</v>
      </c>
    </row>
    <row r="567" spans="1:22" x14ac:dyDescent="0.25">
      <c r="A567" t="s">
        <v>1378</v>
      </c>
      <c r="B567">
        <v>5372450</v>
      </c>
      <c r="C567" t="s">
        <v>1379</v>
      </c>
      <c r="D567">
        <f>VLOOKUP($C567,'2000 Place'!$C$2:$Y$523,5,FALSE)</f>
        <v>453</v>
      </c>
      <c r="E567">
        <f>VLOOKUP($C567,'2000 Place'!$C$2:$Y$523,6,FALSE)</f>
        <v>436</v>
      </c>
      <c r="F567">
        <f>VLOOKUP($C567,'2000 Place'!$C$2:$Y$523,7,FALSE)</f>
        <v>17</v>
      </c>
      <c r="G567">
        <f>VLOOKUP($C567,'2000 Place'!$C$2:$Y$523,8,FALSE)</f>
        <v>376</v>
      </c>
      <c r="H567">
        <f>VLOOKUP($C567,'2000 Place'!$C$2:$Y$523,9,FALSE)</f>
        <v>7</v>
      </c>
      <c r="I567">
        <f>VLOOKUP($C567,'2000 Place'!$C$2:$Y$523,10,FALSE)</f>
        <v>36</v>
      </c>
      <c r="J567">
        <f>VLOOKUP($C567,'2000 Place'!$C$2:$Y$523,11,FALSE)</f>
        <v>0</v>
      </c>
      <c r="K567">
        <f>VLOOKUP($C567,'2000 Place'!$C$2:$Y$523,12,FALSE)</f>
        <v>0</v>
      </c>
      <c r="L567">
        <f>VLOOKUP($C567,'2000 Place'!$C$2:$Y$523,13,FALSE)</f>
        <v>0</v>
      </c>
      <c r="M567">
        <f>VLOOKUP($C567,'2000 Place'!$C$2:$Y$523,14,FALSE)</f>
        <v>3</v>
      </c>
      <c r="N567">
        <f>VLOOKUP($C567,'2000 Place'!$C$2:$Y$523,15,FALSE)</f>
        <v>0</v>
      </c>
      <c r="O567">
        <f>VLOOKUP($C567,'2000 Place'!$C$2:$Y$523,16,FALSE)</f>
        <v>13</v>
      </c>
      <c r="P567">
        <f>VLOOKUP($C567,'2000 Place'!$C$2:$Y$523,17,FALSE)</f>
        <v>0</v>
      </c>
      <c r="Q567">
        <f>VLOOKUP($C567,'2000 Place'!$C$2:$Y$523,18,FALSE)</f>
        <v>0</v>
      </c>
      <c r="R567">
        <f>VLOOKUP($C567,'2000 Place'!$C$2:$Y$523,19,FALSE)</f>
        <v>0</v>
      </c>
      <c r="S567">
        <f>VLOOKUP($C567,'2000 Place'!$C$2:$Y$523,20,FALSE)</f>
        <v>0</v>
      </c>
      <c r="T567">
        <f>VLOOKUP($C567,'2000 Place'!$C$2:$Y$523,21,FALSE)</f>
        <v>10</v>
      </c>
      <c r="U567">
        <f>VLOOKUP($C567,'2000 Place'!$C$2:$Y$523,22,FALSE)</f>
        <v>8</v>
      </c>
      <c r="V567">
        <f>VLOOKUP($C567,'2000 Place'!$C$2:$Y$523,23,FALSE)</f>
        <v>0</v>
      </c>
    </row>
    <row r="568" spans="1:22" x14ac:dyDescent="0.25">
      <c r="A568" t="s">
        <v>1380</v>
      </c>
      <c r="B568">
        <v>5372625</v>
      </c>
      <c r="C568" t="s">
        <v>1381</v>
      </c>
      <c r="D568">
        <f>VLOOKUP($C568,'2000 Place'!$C$2:$Y$523,5,FALSE)</f>
        <v>17204</v>
      </c>
      <c r="E568">
        <f>VLOOKUP($C568,'2000 Place'!$C$2:$Y$523,6,FALSE)</f>
        <v>12449</v>
      </c>
      <c r="F568">
        <f>VLOOKUP($C568,'2000 Place'!$C$2:$Y$523,7,FALSE)</f>
        <v>4755</v>
      </c>
      <c r="G568">
        <f>VLOOKUP($C568,'2000 Place'!$C$2:$Y$523,8,FALSE)</f>
        <v>8027</v>
      </c>
      <c r="H568">
        <f>VLOOKUP($C568,'2000 Place'!$C$2:$Y$523,9,FALSE)</f>
        <v>1185</v>
      </c>
      <c r="I568">
        <f>VLOOKUP($C568,'2000 Place'!$C$2:$Y$523,10,FALSE)</f>
        <v>420</v>
      </c>
      <c r="J568">
        <f>VLOOKUP($C568,'2000 Place'!$C$2:$Y$523,11,FALSE)</f>
        <v>400</v>
      </c>
      <c r="K568">
        <f>VLOOKUP($C568,'2000 Place'!$C$2:$Y$523,12,FALSE)</f>
        <v>1881</v>
      </c>
      <c r="L568">
        <f>VLOOKUP($C568,'2000 Place'!$C$2:$Y$523,13,FALSE)</f>
        <v>429</v>
      </c>
      <c r="M568">
        <f>VLOOKUP($C568,'2000 Place'!$C$2:$Y$523,14,FALSE)</f>
        <v>144</v>
      </c>
      <c r="N568">
        <f>VLOOKUP($C568,'2000 Place'!$C$2:$Y$523,15,FALSE)</f>
        <v>52</v>
      </c>
      <c r="O568">
        <f>VLOOKUP($C568,'2000 Place'!$C$2:$Y$523,16,FALSE)</f>
        <v>507</v>
      </c>
      <c r="P568">
        <f>VLOOKUP($C568,'2000 Place'!$C$2:$Y$523,17,FALSE)</f>
        <v>1281</v>
      </c>
      <c r="Q568">
        <f>VLOOKUP($C568,'2000 Place'!$C$2:$Y$523,18,FALSE)</f>
        <v>131</v>
      </c>
      <c r="R568">
        <f>VLOOKUP($C568,'2000 Place'!$C$2:$Y$523,19,FALSE)</f>
        <v>201</v>
      </c>
      <c r="S568">
        <f>VLOOKUP($C568,'2000 Place'!$C$2:$Y$523,20,FALSE)</f>
        <v>436</v>
      </c>
      <c r="T568">
        <f>VLOOKUP($C568,'2000 Place'!$C$2:$Y$523,21,FALSE)</f>
        <v>912</v>
      </c>
      <c r="U568">
        <f>VLOOKUP($C568,'2000 Place'!$C$2:$Y$523,22,FALSE)</f>
        <v>903</v>
      </c>
      <c r="V568">
        <f>VLOOKUP($C568,'2000 Place'!$C$2:$Y$523,23,FALSE)</f>
        <v>295</v>
      </c>
    </row>
    <row r="569" spans="1:22" x14ac:dyDescent="0.25">
      <c r="A569" t="s">
        <v>1382</v>
      </c>
      <c r="B569">
        <v>5372905</v>
      </c>
      <c r="C569" t="s">
        <v>1383</v>
      </c>
      <c r="D569">
        <f>VLOOKUP($C569,'2000 Place'!$C$2:$Y$523,5,FALSE)</f>
        <v>12646</v>
      </c>
      <c r="E569">
        <f>VLOOKUP($C569,'2000 Place'!$C$2:$Y$523,6,FALSE)</f>
        <v>11621</v>
      </c>
      <c r="F569">
        <f>VLOOKUP($C569,'2000 Place'!$C$2:$Y$523,7,FALSE)</f>
        <v>1025</v>
      </c>
      <c r="G569">
        <f>VLOOKUP($C569,'2000 Place'!$C$2:$Y$523,8,FALSE)</f>
        <v>10515</v>
      </c>
      <c r="H569">
        <f>VLOOKUP($C569,'2000 Place'!$C$2:$Y$523,9,FALSE)</f>
        <v>453</v>
      </c>
      <c r="I569">
        <f>VLOOKUP($C569,'2000 Place'!$C$2:$Y$523,10,FALSE)</f>
        <v>139</v>
      </c>
      <c r="J569">
        <f>VLOOKUP($C569,'2000 Place'!$C$2:$Y$523,11,FALSE)</f>
        <v>77</v>
      </c>
      <c r="K569">
        <f>VLOOKUP($C569,'2000 Place'!$C$2:$Y$523,12,FALSE)</f>
        <v>95</v>
      </c>
      <c r="L569">
        <f>VLOOKUP($C569,'2000 Place'!$C$2:$Y$523,13,FALSE)</f>
        <v>9</v>
      </c>
      <c r="M569">
        <f>VLOOKUP($C569,'2000 Place'!$C$2:$Y$523,14,FALSE)</f>
        <v>290</v>
      </c>
      <c r="N569">
        <f>VLOOKUP($C569,'2000 Place'!$C$2:$Y$523,15,FALSE)</f>
        <v>14</v>
      </c>
      <c r="O569">
        <f>VLOOKUP($C569,'2000 Place'!$C$2:$Y$523,16,FALSE)</f>
        <v>128</v>
      </c>
      <c r="P569">
        <f>VLOOKUP($C569,'2000 Place'!$C$2:$Y$523,17,FALSE)</f>
        <v>351</v>
      </c>
      <c r="Q569">
        <f>VLOOKUP($C569,'2000 Place'!$C$2:$Y$523,18,FALSE)</f>
        <v>39</v>
      </c>
      <c r="R569">
        <f>VLOOKUP($C569,'2000 Place'!$C$2:$Y$523,19,FALSE)</f>
        <v>43</v>
      </c>
      <c r="S569">
        <f>VLOOKUP($C569,'2000 Place'!$C$2:$Y$523,20,FALSE)</f>
        <v>103</v>
      </c>
      <c r="T569">
        <f>VLOOKUP($C569,'2000 Place'!$C$2:$Y$523,21,FALSE)</f>
        <v>35</v>
      </c>
      <c r="U569">
        <f>VLOOKUP($C569,'2000 Place'!$C$2:$Y$523,22,FALSE)</f>
        <v>312</v>
      </c>
      <c r="V569">
        <f>VLOOKUP($C569,'2000 Place'!$C$2:$Y$523,23,FALSE)</f>
        <v>43</v>
      </c>
    </row>
    <row r="570" spans="1:22" x14ac:dyDescent="0.25">
      <c r="A570" t="s">
        <v>1384</v>
      </c>
      <c r="B570">
        <v>5373065</v>
      </c>
      <c r="C570" t="s">
        <v>1385</v>
      </c>
      <c r="D570" t="e">
        <f>VLOOKUP($C570,'2000 Place'!$C$2:$Y$523,5,FALSE)</f>
        <v>#N/A</v>
      </c>
      <c r="E570" t="e">
        <f>VLOOKUP($C570,'2000 Place'!$C$2:$Y$523,6,FALSE)</f>
        <v>#N/A</v>
      </c>
      <c r="F570" t="e">
        <f>VLOOKUP($C570,'2000 Place'!$C$2:$Y$523,7,FALSE)</f>
        <v>#N/A</v>
      </c>
      <c r="G570" t="e">
        <f>VLOOKUP($C570,'2000 Place'!$C$2:$Y$523,8,FALSE)</f>
        <v>#N/A</v>
      </c>
      <c r="H570" t="e">
        <f>VLOOKUP($C570,'2000 Place'!$C$2:$Y$523,9,FALSE)</f>
        <v>#N/A</v>
      </c>
      <c r="I570" t="e">
        <f>VLOOKUP($C570,'2000 Place'!$C$2:$Y$523,10,FALSE)</f>
        <v>#N/A</v>
      </c>
      <c r="J570" t="e">
        <f>VLOOKUP($C570,'2000 Place'!$C$2:$Y$523,11,FALSE)</f>
        <v>#N/A</v>
      </c>
      <c r="K570" t="e">
        <f>VLOOKUP($C570,'2000 Place'!$C$2:$Y$523,12,FALSE)</f>
        <v>#N/A</v>
      </c>
      <c r="L570" t="e">
        <f>VLOOKUP($C570,'2000 Place'!$C$2:$Y$523,13,FALSE)</f>
        <v>#N/A</v>
      </c>
      <c r="M570" t="e">
        <f>VLOOKUP($C570,'2000 Place'!$C$2:$Y$523,14,FALSE)</f>
        <v>#N/A</v>
      </c>
      <c r="N570" t="e">
        <f>VLOOKUP($C570,'2000 Place'!$C$2:$Y$523,15,FALSE)</f>
        <v>#N/A</v>
      </c>
      <c r="O570" t="e">
        <f>VLOOKUP($C570,'2000 Place'!$C$2:$Y$523,16,FALSE)</f>
        <v>#N/A</v>
      </c>
      <c r="P570" t="e">
        <f>VLOOKUP($C570,'2000 Place'!$C$2:$Y$523,17,FALSE)</f>
        <v>#N/A</v>
      </c>
      <c r="Q570" t="e">
        <f>VLOOKUP($C570,'2000 Place'!$C$2:$Y$523,18,FALSE)</f>
        <v>#N/A</v>
      </c>
      <c r="R570" t="e">
        <f>VLOOKUP($C570,'2000 Place'!$C$2:$Y$523,19,FALSE)</f>
        <v>#N/A</v>
      </c>
      <c r="S570" t="e">
        <f>VLOOKUP($C570,'2000 Place'!$C$2:$Y$523,20,FALSE)</f>
        <v>#N/A</v>
      </c>
      <c r="T570" t="e">
        <f>VLOOKUP($C570,'2000 Place'!$C$2:$Y$523,21,FALSE)</f>
        <v>#N/A</v>
      </c>
      <c r="U570" t="e">
        <f>VLOOKUP($C570,'2000 Place'!$C$2:$Y$523,22,FALSE)</f>
        <v>#N/A</v>
      </c>
      <c r="V570" t="e">
        <f>VLOOKUP($C570,'2000 Place'!$C$2:$Y$523,23,FALSE)</f>
        <v>#N/A</v>
      </c>
    </row>
    <row r="571" spans="1:22" x14ac:dyDescent="0.25">
      <c r="A571" t="s">
        <v>1386</v>
      </c>
      <c r="B571">
        <v>5373080</v>
      </c>
      <c r="C571" t="s">
        <v>1387</v>
      </c>
      <c r="D571">
        <f>VLOOKUP($C571,'2000 Place'!$C$2:$Y$523,5,FALSE)</f>
        <v>952</v>
      </c>
      <c r="E571">
        <f>VLOOKUP($C571,'2000 Place'!$C$2:$Y$523,6,FALSE)</f>
        <v>893</v>
      </c>
      <c r="F571">
        <f>VLOOKUP($C571,'2000 Place'!$C$2:$Y$523,7,FALSE)</f>
        <v>59</v>
      </c>
      <c r="G571">
        <f>VLOOKUP($C571,'2000 Place'!$C$2:$Y$523,8,FALSE)</f>
        <v>842</v>
      </c>
      <c r="H571">
        <f>VLOOKUP($C571,'2000 Place'!$C$2:$Y$523,9,FALSE)</f>
        <v>27</v>
      </c>
      <c r="I571">
        <f>VLOOKUP($C571,'2000 Place'!$C$2:$Y$523,10,FALSE)</f>
        <v>9</v>
      </c>
      <c r="J571">
        <f>VLOOKUP($C571,'2000 Place'!$C$2:$Y$523,11,FALSE)</f>
        <v>11</v>
      </c>
      <c r="K571">
        <f>VLOOKUP($C571,'2000 Place'!$C$2:$Y$523,12,FALSE)</f>
        <v>0</v>
      </c>
      <c r="L571">
        <f>VLOOKUP($C571,'2000 Place'!$C$2:$Y$523,13,FALSE)</f>
        <v>0</v>
      </c>
      <c r="M571">
        <f>VLOOKUP($C571,'2000 Place'!$C$2:$Y$523,14,FALSE)</f>
        <v>10</v>
      </c>
      <c r="N571">
        <f>VLOOKUP($C571,'2000 Place'!$C$2:$Y$523,15,FALSE)</f>
        <v>0</v>
      </c>
      <c r="O571">
        <f>VLOOKUP($C571,'2000 Place'!$C$2:$Y$523,16,FALSE)</f>
        <v>8</v>
      </c>
      <c r="P571">
        <f>VLOOKUP($C571,'2000 Place'!$C$2:$Y$523,17,FALSE)</f>
        <v>2</v>
      </c>
      <c r="Q571">
        <f>VLOOKUP($C571,'2000 Place'!$C$2:$Y$523,18,FALSE)</f>
        <v>2</v>
      </c>
      <c r="R571">
        <f>VLOOKUP($C571,'2000 Place'!$C$2:$Y$523,19,FALSE)</f>
        <v>0</v>
      </c>
      <c r="S571">
        <f>VLOOKUP($C571,'2000 Place'!$C$2:$Y$523,20,FALSE)</f>
        <v>3</v>
      </c>
      <c r="T571">
        <f>VLOOKUP($C571,'2000 Place'!$C$2:$Y$523,21,FALSE)</f>
        <v>16</v>
      </c>
      <c r="U571">
        <f>VLOOKUP($C571,'2000 Place'!$C$2:$Y$523,22,FALSE)</f>
        <v>19</v>
      </c>
      <c r="V571">
        <f>VLOOKUP($C571,'2000 Place'!$C$2:$Y$523,23,FALSE)</f>
        <v>3</v>
      </c>
    </row>
    <row r="572" spans="1:22" x14ac:dyDescent="0.25">
      <c r="A572" t="s">
        <v>1388</v>
      </c>
      <c r="B572">
        <v>5373255</v>
      </c>
      <c r="C572" t="s">
        <v>1389</v>
      </c>
      <c r="D572" t="e">
        <f>VLOOKUP($C572,'2000 Place'!$C$2:$Y$523,5,FALSE)</f>
        <v>#N/A</v>
      </c>
      <c r="E572" t="e">
        <f>VLOOKUP($C572,'2000 Place'!$C$2:$Y$523,6,FALSE)</f>
        <v>#N/A</v>
      </c>
      <c r="F572" t="e">
        <f>VLOOKUP($C572,'2000 Place'!$C$2:$Y$523,7,FALSE)</f>
        <v>#N/A</v>
      </c>
      <c r="G572" t="e">
        <f>VLOOKUP($C572,'2000 Place'!$C$2:$Y$523,8,FALSE)</f>
        <v>#N/A</v>
      </c>
      <c r="H572" t="e">
        <f>VLOOKUP($C572,'2000 Place'!$C$2:$Y$523,9,FALSE)</f>
        <v>#N/A</v>
      </c>
      <c r="I572" t="e">
        <f>VLOOKUP($C572,'2000 Place'!$C$2:$Y$523,10,FALSE)</f>
        <v>#N/A</v>
      </c>
      <c r="J572" t="e">
        <f>VLOOKUP($C572,'2000 Place'!$C$2:$Y$523,11,FALSE)</f>
        <v>#N/A</v>
      </c>
      <c r="K572" t="e">
        <f>VLOOKUP($C572,'2000 Place'!$C$2:$Y$523,12,FALSE)</f>
        <v>#N/A</v>
      </c>
      <c r="L572" t="e">
        <f>VLOOKUP($C572,'2000 Place'!$C$2:$Y$523,13,FALSE)</f>
        <v>#N/A</v>
      </c>
      <c r="M572" t="e">
        <f>VLOOKUP($C572,'2000 Place'!$C$2:$Y$523,14,FALSE)</f>
        <v>#N/A</v>
      </c>
      <c r="N572" t="e">
        <f>VLOOKUP($C572,'2000 Place'!$C$2:$Y$523,15,FALSE)</f>
        <v>#N/A</v>
      </c>
      <c r="O572" t="e">
        <f>VLOOKUP($C572,'2000 Place'!$C$2:$Y$523,16,FALSE)</f>
        <v>#N/A</v>
      </c>
      <c r="P572" t="e">
        <f>VLOOKUP($C572,'2000 Place'!$C$2:$Y$523,17,FALSE)</f>
        <v>#N/A</v>
      </c>
      <c r="Q572" t="e">
        <f>VLOOKUP($C572,'2000 Place'!$C$2:$Y$523,18,FALSE)</f>
        <v>#N/A</v>
      </c>
      <c r="R572" t="e">
        <f>VLOOKUP($C572,'2000 Place'!$C$2:$Y$523,19,FALSE)</f>
        <v>#N/A</v>
      </c>
      <c r="S572" t="e">
        <f>VLOOKUP($C572,'2000 Place'!$C$2:$Y$523,20,FALSE)</f>
        <v>#N/A</v>
      </c>
      <c r="T572" t="e">
        <f>VLOOKUP($C572,'2000 Place'!$C$2:$Y$523,21,FALSE)</f>
        <v>#N/A</v>
      </c>
      <c r="U572" t="e">
        <f>VLOOKUP($C572,'2000 Place'!$C$2:$Y$523,22,FALSE)</f>
        <v>#N/A</v>
      </c>
      <c r="V572" t="e">
        <f>VLOOKUP($C572,'2000 Place'!$C$2:$Y$523,23,FALSE)</f>
        <v>#N/A</v>
      </c>
    </row>
    <row r="573" spans="1:22" x14ac:dyDescent="0.25">
      <c r="A573" t="s">
        <v>1390</v>
      </c>
      <c r="B573">
        <v>5373290</v>
      </c>
      <c r="C573" t="s">
        <v>1391</v>
      </c>
      <c r="D573">
        <f>VLOOKUP($C573,'2000 Place'!$C$2:$Y$523,5,FALSE)</f>
        <v>5582</v>
      </c>
      <c r="E573">
        <f>VLOOKUP($C573,'2000 Place'!$C$2:$Y$523,6,FALSE)</f>
        <v>4729</v>
      </c>
      <c r="F573">
        <f>VLOOKUP($C573,'2000 Place'!$C$2:$Y$523,7,FALSE)</f>
        <v>853</v>
      </c>
      <c r="G573">
        <f>VLOOKUP($C573,'2000 Place'!$C$2:$Y$523,8,FALSE)</f>
        <v>3509</v>
      </c>
      <c r="H573">
        <f>VLOOKUP($C573,'2000 Place'!$C$2:$Y$523,9,FALSE)</f>
        <v>41</v>
      </c>
      <c r="I573">
        <f>VLOOKUP($C573,'2000 Place'!$C$2:$Y$523,10,FALSE)</f>
        <v>257</v>
      </c>
      <c r="J573">
        <f>VLOOKUP($C573,'2000 Place'!$C$2:$Y$523,11,FALSE)</f>
        <v>151</v>
      </c>
      <c r="K573">
        <f>VLOOKUP($C573,'2000 Place'!$C$2:$Y$523,12,FALSE)</f>
        <v>28</v>
      </c>
      <c r="L573">
        <f>VLOOKUP($C573,'2000 Place'!$C$2:$Y$523,13,FALSE)</f>
        <v>0</v>
      </c>
      <c r="M573">
        <f>VLOOKUP($C573,'2000 Place'!$C$2:$Y$523,14,FALSE)</f>
        <v>115</v>
      </c>
      <c r="N573">
        <f>VLOOKUP($C573,'2000 Place'!$C$2:$Y$523,15,FALSE)</f>
        <v>7</v>
      </c>
      <c r="O573">
        <f>VLOOKUP($C573,'2000 Place'!$C$2:$Y$523,16,FALSE)</f>
        <v>14</v>
      </c>
      <c r="P573">
        <f>VLOOKUP($C573,'2000 Place'!$C$2:$Y$523,17,FALSE)</f>
        <v>24</v>
      </c>
      <c r="Q573">
        <f>VLOOKUP($C573,'2000 Place'!$C$2:$Y$523,18,FALSE)</f>
        <v>0</v>
      </c>
      <c r="R573">
        <f>VLOOKUP($C573,'2000 Place'!$C$2:$Y$523,19,FALSE)</f>
        <v>0</v>
      </c>
      <c r="S573">
        <f>VLOOKUP($C573,'2000 Place'!$C$2:$Y$523,20,FALSE)</f>
        <v>600</v>
      </c>
      <c r="T573">
        <f>VLOOKUP($C573,'2000 Place'!$C$2:$Y$523,21,FALSE)</f>
        <v>584</v>
      </c>
      <c r="U573">
        <f>VLOOKUP($C573,'2000 Place'!$C$2:$Y$523,22,FALSE)</f>
        <v>206</v>
      </c>
      <c r="V573">
        <f>VLOOKUP($C573,'2000 Place'!$C$2:$Y$523,23,FALSE)</f>
        <v>46</v>
      </c>
    </row>
    <row r="574" spans="1:22" x14ac:dyDescent="0.25">
      <c r="A574" t="s">
        <v>1392</v>
      </c>
      <c r="B574">
        <v>5373307</v>
      </c>
      <c r="C574" t="s">
        <v>1393</v>
      </c>
      <c r="D574">
        <f>VLOOKUP($C574,'2000 Place'!$C$2:$Y$523,5,FALSE)</f>
        <v>11179</v>
      </c>
      <c r="E574">
        <f>VLOOKUP($C574,'2000 Place'!$C$2:$Y$523,6,FALSE)</f>
        <v>9896</v>
      </c>
      <c r="F574">
        <f>VLOOKUP($C574,'2000 Place'!$C$2:$Y$523,7,FALSE)</f>
        <v>1283</v>
      </c>
      <c r="G574">
        <f>VLOOKUP($C574,'2000 Place'!$C$2:$Y$523,8,FALSE)</f>
        <v>9165</v>
      </c>
      <c r="H574">
        <f>VLOOKUP($C574,'2000 Place'!$C$2:$Y$523,9,FALSE)</f>
        <v>750</v>
      </c>
      <c r="I574">
        <f>VLOOKUP($C574,'2000 Place'!$C$2:$Y$523,10,FALSE)</f>
        <v>104</v>
      </c>
      <c r="J574">
        <f>VLOOKUP($C574,'2000 Place'!$C$2:$Y$523,11,FALSE)</f>
        <v>49</v>
      </c>
      <c r="K574">
        <f>VLOOKUP($C574,'2000 Place'!$C$2:$Y$523,12,FALSE)</f>
        <v>115</v>
      </c>
      <c r="L574">
        <f>VLOOKUP($C574,'2000 Place'!$C$2:$Y$523,13,FALSE)</f>
        <v>12</v>
      </c>
      <c r="M574">
        <f>VLOOKUP($C574,'2000 Place'!$C$2:$Y$523,14,FALSE)</f>
        <v>7</v>
      </c>
      <c r="N574">
        <f>VLOOKUP($C574,'2000 Place'!$C$2:$Y$523,15,FALSE)</f>
        <v>0</v>
      </c>
      <c r="O574">
        <f>VLOOKUP($C574,'2000 Place'!$C$2:$Y$523,16,FALSE)</f>
        <v>202</v>
      </c>
      <c r="P574">
        <f>VLOOKUP($C574,'2000 Place'!$C$2:$Y$523,17,FALSE)</f>
        <v>326</v>
      </c>
      <c r="Q574">
        <f>VLOOKUP($C574,'2000 Place'!$C$2:$Y$523,18,FALSE)</f>
        <v>0</v>
      </c>
      <c r="R574">
        <f>VLOOKUP($C574,'2000 Place'!$C$2:$Y$523,19,FALSE)</f>
        <v>0</v>
      </c>
      <c r="S574">
        <f>VLOOKUP($C574,'2000 Place'!$C$2:$Y$523,20,FALSE)</f>
        <v>61</v>
      </c>
      <c r="T574">
        <f>VLOOKUP($C574,'2000 Place'!$C$2:$Y$523,21,FALSE)</f>
        <v>116</v>
      </c>
      <c r="U574">
        <f>VLOOKUP($C574,'2000 Place'!$C$2:$Y$523,22,FALSE)</f>
        <v>242</v>
      </c>
      <c r="V574">
        <f>VLOOKUP($C574,'2000 Place'!$C$2:$Y$523,23,FALSE)</f>
        <v>30</v>
      </c>
    </row>
    <row r="575" spans="1:22" x14ac:dyDescent="0.25">
      <c r="A575" t="s">
        <v>1394</v>
      </c>
      <c r="B575">
        <v>5373360</v>
      </c>
      <c r="C575" t="s">
        <v>1395</v>
      </c>
      <c r="D575">
        <f>VLOOKUP($C575,'2000 Place'!$C$2:$Y$523,5,FALSE)</f>
        <v>355</v>
      </c>
      <c r="E575">
        <f>VLOOKUP($C575,'2000 Place'!$C$2:$Y$523,6,FALSE)</f>
        <v>349</v>
      </c>
      <c r="F575">
        <f>VLOOKUP($C575,'2000 Place'!$C$2:$Y$523,7,FALSE)</f>
        <v>6</v>
      </c>
      <c r="G575">
        <f>VLOOKUP($C575,'2000 Place'!$C$2:$Y$523,8,FALSE)</f>
        <v>345</v>
      </c>
      <c r="H575">
        <f>VLOOKUP($C575,'2000 Place'!$C$2:$Y$523,9,FALSE)</f>
        <v>4</v>
      </c>
      <c r="I575">
        <f>VLOOKUP($C575,'2000 Place'!$C$2:$Y$523,10,FALSE)</f>
        <v>2</v>
      </c>
      <c r="J575">
        <f>VLOOKUP($C575,'2000 Place'!$C$2:$Y$523,11,FALSE)</f>
        <v>0</v>
      </c>
      <c r="K575">
        <f>VLOOKUP($C575,'2000 Place'!$C$2:$Y$523,12,FALSE)</f>
        <v>0</v>
      </c>
      <c r="L575">
        <f>VLOOKUP($C575,'2000 Place'!$C$2:$Y$523,13,FALSE)</f>
        <v>0</v>
      </c>
      <c r="M575">
        <f>VLOOKUP($C575,'2000 Place'!$C$2:$Y$523,14,FALSE)</f>
        <v>0</v>
      </c>
      <c r="N575">
        <f>VLOOKUP($C575,'2000 Place'!$C$2:$Y$523,15,FALSE)</f>
        <v>0</v>
      </c>
      <c r="O575">
        <f>VLOOKUP($C575,'2000 Place'!$C$2:$Y$523,16,FALSE)</f>
        <v>0</v>
      </c>
      <c r="P575">
        <f>VLOOKUP($C575,'2000 Place'!$C$2:$Y$523,17,FALSE)</f>
        <v>0</v>
      </c>
      <c r="Q575">
        <f>VLOOKUP($C575,'2000 Place'!$C$2:$Y$523,18,FALSE)</f>
        <v>0</v>
      </c>
      <c r="R575">
        <f>VLOOKUP($C575,'2000 Place'!$C$2:$Y$523,19,FALSE)</f>
        <v>0</v>
      </c>
      <c r="S575">
        <f>VLOOKUP($C575,'2000 Place'!$C$2:$Y$523,20,FALSE)</f>
        <v>0</v>
      </c>
      <c r="T575">
        <f>VLOOKUP($C575,'2000 Place'!$C$2:$Y$523,21,FALSE)</f>
        <v>2</v>
      </c>
      <c r="U575">
        <f>VLOOKUP($C575,'2000 Place'!$C$2:$Y$523,22,FALSE)</f>
        <v>2</v>
      </c>
      <c r="V575">
        <f>VLOOKUP($C575,'2000 Place'!$C$2:$Y$523,23,FALSE)</f>
        <v>0</v>
      </c>
    </row>
    <row r="576" spans="1:22" x14ac:dyDescent="0.25">
      <c r="A576" t="s">
        <v>1396</v>
      </c>
      <c r="B576">
        <v>5373465</v>
      </c>
      <c r="C576" t="s">
        <v>1397</v>
      </c>
      <c r="D576">
        <f>VLOOKUP($C576,'2000 Place'!$C$2:$Y$523,5,FALSE)</f>
        <v>30120</v>
      </c>
      <c r="E576">
        <f>VLOOKUP($C576,'2000 Place'!$C$2:$Y$523,6,FALSE)</f>
        <v>26479</v>
      </c>
      <c r="F576">
        <f>VLOOKUP($C576,'2000 Place'!$C$2:$Y$523,7,FALSE)</f>
        <v>3641</v>
      </c>
      <c r="G576">
        <f>VLOOKUP($C576,'2000 Place'!$C$2:$Y$523,8,FALSE)</f>
        <v>21217</v>
      </c>
      <c r="H576">
        <f>VLOOKUP($C576,'2000 Place'!$C$2:$Y$523,9,FALSE)</f>
        <v>1187</v>
      </c>
      <c r="I576">
        <f>VLOOKUP($C576,'2000 Place'!$C$2:$Y$523,10,FALSE)</f>
        <v>391</v>
      </c>
      <c r="J576">
        <f>VLOOKUP($C576,'2000 Place'!$C$2:$Y$523,11,FALSE)</f>
        <v>96</v>
      </c>
      <c r="K576">
        <f>VLOOKUP($C576,'2000 Place'!$C$2:$Y$523,12,FALSE)</f>
        <v>2459</v>
      </c>
      <c r="L576">
        <f>VLOOKUP($C576,'2000 Place'!$C$2:$Y$523,13,FALSE)</f>
        <v>138</v>
      </c>
      <c r="M576">
        <f>VLOOKUP($C576,'2000 Place'!$C$2:$Y$523,14,FALSE)</f>
        <v>232</v>
      </c>
      <c r="N576">
        <f>VLOOKUP($C576,'2000 Place'!$C$2:$Y$523,15,FALSE)</f>
        <v>9</v>
      </c>
      <c r="O576">
        <f>VLOOKUP($C576,'2000 Place'!$C$2:$Y$523,16,FALSE)</f>
        <v>565</v>
      </c>
      <c r="P576">
        <f>VLOOKUP($C576,'2000 Place'!$C$2:$Y$523,17,FALSE)</f>
        <v>1746</v>
      </c>
      <c r="Q576">
        <f>VLOOKUP($C576,'2000 Place'!$C$2:$Y$523,18,FALSE)</f>
        <v>74</v>
      </c>
      <c r="R576">
        <f>VLOOKUP($C576,'2000 Place'!$C$2:$Y$523,19,FALSE)</f>
        <v>96</v>
      </c>
      <c r="S576">
        <f>VLOOKUP($C576,'2000 Place'!$C$2:$Y$523,20,FALSE)</f>
        <v>226</v>
      </c>
      <c r="T576">
        <f>VLOOKUP($C576,'2000 Place'!$C$2:$Y$523,21,FALSE)</f>
        <v>116</v>
      </c>
      <c r="U576">
        <f>VLOOKUP($C576,'2000 Place'!$C$2:$Y$523,22,FALSE)</f>
        <v>1315</v>
      </c>
      <c r="V576">
        <f>VLOOKUP($C576,'2000 Place'!$C$2:$Y$523,23,FALSE)</f>
        <v>253</v>
      </c>
    </row>
    <row r="577" spans="1:22" x14ac:dyDescent="0.25">
      <c r="A577" t="s">
        <v>1398</v>
      </c>
      <c r="B577">
        <v>5373580</v>
      </c>
      <c r="C577" t="s">
        <v>1399</v>
      </c>
      <c r="D577" t="e">
        <f>VLOOKUP($C577,'2000 Place'!$C$2:$Y$523,5,FALSE)</f>
        <v>#N/A</v>
      </c>
      <c r="E577" t="e">
        <f>VLOOKUP($C577,'2000 Place'!$C$2:$Y$523,6,FALSE)</f>
        <v>#N/A</v>
      </c>
      <c r="F577" t="e">
        <f>VLOOKUP($C577,'2000 Place'!$C$2:$Y$523,7,FALSE)</f>
        <v>#N/A</v>
      </c>
      <c r="G577" t="e">
        <f>VLOOKUP($C577,'2000 Place'!$C$2:$Y$523,8,FALSE)</f>
        <v>#N/A</v>
      </c>
      <c r="H577" t="e">
        <f>VLOOKUP($C577,'2000 Place'!$C$2:$Y$523,9,FALSE)</f>
        <v>#N/A</v>
      </c>
      <c r="I577" t="e">
        <f>VLOOKUP($C577,'2000 Place'!$C$2:$Y$523,10,FALSE)</f>
        <v>#N/A</v>
      </c>
      <c r="J577" t="e">
        <f>VLOOKUP($C577,'2000 Place'!$C$2:$Y$523,11,FALSE)</f>
        <v>#N/A</v>
      </c>
      <c r="K577" t="e">
        <f>VLOOKUP($C577,'2000 Place'!$C$2:$Y$523,12,FALSE)</f>
        <v>#N/A</v>
      </c>
      <c r="L577" t="e">
        <f>VLOOKUP($C577,'2000 Place'!$C$2:$Y$523,13,FALSE)</f>
        <v>#N/A</v>
      </c>
      <c r="M577" t="e">
        <f>VLOOKUP($C577,'2000 Place'!$C$2:$Y$523,14,FALSE)</f>
        <v>#N/A</v>
      </c>
      <c r="N577" t="e">
        <f>VLOOKUP($C577,'2000 Place'!$C$2:$Y$523,15,FALSE)</f>
        <v>#N/A</v>
      </c>
      <c r="O577" t="e">
        <f>VLOOKUP($C577,'2000 Place'!$C$2:$Y$523,16,FALSE)</f>
        <v>#N/A</v>
      </c>
      <c r="P577" t="e">
        <f>VLOOKUP($C577,'2000 Place'!$C$2:$Y$523,17,FALSE)</f>
        <v>#N/A</v>
      </c>
      <c r="Q577" t="e">
        <f>VLOOKUP($C577,'2000 Place'!$C$2:$Y$523,18,FALSE)</f>
        <v>#N/A</v>
      </c>
      <c r="R577" t="e">
        <f>VLOOKUP($C577,'2000 Place'!$C$2:$Y$523,19,FALSE)</f>
        <v>#N/A</v>
      </c>
      <c r="S577" t="e">
        <f>VLOOKUP($C577,'2000 Place'!$C$2:$Y$523,20,FALSE)</f>
        <v>#N/A</v>
      </c>
      <c r="T577" t="e">
        <f>VLOOKUP($C577,'2000 Place'!$C$2:$Y$523,21,FALSE)</f>
        <v>#N/A</v>
      </c>
      <c r="U577" t="e">
        <f>VLOOKUP($C577,'2000 Place'!$C$2:$Y$523,22,FALSE)</f>
        <v>#N/A</v>
      </c>
      <c r="V577" t="e">
        <f>VLOOKUP($C577,'2000 Place'!$C$2:$Y$523,23,FALSE)</f>
        <v>#N/A</v>
      </c>
    </row>
    <row r="578" spans="1:22" x14ac:dyDescent="0.25">
      <c r="A578" t="s">
        <v>1400</v>
      </c>
      <c r="B578">
        <v>5373780</v>
      </c>
      <c r="C578" t="s">
        <v>1401</v>
      </c>
      <c r="D578">
        <f>VLOOKUP($C578,'2000 Place'!$C$2:$Y$523,5,FALSE)</f>
        <v>617</v>
      </c>
      <c r="E578">
        <f>VLOOKUP($C578,'2000 Place'!$C$2:$Y$523,6,FALSE)</f>
        <v>578</v>
      </c>
      <c r="F578">
        <f>VLOOKUP($C578,'2000 Place'!$C$2:$Y$523,7,FALSE)</f>
        <v>39</v>
      </c>
      <c r="G578">
        <f>VLOOKUP($C578,'2000 Place'!$C$2:$Y$523,8,FALSE)</f>
        <v>529</v>
      </c>
      <c r="H578">
        <f>VLOOKUP($C578,'2000 Place'!$C$2:$Y$523,9,FALSE)</f>
        <v>11</v>
      </c>
      <c r="I578">
        <f>VLOOKUP($C578,'2000 Place'!$C$2:$Y$523,10,FALSE)</f>
        <v>24</v>
      </c>
      <c r="J578">
        <f>VLOOKUP($C578,'2000 Place'!$C$2:$Y$523,11,FALSE)</f>
        <v>17</v>
      </c>
      <c r="K578">
        <f>VLOOKUP($C578,'2000 Place'!$C$2:$Y$523,12,FALSE)</f>
        <v>0</v>
      </c>
      <c r="L578">
        <f>VLOOKUP($C578,'2000 Place'!$C$2:$Y$523,13,FALSE)</f>
        <v>0</v>
      </c>
      <c r="M578">
        <f>VLOOKUP($C578,'2000 Place'!$C$2:$Y$523,14,FALSE)</f>
        <v>4</v>
      </c>
      <c r="N578">
        <f>VLOOKUP($C578,'2000 Place'!$C$2:$Y$523,15,FALSE)</f>
        <v>0</v>
      </c>
      <c r="O578">
        <f>VLOOKUP($C578,'2000 Place'!$C$2:$Y$523,16,FALSE)</f>
        <v>0</v>
      </c>
      <c r="P578">
        <f>VLOOKUP($C578,'2000 Place'!$C$2:$Y$523,17,FALSE)</f>
        <v>2</v>
      </c>
      <c r="Q578">
        <f>VLOOKUP($C578,'2000 Place'!$C$2:$Y$523,18,FALSE)</f>
        <v>0</v>
      </c>
      <c r="R578">
        <f>VLOOKUP($C578,'2000 Place'!$C$2:$Y$523,19,FALSE)</f>
        <v>0</v>
      </c>
      <c r="S578">
        <f>VLOOKUP($C578,'2000 Place'!$C$2:$Y$523,20,FALSE)</f>
        <v>9</v>
      </c>
      <c r="T578">
        <f>VLOOKUP($C578,'2000 Place'!$C$2:$Y$523,21,FALSE)</f>
        <v>0</v>
      </c>
      <c r="U578">
        <f>VLOOKUP($C578,'2000 Place'!$C$2:$Y$523,22,FALSE)</f>
        <v>12</v>
      </c>
      <c r="V578">
        <f>VLOOKUP($C578,'2000 Place'!$C$2:$Y$523,23,FALSE)</f>
        <v>9</v>
      </c>
    </row>
    <row r="579" spans="1:22" x14ac:dyDescent="0.25">
      <c r="A579" t="s">
        <v>1402</v>
      </c>
      <c r="B579">
        <v>5373885</v>
      </c>
      <c r="C579" t="s">
        <v>1403</v>
      </c>
      <c r="D579" t="e">
        <f>VLOOKUP($C579,'2000 Place'!$C$2:$Y$523,5,FALSE)</f>
        <v>#N/A</v>
      </c>
      <c r="E579" t="e">
        <f>VLOOKUP($C579,'2000 Place'!$C$2:$Y$523,6,FALSE)</f>
        <v>#N/A</v>
      </c>
      <c r="F579" t="e">
        <f>VLOOKUP($C579,'2000 Place'!$C$2:$Y$523,7,FALSE)</f>
        <v>#N/A</v>
      </c>
      <c r="G579" t="e">
        <f>VLOOKUP($C579,'2000 Place'!$C$2:$Y$523,8,FALSE)</f>
        <v>#N/A</v>
      </c>
      <c r="H579" t="e">
        <f>VLOOKUP($C579,'2000 Place'!$C$2:$Y$523,9,FALSE)</f>
        <v>#N/A</v>
      </c>
      <c r="I579" t="e">
        <f>VLOOKUP($C579,'2000 Place'!$C$2:$Y$523,10,FALSE)</f>
        <v>#N/A</v>
      </c>
      <c r="J579" t="e">
        <f>VLOOKUP($C579,'2000 Place'!$C$2:$Y$523,11,FALSE)</f>
        <v>#N/A</v>
      </c>
      <c r="K579" t="e">
        <f>VLOOKUP($C579,'2000 Place'!$C$2:$Y$523,12,FALSE)</f>
        <v>#N/A</v>
      </c>
      <c r="L579" t="e">
        <f>VLOOKUP($C579,'2000 Place'!$C$2:$Y$523,13,FALSE)</f>
        <v>#N/A</v>
      </c>
      <c r="M579" t="e">
        <f>VLOOKUP($C579,'2000 Place'!$C$2:$Y$523,14,FALSE)</f>
        <v>#N/A</v>
      </c>
      <c r="N579" t="e">
        <f>VLOOKUP($C579,'2000 Place'!$C$2:$Y$523,15,FALSE)</f>
        <v>#N/A</v>
      </c>
      <c r="O579" t="e">
        <f>VLOOKUP($C579,'2000 Place'!$C$2:$Y$523,16,FALSE)</f>
        <v>#N/A</v>
      </c>
      <c r="P579" t="e">
        <f>VLOOKUP($C579,'2000 Place'!$C$2:$Y$523,17,FALSE)</f>
        <v>#N/A</v>
      </c>
      <c r="Q579" t="e">
        <f>VLOOKUP($C579,'2000 Place'!$C$2:$Y$523,18,FALSE)</f>
        <v>#N/A</v>
      </c>
      <c r="R579" t="e">
        <f>VLOOKUP($C579,'2000 Place'!$C$2:$Y$523,19,FALSE)</f>
        <v>#N/A</v>
      </c>
      <c r="S579" t="e">
        <f>VLOOKUP($C579,'2000 Place'!$C$2:$Y$523,20,FALSE)</f>
        <v>#N/A</v>
      </c>
      <c r="T579" t="e">
        <f>VLOOKUP($C579,'2000 Place'!$C$2:$Y$523,21,FALSE)</f>
        <v>#N/A</v>
      </c>
      <c r="U579" t="e">
        <f>VLOOKUP($C579,'2000 Place'!$C$2:$Y$523,22,FALSE)</f>
        <v>#N/A</v>
      </c>
      <c r="V579" t="e">
        <f>VLOOKUP($C579,'2000 Place'!$C$2:$Y$523,23,FALSE)</f>
        <v>#N/A</v>
      </c>
    </row>
    <row r="580" spans="1:22" x14ac:dyDescent="0.25">
      <c r="A580" t="s">
        <v>1404</v>
      </c>
      <c r="B580">
        <v>5374060</v>
      </c>
      <c r="C580" t="s">
        <v>1405</v>
      </c>
      <c r="D580">
        <f>VLOOKUP($C580,'2000 Place'!$C$2:$Y$523,5,FALSE)</f>
        <v>143226</v>
      </c>
      <c r="E580">
        <f>VLOOKUP($C580,'2000 Place'!$C$2:$Y$523,6,FALSE)</f>
        <v>124147</v>
      </c>
      <c r="F580">
        <f>VLOOKUP($C580,'2000 Place'!$C$2:$Y$523,7,FALSE)</f>
        <v>19079</v>
      </c>
      <c r="G580">
        <f>VLOOKUP($C580,'2000 Place'!$C$2:$Y$523,8,FALSE)</f>
        <v>107526</v>
      </c>
      <c r="H580">
        <f>VLOOKUP($C580,'2000 Place'!$C$2:$Y$523,9,FALSE)</f>
        <v>9516</v>
      </c>
      <c r="I580">
        <f>VLOOKUP($C580,'2000 Place'!$C$2:$Y$523,10,FALSE)</f>
        <v>2453</v>
      </c>
      <c r="J580">
        <f>VLOOKUP($C580,'2000 Place'!$C$2:$Y$523,11,FALSE)</f>
        <v>1054</v>
      </c>
      <c r="K580">
        <f>VLOOKUP($C580,'2000 Place'!$C$2:$Y$523,12,FALSE)</f>
        <v>2969</v>
      </c>
      <c r="L580">
        <f>VLOOKUP($C580,'2000 Place'!$C$2:$Y$523,13,FALSE)</f>
        <v>303</v>
      </c>
      <c r="M580">
        <f>VLOOKUP($C580,'2000 Place'!$C$2:$Y$523,14,FALSE)</f>
        <v>1479</v>
      </c>
      <c r="N580">
        <f>VLOOKUP($C580,'2000 Place'!$C$2:$Y$523,15,FALSE)</f>
        <v>23</v>
      </c>
      <c r="O580">
        <f>VLOOKUP($C580,'2000 Place'!$C$2:$Y$523,16,FALSE)</f>
        <v>1796</v>
      </c>
      <c r="P580">
        <f>VLOOKUP($C580,'2000 Place'!$C$2:$Y$523,17,FALSE)</f>
        <v>4359</v>
      </c>
      <c r="Q580">
        <f>VLOOKUP($C580,'2000 Place'!$C$2:$Y$523,18,FALSE)</f>
        <v>609</v>
      </c>
      <c r="R580">
        <f>VLOOKUP($C580,'2000 Place'!$C$2:$Y$523,19,FALSE)</f>
        <v>334</v>
      </c>
      <c r="S580">
        <f>VLOOKUP($C580,'2000 Place'!$C$2:$Y$523,20,FALSE)</f>
        <v>2125</v>
      </c>
      <c r="T580">
        <f>VLOOKUP($C580,'2000 Place'!$C$2:$Y$523,21,FALSE)</f>
        <v>2401</v>
      </c>
      <c r="U580">
        <f>VLOOKUP($C580,'2000 Place'!$C$2:$Y$523,22,FALSE)</f>
        <v>5190</v>
      </c>
      <c r="V580">
        <f>VLOOKUP($C580,'2000 Place'!$C$2:$Y$523,23,FALSE)</f>
        <v>1089</v>
      </c>
    </row>
    <row r="581" spans="1:22" x14ac:dyDescent="0.25">
      <c r="A581" t="s">
        <v>1406</v>
      </c>
      <c r="B581">
        <v>5374200</v>
      </c>
      <c r="C581" t="s">
        <v>1407</v>
      </c>
      <c r="D581">
        <f>VLOOKUP($C581,'2000 Place'!$C$2:$Y$523,5,FALSE)</f>
        <v>21</v>
      </c>
      <c r="E581">
        <f>VLOOKUP($C581,'2000 Place'!$C$2:$Y$523,6,FALSE)</f>
        <v>21</v>
      </c>
      <c r="F581">
        <f>VLOOKUP($C581,'2000 Place'!$C$2:$Y$523,7,FALSE)</f>
        <v>0</v>
      </c>
      <c r="G581">
        <f>VLOOKUP($C581,'2000 Place'!$C$2:$Y$523,8,FALSE)</f>
        <v>17</v>
      </c>
      <c r="H581">
        <f>VLOOKUP($C581,'2000 Place'!$C$2:$Y$523,9,FALSE)</f>
        <v>0</v>
      </c>
      <c r="I581">
        <f>VLOOKUP($C581,'2000 Place'!$C$2:$Y$523,10,FALSE)</f>
        <v>0</v>
      </c>
      <c r="J581">
        <f>VLOOKUP($C581,'2000 Place'!$C$2:$Y$523,11,FALSE)</f>
        <v>0</v>
      </c>
      <c r="K581">
        <f>VLOOKUP($C581,'2000 Place'!$C$2:$Y$523,12,FALSE)</f>
        <v>0</v>
      </c>
      <c r="L581">
        <f>VLOOKUP($C581,'2000 Place'!$C$2:$Y$523,13,FALSE)</f>
        <v>0</v>
      </c>
      <c r="M581">
        <f>VLOOKUP($C581,'2000 Place'!$C$2:$Y$523,14,FALSE)</f>
        <v>0</v>
      </c>
      <c r="N581">
        <f>VLOOKUP($C581,'2000 Place'!$C$2:$Y$523,15,FALSE)</f>
        <v>0</v>
      </c>
      <c r="O581">
        <f>VLOOKUP($C581,'2000 Place'!$C$2:$Y$523,16,FALSE)</f>
        <v>0</v>
      </c>
      <c r="P581">
        <f>VLOOKUP($C581,'2000 Place'!$C$2:$Y$523,17,FALSE)</f>
        <v>0</v>
      </c>
      <c r="Q581">
        <f>VLOOKUP($C581,'2000 Place'!$C$2:$Y$523,18,FALSE)</f>
        <v>0</v>
      </c>
      <c r="R581">
        <f>VLOOKUP($C581,'2000 Place'!$C$2:$Y$523,19,FALSE)</f>
        <v>0</v>
      </c>
      <c r="S581">
        <f>VLOOKUP($C581,'2000 Place'!$C$2:$Y$523,20,FALSE)</f>
        <v>0</v>
      </c>
      <c r="T581">
        <f>VLOOKUP($C581,'2000 Place'!$C$2:$Y$523,21,FALSE)</f>
        <v>0</v>
      </c>
      <c r="U581">
        <f>VLOOKUP($C581,'2000 Place'!$C$2:$Y$523,22,FALSE)</f>
        <v>4</v>
      </c>
      <c r="V581">
        <f>VLOOKUP($C581,'2000 Place'!$C$2:$Y$523,23,FALSE)</f>
        <v>0</v>
      </c>
    </row>
    <row r="582" spans="1:22" x14ac:dyDescent="0.25">
      <c r="A582" t="s">
        <v>1408</v>
      </c>
      <c r="B582">
        <v>5374305</v>
      </c>
      <c r="C582" t="s">
        <v>1409</v>
      </c>
      <c r="D582">
        <f>VLOOKUP($C582,'2000 Place'!$C$2:$Y$523,5,FALSE)</f>
        <v>10123</v>
      </c>
      <c r="E582">
        <f>VLOOKUP($C582,'2000 Place'!$C$2:$Y$523,6,FALSE)</f>
        <v>9492</v>
      </c>
      <c r="F582">
        <f>VLOOKUP($C582,'2000 Place'!$C$2:$Y$523,7,FALSE)</f>
        <v>631</v>
      </c>
      <c r="G582">
        <f>VLOOKUP($C582,'2000 Place'!$C$2:$Y$523,8,FALSE)</f>
        <v>8964</v>
      </c>
      <c r="H582">
        <f>VLOOKUP($C582,'2000 Place'!$C$2:$Y$523,9,FALSE)</f>
        <v>390</v>
      </c>
      <c r="I582">
        <f>VLOOKUP($C582,'2000 Place'!$C$2:$Y$523,10,FALSE)</f>
        <v>105</v>
      </c>
      <c r="J582">
        <f>VLOOKUP($C582,'2000 Place'!$C$2:$Y$523,11,FALSE)</f>
        <v>11</v>
      </c>
      <c r="K582">
        <f>VLOOKUP($C582,'2000 Place'!$C$2:$Y$523,12,FALSE)</f>
        <v>57</v>
      </c>
      <c r="L582">
        <f>VLOOKUP($C582,'2000 Place'!$C$2:$Y$523,13,FALSE)</f>
        <v>22</v>
      </c>
      <c r="M582">
        <f>VLOOKUP($C582,'2000 Place'!$C$2:$Y$523,14,FALSE)</f>
        <v>58</v>
      </c>
      <c r="N582">
        <f>VLOOKUP($C582,'2000 Place'!$C$2:$Y$523,15,FALSE)</f>
        <v>0</v>
      </c>
      <c r="O582">
        <f>VLOOKUP($C582,'2000 Place'!$C$2:$Y$523,16,FALSE)</f>
        <v>26</v>
      </c>
      <c r="P582">
        <f>VLOOKUP($C582,'2000 Place'!$C$2:$Y$523,17,FALSE)</f>
        <v>100</v>
      </c>
      <c r="Q582">
        <f>VLOOKUP($C582,'2000 Place'!$C$2:$Y$523,18,FALSE)</f>
        <v>8</v>
      </c>
      <c r="R582">
        <f>VLOOKUP($C582,'2000 Place'!$C$2:$Y$523,19,FALSE)</f>
        <v>0</v>
      </c>
      <c r="S582">
        <f>VLOOKUP($C582,'2000 Place'!$C$2:$Y$523,20,FALSE)</f>
        <v>42</v>
      </c>
      <c r="T582">
        <f>VLOOKUP($C582,'2000 Place'!$C$2:$Y$523,21,FALSE)</f>
        <v>90</v>
      </c>
      <c r="U582">
        <f>VLOOKUP($C582,'2000 Place'!$C$2:$Y$523,22,FALSE)</f>
        <v>232</v>
      </c>
      <c r="V582">
        <f>VLOOKUP($C582,'2000 Place'!$C$2:$Y$523,23,FALSE)</f>
        <v>18</v>
      </c>
    </row>
    <row r="583" spans="1:22" x14ac:dyDescent="0.25">
      <c r="A583" t="s">
        <v>1410</v>
      </c>
      <c r="B583">
        <v>5374445</v>
      </c>
      <c r="C583" t="s">
        <v>1411</v>
      </c>
      <c r="D583" t="e">
        <f>VLOOKUP($C583,'2000 Place'!$C$2:$Y$523,5,FALSE)</f>
        <v>#N/A</v>
      </c>
      <c r="E583" t="e">
        <f>VLOOKUP($C583,'2000 Place'!$C$2:$Y$523,6,FALSE)</f>
        <v>#N/A</v>
      </c>
      <c r="F583" t="e">
        <f>VLOOKUP($C583,'2000 Place'!$C$2:$Y$523,7,FALSE)</f>
        <v>#N/A</v>
      </c>
      <c r="G583" t="e">
        <f>VLOOKUP($C583,'2000 Place'!$C$2:$Y$523,8,FALSE)</f>
        <v>#N/A</v>
      </c>
      <c r="H583" t="e">
        <f>VLOOKUP($C583,'2000 Place'!$C$2:$Y$523,9,FALSE)</f>
        <v>#N/A</v>
      </c>
      <c r="I583" t="e">
        <f>VLOOKUP($C583,'2000 Place'!$C$2:$Y$523,10,FALSE)</f>
        <v>#N/A</v>
      </c>
      <c r="J583" t="e">
        <f>VLOOKUP($C583,'2000 Place'!$C$2:$Y$523,11,FALSE)</f>
        <v>#N/A</v>
      </c>
      <c r="K583" t="e">
        <f>VLOOKUP($C583,'2000 Place'!$C$2:$Y$523,12,FALSE)</f>
        <v>#N/A</v>
      </c>
      <c r="L583" t="e">
        <f>VLOOKUP($C583,'2000 Place'!$C$2:$Y$523,13,FALSE)</f>
        <v>#N/A</v>
      </c>
      <c r="M583" t="e">
        <f>VLOOKUP($C583,'2000 Place'!$C$2:$Y$523,14,FALSE)</f>
        <v>#N/A</v>
      </c>
      <c r="N583" t="e">
        <f>VLOOKUP($C583,'2000 Place'!$C$2:$Y$523,15,FALSE)</f>
        <v>#N/A</v>
      </c>
      <c r="O583" t="e">
        <f>VLOOKUP($C583,'2000 Place'!$C$2:$Y$523,16,FALSE)</f>
        <v>#N/A</v>
      </c>
      <c r="P583" t="e">
        <f>VLOOKUP($C583,'2000 Place'!$C$2:$Y$523,17,FALSE)</f>
        <v>#N/A</v>
      </c>
      <c r="Q583" t="e">
        <f>VLOOKUP($C583,'2000 Place'!$C$2:$Y$523,18,FALSE)</f>
        <v>#N/A</v>
      </c>
      <c r="R583" t="e">
        <f>VLOOKUP($C583,'2000 Place'!$C$2:$Y$523,19,FALSE)</f>
        <v>#N/A</v>
      </c>
      <c r="S583" t="e">
        <f>VLOOKUP($C583,'2000 Place'!$C$2:$Y$523,20,FALSE)</f>
        <v>#N/A</v>
      </c>
      <c r="T583" t="e">
        <f>VLOOKUP($C583,'2000 Place'!$C$2:$Y$523,21,FALSE)</f>
        <v>#N/A</v>
      </c>
      <c r="U583" t="e">
        <f>VLOOKUP($C583,'2000 Place'!$C$2:$Y$523,22,FALSE)</f>
        <v>#N/A</v>
      </c>
      <c r="V583" t="e">
        <f>VLOOKUP($C583,'2000 Place'!$C$2:$Y$523,23,FALSE)</f>
        <v>#N/A</v>
      </c>
    </row>
    <row r="584" spans="1:22" x14ac:dyDescent="0.25">
      <c r="A584" t="s">
        <v>1412</v>
      </c>
      <c r="B584">
        <v>5374585</v>
      </c>
      <c r="C584" t="s">
        <v>1413</v>
      </c>
      <c r="D584">
        <f>VLOOKUP($C584,'2000 Place'!$C$2:$Y$523,5,FALSE)</f>
        <v>3319</v>
      </c>
      <c r="E584">
        <f>VLOOKUP($C584,'2000 Place'!$C$2:$Y$523,6,FALSE)</f>
        <v>3188</v>
      </c>
      <c r="F584">
        <f>VLOOKUP($C584,'2000 Place'!$C$2:$Y$523,7,FALSE)</f>
        <v>131</v>
      </c>
      <c r="G584">
        <f>VLOOKUP($C584,'2000 Place'!$C$2:$Y$523,8,FALSE)</f>
        <v>3074</v>
      </c>
      <c r="H584">
        <f>VLOOKUP($C584,'2000 Place'!$C$2:$Y$523,9,FALSE)</f>
        <v>59</v>
      </c>
      <c r="I584">
        <f>VLOOKUP($C584,'2000 Place'!$C$2:$Y$523,10,FALSE)</f>
        <v>15</v>
      </c>
      <c r="J584">
        <f>VLOOKUP($C584,'2000 Place'!$C$2:$Y$523,11,FALSE)</f>
        <v>19</v>
      </c>
      <c r="K584">
        <f>VLOOKUP($C584,'2000 Place'!$C$2:$Y$523,12,FALSE)</f>
        <v>0</v>
      </c>
      <c r="L584">
        <f>VLOOKUP($C584,'2000 Place'!$C$2:$Y$523,13,FALSE)</f>
        <v>0</v>
      </c>
      <c r="M584">
        <f>VLOOKUP($C584,'2000 Place'!$C$2:$Y$523,14,FALSE)</f>
        <v>0</v>
      </c>
      <c r="N584">
        <f>VLOOKUP($C584,'2000 Place'!$C$2:$Y$523,15,FALSE)</f>
        <v>0</v>
      </c>
      <c r="O584">
        <f>VLOOKUP($C584,'2000 Place'!$C$2:$Y$523,16,FALSE)</f>
        <v>52</v>
      </c>
      <c r="P584">
        <f>VLOOKUP($C584,'2000 Place'!$C$2:$Y$523,17,FALSE)</f>
        <v>23</v>
      </c>
      <c r="Q584">
        <f>VLOOKUP($C584,'2000 Place'!$C$2:$Y$523,18,FALSE)</f>
        <v>0</v>
      </c>
      <c r="R584">
        <f>VLOOKUP($C584,'2000 Place'!$C$2:$Y$523,19,FALSE)</f>
        <v>13</v>
      </c>
      <c r="S584">
        <f>VLOOKUP($C584,'2000 Place'!$C$2:$Y$523,20,FALSE)</f>
        <v>25</v>
      </c>
      <c r="T584">
        <f>VLOOKUP($C584,'2000 Place'!$C$2:$Y$523,21,FALSE)</f>
        <v>14</v>
      </c>
      <c r="U584">
        <f>VLOOKUP($C584,'2000 Place'!$C$2:$Y$523,22,FALSE)</f>
        <v>22</v>
      </c>
      <c r="V584">
        <f>VLOOKUP($C584,'2000 Place'!$C$2:$Y$523,23,FALSE)</f>
        <v>3</v>
      </c>
    </row>
    <row r="585" spans="1:22" x14ac:dyDescent="0.25">
      <c r="A585" t="s">
        <v>1414</v>
      </c>
      <c r="B585">
        <v>5374760</v>
      </c>
      <c r="C585" t="s">
        <v>1415</v>
      </c>
      <c r="D585">
        <f>VLOOKUP($C585,'2000 Place'!$C$2:$Y$523,5,FALSE)</f>
        <v>236</v>
      </c>
      <c r="E585">
        <f>VLOOKUP($C585,'2000 Place'!$C$2:$Y$523,6,FALSE)</f>
        <v>230</v>
      </c>
      <c r="F585">
        <f>VLOOKUP($C585,'2000 Place'!$C$2:$Y$523,7,FALSE)</f>
        <v>6</v>
      </c>
      <c r="G585">
        <f>VLOOKUP($C585,'2000 Place'!$C$2:$Y$523,8,FALSE)</f>
        <v>230</v>
      </c>
      <c r="H585">
        <f>VLOOKUP($C585,'2000 Place'!$C$2:$Y$523,9,FALSE)</f>
        <v>6</v>
      </c>
      <c r="I585">
        <f>VLOOKUP($C585,'2000 Place'!$C$2:$Y$523,10,FALSE)</f>
        <v>0</v>
      </c>
      <c r="J585">
        <f>VLOOKUP($C585,'2000 Place'!$C$2:$Y$523,11,FALSE)</f>
        <v>0</v>
      </c>
      <c r="K585">
        <f>VLOOKUP($C585,'2000 Place'!$C$2:$Y$523,12,FALSE)</f>
        <v>0</v>
      </c>
      <c r="L585">
        <f>VLOOKUP($C585,'2000 Place'!$C$2:$Y$523,13,FALSE)</f>
        <v>0</v>
      </c>
      <c r="M585">
        <f>VLOOKUP($C585,'2000 Place'!$C$2:$Y$523,14,FALSE)</f>
        <v>0</v>
      </c>
      <c r="N585">
        <f>VLOOKUP($C585,'2000 Place'!$C$2:$Y$523,15,FALSE)</f>
        <v>0</v>
      </c>
      <c r="O585">
        <f>VLOOKUP($C585,'2000 Place'!$C$2:$Y$523,16,FALSE)</f>
        <v>0</v>
      </c>
      <c r="P585">
        <f>VLOOKUP($C585,'2000 Place'!$C$2:$Y$523,17,FALSE)</f>
        <v>0</v>
      </c>
      <c r="Q585">
        <f>VLOOKUP($C585,'2000 Place'!$C$2:$Y$523,18,FALSE)</f>
        <v>0</v>
      </c>
      <c r="R585">
        <f>VLOOKUP($C585,'2000 Place'!$C$2:$Y$523,19,FALSE)</f>
        <v>0</v>
      </c>
      <c r="S585">
        <f>VLOOKUP($C585,'2000 Place'!$C$2:$Y$523,20,FALSE)</f>
        <v>0</v>
      </c>
      <c r="T585">
        <f>VLOOKUP($C585,'2000 Place'!$C$2:$Y$523,21,FALSE)</f>
        <v>0</v>
      </c>
      <c r="U585">
        <f>VLOOKUP($C585,'2000 Place'!$C$2:$Y$523,22,FALSE)</f>
        <v>0</v>
      </c>
      <c r="V585">
        <f>VLOOKUP($C585,'2000 Place'!$C$2:$Y$523,23,FALSE)</f>
        <v>0</v>
      </c>
    </row>
    <row r="586" spans="1:22" x14ac:dyDescent="0.25">
      <c r="A586" t="s">
        <v>1416</v>
      </c>
      <c r="B586">
        <v>5375565</v>
      </c>
      <c r="C586" t="s">
        <v>1417</v>
      </c>
      <c r="D586">
        <f>VLOOKUP($C586,'2000 Place'!$C$2:$Y$523,5,FALSE)</f>
        <v>1220</v>
      </c>
      <c r="E586">
        <f>VLOOKUP($C586,'2000 Place'!$C$2:$Y$523,6,FALSE)</f>
        <v>1185</v>
      </c>
      <c r="F586">
        <f>VLOOKUP($C586,'2000 Place'!$C$2:$Y$523,7,FALSE)</f>
        <v>35</v>
      </c>
      <c r="G586">
        <f>VLOOKUP($C586,'2000 Place'!$C$2:$Y$523,8,FALSE)</f>
        <v>1118</v>
      </c>
      <c r="H586">
        <f>VLOOKUP($C586,'2000 Place'!$C$2:$Y$523,9,FALSE)</f>
        <v>18</v>
      </c>
      <c r="I586">
        <f>VLOOKUP($C586,'2000 Place'!$C$2:$Y$523,10,FALSE)</f>
        <v>8</v>
      </c>
      <c r="J586">
        <f>VLOOKUP($C586,'2000 Place'!$C$2:$Y$523,11,FALSE)</f>
        <v>0</v>
      </c>
      <c r="K586">
        <f>VLOOKUP($C586,'2000 Place'!$C$2:$Y$523,12,FALSE)</f>
        <v>0</v>
      </c>
      <c r="L586">
        <f>VLOOKUP($C586,'2000 Place'!$C$2:$Y$523,13,FALSE)</f>
        <v>0</v>
      </c>
      <c r="M586">
        <f>VLOOKUP($C586,'2000 Place'!$C$2:$Y$523,14,FALSE)</f>
        <v>6</v>
      </c>
      <c r="N586">
        <f>VLOOKUP($C586,'2000 Place'!$C$2:$Y$523,15,FALSE)</f>
        <v>0</v>
      </c>
      <c r="O586">
        <f>VLOOKUP($C586,'2000 Place'!$C$2:$Y$523,16,FALSE)</f>
        <v>8</v>
      </c>
      <c r="P586">
        <f>VLOOKUP($C586,'2000 Place'!$C$2:$Y$523,17,FALSE)</f>
        <v>7</v>
      </c>
      <c r="Q586">
        <f>VLOOKUP($C586,'2000 Place'!$C$2:$Y$523,18,FALSE)</f>
        <v>2</v>
      </c>
      <c r="R586">
        <f>VLOOKUP($C586,'2000 Place'!$C$2:$Y$523,19,FALSE)</f>
        <v>0</v>
      </c>
      <c r="S586">
        <f>VLOOKUP($C586,'2000 Place'!$C$2:$Y$523,20,FALSE)</f>
        <v>7</v>
      </c>
      <c r="T586">
        <f>VLOOKUP($C586,'2000 Place'!$C$2:$Y$523,21,FALSE)</f>
        <v>3</v>
      </c>
      <c r="U586">
        <f>VLOOKUP($C586,'2000 Place'!$C$2:$Y$523,22,FALSE)</f>
        <v>36</v>
      </c>
      <c r="V586">
        <f>VLOOKUP($C586,'2000 Place'!$C$2:$Y$523,23,FALSE)</f>
        <v>7</v>
      </c>
    </row>
    <row r="587" spans="1:22" x14ac:dyDescent="0.25">
      <c r="A587" t="s">
        <v>1418</v>
      </c>
      <c r="B587">
        <v>5375775</v>
      </c>
      <c r="C587" t="s">
        <v>1419</v>
      </c>
      <c r="D587">
        <f>VLOOKUP($C587,'2000 Place'!$C$2:$Y$523,5,FALSE)</f>
        <v>29792</v>
      </c>
      <c r="E587">
        <f>VLOOKUP($C587,'2000 Place'!$C$2:$Y$523,6,FALSE)</f>
        <v>26670</v>
      </c>
      <c r="F587">
        <f>VLOOKUP($C587,'2000 Place'!$C$2:$Y$523,7,FALSE)</f>
        <v>3122</v>
      </c>
      <c r="G587">
        <f>VLOOKUP($C587,'2000 Place'!$C$2:$Y$523,8,FALSE)</f>
        <v>22047</v>
      </c>
      <c r="H587">
        <f>VLOOKUP($C587,'2000 Place'!$C$2:$Y$523,9,FALSE)</f>
        <v>595</v>
      </c>
      <c r="I587">
        <f>VLOOKUP($C587,'2000 Place'!$C$2:$Y$523,10,FALSE)</f>
        <v>1612</v>
      </c>
      <c r="J587">
        <f>VLOOKUP($C587,'2000 Place'!$C$2:$Y$523,11,FALSE)</f>
        <v>948</v>
      </c>
      <c r="K587">
        <f>VLOOKUP($C587,'2000 Place'!$C$2:$Y$523,12,FALSE)</f>
        <v>676</v>
      </c>
      <c r="L587">
        <f>VLOOKUP($C587,'2000 Place'!$C$2:$Y$523,13,FALSE)</f>
        <v>18</v>
      </c>
      <c r="M587">
        <f>VLOOKUP($C587,'2000 Place'!$C$2:$Y$523,14,FALSE)</f>
        <v>302</v>
      </c>
      <c r="N587">
        <f>VLOOKUP($C587,'2000 Place'!$C$2:$Y$523,15,FALSE)</f>
        <v>52</v>
      </c>
      <c r="O587">
        <f>VLOOKUP($C587,'2000 Place'!$C$2:$Y$523,16,FALSE)</f>
        <v>270</v>
      </c>
      <c r="P587">
        <f>VLOOKUP($C587,'2000 Place'!$C$2:$Y$523,17,FALSE)</f>
        <v>188</v>
      </c>
      <c r="Q587">
        <f>VLOOKUP($C587,'2000 Place'!$C$2:$Y$523,18,FALSE)</f>
        <v>21</v>
      </c>
      <c r="R587">
        <f>VLOOKUP($C587,'2000 Place'!$C$2:$Y$523,19,FALSE)</f>
        <v>0</v>
      </c>
      <c r="S587">
        <f>VLOOKUP($C587,'2000 Place'!$C$2:$Y$523,20,FALSE)</f>
        <v>1163</v>
      </c>
      <c r="T587">
        <f>VLOOKUP($C587,'2000 Place'!$C$2:$Y$523,21,FALSE)</f>
        <v>1123</v>
      </c>
      <c r="U587">
        <f>VLOOKUP($C587,'2000 Place'!$C$2:$Y$523,22,FALSE)</f>
        <v>579</v>
      </c>
      <c r="V587">
        <f>VLOOKUP($C587,'2000 Place'!$C$2:$Y$523,23,FALSE)</f>
        <v>198</v>
      </c>
    </row>
    <row r="588" spans="1:22" x14ac:dyDescent="0.25">
      <c r="A588" t="s">
        <v>1420</v>
      </c>
      <c r="B588">
        <v>5375810</v>
      </c>
      <c r="C588" t="s">
        <v>1421</v>
      </c>
      <c r="D588">
        <f>VLOOKUP($C588,'2000 Place'!$C$2:$Y$523,5,FALSE)</f>
        <v>2379</v>
      </c>
      <c r="E588">
        <f>VLOOKUP($C588,'2000 Place'!$C$2:$Y$523,6,FALSE)</f>
        <v>2222</v>
      </c>
      <c r="F588">
        <f>VLOOKUP($C588,'2000 Place'!$C$2:$Y$523,7,FALSE)</f>
        <v>157</v>
      </c>
      <c r="G588">
        <f>VLOOKUP($C588,'2000 Place'!$C$2:$Y$523,8,FALSE)</f>
        <v>2081</v>
      </c>
      <c r="H588">
        <f>VLOOKUP($C588,'2000 Place'!$C$2:$Y$523,9,FALSE)</f>
        <v>62</v>
      </c>
      <c r="I588">
        <f>VLOOKUP($C588,'2000 Place'!$C$2:$Y$523,10,FALSE)</f>
        <v>11</v>
      </c>
      <c r="J588">
        <f>VLOOKUP($C588,'2000 Place'!$C$2:$Y$523,11,FALSE)</f>
        <v>10</v>
      </c>
      <c r="K588">
        <f>VLOOKUP($C588,'2000 Place'!$C$2:$Y$523,12,FALSE)</f>
        <v>0</v>
      </c>
      <c r="L588">
        <f>VLOOKUP($C588,'2000 Place'!$C$2:$Y$523,13,FALSE)</f>
        <v>0</v>
      </c>
      <c r="M588">
        <f>VLOOKUP($C588,'2000 Place'!$C$2:$Y$523,14,FALSE)</f>
        <v>27</v>
      </c>
      <c r="N588">
        <f>VLOOKUP($C588,'2000 Place'!$C$2:$Y$523,15,FALSE)</f>
        <v>0</v>
      </c>
      <c r="O588">
        <f>VLOOKUP($C588,'2000 Place'!$C$2:$Y$523,16,FALSE)</f>
        <v>0</v>
      </c>
      <c r="P588">
        <f>VLOOKUP($C588,'2000 Place'!$C$2:$Y$523,17,FALSE)</f>
        <v>8</v>
      </c>
      <c r="Q588">
        <f>VLOOKUP($C588,'2000 Place'!$C$2:$Y$523,18,FALSE)</f>
        <v>0</v>
      </c>
      <c r="R588">
        <f>VLOOKUP($C588,'2000 Place'!$C$2:$Y$523,19,FALSE)</f>
        <v>0</v>
      </c>
      <c r="S588">
        <f>VLOOKUP($C588,'2000 Place'!$C$2:$Y$523,20,FALSE)</f>
        <v>7</v>
      </c>
      <c r="T588">
        <f>VLOOKUP($C588,'2000 Place'!$C$2:$Y$523,21,FALSE)</f>
        <v>68</v>
      </c>
      <c r="U588">
        <f>VLOOKUP($C588,'2000 Place'!$C$2:$Y$523,22,FALSE)</f>
        <v>96</v>
      </c>
      <c r="V588">
        <f>VLOOKUP($C588,'2000 Place'!$C$2:$Y$523,23,FALSE)</f>
        <v>9</v>
      </c>
    </row>
    <row r="589" spans="1:22" x14ac:dyDescent="0.25">
      <c r="A589" t="s">
        <v>1422</v>
      </c>
      <c r="B589">
        <v>5375905</v>
      </c>
      <c r="C589" t="s">
        <v>1423</v>
      </c>
      <c r="D589">
        <f>VLOOKUP($C589,'2000 Place'!$C$2:$Y$523,5,FALSE)</f>
        <v>9231</v>
      </c>
      <c r="E589">
        <f>VLOOKUP($C589,'2000 Place'!$C$2:$Y$523,6,FALSE)</f>
        <v>8665</v>
      </c>
      <c r="F589">
        <f>VLOOKUP($C589,'2000 Place'!$C$2:$Y$523,7,FALSE)</f>
        <v>566</v>
      </c>
      <c r="G589">
        <f>VLOOKUP($C589,'2000 Place'!$C$2:$Y$523,8,FALSE)</f>
        <v>7750</v>
      </c>
      <c r="H589">
        <f>VLOOKUP($C589,'2000 Place'!$C$2:$Y$523,9,FALSE)</f>
        <v>237</v>
      </c>
      <c r="I589">
        <f>VLOOKUP($C589,'2000 Place'!$C$2:$Y$523,10,FALSE)</f>
        <v>93</v>
      </c>
      <c r="J589">
        <f>VLOOKUP($C589,'2000 Place'!$C$2:$Y$523,11,FALSE)</f>
        <v>31</v>
      </c>
      <c r="K589">
        <f>VLOOKUP($C589,'2000 Place'!$C$2:$Y$523,12,FALSE)</f>
        <v>226</v>
      </c>
      <c r="L589">
        <f>VLOOKUP($C589,'2000 Place'!$C$2:$Y$523,13,FALSE)</f>
        <v>12</v>
      </c>
      <c r="M589">
        <f>VLOOKUP($C589,'2000 Place'!$C$2:$Y$523,14,FALSE)</f>
        <v>166</v>
      </c>
      <c r="N589">
        <f>VLOOKUP($C589,'2000 Place'!$C$2:$Y$523,15,FALSE)</f>
        <v>2</v>
      </c>
      <c r="O589">
        <f>VLOOKUP($C589,'2000 Place'!$C$2:$Y$523,16,FALSE)</f>
        <v>38</v>
      </c>
      <c r="P589">
        <f>VLOOKUP($C589,'2000 Place'!$C$2:$Y$523,17,FALSE)</f>
        <v>112</v>
      </c>
      <c r="Q589">
        <f>VLOOKUP($C589,'2000 Place'!$C$2:$Y$523,18,FALSE)</f>
        <v>11</v>
      </c>
      <c r="R589">
        <f>VLOOKUP($C589,'2000 Place'!$C$2:$Y$523,19,FALSE)</f>
        <v>0</v>
      </c>
      <c r="S589">
        <f>VLOOKUP($C589,'2000 Place'!$C$2:$Y$523,20,FALSE)</f>
        <v>45</v>
      </c>
      <c r="T589">
        <f>VLOOKUP($C589,'2000 Place'!$C$2:$Y$523,21,FALSE)</f>
        <v>97</v>
      </c>
      <c r="U589">
        <f>VLOOKUP($C589,'2000 Place'!$C$2:$Y$523,22,FALSE)</f>
        <v>336</v>
      </c>
      <c r="V589">
        <f>VLOOKUP($C589,'2000 Place'!$C$2:$Y$523,23,FALSE)</f>
        <v>75</v>
      </c>
    </row>
    <row r="590" spans="1:22" x14ac:dyDescent="0.25">
      <c r="A590" t="s">
        <v>1424</v>
      </c>
      <c r="B590">
        <v>5375985</v>
      </c>
      <c r="C590" t="s">
        <v>1425</v>
      </c>
      <c r="D590">
        <f>VLOOKUP($C590,'2000 Place'!$C$2:$Y$523,5,FALSE)</f>
        <v>227</v>
      </c>
      <c r="E590">
        <f>VLOOKUP($C590,'2000 Place'!$C$2:$Y$523,6,FALSE)</f>
        <v>221</v>
      </c>
      <c r="F590">
        <f>VLOOKUP($C590,'2000 Place'!$C$2:$Y$523,7,FALSE)</f>
        <v>6</v>
      </c>
      <c r="G590">
        <f>VLOOKUP($C590,'2000 Place'!$C$2:$Y$523,8,FALSE)</f>
        <v>154</v>
      </c>
      <c r="H590">
        <f>VLOOKUP($C590,'2000 Place'!$C$2:$Y$523,9,FALSE)</f>
        <v>0</v>
      </c>
      <c r="I590">
        <f>VLOOKUP($C590,'2000 Place'!$C$2:$Y$523,10,FALSE)</f>
        <v>40</v>
      </c>
      <c r="J590">
        <f>VLOOKUP($C590,'2000 Place'!$C$2:$Y$523,11,FALSE)</f>
        <v>0</v>
      </c>
      <c r="K590">
        <f>VLOOKUP($C590,'2000 Place'!$C$2:$Y$523,12,FALSE)</f>
        <v>0</v>
      </c>
      <c r="L590">
        <f>VLOOKUP($C590,'2000 Place'!$C$2:$Y$523,13,FALSE)</f>
        <v>0</v>
      </c>
      <c r="M590">
        <f>VLOOKUP($C590,'2000 Place'!$C$2:$Y$523,14,FALSE)</f>
        <v>0</v>
      </c>
      <c r="N590">
        <f>VLOOKUP($C590,'2000 Place'!$C$2:$Y$523,15,FALSE)</f>
        <v>0</v>
      </c>
      <c r="O590">
        <f>VLOOKUP($C590,'2000 Place'!$C$2:$Y$523,16,FALSE)</f>
        <v>0</v>
      </c>
      <c r="P590">
        <f>VLOOKUP($C590,'2000 Place'!$C$2:$Y$523,17,FALSE)</f>
        <v>0</v>
      </c>
      <c r="Q590">
        <f>VLOOKUP($C590,'2000 Place'!$C$2:$Y$523,18,FALSE)</f>
        <v>0</v>
      </c>
      <c r="R590">
        <f>VLOOKUP($C590,'2000 Place'!$C$2:$Y$523,19,FALSE)</f>
        <v>0</v>
      </c>
      <c r="S590">
        <f>VLOOKUP($C590,'2000 Place'!$C$2:$Y$523,20,FALSE)</f>
        <v>27</v>
      </c>
      <c r="T590">
        <f>VLOOKUP($C590,'2000 Place'!$C$2:$Y$523,21,FALSE)</f>
        <v>0</v>
      </c>
      <c r="U590">
        <f>VLOOKUP($C590,'2000 Place'!$C$2:$Y$523,22,FALSE)</f>
        <v>0</v>
      </c>
      <c r="V590">
        <f>VLOOKUP($C590,'2000 Place'!$C$2:$Y$523,23,FALSE)</f>
        <v>6</v>
      </c>
    </row>
    <row r="591" spans="1:22" x14ac:dyDescent="0.25">
      <c r="A591" t="s">
        <v>1426</v>
      </c>
      <c r="B591">
        <v>5376055</v>
      </c>
      <c r="C591" t="s">
        <v>1427</v>
      </c>
      <c r="D591">
        <f>VLOOKUP($C591,'2000 Place'!$C$2:$Y$523,5,FALSE)</f>
        <v>7261</v>
      </c>
      <c r="E591">
        <f>VLOOKUP($C591,'2000 Place'!$C$2:$Y$523,6,FALSE)</f>
        <v>6699</v>
      </c>
      <c r="F591">
        <f>VLOOKUP($C591,'2000 Place'!$C$2:$Y$523,7,FALSE)</f>
        <v>562</v>
      </c>
      <c r="G591">
        <f>VLOOKUP($C591,'2000 Place'!$C$2:$Y$523,8,FALSE)</f>
        <v>6160</v>
      </c>
      <c r="H591">
        <f>VLOOKUP($C591,'2000 Place'!$C$2:$Y$523,9,FALSE)</f>
        <v>309</v>
      </c>
      <c r="I591">
        <f>VLOOKUP($C591,'2000 Place'!$C$2:$Y$523,10,FALSE)</f>
        <v>106</v>
      </c>
      <c r="J591">
        <f>VLOOKUP($C591,'2000 Place'!$C$2:$Y$523,11,FALSE)</f>
        <v>7</v>
      </c>
      <c r="K591">
        <f>VLOOKUP($C591,'2000 Place'!$C$2:$Y$523,12,FALSE)</f>
        <v>78</v>
      </c>
      <c r="L591">
        <f>VLOOKUP($C591,'2000 Place'!$C$2:$Y$523,13,FALSE)</f>
        <v>0</v>
      </c>
      <c r="M591">
        <f>VLOOKUP($C591,'2000 Place'!$C$2:$Y$523,14,FALSE)</f>
        <v>39</v>
      </c>
      <c r="N591">
        <f>VLOOKUP($C591,'2000 Place'!$C$2:$Y$523,15,FALSE)</f>
        <v>0</v>
      </c>
      <c r="O591">
        <f>VLOOKUP($C591,'2000 Place'!$C$2:$Y$523,16,FALSE)</f>
        <v>57</v>
      </c>
      <c r="P591">
        <f>VLOOKUP($C591,'2000 Place'!$C$2:$Y$523,17,FALSE)</f>
        <v>170</v>
      </c>
      <c r="Q591">
        <f>VLOOKUP($C591,'2000 Place'!$C$2:$Y$523,18,FALSE)</f>
        <v>14</v>
      </c>
      <c r="R591">
        <f>VLOOKUP($C591,'2000 Place'!$C$2:$Y$523,19,FALSE)</f>
        <v>0</v>
      </c>
      <c r="S591">
        <f>VLOOKUP($C591,'2000 Place'!$C$2:$Y$523,20,FALSE)</f>
        <v>36</v>
      </c>
      <c r="T591">
        <f>VLOOKUP($C591,'2000 Place'!$C$2:$Y$523,21,FALSE)</f>
        <v>20</v>
      </c>
      <c r="U591">
        <f>VLOOKUP($C591,'2000 Place'!$C$2:$Y$523,22,FALSE)</f>
        <v>209</v>
      </c>
      <c r="V591">
        <f>VLOOKUP($C591,'2000 Place'!$C$2:$Y$523,23,FALSE)</f>
        <v>56</v>
      </c>
    </row>
    <row r="592" spans="1:22" x14ac:dyDescent="0.25">
      <c r="A592" t="s">
        <v>1428</v>
      </c>
      <c r="B592">
        <v>5376125</v>
      </c>
      <c r="C592" t="s">
        <v>1429</v>
      </c>
      <c r="D592">
        <f>VLOOKUP($C592,'2000 Place'!$C$2:$Y$523,5,FALSE)</f>
        <v>4686</v>
      </c>
      <c r="E592">
        <f>VLOOKUP($C592,'2000 Place'!$C$2:$Y$523,6,FALSE)</f>
        <v>3076</v>
      </c>
      <c r="F592">
        <f>VLOOKUP($C592,'2000 Place'!$C$2:$Y$523,7,FALSE)</f>
        <v>1610</v>
      </c>
      <c r="G592">
        <f>VLOOKUP($C592,'2000 Place'!$C$2:$Y$523,8,FALSE)</f>
        <v>582</v>
      </c>
      <c r="H592">
        <f>VLOOKUP($C592,'2000 Place'!$C$2:$Y$523,9,FALSE)</f>
        <v>8</v>
      </c>
      <c r="I592">
        <f>VLOOKUP($C592,'2000 Place'!$C$2:$Y$523,10,FALSE)</f>
        <v>363</v>
      </c>
      <c r="J592">
        <f>VLOOKUP($C592,'2000 Place'!$C$2:$Y$523,11,FALSE)</f>
        <v>245</v>
      </c>
      <c r="K592">
        <f>VLOOKUP($C592,'2000 Place'!$C$2:$Y$523,12,FALSE)</f>
        <v>13</v>
      </c>
      <c r="L592">
        <f>VLOOKUP($C592,'2000 Place'!$C$2:$Y$523,13,FALSE)</f>
        <v>0</v>
      </c>
      <c r="M592">
        <f>VLOOKUP($C592,'2000 Place'!$C$2:$Y$523,14,FALSE)</f>
        <v>325</v>
      </c>
      <c r="N592">
        <f>VLOOKUP($C592,'2000 Place'!$C$2:$Y$523,15,FALSE)</f>
        <v>8</v>
      </c>
      <c r="O592">
        <f>VLOOKUP($C592,'2000 Place'!$C$2:$Y$523,16,FALSE)</f>
        <v>38</v>
      </c>
      <c r="P592">
        <f>VLOOKUP($C592,'2000 Place'!$C$2:$Y$523,17,FALSE)</f>
        <v>144</v>
      </c>
      <c r="Q592">
        <f>VLOOKUP($C592,'2000 Place'!$C$2:$Y$523,18,FALSE)</f>
        <v>0</v>
      </c>
      <c r="R592">
        <f>VLOOKUP($C592,'2000 Place'!$C$2:$Y$523,19,FALSE)</f>
        <v>0</v>
      </c>
      <c r="S592">
        <f>VLOOKUP($C592,'2000 Place'!$C$2:$Y$523,20,FALSE)</f>
        <v>1576</v>
      </c>
      <c r="T592">
        <f>VLOOKUP($C592,'2000 Place'!$C$2:$Y$523,21,FALSE)</f>
        <v>1183</v>
      </c>
      <c r="U592">
        <f>VLOOKUP($C592,'2000 Place'!$C$2:$Y$523,22,FALSE)</f>
        <v>179</v>
      </c>
      <c r="V592">
        <f>VLOOKUP($C592,'2000 Place'!$C$2:$Y$523,23,FALSE)</f>
        <v>22</v>
      </c>
    </row>
    <row r="593" spans="1:22" x14ac:dyDescent="0.25">
      <c r="A593" t="s">
        <v>1430</v>
      </c>
      <c r="B593">
        <v>5376160</v>
      </c>
      <c r="C593" t="s">
        <v>1431</v>
      </c>
      <c r="D593">
        <f>VLOOKUP($C593,'2000 Place'!$C$2:$Y$523,5,FALSE)</f>
        <v>2540</v>
      </c>
      <c r="E593">
        <f>VLOOKUP($C593,'2000 Place'!$C$2:$Y$523,6,FALSE)</f>
        <v>1727</v>
      </c>
      <c r="F593">
        <f>VLOOKUP($C593,'2000 Place'!$C$2:$Y$523,7,FALSE)</f>
        <v>813</v>
      </c>
      <c r="G593">
        <f>VLOOKUP($C593,'2000 Place'!$C$2:$Y$523,8,FALSE)</f>
        <v>543</v>
      </c>
      <c r="H593">
        <f>VLOOKUP($C593,'2000 Place'!$C$2:$Y$523,9,FALSE)</f>
        <v>15</v>
      </c>
      <c r="I593">
        <f>VLOOKUP($C593,'2000 Place'!$C$2:$Y$523,10,FALSE)</f>
        <v>272</v>
      </c>
      <c r="J593">
        <f>VLOOKUP($C593,'2000 Place'!$C$2:$Y$523,11,FALSE)</f>
        <v>134</v>
      </c>
      <c r="K593">
        <f>VLOOKUP($C593,'2000 Place'!$C$2:$Y$523,12,FALSE)</f>
        <v>4</v>
      </c>
      <c r="L593">
        <f>VLOOKUP($C593,'2000 Place'!$C$2:$Y$523,13,FALSE)</f>
        <v>2</v>
      </c>
      <c r="M593">
        <f>VLOOKUP($C593,'2000 Place'!$C$2:$Y$523,14,FALSE)</f>
        <v>16</v>
      </c>
      <c r="N593">
        <f>VLOOKUP($C593,'2000 Place'!$C$2:$Y$523,15,FALSE)</f>
        <v>0</v>
      </c>
      <c r="O593">
        <f>VLOOKUP($C593,'2000 Place'!$C$2:$Y$523,16,FALSE)</f>
        <v>0</v>
      </c>
      <c r="P593">
        <f>VLOOKUP($C593,'2000 Place'!$C$2:$Y$523,17,FALSE)</f>
        <v>7</v>
      </c>
      <c r="Q593">
        <f>VLOOKUP($C593,'2000 Place'!$C$2:$Y$523,18,FALSE)</f>
        <v>0</v>
      </c>
      <c r="R593">
        <f>VLOOKUP($C593,'2000 Place'!$C$2:$Y$523,19,FALSE)</f>
        <v>0</v>
      </c>
      <c r="S593">
        <f>VLOOKUP($C593,'2000 Place'!$C$2:$Y$523,20,FALSE)</f>
        <v>852</v>
      </c>
      <c r="T593">
        <f>VLOOKUP($C593,'2000 Place'!$C$2:$Y$523,21,FALSE)</f>
        <v>626</v>
      </c>
      <c r="U593">
        <f>VLOOKUP($C593,'2000 Place'!$C$2:$Y$523,22,FALSE)</f>
        <v>40</v>
      </c>
      <c r="V593">
        <f>VLOOKUP($C593,'2000 Place'!$C$2:$Y$523,23,FALSE)</f>
        <v>29</v>
      </c>
    </row>
    <row r="594" spans="1:22" x14ac:dyDescent="0.25">
      <c r="A594" t="s">
        <v>1432</v>
      </c>
      <c r="B594">
        <v>5376195</v>
      </c>
      <c r="C594" t="s">
        <v>1433</v>
      </c>
      <c r="D594">
        <f>VLOOKUP($C594,'2000 Place'!$C$2:$Y$523,5,FALSE)</f>
        <v>2038</v>
      </c>
      <c r="E594">
        <f>VLOOKUP($C594,'2000 Place'!$C$2:$Y$523,6,FALSE)</f>
        <v>1927</v>
      </c>
      <c r="F594">
        <f>VLOOKUP($C594,'2000 Place'!$C$2:$Y$523,7,FALSE)</f>
        <v>111</v>
      </c>
      <c r="G594">
        <f>VLOOKUP($C594,'2000 Place'!$C$2:$Y$523,8,FALSE)</f>
        <v>1842</v>
      </c>
      <c r="H594">
        <f>VLOOKUP($C594,'2000 Place'!$C$2:$Y$523,9,FALSE)</f>
        <v>85</v>
      </c>
      <c r="I594">
        <f>VLOOKUP($C594,'2000 Place'!$C$2:$Y$523,10,FALSE)</f>
        <v>18</v>
      </c>
      <c r="J594">
        <f>VLOOKUP($C594,'2000 Place'!$C$2:$Y$523,11,FALSE)</f>
        <v>0</v>
      </c>
      <c r="K594">
        <f>VLOOKUP($C594,'2000 Place'!$C$2:$Y$523,12,FALSE)</f>
        <v>0</v>
      </c>
      <c r="L594">
        <f>VLOOKUP($C594,'2000 Place'!$C$2:$Y$523,13,FALSE)</f>
        <v>0</v>
      </c>
      <c r="M594">
        <f>VLOOKUP($C594,'2000 Place'!$C$2:$Y$523,14,FALSE)</f>
        <v>4</v>
      </c>
      <c r="N594">
        <f>VLOOKUP($C594,'2000 Place'!$C$2:$Y$523,15,FALSE)</f>
        <v>0</v>
      </c>
      <c r="O594">
        <f>VLOOKUP($C594,'2000 Place'!$C$2:$Y$523,16,FALSE)</f>
        <v>0</v>
      </c>
      <c r="P594">
        <f>VLOOKUP($C594,'2000 Place'!$C$2:$Y$523,17,FALSE)</f>
        <v>26</v>
      </c>
      <c r="Q594">
        <f>VLOOKUP($C594,'2000 Place'!$C$2:$Y$523,18,FALSE)</f>
        <v>0</v>
      </c>
      <c r="R594">
        <f>VLOOKUP($C594,'2000 Place'!$C$2:$Y$523,19,FALSE)</f>
        <v>0</v>
      </c>
      <c r="S594">
        <f>VLOOKUP($C594,'2000 Place'!$C$2:$Y$523,20,FALSE)</f>
        <v>0</v>
      </c>
      <c r="T594">
        <f>VLOOKUP($C594,'2000 Place'!$C$2:$Y$523,21,FALSE)</f>
        <v>0</v>
      </c>
      <c r="U594">
        <f>VLOOKUP($C594,'2000 Place'!$C$2:$Y$523,22,FALSE)</f>
        <v>63</v>
      </c>
      <c r="V594">
        <f>VLOOKUP($C594,'2000 Place'!$C$2:$Y$523,23,FALSE)</f>
        <v>0</v>
      </c>
    </row>
    <row r="595" spans="1:22" x14ac:dyDescent="0.25">
      <c r="A595" t="s">
        <v>1434</v>
      </c>
      <c r="B595">
        <v>5376405</v>
      </c>
      <c r="C595" t="s">
        <v>1435</v>
      </c>
      <c r="D595">
        <f>VLOOKUP($C595,'2000 Place'!$C$2:$Y$523,5,FALSE)</f>
        <v>8509</v>
      </c>
      <c r="E595">
        <f>VLOOKUP($C595,'2000 Place'!$C$2:$Y$523,6,FALSE)</f>
        <v>8153</v>
      </c>
      <c r="F595">
        <f>VLOOKUP($C595,'2000 Place'!$C$2:$Y$523,7,FALSE)</f>
        <v>356</v>
      </c>
      <c r="G595">
        <f>VLOOKUP($C595,'2000 Place'!$C$2:$Y$523,8,FALSE)</f>
        <v>7567</v>
      </c>
      <c r="H595">
        <f>VLOOKUP($C595,'2000 Place'!$C$2:$Y$523,9,FALSE)</f>
        <v>248</v>
      </c>
      <c r="I595">
        <f>VLOOKUP($C595,'2000 Place'!$C$2:$Y$523,10,FALSE)</f>
        <v>112</v>
      </c>
      <c r="J595">
        <f>VLOOKUP($C595,'2000 Place'!$C$2:$Y$523,11,FALSE)</f>
        <v>0</v>
      </c>
      <c r="K595">
        <f>VLOOKUP($C595,'2000 Place'!$C$2:$Y$523,12,FALSE)</f>
        <v>44</v>
      </c>
      <c r="L595">
        <f>VLOOKUP($C595,'2000 Place'!$C$2:$Y$523,13,FALSE)</f>
        <v>0</v>
      </c>
      <c r="M595">
        <f>VLOOKUP($C595,'2000 Place'!$C$2:$Y$523,14,FALSE)</f>
        <v>124</v>
      </c>
      <c r="N595">
        <f>VLOOKUP($C595,'2000 Place'!$C$2:$Y$523,15,FALSE)</f>
        <v>0</v>
      </c>
      <c r="O595">
        <f>VLOOKUP($C595,'2000 Place'!$C$2:$Y$523,16,FALSE)</f>
        <v>0</v>
      </c>
      <c r="P595">
        <f>VLOOKUP($C595,'2000 Place'!$C$2:$Y$523,17,FALSE)</f>
        <v>31</v>
      </c>
      <c r="Q595">
        <f>VLOOKUP($C595,'2000 Place'!$C$2:$Y$523,18,FALSE)</f>
        <v>6</v>
      </c>
      <c r="R595">
        <f>VLOOKUP($C595,'2000 Place'!$C$2:$Y$523,19,FALSE)</f>
        <v>7</v>
      </c>
      <c r="S595">
        <f>VLOOKUP($C595,'2000 Place'!$C$2:$Y$523,20,FALSE)</f>
        <v>9</v>
      </c>
      <c r="T595">
        <f>VLOOKUP($C595,'2000 Place'!$C$2:$Y$523,21,FALSE)</f>
        <v>55</v>
      </c>
      <c r="U595">
        <f>VLOOKUP($C595,'2000 Place'!$C$2:$Y$523,22,FALSE)</f>
        <v>291</v>
      </c>
      <c r="V595">
        <f>VLOOKUP($C595,'2000 Place'!$C$2:$Y$523,23,FALSE)</f>
        <v>15</v>
      </c>
    </row>
    <row r="596" spans="1:22" x14ac:dyDescent="0.25">
      <c r="A596" t="s">
        <v>1436</v>
      </c>
      <c r="B596">
        <v>5376440</v>
      </c>
      <c r="C596" t="s">
        <v>1437</v>
      </c>
      <c r="D596">
        <f>VLOOKUP($C596,'2000 Place'!$C$2:$Y$523,5,FALSE)</f>
        <v>244</v>
      </c>
      <c r="E596">
        <f>VLOOKUP($C596,'2000 Place'!$C$2:$Y$523,6,FALSE)</f>
        <v>244</v>
      </c>
      <c r="F596">
        <f>VLOOKUP($C596,'2000 Place'!$C$2:$Y$523,7,FALSE)</f>
        <v>0</v>
      </c>
      <c r="G596">
        <f>VLOOKUP($C596,'2000 Place'!$C$2:$Y$523,8,FALSE)</f>
        <v>218</v>
      </c>
      <c r="H596">
        <f>VLOOKUP($C596,'2000 Place'!$C$2:$Y$523,9,FALSE)</f>
        <v>0</v>
      </c>
      <c r="I596">
        <f>VLOOKUP($C596,'2000 Place'!$C$2:$Y$523,10,FALSE)</f>
        <v>5</v>
      </c>
      <c r="J596">
        <f>VLOOKUP($C596,'2000 Place'!$C$2:$Y$523,11,FALSE)</f>
        <v>0</v>
      </c>
      <c r="K596">
        <f>VLOOKUP($C596,'2000 Place'!$C$2:$Y$523,12,FALSE)</f>
        <v>0</v>
      </c>
      <c r="L596">
        <f>VLOOKUP($C596,'2000 Place'!$C$2:$Y$523,13,FALSE)</f>
        <v>0</v>
      </c>
      <c r="M596">
        <f>VLOOKUP($C596,'2000 Place'!$C$2:$Y$523,14,FALSE)</f>
        <v>8</v>
      </c>
      <c r="N596">
        <f>VLOOKUP($C596,'2000 Place'!$C$2:$Y$523,15,FALSE)</f>
        <v>0</v>
      </c>
      <c r="O596">
        <f>VLOOKUP($C596,'2000 Place'!$C$2:$Y$523,16,FALSE)</f>
        <v>0</v>
      </c>
      <c r="P596">
        <f>VLOOKUP($C596,'2000 Place'!$C$2:$Y$523,17,FALSE)</f>
        <v>0</v>
      </c>
      <c r="Q596">
        <f>VLOOKUP($C596,'2000 Place'!$C$2:$Y$523,18,FALSE)</f>
        <v>0</v>
      </c>
      <c r="R596">
        <f>VLOOKUP($C596,'2000 Place'!$C$2:$Y$523,19,FALSE)</f>
        <v>0</v>
      </c>
      <c r="S596">
        <f>VLOOKUP($C596,'2000 Place'!$C$2:$Y$523,20,FALSE)</f>
        <v>0</v>
      </c>
      <c r="T596">
        <f>VLOOKUP($C596,'2000 Place'!$C$2:$Y$523,21,FALSE)</f>
        <v>0</v>
      </c>
      <c r="U596">
        <f>VLOOKUP($C596,'2000 Place'!$C$2:$Y$523,22,FALSE)</f>
        <v>13</v>
      </c>
      <c r="V596">
        <f>VLOOKUP($C596,'2000 Place'!$C$2:$Y$523,23,FALSE)</f>
        <v>0</v>
      </c>
    </row>
    <row r="597" spans="1:22" x14ac:dyDescent="0.25">
      <c r="A597" t="s">
        <v>1438</v>
      </c>
      <c r="B597">
        <v>5376510</v>
      </c>
      <c r="C597" t="s">
        <v>1439</v>
      </c>
      <c r="D597">
        <f>VLOOKUP($C597,'2000 Place'!$C$2:$Y$523,5,FALSE)</f>
        <v>1171</v>
      </c>
      <c r="E597">
        <f>VLOOKUP($C597,'2000 Place'!$C$2:$Y$523,6,FALSE)</f>
        <v>1087</v>
      </c>
      <c r="F597">
        <f>VLOOKUP($C597,'2000 Place'!$C$2:$Y$523,7,FALSE)</f>
        <v>84</v>
      </c>
      <c r="G597">
        <f>VLOOKUP($C597,'2000 Place'!$C$2:$Y$523,8,FALSE)</f>
        <v>1008</v>
      </c>
      <c r="H597">
        <f>VLOOKUP($C597,'2000 Place'!$C$2:$Y$523,9,FALSE)</f>
        <v>19</v>
      </c>
      <c r="I597">
        <f>VLOOKUP($C597,'2000 Place'!$C$2:$Y$523,10,FALSE)</f>
        <v>15</v>
      </c>
      <c r="J597">
        <f>VLOOKUP($C597,'2000 Place'!$C$2:$Y$523,11,FALSE)</f>
        <v>14</v>
      </c>
      <c r="K597">
        <f>VLOOKUP($C597,'2000 Place'!$C$2:$Y$523,12,FALSE)</f>
        <v>0</v>
      </c>
      <c r="L597">
        <f>VLOOKUP($C597,'2000 Place'!$C$2:$Y$523,13,FALSE)</f>
        <v>0</v>
      </c>
      <c r="M597">
        <f>VLOOKUP($C597,'2000 Place'!$C$2:$Y$523,14,FALSE)</f>
        <v>16</v>
      </c>
      <c r="N597">
        <f>VLOOKUP($C597,'2000 Place'!$C$2:$Y$523,15,FALSE)</f>
        <v>6</v>
      </c>
      <c r="O597">
        <f>VLOOKUP($C597,'2000 Place'!$C$2:$Y$523,16,FALSE)</f>
        <v>0</v>
      </c>
      <c r="P597">
        <f>VLOOKUP($C597,'2000 Place'!$C$2:$Y$523,17,FALSE)</f>
        <v>3</v>
      </c>
      <c r="Q597">
        <f>VLOOKUP($C597,'2000 Place'!$C$2:$Y$523,18,FALSE)</f>
        <v>0</v>
      </c>
      <c r="R597">
        <f>VLOOKUP($C597,'2000 Place'!$C$2:$Y$523,19,FALSE)</f>
        <v>0</v>
      </c>
      <c r="S597">
        <f>VLOOKUP($C597,'2000 Place'!$C$2:$Y$523,20,FALSE)</f>
        <v>23</v>
      </c>
      <c r="T597">
        <f>VLOOKUP($C597,'2000 Place'!$C$2:$Y$523,21,FALSE)</f>
        <v>42</v>
      </c>
      <c r="U597">
        <f>VLOOKUP($C597,'2000 Place'!$C$2:$Y$523,22,FALSE)</f>
        <v>25</v>
      </c>
      <c r="V597">
        <f>VLOOKUP($C597,'2000 Place'!$C$2:$Y$523,23,FALSE)</f>
        <v>0</v>
      </c>
    </row>
    <row r="598" spans="1:22" x14ac:dyDescent="0.25">
      <c r="A598" t="s">
        <v>1440</v>
      </c>
      <c r="B598">
        <v>5376615</v>
      </c>
      <c r="C598" t="s">
        <v>1441</v>
      </c>
      <c r="D598" t="e">
        <f>VLOOKUP($C598,'2000 Place'!$C$2:$Y$523,5,FALSE)</f>
        <v>#N/A</v>
      </c>
      <c r="E598" t="e">
        <f>VLOOKUP($C598,'2000 Place'!$C$2:$Y$523,6,FALSE)</f>
        <v>#N/A</v>
      </c>
      <c r="F598" t="e">
        <f>VLOOKUP($C598,'2000 Place'!$C$2:$Y$523,7,FALSE)</f>
        <v>#N/A</v>
      </c>
      <c r="G598" t="e">
        <f>VLOOKUP($C598,'2000 Place'!$C$2:$Y$523,8,FALSE)</f>
        <v>#N/A</v>
      </c>
      <c r="H598" t="e">
        <f>VLOOKUP($C598,'2000 Place'!$C$2:$Y$523,9,FALSE)</f>
        <v>#N/A</v>
      </c>
      <c r="I598" t="e">
        <f>VLOOKUP($C598,'2000 Place'!$C$2:$Y$523,10,FALSE)</f>
        <v>#N/A</v>
      </c>
      <c r="J598" t="e">
        <f>VLOOKUP($C598,'2000 Place'!$C$2:$Y$523,11,FALSE)</f>
        <v>#N/A</v>
      </c>
      <c r="K598" t="e">
        <f>VLOOKUP($C598,'2000 Place'!$C$2:$Y$523,12,FALSE)</f>
        <v>#N/A</v>
      </c>
      <c r="L598" t="e">
        <f>VLOOKUP($C598,'2000 Place'!$C$2:$Y$523,13,FALSE)</f>
        <v>#N/A</v>
      </c>
      <c r="M598" t="e">
        <f>VLOOKUP($C598,'2000 Place'!$C$2:$Y$523,14,FALSE)</f>
        <v>#N/A</v>
      </c>
      <c r="N598" t="e">
        <f>VLOOKUP($C598,'2000 Place'!$C$2:$Y$523,15,FALSE)</f>
        <v>#N/A</v>
      </c>
      <c r="O598" t="e">
        <f>VLOOKUP($C598,'2000 Place'!$C$2:$Y$523,16,FALSE)</f>
        <v>#N/A</v>
      </c>
      <c r="P598" t="e">
        <f>VLOOKUP($C598,'2000 Place'!$C$2:$Y$523,17,FALSE)</f>
        <v>#N/A</v>
      </c>
      <c r="Q598" t="e">
        <f>VLOOKUP($C598,'2000 Place'!$C$2:$Y$523,18,FALSE)</f>
        <v>#N/A</v>
      </c>
      <c r="R598" t="e">
        <f>VLOOKUP($C598,'2000 Place'!$C$2:$Y$523,19,FALSE)</f>
        <v>#N/A</v>
      </c>
      <c r="S598" t="e">
        <f>VLOOKUP($C598,'2000 Place'!$C$2:$Y$523,20,FALSE)</f>
        <v>#N/A</v>
      </c>
      <c r="T598" t="e">
        <f>VLOOKUP($C598,'2000 Place'!$C$2:$Y$523,21,FALSE)</f>
        <v>#N/A</v>
      </c>
      <c r="U598" t="e">
        <f>VLOOKUP($C598,'2000 Place'!$C$2:$Y$523,22,FALSE)</f>
        <v>#N/A</v>
      </c>
      <c r="V598" t="e">
        <f>VLOOKUP($C598,'2000 Place'!$C$2:$Y$523,23,FALSE)</f>
        <v>#N/A</v>
      </c>
    </row>
    <row r="599" spans="1:22" x14ac:dyDescent="0.25">
      <c r="A599" t="s">
        <v>1442</v>
      </c>
      <c r="B599">
        <v>5376720</v>
      </c>
      <c r="C599" t="s">
        <v>1443</v>
      </c>
      <c r="D599">
        <f>VLOOKUP($C599,'2000 Place'!$C$2:$Y$523,5,FALSE)</f>
        <v>131</v>
      </c>
      <c r="E599">
        <f>VLOOKUP($C599,'2000 Place'!$C$2:$Y$523,6,FALSE)</f>
        <v>131</v>
      </c>
      <c r="F599">
        <f>VLOOKUP($C599,'2000 Place'!$C$2:$Y$523,7,FALSE)</f>
        <v>0</v>
      </c>
      <c r="G599">
        <f>VLOOKUP($C599,'2000 Place'!$C$2:$Y$523,8,FALSE)</f>
        <v>118</v>
      </c>
      <c r="H599">
        <f>VLOOKUP($C599,'2000 Place'!$C$2:$Y$523,9,FALSE)</f>
        <v>0</v>
      </c>
      <c r="I599">
        <f>VLOOKUP($C599,'2000 Place'!$C$2:$Y$523,10,FALSE)</f>
        <v>0</v>
      </c>
      <c r="J599">
        <f>VLOOKUP($C599,'2000 Place'!$C$2:$Y$523,11,FALSE)</f>
        <v>0</v>
      </c>
      <c r="K599">
        <f>VLOOKUP($C599,'2000 Place'!$C$2:$Y$523,12,FALSE)</f>
        <v>0</v>
      </c>
      <c r="L599">
        <f>VLOOKUP($C599,'2000 Place'!$C$2:$Y$523,13,FALSE)</f>
        <v>0</v>
      </c>
      <c r="M599">
        <f>VLOOKUP($C599,'2000 Place'!$C$2:$Y$523,14,FALSE)</f>
        <v>0</v>
      </c>
      <c r="N599">
        <f>VLOOKUP($C599,'2000 Place'!$C$2:$Y$523,15,FALSE)</f>
        <v>0</v>
      </c>
      <c r="O599">
        <f>VLOOKUP($C599,'2000 Place'!$C$2:$Y$523,16,FALSE)</f>
        <v>0</v>
      </c>
      <c r="P599">
        <f>VLOOKUP($C599,'2000 Place'!$C$2:$Y$523,17,FALSE)</f>
        <v>0</v>
      </c>
      <c r="Q599">
        <f>VLOOKUP($C599,'2000 Place'!$C$2:$Y$523,18,FALSE)</f>
        <v>0</v>
      </c>
      <c r="R599">
        <f>VLOOKUP($C599,'2000 Place'!$C$2:$Y$523,19,FALSE)</f>
        <v>0</v>
      </c>
      <c r="S599">
        <f>VLOOKUP($C599,'2000 Place'!$C$2:$Y$523,20,FALSE)</f>
        <v>0</v>
      </c>
      <c r="T599">
        <f>VLOOKUP($C599,'2000 Place'!$C$2:$Y$523,21,FALSE)</f>
        <v>0</v>
      </c>
      <c r="U599">
        <f>VLOOKUP($C599,'2000 Place'!$C$2:$Y$523,22,FALSE)</f>
        <v>13</v>
      </c>
      <c r="V599">
        <f>VLOOKUP($C599,'2000 Place'!$C$2:$Y$523,23,FALSE)</f>
        <v>0</v>
      </c>
    </row>
    <row r="600" spans="1:22" x14ac:dyDescent="0.25">
      <c r="A600" t="s">
        <v>1444</v>
      </c>
      <c r="B600">
        <v>5377105</v>
      </c>
      <c r="C600" t="s">
        <v>1445</v>
      </c>
      <c r="D600">
        <f>VLOOKUP($C600,'2000 Place'!$C$2:$Y$523,5,FALSE)</f>
        <v>28098</v>
      </c>
      <c r="E600">
        <f>VLOOKUP($C600,'2000 Place'!$C$2:$Y$523,6,FALSE)</f>
        <v>24151</v>
      </c>
      <c r="F600">
        <f>VLOOKUP($C600,'2000 Place'!$C$2:$Y$523,7,FALSE)</f>
        <v>3947</v>
      </c>
      <c r="G600">
        <f>VLOOKUP($C600,'2000 Place'!$C$2:$Y$523,8,FALSE)</f>
        <v>20660</v>
      </c>
      <c r="H600">
        <f>VLOOKUP($C600,'2000 Place'!$C$2:$Y$523,9,FALSE)</f>
        <v>496</v>
      </c>
      <c r="I600">
        <f>VLOOKUP($C600,'2000 Place'!$C$2:$Y$523,10,FALSE)</f>
        <v>793</v>
      </c>
      <c r="J600">
        <f>VLOOKUP($C600,'2000 Place'!$C$2:$Y$523,11,FALSE)</f>
        <v>874</v>
      </c>
      <c r="K600">
        <f>VLOOKUP($C600,'2000 Place'!$C$2:$Y$523,12,FALSE)</f>
        <v>47</v>
      </c>
      <c r="L600">
        <f>VLOOKUP($C600,'2000 Place'!$C$2:$Y$523,13,FALSE)</f>
        <v>90</v>
      </c>
      <c r="M600">
        <f>VLOOKUP($C600,'2000 Place'!$C$2:$Y$523,14,FALSE)</f>
        <v>312</v>
      </c>
      <c r="N600">
        <f>VLOOKUP($C600,'2000 Place'!$C$2:$Y$523,15,FALSE)</f>
        <v>16</v>
      </c>
      <c r="O600">
        <f>VLOOKUP($C600,'2000 Place'!$C$2:$Y$523,16,FALSE)</f>
        <v>115</v>
      </c>
      <c r="P600">
        <f>VLOOKUP($C600,'2000 Place'!$C$2:$Y$523,17,FALSE)</f>
        <v>157</v>
      </c>
      <c r="Q600">
        <f>VLOOKUP($C600,'2000 Place'!$C$2:$Y$523,18,FALSE)</f>
        <v>12</v>
      </c>
      <c r="R600">
        <f>VLOOKUP($C600,'2000 Place'!$C$2:$Y$523,19,FALSE)</f>
        <v>0</v>
      </c>
      <c r="S600">
        <f>VLOOKUP($C600,'2000 Place'!$C$2:$Y$523,20,FALSE)</f>
        <v>1581</v>
      </c>
      <c r="T600">
        <f>VLOOKUP($C600,'2000 Place'!$C$2:$Y$523,21,FALSE)</f>
        <v>2123</v>
      </c>
      <c r="U600">
        <f>VLOOKUP($C600,'2000 Place'!$C$2:$Y$523,22,FALSE)</f>
        <v>631</v>
      </c>
      <c r="V600">
        <f>VLOOKUP($C600,'2000 Place'!$C$2:$Y$523,23,FALSE)</f>
        <v>191</v>
      </c>
    </row>
    <row r="601" spans="1:22" x14ac:dyDescent="0.25">
      <c r="A601" t="s">
        <v>1446</v>
      </c>
      <c r="B601">
        <v>5377297</v>
      </c>
      <c r="C601" t="s">
        <v>1447</v>
      </c>
      <c r="D601">
        <f>VLOOKUP($C601,'2000 Place'!$C$2:$Y$523,5,FALSE)</f>
        <v>4677</v>
      </c>
      <c r="E601">
        <f>VLOOKUP($C601,'2000 Place'!$C$2:$Y$523,6,FALSE)</f>
        <v>4577</v>
      </c>
      <c r="F601">
        <f>VLOOKUP($C601,'2000 Place'!$C$2:$Y$523,7,FALSE)</f>
        <v>100</v>
      </c>
      <c r="G601">
        <f>VLOOKUP($C601,'2000 Place'!$C$2:$Y$523,8,FALSE)</f>
        <v>4297</v>
      </c>
      <c r="H601">
        <f>VLOOKUP($C601,'2000 Place'!$C$2:$Y$523,9,FALSE)</f>
        <v>69</v>
      </c>
      <c r="I601">
        <f>VLOOKUP($C601,'2000 Place'!$C$2:$Y$523,10,FALSE)</f>
        <v>55</v>
      </c>
      <c r="J601">
        <f>VLOOKUP($C601,'2000 Place'!$C$2:$Y$523,11,FALSE)</f>
        <v>6</v>
      </c>
      <c r="K601">
        <f>VLOOKUP($C601,'2000 Place'!$C$2:$Y$523,12,FALSE)</f>
        <v>0</v>
      </c>
      <c r="L601">
        <f>VLOOKUP($C601,'2000 Place'!$C$2:$Y$523,13,FALSE)</f>
        <v>0</v>
      </c>
      <c r="M601">
        <f>VLOOKUP($C601,'2000 Place'!$C$2:$Y$523,14,FALSE)</f>
        <v>33</v>
      </c>
      <c r="N601">
        <f>VLOOKUP($C601,'2000 Place'!$C$2:$Y$523,15,FALSE)</f>
        <v>0</v>
      </c>
      <c r="O601">
        <f>VLOOKUP($C601,'2000 Place'!$C$2:$Y$523,16,FALSE)</f>
        <v>0</v>
      </c>
      <c r="P601">
        <f>VLOOKUP($C601,'2000 Place'!$C$2:$Y$523,17,FALSE)</f>
        <v>25</v>
      </c>
      <c r="Q601">
        <f>VLOOKUP($C601,'2000 Place'!$C$2:$Y$523,18,FALSE)</f>
        <v>0</v>
      </c>
      <c r="R601">
        <f>VLOOKUP($C601,'2000 Place'!$C$2:$Y$523,19,FALSE)</f>
        <v>0</v>
      </c>
      <c r="S601">
        <f>VLOOKUP($C601,'2000 Place'!$C$2:$Y$523,20,FALSE)</f>
        <v>41</v>
      </c>
      <c r="T601">
        <f>VLOOKUP($C601,'2000 Place'!$C$2:$Y$523,21,FALSE)</f>
        <v>0</v>
      </c>
      <c r="U601">
        <f>VLOOKUP($C601,'2000 Place'!$C$2:$Y$523,22,FALSE)</f>
        <v>151</v>
      </c>
      <c r="V601">
        <f>VLOOKUP($C601,'2000 Place'!$C$2:$Y$523,23,FALSE)</f>
        <v>0</v>
      </c>
    </row>
    <row r="602" spans="1:22" x14ac:dyDescent="0.25">
      <c r="A602" t="s">
        <v>1448</v>
      </c>
      <c r="B602">
        <v>5377612</v>
      </c>
      <c r="C602" t="s">
        <v>1449</v>
      </c>
      <c r="D602">
        <f>VLOOKUP($C602,'2000 Place'!$C$2:$Y$523,5,FALSE)</f>
        <v>4759</v>
      </c>
      <c r="E602">
        <f>VLOOKUP($C602,'2000 Place'!$C$2:$Y$523,6,FALSE)</f>
        <v>4488</v>
      </c>
      <c r="F602">
        <f>VLOOKUP($C602,'2000 Place'!$C$2:$Y$523,7,FALSE)</f>
        <v>271</v>
      </c>
      <c r="G602">
        <f>VLOOKUP($C602,'2000 Place'!$C$2:$Y$523,8,FALSE)</f>
        <v>3936</v>
      </c>
      <c r="H602">
        <f>VLOOKUP($C602,'2000 Place'!$C$2:$Y$523,9,FALSE)</f>
        <v>80</v>
      </c>
      <c r="I602">
        <f>VLOOKUP($C602,'2000 Place'!$C$2:$Y$523,10,FALSE)</f>
        <v>200</v>
      </c>
      <c r="J602">
        <f>VLOOKUP($C602,'2000 Place'!$C$2:$Y$523,11,FALSE)</f>
        <v>45</v>
      </c>
      <c r="K602">
        <f>VLOOKUP($C602,'2000 Place'!$C$2:$Y$523,12,FALSE)</f>
        <v>23</v>
      </c>
      <c r="L602">
        <f>VLOOKUP($C602,'2000 Place'!$C$2:$Y$523,13,FALSE)</f>
        <v>7</v>
      </c>
      <c r="M602">
        <f>VLOOKUP($C602,'2000 Place'!$C$2:$Y$523,14,FALSE)</f>
        <v>0</v>
      </c>
      <c r="N602">
        <f>VLOOKUP($C602,'2000 Place'!$C$2:$Y$523,15,FALSE)</f>
        <v>0</v>
      </c>
      <c r="O602">
        <f>VLOOKUP($C602,'2000 Place'!$C$2:$Y$523,16,FALSE)</f>
        <v>22</v>
      </c>
      <c r="P602">
        <f>VLOOKUP($C602,'2000 Place'!$C$2:$Y$523,17,FALSE)</f>
        <v>56</v>
      </c>
      <c r="Q602">
        <f>VLOOKUP($C602,'2000 Place'!$C$2:$Y$523,18,FALSE)</f>
        <v>0</v>
      </c>
      <c r="R602">
        <f>VLOOKUP($C602,'2000 Place'!$C$2:$Y$523,19,FALSE)</f>
        <v>0</v>
      </c>
      <c r="S602">
        <f>VLOOKUP($C602,'2000 Place'!$C$2:$Y$523,20,FALSE)</f>
        <v>153</v>
      </c>
      <c r="T602">
        <f>VLOOKUP($C602,'2000 Place'!$C$2:$Y$523,21,FALSE)</f>
        <v>67</v>
      </c>
      <c r="U602">
        <f>VLOOKUP($C602,'2000 Place'!$C$2:$Y$523,22,FALSE)</f>
        <v>154</v>
      </c>
      <c r="V602">
        <f>VLOOKUP($C602,'2000 Place'!$C$2:$Y$523,23,FALSE)</f>
        <v>16</v>
      </c>
    </row>
    <row r="603" spans="1:22" x14ac:dyDescent="0.25">
      <c r="A603" t="s">
        <v>1450</v>
      </c>
      <c r="B603">
        <v>5377630</v>
      </c>
      <c r="C603" t="s">
        <v>1451</v>
      </c>
      <c r="D603">
        <f>VLOOKUP($C603,'2000 Place'!$C$2:$Y$523,5,FALSE)</f>
        <v>2165</v>
      </c>
      <c r="E603">
        <f>VLOOKUP($C603,'2000 Place'!$C$2:$Y$523,6,FALSE)</f>
        <v>2104</v>
      </c>
      <c r="F603">
        <f>VLOOKUP($C603,'2000 Place'!$C$2:$Y$523,7,FALSE)</f>
        <v>61</v>
      </c>
      <c r="G603">
        <f>VLOOKUP($C603,'2000 Place'!$C$2:$Y$523,8,FALSE)</f>
        <v>1976</v>
      </c>
      <c r="H603">
        <f>VLOOKUP($C603,'2000 Place'!$C$2:$Y$523,9,FALSE)</f>
        <v>33</v>
      </c>
      <c r="I603">
        <f>VLOOKUP($C603,'2000 Place'!$C$2:$Y$523,10,FALSE)</f>
        <v>19</v>
      </c>
      <c r="J603">
        <f>VLOOKUP($C603,'2000 Place'!$C$2:$Y$523,11,FALSE)</f>
        <v>19</v>
      </c>
      <c r="K603">
        <f>VLOOKUP($C603,'2000 Place'!$C$2:$Y$523,12,FALSE)</f>
        <v>7</v>
      </c>
      <c r="L603">
        <f>VLOOKUP($C603,'2000 Place'!$C$2:$Y$523,13,FALSE)</f>
        <v>0</v>
      </c>
      <c r="M603">
        <f>VLOOKUP($C603,'2000 Place'!$C$2:$Y$523,14,FALSE)</f>
        <v>61</v>
      </c>
      <c r="N603">
        <f>VLOOKUP($C603,'2000 Place'!$C$2:$Y$523,15,FALSE)</f>
        <v>0</v>
      </c>
      <c r="O603">
        <f>VLOOKUP($C603,'2000 Place'!$C$2:$Y$523,16,FALSE)</f>
        <v>0</v>
      </c>
      <c r="P603">
        <f>VLOOKUP($C603,'2000 Place'!$C$2:$Y$523,17,FALSE)</f>
        <v>4</v>
      </c>
      <c r="Q603">
        <f>VLOOKUP($C603,'2000 Place'!$C$2:$Y$523,18,FALSE)</f>
        <v>0</v>
      </c>
      <c r="R603">
        <f>VLOOKUP($C603,'2000 Place'!$C$2:$Y$523,19,FALSE)</f>
        <v>0</v>
      </c>
      <c r="S603">
        <f>VLOOKUP($C603,'2000 Place'!$C$2:$Y$523,20,FALSE)</f>
        <v>8</v>
      </c>
      <c r="T603">
        <f>VLOOKUP($C603,'2000 Place'!$C$2:$Y$523,21,FALSE)</f>
        <v>5</v>
      </c>
      <c r="U603">
        <f>VLOOKUP($C603,'2000 Place'!$C$2:$Y$523,22,FALSE)</f>
        <v>33</v>
      </c>
      <c r="V603">
        <f>VLOOKUP($C603,'2000 Place'!$C$2:$Y$523,23,FALSE)</f>
        <v>0</v>
      </c>
    </row>
    <row r="604" spans="1:22" x14ac:dyDescent="0.25">
      <c r="A604" t="s">
        <v>1452</v>
      </c>
      <c r="B604">
        <v>5377665</v>
      </c>
      <c r="C604" t="s">
        <v>1453</v>
      </c>
      <c r="D604">
        <f>VLOOKUP($C604,'2000 Place'!$C$2:$Y$523,5,FALSE)</f>
        <v>8524</v>
      </c>
      <c r="E604">
        <f>VLOOKUP($C604,'2000 Place'!$C$2:$Y$523,6,FALSE)</f>
        <v>8059</v>
      </c>
      <c r="F604">
        <f>VLOOKUP($C604,'2000 Place'!$C$2:$Y$523,7,FALSE)</f>
        <v>465</v>
      </c>
      <c r="G604">
        <f>VLOOKUP($C604,'2000 Place'!$C$2:$Y$523,8,FALSE)</f>
        <v>7565</v>
      </c>
      <c r="H604">
        <f>VLOOKUP($C604,'2000 Place'!$C$2:$Y$523,9,FALSE)</f>
        <v>188</v>
      </c>
      <c r="I604">
        <f>VLOOKUP($C604,'2000 Place'!$C$2:$Y$523,10,FALSE)</f>
        <v>182</v>
      </c>
      <c r="J604">
        <f>VLOOKUP($C604,'2000 Place'!$C$2:$Y$523,11,FALSE)</f>
        <v>84</v>
      </c>
      <c r="K604">
        <f>VLOOKUP($C604,'2000 Place'!$C$2:$Y$523,12,FALSE)</f>
        <v>35</v>
      </c>
      <c r="L604">
        <f>VLOOKUP($C604,'2000 Place'!$C$2:$Y$523,13,FALSE)</f>
        <v>0</v>
      </c>
      <c r="M604">
        <f>VLOOKUP($C604,'2000 Place'!$C$2:$Y$523,14,FALSE)</f>
        <v>8</v>
      </c>
      <c r="N604">
        <f>VLOOKUP($C604,'2000 Place'!$C$2:$Y$523,15,FALSE)</f>
        <v>0</v>
      </c>
      <c r="O604">
        <f>VLOOKUP($C604,'2000 Place'!$C$2:$Y$523,16,FALSE)</f>
        <v>68</v>
      </c>
      <c r="P604">
        <f>VLOOKUP($C604,'2000 Place'!$C$2:$Y$523,17,FALSE)</f>
        <v>117</v>
      </c>
      <c r="Q604">
        <f>VLOOKUP($C604,'2000 Place'!$C$2:$Y$523,18,FALSE)</f>
        <v>0</v>
      </c>
      <c r="R604">
        <f>VLOOKUP($C604,'2000 Place'!$C$2:$Y$523,19,FALSE)</f>
        <v>7</v>
      </c>
      <c r="S604">
        <f>VLOOKUP($C604,'2000 Place'!$C$2:$Y$523,20,FALSE)</f>
        <v>67</v>
      </c>
      <c r="T604">
        <f>VLOOKUP($C604,'2000 Place'!$C$2:$Y$523,21,FALSE)</f>
        <v>69</v>
      </c>
      <c r="U604">
        <f>VLOOKUP($C604,'2000 Place'!$C$2:$Y$523,22,FALSE)</f>
        <v>134</v>
      </c>
      <c r="V604">
        <f>VLOOKUP($C604,'2000 Place'!$C$2:$Y$523,23,FALSE)</f>
        <v>0</v>
      </c>
    </row>
    <row r="605" spans="1:22" x14ac:dyDescent="0.25">
      <c r="A605" t="s">
        <v>1454</v>
      </c>
      <c r="B605">
        <v>5377745</v>
      </c>
      <c r="C605" t="s">
        <v>1455</v>
      </c>
      <c r="D605">
        <f>VLOOKUP($C605,'2000 Place'!$C$2:$Y$523,5,FALSE)</f>
        <v>4539</v>
      </c>
      <c r="E605">
        <f>VLOOKUP($C605,'2000 Place'!$C$2:$Y$523,6,FALSE)</f>
        <v>4429</v>
      </c>
      <c r="F605">
        <f>VLOOKUP($C605,'2000 Place'!$C$2:$Y$523,7,FALSE)</f>
        <v>110</v>
      </c>
      <c r="G605">
        <f>VLOOKUP($C605,'2000 Place'!$C$2:$Y$523,8,FALSE)</f>
        <v>4073</v>
      </c>
      <c r="H605">
        <f>VLOOKUP($C605,'2000 Place'!$C$2:$Y$523,9,FALSE)</f>
        <v>78</v>
      </c>
      <c r="I605">
        <f>VLOOKUP($C605,'2000 Place'!$C$2:$Y$523,10,FALSE)</f>
        <v>5</v>
      </c>
      <c r="J605">
        <f>VLOOKUP($C605,'2000 Place'!$C$2:$Y$523,11,FALSE)</f>
        <v>0</v>
      </c>
      <c r="K605">
        <f>VLOOKUP($C605,'2000 Place'!$C$2:$Y$523,12,FALSE)</f>
        <v>31</v>
      </c>
      <c r="L605">
        <f>VLOOKUP($C605,'2000 Place'!$C$2:$Y$523,13,FALSE)</f>
        <v>0</v>
      </c>
      <c r="M605">
        <f>VLOOKUP($C605,'2000 Place'!$C$2:$Y$523,14,FALSE)</f>
        <v>82</v>
      </c>
      <c r="N605">
        <f>VLOOKUP($C605,'2000 Place'!$C$2:$Y$523,15,FALSE)</f>
        <v>0</v>
      </c>
      <c r="O605">
        <f>VLOOKUP($C605,'2000 Place'!$C$2:$Y$523,16,FALSE)</f>
        <v>0</v>
      </c>
      <c r="P605">
        <f>VLOOKUP($C605,'2000 Place'!$C$2:$Y$523,17,FALSE)</f>
        <v>0</v>
      </c>
      <c r="Q605">
        <f>VLOOKUP($C605,'2000 Place'!$C$2:$Y$523,18,FALSE)</f>
        <v>0</v>
      </c>
      <c r="R605">
        <f>VLOOKUP($C605,'2000 Place'!$C$2:$Y$523,19,FALSE)</f>
        <v>8</v>
      </c>
      <c r="S605">
        <f>VLOOKUP($C605,'2000 Place'!$C$2:$Y$523,20,FALSE)</f>
        <v>54</v>
      </c>
      <c r="T605">
        <f>VLOOKUP($C605,'2000 Place'!$C$2:$Y$523,21,FALSE)</f>
        <v>18</v>
      </c>
      <c r="U605">
        <f>VLOOKUP($C605,'2000 Place'!$C$2:$Y$523,22,FALSE)</f>
        <v>184</v>
      </c>
      <c r="V605">
        <f>VLOOKUP($C605,'2000 Place'!$C$2:$Y$523,23,FALSE)</f>
        <v>6</v>
      </c>
    </row>
    <row r="606" spans="1:22" x14ac:dyDescent="0.25">
      <c r="A606" t="s">
        <v>1456</v>
      </c>
      <c r="B606">
        <v>5378155</v>
      </c>
      <c r="C606" t="s">
        <v>1457</v>
      </c>
      <c r="D606" t="e">
        <f>VLOOKUP($C606,'2000 Place'!$C$2:$Y$523,5,FALSE)</f>
        <v>#N/A</v>
      </c>
      <c r="E606" t="e">
        <f>VLOOKUP($C606,'2000 Place'!$C$2:$Y$523,6,FALSE)</f>
        <v>#N/A</v>
      </c>
      <c r="F606" t="e">
        <f>VLOOKUP($C606,'2000 Place'!$C$2:$Y$523,7,FALSE)</f>
        <v>#N/A</v>
      </c>
      <c r="G606" t="e">
        <f>VLOOKUP($C606,'2000 Place'!$C$2:$Y$523,8,FALSE)</f>
        <v>#N/A</v>
      </c>
      <c r="H606" t="e">
        <f>VLOOKUP($C606,'2000 Place'!$C$2:$Y$523,9,FALSE)</f>
        <v>#N/A</v>
      </c>
      <c r="I606" t="e">
        <f>VLOOKUP($C606,'2000 Place'!$C$2:$Y$523,10,FALSE)</f>
        <v>#N/A</v>
      </c>
      <c r="J606" t="e">
        <f>VLOOKUP($C606,'2000 Place'!$C$2:$Y$523,11,FALSE)</f>
        <v>#N/A</v>
      </c>
      <c r="K606" t="e">
        <f>VLOOKUP($C606,'2000 Place'!$C$2:$Y$523,12,FALSE)</f>
        <v>#N/A</v>
      </c>
      <c r="L606" t="e">
        <f>VLOOKUP($C606,'2000 Place'!$C$2:$Y$523,13,FALSE)</f>
        <v>#N/A</v>
      </c>
      <c r="M606" t="e">
        <f>VLOOKUP($C606,'2000 Place'!$C$2:$Y$523,14,FALSE)</f>
        <v>#N/A</v>
      </c>
      <c r="N606" t="e">
        <f>VLOOKUP($C606,'2000 Place'!$C$2:$Y$523,15,FALSE)</f>
        <v>#N/A</v>
      </c>
      <c r="O606" t="e">
        <f>VLOOKUP($C606,'2000 Place'!$C$2:$Y$523,16,FALSE)</f>
        <v>#N/A</v>
      </c>
      <c r="P606" t="e">
        <f>VLOOKUP($C606,'2000 Place'!$C$2:$Y$523,17,FALSE)</f>
        <v>#N/A</v>
      </c>
      <c r="Q606" t="e">
        <f>VLOOKUP($C606,'2000 Place'!$C$2:$Y$523,18,FALSE)</f>
        <v>#N/A</v>
      </c>
      <c r="R606" t="e">
        <f>VLOOKUP($C606,'2000 Place'!$C$2:$Y$523,19,FALSE)</f>
        <v>#N/A</v>
      </c>
      <c r="S606" t="e">
        <f>VLOOKUP($C606,'2000 Place'!$C$2:$Y$523,20,FALSE)</f>
        <v>#N/A</v>
      </c>
      <c r="T606" t="e">
        <f>VLOOKUP($C606,'2000 Place'!$C$2:$Y$523,21,FALSE)</f>
        <v>#N/A</v>
      </c>
      <c r="U606" t="e">
        <f>VLOOKUP($C606,'2000 Place'!$C$2:$Y$523,22,FALSE)</f>
        <v>#N/A</v>
      </c>
      <c r="V606" t="e">
        <f>VLOOKUP($C606,'2000 Place'!$C$2:$Y$523,23,FALSE)</f>
        <v>#N/A</v>
      </c>
    </row>
    <row r="607" spans="1:22" x14ac:dyDescent="0.25">
      <c r="A607" t="s">
        <v>1458</v>
      </c>
      <c r="B607">
        <v>5378225</v>
      </c>
      <c r="C607" t="s">
        <v>1459</v>
      </c>
      <c r="D607">
        <f>VLOOKUP($C607,'2000 Place'!$C$2:$Y$523,5,FALSE)</f>
        <v>20848</v>
      </c>
      <c r="E607">
        <f>VLOOKUP($C607,'2000 Place'!$C$2:$Y$523,6,FALSE)</f>
        <v>14930</v>
      </c>
      <c r="F607">
        <f>VLOOKUP($C607,'2000 Place'!$C$2:$Y$523,7,FALSE)</f>
        <v>5918</v>
      </c>
      <c r="G607">
        <f>VLOOKUP($C607,'2000 Place'!$C$2:$Y$523,8,FALSE)</f>
        <v>10330</v>
      </c>
      <c r="H607">
        <f>VLOOKUP($C607,'2000 Place'!$C$2:$Y$523,9,FALSE)</f>
        <v>712</v>
      </c>
      <c r="I607">
        <f>VLOOKUP($C607,'2000 Place'!$C$2:$Y$523,10,FALSE)</f>
        <v>424</v>
      </c>
      <c r="J607">
        <f>VLOOKUP($C607,'2000 Place'!$C$2:$Y$523,11,FALSE)</f>
        <v>405</v>
      </c>
      <c r="K607">
        <f>VLOOKUP($C607,'2000 Place'!$C$2:$Y$523,12,FALSE)</f>
        <v>1098</v>
      </c>
      <c r="L607">
        <f>VLOOKUP($C607,'2000 Place'!$C$2:$Y$523,13,FALSE)</f>
        <v>297</v>
      </c>
      <c r="M607">
        <f>VLOOKUP($C607,'2000 Place'!$C$2:$Y$523,14,FALSE)</f>
        <v>389</v>
      </c>
      <c r="N607">
        <f>VLOOKUP($C607,'2000 Place'!$C$2:$Y$523,15,FALSE)</f>
        <v>17</v>
      </c>
      <c r="O607">
        <f>VLOOKUP($C607,'2000 Place'!$C$2:$Y$523,16,FALSE)</f>
        <v>1244</v>
      </c>
      <c r="P607">
        <f>VLOOKUP($C607,'2000 Place'!$C$2:$Y$523,17,FALSE)</f>
        <v>3234</v>
      </c>
      <c r="Q607">
        <f>VLOOKUP($C607,'2000 Place'!$C$2:$Y$523,18,FALSE)</f>
        <v>147</v>
      </c>
      <c r="R607">
        <f>VLOOKUP($C607,'2000 Place'!$C$2:$Y$523,19,FALSE)</f>
        <v>158</v>
      </c>
      <c r="S607">
        <f>VLOOKUP($C607,'2000 Place'!$C$2:$Y$523,20,FALSE)</f>
        <v>557</v>
      </c>
      <c r="T607">
        <f>VLOOKUP($C607,'2000 Place'!$C$2:$Y$523,21,FALSE)</f>
        <v>778</v>
      </c>
      <c r="U607">
        <f>VLOOKUP($C607,'2000 Place'!$C$2:$Y$523,22,FALSE)</f>
        <v>741</v>
      </c>
      <c r="V607">
        <f>VLOOKUP($C607,'2000 Place'!$C$2:$Y$523,23,FALSE)</f>
        <v>317</v>
      </c>
    </row>
    <row r="608" spans="1:22" x14ac:dyDescent="0.25">
      <c r="A608" t="s">
        <v>1460</v>
      </c>
      <c r="B608">
        <v>5378330</v>
      </c>
      <c r="C608" t="s">
        <v>1461</v>
      </c>
      <c r="D608">
        <f>VLOOKUP($C608,'2000 Place'!$C$2:$Y$523,5,FALSE)</f>
        <v>2153</v>
      </c>
      <c r="E608">
        <f>VLOOKUP($C608,'2000 Place'!$C$2:$Y$523,6,FALSE)</f>
        <v>1872</v>
      </c>
      <c r="F608">
        <f>VLOOKUP($C608,'2000 Place'!$C$2:$Y$523,7,FALSE)</f>
        <v>281</v>
      </c>
      <c r="G608">
        <f>VLOOKUP($C608,'2000 Place'!$C$2:$Y$523,8,FALSE)</f>
        <v>1588</v>
      </c>
      <c r="H608">
        <f>VLOOKUP($C608,'2000 Place'!$C$2:$Y$523,9,FALSE)</f>
        <v>30</v>
      </c>
      <c r="I608">
        <f>VLOOKUP($C608,'2000 Place'!$C$2:$Y$523,10,FALSE)</f>
        <v>34</v>
      </c>
      <c r="J608">
        <f>VLOOKUP($C608,'2000 Place'!$C$2:$Y$523,11,FALSE)</f>
        <v>14</v>
      </c>
      <c r="K608">
        <f>VLOOKUP($C608,'2000 Place'!$C$2:$Y$523,12,FALSE)</f>
        <v>10</v>
      </c>
      <c r="L608">
        <f>VLOOKUP($C608,'2000 Place'!$C$2:$Y$523,13,FALSE)</f>
        <v>4</v>
      </c>
      <c r="M608">
        <f>VLOOKUP($C608,'2000 Place'!$C$2:$Y$523,14,FALSE)</f>
        <v>39</v>
      </c>
      <c r="N608">
        <f>VLOOKUP($C608,'2000 Place'!$C$2:$Y$523,15,FALSE)</f>
        <v>0</v>
      </c>
      <c r="O608">
        <f>VLOOKUP($C608,'2000 Place'!$C$2:$Y$523,16,FALSE)</f>
        <v>0</v>
      </c>
      <c r="P608">
        <f>VLOOKUP($C608,'2000 Place'!$C$2:$Y$523,17,FALSE)</f>
        <v>5</v>
      </c>
      <c r="Q608">
        <f>VLOOKUP($C608,'2000 Place'!$C$2:$Y$523,18,FALSE)</f>
        <v>2</v>
      </c>
      <c r="R608">
        <f>VLOOKUP($C608,'2000 Place'!$C$2:$Y$523,19,FALSE)</f>
        <v>0</v>
      </c>
      <c r="S608">
        <f>VLOOKUP($C608,'2000 Place'!$C$2:$Y$523,20,FALSE)</f>
        <v>125</v>
      </c>
      <c r="T608">
        <f>VLOOKUP($C608,'2000 Place'!$C$2:$Y$523,21,FALSE)</f>
        <v>218</v>
      </c>
      <c r="U608">
        <f>VLOOKUP($C608,'2000 Place'!$C$2:$Y$523,22,FALSE)</f>
        <v>74</v>
      </c>
      <c r="V608">
        <f>VLOOKUP($C608,'2000 Place'!$C$2:$Y$523,23,FALSE)</f>
        <v>10</v>
      </c>
    </row>
    <row r="609" spans="1:22" x14ac:dyDescent="0.25">
      <c r="A609" t="s">
        <v>1462</v>
      </c>
      <c r="B609">
        <v>5378365</v>
      </c>
      <c r="C609" t="s">
        <v>1463</v>
      </c>
      <c r="D609">
        <f>VLOOKUP($C609,'2000 Place'!$C$2:$Y$523,5,FALSE)</f>
        <v>3068</v>
      </c>
      <c r="E609">
        <f>VLOOKUP($C609,'2000 Place'!$C$2:$Y$523,6,FALSE)</f>
        <v>2928</v>
      </c>
      <c r="F609">
        <f>VLOOKUP($C609,'2000 Place'!$C$2:$Y$523,7,FALSE)</f>
        <v>140</v>
      </c>
      <c r="G609">
        <f>VLOOKUP($C609,'2000 Place'!$C$2:$Y$523,8,FALSE)</f>
        <v>998</v>
      </c>
      <c r="H609">
        <f>VLOOKUP($C609,'2000 Place'!$C$2:$Y$523,9,FALSE)</f>
        <v>5</v>
      </c>
      <c r="I609">
        <f>VLOOKUP($C609,'2000 Place'!$C$2:$Y$523,10,FALSE)</f>
        <v>74</v>
      </c>
      <c r="J609">
        <f>VLOOKUP($C609,'2000 Place'!$C$2:$Y$523,11,FALSE)</f>
        <v>51</v>
      </c>
      <c r="K609">
        <f>VLOOKUP($C609,'2000 Place'!$C$2:$Y$523,12,FALSE)</f>
        <v>20</v>
      </c>
      <c r="L609">
        <f>VLOOKUP($C609,'2000 Place'!$C$2:$Y$523,13,FALSE)</f>
        <v>0</v>
      </c>
      <c r="M609">
        <f>VLOOKUP($C609,'2000 Place'!$C$2:$Y$523,14,FALSE)</f>
        <v>1637</v>
      </c>
      <c r="N609">
        <f>VLOOKUP($C609,'2000 Place'!$C$2:$Y$523,15,FALSE)</f>
        <v>11</v>
      </c>
      <c r="O609">
        <f>VLOOKUP($C609,'2000 Place'!$C$2:$Y$523,16,FALSE)</f>
        <v>5</v>
      </c>
      <c r="P609">
        <f>VLOOKUP($C609,'2000 Place'!$C$2:$Y$523,17,FALSE)</f>
        <v>6</v>
      </c>
      <c r="Q609">
        <f>VLOOKUP($C609,'2000 Place'!$C$2:$Y$523,18,FALSE)</f>
        <v>0</v>
      </c>
      <c r="R609">
        <f>VLOOKUP($C609,'2000 Place'!$C$2:$Y$523,19,FALSE)</f>
        <v>0</v>
      </c>
      <c r="S609">
        <f>VLOOKUP($C609,'2000 Place'!$C$2:$Y$523,20,FALSE)</f>
        <v>78</v>
      </c>
      <c r="T609">
        <f>VLOOKUP($C609,'2000 Place'!$C$2:$Y$523,21,FALSE)</f>
        <v>67</v>
      </c>
      <c r="U609">
        <f>VLOOKUP($C609,'2000 Place'!$C$2:$Y$523,22,FALSE)</f>
        <v>116</v>
      </c>
      <c r="V609">
        <f>VLOOKUP($C609,'2000 Place'!$C$2:$Y$523,23,FALSE)</f>
        <v>0</v>
      </c>
    </row>
    <row r="610" spans="1:22" x14ac:dyDescent="0.25">
      <c r="A610" t="s">
        <v>1464</v>
      </c>
      <c r="B610">
        <v>5378680</v>
      </c>
      <c r="C610" t="s">
        <v>1465</v>
      </c>
      <c r="D610">
        <f>VLOOKUP($C610,'2000 Place'!$C$2:$Y$523,5,FALSE)</f>
        <v>911</v>
      </c>
      <c r="E610">
        <f>VLOOKUP($C610,'2000 Place'!$C$2:$Y$523,6,FALSE)</f>
        <v>893</v>
      </c>
      <c r="F610">
        <f>VLOOKUP($C610,'2000 Place'!$C$2:$Y$523,7,FALSE)</f>
        <v>18</v>
      </c>
      <c r="G610">
        <f>VLOOKUP($C610,'2000 Place'!$C$2:$Y$523,8,FALSE)</f>
        <v>862</v>
      </c>
      <c r="H610">
        <f>VLOOKUP($C610,'2000 Place'!$C$2:$Y$523,9,FALSE)</f>
        <v>18</v>
      </c>
      <c r="I610">
        <f>VLOOKUP($C610,'2000 Place'!$C$2:$Y$523,10,FALSE)</f>
        <v>8</v>
      </c>
      <c r="J610">
        <f>VLOOKUP($C610,'2000 Place'!$C$2:$Y$523,11,FALSE)</f>
        <v>0</v>
      </c>
      <c r="K610">
        <f>VLOOKUP($C610,'2000 Place'!$C$2:$Y$523,12,FALSE)</f>
        <v>0</v>
      </c>
      <c r="L610">
        <f>VLOOKUP($C610,'2000 Place'!$C$2:$Y$523,13,FALSE)</f>
        <v>0</v>
      </c>
      <c r="M610">
        <f>VLOOKUP($C610,'2000 Place'!$C$2:$Y$523,14,FALSE)</f>
        <v>5</v>
      </c>
      <c r="N610">
        <f>VLOOKUP($C610,'2000 Place'!$C$2:$Y$523,15,FALSE)</f>
        <v>0</v>
      </c>
      <c r="O610">
        <f>VLOOKUP($C610,'2000 Place'!$C$2:$Y$523,16,FALSE)</f>
        <v>0</v>
      </c>
      <c r="P610">
        <f>VLOOKUP($C610,'2000 Place'!$C$2:$Y$523,17,FALSE)</f>
        <v>0</v>
      </c>
      <c r="Q610">
        <f>VLOOKUP($C610,'2000 Place'!$C$2:$Y$523,18,FALSE)</f>
        <v>3</v>
      </c>
      <c r="R610">
        <f>VLOOKUP($C610,'2000 Place'!$C$2:$Y$523,19,FALSE)</f>
        <v>0</v>
      </c>
      <c r="S610">
        <f>VLOOKUP($C610,'2000 Place'!$C$2:$Y$523,20,FALSE)</f>
        <v>4</v>
      </c>
      <c r="T610">
        <f>VLOOKUP($C610,'2000 Place'!$C$2:$Y$523,21,FALSE)</f>
        <v>0</v>
      </c>
      <c r="U610">
        <f>VLOOKUP($C610,'2000 Place'!$C$2:$Y$523,22,FALSE)</f>
        <v>11</v>
      </c>
      <c r="V610">
        <f>VLOOKUP($C610,'2000 Place'!$C$2:$Y$523,23,FALSE)</f>
        <v>0</v>
      </c>
    </row>
    <row r="611" spans="1:22" x14ac:dyDescent="0.25">
      <c r="A611" t="s">
        <v>1466</v>
      </c>
      <c r="B611">
        <v>5378780</v>
      </c>
      <c r="C611" t="s">
        <v>1467</v>
      </c>
      <c r="D611" t="e">
        <f>VLOOKUP($C611,'2000 Place'!$C$2:$Y$523,5,FALSE)</f>
        <v>#N/A</v>
      </c>
      <c r="E611" t="e">
        <f>VLOOKUP($C611,'2000 Place'!$C$2:$Y$523,6,FALSE)</f>
        <v>#N/A</v>
      </c>
      <c r="F611" t="e">
        <f>VLOOKUP($C611,'2000 Place'!$C$2:$Y$523,7,FALSE)</f>
        <v>#N/A</v>
      </c>
      <c r="G611" t="e">
        <f>VLOOKUP($C611,'2000 Place'!$C$2:$Y$523,8,FALSE)</f>
        <v>#N/A</v>
      </c>
      <c r="H611" t="e">
        <f>VLOOKUP($C611,'2000 Place'!$C$2:$Y$523,9,FALSE)</f>
        <v>#N/A</v>
      </c>
      <c r="I611" t="e">
        <f>VLOOKUP($C611,'2000 Place'!$C$2:$Y$523,10,FALSE)</f>
        <v>#N/A</v>
      </c>
      <c r="J611" t="e">
        <f>VLOOKUP($C611,'2000 Place'!$C$2:$Y$523,11,FALSE)</f>
        <v>#N/A</v>
      </c>
      <c r="K611" t="e">
        <f>VLOOKUP($C611,'2000 Place'!$C$2:$Y$523,12,FALSE)</f>
        <v>#N/A</v>
      </c>
      <c r="L611" t="e">
        <f>VLOOKUP($C611,'2000 Place'!$C$2:$Y$523,13,FALSE)</f>
        <v>#N/A</v>
      </c>
      <c r="M611" t="e">
        <f>VLOOKUP($C611,'2000 Place'!$C$2:$Y$523,14,FALSE)</f>
        <v>#N/A</v>
      </c>
      <c r="N611" t="e">
        <f>VLOOKUP($C611,'2000 Place'!$C$2:$Y$523,15,FALSE)</f>
        <v>#N/A</v>
      </c>
      <c r="O611" t="e">
        <f>VLOOKUP($C611,'2000 Place'!$C$2:$Y$523,16,FALSE)</f>
        <v>#N/A</v>
      </c>
      <c r="P611" t="e">
        <f>VLOOKUP($C611,'2000 Place'!$C$2:$Y$523,17,FALSE)</f>
        <v>#N/A</v>
      </c>
      <c r="Q611" t="e">
        <f>VLOOKUP($C611,'2000 Place'!$C$2:$Y$523,18,FALSE)</f>
        <v>#N/A</v>
      </c>
      <c r="R611" t="e">
        <f>VLOOKUP($C611,'2000 Place'!$C$2:$Y$523,19,FALSE)</f>
        <v>#N/A</v>
      </c>
      <c r="S611" t="e">
        <f>VLOOKUP($C611,'2000 Place'!$C$2:$Y$523,20,FALSE)</f>
        <v>#N/A</v>
      </c>
      <c r="T611" t="e">
        <f>VLOOKUP($C611,'2000 Place'!$C$2:$Y$523,21,FALSE)</f>
        <v>#N/A</v>
      </c>
      <c r="U611" t="e">
        <f>VLOOKUP($C611,'2000 Place'!$C$2:$Y$523,22,FALSE)</f>
        <v>#N/A</v>
      </c>
      <c r="V611" t="e">
        <f>VLOOKUP($C611,'2000 Place'!$C$2:$Y$523,23,FALSE)</f>
        <v>#N/A</v>
      </c>
    </row>
    <row r="612" spans="1:22" x14ac:dyDescent="0.25">
      <c r="A612" t="s">
        <v>1468</v>
      </c>
      <c r="B612">
        <v>5378925</v>
      </c>
      <c r="C612" t="s">
        <v>1469</v>
      </c>
      <c r="D612">
        <f>VLOOKUP($C612,'2000 Place'!$C$2:$Y$523,5,FALSE)</f>
        <v>404</v>
      </c>
      <c r="E612">
        <f>VLOOKUP($C612,'2000 Place'!$C$2:$Y$523,6,FALSE)</f>
        <v>398</v>
      </c>
      <c r="F612">
        <f>VLOOKUP($C612,'2000 Place'!$C$2:$Y$523,7,FALSE)</f>
        <v>6</v>
      </c>
      <c r="G612">
        <f>VLOOKUP($C612,'2000 Place'!$C$2:$Y$523,8,FALSE)</f>
        <v>383</v>
      </c>
      <c r="H612">
        <f>VLOOKUP($C612,'2000 Place'!$C$2:$Y$523,9,FALSE)</f>
        <v>4</v>
      </c>
      <c r="I612">
        <f>VLOOKUP($C612,'2000 Place'!$C$2:$Y$523,10,FALSE)</f>
        <v>4</v>
      </c>
      <c r="J612">
        <f>VLOOKUP($C612,'2000 Place'!$C$2:$Y$523,11,FALSE)</f>
        <v>0</v>
      </c>
      <c r="K612">
        <f>VLOOKUP($C612,'2000 Place'!$C$2:$Y$523,12,FALSE)</f>
        <v>2</v>
      </c>
      <c r="L612">
        <f>VLOOKUP($C612,'2000 Place'!$C$2:$Y$523,13,FALSE)</f>
        <v>0</v>
      </c>
      <c r="M612">
        <f>VLOOKUP($C612,'2000 Place'!$C$2:$Y$523,14,FALSE)</f>
        <v>2</v>
      </c>
      <c r="N612">
        <f>VLOOKUP($C612,'2000 Place'!$C$2:$Y$523,15,FALSE)</f>
        <v>0</v>
      </c>
      <c r="O612">
        <f>VLOOKUP($C612,'2000 Place'!$C$2:$Y$523,16,FALSE)</f>
        <v>0</v>
      </c>
      <c r="P612">
        <f>VLOOKUP($C612,'2000 Place'!$C$2:$Y$523,17,FALSE)</f>
        <v>1</v>
      </c>
      <c r="Q612">
        <f>VLOOKUP($C612,'2000 Place'!$C$2:$Y$523,18,FALSE)</f>
        <v>3</v>
      </c>
      <c r="R612">
        <f>VLOOKUP($C612,'2000 Place'!$C$2:$Y$523,19,FALSE)</f>
        <v>0</v>
      </c>
      <c r="S612">
        <f>VLOOKUP($C612,'2000 Place'!$C$2:$Y$523,20,FALSE)</f>
        <v>0</v>
      </c>
      <c r="T612">
        <f>VLOOKUP($C612,'2000 Place'!$C$2:$Y$523,21,FALSE)</f>
        <v>0</v>
      </c>
      <c r="U612">
        <f>VLOOKUP($C612,'2000 Place'!$C$2:$Y$523,22,FALSE)</f>
        <v>4</v>
      </c>
      <c r="V612">
        <f>VLOOKUP($C612,'2000 Place'!$C$2:$Y$523,23,FALSE)</f>
        <v>1</v>
      </c>
    </row>
    <row r="613" spans="1:22" x14ac:dyDescent="0.25">
      <c r="A613" t="s">
        <v>1470</v>
      </c>
      <c r="B613">
        <v>5378995</v>
      </c>
      <c r="C613" t="s">
        <v>1471</v>
      </c>
      <c r="D613" t="e">
        <f>VLOOKUP($C613,'2000 Place'!$C$2:$Y$523,5,FALSE)</f>
        <v>#N/A</v>
      </c>
      <c r="E613" t="e">
        <f>VLOOKUP($C613,'2000 Place'!$C$2:$Y$523,6,FALSE)</f>
        <v>#N/A</v>
      </c>
      <c r="F613" t="e">
        <f>VLOOKUP($C613,'2000 Place'!$C$2:$Y$523,7,FALSE)</f>
        <v>#N/A</v>
      </c>
      <c r="G613" t="e">
        <f>VLOOKUP($C613,'2000 Place'!$C$2:$Y$523,8,FALSE)</f>
        <v>#N/A</v>
      </c>
      <c r="H613" t="e">
        <f>VLOOKUP($C613,'2000 Place'!$C$2:$Y$523,9,FALSE)</f>
        <v>#N/A</v>
      </c>
      <c r="I613" t="e">
        <f>VLOOKUP($C613,'2000 Place'!$C$2:$Y$523,10,FALSE)</f>
        <v>#N/A</v>
      </c>
      <c r="J613" t="e">
        <f>VLOOKUP($C613,'2000 Place'!$C$2:$Y$523,11,FALSE)</f>
        <v>#N/A</v>
      </c>
      <c r="K613" t="e">
        <f>VLOOKUP($C613,'2000 Place'!$C$2:$Y$523,12,FALSE)</f>
        <v>#N/A</v>
      </c>
      <c r="L613" t="e">
        <f>VLOOKUP($C613,'2000 Place'!$C$2:$Y$523,13,FALSE)</f>
        <v>#N/A</v>
      </c>
      <c r="M613" t="e">
        <f>VLOOKUP($C613,'2000 Place'!$C$2:$Y$523,14,FALSE)</f>
        <v>#N/A</v>
      </c>
      <c r="N613" t="e">
        <f>VLOOKUP($C613,'2000 Place'!$C$2:$Y$523,15,FALSE)</f>
        <v>#N/A</v>
      </c>
      <c r="O613" t="e">
        <f>VLOOKUP($C613,'2000 Place'!$C$2:$Y$523,16,FALSE)</f>
        <v>#N/A</v>
      </c>
      <c r="P613" t="e">
        <f>VLOOKUP($C613,'2000 Place'!$C$2:$Y$523,17,FALSE)</f>
        <v>#N/A</v>
      </c>
      <c r="Q613" t="e">
        <f>VLOOKUP($C613,'2000 Place'!$C$2:$Y$523,18,FALSE)</f>
        <v>#N/A</v>
      </c>
      <c r="R613" t="e">
        <f>VLOOKUP($C613,'2000 Place'!$C$2:$Y$523,19,FALSE)</f>
        <v>#N/A</v>
      </c>
      <c r="S613" t="e">
        <f>VLOOKUP($C613,'2000 Place'!$C$2:$Y$523,20,FALSE)</f>
        <v>#N/A</v>
      </c>
      <c r="T613" t="e">
        <f>VLOOKUP($C613,'2000 Place'!$C$2:$Y$523,21,FALSE)</f>
        <v>#N/A</v>
      </c>
      <c r="U613" t="e">
        <f>VLOOKUP($C613,'2000 Place'!$C$2:$Y$523,22,FALSE)</f>
        <v>#N/A</v>
      </c>
      <c r="V613" t="e">
        <f>VLOOKUP($C613,'2000 Place'!$C$2:$Y$523,23,FALSE)</f>
        <v>#N/A</v>
      </c>
    </row>
    <row r="614" spans="1:22" x14ac:dyDescent="0.25">
      <c r="A614" t="s">
        <v>1472</v>
      </c>
      <c r="B614">
        <v>5379135</v>
      </c>
      <c r="C614" t="s">
        <v>1473</v>
      </c>
      <c r="D614">
        <f>VLOOKUP($C614,'2000 Place'!$C$2:$Y$523,5,FALSE)</f>
        <v>201</v>
      </c>
      <c r="E614">
        <f>VLOOKUP($C614,'2000 Place'!$C$2:$Y$523,6,FALSE)</f>
        <v>198</v>
      </c>
      <c r="F614">
        <f>VLOOKUP($C614,'2000 Place'!$C$2:$Y$523,7,FALSE)</f>
        <v>3</v>
      </c>
      <c r="G614">
        <f>VLOOKUP($C614,'2000 Place'!$C$2:$Y$523,8,FALSE)</f>
        <v>164</v>
      </c>
      <c r="H614">
        <f>VLOOKUP($C614,'2000 Place'!$C$2:$Y$523,9,FALSE)</f>
        <v>3</v>
      </c>
      <c r="I614">
        <f>VLOOKUP($C614,'2000 Place'!$C$2:$Y$523,10,FALSE)</f>
        <v>33</v>
      </c>
      <c r="J614">
        <f>VLOOKUP($C614,'2000 Place'!$C$2:$Y$523,11,FALSE)</f>
        <v>0</v>
      </c>
      <c r="K614">
        <f>VLOOKUP($C614,'2000 Place'!$C$2:$Y$523,12,FALSE)</f>
        <v>0</v>
      </c>
      <c r="L614">
        <f>VLOOKUP($C614,'2000 Place'!$C$2:$Y$523,13,FALSE)</f>
        <v>0</v>
      </c>
      <c r="M614">
        <f>VLOOKUP($C614,'2000 Place'!$C$2:$Y$523,14,FALSE)</f>
        <v>0</v>
      </c>
      <c r="N614">
        <f>VLOOKUP($C614,'2000 Place'!$C$2:$Y$523,15,FALSE)</f>
        <v>0</v>
      </c>
      <c r="O614">
        <f>VLOOKUP($C614,'2000 Place'!$C$2:$Y$523,16,FALSE)</f>
        <v>1</v>
      </c>
      <c r="P614">
        <f>VLOOKUP($C614,'2000 Place'!$C$2:$Y$523,17,FALSE)</f>
        <v>0</v>
      </c>
      <c r="Q614">
        <f>VLOOKUP($C614,'2000 Place'!$C$2:$Y$523,18,FALSE)</f>
        <v>0</v>
      </c>
      <c r="R614">
        <f>VLOOKUP($C614,'2000 Place'!$C$2:$Y$523,19,FALSE)</f>
        <v>0</v>
      </c>
      <c r="S614">
        <f>VLOOKUP($C614,'2000 Place'!$C$2:$Y$523,20,FALSE)</f>
        <v>0</v>
      </c>
      <c r="T614">
        <f>VLOOKUP($C614,'2000 Place'!$C$2:$Y$523,21,FALSE)</f>
        <v>0</v>
      </c>
      <c r="U614">
        <f>VLOOKUP($C614,'2000 Place'!$C$2:$Y$523,22,FALSE)</f>
        <v>0</v>
      </c>
      <c r="V614">
        <f>VLOOKUP($C614,'2000 Place'!$C$2:$Y$523,23,FALSE)</f>
        <v>0</v>
      </c>
    </row>
    <row r="615" spans="1:22" x14ac:dyDescent="0.25">
      <c r="A615" t="s">
        <v>1474</v>
      </c>
      <c r="B615">
        <v>5379275</v>
      </c>
      <c r="C615" t="s">
        <v>1475</v>
      </c>
      <c r="D615">
        <f>VLOOKUP($C615,'2000 Place'!$C$2:$Y$523,5,FALSE)</f>
        <v>1135</v>
      </c>
      <c r="E615">
        <f>VLOOKUP($C615,'2000 Place'!$C$2:$Y$523,6,FALSE)</f>
        <v>1065</v>
      </c>
      <c r="F615">
        <f>VLOOKUP($C615,'2000 Place'!$C$2:$Y$523,7,FALSE)</f>
        <v>70</v>
      </c>
      <c r="G615">
        <f>VLOOKUP($C615,'2000 Place'!$C$2:$Y$523,8,FALSE)</f>
        <v>979</v>
      </c>
      <c r="H615">
        <f>VLOOKUP($C615,'2000 Place'!$C$2:$Y$523,9,FALSE)</f>
        <v>17</v>
      </c>
      <c r="I615">
        <f>VLOOKUP($C615,'2000 Place'!$C$2:$Y$523,10,FALSE)</f>
        <v>14</v>
      </c>
      <c r="J615">
        <f>VLOOKUP($C615,'2000 Place'!$C$2:$Y$523,11,FALSE)</f>
        <v>8</v>
      </c>
      <c r="K615">
        <f>VLOOKUP($C615,'2000 Place'!$C$2:$Y$523,12,FALSE)</f>
        <v>0</v>
      </c>
      <c r="L615">
        <f>VLOOKUP($C615,'2000 Place'!$C$2:$Y$523,13,FALSE)</f>
        <v>0</v>
      </c>
      <c r="M615">
        <f>VLOOKUP($C615,'2000 Place'!$C$2:$Y$523,14,FALSE)</f>
        <v>3</v>
      </c>
      <c r="N615">
        <f>VLOOKUP($C615,'2000 Place'!$C$2:$Y$523,15,FALSE)</f>
        <v>0</v>
      </c>
      <c r="O615">
        <f>VLOOKUP($C615,'2000 Place'!$C$2:$Y$523,16,FALSE)</f>
        <v>2</v>
      </c>
      <c r="P615">
        <f>VLOOKUP($C615,'2000 Place'!$C$2:$Y$523,17,FALSE)</f>
        <v>5</v>
      </c>
      <c r="Q615">
        <f>VLOOKUP($C615,'2000 Place'!$C$2:$Y$523,18,FALSE)</f>
        <v>0</v>
      </c>
      <c r="R615">
        <f>VLOOKUP($C615,'2000 Place'!$C$2:$Y$523,19,FALSE)</f>
        <v>0</v>
      </c>
      <c r="S615">
        <f>VLOOKUP($C615,'2000 Place'!$C$2:$Y$523,20,FALSE)</f>
        <v>26</v>
      </c>
      <c r="T615">
        <f>VLOOKUP($C615,'2000 Place'!$C$2:$Y$523,21,FALSE)</f>
        <v>37</v>
      </c>
      <c r="U615">
        <f>VLOOKUP($C615,'2000 Place'!$C$2:$Y$523,22,FALSE)</f>
        <v>41</v>
      </c>
      <c r="V615">
        <f>VLOOKUP($C615,'2000 Place'!$C$2:$Y$523,23,FALSE)</f>
        <v>3</v>
      </c>
    </row>
    <row r="616" spans="1:22" x14ac:dyDescent="0.25">
      <c r="A616" t="s">
        <v>1476</v>
      </c>
      <c r="B616">
        <v>5379380</v>
      </c>
      <c r="C616" t="s">
        <v>1477</v>
      </c>
      <c r="D616">
        <f>VLOOKUP($C616,'2000 Place'!$C$2:$Y$523,5,FALSE)</f>
        <v>324</v>
      </c>
      <c r="E616">
        <f>VLOOKUP($C616,'2000 Place'!$C$2:$Y$523,6,FALSE)</f>
        <v>318</v>
      </c>
      <c r="F616">
        <f>VLOOKUP($C616,'2000 Place'!$C$2:$Y$523,7,FALSE)</f>
        <v>6</v>
      </c>
      <c r="G616">
        <f>VLOOKUP($C616,'2000 Place'!$C$2:$Y$523,8,FALSE)</f>
        <v>314</v>
      </c>
      <c r="H616">
        <f>VLOOKUP($C616,'2000 Place'!$C$2:$Y$523,9,FALSE)</f>
        <v>6</v>
      </c>
      <c r="I616">
        <f>VLOOKUP($C616,'2000 Place'!$C$2:$Y$523,10,FALSE)</f>
        <v>0</v>
      </c>
      <c r="J616">
        <f>VLOOKUP($C616,'2000 Place'!$C$2:$Y$523,11,FALSE)</f>
        <v>0</v>
      </c>
      <c r="K616">
        <f>VLOOKUP($C616,'2000 Place'!$C$2:$Y$523,12,FALSE)</f>
        <v>0</v>
      </c>
      <c r="L616">
        <f>VLOOKUP($C616,'2000 Place'!$C$2:$Y$523,13,FALSE)</f>
        <v>0</v>
      </c>
      <c r="M616">
        <f>VLOOKUP($C616,'2000 Place'!$C$2:$Y$523,14,FALSE)</f>
        <v>0</v>
      </c>
      <c r="N616">
        <f>VLOOKUP($C616,'2000 Place'!$C$2:$Y$523,15,FALSE)</f>
        <v>0</v>
      </c>
      <c r="O616">
        <f>VLOOKUP($C616,'2000 Place'!$C$2:$Y$523,16,FALSE)</f>
        <v>0</v>
      </c>
      <c r="P616">
        <f>VLOOKUP($C616,'2000 Place'!$C$2:$Y$523,17,FALSE)</f>
        <v>0</v>
      </c>
      <c r="Q616">
        <f>VLOOKUP($C616,'2000 Place'!$C$2:$Y$523,18,FALSE)</f>
        <v>0</v>
      </c>
      <c r="R616">
        <f>VLOOKUP($C616,'2000 Place'!$C$2:$Y$523,19,FALSE)</f>
        <v>0</v>
      </c>
      <c r="S616">
        <f>VLOOKUP($C616,'2000 Place'!$C$2:$Y$523,20,FALSE)</f>
        <v>0</v>
      </c>
      <c r="T616">
        <f>VLOOKUP($C616,'2000 Place'!$C$2:$Y$523,21,FALSE)</f>
        <v>0</v>
      </c>
      <c r="U616">
        <f>VLOOKUP($C616,'2000 Place'!$C$2:$Y$523,22,FALSE)</f>
        <v>4</v>
      </c>
      <c r="V616">
        <f>VLOOKUP($C616,'2000 Place'!$C$2:$Y$523,23,FALSE)</f>
        <v>0</v>
      </c>
    </row>
    <row r="617" spans="1:22" x14ac:dyDescent="0.25">
      <c r="A617" t="s">
        <v>1478</v>
      </c>
      <c r="B617">
        <v>5379485</v>
      </c>
      <c r="C617" t="s">
        <v>1479</v>
      </c>
      <c r="D617">
        <f>VLOOKUP($C617,'2000 Place'!$C$2:$Y$523,5,FALSE)</f>
        <v>291</v>
      </c>
      <c r="E617">
        <f>VLOOKUP($C617,'2000 Place'!$C$2:$Y$523,6,FALSE)</f>
        <v>286</v>
      </c>
      <c r="F617">
        <f>VLOOKUP($C617,'2000 Place'!$C$2:$Y$523,7,FALSE)</f>
        <v>5</v>
      </c>
      <c r="G617">
        <f>VLOOKUP($C617,'2000 Place'!$C$2:$Y$523,8,FALSE)</f>
        <v>233</v>
      </c>
      <c r="H617">
        <f>VLOOKUP($C617,'2000 Place'!$C$2:$Y$523,9,FALSE)</f>
        <v>3</v>
      </c>
      <c r="I617">
        <f>VLOOKUP($C617,'2000 Place'!$C$2:$Y$523,10,FALSE)</f>
        <v>0</v>
      </c>
      <c r="J617">
        <f>VLOOKUP($C617,'2000 Place'!$C$2:$Y$523,11,FALSE)</f>
        <v>0</v>
      </c>
      <c r="K617">
        <f>VLOOKUP($C617,'2000 Place'!$C$2:$Y$523,12,FALSE)</f>
        <v>0</v>
      </c>
      <c r="L617">
        <f>VLOOKUP($C617,'2000 Place'!$C$2:$Y$523,13,FALSE)</f>
        <v>0</v>
      </c>
      <c r="M617">
        <f>VLOOKUP($C617,'2000 Place'!$C$2:$Y$523,14,FALSE)</f>
        <v>29</v>
      </c>
      <c r="N617">
        <f>VLOOKUP($C617,'2000 Place'!$C$2:$Y$523,15,FALSE)</f>
        <v>0</v>
      </c>
      <c r="O617">
        <f>VLOOKUP($C617,'2000 Place'!$C$2:$Y$523,16,FALSE)</f>
        <v>0</v>
      </c>
      <c r="P617">
        <f>VLOOKUP($C617,'2000 Place'!$C$2:$Y$523,17,FALSE)</f>
        <v>2</v>
      </c>
      <c r="Q617">
        <f>VLOOKUP($C617,'2000 Place'!$C$2:$Y$523,18,FALSE)</f>
        <v>0</v>
      </c>
      <c r="R617">
        <f>VLOOKUP($C617,'2000 Place'!$C$2:$Y$523,19,FALSE)</f>
        <v>0</v>
      </c>
      <c r="S617">
        <f>VLOOKUP($C617,'2000 Place'!$C$2:$Y$523,20,FALSE)</f>
        <v>11</v>
      </c>
      <c r="T617">
        <f>VLOOKUP($C617,'2000 Place'!$C$2:$Y$523,21,FALSE)</f>
        <v>0</v>
      </c>
      <c r="U617">
        <f>VLOOKUP($C617,'2000 Place'!$C$2:$Y$523,22,FALSE)</f>
        <v>13</v>
      </c>
      <c r="V617">
        <f>VLOOKUP($C617,'2000 Place'!$C$2:$Y$523,23,FALSE)</f>
        <v>0</v>
      </c>
    </row>
    <row r="618" spans="1:22" x14ac:dyDescent="0.25">
      <c r="A618" t="s">
        <v>1480</v>
      </c>
      <c r="B618">
        <v>5379555</v>
      </c>
      <c r="C618" t="s">
        <v>1481</v>
      </c>
      <c r="D618" t="e">
        <f>VLOOKUP($C618,'2000 Place'!$C$2:$Y$523,5,FALSE)</f>
        <v>#N/A</v>
      </c>
      <c r="E618" t="e">
        <f>VLOOKUP($C618,'2000 Place'!$C$2:$Y$523,6,FALSE)</f>
        <v>#N/A</v>
      </c>
      <c r="F618" t="e">
        <f>VLOOKUP($C618,'2000 Place'!$C$2:$Y$523,7,FALSE)</f>
        <v>#N/A</v>
      </c>
      <c r="G618" t="e">
        <f>VLOOKUP($C618,'2000 Place'!$C$2:$Y$523,8,FALSE)</f>
        <v>#N/A</v>
      </c>
      <c r="H618" t="e">
        <f>VLOOKUP($C618,'2000 Place'!$C$2:$Y$523,9,FALSE)</f>
        <v>#N/A</v>
      </c>
      <c r="I618" t="e">
        <f>VLOOKUP($C618,'2000 Place'!$C$2:$Y$523,10,FALSE)</f>
        <v>#N/A</v>
      </c>
      <c r="J618" t="e">
        <f>VLOOKUP($C618,'2000 Place'!$C$2:$Y$523,11,FALSE)</f>
        <v>#N/A</v>
      </c>
      <c r="K618" t="e">
        <f>VLOOKUP($C618,'2000 Place'!$C$2:$Y$523,12,FALSE)</f>
        <v>#N/A</v>
      </c>
      <c r="L618" t="e">
        <f>VLOOKUP($C618,'2000 Place'!$C$2:$Y$523,13,FALSE)</f>
        <v>#N/A</v>
      </c>
      <c r="M618" t="e">
        <f>VLOOKUP($C618,'2000 Place'!$C$2:$Y$523,14,FALSE)</f>
        <v>#N/A</v>
      </c>
      <c r="N618" t="e">
        <f>VLOOKUP($C618,'2000 Place'!$C$2:$Y$523,15,FALSE)</f>
        <v>#N/A</v>
      </c>
      <c r="O618" t="e">
        <f>VLOOKUP($C618,'2000 Place'!$C$2:$Y$523,16,FALSE)</f>
        <v>#N/A</v>
      </c>
      <c r="P618" t="e">
        <f>VLOOKUP($C618,'2000 Place'!$C$2:$Y$523,17,FALSE)</f>
        <v>#N/A</v>
      </c>
      <c r="Q618" t="e">
        <f>VLOOKUP($C618,'2000 Place'!$C$2:$Y$523,18,FALSE)</f>
        <v>#N/A</v>
      </c>
      <c r="R618" t="e">
        <f>VLOOKUP($C618,'2000 Place'!$C$2:$Y$523,19,FALSE)</f>
        <v>#N/A</v>
      </c>
      <c r="S618" t="e">
        <f>VLOOKUP($C618,'2000 Place'!$C$2:$Y$523,20,FALSE)</f>
        <v>#N/A</v>
      </c>
      <c r="T618" t="e">
        <f>VLOOKUP($C618,'2000 Place'!$C$2:$Y$523,21,FALSE)</f>
        <v>#N/A</v>
      </c>
      <c r="U618" t="e">
        <f>VLOOKUP($C618,'2000 Place'!$C$2:$Y$523,22,FALSE)</f>
        <v>#N/A</v>
      </c>
      <c r="V618" t="e">
        <f>VLOOKUP($C618,'2000 Place'!$C$2:$Y$523,23,FALSE)</f>
        <v>#N/A</v>
      </c>
    </row>
    <row r="619" spans="1:22" x14ac:dyDescent="0.25">
      <c r="A619" t="s">
        <v>1482</v>
      </c>
      <c r="B619">
        <v>5379590</v>
      </c>
      <c r="C619" t="s">
        <v>1483</v>
      </c>
      <c r="D619">
        <f>VLOOKUP($C619,'2000 Place'!$C$2:$Y$523,5,FALSE)</f>
        <v>9445</v>
      </c>
      <c r="E619">
        <f>VLOOKUP($C619,'2000 Place'!$C$2:$Y$523,6,FALSE)</f>
        <v>8039</v>
      </c>
      <c r="F619">
        <f>VLOOKUP($C619,'2000 Place'!$C$2:$Y$523,7,FALSE)</f>
        <v>1406</v>
      </c>
      <c r="G619">
        <f>VLOOKUP($C619,'2000 Place'!$C$2:$Y$523,8,FALSE)</f>
        <v>7019</v>
      </c>
      <c r="H619">
        <f>VLOOKUP($C619,'2000 Place'!$C$2:$Y$523,9,FALSE)</f>
        <v>508</v>
      </c>
      <c r="I619">
        <f>VLOOKUP($C619,'2000 Place'!$C$2:$Y$523,10,FALSE)</f>
        <v>120</v>
      </c>
      <c r="J619">
        <f>VLOOKUP($C619,'2000 Place'!$C$2:$Y$523,11,FALSE)</f>
        <v>165</v>
      </c>
      <c r="K619">
        <f>VLOOKUP($C619,'2000 Place'!$C$2:$Y$523,12,FALSE)</f>
        <v>101</v>
      </c>
      <c r="L619">
        <f>VLOOKUP($C619,'2000 Place'!$C$2:$Y$523,13,FALSE)</f>
        <v>0</v>
      </c>
      <c r="M619">
        <f>VLOOKUP($C619,'2000 Place'!$C$2:$Y$523,14,FALSE)</f>
        <v>52</v>
      </c>
      <c r="N619">
        <f>VLOOKUP($C619,'2000 Place'!$C$2:$Y$523,15,FALSE)</f>
        <v>0</v>
      </c>
      <c r="O619">
        <f>VLOOKUP($C619,'2000 Place'!$C$2:$Y$523,16,FALSE)</f>
        <v>355</v>
      </c>
      <c r="P619">
        <f>VLOOKUP($C619,'2000 Place'!$C$2:$Y$523,17,FALSE)</f>
        <v>402</v>
      </c>
      <c r="Q619">
        <f>VLOOKUP($C619,'2000 Place'!$C$2:$Y$523,18,FALSE)</f>
        <v>7</v>
      </c>
      <c r="R619">
        <f>VLOOKUP($C619,'2000 Place'!$C$2:$Y$523,19,FALSE)</f>
        <v>0</v>
      </c>
      <c r="S619">
        <f>VLOOKUP($C619,'2000 Place'!$C$2:$Y$523,20,FALSE)</f>
        <v>80</v>
      </c>
      <c r="T619">
        <f>VLOOKUP($C619,'2000 Place'!$C$2:$Y$523,21,FALSE)</f>
        <v>250</v>
      </c>
      <c r="U619">
        <f>VLOOKUP($C619,'2000 Place'!$C$2:$Y$523,22,FALSE)</f>
        <v>305</v>
      </c>
      <c r="V619">
        <f>VLOOKUP($C619,'2000 Place'!$C$2:$Y$523,23,FALSE)</f>
        <v>81</v>
      </c>
    </row>
    <row r="620" spans="1:22" x14ac:dyDescent="0.25">
      <c r="A620" t="s">
        <v>1484</v>
      </c>
      <c r="B620">
        <v>5379625</v>
      </c>
      <c r="C620" t="s">
        <v>1485</v>
      </c>
      <c r="D620">
        <f>VLOOKUP($C620,'2000 Place'!$C$2:$Y$523,5,FALSE)</f>
        <v>3790</v>
      </c>
      <c r="E620">
        <f>VLOOKUP($C620,'2000 Place'!$C$2:$Y$523,6,FALSE)</f>
        <v>3652</v>
      </c>
      <c r="F620">
        <f>VLOOKUP($C620,'2000 Place'!$C$2:$Y$523,7,FALSE)</f>
        <v>138</v>
      </c>
      <c r="G620">
        <f>VLOOKUP($C620,'2000 Place'!$C$2:$Y$523,8,FALSE)</f>
        <v>3367</v>
      </c>
      <c r="H620">
        <f>VLOOKUP($C620,'2000 Place'!$C$2:$Y$523,9,FALSE)</f>
        <v>50</v>
      </c>
      <c r="I620">
        <f>VLOOKUP($C620,'2000 Place'!$C$2:$Y$523,10,FALSE)</f>
        <v>80</v>
      </c>
      <c r="J620">
        <f>VLOOKUP($C620,'2000 Place'!$C$2:$Y$523,11,FALSE)</f>
        <v>54</v>
      </c>
      <c r="K620">
        <f>VLOOKUP($C620,'2000 Place'!$C$2:$Y$523,12,FALSE)</f>
        <v>0</v>
      </c>
      <c r="L620">
        <f>VLOOKUP($C620,'2000 Place'!$C$2:$Y$523,13,FALSE)</f>
        <v>0</v>
      </c>
      <c r="M620">
        <f>VLOOKUP($C620,'2000 Place'!$C$2:$Y$523,14,FALSE)</f>
        <v>92</v>
      </c>
      <c r="N620">
        <f>VLOOKUP($C620,'2000 Place'!$C$2:$Y$523,15,FALSE)</f>
        <v>0</v>
      </c>
      <c r="O620">
        <f>VLOOKUP($C620,'2000 Place'!$C$2:$Y$523,16,FALSE)</f>
        <v>0</v>
      </c>
      <c r="P620">
        <f>VLOOKUP($C620,'2000 Place'!$C$2:$Y$523,17,FALSE)</f>
        <v>0</v>
      </c>
      <c r="Q620">
        <f>VLOOKUP($C620,'2000 Place'!$C$2:$Y$523,18,FALSE)</f>
        <v>6</v>
      </c>
      <c r="R620">
        <f>VLOOKUP($C620,'2000 Place'!$C$2:$Y$523,19,FALSE)</f>
        <v>0</v>
      </c>
      <c r="S620">
        <f>VLOOKUP($C620,'2000 Place'!$C$2:$Y$523,20,FALSE)</f>
        <v>16</v>
      </c>
      <c r="T620">
        <f>VLOOKUP($C620,'2000 Place'!$C$2:$Y$523,21,FALSE)</f>
        <v>34</v>
      </c>
      <c r="U620">
        <f>VLOOKUP($C620,'2000 Place'!$C$2:$Y$523,22,FALSE)</f>
        <v>91</v>
      </c>
      <c r="V620">
        <f>VLOOKUP($C620,'2000 Place'!$C$2:$Y$523,23,FALSE)</f>
        <v>0</v>
      </c>
    </row>
    <row r="621" spans="1:22" x14ac:dyDescent="0.25">
      <c r="A621" t="s">
        <v>1486</v>
      </c>
      <c r="B621">
        <v>5379825</v>
      </c>
      <c r="C621" t="s">
        <v>1487</v>
      </c>
      <c r="D621">
        <f>VLOOKUP($C621,'2000 Place'!$C$2:$Y$523,5,FALSE)</f>
        <v>4515</v>
      </c>
      <c r="E621">
        <f>VLOOKUP($C621,'2000 Place'!$C$2:$Y$523,6,FALSE)</f>
        <v>4287</v>
      </c>
      <c r="F621">
        <f>VLOOKUP($C621,'2000 Place'!$C$2:$Y$523,7,FALSE)</f>
        <v>228</v>
      </c>
      <c r="G621">
        <f>VLOOKUP($C621,'2000 Place'!$C$2:$Y$523,8,FALSE)</f>
        <v>4049</v>
      </c>
      <c r="H621">
        <f>VLOOKUP($C621,'2000 Place'!$C$2:$Y$523,9,FALSE)</f>
        <v>123</v>
      </c>
      <c r="I621">
        <f>VLOOKUP($C621,'2000 Place'!$C$2:$Y$523,10,FALSE)</f>
        <v>129</v>
      </c>
      <c r="J621">
        <f>VLOOKUP($C621,'2000 Place'!$C$2:$Y$523,11,FALSE)</f>
        <v>17</v>
      </c>
      <c r="K621">
        <f>VLOOKUP($C621,'2000 Place'!$C$2:$Y$523,12,FALSE)</f>
        <v>0</v>
      </c>
      <c r="L621">
        <f>VLOOKUP($C621,'2000 Place'!$C$2:$Y$523,13,FALSE)</f>
        <v>17</v>
      </c>
      <c r="M621">
        <f>VLOOKUP($C621,'2000 Place'!$C$2:$Y$523,14,FALSE)</f>
        <v>13</v>
      </c>
      <c r="N621">
        <f>VLOOKUP($C621,'2000 Place'!$C$2:$Y$523,15,FALSE)</f>
        <v>0</v>
      </c>
      <c r="O621">
        <f>VLOOKUP($C621,'2000 Place'!$C$2:$Y$523,16,FALSE)</f>
        <v>10</v>
      </c>
      <c r="P621">
        <f>VLOOKUP($C621,'2000 Place'!$C$2:$Y$523,17,FALSE)</f>
        <v>32</v>
      </c>
      <c r="Q621">
        <f>VLOOKUP($C621,'2000 Place'!$C$2:$Y$523,18,FALSE)</f>
        <v>0</v>
      </c>
      <c r="R621">
        <f>VLOOKUP($C621,'2000 Place'!$C$2:$Y$523,19,FALSE)</f>
        <v>0</v>
      </c>
      <c r="S621">
        <f>VLOOKUP($C621,'2000 Place'!$C$2:$Y$523,20,FALSE)</f>
        <v>5</v>
      </c>
      <c r="T621">
        <f>VLOOKUP($C621,'2000 Place'!$C$2:$Y$523,21,FALSE)</f>
        <v>20</v>
      </c>
      <c r="U621">
        <f>VLOOKUP($C621,'2000 Place'!$C$2:$Y$523,22,FALSE)</f>
        <v>81</v>
      </c>
      <c r="V621">
        <f>VLOOKUP($C621,'2000 Place'!$C$2:$Y$523,23,FALSE)</f>
        <v>19</v>
      </c>
    </row>
    <row r="622" spans="1:22" x14ac:dyDescent="0.25">
      <c r="A622" t="s">
        <v>1488</v>
      </c>
      <c r="B622">
        <v>5379835</v>
      </c>
      <c r="C622" t="s">
        <v>1489</v>
      </c>
      <c r="D622">
        <f>VLOOKUP($C622,'2000 Place'!$C$2:$Y$523,5,FALSE)</f>
        <v>937</v>
      </c>
      <c r="E622">
        <f>VLOOKUP($C622,'2000 Place'!$C$2:$Y$523,6,FALSE)</f>
        <v>875</v>
      </c>
      <c r="F622">
        <f>VLOOKUP($C622,'2000 Place'!$C$2:$Y$523,7,FALSE)</f>
        <v>62</v>
      </c>
      <c r="G622">
        <f>VLOOKUP($C622,'2000 Place'!$C$2:$Y$523,8,FALSE)</f>
        <v>821</v>
      </c>
      <c r="H622">
        <f>VLOOKUP($C622,'2000 Place'!$C$2:$Y$523,9,FALSE)</f>
        <v>52</v>
      </c>
      <c r="I622">
        <f>VLOOKUP($C622,'2000 Place'!$C$2:$Y$523,10,FALSE)</f>
        <v>0</v>
      </c>
      <c r="J622">
        <f>VLOOKUP($C622,'2000 Place'!$C$2:$Y$523,11,FALSE)</f>
        <v>0</v>
      </c>
      <c r="K622">
        <f>VLOOKUP($C622,'2000 Place'!$C$2:$Y$523,12,FALSE)</f>
        <v>0</v>
      </c>
      <c r="L622">
        <f>VLOOKUP($C622,'2000 Place'!$C$2:$Y$523,13,FALSE)</f>
        <v>0</v>
      </c>
      <c r="M622">
        <f>VLOOKUP($C622,'2000 Place'!$C$2:$Y$523,14,FALSE)</f>
        <v>2</v>
      </c>
      <c r="N622">
        <f>VLOOKUP($C622,'2000 Place'!$C$2:$Y$523,15,FALSE)</f>
        <v>0</v>
      </c>
      <c r="O622">
        <f>VLOOKUP($C622,'2000 Place'!$C$2:$Y$523,16,FALSE)</f>
        <v>38</v>
      </c>
      <c r="P622">
        <f>VLOOKUP($C622,'2000 Place'!$C$2:$Y$523,17,FALSE)</f>
        <v>5</v>
      </c>
      <c r="Q622">
        <f>VLOOKUP($C622,'2000 Place'!$C$2:$Y$523,18,FALSE)</f>
        <v>0</v>
      </c>
      <c r="R622">
        <f>VLOOKUP($C622,'2000 Place'!$C$2:$Y$523,19,FALSE)</f>
        <v>0</v>
      </c>
      <c r="S622">
        <f>VLOOKUP($C622,'2000 Place'!$C$2:$Y$523,20,FALSE)</f>
        <v>4</v>
      </c>
      <c r="T622">
        <f>VLOOKUP($C622,'2000 Place'!$C$2:$Y$523,21,FALSE)</f>
        <v>5</v>
      </c>
      <c r="U622">
        <f>VLOOKUP($C622,'2000 Place'!$C$2:$Y$523,22,FALSE)</f>
        <v>10</v>
      </c>
      <c r="V622">
        <f>VLOOKUP($C622,'2000 Place'!$C$2:$Y$523,23,FALSE)</f>
        <v>0</v>
      </c>
    </row>
    <row r="623" spans="1:22" x14ac:dyDescent="0.25">
      <c r="A623" t="s">
        <v>1490</v>
      </c>
      <c r="B623">
        <v>5379975</v>
      </c>
      <c r="C623" t="s">
        <v>1491</v>
      </c>
      <c r="D623">
        <f>VLOOKUP($C623,'2000 Place'!$C$2:$Y$523,5,FALSE)</f>
        <v>1098</v>
      </c>
      <c r="E623">
        <f>VLOOKUP($C623,'2000 Place'!$C$2:$Y$523,6,FALSE)</f>
        <v>1050</v>
      </c>
      <c r="F623">
        <f>VLOOKUP($C623,'2000 Place'!$C$2:$Y$523,7,FALSE)</f>
        <v>48</v>
      </c>
      <c r="G623">
        <f>VLOOKUP($C623,'2000 Place'!$C$2:$Y$523,8,FALSE)</f>
        <v>960</v>
      </c>
      <c r="H623">
        <f>VLOOKUP($C623,'2000 Place'!$C$2:$Y$523,9,FALSE)</f>
        <v>44</v>
      </c>
      <c r="I623">
        <f>VLOOKUP($C623,'2000 Place'!$C$2:$Y$523,10,FALSE)</f>
        <v>10</v>
      </c>
      <c r="J623">
        <f>VLOOKUP($C623,'2000 Place'!$C$2:$Y$523,11,FALSE)</f>
        <v>1</v>
      </c>
      <c r="K623">
        <f>VLOOKUP($C623,'2000 Place'!$C$2:$Y$523,12,FALSE)</f>
        <v>5</v>
      </c>
      <c r="L623">
        <f>VLOOKUP($C623,'2000 Place'!$C$2:$Y$523,13,FALSE)</f>
        <v>0</v>
      </c>
      <c r="M623">
        <f>VLOOKUP($C623,'2000 Place'!$C$2:$Y$523,14,FALSE)</f>
        <v>4</v>
      </c>
      <c r="N623">
        <f>VLOOKUP($C623,'2000 Place'!$C$2:$Y$523,15,FALSE)</f>
        <v>0</v>
      </c>
      <c r="O623">
        <f>VLOOKUP($C623,'2000 Place'!$C$2:$Y$523,16,FALSE)</f>
        <v>1</v>
      </c>
      <c r="P623">
        <f>VLOOKUP($C623,'2000 Place'!$C$2:$Y$523,17,FALSE)</f>
        <v>1</v>
      </c>
      <c r="Q623">
        <f>VLOOKUP($C623,'2000 Place'!$C$2:$Y$523,18,FALSE)</f>
        <v>3</v>
      </c>
      <c r="R623">
        <f>VLOOKUP($C623,'2000 Place'!$C$2:$Y$523,19,FALSE)</f>
        <v>2</v>
      </c>
      <c r="S623">
        <f>VLOOKUP($C623,'2000 Place'!$C$2:$Y$523,20,FALSE)</f>
        <v>8</v>
      </c>
      <c r="T623">
        <f>VLOOKUP($C623,'2000 Place'!$C$2:$Y$523,21,FALSE)</f>
        <v>0</v>
      </c>
      <c r="U623">
        <f>VLOOKUP($C623,'2000 Place'!$C$2:$Y$523,22,FALSE)</f>
        <v>59</v>
      </c>
      <c r="V623">
        <f>VLOOKUP($C623,'2000 Place'!$C$2:$Y$523,23,FALSE)</f>
        <v>0</v>
      </c>
    </row>
    <row r="624" spans="1:22" x14ac:dyDescent="0.25">
      <c r="A624" t="s">
        <v>1492</v>
      </c>
      <c r="B624">
        <v>5380010</v>
      </c>
      <c r="C624" t="s">
        <v>1493</v>
      </c>
      <c r="D624">
        <f>VLOOKUP($C624,'2000 Place'!$C$2:$Y$523,5,FALSE)</f>
        <v>72294</v>
      </c>
      <c r="E624">
        <f>VLOOKUP($C624,'2000 Place'!$C$2:$Y$523,6,FALSE)</f>
        <v>59140</v>
      </c>
      <c r="F624">
        <f>VLOOKUP($C624,'2000 Place'!$C$2:$Y$523,7,FALSE)</f>
        <v>13154</v>
      </c>
      <c r="G624">
        <f>VLOOKUP($C624,'2000 Place'!$C$2:$Y$523,8,FALSE)</f>
        <v>42113</v>
      </c>
      <c r="H624">
        <f>VLOOKUP($C624,'2000 Place'!$C$2:$Y$523,9,FALSE)</f>
        <v>1212</v>
      </c>
      <c r="I624">
        <f>VLOOKUP($C624,'2000 Place'!$C$2:$Y$523,10,FALSE)</f>
        <v>3482</v>
      </c>
      <c r="J624">
        <f>VLOOKUP($C624,'2000 Place'!$C$2:$Y$523,11,FALSE)</f>
        <v>3067</v>
      </c>
      <c r="K624">
        <f>VLOOKUP($C624,'2000 Place'!$C$2:$Y$523,12,FALSE)</f>
        <v>1246</v>
      </c>
      <c r="L624">
        <f>VLOOKUP($C624,'2000 Place'!$C$2:$Y$523,13,FALSE)</f>
        <v>41</v>
      </c>
      <c r="M624">
        <f>VLOOKUP($C624,'2000 Place'!$C$2:$Y$523,14,FALSE)</f>
        <v>1279</v>
      </c>
      <c r="N624">
        <f>VLOOKUP($C624,'2000 Place'!$C$2:$Y$523,15,FALSE)</f>
        <v>81</v>
      </c>
      <c r="O624">
        <f>VLOOKUP($C624,'2000 Place'!$C$2:$Y$523,16,FALSE)</f>
        <v>306</v>
      </c>
      <c r="P624">
        <f>VLOOKUP($C624,'2000 Place'!$C$2:$Y$523,17,FALSE)</f>
        <v>485</v>
      </c>
      <c r="Q624">
        <f>VLOOKUP($C624,'2000 Place'!$C$2:$Y$523,18,FALSE)</f>
        <v>44</v>
      </c>
      <c r="R624">
        <f>VLOOKUP($C624,'2000 Place'!$C$2:$Y$523,19,FALSE)</f>
        <v>26</v>
      </c>
      <c r="S624">
        <f>VLOOKUP($C624,'2000 Place'!$C$2:$Y$523,20,FALSE)</f>
        <v>8371</v>
      </c>
      <c r="T624">
        <f>VLOOKUP($C624,'2000 Place'!$C$2:$Y$523,21,FALSE)</f>
        <v>7661</v>
      </c>
      <c r="U624">
        <f>VLOOKUP($C624,'2000 Place'!$C$2:$Y$523,22,FALSE)</f>
        <v>2299</v>
      </c>
      <c r="V624">
        <f>VLOOKUP($C624,'2000 Place'!$C$2:$Y$523,23,FALSE)</f>
        <v>581</v>
      </c>
    </row>
    <row r="625" spans="1:22" x14ac:dyDescent="0.25">
      <c r="A625" t="s">
        <v>1494</v>
      </c>
      <c r="B625">
        <v>5380150</v>
      </c>
      <c r="C625" t="s">
        <v>1495</v>
      </c>
      <c r="D625">
        <f>VLOOKUP($C625,'2000 Place'!$C$2:$Y$523,5,FALSE)</f>
        <v>1007</v>
      </c>
      <c r="E625">
        <f>VLOOKUP($C625,'2000 Place'!$C$2:$Y$523,6,FALSE)</f>
        <v>932</v>
      </c>
      <c r="F625">
        <f>VLOOKUP($C625,'2000 Place'!$C$2:$Y$523,7,FALSE)</f>
        <v>75</v>
      </c>
      <c r="G625">
        <f>VLOOKUP($C625,'2000 Place'!$C$2:$Y$523,8,FALSE)</f>
        <v>883</v>
      </c>
      <c r="H625">
        <f>VLOOKUP($C625,'2000 Place'!$C$2:$Y$523,9,FALSE)</f>
        <v>57</v>
      </c>
      <c r="I625">
        <f>VLOOKUP($C625,'2000 Place'!$C$2:$Y$523,10,FALSE)</f>
        <v>9</v>
      </c>
      <c r="J625">
        <f>VLOOKUP($C625,'2000 Place'!$C$2:$Y$523,11,FALSE)</f>
        <v>2</v>
      </c>
      <c r="K625">
        <f>VLOOKUP($C625,'2000 Place'!$C$2:$Y$523,12,FALSE)</f>
        <v>3</v>
      </c>
      <c r="L625">
        <f>VLOOKUP($C625,'2000 Place'!$C$2:$Y$523,13,FALSE)</f>
        <v>3</v>
      </c>
      <c r="M625">
        <f>VLOOKUP($C625,'2000 Place'!$C$2:$Y$523,14,FALSE)</f>
        <v>0</v>
      </c>
      <c r="N625">
        <f>VLOOKUP($C625,'2000 Place'!$C$2:$Y$523,15,FALSE)</f>
        <v>0</v>
      </c>
      <c r="O625">
        <f>VLOOKUP($C625,'2000 Place'!$C$2:$Y$523,16,FALSE)</f>
        <v>29</v>
      </c>
      <c r="P625">
        <f>VLOOKUP($C625,'2000 Place'!$C$2:$Y$523,17,FALSE)</f>
        <v>10</v>
      </c>
      <c r="Q625">
        <f>VLOOKUP($C625,'2000 Place'!$C$2:$Y$523,18,FALSE)</f>
        <v>0</v>
      </c>
      <c r="R625">
        <f>VLOOKUP($C625,'2000 Place'!$C$2:$Y$523,19,FALSE)</f>
        <v>0</v>
      </c>
      <c r="S625">
        <f>VLOOKUP($C625,'2000 Place'!$C$2:$Y$523,20,FALSE)</f>
        <v>1</v>
      </c>
      <c r="T625">
        <f>VLOOKUP($C625,'2000 Place'!$C$2:$Y$523,21,FALSE)</f>
        <v>3</v>
      </c>
      <c r="U625">
        <f>VLOOKUP($C625,'2000 Place'!$C$2:$Y$523,22,FALSE)</f>
        <v>7</v>
      </c>
      <c r="V625">
        <f>VLOOKUP($C625,'2000 Place'!$C$2:$Y$523,23,FALSE)</f>
        <v>0</v>
      </c>
    </row>
    <row r="626" spans="1:22" x14ac:dyDescent="0.25">
      <c r="A626" t="s">
        <v>1496</v>
      </c>
      <c r="B626">
        <v>5380220</v>
      </c>
      <c r="C626" t="s">
        <v>1497</v>
      </c>
      <c r="D626">
        <f>VLOOKUP($C626,'2000 Place'!$C$2:$Y$523,5,FALSE)</f>
        <v>3348</v>
      </c>
      <c r="E626">
        <f>VLOOKUP($C626,'2000 Place'!$C$2:$Y$523,6,FALSE)</f>
        <v>3099</v>
      </c>
      <c r="F626">
        <f>VLOOKUP($C626,'2000 Place'!$C$2:$Y$523,7,FALSE)</f>
        <v>249</v>
      </c>
      <c r="G626">
        <f>VLOOKUP($C626,'2000 Place'!$C$2:$Y$523,8,FALSE)</f>
        <v>2628</v>
      </c>
      <c r="H626">
        <f>VLOOKUP($C626,'2000 Place'!$C$2:$Y$523,9,FALSE)</f>
        <v>150</v>
      </c>
      <c r="I626">
        <f>VLOOKUP($C626,'2000 Place'!$C$2:$Y$523,10,FALSE)</f>
        <v>29</v>
      </c>
      <c r="J626">
        <f>VLOOKUP($C626,'2000 Place'!$C$2:$Y$523,11,FALSE)</f>
        <v>18</v>
      </c>
      <c r="K626">
        <f>VLOOKUP($C626,'2000 Place'!$C$2:$Y$523,12,FALSE)</f>
        <v>49</v>
      </c>
      <c r="L626">
        <f>VLOOKUP($C626,'2000 Place'!$C$2:$Y$523,13,FALSE)</f>
        <v>20</v>
      </c>
      <c r="M626">
        <f>VLOOKUP($C626,'2000 Place'!$C$2:$Y$523,14,FALSE)</f>
        <v>113</v>
      </c>
      <c r="N626">
        <f>VLOOKUP($C626,'2000 Place'!$C$2:$Y$523,15,FALSE)</f>
        <v>0</v>
      </c>
      <c r="O626">
        <f>VLOOKUP($C626,'2000 Place'!$C$2:$Y$523,16,FALSE)</f>
        <v>27</v>
      </c>
      <c r="P626">
        <f>VLOOKUP($C626,'2000 Place'!$C$2:$Y$523,17,FALSE)</f>
        <v>39</v>
      </c>
      <c r="Q626">
        <f>VLOOKUP($C626,'2000 Place'!$C$2:$Y$523,18,FALSE)</f>
        <v>17</v>
      </c>
      <c r="R626">
        <f>VLOOKUP($C626,'2000 Place'!$C$2:$Y$523,19,FALSE)</f>
        <v>10</v>
      </c>
      <c r="S626">
        <f>VLOOKUP($C626,'2000 Place'!$C$2:$Y$523,20,FALSE)</f>
        <v>17</v>
      </c>
      <c r="T626">
        <f>VLOOKUP($C626,'2000 Place'!$C$2:$Y$523,21,FALSE)</f>
        <v>4</v>
      </c>
      <c r="U626">
        <f>VLOOKUP($C626,'2000 Place'!$C$2:$Y$523,22,FALSE)</f>
        <v>219</v>
      </c>
      <c r="V626">
        <f>VLOOKUP($C626,'2000 Place'!$C$2:$Y$523,23,FALSE)</f>
        <v>8</v>
      </c>
    </row>
    <row r="627" spans="1:22" x14ac:dyDescent="0.25">
      <c r="A627" t="s">
        <v>1498</v>
      </c>
      <c r="B627">
        <v>5380500</v>
      </c>
      <c r="C627" t="s">
        <v>1499</v>
      </c>
      <c r="D627">
        <f>VLOOKUP($C627,'2000 Place'!$C$2:$Y$523,5,FALSE)</f>
        <v>2166</v>
      </c>
      <c r="E627">
        <f>VLOOKUP($C627,'2000 Place'!$C$2:$Y$523,6,FALSE)</f>
        <v>1943</v>
      </c>
      <c r="F627">
        <f>VLOOKUP($C627,'2000 Place'!$C$2:$Y$523,7,FALSE)</f>
        <v>223</v>
      </c>
      <c r="G627">
        <f>VLOOKUP($C627,'2000 Place'!$C$2:$Y$523,8,FALSE)</f>
        <v>1375</v>
      </c>
      <c r="H627">
        <f>VLOOKUP($C627,'2000 Place'!$C$2:$Y$523,9,FALSE)</f>
        <v>21</v>
      </c>
      <c r="I627">
        <f>VLOOKUP($C627,'2000 Place'!$C$2:$Y$523,10,FALSE)</f>
        <v>151</v>
      </c>
      <c r="J627">
        <f>VLOOKUP($C627,'2000 Place'!$C$2:$Y$523,11,FALSE)</f>
        <v>57</v>
      </c>
      <c r="K627">
        <f>VLOOKUP($C627,'2000 Place'!$C$2:$Y$523,12,FALSE)</f>
        <v>13</v>
      </c>
      <c r="L627">
        <f>VLOOKUP($C627,'2000 Place'!$C$2:$Y$523,13,FALSE)</f>
        <v>0</v>
      </c>
      <c r="M627">
        <f>VLOOKUP($C627,'2000 Place'!$C$2:$Y$523,14,FALSE)</f>
        <v>38</v>
      </c>
      <c r="N627">
        <f>VLOOKUP($C627,'2000 Place'!$C$2:$Y$523,15,FALSE)</f>
        <v>4</v>
      </c>
      <c r="O627">
        <f>VLOOKUP($C627,'2000 Place'!$C$2:$Y$523,16,FALSE)</f>
        <v>5</v>
      </c>
      <c r="P627">
        <f>VLOOKUP($C627,'2000 Place'!$C$2:$Y$523,17,FALSE)</f>
        <v>7</v>
      </c>
      <c r="Q627">
        <f>VLOOKUP($C627,'2000 Place'!$C$2:$Y$523,18,FALSE)</f>
        <v>0</v>
      </c>
      <c r="R627">
        <f>VLOOKUP($C627,'2000 Place'!$C$2:$Y$523,19,FALSE)</f>
        <v>0</v>
      </c>
      <c r="S627">
        <f>VLOOKUP($C627,'2000 Place'!$C$2:$Y$523,20,FALSE)</f>
        <v>249</v>
      </c>
      <c r="T627">
        <f>VLOOKUP($C627,'2000 Place'!$C$2:$Y$523,21,FALSE)</f>
        <v>123</v>
      </c>
      <c r="U627">
        <f>VLOOKUP($C627,'2000 Place'!$C$2:$Y$523,22,FALSE)</f>
        <v>112</v>
      </c>
      <c r="V627">
        <f>VLOOKUP($C627,'2000 Place'!$C$2:$Y$523,23,FALSE)</f>
        <v>11</v>
      </c>
    </row>
  </sheetData>
  <autoFilter ref="A1:V627" xr:uid="{AC8169D5-774C-4189-95F9-F5C7C414277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27"/>
  <sheetViews>
    <sheetView workbookViewId="0">
      <selection activeCell="G1" sqref="G1:Q1"/>
    </sheetView>
  </sheetViews>
  <sheetFormatPr defaultRowHeight="15" x14ac:dyDescent="0.25"/>
  <cols>
    <col min="3" max="3" width="28.140625" customWidth="1"/>
  </cols>
  <sheetData>
    <row r="1" spans="1:25" x14ac:dyDescent="0.25">
      <c r="A1" t="s">
        <v>223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  <c r="O1" t="s">
        <v>237</v>
      </c>
      <c r="P1" t="s">
        <v>238</v>
      </c>
      <c r="Q1" t="s">
        <v>239</v>
      </c>
      <c r="R1" t="s">
        <v>240</v>
      </c>
      <c r="S1" t="s">
        <v>241</v>
      </c>
      <c r="T1" t="s">
        <v>242</v>
      </c>
      <c r="U1" t="s">
        <v>243</v>
      </c>
      <c r="V1" t="s">
        <v>244</v>
      </c>
      <c r="W1" t="s">
        <v>245</v>
      </c>
      <c r="X1" t="s">
        <v>246</v>
      </c>
      <c r="Y1" t="s">
        <v>247</v>
      </c>
    </row>
    <row r="2" spans="1:25" x14ac:dyDescent="0.25">
      <c r="A2" t="s">
        <v>248</v>
      </c>
      <c r="B2">
        <v>5300100</v>
      </c>
      <c r="C2" t="s">
        <v>249</v>
      </c>
      <c r="D2">
        <v>16281</v>
      </c>
      <c r="E2">
        <v>14767</v>
      </c>
      <c r="F2">
        <v>1514</v>
      </c>
      <c r="G2">
        <v>16281</v>
      </c>
      <c r="H2">
        <v>14767</v>
      </c>
      <c r="I2">
        <v>1514</v>
      </c>
      <c r="J2">
        <v>11238</v>
      </c>
      <c r="K2">
        <v>185</v>
      </c>
      <c r="L2">
        <v>1643</v>
      </c>
      <c r="M2">
        <v>1060</v>
      </c>
      <c r="N2">
        <v>66</v>
      </c>
      <c r="O2">
        <v>13</v>
      </c>
      <c r="P2">
        <v>661</v>
      </c>
      <c r="Q2">
        <v>0</v>
      </c>
      <c r="R2">
        <v>164</v>
      </c>
      <c r="S2">
        <v>85</v>
      </c>
      <c r="T2">
        <v>139</v>
      </c>
      <c r="U2">
        <v>37</v>
      </c>
      <c r="V2">
        <v>96</v>
      </c>
      <c r="W2">
        <v>97</v>
      </c>
      <c r="X2">
        <v>760</v>
      </c>
      <c r="Y2">
        <v>37</v>
      </c>
    </row>
    <row r="3" spans="1:25" x14ac:dyDescent="0.25">
      <c r="A3" t="s">
        <v>250</v>
      </c>
      <c r="B3">
        <v>5300135</v>
      </c>
      <c r="C3" t="s">
        <v>251</v>
      </c>
      <c r="D3">
        <v>283</v>
      </c>
      <c r="E3">
        <v>279</v>
      </c>
      <c r="F3">
        <v>4</v>
      </c>
      <c r="G3">
        <v>283</v>
      </c>
      <c r="H3">
        <v>279</v>
      </c>
      <c r="I3">
        <v>4</v>
      </c>
      <c r="J3">
        <v>189</v>
      </c>
      <c r="K3">
        <v>4</v>
      </c>
      <c r="L3">
        <v>24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18</v>
      </c>
      <c r="W3">
        <v>0</v>
      </c>
      <c r="X3">
        <v>47</v>
      </c>
      <c r="Y3">
        <v>0</v>
      </c>
    </row>
    <row r="4" spans="1:25" x14ac:dyDescent="0.25">
      <c r="A4" t="s">
        <v>252</v>
      </c>
      <c r="B4">
        <v>5300275</v>
      </c>
      <c r="C4" t="s">
        <v>253</v>
      </c>
      <c r="D4">
        <v>183</v>
      </c>
      <c r="E4">
        <v>183</v>
      </c>
      <c r="F4">
        <v>0</v>
      </c>
      <c r="G4">
        <v>183</v>
      </c>
      <c r="H4">
        <v>183</v>
      </c>
      <c r="I4">
        <v>0</v>
      </c>
      <c r="J4">
        <v>183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 t="s">
        <v>254</v>
      </c>
      <c r="B5">
        <v>5300380</v>
      </c>
      <c r="C5" t="s">
        <v>255</v>
      </c>
      <c r="D5">
        <v>96</v>
      </c>
      <c r="E5">
        <v>72</v>
      </c>
      <c r="F5">
        <v>24</v>
      </c>
      <c r="G5">
        <v>96</v>
      </c>
      <c r="H5">
        <v>72</v>
      </c>
      <c r="I5">
        <v>24</v>
      </c>
      <c r="J5">
        <v>0</v>
      </c>
      <c r="K5">
        <v>24</v>
      </c>
      <c r="L5">
        <v>0</v>
      </c>
      <c r="M5">
        <v>0</v>
      </c>
      <c r="N5">
        <v>0</v>
      </c>
      <c r="O5">
        <v>0</v>
      </c>
      <c r="P5">
        <v>72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 t="s">
        <v>256</v>
      </c>
      <c r="B6">
        <v>5300800</v>
      </c>
      <c r="C6" t="s">
        <v>257</v>
      </c>
      <c r="D6">
        <v>3076</v>
      </c>
      <c r="E6">
        <v>2631</v>
      </c>
      <c r="F6">
        <v>445</v>
      </c>
      <c r="G6">
        <v>3076</v>
      </c>
      <c r="H6">
        <v>2631</v>
      </c>
      <c r="I6">
        <v>445</v>
      </c>
      <c r="J6">
        <v>2147</v>
      </c>
      <c r="K6">
        <v>21</v>
      </c>
      <c r="L6">
        <v>262</v>
      </c>
      <c r="M6">
        <v>249</v>
      </c>
      <c r="N6">
        <v>69</v>
      </c>
      <c r="O6">
        <v>0</v>
      </c>
      <c r="P6">
        <v>36</v>
      </c>
      <c r="Q6">
        <v>0</v>
      </c>
      <c r="R6">
        <v>10</v>
      </c>
      <c r="S6">
        <v>0</v>
      </c>
      <c r="T6">
        <v>0</v>
      </c>
      <c r="U6">
        <v>0</v>
      </c>
      <c r="V6">
        <v>94</v>
      </c>
      <c r="W6">
        <v>175</v>
      </c>
      <c r="X6">
        <v>13</v>
      </c>
      <c r="Y6">
        <v>0</v>
      </c>
    </row>
    <row r="7" spans="1:25" x14ac:dyDescent="0.25">
      <c r="A7" t="s">
        <v>258</v>
      </c>
      <c r="B7">
        <v>5300905</v>
      </c>
      <c r="C7" t="s">
        <v>259</v>
      </c>
      <c r="D7">
        <v>8017</v>
      </c>
      <c r="E7">
        <v>7212</v>
      </c>
      <c r="F7">
        <v>805</v>
      </c>
      <c r="G7">
        <v>8017</v>
      </c>
      <c r="H7">
        <v>7212</v>
      </c>
      <c r="I7">
        <v>805</v>
      </c>
      <c r="J7">
        <v>5112</v>
      </c>
      <c r="K7">
        <v>205</v>
      </c>
      <c r="L7">
        <v>344</v>
      </c>
      <c r="M7">
        <v>31</v>
      </c>
      <c r="N7">
        <v>461</v>
      </c>
      <c r="O7">
        <v>81</v>
      </c>
      <c r="P7">
        <v>324</v>
      </c>
      <c r="Q7">
        <v>7</v>
      </c>
      <c r="R7">
        <v>127</v>
      </c>
      <c r="S7">
        <v>354</v>
      </c>
      <c r="T7">
        <v>25</v>
      </c>
      <c r="U7">
        <v>0</v>
      </c>
      <c r="V7">
        <v>177</v>
      </c>
      <c r="W7">
        <v>65</v>
      </c>
      <c r="X7">
        <v>642</v>
      </c>
      <c r="Y7">
        <v>62</v>
      </c>
    </row>
    <row r="8" spans="1:25" x14ac:dyDescent="0.25">
      <c r="A8" t="s">
        <v>260</v>
      </c>
      <c r="B8">
        <v>5301010</v>
      </c>
      <c r="C8" t="s">
        <v>261</v>
      </c>
      <c r="D8">
        <v>744</v>
      </c>
      <c r="E8">
        <v>716</v>
      </c>
      <c r="F8">
        <v>28</v>
      </c>
      <c r="G8">
        <v>744</v>
      </c>
      <c r="H8">
        <v>716</v>
      </c>
      <c r="I8">
        <v>28</v>
      </c>
      <c r="J8">
        <v>640</v>
      </c>
      <c r="K8">
        <v>28</v>
      </c>
      <c r="L8">
        <v>16</v>
      </c>
      <c r="M8">
        <v>0</v>
      </c>
      <c r="N8">
        <v>0</v>
      </c>
      <c r="O8">
        <v>0</v>
      </c>
      <c r="P8">
        <v>24</v>
      </c>
      <c r="Q8">
        <v>0</v>
      </c>
      <c r="R8">
        <v>4</v>
      </c>
      <c r="S8">
        <v>0</v>
      </c>
      <c r="T8">
        <v>0</v>
      </c>
      <c r="U8">
        <v>0</v>
      </c>
      <c r="V8">
        <v>7</v>
      </c>
      <c r="W8">
        <v>0</v>
      </c>
      <c r="X8">
        <v>25</v>
      </c>
      <c r="Y8">
        <v>0</v>
      </c>
    </row>
    <row r="9" spans="1:25" x14ac:dyDescent="0.25">
      <c r="A9" t="s">
        <v>262</v>
      </c>
      <c r="B9">
        <v>5301045</v>
      </c>
      <c r="C9" t="s">
        <v>263</v>
      </c>
      <c r="D9">
        <v>133</v>
      </c>
      <c r="E9">
        <v>133</v>
      </c>
      <c r="F9">
        <v>0</v>
      </c>
      <c r="G9">
        <v>133</v>
      </c>
      <c r="H9">
        <v>133</v>
      </c>
      <c r="I9">
        <v>0</v>
      </c>
      <c r="J9">
        <v>90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43</v>
      </c>
      <c r="Y9">
        <v>0</v>
      </c>
    </row>
    <row r="10" spans="1:25" x14ac:dyDescent="0.25">
      <c r="A10" t="s">
        <v>264</v>
      </c>
      <c r="B10">
        <v>5301150</v>
      </c>
      <c r="C10" t="s">
        <v>265</v>
      </c>
      <c r="D10">
        <v>3303</v>
      </c>
      <c r="E10">
        <v>3100</v>
      </c>
      <c r="F10">
        <v>203</v>
      </c>
      <c r="G10">
        <v>3303</v>
      </c>
      <c r="H10">
        <v>3100</v>
      </c>
      <c r="I10">
        <v>203</v>
      </c>
      <c r="J10">
        <v>2786</v>
      </c>
      <c r="K10">
        <v>52</v>
      </c>
      <c r="L10">
        <v>30</v>
      </c>
      <c r="M10">
        <v>7</v>
      </c>
      <c r="N10">
        <v>0</v>
      </c>
      <c r="O10">
        <v>1</v>
      </c>
      <c r="P10">
        <v>0</v>
      </c>
      <c r="Q10">
        <v>0</v>
      </c>
      <c r="R10">
        <v>17</v>
      </c>
      <c r="S10">
        <v>16</v>
      </c>
      <c r="T10">
        <v>0</v>
      </c>
      <c r="U10">
        <v>0</v>
      </c>
      <c r="V10">
        <v>195</v>
      </c>
      <c r="W10">
        <v>127</v>
      </c>
      <c r="X10">
        <v>72</v>
      </c>
      <c r="Y10">
        <v>0</v>
      </c>
    </row>
    <row r="11" spans="1:25" x14ac:dyDescent="0.25">
      <c r="A11" t="s">
        <v>266</v>
      </c>
      <c r="B11">
        <v>5301185</v>
      </c>
      <c r="C11" t="s">
        <v>267</v>
      </c>
      <c r="D11">
        <v>8817</v>
      </c>
      <c r="E11">
        <v>6577</v>
      </c>
      <c r="F11">
        <v>2240</v>
      </c>
      <c r="G11">
        <v>8817</v>
      </c>
      <c r="H11">
        <v>6577</v>
      </c>
      <c r="I11">
        <v>2240</v>
      </c>
      <c r="J11">
        <v>5492</v>
      </c>
      <c r="K11">
        <v>242</v>
      </c>
      <c r="L11">
        <v>107</v>
      </c>
      <c r="M11">
        <v>165</v>
      </c>
      <c r="N11">
        <v>134</v>
      </c>
      <c r="O11">
        <v>283</v>
      </c>
      <c r="P11">
        <v>9</v>
      </c>
      <c r="Q11">
        <v>0</v>
      </c>
      <c r="R11">
        <v>414</v>
      </c>
      <c r="S11">
        <v>1200</v>
      </c>
      <c r="T11">
        <v>0</v>
      </c>
      <c r="U11">
        <v>25</v>
      </c>
      <c r="V11">
        <v>79</v>
      </c>
      <c r="W11">
        <v>239</v>
      </c>
      <c r="X11">
        <v>342</v>
      </c>
      <c r="Y11">
        <v>86</v>
      </c>
    </row>
    <row r="12" spans="1:25" x14ac:dyDescent="0.25">
      <c r="A12" t="s">
        <v>268</v>
      </c>
      <c r="B12">
        <v>5301255</v>
      </c>
      <c r="C12" t="s">
        <v>269</v>
      </c>
      <c r="D12">
        <v>235</v>
      </c>
      <c r="E12">
        <v>235</v>
      </c>
      <c r="F12">
        <v>0</v>
      </c>
      <c r="G12">
        <v>235</v>
      </c>
      <c r="H12">
        <v>235</v>
      </c>
      <c r="I12">
        <v>0</v>
      </c>
      <c r="J12">
        <v>182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53</v>
      </c>
      <c r="Y12">
        <v>0</v>
      </c>
    </row>
    <row r="13" spans="1:25" x14ac:dyDescent="0.25">
      <c r="A13" t="s">
        <v>270</v>
      </c>
      <c r="B13">
        <v>5301290</v>
      </c>
      <c r="C13" t="s">
        <v>271</v>
      </c>
      <c r="D13">
        <v>3171</v>
      </c>
      <c r="E13">
        <v>2354</v>
      </c>
      <c r="F13">
        <v>817</v>
      </c>
      <c r="G13">
        <v>3171</v>
      </c>
      <c r="H13">
        <v>2354</v>
      </c>
      <c r="I13">
        <v>817</v>
      </c>
      <c r="J13">
        <v>1729</v>
      </c>
      <c r="K13">
        <v>174</v>
      </c>
      <c r="L13">
        <v>147</v>
      </c>
      <c r="M13">
        <v>160</v>
      </c>
      <c r="N13">
        <v>140</v>
      </c>
      <c r="O13">
        <v>26</v>
      </c>
      <c r="P13">
        <v>31</v>
      </c>
      <c r="Q13">
        <v>0</v>
      </c>
      <c r="R13">
        <v>77</v>
      </c>
      <c r="S13">
        <v>249</v>
      </c>
      <c r="T13">
        <v>0</v>
      </c>
      <c r="U13">
        <v>11</v>
      </c>
      <c r="V13">
        <v>87</v>
      </c>
      <c r="W13">
        <v>196</v>
      </c>
      <c r="X13">
        <v>143</v>
      </c>
      <c r="Y13">
        <v>1</v>
      </c>
    </row>
    <row r="14" spans="1:25" x14ac:dyDescent="0.25">
      <c r="A14" t="s">
        <v>272</v>
      </c>
      <c r="B14">
        <v>5301430</v>
      </c>
      <c r="C14" t="s">
        <v>273</v>
      </c>
      <c r="D14">
        <v>2650</v>
      </c>
      <c r="E14">
        <v>2514</v>
      </c>
      <c r="F14">
        <v>136</v>
      </c>
      <c r="G14">
        <v>2650</v>
      </c>
      <c r="H14">
        <v>2514</v>
      </c>
      <c r="I14">
        <v>136</v>
      </c>
      <c r="J14">
        <v>2372</v>
      </c>
      <c r="K14">
        <v>103</v>
      </c>
      <c r="L14">
        <v>88</v>
      </c>
      <c r="M14">
        <v>33</v>
      </c>
      <c r="N14">
        <v>0</v>
      </c>
      <c r="O14">
        <v>0</v>
      </c>
      <c r="P14">
        <v>19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35</v>
      </c>
      <c r="Y14">
        <v>0</v>
      </c>
    </row>
    <row r="15" spans="1:25" x14ac:dyDescent="0.25">
      <c r="A15" t="s">
        <v>274</v>
      </c>
      <c r="B15">
        <v>5301500</v>
      </c>
      <c r="C15" t="s">
        <v>275</v>
      </c>
      <c r="D15">
        <v>220</v>
      </c>
      <c r="E15">
        <v>201</v>
      </c>
      <c r="F15">
        <v>19</v>
      </c>
      <c r="G15">
        <v>220</v>
      </c>
      <c r="H15">
        <v>201</v>
      </c>
      <c r="I15">
        <v>19</v>
      </c>
      <c r="J15">
        <v>174</v>
      </c>
      <c r="K15">
        <v>10</v>
      </c>
      <c r="L15">
        <v>12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9</v>
      </c>
      <c r="T15">
        <v>0</v>
      </c>
      <c r="U15">
        <v>0</v>
      </c>
      <c r="V15">
        <v>0</v>
      </c>
      <c r="W15">
        <v>0</v>
      </c>
      <c r="X15">
        <v>13</v>
      </c>
      <c r="Y15">
        <v>0</v>
      </c>
    </row>
    <row r="16" spans="1:25" x14ac:dyDescent="0.25">
      <c r="A16" t="s">
        <v>276</v>
      </c>
      <c r="B16">
        <v>5301745</v>
      </c>
      <c r="C16" t="s">
        <v>277</v>
      </c>
      <c r="D16">
        <v>61</v>
      </c>
      <c r="E16">
        <v>61</v>
      </c>
      <c r="F16">
        <v>0</v>
      </c>
      <c r="G16">
        <v>61</v>
      </c>
      <c r="H16">
        <v>61</v>
      </c>
      <c r="I16">
        <v>0</v>
      </c>
      <c r="J16">
        <v>51</v>
      </c>
      <c r="K16">
        <v>0</v>
      </c>
      <c r="L16">
        <v>0</v>
      </c>
      <c r="M16">
        <v>0</v>
      </c>
      <c r="N16">
        <v>0</v>
      </c>
      <c r="O16">
        <v>0</v>
      </c>
      <c r="P16">
        <v>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</v>
      </c>
      <c r="Y16">
        <v>0</v>
      </c>
    </row>
    <row r="17" spans="1:25" x14ac:dyDescent="0.25">
      <c r="A17" t="s">
        <v>278</v>
      </c>
      <c r="B17">
        <v>5301780</v>
      </c>
      <c r="C17" t="s">
        <v>279</v>
      </c>
      <c r="D17">
        <v>119</v>
      </c>
      <c r="E17">
        <v>107</v>
      </c>
      <c r="F17">
        <v>12</v>
      </c>
      <c r="G17">
        <v>119</v>
      </c>
      <c r="H17">
        <v>107</v>
      </c>
      <c r="I17">
        <v>12</v>
      </c>
      <c r="J17">
        <v>74</v>
      </c>
      <c r="K17">
        <v>0</v>
      </c>
      <c r="L17">
        <v>15</v>
      </c>
      <c r="M17">
        <v>12</v>
      </c>
      <c r="N17">
        <v>0</v>
      </c>
      <c r="O17">
        <v>0</v>
      </c>
      <c r="P17">
        <v>14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</v>
      </c>
      <c r="Y17">
        <v>0</v>
      </c>
    </row>
    <row r="18" spans="1:25" x14ac:dyDescent="0.25">
      <c r="A18" t="s">
        <v>280</v>
      </c>
      <c r="B18">
        <v>5301850</v>
      </c>
      <c r="C18" t="s">
        <v>281</v>
      </c>
      <c r="D18">
        <v>2027</v>
      </c>
      <c r="E18">
        <v>2002</v>
      </c>
      <c r="F18">
        <v>25</v>
      </c>
      <c r="G18">
        <v>2027</v>
      </c>
      <c r="H18">
        <v>2002</v>
      </c>
      <c r="I18">
        <v>25</v>
      </c>
      <c r="J18">
        <v>1959</v>
      </c>
      <c r="K18">
        <v>22</v>
      </c>
      <c r="L18">
        <v>9</v>
      </c>
      <c r="M18">
        <v>0</v>
      </c>
      <c r="N18">
        <v>10</v>
      </c>
      <c r="O18">
        <v>0</v>
      </c>
      <c r="P18">
        <v>5</v>
      </c>
      <c r="Q18">
        <v>0</v>
      </c>
      <c r="R18">
        <v>6</v>
      </c>
      <c r="S18">
        <v>3</v>
      </c>
      <c r="T18">
        <v>0</v>
      </c>
      <c r="U18">
        <v>0</v>
      </c>
      <c r="V18">
        <v>0</v>
      </c>
      <c r="W18">
        <v>0</v>
      </c>
      <c r="X18">
        <v>13</v>
      </c>
      <c r="Y18">
        <v>0</v>
      </c>
    </row>
    <row r="19" spans="1:25" x14ac:dyDescent="0.25">
      <c r="A19" t="s">
        <v>282</v>
      </c>
      <c r="B19">
        <v>5301920</v>
      </c>
      <c r="C19" t="s">
        <v>283</v>
      </c>
      <c r="D19">
        <v>1526</v>
      </c>
      <c r="E19">
        <v>1364</v>
      </c>
      <c r="F19">
        <v>162</v>
      </c>
      <c r="G19">
        <v>1526</v>
      </c>
      <c r="H19">
        <v>1364</v>
      </c>
      <c r="I19">
        <v>162</v>
      </c>
      <c r="J19">
        <v>1216</v>
      </c>
      <c r="K19">
        <v>83</v>
      </c>
      <c r="L19">
        <v>20</v>
      </c>
      <c r="M19">
        <v>11</v>
      </c>
      <c r="N19">
        <v>18</v>
      </c>
      <c r="O19">
        <v>0</v>
      </c>
      <c r="P19">
        <v>0</v>
      </c>
      <c r="Q19">
        <v>0</v>
      </c>
      <c r="R19">
        <v>35</v>
      </c>
      <c r="S19">
        <v>56</v>
      </c>
      <c r="T19">
        <v>0</v>
      </c>
      <c r="U19">
        <v>12</v>
      </c>
      <c r="V19">
        <v>26</v>
      </c>
      <c r="W19">
        <v>0</v>
      </c>
      <c r="X19">
        <v>49</v>
      </c>
      <c r="Y19">
        <v>0</v>
      </c>
    </row>
    <row r="20" spans="1:25" x14ac:dyDescent="0.25">
      <c r="A20" t="s">
        <v>284</v>
      </c>
      <c r="B20">
        <v>5301990</v>
      </c>
      <c r="C20" t="s">
        <v>285</v>
      </c>
      <c r="D20">
        <v>16425</v>
      </c>
      <c r="E20">
        <v>14992</v>
      </c>
      <c r="F20">
        <v>1433</v>
      </c>
      <c r="G20">
        <v>16425</v>
      </c>
      <c r="H20">
        <v>14992</v>
      </c>
      <c r="I20">
        <v>1433</v>
      </c>
      <c r="J20">
        <v>13823</v>
      </c>
      <c r="K20">
        <v>875</v>
      </c>
      <c r="L20">
        <v>340</v>
      </c>
      <c r="M20">
        <v>92</v>
      </c>
      <c r="N20">
        <v>76</v>
      </c>
      <c r="O20">
        <v>1</v>
      </c>
      <c r="P20">
        <v>126</v>
      </c>
      <c r="Q20">
        <v>9</v>
      </c>
      <c r="R20">
        <v>111</v>
      </c>
      <c r="S20">
        <v>323</v>
      </c>
      <c r="T20">
        <v>10</v>
      </c>
      <c r="U20">
        <v>11</v>
      </c>
      <c r="V20">
        <v>61</v>
      </c>
      <c r="W20">
        <v>91</v>
      </c>
      <c r="X20">
        <v>445</v>
      </c>
      <c r="Y20">
        <v>31</v>
      </c>
    </row>
    <row r="21" spans="1:25" x14ac:dyDescent="0.25">
      <c r="A21" t="s">
        <v>286</v>
      </c>
      <c r="B21">
        <v>5302060</v>
      </c>
      <c r="C21" t="s">
        <v>287</v>
      </c>
      <c r="D21">
        <v>1292</v>
      </c>
      <c r="E21">
        <v>1228</v>
      </c>
      <c r="F21">
        <v>64</v>
      </c>
      <c r="G21">
        <v>1292</v>
      </c>
      <c r="H21">
        <v>1228</v>
      </c>
      <c r="I21">
        <v>64</v>
      </c>
      <c r="J21">
        <v>1166</v>
      </c>
      <c r="K21">
        <v>47</v>
      </c>
      <c r="L21">
        <v>36</v>
      </c>
      <c r="M21">
        <v>0</v>
      </c>
      <c r="N21">
        <v>16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10</v>
      </c>
      <c r="Y21">
        <v>17</v>
      </c>
    </row>
    <row r="22" spans="1:25" x14ac:dyDescent="0.25">
      <c r="A22" t="s">
        <v>288</v>
      </c>
      <c r="B22">
        <v>5302585</v>
      </c>
      <c r="C22" t="s">
        <v>289</v>
      </c>
      <c r="D22">
        <v>18884</v>
      </c>
      <c r="E22">
        <v>17370</v>
      </c>
      <c r="F22">
        <v>1514</v>
      </c>
      <c r="G22">
        <v>18884</v>
      </c>
      <c r="H22">
        <v>17370</v>
      </c>
      <c r="I22">
        <v>1514</v>
      </c>
      <c r="J22">
        <v>14877</v>
      </c>
      <c r="K22">
        <v>667</v>
      </c>
      <c r="L22">
        <v>701</v>
      </c>
      <c r="M22">
        <v>190</v>
      </c>
      <c r="N22">
        <v>212</v>
      </c>
      <c r="O22">
        <v>79</v>
      </c>
      <c r="P22">
        <v>319</v>
      </c>
      <c r="Q22">
        <v>0</v>
      </c>
      <c r="R22">
        <v>67</v>
      </c>
      <c r="S22">
        <v>401</v>
      </c>
      <c r="T22">
        <v>33</v>
      </c>
      <c r="U22">
        <v>0</v>
      </c>
      <c r="V22">
        <v>414</v>
      </c>
      <c r="W22">
        <v>157</v>
      </c>
      <c r="X22">
        <v>747</v>
      </c>
      <c r="Y22">
        <v>20</v>
      </c>
    </row>
    <row r="23" spans="1:25" x14ac:dyDescent="0.25">
      <c r="A23" t="s">
        <v>290</v>
      </c>
      <c r="B23">
        <v>5302620</v>
      </c>
      <c r="C23" t="s">
        <v>291</v>
      </c>
      <c r="D23">
        <v>2826</v>
      </c>
      <c r="E23">
        <v>2813</v>
      </c>
      <c r="F23">
        <v>13</v>
      </c>
      <c r="G23">
        <v>2826</v>
      </c>
      <c r="H23">
        <v>2813</v>
      </c>
      <c r="I23">
        <v>13</v>
      </c>
      <c r="J23">
        <v>2753</v>
      </c>
      <c r="K23">
        <v>11</v>
      </c>
      <c r="L23">
        <v>0</v>
      </c>
      <c r="M23">
        <v>2</v>
      </c>
      <c r="N23">
        <v>2</v>
      </c>
      <c r="O23">
        <v>0</v>
      </c>
      <c r="P23">
        <v>10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48</v>
      </c>
      <c r="Y23">
        <v>0</v>
      </c>
    </row>
    <row r="24" spans="1:25" x14ac:dyDescent="0.25">
      <c r="A24" t="s">
        <v>292</v>
      </c>
      <c r="B24">
        <v>5302910</v>
      </c>
      <c r="C24" t="s">
        <v>293</v>
      </c>
      <c r="D24">
        <v>12937</v>
      </c>
      <c r="E24">
        <v>12224</v>
      </c>
      <c r="F24">
        <v>713</v>
      </c>
      <c r="G24">
        <v>12937</v>
      </c>
      <c r="H24">
        <v>12224</v>
      </c>
      <c r="I24">
        <v>713</v>
      </c>
      <c r="J24">
        <v>11138</v>
      </c>
      <c r="K24">
        <v>397</v>
      </c>
      <c r="L24">
        <v>368</v>
      </c>
      <c r="M24">
        <v>130</v>
      </c>
      <c r="N24">
        <v>65</v>
      </c>
      <c r="O24">
        <v>0</v>
      </c>
      <c r="P24">
        <v>103</v>
      </c>
      <c r="Q24">
        <v>0</v>
      </c>
      <c r="R24">
        <v>54</v>
      </c>
      <c r="S24">
        <v>114</v>
      </c>
      <c r="T24">
        <v>25</v>
      </c>
      <c r="U24">
        <v>0</v>
      </c>
      <c r="V24">
        <v>55</v>
      </c>
      <c r="W24">
        <v>0</v>
      </c>
      <c r="X24">
        <v>416</v>
      </c>
      <c r="Y24">
        <v>72</v>
      </c>
    </row>
    <row r="25" spans="1:25" x14ac:dyDescent="0.25">
      <c r="A25" t="s">
        <v>294</v>
      </c>
      <c r="B25">
        <v>5303005</v>
      </c>
      <c r="C25" t="s">
        <v>295</v>
      </c>
      <c r="D25">
        <v>162</v>
      </c>
      <c r="E25">
        <v>162</v>
      </c>
      <c r="F25">
        <v>0</v>
      </c>
      <c r="G25">
        <v>162</v>
      </c>
      <c r="H25">
        <v>162</v>
      </c>
      <c r="I25">
        <v>0</v>
      </c>
      <c r="J25">
        <v>162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t="s">
        <v>296</v>
      </c>
      <c r="B26">
        <v>5303075</v>
      </c>
      <c r="C26" t="s">
        <v>297</v>
      </c>
      <c r="D26">
        <v>1226</v>
      </c>
      <c r="E26">
        <v>1187</v>
      </c>
      <c r="F26">
        <v>39</v>
      </c>
      <c r="G26">
        <v>1226</v>
      </c>
      <c r="H26">
        <v>1187</v>
      </c>
      <c r="I26">
        <v>39</v>
      </c>
      <c r="J26">
        <v>1110</v>
      </c>
      <c r="K26">
        <v>24</v>
      </c>
      <c r="L26">
        <v>20</v>
      </c>
      <c r="M26">
        <v>0</v>
      </c>
      <c r="N26">
        <v>0</v>
      </c>
      <c r="O26">
        <v>9</v>
      </c>
      <c r="P26">
        <v>0</v>
      </c>
      <c r="Q26">
        <v>0</v>
      </c>
      <c r="R26">
        <v>0</v>
      </c>
      <c r="S26">
        <v>6</v>
      </c>
      <c r="T26">
        <v>5</v>
      </c>
      <c r="U26">
        <v>0</v>
      </c>
      <c r="V26">
        <v>0</v>
      </c>
      <c r="W26">
        <v>0</v>
      </c>
      <c r="X26">
        <v>52</v>
      </c>
      <c r="Y26">
        <v>0</v>
      </c>
    </row>
    <row r="27" spans="1:25" x14ac:dyDescent="0.25">
      <c r="A27" t="s">
        <v>298</v>
      </c>
      <c r="B27">
        <v>5303180</v>
      </c>
      <c r="C27" t="s">
        <v>299</v>
      </c>
      <c r="D27">
        <v>77440</v>
      </c>
      <c r="E27">
        <v>60897</v>
      </c>
      <c r="F27">
        <v>16543</v>
      </c>
      <c r="G27">
        <v>77440</v>
      </c>
      <c r="H27">
        <v>60897</v>
      </c>
      <c r="I27">
        <v>16543</v>
      </c>
      <c r="J27">
        <v>41253</v>
      </c>
      <c r="K27">
        <v>4820</v>
      </c>
      <c r="L27">
        <v>3981</v>
      </c>
      <c r="M27">
        <v>2774</v>
      </c>
      <c r="N27">
        <v>3258</v>
      </c>
      <c r="O27">
        <v>474</v>
      </c>
      <c r="P27">
        <v>1628</v>
      </c>
      <c r="Q27">
        <v>73</v>
      </c>
      <c r="R27">
        <v>2081</v>
      </c>
      <c r="S27">
        <v>5551</v>
      </c>
      <c r="T27">
        <v>862</v>
      </c>
      <c r="U27">
        <v>1130</v>
      </c>
      <c r="V27">
        <v>1918</v>
      </c>
      <c r="W27">
        <v>1259</v>
      </c>
      <c r="X27">
        <v>5916</v>
      </c>
      <c r="Y27">
        <v>462</v>
      </c>
    </row>
    <row r="28" spans="1:25" x14ac:dyDescent="0.25">
      <c r="A28" t="s">
        <v>300</v>
      </c>
      <c r="B28">
        <v>5303736</v>
      </c>
      <c r="C28" t="s">
        <v>301</v>
      </c>
      <c r="D28">
        <v>23689</v>
      </c>
      <c r="E28">
        <v>21543</v>
      </c>
      <c r="F28">
        <v>2146</v>
      </c>
      <c r="G28">
        <v>23689</v>
      </c>
      <c r="H28">
        <v>21543</v>
      </c>
      <c r="I28">
        <v>2146</v>
      </c>
      <c r="J28">
        <v>19162</v>
      </c>
      <c r="K28">
        <v>1469</v>
      </c>
      <c r="L28">
        <v>502</v>
      </c>
      <c r="M28">
        <v>109</v>
      </c>
      <c r="N28">
        <v>227</v>
      </c>
      <c r="O28">
        <v>0</v>
      </c>
      <c r="P28">
        <v>52</v>
      </c>
      <c r="Q28">
        <v>0</v>
      </c>
      <c r="R28">
        <v>324</v>
      </c>
      <c r="S28">
        <v>479</v>
      </c>
      <c r="T28">
        <v>18</v>
      </c>
      <c r="U28">
        <v>4</v>
      </c>
      <c r="V28">
        <v>246</v>
      </c>
      <c r="W28">
        <v>49</v>
      </c>
      <c r="X28">
        <v>1012</v>
      </c>
      <c r="Y28">
        <v>36</v>
      </c>
    </row>
    <row r="29" spans="1:25" x14ac:dyDescent="0.25">
      <c r="A29" t="s">
        <v>302</v>
      </c>
      <c r="B29">
        <v>5304100</v>
      </c>
      <c r="C29" t="s">
        <v>303</v>
      </c>
      <c r="D29">
        <v>6358</v>
      </c>
      <c r="E29">
        <v>6038</v>
      </c>
      <c r="F29">
        <v>320</v>
      </c>
      <c r="G29">
        <v>6358</v>
      </c>
      <c r="H29">
        <v>6038</v>
      </c>
      <c r="I29">
        <v>320</v>
      </c>
      <c r="J29">
        <v>4212</v>
      </c>
      <c r="K29">
        <v>34</v>
      </c>
      <c r="L29">
        <v>573</v>
      </c>
      <c r="M29">
        <v>23</v>
      </c>
      <c r="N29">
        <v>122</v>
      </c>
      <c r="O29">
        <v>8</v>
      </c>
      <c r="P29">
        <v>78</v>
      </c>
      <c r="Q29">
        <v>0</v>
      </c>
      <c r="R29">
        <v>51</v>
      </c>
      <c r="S29">
        <v>130</v>
      </c>
      <c r="T29">
        <v>15</v>
      </c>
      <c r="U29">
        <v>22</v>
      </c>
      <c r="V29">
        <v>387</v>
      </c>
      <c r="W29">
        <v>69</v>
      </c>
      <c r="X29">
        <v>600</v>
      </c>
      <c r="Y29">
        <v>34</v>
      </c>
    </row>
    <row r="30" spans="1:25" x14ac:dyDescent="0.25">
      <c r="A30" t="s">
        <v>304</v>
      </c>
      <c r="B30">
        <v>5304125</v>
      </c>
      <c r="C30" t="s">
        <v>305</v>
      </c>
      <c r="D30">
        <v>270</v>
      </c>
      <c r="E30">
        <v>270</v>
      </c>
      <c r="F30">
        <v>0</v>
      </c>
      <c r="G30">
        <v>270</v>
      </c>
      <c r="H30">
        <v>270</v>
      </c>
      <c r="I30">
        <v>0</v>
      </c>
      <c r="J30">
        <v>232</v>
      </c>
      <c r="K30">
        <v>0</v>
      </c>
      <c r="L30">
        <v>0</v>
      </c>
      <c r="M30">
        <v>0</v>
      </c>
      <c r="N30">
        <v>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19</v>
      </c>
      <c r="Y30">
        <v>0</v>
      </c>
    </row>
    <row r="31" spans="1:25" x14ac:dyDescent="0.25">
      <c r="A31" t="s">
        <v>306</v>
      </c>
      <c r="B31">
        <v>5304195</v>
      </c>
      <c r="C31" t="s">
        <v>307</v>
      </c>
      <c r="D31">
        <v>6719</v>
      </c>
      <c r="E31">
        <v>5859</v>
      </c>
      <c r="F31">
        <v>860</v>
      </c>
      <c r="G31">
        <v>6719</v>
      </c>
      <c r="H31">
        <v>5859</v>
      </c>
      <c r="I31">
        <v>860</v>
      </c>
      <c r="J31">
        <v>5390</v>
      </c>
      <c r="K31">
        <v>540</v>
      </c>
      <c r="L31">
        <v>143</v>
      </c>
      <c r="M31">
        <v>73</v>
      </c>
      <c r="N31">
        <v>57</v>
      </c>
      <c r="O31">
        <v>0</v>
      </c>
      <c r="P31">
        <v>42</v>
      </c>
      <c r="Q31">
        <v>14</v>
      </c>
      <c r="R31">
        <v>103</v>
      </c>
      <c r="S31">
        <v>214</v>
      </c>
      <c r="T31">
        <v>2</v>
      </c>
      <c r="U31">
        <v>0</v>
      </c>
      <c r="V31">
        <v>5</v>
      </c>
      <c r="W31">
        <v>19</v>
      </c>
      <c r="X31">
        <v>117</v>
      </c>
      <c r="Y31">
        <v>0</v>
      </c>
    </row>
    <row r="32" spans="1:25" x14ac:dyDescent="0.25">
      <c r="A32" t="s">
        <v>308</v>
      </c>
      <c r="B32">
        <v>5304300</v>
      </c>
      <c r="C32" t="s">
        <v>309</v>
      </c>
      <c r="D32">
        <v>173</v>
      </c>
      <c r="E32">
        <v>171</v>
      </c>
      <c r="F32">
        <v>2</v>
      </c>
      <c r="G32">
        <v>173</v>
      </c>
      <c r="H32">
        <v>171</v>
      </c>
      <c r="I32">
        <v>2</v>
      </c>
      <c r="J32">
        <v>162</v>
      </c>
      <c r="K32">
        <v>2</v>
      </c>
      <c r="L32">
        <v>0</v>
      </c>
      <c r="M32">
        <v>0</v>
      </c>
      <c r="N32">
        <v>0</v>
      </c>
      <c r="O32">
        <v>0</v>
      </c>
      <c r="P32">
        <v>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</v>
      </c>
      <c r="Y32">
        <v>0</v>
      </c>
    </row>
    <row r="33" spans="1:25" x14ac:dyDescent="0.25">
      <c r="A33" t="s">
        <v>310</v>
      </c>
      <c r="B33">
        <v>5304347</v>
      </c>
      <c r="C33" t="s">
        <v>311</v>
      </c>
      <c r="D33">
        <v>221</v>
      </c>
      <c r="E33">
        <v>221</v>
      </c>
      <c r="F33">
        <v>0</v>
      </c>
      <c r="G33">
        <v>221</v>
      </c>
      <c r="H33">
        <v>221</v>
      </c>
      <c r="I33">
        <v>0</v>
      </c>
      <c r="J33">
        <v>187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34</v>
      </c>
      <c r="Y33">
        <v>0</v>
      </c>
    </row>
    <row r="34" spans="1:25" x14ac:dyDescent="0.25">
      <c r="A34" t="s">
        <v>312</v>
      </c>
      <c r="B34">
        <v>5304370</v>
      </c>
      <c r="C34" t="s">
        <v>313</v>
      </c>
      <c r="D34">
        <v>119</v>
      </c>
      <c r="E34">
        <v>119</v>
      </c>
      <c r="F34">
        <v>0</v>
      </c>
      <c r="G34">
        <v>119</v>
      </c>
      <c r="H34">
        <v>119</v>
      </c>
      <c r="I34">
        <v>0</v>
      </c>
      <c r="J34">
        <v>107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12</v>
      </c>
      <c r="Y34">
        <v>0</v>
      </c>
    </row>
    <row r="35" spans="1:25" x14ac:dyDescent="0.25">
      <c r="A35" t="s">
        <v>314</v>
      </c>
      <c r="B35">
        <v>5304405</v>
      </c>
      <c r="C35" t="s">
        <v>315</v>
      </c>
      <c r="D35">
        <v>1281</v>
      </c>
      <c r="E35">
        <v>620</v>
      </c>
      <c r="F35">
        <v>661</v>
      </c>
      <c r="G35">
        <v>1281</v>
      </c>
      <c r="H35">
        <v>620</v>
      </c>
      <c r="I35">
        <v>661</v>
      </c>
      <c r="J35">
        <v>28</v>
      </c>
      <c r="K35">
        <v>0</v>
      </c>
      <c r="L35">
        <v>293</v>
      </c>
      <c r="M35">
        <v>479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299</v>
      </c>
      <c r="W35">
        <v>182</v>
      </c>
      <c r="X35">
        <v>0</v>
      </c>
      <c r="Y35">
        <v>0</v>
      </c>
    </row>
    <row r="36" spans="1:25" x14ac:dyDescent="0.25">
      <c r="A36" t="s">
        <v>316</v>
      </c>
      <c r="B36">
        <v>5304475</v>
      </c>
      <c r="C36" t="s">
        <v>317</v>
      </c>
      <c r="D36">
        <v>19439</v>
      </c>
      <c r="E36">
        <v>17055</v>
      </c>
      <c r="F36">
        <v>2384</v>
      </c>
      <c r="G36">
        <v>19439</v>
      </c>
      <c r="H36">
        <v>17055</v>
      </c>
      <c r="I36">
        <v>2384</v>
      </c>
      <c r="J36">
        <v>15169</v>
      </c>
      <c r="K36">
        <v>1741</v>
      </c>
      <c r="L36">
        <v>955</v>
      </c>
      <c r="M36">
        <v>354</v>
      </c>
      <c r="N36">
        <v>79</v>
      </c>
      <c r="O36">
        <v>0</v>
      </c>
      <c r="P36">
        <v>124</v>
      </c>
      <c r="Q36">
        <v>0</v>
      </c>
      <c r="R36">
        <v>213</v>
      </c>
      <c r="S36">
        <v>242</v>
      </c>
      <c r="T36">
        <v>21</v>
      </c>
      <c r="U36">
        <v>15</v>
      </c>
      <c r="V36">
        <v>77</v>
      </c>
      <c r="W36">
        <v>22</v>
      </c>
      <c r="X36">
        <v>417</v>
      </c>
      <c r="Y36">
        <v>10</v>
      </c>
    </row>
    <row r="37" spans="1:25" x14ac:dyDescent="0.25">
      <c r="A37" t="s">
        <v>318</v>
      </c>
      <c r="B37">
        <v>5304615</v>
      </c>
      <c r="C37" t="s">
        <v>319</v>
      </c>
      <c r="D37">
        <v>215</v>
      </c>
      <c r="E37">
        <v>215</v>
      </c>
      <c r="F37">
        <v>0</v>
      </c>
      <c r="G37">
        <v>215</v>
      </c>
      <c r="H37">
        <v>215</v>
      </c>
      <c r="I37">
        <v>0</v>
      </c>
      <c r="J37">
        <v>170</v>
      </c>
      <c r="K37">
        <v>0</v>
      </c>
      <c r="L37">
        <v>19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26</v>
      </c>
      <c r="Y37">
        <v>0</v>
      </c>
    </row>
    <row r="38" spans="1:25" x14ac:dyDescent="0.25">
      <c r="A38" t="s">
        <v>320</v>
      </c>
      <c r="B38">
        <v>5304790</v>
      </c>
      <c r="C38" t="s">
        <v>321</v>
      </c>
      <c r="D38">
        <v>625</v>
      </c>
      <c r="E38">
        <v>607</v>
      </c>
      <c r="F38">
        <v>18</v>
      </c>
      <c r="G38">
        <v>625</v>
      </c>
      <c r="H38">
        <v>607</v>
      </c>
      <c r="I38">
        <v>18</v>
      </c>
      <c r="J38">
        <v>600</v>
      </c>
      <c r="K38">
        <v>18</v>
      </c>
      <c r="L38">
        <v>0</v>
      </c>
      <c r="M38">
        <v>0</v>
      </c>
      <c r="N38">
        <v>0</v>
      </c>
      <c r="O38">
        <v>0</v>
      </c>
      <c r="P38">
        <v>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t="s">
        <v>322</v>
      </c>
      <c r="B39">
        <v>5304895</v>
      </c>
      <c r="C39" t="s">
        <v>323</v>
      </c>
      <c r="D39">
        <v>342</v>
      </c>
      <c r="E39">
        <v>309</v>
      </c>
      <c r="F39">
        <v>33</v>
      </c>
      <c r="G39">
        <v>342</v>
      </c>
      <c r="H39">
        <v>309</v>
      </c>
      <c r="I39">
        <v>33</v>
      </c>
      <c r="J39">
        <v>286</v>
      </c>
      <c r="K39">
        <v>24</v>
      </c>
      <c r="L39">
        <v>4</v>
      </c>
      <c r="M39">
        <v>0</v>
      </c>
      <c r="N39">
        <v>0</v>
      </c>
      <c r="O39">
        <v>0</v>
      </c>
      <c r="P39">
        <v>0</v>
      </c>
      <c r="Q39">
        <v>0</v>
      </c>
      <c r="R39">
        <v>11</v>
      </c>
      <c r="S39">
        <v>9</v>
      </c>
      <c r="T39">
        <v>0</v>
      </c>
      <c r="U39">
        <v>0</v>
      </c>
      <c r="V39">
        <v>4</v>
      </c>
      <c r="W39">
        <v>0</v>
      </c>
      <c r="X39">
        <v>4</v>
      </c>
      <c r="Y39">
        <v>0</v>
      </c>
    </row>
    <row r="40" spans="1:25" x14ac:dyDescent="0.25">
      <c r="A40" t="s">
        <v>324</v>
      </c>
      <c r="B40">
        <v>5305140</v>
      </c>
      <c r="C40" t="s">
        <v>325</v>
      </c>
      <c r="D40">
        <v>4063</v>
      </c>
      <c r="E40">
        <v>3509</v>
      </c>
      <c r="F40">
        <v>554</v>
      </c>
      <c r="G40">
        <v>4063</v>
      </c>
      <c r="H40">
        <v>3509</v>
      </c>
      <c r="I40">
        <v>554</v>
      </c>
      <c r="J40">
        <v>2941</v>
      </c>
      <c r="K40">
        <v>92</v>
      </c>
      <c r="L40">
        <v>214</v>
      </c>
      <c r="M40">
        <v>73</v>
      </c>
      <c r="N40">
        <v>153</v>
      </c>
      <c r="O40">
        <v>121</v>
      </c>
      <c r="P40">
        <v>19</v>
      </c>
      <c r="Q40">
        <v>0</v>
      </c>
      <c r="R40">
        <v>0</v>
      </c>
      <c r="S40">
        <v>39</v>
      </c>
      <c r="T40">
        <v>28</v>
      </c>
      <c r="U40">
        <v>0</v>
      </c>
      <c r="V40">
        <v>71</v>
      </c>
      <c r="W40">
        <v>229</v>
      </c>
      <c r="X40">
        <v>83</v>
      </c>
      <c r="Y40">
        <v>0</v>
      </c>
    </row>
    <row r="41" spans="1:25" x14ac:dyDescent="0.25">
      <c r="A41" t="s">
        <v>326</v>
      </c>
      <c r="B41">
        <v>5305210</v>
      </c>
      <c r="C41" t="s">
        <v>327</v>
      </c>
      <c r="D41">
        <v>139014</v>
      </c>
      <c r="E41">
        <v>83877</v>
      </c>
      <c r="F41">
        <v>55137</v>
      </c>
      <c r="G41">
        <v>139014</v>
      </c>
      <c r="H41">
        <v>83877</v>
      </c>
      <c r="I41">
        <v>55137</v>
      </c>
      <c r="J41">
        <v>59385</v>
      </c>
      <c r="K41">
        <v>11715</v>
      </c>
      <c r="L41">
        <v>3300</v>
      </c>
      <c r="M41">
        <v>3333</v>
      </c>
      <c r="N41">
        <v>2214</v>
      </c>
      <c r="O41">
        <v>1675</v>
      </c>
      <c r="P41">
        <v>345</v>
      </c>
      <c r="Q41">
        <v>25</v>
      </c>
      <c r="R41">
        <v>11804</v>
      </c>
      <c r="S41">
        <v>35252</v>
      </c>
      <c r="T41">
        <v>281</v>
      </c>
      <c r="U41">
        <v>133</v>
      </c>
      <c r="V41">
        <v>999</v>
      </c>
      <c r="W41">
        <v>1857</v>
      </c>
      <c r="X41">
        <v>5549</v>
      </c>
      <c r="Y41">
        <v>1147</v>
      </c>
    </row>
    <row r="42" spans="1:25" x14ac:dyDescent="0.25">
      <c r="A42" t="s">
        <v>328</v>
      </c>
      <c r="B42">
        <v>5305245</v>
      </c>
      <c r="C42" t="s">
        <v>329</v>
      </c>
      <c r="D42">
        <v>875</v>
      </c>
      <c r="E42">
        <v>783</v>
      </c>
      <c r="F42">
        <v>92</v>
      </c>
      <c r="G42">
        <v>875</v>
      </c>
      <c r="H42">
        <v>783</v>
      </c>
      <c r="I42">
        <v>92</v>
      </c>
      <c r="J42">
        <v>783</v>
      </c>
      <c r="K42">
        <v>92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330</v>
      </c>
      <c r="B43">
        <v>5305280</v>
      </c>
      <c r="C43" t="s">
        <v>331</v>
      </c>
      <c r="D43">
        <v>85388</v>
      </c>
      <c r="E43">
        <v>75137</v>
      </c>
      <c r="F43">
        <v>10251</v>
      </c>
      <c r="G43">
        <v>85388</v>
      </c>
      <c r="H43">
        <v>75137</v>
      </c>
      <c r="I43">
        <v>10251</v>
      </c>
      <c r="J43">
        <v>62599</v>
      </c>
      <c r="K43">
        <v>4437</v>
      </c>
      <c r="L43">
        <v>2698</v>
      </c>
      <c r="M43">
        <v>795</v>
      </c>
      <c r="N43">
        <v>1177</v>
      </c>
      <c r="O43">
        <v>113</v>
      </c>
      <c r="P43">
        <v>1278</v>
      </c>
      <c r="Q43">
        <v>66</v>
      </c>
      <c r="R43">
        <v>1753</v>
      </c>
      <c r="S43">
        <v>3549</v>
      </c>
      <c r="T43">
        <v>131</v>
      </c>
      <c r="U43">
        <v>41</v>
      </c>
      <c r="V43">
        <v>1312</v>
      </c>
      <c r="W43">
        <v>984</v>
      </c>
      <c r="X43">
        <v>4189</v>
      </c>
      <c r="Y43">
        <v>266</v>
      </c>
    </row>
    <row r="44" spans="1:25" x14ac:dyDescent="0.25">
      <c r="A44" t="s">
        <v>332</v>
      </c>
      <c r="B44">
        <v>5305560</v>
      </c>
      <c r="C44" t="s">
        <v>333</v>
      </c>
      <c r="D44">
        <v>3257</v>
      </c>
      <c r="E44">
        <v>2959</v>
      </c>
      <c r="F44">
        <v>298</v>
      </c>
      <c r="G44">
        <v>3257</v>
      </c>
      <c r="H44">
        <v>2959</v>
      </c>
      <c r="I44">
        <v>298</v>
      </c>
      <c r="J44">
        <v>2237</v>
      </c>
      <c r="K44">
        <v>15</v>
      </c>
      <c r="L44">
        <v>339</v>
      </c>
      <c r="M44">
        <v>115</v>
      </c>
      <c r="N44">
        <v>0</v>
      </c>
      <c r="O44">
        <v>0</v>
      </c>
      <c r="P44">
        <v>68</v>
      </c>
      <c r="Q44">
        <v>0</v>
      </c>
      <c r="R44">
        <v>0</v>
      </c>
      <c r="S44">
        <v>11</v>
      </c>
      <c r="T44">
        <v>0</v>
      </c>
      <c r="U44">
        <v>0</v>
      </c>
      <c r="V44">
        <v>269</v>
      </c>
      <c r="W44">
        <v>157</v>
      </c>
      <c r="X44">
        <v>46</v>
      </c>
      <c r="Y44">
        <v>0</v>
      </c>
    </row>
    <row r="45" spans="1:25" x14ac:dyDescent="0.25">
      <c r="A45" t="s">
        <v>334</v>
      </c>
      <c r="B45">
        <v>5305735</v>
      </c>
      <c r="C45" t="s">
        <v>335</v>
      </c>
      <c r="D45">
        <v>3673</v>
      </c>
      <c r="E45">
        <v>3396</v>
      </c>
      <c r="F45">
        <v>277</v>
      </c>
      <c r="G45">
        <v>3673</v>
      </c>
      <c r="H45">
        <v>3396</v>
      </c>
      <c r="I45">
        <v>277</v>
      </c>
      <c r="J45">
        <v>2688</v>
      </c>
      <c r="K45">
        <v>79</v>
      </c>
      <c r="L45">
        <v>258</v>
      </c>
      <c r="M45">
        <v>69</v>
      </c>
      <c r="N45">
        <v>176</v>
      </c>
      <c r="O45">
        <v>0</v>
      </c>
      <c r="P45">
        <v>17</v>
      </c>
      <c r="Q45">
        <v>0</v>
      </c>
      <c r="R45">
        <v>72</v>
      </c>
      <c r="S45">
        <v>107</v>
      </c>
      <c r="T45">
        <v>0</v>
      </c>
      <c r="U45">
        <v>0</v>
      </c>
      <c r="V45">
        <v>8</v>
      </c>
      <c r="W45">
        <v>0</v>
      </c>
      <c r="X45">
        <v>177</v>
      </c>
      <c r="Y45">
        <v>22</v>
      </c>
    </row>
    <row r="46" spans="1:25" x14ac:dyDescent="0.25">
      <c r="A46" t="s">
        <v>336</v>
      </c>
      <c r="B46">
        <v>5305980</v>
      </c>
      <c r="C46" t="s">
        <v>337</v>
      </c>
      <c r="D46">
        <v>67</v>
      </c>
      <c r="E46">
        <v>65</v>
      </c>
      <c r="F46">
        <v>2</v>
      </c>
      <c r="G46">
        <v>67</v>
      </c>
      <c r="H46">
        <v>65</v>
      </c>
      <c r="I46">
        <v>2</v>
      </c>
      <c r="J46">
        <v>63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0</v>
      </c>
    </row>
    <row r="47" spans="1:25" x14ac:dyDescent="0.25">
      <c r="A47" t="s">
        <v>338</v>
      </c>
      <c r="B47">
        <v>5306050</v>
      </c>
      <c r="C47" t="s">
        <v>339</v>
      </c>
      <c r="D47">
        <v>1784</v>
      </c>
      <c r="E47">
        <v>1635</v>
      </c>
      <c r="F47">
        <v>149</v>
      </c>
      <c r="G47">
        <v>1784</v>
      </c>
      <c r="H47">
        <v>1635</v>
      </c>
      <c r="I47">
        <v>149</v>
      </c>
      <c r="J47">
        <v>1401</v>
      </c>
      <c r="K47">
        <v>132</v>
      </c>
      <c r="L47">
        <v>55</v>
      </c>
      <c r="M47">
        <v>17</v>
      </c>
      <c r="N47">
        <v>0</v>
      </c>
      <c r="O47">
        <v>0</v>
      </c>
      <c r="P47">
        <v>8</v>
      </c>
      <c r="Q47">
        <v>0</v>
      </c>
      <c r="R47">
        <v>0</v>
      </c>
      <c r="S47">
        <v>0</v>
      </c>
      <c r="T47">
        <v>0</v>
      </c>
      <c r="U47">
        <v>0</v>
      </c>
      <c r="V47">
        <v>108</v>
      </c>
      <c r="W47">
        <v>0</v>
      </c>
      <c r="X47">
        <v>63</v>
      </c>
      <c r="Y47">
        <v>0</v>
      </c>
    </row>
    <row r="48" spans="1:25" x14ac:dyDescent="0.25">
      <c r="A48" t="s">
        <v>340</v>
      </c>
      <c r="B48">
        <v>5306085</v>
      </c>
      <c r="C48" t="s">
        <v>341</v>
      </c>
      <c r="D48">
        <v>560</v>
      </c>
      <c r="E48">
        <v>444</v>
      </c>
      <c r="F48">
        <v>116</v>
      </c>
      <c r="G48">
        <v>560</v>
      </c>
      <c r="H48">
        <v>444</v>
      </c>
      <c r="I48">
        <v>116</v>
      </c>
      <c r="J48">
        <v>308</v>
      </c>
      <c r="K48">
        <v>9</v>
      </c>
      <c r="L48">
        <v>80</v>
      </c>
      <c r="M48">
        <v>58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55</v>
      </c>
      <c r="W48">
        <v>49</v>
      </c>
      <c r="X48">
        <v>1</v>
      </c>
      <c r="Y48">
        <v>0</v>
      </c>
    </row>
    <row r="49" spans="1:25" x14ac:dyDescent="0.25">
      <c r="A49" t="s">
        <v>342</v>
      </c>
      <c r="B49">
        <v>5306190</v>
      </c>
      <c r="C49" t="s">
        <v>343</v>
      </c>
      <c r="D49">
        <v>8642</v>
      </c>
      <c r="E49">
        <v>7103</v>
      </c>
      <c r="F49">
        <v>1539</v>
      </c>
      <c r="G49">
        <v>8642</v>
      </c>
      <c r="H49">
        <v>7103</v>
      </c>
      <c r="I49">
        <v>1539</v>
      </c>
      <c r="J49">
        <v>6852</v>
      </c>
      <c r="K49">
        <v>1191</v>
      </c>
      <c r="L49">
        <v>32</v>
      </c>
      <c r="M49">
        <v>61</v>
      </c>
      <c r="N49">
        <v>21</v>
      </c>
      <c r="O49">
        <v>23</v>
      </c>
      <c r="P49">
        <v>21</v>
      </c>
      <c r="Q49">
        <v>14</v>
      </c>
      <c r="R49">
        <v>45</v>
      </c>
      <c r="S49">
        <v>82</v>
      </c>
      <c r="T49">
        <v>13</v>
      </c>
      <c r="U49">
        <v>0</v>
      </c>
      <c r="V49">
        <v>35</v>
      </c>
      <c r="W49">
        <v>39</v>
      </c>
      <c r="X49">
        <v>84</v>
      </c>
      <c r="Y49">
        <v>129</v>
      </c>
    </row>
    <row r="50" spans="1:25" x14ac:dyDescent="0.25">
      <c r="A50" t="s">
        <v>344</v>
      </c>
      <c r="B50">
        <v>5306330</v>
      </c>
      <c r="C50" t="s">
        <v>345</v>
      </c>
      <c r="D50">
        <v>4378</v>
      </c>
      <c r="E50">
        <v>4044</v>
      </c>
      <c r="F50">
        <v>334</v>
      </c>
      <c r="G50">
        <v>4378</v>
      </c>
      <c r="H50">
        <v>4044</v>
      </c>
      <c r="I50">
        <v>334</v>
      </c>
      <c r="J50">
        <v>3491</v>
      </c>
      <c r="K50">
        <v>98</v>
      </c>
      <c r="L50">
        <v>106</v>
      </c>
      <c r="M50">
        <v>90</v>
      </c>
      <c r="N50">
        <v>8</v>
      </c>
      <c r="O50">
        <v>0</v>
      </c>
      <c r="P50">
        <v>98</v>
      </c>
      <c r="Q50">
        <v>0</v>
      </c>
      <c r="R50">
        <v>32</v>
      </c>
      <c r="S50">
        <v>124</v>
      </c>
      <c r="T50">
        <v>0</v>
      </c>
      <c r="U50">
        <v>0</v>
      </c>
      <c r="V50">
        <v>228</v>
      </c>
      <c r="W50">
        <v>22</v>
      </c>
      <c r="X50">
        <v>81</v>
      </c>
      <c r="Y50">
        <v>0</v>
      </c>
    </row>
    <row r="51" spans="1:25" x14ac:dyDescent="0.25">
      <c r="A51" t="s">
        <v>346</v>
      </c>
      <c r="B51">
        <v>5306505</v>
      </c>
      <c r="C51" t="s">
        <v>347</v>
      </c>
      <c r="D51">
        <v>5075</v>
      </c>
      <c r="E51">
        <v>3784</v>
      </c>
      <c r="F51">
        <v>1291</v>
      </c>
      <c r="G51">
        <v>5075</v>
      </c>
      <c r="H51">
        <v>3784</v>
      </c>
      <c r="I51">
        <v>1291</v>
      </c>
      <c r="J51">
        <v>3167</v>
      </c>
      <c r="K51">
        <v>678</v>
      </c>
      <c r="L51">
        <v>123</v>
      </c>
      <c r="M51">
        <v>41</v>
      </c>
      <c r="N51">
        <v>63</v>
      </c>
      <c r="O51">
        <v>0</v>
      </c>
      <c r="P51">
        <v>55</v>
      </c>
      <c r="Q51">
        <v>0</v>
      </c>
      <c r="R51">
        <v>26</v>
      </c>
      <c r="S51">
        <v>516</v>
      </c>
      <c r="T51">
        <v>38</v>
      </c>
      <c r="U51">
        <v>9</v>
      </c>
      <c r="V51">
        <v>17</v>
      </c>
      <c r="W51">
        <v>29</v>
      </c>
      <c r="X51">
        <v>295</v>
      </c>
      <c r="Y51">
        <v>18</v>
      </c>
    </row>
    <row r="52" spans="1:25" x14ac:dyDescent="0.25">
      <c r="A52" t="s">
        <v>348</v>
      </c>
      <c r="B52">
        <v>5306855</v>
      </c>
      <c r="C52" t="s">
        <v>349</v>
      </c>
      <c r="D52">
        <v>22</v>
      </c>
      <c r="E52">
        <v>22</v>
      </c>
      <c r="F52">
        <v>0</v>
      </c>
      <c r="G52">
        <v>22</v>
      </c>
      <c r="H52">
        <v>22</v>
      </c>
      <c r="I52">
        <v>0</v>
      </c>
      <c r="J52">
        <v>18</v>
      </c>
      <c r="K52">
        <v>0</v>
      </c>
      <c r="L52">
        <v>0</v>
      </c>
      <c r="M52">
        <v>0</v>
      </c>
      <c r="N52">
        <v>0</v>
      </c>
      <c r="O52">
        <v>0</v>
      </c>
      <c r="P52">
        <v>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350</v>
      </c>
      <c r="B53">
        <v>5307170</v>
      </c>
      <c r="C53" t="s">
        <v>351</v>
      </c>
      <c r="D53">
        <v>19560</v>
      </c>
      <c r="E53">
        <v>18538</v>
      </c>
      <c r="F53">
        <v>1022</v>
      </c>
      <c r="G53">
        <v>19560</v>
      </c>
      <c r="H53">
        <v>18538</v>
      </c>
      <c r="I53">
        <v>1022</v>
      </c>
      <c r="J53">
        <v>15795</v>
      </c>
      <c r="K53">
        <v>470</v>
      </c>
      <c r="L53">
        <v>949</v>
      </c>
      <c r="M53">
        <v>116</v>
      </c>
      <c r="N53">
        <v>158</v>
      </c>
      <c r="O53">
        <v>61</v>
      </c>
      <c r="P53">
        <v>163</v>
      </c>
      <c r="Q53">
        <v>0</v>
      </c>
      <c r="R53">
        <v>172</v>
      </c>
      <c r="S53">
        <v>299</v>
      </c>
      <c r="T53">
        <v>101</v>
      </c>
      <c r="U53">
        <v>0</v>
      </c>
      <c r="V53">
        <v>132</v>
      </c>
      <c r="W53">
        <v>42</v>
      </c>
      <c r="X53">
        <v>1068</v>
      </c>
      <c r="Y53">
        <v>34</v>
      </c>
    </row>
    <row r="54" spans="1:25" x14ac:dyDescent="0.25">
      <c r="A54" t="s">
        <v>352</v>
      </c>
      <c r="B54">
        <v>5307380</v>
      </c>
      <c r="C54" t="s">
        <v>353</v>
      </c>
      <c r="D54">
        <v>44082</v>
      </c>
      <c r="E54">
        <v>34542</v>
      </c>
      <c r="F54">
        <v>9540</v>
      </c>
      <c r="G54">
        <v>44082</v>
      </c>
      <c r="H54">
        <v>34542</v>
      </c>
      <c r="I54">
        <v>9540</v>
      </c>
      <c r="J54">
        <v>26744</v>
      </c>
      <c r="K54">
        <v>2704</v>
      </c>
      <c r="L54">
        <v>1317</v>
      </c>
      <c r="M54">
        <v>842</v>
      </c>
      <c r="N54">
        <v>660</v>
      </c>
      <c r="O54">
        <v>358</v>
      </c>
      <c r="P54">
        <v>190</v>
      </c>
      <c r="Q54">
        <v>46</v>
      </c>
      <c r="R54">
        <v>2123</v>
      </c>
      <c r="S54">
        <v>4135</v>
      </c>
      <c r="T54">
        <v>58</v>
      </c>
      <c r="U54">
        <v>0</v>
      </c>
      <c r="V54">
        <v>814</v>
      </c>
      <c r="W54">
        <v>1137</v>
      </c>
      <c r="X54">
        <v>2636</v>
      </c>
      <c r="Y54">
        <v>318</v>
      </c>
    </row>
    <row r="55" spans="1:25" x14ac:dyDescent="0.25">
      <c r="A55" t="s">
        <v>354</v>
      </c>
      <c r="B55">
        <v>5307390</v>
      </c>
      <c r="C55" t="s">
        <v>355</v>
      </c>
      <c r="D55">
        <v>10424</v>
      </c>
      <c r="E55">
        <v>6813</v>
      </c>
      <c r="F55">
        <v>3611</v>
      </c>
      <c r="G55">
        <v>10424</v>
      </c>
      <c r="H55">
        <v>6813</v>
      </c>
      <c r="I55">
        <v>3611</v>
      </c>
      <c r="J55">
        <v>4935</v>
      </c>
      <c r="K55">
        <v>760</v>
      </c>
      <c r="L55">
        <v>333</v>
      </c>
      <c r="M55">
        <v>101</v>
      </c>
      <c r="N55">
        <v>96</v>
      </c>
      <c r="O55">
        <v>164</v>
      </c>
      <c r="P55">
        <v>116</v>
      </c>
      <c r="Q55">
        <v>23</v>
      </c>
      <c r="R55">
        <v>910</v>
      </c>
      <c r="S55">
        <v>2372</v>
      </c>
      <c r="T55">
        <v>60</v>
      </c>
      <c r="U55">
        <v>0</v>
      </c>
      <c r="V55">
        <v>43</v>
      </c>
      <c r="W55">
        <v>75</v>
      </c>
      <c r="X55">
        <v>320</v>
      </c>
      <c r="Y55">
        <v>116</v>
      </c>
    </row>
    <row r="56" spans="1:25" x14ac:dyDescent="0.25">
      <c r="A56" t="s">
        <v>356</v>
      </c>
      <c r="B56">
        <v>5307395</v>
      </c>
      <c r="C56" t="s">
        <v>357</v>
      </c>
      <c r="D56">
        <v>20472</v>
      </c>
      <c r="E56">
        <v>15992</v>
      </c>
      <c r="F56">
        <v>4480</v>
      </c>
      <c r="G56">
        <v>20472</v>
      </c>
      <c r="H56">
        <v>15992</v>
      </c>
      <c r="I56">
        <v>4480</v>
      </c>
      <c r="J56">
        <v>12244</v>
      </c>
      <c r="K56">
        <v>1016</v>
      </c>
      <c r="L56">
        <v>461</v>
      </c>
      <c r="M56">
        <v>425</v>
      </c>
      <c r="N56">
        <v>168</v>
      </c>
      <c r="O56">
        <v>180</v>
      </c>
      <c r="P56">
        <v>123</v>
      </c>
      <c r="Q56">
        <v>0</v>
      </c>
      <c r="R56">
        <v>1231</v>
      </c>
      <c r="S56">
        <v>2146</v>
      </c>
      <c r="T56">
        <v>0</v>
      </c>
      <c r="U56">
        <v>6</v>
      </c>
      <c r="V56">
        <v>264</v>
      </c>
      <c r="W56">
        <v>432</v>
      </c>
      <c r="X56">
        <v>1501</v>
      </c>
      <c r="Y56">
        <v>275</v>
      </c>
    </row>
    <row r="57" spans="1:25" x14ac:dyDescent="0.25">
      <c r="A57" t="s">
        <v>358</v>
      </c>
      <c r="B57">
        <v>5307397</v>
      </c>
      <c r="C57" t="s">
        <v>359</v>
      </c>
      <c r="D57">
        <v>3916</v>
      </c>
      <c r="E57">
        <v>2907</v>
      </c>
      <c r="F57">
        <v>1009</v>
      </c>
      <c r="G57">
        <v>3916</v>
      </c>
      <c r="H57">
        <v>2907</v>
      </c>
      <c r="I57">
        <v>1009</v>
      </c>
      <c r="J57">
        <v>1468</v>
      </c>
      <c r="K57">
        <v>145</v>
      </c>
      <c r="L57">
        <v>253</v>
      </c>
      <c r="M57">
        <v>81</v>
      </c>
      <c r="N57">
        <v>292</v>
      </c>
      <c r="O57">
        <v>157</v>
      </c>
      <c r="P57">
        <v>32</v>
      </c>
      <c r="Q57">
        <v>20</v>
      </c>
      <c r="R57">
        <v>183</v>
      </c>
      <c r="S57">
        <v>324</v>
      </c>
      <c r="T57">
        <v>0</v>
      </c>
      <c r="U57">
        <v>0</v>
      </c>
      <c r="V57">
        <v>116</v>
      </c>
      <c r="W57">
        <v>235</v>
      </c>
      <c r="X57">
        <v>563</v>
      </c>
      <c r="Y57">
        <v>47</v>
      </c>
    </row>
    <row r="58" spans="1:25" x14ac:dyDescent="0.25">
      <c r="A58" t="s">
        <v>360</v>
      </c>
      <c r="B58">
        <v>5307485</v>
      </c>
      <c r="C58" t="s">
        <v>361</v>
      </c>
      <c r="D58">
        <v>76</v>
      </c>
      <c r="E58">
        <v>76</v>
      </c>
      <c r="F58">
        <v>0</v>
      </c>
      <c r="G58">
        <v>76</v>
      </c>
      <c r="H58">
        <v>76</v>
      </c>
      <c r="I58">
        <v>0</v>
      </c>
      <c r="J58">
        <v>14</v>
      </c>
      <c r="K58">
        <v>0</v>
      </c>
      <c r="L58">
        <v>28</v>
      </c>
      <c r="M58">
        <v>0</v>
      </c>
      <c r="N58">
        <v>0</v>
      </c>
      <c r="O58">
        <v>0</v>
      </c>
      <c r="P58">
        <v>34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362</v>
      </c>
      <c r="B59">
        <v>5307590</v>
      </c>
      <c r="C59" t="s">
        <v>363</v>
      </c>
      <c r="D59">
        <v>360</v>
      </c>
      <c r="E59">
        <v>310</v>
      </c>
      <c r="F59">
        <v>50</v>
      </c>
      <c r="G59">
        <v>360</v>
      </c>
      <c r="H59">
        <v>310</v>
      </c>
      <c r="I59">
        <v>50</v>
      </c>
      <c r="J59">
        <v>310</v>
      </c>
      <c r="K59">
        <v>25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364</v>
      </c>
      <c r="B60">
        <v>5307695</v>
      </c>
      <c r="C60" t="s">
        <v>365</v>
      </c>
      <c r="D60">
        <v>39584</v>
      </c>
      <c r="E60">
        <v>35489</v>
      </c>
      <c r="F60">
        <v>4095</v>
      </c>
      <c r="G60">
        <v>39584</v>
      </c>
      <c r="H60">
        <v>35489</v>
      </c>
      <c r="I60">
        <v>4095</v>
      </c>
      <c r="J60">
        <v>27086</v>
      </c>
      <c r="K60">
        <v>952</v>
      </c>
      <c r="L60">
        <v>1460</v>
      </c>
      <c r="M60">
        <v>184</v>
      </c>
      <c r="N60">
        <v>2180</v>
      </c>
      <c r="O60">
        <v>75</v>
      </c>
      <c r="P60">
        <v>297</v>
      </c>
      <c r="Q60">
        <v>174</v>
      </c>
      <c r="R60">
        <v>404</v>
      </c>
      <c r="S60">
        <v>1647</v>
      </c>
      <c r="T60">
        <v>141</v>
      </c>
      <c r="U60">
        <v>124</v>
      </c>
      <c r="V60">
        <v>660</v>
      </c>
      <c r="W60">
        <v>601</v>
      </c>
      <c r="X60">
        <v>3261</v>
      </c>
      <c r="Y60">
        <v>338</v>
      </c>
    </row>
    <row r="61" spans="1:25" x14ac:dyDescent="0.25">
      <c r="A61" t="s">
        <v>366</v>
      </c>
      <c r="B61">
        <v>5307835</v>
      </c>
      <c r="C61" t="s">
        <v>367</v>
      </c>
      <c r="D61">
        <v>2460</v>
      </c>
      <c r="E61">
        <v>1623</v>
      </c>
      <c r="F61">
        <v>837</v>
      </c>
      <c r="G61">
        <v>2460</v>
      </c>
      <c r="H61">
        <v>1623</v>
      </c>
      <c r="I61">
        <v>837</v>
      </c>
      <c r="J61">
        <v>666</v>
      </c>
      <c r="K61">
        <v>4</v>
      </c>
      <c r="L61">
        <v>261</v>
      </c>
      <c r="M61">
        <v>284</v>
      </c>
      <c r="N61">
        <v>37</v>
      </c>
      <c r="O61">
        <v>0</v>
      </c>
      <c r="P61">
        <v>9</v>
      </c>
      <c r="Q61">
        <v>18</v>
      </c>
      <c r="R61">
        <v>0</v>
      </c>
      <c r="S61">
        <v>5</v>
      </c>
      <c r="T61">
        <v>0</v>
      </c>
      <c r="U61">
        <v>0</v>
      </c>
      <c r="V61">
        <v>650</v>
      </c>
      <c r="W61">
        <v>526</v>
      </c>
      <c r="X61">
        <v>0</v>
      </c>
      <c r="Y61">
        <v>0</v>
      </c>
    </row>
    <row r="62" spans="1:25" x14ac:dyDescent="0.25">
      <c r="A62" t="s">
        <v>368</v>
      </c>
      <c r="B62">
        <v>5307870</v>
      </c>
      <c r="C62" t="s">
        <v>369</v>
      </c>
      <c r="D62">
        <v>2493</v>
      </c>
      <c r="E62">
        <v>1497</v>
      </c>
      <c r="F62">
        <v>996</v>
      </c>
      <c r="G62">
        <v>2493</v>
      </c>
      <c r="H62">
        <v>1497</v>
      </c>
      <c r="I62">
        <v>996</v>
      </c>
      <c r="J62">
        <v>410</v>
      </c>
      <c r="K62">
        <v>0</v>
      </c>
      <c r="L62">
        <v>72</v>
      </c>
      <c r="M62">
        <v>74</v>
      </c>
      <c r="N62">
        <v>0</v>
      </c>
      <c r="O62">
        <v>0</v>
      </c>
      <c r="P62">
        <v>31</v>
      </c>
      <c r="Q62">
        <v>0</v>
      </c>
      <c r="R62">
        <v>4</v>
      </c>
      <c r="S62">
        <v>23</v>
      </c>
      <c r="T62">
        <v>0</v>
      </c>
      <c r="U62">
        <v>0</v>
      </c>
      <c r="V62">
        <v>832</v>
      </c>
      <c r="W62">
        <v>887</v>
      </c>
      <c r="X62">
        <v>148</v>
      </c>
      <c r="Y62">
        <v>12</v>
      </c>
    </row>
    <row r="63" spans="1:25" x14ac:dyDescent="0.25">
      <c r="A63" t="s">
        <v>370</v>
      </c>
      <c r="B63">
        <v>5307940</v>
      </c>
      <c r="C63" t="s">
        <v>371</v>
      </c>
      <c r="D63">
        <v>6697</v>
      </c>
      <c r="E63">
        <v>5916</v>
      </c>
      <c r="F63">
        <v>781</v>
      </c>
      <c r="G63">
        <v>6697</v>
      </c>
      <c r="H63">
        <v>5916</v>
      </c>
      <c r="I63">
        <v>781</v>
      </c>
      <c r="J63">
        <v>5075</v>
      </c>
      <c r="K63">
        <v>350</v>
      </c>
      <c r="L63">
        <v>114</v>
      </c>
      <c r="M63">
        <v>26</v>
      </c>
      <c r="N63">
        <v>67</v>
      </c>
      <c r="O63">
        <v>6</v>
      </c>
      <c r="P63">
        <v>12</v>
      </c>
      <c r="Q63">
        <v>0</v>
      </c>
      <c r="R63">
        <v>165</v>
      </c>
      <c r="S63">
        <v>274</v>
      </c>
      <c r="T63">
        <v>16</v>
      </c>
      <c r="U63">
        <v>0</v>
      </c>
      <c r="V63">
        <v>120</v>
      </c>
      <c r="W63">
        <v>61</v>
      </c>
      <c r="X63">
        <v>347</v>
      </c>
      <c r="Y63">
        <v>64</v>
      </c>
    </row>
    <row r="64" spans="1:25" x14ac:dyDescent="0.25">
      <c r="A64" t="s">
        <v>372</v>
      </c>
      <c r="B64">
        <v>5308080</v>
      </c>
      <c r="C64" t="s">
        <v>373</v>
      </c>
      <c r="D64">
        <v>703</v>
      </c>
      <c r="E64">
        <v>676</v>
      </c>
      <c r="F64">
        <v>27</v>
      </c>
      <c r="G64">
        <v>703</v>
      </c>
      <c r="H64">
        <v>676</v>
      </c>
      <c r="I64">
        <v>27</v>
      </c>
      <c r="J64">
        <v>655</v>
      </c>
      <c r="K64">
        <v>23</v>
      </c>
      <c r="L64">
        <v>10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</v>
      </c>
      <c r="T64">
        <v>0</v>
      </c>
      <c r="U64">
        <v>0</v>
      </c>
      <c r="V64">
        <v>0</v>
      </c>
      <c r="W64">
        <v>0</v>
      </c>
      <c r="X64">
        <v>11</v>
      </c>
      <c r="Y64">
        <v>0</v>
      </c>
    </row>
    <row r="65" spans="1:25" x14ac:dyDescent="0.25">
      <c r="A65" t="s">
        <v>374</v>
      </c>
      <c r="B65">
        <v>5308325</v>
      </c>
      <c r="C65" t="s">
        <v>375</v>
      </c>
      <c r="D65">
        <v>1122</v>
      </c>
      <c r="E65">
        <v>1045</v>
      </c>
      <c r="F65">
        <v>77</v>
      </c>
      <c r="G65">
        <v>1122</v>
      </c>
      <c r="H65">
        <v>1045</v>
      </c>
      <c r="I65">
        <v>77</v>
      </c>
      <c r="J65">
        <v>881</v>
      </c>
      <c r="K65">
        <v>34</v>
      </c>
      <c r="L65">
        <v>33</v>
      </c>
      <c r="M65">
        <v>0</v>
      </c>
      <c r="N65">
        <v>12</v>
      </c>
      <c r="O65">
        <v>0</v>
      </c>
      <c r="P65">
        <v>4</v>
      </c>
      <c r="Q65">
        <v>0</v>
      </c>
      <c r="R65">
        <v>4</v>
      </c>
      <c r="S65">
        <v>16</v>
      </c>
      <c r="T65">
        <v>12</v>
      </c>
      <c r="U65">
        <v>4</v>
      </c>
      <c r="V65">
        <v>25</v>
      </c>
      <c r="W65">
        <v>20</v>
      </c>
      <c r="X65">
        <v>74</v>
      </c>
      <c r="Y65">
        <v>3</v>
      </c>
    </row>
    <row r="66" spans="1:25" x14ac:dyDescent="0.25">
      <c r="A66" t="s">
        <v>376</v>
      </c>
      <c r="B66">
        <v>5308465</v>
      </c>
      <c r="C66" t="s">
        <v>377</v>
      </c>
      <c r="D66">
        <v>2783</v>
      </c>
      <c r="E66">
        <v>2323</v>
      </c>
      <c r="F66">
        <v>460</v>
      </c>
      <c r="G66">
        <v>2783</v>
      </c>
      <c r="H66">
        <v>2323</v>
      </c>
      <c r="I66">
        <v>460</v>
      </c>
      <c r="J66">
        <v>1970</v>
      </c>
      <c r="K66">
        <v>433</v>
      </c>
      <c r="L66">
        <v>237</v>
      </c>
      <c r="M66">
        <v>0</v>
      </c>
      <c r="N66">
        <v>14</v>
      </c>
      <c r="O66">
        <v>9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9</v>
      </c>
      <c r="W66">
        <v>9</v>
      </c>
      <c r="X66">
        <v>93</v>
      </c>
      <c r="Y66">
        <v>0</v>
      </c>
    </row>
    <row r="67" spans="1:25" x14ac:dyDescent="0.25">
      <c r="A67" t="s">
        <v>378</v>
      </c>
      <c r="B67">
        <v>5308500</v>
      </c>
      <c r="C67" t="s">
        <v>379</v>
      </c>
      <c r="D67">
        <v>1990</v>
      </c>
      <c r="E67">
        <v>1899</v>
      </c>
      <c r="F67">
        <v>91</v>
      </c>
      <c r="G67">
        <v>1990</v>
      </c>
      <c r="H67">
        <v>1899</v>
      </c>
      <c r="I67">
        <v>91</v>
      </c>
      <c r="J67">
        <v>1709</v>
      </c>
      <c r="K67">
        <v>65</v>
      </c>
      <c r="L67">
        <v>18</v>
      </c>
      <c r="M67">
        <v>0</v>
      </c>
      <c r="N67">
        <v>30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26</v>
      </c>
      <c r="X67">
        <v>142</v>
      </c>
      <c r="Y67">
        <v>0</v>
      </c>
    </row>
    <row r="68" spans="1:25" x14ac:dyDescent="0.25">
      <c r="A68" t="s">
        <v>380</v>
      </c>
      <c r="B68">
        <v>5308552</v>
      </c>
      <c r="C68" t="s">
        <v>381</v>
      </c>
      <c r="D68">
        <v>18365</v>
      </c>
      <c r="E68">
        <v>11818</v>
      </c>
      <c r="F68">
        <v>6547</v>
      </c>
      <c r="G68">
        <v>18365</v>
      </c>
      <c r="H68">
        <v>11818</v>
      </c>
      <c r="I68">
        <v>6547</v>
      </c>
      <c r="J68">
        <v>4430</v>
      </c>
      <c r="K68">
        <v>314</v>
      </c>
      <c r="L68">
        <v>303</v>
      </c>
      <c r="M68">
        <v>193</v>
      </c>
      <c r="N68">
        <v>3523</v>
      </c>
      <c r="O68">
        <v>826</v>
      </c>
      <c r="P68">
        <v>55</v>
      </c>
      <c r="Q68">
        <v>13</v>
      </c>
      <c r="R68">
        <v>1626</v>
      </c>
      <c r="S68">
        <v>4359</v>
      </c>
      <c r="T68">
        <v>9</v>
      </c>
      <c r="U68">
        <v>64</v>
      </c>
      <c r="V68">
        <v>522</v>
      </c>
      <c r="W68">
        <v>673</v>
      </c>
      <c r="X68">
        <v>1350</v>
      </c>
      <c r="Y68">
        <v>105</v>
      </c>
    </row>
    <row r="69" spans="1:25" x14ac:dyDescent="0.25">
      <c r="A69" t="s">
        <v>382</v>
      </c>
      <c r="B69">
        <v>5308570</v>
      </c>
      <c r="C69" t="s">
        <v>383</v>
      </c>
      <c r="D69">
        <v>4593</v>
      </c>
      <c r="E69">
        <v>4523</v>
      </c>
      <c r="F69">
        <v>70</v>
      </c>
      <c r="G69">
        <v>4593</v>
      </c>
      <c r="H69">
        <v>4523</v>
      </c>
      <c r="I69">
        <v>70</v>
      </c>
      <c r="J69">
        <v>4246</v>
      </c>
      <c r="K69">
        <v>49</v>
      </c>
      <c r="L69">
        <v>27</v>
      </c>
      <c r="M69">
        <v>0</v>
      </c>
      <c r="N69">
        <v>34</v>
      </c>
      <c r="O69">
        <v>0</v>
      </c>
      <c r="P69">
        <v>0</v>
      </c>
      <c r="Q69">
        <v>0</v>
      </c>
      <c r="R69">
        <v>26</v>
      </c>
      <c r="S69">
        <v>21</v>
      </c>
      <c r="T69">
        <v>9</v>
      </c>
      <c r="U69">
        <v>0</v>
      </c>
      <c r="V69">
        <v>7</v>
      </c>
      <c r="W69">
        <v>0</v>
      </c>
      <c r="X69">
        <v>174</v>
      </c>
      <c r="Y69">
        <v>0</v>
      </c>
    </row>
    <row r="70" spans="1:25" x14ac:dyDescent="0.25">
      <c r="A70" t="s">
        <v>384</v>
      </c>
      <c r="B70">
        <v>5308605</v>
      </c>
      <c r="C70" t="s">
        <v>385</v>
      </c>
      <c r="D70">
        <v>588</v>
      </c>
      <c r="E70">
        <v>574</v>
      </c>
      <c r="F70">
        <v>14</v>
      </c>
      <c r="G70">
        <v>588</v>
      </c>
      <c r="H70">
        <v>574</v>
      </c>
      <c r="I70">
        <v>14</v>
      </c>
      <c r="J70">
        <v>546</v>
      </c>
      <c r="K70">
        <v>8</v>
      </c>
      <c r="L70">
        <v>20</v>
      </c>
      <c r="M70">
        <v>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8</v>
      </c>
      <c r="W70">
        <v>0</v>
      </c>
      <c r="X70">
        <v>0</v>
      </c>
      <c r="Y70">
        <v>0</v>
      </c>
    </row>
    <row r="71" spans="1:25" x14ac:dyDescent="0.25">
      <c r="A71" t="s">
        <v>386</v>
      </c>
      <c r="B71">
        <v>5308640</v>
      </c>
      <c r="C71" t="s">
        <v>387</v>
      </c>
      <c r="D71">
        <v>1345</v>
      </c>
      <c r="E71">
        <v>904</v>
      </c>
      <c r="F71">
        <v>441</v>
      </c>
      <c r="G71">
        <v>1345</v>
      </c>
      <c r="H71">
        <v>904</v>
      </c>
      <c r="I71">
        <v>441</v>
      </c>
      <c r="J71">
        <v>145</v>
      </c>
      <c r="K71">
        <v>0</v>
      </c>
      <c r="L71">
        <v>270</v>
      </c>
      <c r="M71">
        <v>295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489</v>
      </c>
      <c r="W71">
        <v>146</v>
      </c>
      <c r="X71">
        <v>0</v>
      </c>
      <c r="Y71">
        <v>0</v>
      </c>
    </row>
    <row r="72" spans="1:25" x14ac:dyDescent="0.25">
      <c r="A72" t="s">
        <v>388</v>
      </c>
      <c r="B72">
        <v>5308770</v>
      </c>
      <c r="C72" t="s">
        <v>389</v>
      </c>
      <c r="D72">
        <v>3604</v>
      </c>
      <c r="E72">
        <v>3383</v>
      </c>
      <c r="F72">
        <v>221</v>
      </c>
      <c r="G72">
        <v>3604</v>
      </c>
      <c r="H72">
        <v>3383</v>
      </c>
      <c r="I72">
        <v>221</v>
      </c>
      <c r="J72">
        <v>2994</v>
      </c>
      <c r="K72">
        <v>117</v>
      </c>
      <c r="L72">
        <v>198</v>
      </c>
      <c r="M72">
        <v>0</v>
      </c>
      <c r="N72">
        <v>14</v>
      </c>
      <c r="O72">
        <v>7</v>
      </c>
      <c r="P72">
        <v>0</v>
      </c>
      <c r="Q72">
        <v>0</v>
      </c>
      <c r="R72">
        <v>25</v>
      </c>
      <c r="S72">
        <v>48</v>
      </c>
      <c r="T72">
        <v>0</v>
      </c>
      <c r="U72">
        <v>0</v>
      </c>
      <c r="V72">
        <v>34</v>
      </c>
      <c r="W72">
        <v>22</v>
      </c>
      <c r="X72">
        <v>118</v>
      </c>
      <c r="Y72">
        <v>27</v>
      </c>
    </row>
    <row r="73" spans="1:25" x14ac:dyDescent="0.25">
      <c r="A73" t="s">
        <v>390</v>
      </c>
      <c r="B73">
        <v>5308780</v>
      </c>
      <c r="C73" t="s">
        <v>391</v>
      </c>
      <c r="D73">
        <v>3398</v>
      </c>
      <c r="E73">
        <v>3258</v>
      </c>
      <c r="F73">
        <v>140</v>
      </c>
      <c r="G73">
        <v>3398</v>
      </c>
      <c r="H73">
        <v>3258</v>
      </c>
      <c r="I73">
        <v>140</v>
      </c>
      <c r="J73">
        <v>2862</v>
      </c>
      <c r="K73">
        <v>11</v>
      </c>
      <c r="L73">
        <v>202</v>
      </c>
      <c r="M73">
        <v>65</v>
      </c>
      <c r="N73">
        <v>21</v>
      </c>
      <c r="O73">
        <v>0</v>
      </c>
      <c r="P73">
        <v>31</v>
      </c>
      <c r="Q73">
        <v>0</v>
      </c>
      <c r="R73">
        <v>0</v>
      </c>
      <c r="S73">
        <v>0</v>
      </c>
      <c r="T73">
        <v>0</v>
      </c>
      <c r="U73">
        <v>0</v>
      </c>
      <c r="V73">
        <v>132</v>
      </c>
      <c r="W73">
        <v>64</v>
      </c>
      <c r="X73">
        <v>10</v>
      </c>
      <c r="Y73">
        <v>0</v>
      </c>
    </row>
    <row r="74" spans="1:25" x14ac:dyDescent="0.25">
      <c r="A74" t="s">
        <v>392</v>
      </c>
      <c r="B74">
        <v>5308850</v>
      </c>
      <c r="C74" t="s">
        <v>393</v>
      </c>
      <c r="D74">
        <v>50729</v>
      </c>
      <c r="E74">
        <v>37960</v>
      </c>
      <c r="F74">
        <v>12769</v>
      </c>
      <c r="G74">
        <v>50729</v>
      </c>
      <c r="H74">
        <v>37960</v>
      </c>
      <c r="I74">
        <v>12769</v>
      </c>
      <c r="J74">
        <v>24072</v>
      </c>
      <c r="K74">
        <v>1419</v>
      </c>
      <c r="L74">
        <v>3442</v>
      </c>
      <c r="M74">
        <v>2516</v>
      </c>
      <c r="N74">
        <v>2652</v>
      </c>
      <c r="O74">
        <v>947</v>
      </c>
      <c r="P74">
        <v>493</v>
      </c>
      <c r="Q74">
        <v>117</v>
      </c>
      <c r="R74">
        <v>1998</v>
      </c>
      <c r="S74">
        <v>4204</v>
      </c>
      <c r="T74">
        <v>276</v>
      </c>
      <c r="U74">
        <v>406</v>
      </c>
      <c r="V74">
        <v>2306</v>
      </c>
      <c r="W74">
        <v>2664</v>
      </c>
      <c r="X74">
        <v>2721</v>
      </c>
      <c r="Y74">
        <v>496</v>
      </c>
    </row>
    <row r="75" spans="1:25" x14ac:dyDescent="0.25">
      <c r="A75" t="s">
        <v>394</v>
      </c>
      <c r="B75">
        <v>5308885</v>
      </c>
      <c r="C75" t="s">
        <v>395</v>
      </c>
      <c r="D75">
        <v>1941</v>
      </c>
      <c r="E75">
        <v>1744</v>
      </c>
      <c r="F75">
        <v>197</v>
      </c>
      <c r="G75">
        <v>1941</v>
      </c>
      <c r="H75">
        <v>1744</v>
      </c>
      <c r="I75">
        <v>197</v>
      </c>
      <c r="J75">
        <v>1556</v>
      </c>
      <c r="K75">
        <v>75</v>
      </c>
      <c r="L75">
        <v>12</v>
      </c>
      <c r="M75">
        <v>0</v>
      </c>
      <c r="N75">
        <v>18</v>
      </c>
      <c r="O75">
        <v>0</v>
      </c>
      <c r="P75">
        <v>66</v>
      </c>
      <c r="Q75">
        <v>0</v>
      </c>
      <c r="R75">
        <v>0</v>
      </c>
      <c r="S75">
        <v>0</v>
      </c>
      <c r="T75">
        <v>34</v>
      </c>
      <c r="U75">
        <v>91</v>
      </c>
      <c r="V75">
        <v>27</v>
      </c>
      <c r="W75">
        <v>0</v>
      </c>
      <c r="X75">
        <v>31</v>
      </c>
      <c r="Y75">
        <v>31</v>
      </c>
    </row>
    <row r="76" spans="1:25" x14ac:dyDescent="0.25">
      <c r="A76" t="s">
        <v>396</v>
      </c>
      <c r="B76">
        <v>5308920</v>
      </c>
      <c r="C76" t="s">
        <v>397</v>
      </c>
      <c r="D76">
        <v>8590</v>
      </c>
      <c r="E76">
        <v>7552</v>
      </c>
      <c r="F76">
        <v>1038</v>
      </c>
      <c r="G76">
        <v>8590</v>
      </c>
      <c r="H76">
        <v>7552</v>
      </c>
      <c r="I76">
        <v>1038</v>
      </c>
      <c r="J76">
        <v>5445</v>
      </c>
      <c r="K76">
        <v>281</v>
      </c>
      <c r="L76">
        <v>712</v>
      </c>
      <c r="M76">
        <v>199</v>
      </c>
      <c r="N76">
        <v>81</v>
      </c>
      <c r="O76">
        <v>23</v>
      </c>
      <c r="P76">
        <v>59</v>
      </c>
      <c r="Q76">
        <v>0</v>
      </c>
      <c r="R76">
        <v>52</v>
      </c>
      <c r="S76">
        <v>102</v>
      </c>
      <c r="T76">
        <v>93</v>
      </c>
      <c r="U76">
        <v>0</v>
      </c>
      <c r="V76">
        <v>827</v>
      </c>
      <c r="W76">
        <v>433</v>
      </c>
      <c r="X76">
        <v>283</v>
      </c>
      <c r="Y76">
        <v>0</v>
      </c>
    </row>
    <row r="77" spans="1:25" x14ac:dyDescent="0.25">
      <c r="A77" t="s">
        <v>398</v>
      </c>
      <c r="B77">
        <v>5309365</v>
      </c>
      <c r="C77" t="s">
        <v>399</v>
      </c>
      <c r="D77">
        <v>15989</v>
      </c>
      <c r="E77">
        <v>15029</v>
      </c>
      <c r="F77">
        <v>960</v>
      </c>
      <c r="G77">
        <v>15989</v>
      </c>
      <c r="H77">
        <v>15029</v>
      </c>
      <c r="I77">
        <v>960</v>
      </c>
      <c r="J77">
        <v>13951</v>
      </c>
      <c r="K77">
        <v>597</v>
      </c>
      <c r="L77">
        <v>339</v>
      </c>
      <c r="M77">
        <v>120</v>
      </c>
      <c r="N77">
        <v>33</v>
      </c>
      <c r="O77">
        <v>0</v>
      </c>
      <c r="P77">
        <v>95</v>
      </c>
      <c r="Q77">
        <v>23</v>
      </c>
      <c r="R77">
        <v>66</v>
      </c>
      <c r="S77">
        <v>180</v>
      </c>
      <c r="T77">
        <v>14</v>
      </c>
      <c r="U77">
        <v>9</v>
      </c>
      <c r="V77">
        <v>160</v>
      </c>
      <c r="W77">
        <v>24</v>
      </c>
      <c r="X77">
        <v>371</v>
      </c>
      <c r="Y77">
        <v>7</v>
      </c>
    </row>
    <row r="78" spans="1:25" x14ac:dyDescent="0.25">
      <c r="A78" t="s">
        <v>400</v>
      </c>
      <c r="B78">
        <v>5309480</v>
      </c>
      <c r="C78" t="s">
        <v>401</v>
      </c>
      <c r="D78">
        <v>22086</v>
      </c>
      <c r="E78">
        <v>19527</v>
      </c>
      <c r="F78">
        <v>2559</v>
      </c>
      <c r="G78">
        <v>22086</v>
      </c>
      <c r="H78">
        <v>19527</v>
      </c>
      <c r="I78">
        <v>2559</v>
      </c>
      <c r="J78">
        <v>16963</v>
      </c>
      <c r="K78">
        <v>1215</v>
      </c>
      <c r="L78">
        <v>637</v>
      </c>
      <c r="M78">
        <v>69</v>
      </c>
      <c r="N78">
        <v>251</v>
      </c>
      <c r="O78">
        <v>33</v>
      </c>
      <c r="P78">
        <v>169</v>
      </c>
      <c r="Q78">
        <v>16</v>
      </c>
      <c r="R78">
        <v>549</v>
      </c>
      <c r="S78">
        <v>1128</v>
      </c>
      <c r="T78">
        <v>0</v>
      </c>
      <c r="U78">
        <v>0</v>
      </c>
      <c r="V78">
        <v>181</v>
      </c>
      <c r="W78">
        <v>18</v>
      </c>
      <c r="X78">
        <v>777</v>
      </c>
      <c r="Y78">
        <v>80</v>
      </c>
    </row>
    <row r="79" spans="1:25" x14ac:dyDescent="0.25">
      <c r="A79" t="s">
        <v>402</v>
      </c>
      <c r="B79">
        <v>5309810</v>
      </c>
      <c r="C79" t="s">
        <v>403</v>
      </c>
      <c r="D79">
        <v>3220</v>
      </c>
      <c r="E79">
        <v>2747</v>
      </c>
      <c r="F79">
        <v>473</v>
      </c>
      <c r="G79">
        <v>3220</v>
      </c>
      <c r="H79">
        <v>2747</v>
      </c>
      <c r="I79">
        <v>473</v>
      </c>
      <c r="J79">
        <v>2450</v>
      </c>
      <c r="K79">
        <v>203</v>
      </c>
      <c r="L79">
        <v>105</v>
      </c>
      <c r="M79">
        <v>64</v>
      </c>
      <c r="N79">
        <v>24</v>
      </c>
      <c r="O79">
        <v>0</v>
      </c>
      <c r="P79">
        <v>0</v>
      </c>
      <c r="Q79">
        <v>0</v>
      </c>
      <c r="R79">
        <v>104</v>
      </c>
      <c r="S79">
        <v>193</v>
      </c>
      <c r="T79">
        <v>0</v>
      </c>
      <c r="U79">
        <v>0</v>
      </c>
      <c r="V79">
        <v>27</v>
      </c>
      <c r="W79">
        <v>13</v>
      </c>
      <c r="X79">
        <v>37</v>
      </c>
      <c r="Y79">
        <v>0</v>
      </c>
    </row>
    <row r="80" spans="1:25" x14ac:dyDescent="0.25">
      <c r="A80" t="s">
        <v>404</v>
      </c>
      <c r="B80">
        <v>5309820</v>
      </c>
      <c r="C80" t="s">
        <v>405</v>
      </c>
      <c r="D80">
        <v>3319</v>
      </c>
      <c r="E80">
        <v>3030</v>
      </c>
      <c r="F80">
        <v>289</v>
      </c>
      <c r="G80">
        <v>3319</v>
      </c>
      <c r="H80">
        <v>3030</v>
      </c>
      <c r="I80">
        <v>289</v>
      </c>
      <c r="J80">
        <v>2814</v>
      </c>
      <c r="K80">
        <v>266</v>
      </c>
      <c r="L80">
        <v>29</v>
      </c>
      <c r="M80">
        <v>23</v>
      </c>
      <c r="N80">
        <v>30</v>
      </c>
      <c r="O80">
        <v>0</v>
      </c>
      <c r="P80">
        <v>0</v>
      </c>
      <c r="Q80">
        <v>0</v>
      </c>
      <c r="R80">
        <v>12</v>
      </c>
      <c r="S80">
        <v>0</v>
      </c>
      <c r="T80">
        <v>0</v>
      </c>
      <c r="U80">
        <v>0</v>
      </c>
      <c r="V80">
        <v>0</v>
      </c>
      <c r="W80">
        <v>0</v>
      </c>
      <c r="X80">
        <v>145</v>
      </c>
      <c r="Y80">
        <v>0</v>
      </c>
    </row>
    <row r="81" spans="1:25" x14ac:dyDescent="0.25">
      <c r="A81" t="s">
        <v>406</v>
      </c>
      <c r="B81">
        <v>5309970</v>
      </c>
      <c r="C81" t="s">
        <v>407</v>
      </c>
      <c r="D81">
        <v>666</v>
      </c>
      <c r="E81">
        <v>661</v>
      </c>
      <c r="F81">
        <v>5</v>
      </c>
      <c r="G81">
        <v>666</v>
      </c>
      <c r="H81">
        <v>661</v>
      </c>
      <c r="I81">
        <v>5</v>
      </c>
      <c r="J81">
        <v>608</v>
      </c>
      <c r="K81">
        <v>5</v>
      </c>
      <c r="L81">
        <v>47</v>
      </c>
      <c r="M81">
        <v>0</v>
      </c>
      <c r="N81">
        <v>0</v>
      </c>
      <c r="O81">
        <v>0</v>
      </c>
      <c r="P81">
        <v>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</v>
      </c>
      <c r="Y81">
        <v>0</v>
      </c>
    </row>
    <row r="82" spans="1:25" x14ac:dyDescent="0.25">
      <c r="A82" t="s">
        <v>408</v>
      </c>
      <c r="B82">
        <v>5310075</v>
      </c>
      <c r="C82" t="s">
        <v>409</v>
      </c>
      <c r="D82">
        <v>762</v>
      </c>
      <c r="E82">
        <v>692</v>
      </c>
      <c r="F82">
        <v>70</v>
      </c>
      <c r="G82">
        <v>762</v>
      </c>
      <c r="H82">
        <v>692</v>
      </c>
      <c r="I82">
        <v>70</v>
      </c>
      <c r="J82">
        <v>678</v>
      </c>
      <c r="K82">
        <v>70</v>
      </c>
      <c r="L82">
        <v>14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410</v>
      </c>
      <c r="B83">
        <v>5310215</v>
      </c>
      <c r="C83" t="s">
        <v>411</v>
      </c>
      <c r="D83">
        <v>1808</v>
      </c>
      <c r="E83">
        <v>1611</v>
      </c>
      <c r="F83">
        <v>197</v>
      </c>
      <c r="G83">
        <v>1808</v>
      </c>
      <c r="H83">
        <v>1611</v>
      </c>
      <c r="I83">
        <v>197</v>
      </c>
      <c r="J83">
        <v>1367</v>
      </c>
      <c r="K83">
        <v>31</v>
      </c>
      <c r="L83">
        <v>155</v>
      </c>
      <c r="M83">
        <v>121</v>
      </c>
      <c r="N83">
        <v>10</v>
      </c>
      <c r="O83">
        <v>0</v>
      </c>
      <c r="P83">
        <v>0</v>
      </c>
      <c r="Q83">
        <v>0</v>
      </c>
      <c r="R83">
        <v>15</v>
      </c>
      <c r="S83">
        <v>45</v>
      </c>
      <c r="T83">
        <v>6</v>
      </c>
      <c r="U83">
        <v>0</v>
      </c>
      <c r="V83">
        <v>0</v>
      </c>
      <c r="W83">
        <v>0</v>
      </c>
      <c r="X83">
        <v>58</v>
      </c>
      <c r="Y83">
        <v>0</v>
      </c>
    </row>
    <row r="84" spans="1:25" x14ac:dyDescent="0.25">
      <c r="A84" t="s">
        <v>412</v>
      </c>
      <c r="B84">
        <v>5310320</v>
      </c>
      <c r="C84" t="s">
        <v>413</v>
      </c>
      <c r="D84">
        <v>2688</v>
      </c>
      <c r="E84">
        <v>2513</v>
      </c>
      <c r="F84">
        <v>175</v>
      </c>
      <c r="G84">
        <v>2688</v>
      </c>
      <c r="H84">
        <v>2513</v>
      </c>
      <c r="I84">
        <v>175</v>
      </c>
      <c r="J84">
        <v>2181</v>
      </c>
      <c r="K84">
        <v>22</v>
      </c>
      <c r="L84">
        <v>146</v>
      </c>
      <c r="M84">
        <v>112</v>
      </c>
      <c r="N84">
        <v>0</v>
      </c>
      <c r="O84">
        <v>0</v>
      </c>
      <c r="P84">
        <v>173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>
        <v>41</v>
      </c>
      <c r="X84">
        <v>5</v>
      </c>
      <c r="Y84">
        <v>0</v>
      </c>
    </row>
    <row r="85" spans="1:25" x14ac:dyDescent="0.25">
      <c r="A85" t="s">
        <v>414</v>
      </c>
      <c r="B85">
        <v>5310455</v>
      </c>
      <c r="C85" t="s">
        <v>415</v>
      </c>
      <c r="D85">
        <v>1797</v>
      </c>
      <c r="E85">
        <v>1516</v>
      </c>
      <c r="F85">
        <v>281</v>
      </c>
      <c r="G85">
        <v>1797</v>
      </c>
      <c r="H85">
        <v>1516</v>
      </c>
      <c r="I85">
        <v>281</v>
      </c>
      <c r="J85">
        <v>1172</v>
      </c>
      <c r="K85">
        <v>99</v>
      </c>
      <c r="L85">
        <v>148</v>
      </c>
      <c r="M85">
        <v>50</v>
      </c>
      <c r="N85">
        <v>19</v>
      </c>
      <c r="O85">
        <v>0</v>
      </c>
      <c r="P85">
        <v>0</v>
      </c>
      <c r="Q85">
        <v>0</v>
      </c>
      <c r="R85">
        <v>16</v>
      </c>
      <c r="S85">
        <v>0</v>
      </c>
      <c r="T85">
        <v>0</v>
      </c>
      <c r="U85">
        <v>0</v>
      </c>
      <c r="V85">
        <v>123</v>
      </c>
      <c r="W85">
        <v>132</v>
      </c>
      <c r="X85">
        <v>38</v>
      </c>
      <c r="Y85">
        <v>0</v>
      </c>
    </row>
    <row r="86" spans="1:25" x14ac:dyDescent="0.25">
      <c r="A86" t="s">
        <v>416</v>
      </c>
      <c r="B86">
        <v>5310495</v>
      </c>
      <c r="C86" t="s">
        <v>417</v>
      </c>
      <c r="D86">
        <v>3140</v>
      </c>
      <c r="E86">
        <v>2756</v>
      </c>
      <c r="F86">
        <v>384</v>
      </c>
      <c r="G86">
        <v>3140</v>
      </c>
      <c r="H86">
        <v>2756</v>
      </c>
      <c r="I86">
        <v>384</v>
      </c>
      <c r="J86">
        <v>2287</v>
      </c>
      <c r="K86">
        <v>72</v>
      </c>
      <c r="L86">
        <v>352</v>
      </c>
      <c r="M86">
        <v>180</v>
      </c>
      <c r="N86">
        <v>8</v>
      </c>
      <c r="O86">
        <v>0</v>
      </c>
      <c r="P86">
        <v>17</v>
      </c>
      <c r="Q86">
        <v>0</v>
      </c>
      <c r="R86">
        <v>0</v>
      </c>
      <c r="S86">
        <v>46</v>
      </c>
      <c r="T86">
        <v>0</v>
      </c>
      <c r="U86">
        <v>0</v>
      </c>
      <c r="V86">
        <v>78</v>
      </c>
      <c r="W86">
        <v>86</v>
      </c>
      <c r="X86">
        <v>14</v>
      </c>
      <c r="Y86">
        <v>0</v>
      </c>
    </row>
    <row r="87" spans="1:25" x14ac:dyDescent="0.25">
      <c r="A87" t="s">
        <v>418</v>
      </c>
      <c r="B87">
        <v>5310565</v>
      </c>
      <c r="C87" t="s">
        <v>419</v>
      </c>
      <c r="D87">
        <v>2899</v>
      </c>
      <c r="E87">
        <v>2809</v>
      </c>
      <c r="F87">
        <v>90</v>
      </c>
      <c r="G87">
        <v>2899</v>
      </c>
      <c r="H87">
        <v>2809</v>
      </c>
      <c r="I87">
        <v>90</v>
      </c>
      <c r="J87">
        <v>2395</v>
      </c>
      <c r="K87">
        <v>26</v>
      </c>
      <c r="L87">
        <v>82</v>
      </c>
      <c r="M87">
        <v>6</v>
      </c>
      <c r="N87">
        <v>0</v>
      </c>
      <c r="O87">
        <v>0</v>
      </c>
      <c r="P87">
        <v>22</v>
      </c>
      <c r="Q87">
        <v>0</v>
      </c>
      <c r="R87">
        <v>0</v>
      </c>
      <c r="S87">
        <v>31</v>
      </c>
      <c r="T87">
        <v>0</v>
      </c>
      <c r="U87">
        <v>0</v>
      </c>
      <c r="V87">
        <v>21</v>
      </c>
      <c r="W87">
        <v>4</v>
      </c>
      <c r="X87">
        <v>289</v>
      </c>
      <c r="Y87">
        <v>23</v>
      </c>
    </row>
    <row r="88" spans="1:25" x14ac:dyDescent="0.25">
      <c r="A88" t="s">
        <v>420</v>
      </c>
      <c r="B88">
        <v>5310600</v>
      </c>
      <c r="C88" t="s">
        <v>421</v>
      </c>
      <c r="D88">
        <v>2506</v>
      </c>
      <c r="E88">
        <v>2366</v>
      </c>
      <c r="F88">
        <v>140</v>
      </c>
      <c r="G88">
        <v>2506</v>
      </c>
      <c r="H88">
        <v>2366</v>
      </c>
      <c r="I88">
        <v>140</v>
      </c>
      <c r="J88">
        <v>2194</v>
      </c>
      <c r="K88">
        <v>64</v>
      </c>
      <c r="L88">
        <v>0</v>
      </c>
      <c r="M88">
        <v>0</v>
      </c>
      <c r="N88">
        <v>0</v>
      </c>
      <c r="O88">
        <v>46</v>
      </c>
      <c r="P88">
        <v>0</v>
      </c>
      <c r="Q88">
        <v>0</v>
      </c>
      <c r="R88">
        <v>19</v>
      </c>
      <c r="S88">
        <v>30</v>
      </c>
      <c r="T88">
        <v>0</v>
      </c>
      <c r="U88">
        <v>0</v>
      </c>
      <c r="V88">
        <v>0</v>
      </c>
      <c r="W88">
        <v>0</v>
      </c>
      <c r="X88">
        <v>153</v>
      </c>
      <c r="Y88">
        <v>0</v>
      </c>
    </row>
    <row r="89" spans="1:25" x14ac:dyDescent="0.25">
      <c r="A89" t="s">
        <v>422</v>
      </c>
      <c r="B89">
        <v>5310635</v>
      </c>
      <c r="C89" t="s">
        <v>423</v>
      </c>
      <c r="D89">
        <v>775</v>
      </c>
      <c r="E89">
        <v>749</v>
      </c>
      <c r="F89">
        <v>26</v>
      </c>
      <c r="G89">
        <v>775</v>
      </c>
      <c r="H89">
        <v>749</v>
      </c>
      <c r="I89">
        <v>26</v>
      </c>
      <c r="J89">
        <v>536</v>
      </c>
      <c r="K89">
        <v>6</v>
      </c>
      <c r="L89">
        <v>130</v>
      </c>
      <c r="M89">
        <v>2</v>
      </c>
      <c r="N89">
        <v>8</v>
      </c>
      <c r="O89">
        <v>0</v>
      </c>
      <c r="P89">
        <v>14</v>
      </c>
      <c r="Q89">
        <v>0</v>
      </c>
      <c r="R89">
        <v>0</v>
      </c>
      <c r="S89">
        <v>13</v>
      </c>
      <c r="T89">
        <v>0</v>
      </c>
      <c r="U89">
        <v>1</v>
      </c>
      <c r="V89">
        <v>42</v>
      </c>
      <c r="W89">
        <v>0</v>
      </c>
      <c r="X89">
        <v>19</v>
      </c>
      <c r="Y89">
        <v>4</v>
      </c>
    </row>
    <row r="90" spans="1:25" x14ac:dyDescent="0.25">
      <c r="A90" t="s">
        <v>424</v>
      </c>
      <c r="B90">
        <v>5310645</v>
      </c>
      <c r="C90" t="s">
        <v>425</v>
      </c>
      <c r="D90">
        <v>5284</v>
      </c>
      <c r="E90">
        <v>5046</v>
      </c>
      <c r="F90">
        <v>238</v>
      </c>
      <c r="G90">
        <v>5284</v>
      </c>
      <c r="H90">
        <v>5046</v>
      </c>
      <c r="I90">
        <v>238</v>
      </c>
      <c r="J90">
        <v>4518</v>
      </c>
      <c r="K90">
        <v>159</v>
      </c>
      <c r="L90">
        <v>120</v>
      </c>
      <c r="M90">
        <v>36</v>
      </c>
      <c r="N90">
        <v>10</v>
      </c>
      <c r="O90">
        <v>0</v>
      </c>
      <c r="P90">
        <v>7</v>
      </c>
      <c r="Q90">
        <v>0</v>
      </c>
      <c r="R90">
        <v>22</v>
      </c>
      <c r="S90">
        <v>32</v>
      </c>
      <c r="T90">
        <v>0</v>
      </c>
      <c r="U90">
        <v>0</v>
      </c>
      <c r="V90">
        <v>36</v>
      </c>
      <c r="W90">
        <v>0</v>
      </c>
      <c r="X90">
        <v>333</v>
      </c>
      <c r="Y90">
        <v>11</v>
      </c>
    </row>
    <row r="91" spans="1:25" x14ac:dyDescent="0.25">
      <c r="A91" t="s">
        <v>426</v>
      </c>
      <c r="B91">
        <v>5311090</v>
      </c>
      <c r="C91" t="s">
        <v>427</v>
      </c>
      <c r="D91">
        <v>109</v>
      </c>
      <c r="E91">
        <v>109</v>
      </c>
      <c r="F91">
        <v>0</v>
      </c>
      <c r="G91">
        <v>109</v>
      </c>
      <c r="H91">
        <v>109</v>
      </c>
      <c r="I91">
        <v>0</v>
      </c>
      <c r="J91">
        <v>109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t="s">
        <v>428</v>
      </c>
      <c r="B92">
        <v>5311160</v>
      </c>
      <c r="C92" t="s">
        <v>429</v>
      </c>
      <c r="D92">
        <v>16771</v>
      </c>
      <c r="E92">
        <v>15322</v>
      </c>
      <c r="F92">
        <v>1449</v>
      </c>
      <c r="G92">
        <v>16771</v>
      </c>
      <c r="H92">
        <v>15322</v>
      </c>
      <c r="I92">
        <v>1449</v>
      </c>
      <c r="J92">
        <v>12758</v>
      </c>
      <c r="K92">
        <v>241</v>
      </c>
      <c r="L92">
        <v>1454</v>
      </c>
      <c r="M92">
        <v>899</v>
      </c>
      <c r="N92">
        <v>15</v>
      </c>
      <c r="O92">
        <v>2</v>
      </c>
      <c r="P92">
        <v>71</v>
      </c>
      <c r="Q92">
        <v>0</v>
      </c>
      <c r="R92">
        <v>44</v>
      </c>
      <c r="S92">
        <v>124</v>
      </c>
      <c r="T92">
        <v>30</v>
      </c>
      <c r="U92">
        <v>0</v>
      </c>
      <c r="V92">
        <v>73</v>
      </c>
      <c r="W92">
        <v>120</v>
      </c>
      <c r="X92">
        <v>877</v>
      </c>
      <c r="Y92">
        <v>63</v>
      </c>
    </row>
    <row r="93" spans="1:25" x14ac:dyDescent="0.25">
      <c r="A93" t="s">
        <v>430</v>
      </c>
      <c r="B93">
        <v>5311195</v>
      </c>
      <c r="C93" t="s">
        <v>431</v>
      </c>
      <c r="D93">
        <v>2741</v>
      </c>
      <c r="E93">
        <v>2501</v>
      </c>
      <c r="F93">
        <v>240</v>
      </c>
      <c r="G93">
        <v>2741</v>
      </c>
      <c r="H93">
        <v>2501</v>
      </c>
      <c r="I93">
        <v>240</v>
      </c>
      <c r="J93">
        <v>2370</v>
      </c>
      <c r="K93">
        <v>65</v>
      </c>
      <c r="L93">
        <v>42</v>
      </c>
      <c r="M93">
        <v>141</v>
      </c>
      <c r="N93">
        <v>1</v>
      </c>
      <c r="O93">
        <v>0</v>
      </c>
      <c r="P93">
        <v>49</v>
      </c>
      <c r="Q93">
        <v>0</v>
      </c>
      <c r="R93">
        <v>0</v>
      </c>
      <c r="S93">
        <v>34</v>
      </c>
      <c r="T93">
        <v>0</v>
      </c>
      <c r="U93">
        <v>0</v>
      </c>
      <c r="V93">
        <v>11</v>
      </c>
      <c r="W93">
        <v>0</v>
      </c>
      <c r="X93">
        <v>28</v>
      </c>
      <c r="Y93">
        <v>0</v>
      </c>
    </row>
    <row r="94" spans="1:25" x14ac:dyDescent="0.25">
      <c r="A94" t="s">
        <v>432</v>
      </c>
      <c r="B94">
        <v>5311325</v>
      </c>
      <c r="C94" t="s">
        <v>433</v>
      </c>
      <c r="D94">
        <v>4280</v>
      </c>
      <c r="E94">
        <v>4186</v>
      </c>
      <c r="F94">
        <v>94</v>
      </c>
      <c r="G94">
        <v>4280</v>
      </c>
      <c r="H94">
        <v>4186</v>
      </c>
      <c r="I94">
        <v>94</v>
      </c>
      <c r="J94">
        <v>3775</v>
      </c>
      <c r="K94">
        <v>52</v>
      </c>
      <c r="L94">
        <v>59</v>
      </c>
      <c r="M94">
        <v>16</v>
      </c>
      <c r="N94">
        <v>0</v>
      </c>
      <c r="O94">
        <v>0</v>
      </c>
      <c r="P94">
        <v>88</v>
      </c>
      <c r="Q94">
        <v>0</v>
      </c>
      <c r="R94">
        <v>0</v>
      </c>
      <c r="S94">
        <v>11</v>
      </c>
      <c r="T94">
        <v>19</v>
      </c>
      <c r="U94">
        <v>0</v>
      </c>
      <c r="V94">
        <v>38</v>
      </c>
      <c r="W94">
        <v>0</v>
      </c>
      <c r="X94">
        <v>207</v>
      </c>
      <c r="Y94">
        <v>15</v>
      </c>
    </row>
    <row r="95" spans="1:25" x14ac:dyDescent="0.25">
      <c r="A95" t="s">
        <v>434</v>
      </c>
      <c r="B95">
        <v>5311475</v>
      </c>
      <c r="C95" t="s">
        <v>435</v>
      </c>
      <c r="D95">
        <v>7337</v>
      </c>
      <c r="E95">
        <v>6904</v>
      </c>
      <c r="F95">
        <v>433</v>
      </c>
      <c r="G95">
        <v>7337</v>
      </c>
      <c r="H95">
        <v>6904</v>
      </c>
      <c r="I95">
        <v>433</v>
      </c>
      <c r="J95">
        <v>5615</v>
      </c>
      <c r="K95">
        <v>152</v>
      </c>
      <c r="L95">
        <v>545</v>
      </c>
      <c r="M95">
        <v>86</v>
      </c>
      <c r="N95">
        <v>285</v>
      </c>
      <c r="O95">
        <v>15</v>
      </c>
      <c r="P95">
        <v>28</v>
      </c>
      <c r="Q95">
        <v>0</v>
      </c>
      <c r="R95">
        <v>13</v>
      </c>
      <c r="S95">
        <v>15</v>
      </c>
      <c r="T95">
        <v>0</v>
      </c>
      <c r="U95">
        <v>0</v>
      </c>
      <c r="V95">
        <v>128</v>
      </c>
      <c r="W95">
        <v>86</v>
      </c>
      <c r="X95">
        <v>290</v>
      </c>
      <c r="Y95">
        <v>79</v>
      </c>
    </row>
    <row r="96" spans="1:25" x14ac:dyDescent="0.25">
      <c r="A96" t="s">
        <v>436</v>
      </c>
      <c r="B96">
        <v>5311615</v>
      </c>
      <c r="C96" t="s">
        <v>437</v>
      </c>
      <c r="D96">
        <v>4012</v>
      </c>
      <c r="E96">
        <v>3224</v>
      </c>
      <c r="F96">
        <v>788</v>
      </c>
      <c r="G96">
        <v>4012</v>
      </c>
      <c r="H96">
        <v>3224</v>
      </c>
      <c r="I96">
        <v>788</v>
      </c>
      <c r="J96">
        <v>2453</v>
      </c>
      <c r="K96">
        <v>52</v>
      </c>
      <c r="L96">
        <v>557</v>
      </c>
      <c r="M96">
        <v>669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214</v>
      </c>
      <c r="W96">
        <v>67</v>
      </c>
      <c r="X96">
        <v>0</v>
      </c>
      <c r="Y96">
        <v>0</v>
      </c>
    </row>
    <row r="97" spans="1:25" x14ac:dyDescent="0.25">
      <c r="A97" t="s">
        <v>438</v>
      </c>
      <c r="B97">
        <v>5311685</v>
      </c>
      <c r="C97" t="s">
        <v>439</v>
      </c>
      <c r="D97">
        <v>86</v>
      </c>
      <c r="E97">
        <v>86</v>
      </c>
      <c r="F97">
        <v>0</v>
      </c>
      <c r="G97">
        <v>86</v>
      </c>
      <c r="H97">
        <v>86</v>
      </c>
      <c r="I97">
        <v>0</v>
      </c>
      <c r="J97">
        <v>86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t="s">
        <v>440</v>
      </c>
      <c r="B98">
        <v>5311825</v>
      </c>
      <c r="C98" t="s">
        <v>441</v>
      </c>
      <c r="D98">
        <v>11735</v>
      </c>
      <c r="E98">
        <v>10669</v>
      </c>
      <c r="F98">
        <v>1066</v>
      </c>
      <c r="G98">
        <v>11735</v>
      </c>
      <c r="H98">
        <v>10669</v>
      </c>
      <c r="I98">
        <v>1066</v>
      </c>
      <c r="J98">
        <v>8574</v>
      </c>
      <c r="K98">
        <v>483</v>
      </c>
      <c r="L98">
        <v>611</v>
      </c>
      <c r="M98">
        <v>230</v>
      </c>
      <c r="N98">
        <v>534</v>
      </c>
      <c r="O98">
        <v>31</v>
      </c>
      <c r="P98">
        <v>134</v>
      </c>
      <c r="Q98">
        <v>8</v>
      </c>
      <c r="R98">
        <v>192</v>
      </c>
      <c r="S98">
        <v>186</v>
      </c>
      <c r="T98">
        <v>21</v>
      </c>
      <c r="U98">
        <v>22</v>
      </c>
      <c r="V98">
        <v>123</v>
      </c>
      <c r="W98">
        <v>58</v>
      </c>
      <c r="X98">
        <v>480</v>
      </c>
      <c r="Y98">
        <v>48</v>
      </c>
    </row>
    <row r="99" spans="1:25" x14ac:dyDescent="0.25">
      <c r="A99" t="s">
        <v>442</v>
      </c>
      <c r="B99">
        <v>5312015</v>
      </c>
      <c r="C99" t="s">
        <v>443</v>
      </c>
      <c r="D99">
        <v>689</v>
      </c>
      <c r="E99">
        <v>634</v>
      </c>
      <c r="F99">
        <v>55</v>
      </c>
      <c r="G99">
        <v>689</v>
      </c>
      <c r="H99">
        <v>634</v>
      </c>
      <c r="I99">
        <v>55</v>
      </c>
      <c r="J99">
        <v>574</v>
      </c>
      <c r="K99">
        <v>8</v>
      </c>
      <c r="L99">
        <v>60</v>
      </c>
      <c r="M99">
        <v>45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 t="s">
        <v>444</v>
      </c>
      <c r="B100">
        <v>5312140</v>
      </c>
      <c r="C100" t="s">
        <v>445</v>
      </c>
      <c r="D100">
        <v>2601</v>
      </c>
      <c r="E100">
        <v>2503</v>
      </c>
      <c r="F100">
        <v>98</v>
      </c>
      <c r="G100">
        <v>2601</v>
      </c>
      <c r="H100">
        <v>2503</v>
      </c>
      <c r="I100">
        <v>98</v>
      </c>
      <c r="J100">
        <v>2236</v>
      </c>
      <c r="K100">
        <v>53</v>
      </c>
      <c r="L100">
        <v>36</v>
      </c>
      <c r="M100">
        <v>11</v>
      </c>
      <c r="N100">
        <v>77</v>
      </c>
      <c r="O100">
        <v>0</v>
      </c>
      <c r="P100">
        <v>0</v>
      </c>
      <c r="Q100">
        <v>0</v>
      </c>
      <c r="R100">
        <v>0</v>
      </c>
      <c r="S100">
        <v>34</v>
      </c>
      <c r="T100">
        <v>0</v>
      </c>
      <c r="U100">
        <v>0</v>
      </c>
      <c r="V100">
        <v>0</v>
      </c>
      <c r="W100">
        <v>0</v>
      </c>
      <c r="X100">
        <v>154</v>
      </c>
      <c r="Y100">
        <v>0</v>
      </c>
    </row>
    <row r="101" spans="1:25" x14ac:dyDescent="0.25">
      <c r="A101" t="s">
        <v>446</v>
      </c>
      <c r="B101">
        <v>5312175</v>
      </c>
      <c r="C101" t="s">
        <v>447</v>
      </c>
      <c r="D101">
        <v>2635</v>
      </c>
      <c r="E101">
        <v>2154</v>
      </c>
      <c r="F101">
        <v>481</v>
      </c>
      <c r="G101">
        <v>2635</v>
      </c>
      <c r="H101">
        <v>2154</v>
      </c>
      <c r="I101">
        <v>481</v>
      </c>
      <c r="J101">
        <v>1658</v>
      </c>
      <c r="K101">
        <v>127</v>
      </c>
      <c r="L101">
        <v>34</v>
      </c>
      <c r="M101">
        <v>38</v>
      </c>
      <c r="N101">
        <v>9</v>
      </c>
      <c r="O101">
        <v>0</v>
      </c>
      <c r="P101">
        <v>28</v>
      </c>
      <c r="Q101">
        <v>0</v>
      </c>
      <c r="R101">
        <v>191</v>
      </c>
      <c r="S101">
        <v>256</v>
      </c>
      <c r="T101">
        <v>19</v>
      </c>
      <c r="U101">
        <v>0</v>
      </c>
      <c r="V101">
        <v>41</v>
      </c>
      <c r="W101">
        <v>39</v>
      </c>
      <c r="X101">
        <v>174</v>
      </c>
      <c r="Y101">
        <v>21</v>
      </c>
    </row>
    <row r="102" spans="1:25" x14ac:dyDescent="0.25">
      <c r="A102" t="s">
        <v>448</v>
      </c>
      <c r="B102">
        <v>5312315</v>
      </c>
      <c r="C102" t="s">
        <v>449</v>
      </c>
      <c r="D102">
        <v>300</v>
      </c>
      <c r="E102">
        <v>260</v>
      </c>
      <c r="F102">
        <v>40</v>
      </c>
      <c r="G102">
        <v>300</v>
      </c>
      <c r="H102">
        <v>260</v>
      </c>
      <c r="I102">
        <v>40</v>
      </c>
      <c r="J102">
        <v>260</v>
      </c>
      <c r="K102">
        <v>0</v>
      </c>
      <c r="L102">
        <v>0</v>
      </c>
      <c r="M102">
        <v>40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 t="s">
        <v>450</v>
      </c>
      <c r="B103">
        <v>5312525</v>
      </c>
      <c r="C103" t="s">
        <v>451</v>
      </c>
      <c r="D103">
        <v>366</v>
      </c>
      <c r="E103">
        <v>366</v>
      </c>
      <c r="F103">
        <v>0</v>
      </c>
      <c r="G103">
        <v>366</v>
      </c>
      <c r="H103">
        <v>366</v>
      </c>
      <c r="I103">
        <v>0</v>
      </c>
      <c r="J103">
        <v>264</v>
      </c>
      <c r="K103">
        <v>0</v>
      </c>
      <c r="L103">
        <v>37</v>
      </c>
      <c r="M103">
        <v>0</v>
      </c>
      <c r="N103">
        <v>0</v>
      </c>
      <c r="O103">
        <v>0</v>
      </c>
      <c r="P103">
        <v>43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17</v>
      </c>
      <c r="W103">
        <v>0</v>
      </c>
      <c r="X103">
        <v>5</v>
      </c>
      <c r="Y103">
        <v>0</v>
      </c>
    </row>
    <row r="104" spans="1:25" x14ac:dyDescent="0.25">
      <c r="A104" t="s">
        <v>452</v>
      </c>
      <c r="B104">
        <v>5312630</v>
      </c>
      <c r="C104" t="s">
        <v>453</v>
      </c>
      <c r="D104">
        <v>7344</v>
      </c>
      <c r="E104">
        <v>7080</v>
      </c>
      <c r="F104">
        <v>264</v>
      </c>
      <c r="G104">
        <v>7344</v>
      </c>
      <c r="H104">
        <v>7080</v>
      </c>
      <c r="I104">
        <v>264</v>
      </c>
      <c r="J104">
        <v>6470</v>
      </c>
      <c r="K104">
        <v>130</v>
      </c>
      <c r="L104">
        <v>175</v>
      </c>
      <c r="M104">
        <v>51</v>
      </c>
      <c r="N104">
        <v>7</v>
      </c>
      <c r="O104">
        <v>0</v>
      </c>
      <c r="P104">
        <v>210</v>
      </c>
      <c r="Q104">
        <v>0</v>
      </c>
      <c r="R104">
        <v>20</v>
      </c>
      <c r="S104">
        <v>34</v>
      </c>
      <c r="T104">
        <v>0</v>
      </c>
      <c r="U104">
        <v>3</v>
      </c>
      <c r="V104">
        <v>19</v>
      </c>
      <c r="W104">
        <v>36</v>
      </c>
      <c r="X104">
        <v>179</v>
      </c>
      <c r="Y104">
        <v>10</v>
      </c>
    </row>
    <row r="105" spans="1:25" x14ac:dyDescent="0.25">
      <c r="A105" t="s">
        <v>454</v>
      </c>
      <c r="B105">
        <v>5312680</v>
      </c>
      <c r="C105" t="s">
        <v>455</v>
      </c>
      <c r="D105">
        <v>6453</v>
      </c>
      <c r="E105">
        <v>6282</v>
      </c>
      <c r="F105">
        <v>171</v>
      </c>
      <c r="G105">
        <v>6453</v>
      </c>
      <c r="H105">
        <v>6282</v>
      </c>
      <c r="I105">
        <v>171</v>
      </c>
      <c r="J105">
        <v>5905</v>
      </c>
      <c r="K105">
        <v>47</v>
      </c>
      <c r="L105">
        <v>46</v>
      </c>
      <c r="M105">
        <v>0</v>
      </c>
      <c r="N105">
        <v>7</v>
      </c>
      <c r="O105">
        <v>0</v>
      </c>
      <c r="P105">
        <v>131</v>
      </c>
      <c r="Q105">
        <v>0</v>
      </c>
      <c r="R105">
        <v>66</v>
      </c>
      <c r="S105">
        <v>75</v>
      </c>
      <c r="T105">
        <v>0</v>
      </c>
      <c r="U105">
        <v>21</v>
      </c>
      <c r="V105">
        <v>0</v>
      </c>
      <c r="W105">
        <v>28</v>
      </c>
      <c r="X105">
        <v>127</v>
      </c>
      <c r="Y105">
        <v>0</v>
      </c>
    </row>
    <row r="106" spans="1:25" x14ac:dyDescent="0.25">
      <c r="A106" t="s">
        <v>456</v>
      </c>
      <c r="B106">
        <v>5312735</v>
      </c>
      <c r="C106" t="s">
        <v>457</v>
      </c>
      <c r="D106">
        <v>361</v>
      </c>
      <c r="E106">
        <v>324</v>
      </c>
      <c r="F106">
        <v>37</v>
      </c>
      <c r="G106">
        <v>361</v>
      </c>
      <c r="H106">
        <v>324</v>
      </c>
      <c r="I106">
        <v>37</v>
      </c>
      <c r="J106">
        <v>293</v>
      </c>
      <c r="K106">
        <v>37</v>
      </c>
      <c r="L106">
        <v>18</v>
      </c>
      <c r="M106">
        <v>0</v>
      </c>
      <c r="N106">
        <v>0</v>
      </c>
      <c r="O106">
        <v>0</v>
      </c>
      <c r="P106">
        <v>13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t="s">
        <v>458</v>
      </c>
      <c r="B107">
        <v>5312820</v>
      </c>
      <c r="C107" t="s">
        <v>459</v>
      </c>
      <c r="D107">
        <v>889</v>
      </c>
      <c r="E107">
        <v>876</v>
      </c>
      <c r="F107">
        <v>13</v>
      </c>
      <c r="G107">
        <v>889</v>
      </c>
      <c r="H107">
        <v>876</v>
      </c>
      <c r="I107">
        <v>13</v>
      </c>
      <c r="J107">
        <v>772</v>
      </c>
      <c r="K107">
        <v>11</v>
      </c>
      <c r="L107">
        <v>25</v>
      </c>
      <c r="M107">
        <v>1</v>
      </c>
      <c r="N107">
        <v>0</v>
      </c>
      <c r="O107">
        <v>0</v>
      </c>
      <c r="P107">
        <v>12</v>
      </c>
      <c r="Q107">
        <v>0</v>
      </c>
      <c r="R107">
        <v>0</v>
      </c>
      <c r="S107">
        <v>0</v>
      </c>
      <c r="T107">
        <v>14</v>
      </c>
      <c r="U107">
        <v>0</v>
      </c>
      <c r="V107">
        <v>0</v>
      </c>
      <c r="W107">
        <v>1</v>
      </c>
      <c r="X107">
        <v>53</v>
      </c>
      <c r="Y107">
        <v>0</v>
      </c>
    </row>
    <row r="108" spans="1:25" x14ac:dyDescent="0.25">
      <c r="A108" t="s">
        <v>460</v>
      </c>
      <c r="B108">
        <v>5312840</v>
      </c>
      <c r="C108" t="s">
        <v>461</v>
      </c>
      <c r="D108">
        <v>990</v>
      </c>
      <c r="E108">
        <v>979</v>
      </c>
      <c r="F108">
        <v>11</v>
      </c>
      <c r="G108">
        <v>990</v>
      </c>
      <c r="H108">
        <v>979</v>
      </c>
      <c r="I108">
        <v>11</v>
      </c>
      <c r="J108">
        <v>969</v>
      </c>
      <c r="K108">
        <v>11</v>
      </c>
      <c r="L108">
        <v>10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 t="s">
        <v>462</v>
      </c>
      <c r="B109">
        <v>5312875</v>
      </c>
      <c r="C109" t="s">
        <v>463</v>
      </c>
      <c r="D109">
        <v>3907</v>
      </c>
      <c r="E109">
        <v>3576</v>
      </c>
      <c r="F109">
        <v>331</v>
      </c>
      <c r="G109">
        <v>3907</v>
      </c>
      <c r="H109">
        <v>3576</v>
      </c>
      <c r="I109">
        <v>331</v>
      </c>
      <c r="J109">
        <v>3207</v>
      </c>
      <c r="K109">
        <v>96</v>
      </c>
      <c r="L109">
        <v>169</v>
      </c>
      <c r="M109">
        <v>96</v>
      </c>
      <c r="N109">
        <v>0</v>
      </c>
      <c r="O109">
        <v>0</v>
      </c>
      <c r="P109">
        <v>0</v>
      </c>
      <c r="Q109">
        <v>0</v>
      </c>
      <c r="R109">
        <v>130</v>
      </c>
      <c r="S109">
        <v>91</v>
      </c>
      <c r="T109">
        <v>0</v>
      </c>
      <c r="U109">
        <v>0</v>
      </c>
      <c r="V109">
        <v>0</v>
      </c>
      <c r="W109">
        <v>48</v>
      </c>
      <c r="X109">
        <v>70</v>
      </c>
      <c r="Y109">
        <v>0</v>
      </c>
    </row>
    <row r="110" spans="1:25" x14ac:dyDescent="0.25">
      <c r="A110" t="s">
        <v>464</v>
      </c>
      <c r="B110">
        <v>5312945</v>
      </c>
      <c r="C110" t="s">
        <v>465</v>
      </c>
      <c r="D110">
        <v>2741</v>
      </c>
      <c r="E110">
        <v>2591</v>
      </c>
      <c r="F110">
        <v>150</v>
      </c>
      <c r="G110">
        <v>2741</v>
      </c>
      <c r="H110">
        <v>2591</v>
      </c>
      <c r="I110">
        <v>150</v>
      </c>
      <c r="J110">
        <v>2394</v>
      </c>
      <c r="K110">
        <v>29</v>
      </c>
      <c r="L110">
        <v>17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9</v>
      </c>
      <c r="S110">
        <v>0</v>
      </c>
      <c r="T110">
        <v>0</v>
      </c>
      <c r="U110">
        <v>0</v>
      </c>
      <c r="V110">
        <v>59</v>
      </c>
      <c r="W110">
        <v>100</v>
      </c>
      <c r="X110">
        <v>112</v>
      </c>
      <c r="Y110">
        <v>21</v>
      </c>
    </row>
    <row r="111" spans="1:25" x14ac:dyDescent="0.25">
      <c r="A111" t="s">
        <v>466</v>
      </c>
      <c r="B111">
        <v>5313015</v>
      </c>
      <c r="C111" t="s">
        <v>467</v>
      </c>
      <c r="D111">
        <v>80</v>
      </c>
      <c r="E111">
        <v>80</v>
      </c>
      <c r="F111">
        <v>0</v>
      </c>
      <c r="G111">
        <v>80</v>
      </c>
      <c r="H111">
        <v>80</v>
      </c>
      <c r="I111">
        <v>0</v>
      </c>
      <c r="J111">
        <v>78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</row>
    <row r="112" spans="1:25" x14ac:dyDescent="0.25">
      <c r="A112" t="s">
        <v>468</v>
      </c>
      <c r="B112">
        <v>5313155</v>
      </c>
      <c r="C112" t="s">
        <v>469</v>
      </c>
      <c r="D112">
        <v>811</v>
      </c>
      <c r="E112">
        <v>775</v>
      </c>
      <c r="F112">
        <v>36</v>
      </c>
      <c r="G112">
        <v>811</v>
      </c>
      <c r="H112">
        <v>775</v>
      </c>
      <c r="I112">
        <v>36</v>
      </c>
      <c r="J112">
        <v>714</v>
      </c>
      <c r="K112">
        <v>25</v>
      </c>
      <c r="L112">
        <v>44</v>
      </c>
      <c r="M112">
        <v>9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2</v>
      </c>
      <c r="X112">
        <v>15</v>
      </c>
      <c r="Y112">
        <v>0</v>
      </c>
    </row>
    <row r="113" spans="1:25" x14ac:dyDescent="0.25">
      <c r="A113" t="s">
        <v>470</v>
      </c>
      <c r="B113">
        <v>5313215</v>
      </c>
      <c r="C113" t="s">
        <v>471</v>
      </c>
      <c r="D113">
        <v>6831</v>
      </c>
      <c r="E113">
        <v>5886</v>
      </c>
      <c r="F113">
        <v>945</v>
      </c>
      <c r="G113">
        <v>6831</v>
      </c>
      <c r="H113">
        <v>5886</v>
      </c>
      <c r="I113">
        <v>945</v>
      </c>
      <c r="J113">
        <v>4652</v>
      </c>
      <c r="K113">
        <v>184</v>
      </c>
      <c r="L113">
        <v>251</v>
      </c>
      <c r="M113">
        <v>176</v>
      </c>
      <c r="N113">
        <v>142</v>
      </c>
      <c r="O113">
        <v>17</v>
      </c>
      <c r="P113">
        <v>73</v>
      </c>
      <c r="Q113">
        <v>0</v>
      </c>
      <c r="R113">
        <v>59</v>
      </c>
      <c r="S113">
        <v>262</v>
      </c>
      <c r="T113">
        <v>12</v>
      </c>
      <c r="U113">
        <v>116</v>
      </c>
      <c r="V113">
        <v>181</v>
      </c>
      <c r="W113">
        <v>84</v>
      </c>
      <c r="X113">
        <v>516</v>
      </c>
      <c r="Y113">
        <v>106</v>
      </c>
    </row>
    <row r="114" spans="1:25" x14ac:dyDescent="0.25">
      <c r="A114" t="s">
        <v>472</v>
      </c>
      <c r="B114">
        <v>5313365</v>
      </c>
      <c r="C114" t="s">
        <v>473</v>
      </c>
      <c r="D114">
        <v>3231</v>
      </c>
      <c r="E114">
        <v>2533</v>
      </c>
      <c r="F114">
        <v>698</v>
      </c>
      <c r="G114">
        <v>3231</v>
      </c>
      <c r="H114">
        <v>2533</v>
      </c>
      <c r="I114">
        <v>698</v>
      </c>
      <c r="J114">
        <v>2179</v>
      </c>
      <c r="K114">
        <v>276</v>
      </c>
      <c r="L114">
        <v>25</v>
      </c>
      <c r="M114">
        <v>23</v>
      </c>
      <c r="N114">
        <v>22</v>
      </c>
      <c r="O114">
        <v>6</v>
      </c>
      <c r="P114">
        <v>8</v>
      </c>
      <c r="Q114">
        <v>0</v>
      </c>
      <c r="R114">
        <v>185</v>
      </c>
      <c r="S114">
        <v>376</v>
      </c>
      <c r="T114">
        <v>0</v>
      </c>
      <c r="U114">
        <v>0</v>
      </c>
      <c r="V114">
        <v>0</v>
      </c>
      <c r="W114">
        <v>0</v>
      </c>
      <c r="X114">
        <v>114</v>
      </c>
      <c r="Y114">
        <v>17</v>
      </c>
    </row>
    <row r="115" spans="1:25" x14ac:dyDescent="0.25">
      <c r="A115" t="s">
        <v>474</v>
      </c>
      <c r="B115">
        <v>5313595</v>
      </c>
      <c r="C115" t="s">
        <v>475</v>
      </c>
      <c r="D115">
        <v>712</v>
      </c>
      <c r="E115">
        <v>712</v>
      </c>
      <c r="F115">
        <v>0</v>
      </c>
      <c r="G115">
        <v>712</v>
      </c>
      <c r="H115">
        <v>712</v>
      </c>
      <c r="I115">
        <v>0</v>
      </c>
      <c r="J115">
        <v>565</v>
      </c>
      <c r="K115">
        <v>0</v>
      </c>
      <c r="L115">
        <v>132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15</v>
      </c>
      <c r="Y115">
        <v>0</v>
      </c>
    </row>
    <row r="116" spans="1:25" x14ac:dyDescent="0.25">
      <c r="A116" t="s">
        <v>476</v>
      </c>
      <c r="B116">
        <v>5313785</v>
      </c>
      <c r="C116" t="s">
        <v>477</v>
      </c>
      <c r="D116">
        <v>2853</v>
      </c>
      <c r="E116">
        <v>2796</v>
      </c>
      <c r="F116">
        <v>57</v>
      </c>
      <c r="G116">
        <v>2853</v>
      </c>
      <c r="H116">
        <v>2796</v>
      </c>
      <c r="I116">
        <v>57</v>
      </c>
      <c r="J116">
        <v>2681</v>
      </c>
      <c r="K116">
        <v>22</v>
      </c>
      <c r="L116">
        <v>43</v>
      </c>
      <c r="M116">
        <v>0</v>
      </c>
      <c r="N116">
        <v>36</v>
      </c>
      <c r="O116">
        <v>0</v>
      </c>
      <c r="P116">
        <v>6</v>
      </c>
      <c r="Q116">
        <v>0</v>
      </c>
      <c r="R116">
        <v>0</v>
      </c>
      <c r="S116">
        <v>35</v>
      </c>
      <c r="T116">
        <v>0</v>
      </c>
      <c r="U116">
        <v>0</v>
      </c>
      <c r="V116">
        <v>9</v>
      </c>
      <c r="W116">
        <v>0</v>
      </c>
      <c r="X116">
        <v>21</v>
      </c>
      <c r="Y116">
        <v>0</v>
      </c>
    </row>
    <row r="117" spans="1:25" x14ac:dyDescent="0.25">
      <c r="A117" t="s">
        <v>478</v>
      </c>
      <c r="B117">
        <v>5313855</v>
      </c>
      <c r="C117" t="s">
        <v>479</v>
      </c>
      <c r="D117">
        <v>9041</v>
      </c>
      <c r="E117">
        <v>7731</v>
      </c>
      <c r="F117">
        <v>1310</v>
      </c>
      <c r="G117">
        <v>9041</v>
      </c>
      <c r="H117">
        <v>7731</v>
      </c>
      <c r="I117">
        <v>1310</v>
      </c>
      <c r="J117">
        <v>6470</v>
      </c>
      <c r="K117">
        <v>517</v>
      </c>
      <c r="L117">
        <v>472</v>
      </c>
      <c r="M117">
        <v>223</v>
      </c>
      <c r="N117">
        <v>32</v>
      </c>
      <c r="O117">
        <v>39</v>
      </c>
      <c r="P117">
        <v>62</v>
      </c>
      <c r="Q117">
        <v>0</v>
      </c>
      <c r="R117">
        <v>33</v>
      </c>
      <c r="S117">
        <v>63</v>
      </c>
      <c r="T117">
        <v>1</v>
      </c>
      <c r="U117">
        <v>17</v>
      </c>
      <c r="V117">
        <v>441</v>
      </c>
      <c r="W117">
        <v>400</v>
      </c>
      <c r="X117">
        <v>220</v>
      </c>
      <c r="Y117">
        <v>51</v>
      </c>
    </row>
    <row r="118" spans="1:25" x14ac:dyDescent="0.25">
      <c r="A118" t="s">
        <v>480</v>
      </c>
      <c r="B118">
        <v>5313890</v>
      </c>
      <c r="C118" t="s">
        <v>481</v>
      </c>
      <c r="D118">
        <v>386</v>
      </c>
      <c r="E118">
        <v>374</v>
      </c>
      <c r="F118">
        <v>12</v>
      </c>
      <c r="G118">
        <v>386</v>
      </c>
      <c r="H118">
        <v>374</v>
      </c>
      <c r="I118">
        <v>12</v>
      </c>
      <c r="J118">
        <v>356</v>
      </c>
      <c r="K118">
        <v>10</v>
      </c>
      <c r="L118">
        <v>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15</v>
      </c>
      <c r="Y118">
        <v>0</v>
      </c>
    </row>
    <row r="119" spans="1:25" x14ac:dyDescent="0.25">
      <c r="A119" t="s">
        <v>482</v>
      </c>
      <c r="B119">
        <v>5314170</v>
      </c>
      <c r="C119" t="s">
        <v>483</v>
      </c>
      <c r="D119">
        <v>4697</v>
      </c>
      <c r="E119">
        <v>4466</v>
      </c>
      <c r="F119">
        <v>231</v>
      </c>
      <c r="G119">
        <v>4697</v>
      </c>
      <c r="H119">
        <v>4466</v>
      </c>
      <c r="I119">
        <v>231</v>
      </c>
      <c r="J119">
        <v>3948</v>
      </c>
      <c r="K119">
        <v>97</v>
      </c>
      <c r="L119">
        <v>162</v>
      </c>
      <c r="M119">
        <v>59</v>
      </c>
      <c r="N119">
        <v>16</v>
      </c>
      <c r="O119">
        <v>0</v>
      </c>
      <c r="P119">
        <v>0</v>
      </c>
      <c r="Q119">
        <v>0</v>
      </c>
      <c r="R119">
        <v>35</v>
      </c>
      <c r="S119">
        <v>71</v>
      </c>
      <c r="T119">
        <v>0</v>
      </c>
      <c r="U119">
        <v>0</v>
      </c>
      <c r="V119">
        <v>90</v>
      </c>
      <c r="W119">
        <v>4</v>
      </c>
      <c r="X119">
        <v>215</v>
      </c>
      <c r="Y119">
        <v>0</v>
      </c>
    </row>
    <row r="120" spans="1:25" x14ac:dyDescent="0.25">
      <c r="A120" t="s">
        <v>484</v>
      </c>
      <c r="B120">
        <v>5314310</v>
      </c>
      <c r="C120" t="s">
        <v>485</v>
      </c>
      <c r="D120">
        <v>220</v>
      </c>
      <c r="E120">
        <v>216</v>
      </c>
      <c r="F120">
        <v>4</v>
      </c>
      <c r="G120">
        <v>220</v>
      </c>
      <c r="H120">
        <v>216</v>
      </c>
      <c r="I120">
        <v>4</v>
      </c>
      <c r="J120">
        <v>200</v>
      </c>
      <c r="K120">
        <v>3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10</v>
      </c>
      <c r="W120">
        <v>0</v>
      </c>
      <c r="X120">
        <v>3</v>
      </c>
      <c r="Y120">
        <v>0</v>
      </c>
    </row>
    <row r="121" spans="1:25" x14ac:dyDescent="0.25">
      <c r="A121" t="s">
        <v>486</v>
      </c>
      <c r="B121">
        <v>5314380</v>
      </c>
      <c r="C121" t="s">
        <v>487</v>
      </c>
      <c r="D121">
        <v>837</v>
      </c>
      <c r="E121">
        <v>806</v>
      </c>
      <c r="F121">
        <v>31</v>
      </c>
      <c r="G121">
        <v>837</v>
      </c>
      <c r="H121">
        <v>806</v>
      </c>
      <c r="I121">
        <v>31</v>
      </c>
      <c r="J121">
        <v>716</v>
      </c>
      <c r="K121">
        <v>17</v>
      </c>
      <c r="L121">
        <v>16</v>
      </c>
      <c r="M121">
        <v>0</v>
      </c>
      <c r="N121">
        <v>0</v>
      </c>
      <c r="O121">
        <v>0</v>
      </c>
      <c r="P121">
        <v>39</v>
      </c>
      <c r="Q121">
        <v>0</v>
      </c>
      <c r="R121">
        <v>3</v>
      </c>
      <c r="S121">
        <v>6</v>
      </c>
      <c r="T121">
        <v>0</v>
      </c>
      <c r="U121">
        <v>6</v>
      </c>
      <c r="V121">
        <v>0</v>
      </c>
      <c r="W121">
        <v>0</v>
      </c>
      <c r="X121">
        <v>32</v>
      </c>
      <c r="Y121">
        <v>2</v>
      </c>
    </row>
    <row r="122" spans="1:25" x14ac:dyDescent="0.25">
      <c r="A122" t="s">
        <v>488</v>
      </c>
      <c r="B122">
        <v>5314485</v>
      </c>
      <c r="C122" t="s">
        <v>489</v>
      </c>
      <c r="D122">
        <v>5447</v>
      </c>
      <c r="E122">
        <v>4435</v>
      </c>
      <c r="F122">
        <v>1012</v>
      </c>
      <c r="G122">
        <v>5447</v>
      </c>
      <c r="H122">
        <v>4435</v>
      </c>
      <c r="I122">
        <v>1012</v>
      </c>
      <c r="J122">
        <v>2275</v>
      </c>
      <c r="K122">
        <v>20</v>
      </c>
      <c r="L122">
        <v>871</v>
      </c>
      <c r="M122">
        <v>395</v>
      </c>
      <c r="N122">
        <v>323</v>
      </c>
      <c r="O122">
        <v>0</v>
      </c>
      <c r="P122">
        <v>115</v>
      </c>
      <c r="Q122">
        <v>0</v>
      </c>
      <c r="R122">
        <v>61</v>
      </c>
      <c r="S122">
        <v>129</v>
      </c>
      <c r="T122">
        <v>26</v>
      </c>
      <c r="U122">
        <v>0</v>
      </c>
      <c r="V122">
        <v>643</v>
      </c>
      <c r="W122">
        <v>443</v>
      </c>
      <c r="X122">
        <v>121</v>
      </c>
      <c r="Y122">
        <v>25</v>
      </c>
    </row>
    <row r="123" spans="1:25" x14ac:dyDescent="0.25">
      <c r="A123" t="s">
        <v>490</v>
      </c>
      <c r="B123">
        <v>5314520</v>
      </c>
      <c r="C123" t="s">
        <v>491</v>
      </c>
      <c r="D123">
        <v>11</v>
      </c>
      <c r="E123">
        <v>11</v>
      </c>
      <c r="F123">
        <v>0</v>
      </c>
      <c r="G123">
        <v>11</v>
      </c>
      <c r="H123">
        <v>11</v>
      </c>
      <c r="I123">
        <v>0</v>
      </c>
      <c r="J123">
        <v>11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 t="s">
        <v>492</v>
      </c>
      <c r="B124">
        <v>5314660</v>
      </c>
      <c r="C124" t="s">
        <v>493</v>
      </c>
      <c r="D124">
        <v>559</v>
      </c>
      <c r="E124">
        <v>545</v>
      </c>
      <c r="F124">
        <v>14</v>
      </c>
      <c r="G124">
        <v>559</v>
      </c>
      <c r="H124">
        <v>545</v>
      </c>
      <c r="I124">
        <v>14</v>
      </c>
      <c r="J124">
        <v>456</v>
      </c>
      <c r="K124">
        <v>0</v>
      </c>
      <c r="L124">
        <v>13</v>
      </c>
      <c r="M124">
        <v>0</v>
      </c>
      <c r="N124">
        <v>4</v>
      </c>
      <c r="O124">
        <v>0</v>
      </c>
      <c r="P124">
        <v>67</v>
      </c>
      <c r="Q124">
        <v>0</v>
      </c>
      <c r="R124">
        <v>0</v>
      </c>
      <c r="S124">
        <v>14</v>
      </c>
      <c r="T124">
        <v>0</v>
      </c>
      <c r="U124">
        <v>0</v>
      </c>
      <c r="V124">
        <v>0</v>
      </c>
      <c r="W124">
        <v>0</v>
      </c>
      <c r="X124">
        <v>5</v>
      </c>
      <c r="Y124">
        <v>0</v>
      </c>
    </row>
    <row r="125" spans="1:25" x14ac:dyDescent="0.25">
      <c r="A125" t="s">
        <v>494</v>
      </c>
      <c r="B125">
        <v>5314870</v>
      </c>
      <c r="C125" t="s">
        <v>495</v>
      </c>
      <c r="D125">
        <v>1593</v>
      </c>
      <c r="E125">
        <v>1570</v>
      </c>
      <c r="F125">
        <v>23</v>
      </c>
      <c r="G125">
        <v>1593</v>
      </c>
      <c r="H125">
        <v>1570</v>
      </c>
      <c r="I125">
        <v>23</v>
      </c>
      <c r="J125">
        <v>1350</v>
      </c>
      <c r="K125">
        <v>15</v>
      </c>
      <c r="L125">
        <v>93</v>
      </c>
      <c r="M125">
        <v>0</v>
      </c>
      <c r="N125">
        <v>9</v>
      </c>
      <c r="O125">
        <v>0</v>
      </c>
      <c r="P125">
        <v>37</v>
      </c>
      <c r="Q125">
        <v>8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78</v>
      </c>
      <c r="Y125">
        <v>0</v>
      </c>
    </row>
    <row r="126" spans="1:25" x14ac:dyDescent="0.25">
      <c r="A126" t="s">
        <v>496</v>
      </c>
      <c r="B126">
        <v>5314940</v>
      </c>
      <c r="C126" t="s">
        <v>497</v>
      </c>
      <c r="D126">
        <v>23941</v>
      </c>
      <c r="E126">
        <v>20802</v>
      </c>
      <c r="F126">
        <v>3139</v>
      </c>
      <c r="G126">
        <v>23941</v>
      </c>
      <c r="H126">
        <v>20802</v>
      </c>
      <c r="I126">
        <v>3139</v>
      </c>
      <c r="J126">
        <v>18190</v>
      </c>
      <c r="K126">
        <v>1568</v>
      </c>
      <c r="L126">
        <v>533</v>
      </c>
      <c r="M126">
        <v>267</v>
      </c>
      <c r="N126">
        <v>193</v>
      </c>
      <c r="O126">
        <v>61</v>
      </c>
      <c r="P126">
        <v>0</v>
      </c>
      <c r="Q126">
        <v>0</v>
      </c>
      <c r="R126">
        <v>554</v>
      </c>
      <c r="S126">
        <v>1048</v>
      </c>
      <c r="T126">
        <v>72</v>
      </c>
      <c r="U126">
        <v>12</v>
      </c>
      <c r="V126">
        <v>97</v>
      </c>
      <c r="W126">
        <v>77</v>
      </c>
      <c r="X126">
        <v>1163</v>
      </c>
      <c r="Y126">
        <v>106</v>
      </c>
    </row>
    <row r="127" spans="1:25" x14ac:dyDescent="0.25">
      <c r="A127" t="s">
        <v>498</v>
      </c>
      <c r="B127">
        <v>5315080</v>
      </c>
      <c r="C127" t="s">
        <v>499</v>
      </c>
      <c r="D127">
        <v>595</v>
      </c>
      <c r="E127">
        <v>595</v>
      </c>
      <c r="F127">
        <v>0</v>
      </c>
      <c r="G127">
        <v>595</v>
      </c>
      <c r="H127">
        <v>595</v>
      </c>
      <c r="I127">
        <v>0</v>
      </c>
      <c r="J127">
        <v>588</v>
      </c>
      <c r="K127">
        <v>0</v>
      </c>
      <c r="L127">
        <v>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500</v>
      </c>
      <c r="B128">
        <v>5315115</v>
      </c>
      <c r="C128" t="s">
        <v>501</v>
      </c>
      <c r="D128">
        <v>1386</v>
      </c>
      <c r="E128">
        <v>1342</v>
      </c>
      <c r="F128">
        <v>44</v>
      </c>
      <c r="G128">
        <v>1386</v>
      </c>
      <c r="H128">
        <v>1342</v>
      </c>
      <c r="I128">
        <v>44</v>
      </c>
      <c r="J128">
        <v>658</v>
      </c>
      <c r="K128">
        <v>34</v>
      </c>
      <c r="L128">
        <v>27</v>
      </c>
      <c r="M128">
        <v>4</v>
      </c>
      <c r="N128">
        <v>0</v>
      </c>
      <c r="O128">
        <v>0</v>
      </c>
      <c r="P128">
        <v>508</v>
      </c>
      <c r="Q128">
        <v>0</v>
      </c>
      <c r="R128">
        <v>10</v>
      </c>
      <c r="S128">
        <v>0</v>
      </c>
      <c r="T128">
        <v>0</v>
      </c>
      <c r="U128">
        <v>0</v>
      </c>
      <c r="V128">
        <v>9</v>
      </c>
      <c r="W128">
        <v>1</v>
      </c>
      <c r="X128">
        <v>130</v>
      </c>
      <c r="Y128">
        <v>5</v>
      </c>
    </row>
    <row r="129" spans="1:25" x14ac:dyDescent="0.25">
      <c r="A129" t="s">
        <v>502</v>
      </c>
      <c r="B129">
        <v>5315150</v>
      </c>
      <c r="C129" t="s">
        <v>503</v>
      </c>
      <c r="D129">
        <v>5730</v>
      </c>
      <c r="E129">
        <v>5330</v>
      </c>
      <c r="F129">
        <v>400</v>
      </c>
      <c r="G129">
        <v>5730</v>
      </c>
      <c r="H129">
        <v>5330</v>
      </c>
      <c r="I129">
        <v>400</v>
      </c>
      <c r="J129">
        <v>4687</v>
      </c>
      <c r="K129">
        <v>219</v>
      </c>
      <c r="L129">
        <v>197</v>
      </c>
      <c r="M129">
        <v>10</v>
      </c>
      <c r="N129">
        <v>29</v>
      </c>
      <c r="O129">
        <v>12</v>
      </c>
      <c r="P129">
        <v>71</v>
      </c>
      <c r="Q129">
        <v>0</v>
      </c>
      <c r="R129">
        <v>39</v>
      </c>
      <c r="S129">
        <v>92</v>
      </c>
      <c r="T129">
        <v>18</v>
      </c>
      <c r="U129">
        <v>0</v>
      </c>
      <c r="V129">
        <v>41</v>
      </c>
      <c r="W129">
        <v>4</v>
      </c>
      <c r="X129">
        <v>248</v>
      </c>
      <c r="Y129">
        <v>63</v>
      </c>
    </row>
    <row r="130" spans="1:25" x14ac:dyDescent="0.25">
      <c r="A130" t="s">
        <v>504</v>
      </c>
      <c r="B130">
        <v>5315185</v>
      </c>
      <c r="C130" t="s">
        <v>505</v>
      </c>
      <c r="D130">
        <v>1916</v>
      </c>
      <c r="E130">
        <v>1770</v>
      </c>
      <c r="F130">
        <v>146</v>
      </c>
      <c r="G130">
        <v>1916</v>
      </c>
      <c r="H130">
        <v>1770</v>
      </c>
      <c r="I130">
        <v>146</v>
      </c>
      <c r="J130">
        <v>1393</v>
      </c>
      <c r="K130">
        <v>71</v>
      </c>
      <c r="L130">
        <v>289</v>
      </c>
      <c r="M130">
        <v>0</v>
      </c>
      <c r="N130">
        <v>3</v>
      </c>
      <c r="O130">
        <v>9</v>
      </c>
      <c r="P130">
        <v>7</v>
      </c>
      <c r="Q130">
        <v>0</v>
      </c>
      <c r="R130">
        <v>23</v>
      </c>
      <c r="S130">
        <v>44</v>
      </c>
      <c r="T130">
        <v>4</v>
      </c>
      <c r="U130">
        <v>3</v>
      </c>
      <c r="V130">
        <v>4</v>
      </c>
      <c r="W130">
        <v>16</v>
      </c>
      <c r="X130">
        <v>47</v>
      </c>
      <c r="Y130">
        <v>3</v>
      </c>
    </row>
    <row r="131" spans="1:25" x14ac:dyDescent="0.25">
      <c r="A131" t="s">
        <v>506</v>
      </c>
      <c r="B131">
        <v>5315290</v>
      </c>
      <c r="C131" t="s">
        <v>507</v>
      </c>
      <c r="D131">
        <v>19918</v>
      </c>
      <c r="E131">
        <v>17129</v>
      </c>
      <c r="F131">
        <v>2789</v>
      </c>
      <c r="G131">
        <v>19918</v>
      </c>
      <c r="H131">
        <v>17129</v>
      </c>
      <c r="I131">
        <v>2789</v>
      </c>
      <c r="J131">
        <v>13446</v>
      </c>
      <c r="K131">
        <v>644</v>
      </c>
      <c r="L131">
        <v>520</v>
      </c>
      <c r="M131">
        <v>193</v>
      </c>
      <c r="N131">
        <v>907</v>
      </c>
      <c r="O131">
        <v>149</v>
      </c>
      <c r="P131">
        <v>55</v>
      </c>
      <c r="Q131">
        <v>0</v>
      </c>
      <c r="R131">
        <v>680</v>
      </c>
      <c r="S131">
        <v>1474</v>
      </c>
      <c r="T131">
        <v>29</v>
      </c>
      <c r="U131">
        <v>36</v>
      </c>
      <c r="V131">
        <v>282</v>
      </c>
      <c r="W131">
        <v>224</v>
      </c>
      <c r="X131">
        <v>1210</v>
      </c>
      <c r="Y131">
        <v>69</v>
      </c>
    </row>
    <row r="132" spans="1:25" x14ac:dyDescent="0.25">
      <c r="A132" t="s">
        <v>508</v>
      </c>
      <c r="B132">
        <v>5315325</v>
      </c>
      <c r="C132" t="s">
        <v>509</v>
      </c>
      <c r="D132">
        <v>960</v>
      </c>
      <c r="E132">
        <v>602</v>
      </c>
      <c r="F132">
        <v>358</v>
      </c>
      <c r="G132">
        <v>960</v>
      </c>
      <c r="H132">
        <v>602</v>
      </c>
      <c r="I132">
        <v>358</v>
      </c>
      <c r="J132">
        <v>32</v>
      </c>
      <c r="K132">
        <v>0</v>
      </c>
      <c r="L132">
        <v>147</v>
      </c>
      <c r="M132">
        <v>175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158</v>
      </c>
      <c r="W132">
        <v>183</v>
      </c>
      <c r="X132">
        <v>265</v>
      </c>
      <c r="Y132">
        <v>0</v>
      </c>
    </row>
    <row r="133" spans="1:25" x14ac:dyDescent="0.25">
      <c r="A133" t="s">
        <v>510</v>
      </c>
      <c r="B133">
        <v>5315710</v>
      </c>
      <c r="C133" t="s">
        <v>511</v>
      </c>
      <c r="D133">
        <v>297</v>
      </c>
      <c r="E133">
        <v>273</v>
      </c>
      <c r="F133">
        <v>24</v>
      </c>
      <c r="G133">
        <v>297</v>
      </c>
      <c r="H133">
        <v>273</v>
      </c>
      <c r="I133">
        <v>24</v>
      </c>
      <c r="J133">
        <v>261</v>
      </c>
      <c r="K133">
        <v>19</v>
      </c>
      <c r="L133">
        <v>0</v>
      </c>
      <c r="M133">
        <v>0</v>
      </c>
      <c r="N133">
        <v>0</v>
      </c>
      <c r="O133">
        <v>0</v>
      </c>
      <c r="P133">
        <v>9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3</v>
      </c>
      <c r="Y133">
        <v>4</v>
      </c>
    </row>
    <row r="134" spans="1:25" x14ac:dyDescent="0.25">
      <c r="A134" t="s">
        <v>512</v>
      </c>
      <c r="B134">
        <v>5315780</v>
      </c>
      <c r="C134" t="s">
        <v>513</v>
      </c>
      <c r="D134">
        <v>1332</v>
      </c>
      <c r="E134">
        <v>1297</v>
      </c>
      <c r="F134">
        <v>35</v>
      </c>
      <c r="G134">
        <v>1332</v>
      </c>
      <c r="H134">
        <v>1297</v>
      </c>
      <c r="I134">
        <v>35</v>
      </c>
      <c r="J134">
        <v>1120</v>
      </c>
      <c r="K134">
        <v>35</v>
      </c>
      <c r="L134">
        <v>123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54</v>
      </c>
      <c r="Y134">
        <v>0</v>
      </c>
    </row>
    <row r="135" spans="1:25" x14ac:dyDescent="0.25">
      <c r="A135" t="s">
        <v>514</v>
      </c>
      <c r="B135">
        <v>5316165</v>
      </c>
      <c r="C135" t="s">
        <v>515</v>
      </c>
      <c r="D135">
        <v>149</v>
      </c>
      <c r="E135">
        <v>149</v>
      </c>
      <c r="F135">
        <v>0</v>
      </c>
      <c r="G135">
        <v>149</v>
      </c>
      <c r="H135">
        <v>149</v>
      </c>
      <c r="I135">
        <v>0</v>
      </c>
      <c r="J135">
        <v>119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30</v>
      </c>
      <c r="Y135">
        <v>0</v>
      </c>
    </row>
    <row r="136" spans="1:25" x14ac:dyDescent="0.25">
      <c r="A136" t="s">
        <v>516</v>
      </c>
      <c r="B136">
        <v>5316170</v>
      </c>
      <c r="C136" t="s">
        <v>517</v>
      </c>
      <c r="D136">
        <v>573</v>
      </c>
      <c r="E136">
        <v>556</v>
      </c>
      <c r="F136">
        <v>17</v>
      </c>
      <c r="G136">
        <v>573</v>
      </c>
      <c r="H136">
        <v>556</v>
      </c>
      <c r="I136">
        <v>17</v>
      </c>
      <c r="J136">
        <v>537</v>
      </c>
      <c r="K136">
        <v>17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19</v>
      </c>
      <c r="Y136">
        <v>0</v>
      </c>
    </row>
    <row r="137" spans="1:25" x14ac:dyDescent="0.25">
      <c r="A137" t="s">
        <v>518</v>
      </c>
      <c r="B137">
        <v>5316340</v>
      </c>
      <c r="C137" t="s">
        <v>519</v>
      </c>
      <c r="D137">
        <v>84</v>
      </c>
      <c r="E137">
        <v>81</v>
      </c>
      <c r="F137">
        <v>3</v>
      </c>
      <c r="G137">
        <v>84</v>
      </c>
      <c r="H137">
        <v>81</v>
      </c>
      <c r="I137">
        <v>3</v>
      </c>
      <c r="J137">
        <v>76</v>
      </c>
      <c r="K137">
        <v>3</v>
      </c>
      <c r="L137">
        <v>2</v>
      </c>
      <c r="M137">
        <v>0</v>
      </c>
      <c r="N137">
        <v>0</v>
      </c>
      <c r="O137">
        <v>0</v>
      </c>
      <c r="P137">
        <v>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520</v>
      </c>
      <c r="B138">
        <v>5316375</v>
      </c>
      <c r="C138" t="s">
        <v>521</v>
      </c>
      <c r="D138">
        <v>149</v>
      </c>
      <c r="E138">
        <v>149</v>
      </c>
      <c r="F138">
        <v>0</v>
      </c>
      <c r="G138">
        <v>149</v>
      </c>
      <c r="H138">
        <v>149</v>
      </c>
      <c r="I138">
        <v>0</v>
      </c>
      <c r="J138">
        <v>149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 t="s">
        <v>522</v>
      </c>
      <c r="B139">
        <v>5316550</v>
      </c>
      <c r="C139" t="s">
        <v>523</v>
      </c>
      <c r="D139">
        <v>1739</v>
      </c>
      <c r="E139">
        <v>1705</v>
      </c>
      <c r="F139">
        <v>34</v>
      </c>
      <c r="G139">
        <v>1739</v>
      </c>
      <c r="H139">
        <v>1705</v>
      </c>
      <c r="I139">
        <v>34</v>
      </c>
      <c r="J139">
        <v>1574</v>
      </c>
      <c r="K139">
        <v>19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15</v>
      </c>
      <c r="T139">
        <v>0</v>
      </c>
      <c r="U139">
        <v>0</v>
      </c>
      <c r="V139">
        <v>0</v>
      </c>
      <c r="W139">
        <v>0</v>
      </c>
      <c r="X139">
        <v>119</v>
      </c>
      <c r="Y139">
        <v>0</v>
      </c>
    </row>
    <row r="140" spans="1:25" x14ac:dyDescent="0.25">
      <c r="A140" t="s">
        <v>524</v>
      </c>
      <c r="B140">
        <v>5316585</v>
      </c>
      <c r="C140" t="s">
        <v>525</v>
      </c>
      <c r="D140">
        <v>19</v>
      </c>
      <c r="E140">
        <v>19</v>
      </c>
      <c r="F140">
        <v>0</v>
      </c>
      <c r="G140">
        <v>19</v>
      </c>
      <c r="H140">
        <v>19</v>
      </c>
      <c r="I140">
        <v>0</v>
      </c>
      <c r="J140">
        <v>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11</v>
      </c>
      <c r="Y140">
        <v>0</v>
      </c>
    </row>
    <row r="141" spans="1:25" x14ac:dyDescent="0.25">
      <c r="A141" t="s">
        <v>526</v>
      </c>
      <c r="B141">
        <v>5316690</v>
      </c>
      <c r="C141" t="s">
        <v>527</v>
      </c>
      <c r="D141">
        <v>1405</v>
      </c>
      <c r="E141">
        <v>1379</v>
      </c>
      <c r="F141">
        <v>26</v>
      </c>
      <c r="G141">
        <v>1405</v>
      </c>
      <c r="H141">
        <v>1379</v>
      </c>
      <c r="I141">
        <v>26</v>
      </c>
      <c r="J141">
        <v>1200</v>
      </c>
      <c r="K141">
        <v>16</v>
      </c>
      <c r="L141">
        <v>0</v>
      </c>
      <c r="M141">
        <v>0</v>
      </c>
      <c r="N141">
        <v>30</v>
      </c>
      <c r="O141">
        <v>0</v>
      </c>
      <c r="P141">
        <v>22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24</v>
      </c>
      <c r="W141">
        <v>10</v>
      </c>
      <c r="X141">
        <v>103</v>
      </c>
      <c r="Y141">
        <v>0</v>
      </c>
    </row>
    <row r="142" spans="1:25" x14ac:dyDescent="0.25">
      <c r="A142" t="s">
        <v>528</v>
      </c>
      <c r="B142">
        <v>5316760</v>
      </c>
      <c r="C142" t="s">
        <v>529</v>
      </c>
      <c r="D142">
        <v>1007</v>
      </c>
      <c r="E142">
        <v>914</v>
      </c>
      <c r="F142">
        <v>93</v>
      </c>
      <c r="G142">
        <v>1007</v>
      </c>
      <c r="H142">
        <v>914</v>
      </c>
      <c r="I142">
        <v>93</v>
      </c>
      <c r="J142">
        <v>774</v>
      </c>
      <c r="K142">
        <v>30</v>
      </c>
      <c r="L142">
        <v>10</v>
      </c>
      <c r="M142">
        <v>4</v>
      </c>
      <c r="N142">
        <v>5</v>
      </c>
      <c r="O142">
        <v>0</v>
      </c>
      <c r="P142">
        <v>20</v>
      </c>
      <c r="Q142">
        <v>0</v>
      </c>
      <c r="R142">
        <v>35</v>
      </c>
      <c r="S142">
        <v>56</v>
      </c>
      <c r="T142">
        <v>0</v>
      </c>
      <c r="U142">
        <v>0</v>
      </c>
      <c r="V142">
        <v>0</v>
      </c>
      <c r="W142">
        <v>0</v>
      </c>
      <c r="X142">
        <v>70</v>
      </c>
      <c r="Y142">
        <v>3</v>
      </c>
    </row>
    <row r="143" spans="1:25" x14ac:dyDescent="0.25">
      <c r="A143" t="s">
        <v>530</v>
      </c>
      <c r="B143">
        <v>5316795</v>
      </c>
      <c r="C143" t="s">
        <v>531</v>
      </c>
      <c r="D143">
        <v>1615</v>
      </c>
      <c r="E143">
        <v>1597</v>
      </c>
      <c r="F143">
        <v>18</v>
      </c>
      <c r="G143">
        <v>1615</v>
      </c>
      <c r="H143">
        <v>1597</v>
      </c>
      <c r="I143">
        <v>18</v>
      </c>
      <c r="J143">
        <v>1520</v>
      </c>
      <c r="K143">
        <v>18</v>
      </c>
      <c r="L143">
        <v>43</v>
      </c>
      <c r="M143">
        <v>0</v>
      </c>
      <c r="N143">
        <v>2</v>
      </c>
      <c r="O143">
        <v>0</v>
      </c>
      <c r="P143">
        <v>6</v>
      </c>
      <c r="Q143">
        <v>0</v>
      </c>
      <c r="R143">
        <v>5</v>
      </c>
      <c r="S143">
        <v>0</v>
      </c>
      <c r="T143">
        <v>3</v>
      </c>
      <c r="U143">
        <v>0</v>
      </c>
      <c r="V143">
        <v>0</v>
      </c>
      <c r="W143">
        <v>0</v>
      </c>
      <c r="X143">
        <v>18</v>
      </c>
      <c r="Y143">
        <v>0</v>
      </c>
    </row>
    <row r="144" spans="1:25" x14ac:dyDescent="0.25">
      <c r="A144" t="s">
        <v>532</v>
      </c>
      <c r="B144">
        <v>5316970</v>
      </c>
      <c r="C144" t="s">
        <v>533</v>
      </c>
      <c r="D144">
        <v>2720</v>
      </c>
      <c r="E144">
        <v>2492</v>
      </c>
      <c r="F144">
        <v>228</v>
      </c>
      <c r="G144">
        <v>2720</v>
      </c>
      <c r="H144">
        <v>2492</v>
      </c>
      <c r="I144">
        <v>228</v>
      </c>
      <c r="J144">
        <v>2226</v>
      </c>
      <c r="K144">
        <v>55</v>
      </c>
      <c r="L144">
        <v>108</v>
      </c>
      <c r="M144">
        <v>34</v>
      </c>
      <c r="N144">
        <v>21</v>
      </c>
      <c r="O144">
        <v>0</v>
      </c>
      <c r="P144">
        <v>15</v>
      </c>
      <c r="Q144">
        <v>0</v>
      </c>
      <c r="R144">
        <v>35</v>
      </c>
      <c r="S144">
        <v>64</v>
      </c>
      <c r="T144">
        <v>0</v>
      </c>
      <c r="U144">
        <v>0</v>
      </c>
      <c r="V144">
        <v>49</v>
      </c>
      <c r="W144">
        <v>40</v>
      </c>
      <c r="X144">
        <v>38</v>
      </c>
      <c r="Y144">
        <v>35</v>
      </c>
    </row>
    <row r="145" spans="1:25" x14ac:dyDescent="0.25">
      <c r="A145" t="s">
        <v>534</v>
      </c>
      <c r="B145">
        <v>5317215</v>
      </c>
      <c r="C145" t="s">
        <v>535</v>
      </c>
      <c r="D145">
        <v>151</v>
      </c>
      <c r="E145">
        <v>148</v>
      </c>
      <c r="F145">
        <v>3</v>
      </c>
      <c r="G145">
        <v>151</v>
      </c>
      <c r="H145">
        <v>148</v>
      </c>
      <c r="I145">
        <v>3</v>
      </c>
      <c r="J145">
        <v>144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4</v>
      </c>
      <c r="Y145">
        <v>0</v>
      </c>
    </row>
    <row r="146" spans="1:25" x14ac:dyDescent="0.25">
      <c r="A146" t="s">
        <v>536</v>
      </c>
      <c r="B146">
        <v>5317320</v>
      </c>
      <c r="C146" t="s">
        <v>537</v>
      </c>
      <c r="D146">
        <v>3941</v>
      </c>
      <c r="E146">
        <v>3906</v>
      </c>
      <c r="F146">
        <v>35</v>
      </c>
      <c r="G146">
        <v>3941</v>
      </c>
      <c r="H146">
        <v>3906</v>
      </c>
      <c r="I146">
        <v>35</v>
      </c>
      <c r="J146">
        <v>3531</v>
      </c>
      <c r="K146">
        <v>27</v>
      </c>
      <c r="L146">
        <v>148</v>
      </c>
      <c r="M146">
        <v>0</v>
      </c>
      <c r="N146">
        <v>11</v>
      </c>
      <c r="O146">
        <v>8</v>
      </c>
      <c r="P146">
        <v>57</v>
      </c>
      <c r="Q146">
        <v>0</v>
      </c>
      <c r="R146">
        <v>0</v>
      </c>
      <c r="S146">
        <v>0</v>
      </c>
      <c r="T146">
        <v>27</v>
      </c>
      <c r="U146">
        <v>0</v>
      </c>
      <c r="V146">
        <v>46</v>
      </c>
      <c r="W146">
        <v>0</v>
      </c>
      <c r="X146">
        <v>86</v>
      </c>
      <c r="Y146">
        <v>0</v>
      </c>
    </row>
    <row r="147" spans="1:25" x14ac:dyDescent="0.25">
      <c r="A147" t="s">
        <v>538</v>
      </c>
      <c r="B147">
        <v>5317495</v>
      </c>
      <c r="C147" t="s">
        <v>539</v>
      </c>
      <c r="D147">
        <v>240</v>
      </c>
      <c r="E147">
        <v>215</v>
      </c>
      <c r="F147">
        <v>25</v>
      </c>
      <c r="G147">
        <v>240</v>
      </c>
      <c r="H147">
        <v>215</v>
      </c>
      <c r="I147">
        <v>25</v>
      </c>
      <c r="J147">
        <v>215</v>
      </c>
      <c r="K147">
        <v>25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 t="s">
        <v>540</v>
      </c>
      <c r="B148">
        <v>5317617</v>
      </c>
      <c r="C148" t="s">
        <v>541</v>
      </c>
      <c r="D148">
        <v>2872</v>
      </c>
      <c r="E148">
        <v>1928</v>
      </c>
      <c r="F148">
        <v>944</v>
      </c>
      <c r="G148">
        <v>2872</v>
      </c>
      <c r="H148">
        <v>1928</v>
      </c>
      <c r="I148">
        <v>944</v>
      </c>
      <c r="J148">
        <v>672</v>
      </c>
      <c r="K148">
        <v>46</v>
      </c>
      <c r="L148">
        <v>594</v>
      </c>
      <c r="M148">
        <v>419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619</v>
      </c>
      <c r="W148">
        <v>479</v>
      </c>
      <c r="X148">
        <v>43</v>
      </c>
      <c r="Y148">
        <v>0</v>
      </c>
    </row>
    <row r="149" spans="1:25" x14ac:dyDescent="0.25">
      <c r="A149" t="s">
        <v>542</v>
      </c>
      <c r="B149">
        <v>5317635</v>
      </c>
      <c r="C149" t="s">
        <v>543</v>
      </c>
      <c r="D149">
        <v>31080</v>
      </c>
      <c r="E149">
        <v>23616</v>
      </c>
      <c r="F149">
        <v>7464</v>
      </c>
      <c r="G149">
        <v>31080</v>
      </c>
      <c r="H149">
        <v>23616</v>
      </c>
      <c r="I149">
        <v>7464</v>
      </c>
      <c r="J149">
        <v>15498</v>
      </c>
      <c r="K149">
        <v>1042</v>
      </c>
      <c r="L149">
        <v>1011</v>
      </c>
      <c r="M149">
        <v>715</v>
      </c>
      <c r="N149">
        <v>1386</v>
      </c>
      <c r="O149">
        <v>684</v>
      </c>
      <c r="P149">
        <v>144</v>
      </c>
      <c r="Q149">
        <v>10</v>
      </c>
      <c r="R149">
        <v>1228</v>
      </c>
      <c r="S149">
        <v>2669</v>
      </c>
      <c r="T149">
        <v>407</v>
      </c>
      <c r="U149">
        <v>515</v>
      </c>
      <c r="V149">
        <v>1755</v>
      </c>
      <c r="W149">
        <v>1656</v>
      </c>
      <c r="X149">
        <v>2187</v>
      </c>
      <c r="Y149">
        <v>173</v>
      </c>
    </row>
    <row r="150" spans="1:25" x14ac:dyDescent="0.25">
      <c r="A150" t="s">
        <v>544</v>
      </c>
      <c r="B150">
        <v>5317880</v>
      </c>
      <c r="C150" t="s">
        <v>545</v>
      </c>
      <c r="D150">
        <v>22</v>
      </c>
      <c r="E150">
        <v>22</v>
      </c>
      <c r="F150">
        <v>0</v>
      </c>
      <c r="G150">
        <v>22</v>
      </c>
      <c r="H150">
        <v>22</v>
      </c>
      <c r="I150">
        <v>0</v>
      </c>
      <c r="J150">
        <v>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 t="s">
        <v>546</v>
      </c>
      <c r="B151">
        <v>5318055</v>
      </c>
      <c r="C151" t="s">
        <v>547</v>
      </c>
      <c r="D151">
        <v>256</v>
      </c>
      <c r="E151">
        <v>254</v>
      </c>
      <c r="F151">
        <v>2</v>
      </c>
      <c r="G151">
        <v>256</v>
      </c>
      <c r="H151">
        <v>254</v>
      </c>
      <c r="I151">
        <v>2</v>
      </c>
      <c r="J151">
        <v>247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7</v>
      </c>
      <c r="Y151">
        <v>0</v>
      </c>
    </row>
    <row r="152" spans="1:25" x14ac:dyDescent="0.25">
      <c r="A152" t="s">
        <v>548</v>
      </c>
      <c r="B152">
        <v>5318198</v>
      </c>
      <c r="C152" t="s">
        <v>549</v>
      </c>
      <c r="D152">
        <v>745</v>
      </c>
      <c r="E152">
        <v>739</v>
      </c>
      <c r="F152">
        <v>6</v>
      </c>
      <c r="G152">
        <v>745</v>
      </c>
      <c r="H152">
        <v>739</v>
      </c>
      <c r="I152">
        <v>6</v>
      </c>
      <c r="J152">
        <v>613</v>
      </c>
      <c r="K152">
        <v>0</v>
      </c>
      <c r="L152">
        <v>0</v>
      </c>
      <c r="M152">
        <v>0</v>
      </c>
      <c r="N152">
        <v>32</v>
      </c>
      <c r="O152">
        <v>0</v>
      </c>
      <c r="P152">
        <v>17</v>
      </c>
      <c r="Q152">
        <v>0</v>
      </c>
      <c r="R152">
        <v>8</v>
      </c>
      <c r="S152">
        <v>6</v>
      </c>
      <c r="T152">
        <v>65</v>
      </c>
      <c r="U152">
        <v>0</v>
      </c>
      <c r="V152">
        <v>0</v>
      </c>
      <c r="W152">
        <v>0</v>
      </c>
      <c r="X152">
        <v>4</v>
      </c>
      <c r="Y152">
        <v>0</v>
      </c>
    </row>
    <row r="153" spans="1:25" x14ac:dyDescent="0.25">
      <c r="A153" t="s">
        <v>550</v>
      </c>
      <c r="B153">
        <v>5318265</v>
      </c>
      <c r="C153" t="s">
        <v>551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t="s">
        <v>552</v>
      </c>
      <c r="B154">
        <v>5318775</v>
      </c>
      <c r="C154" t="s">
        <v>553</v>
      </c>
      <c r="D154">
        <v>1379</v>
      </c>
      <c r="E154">
        <v>1326</v>
      </c>
      <c r="F154">
        <v>53</v>
      </c>
      <c r="G154">
        <v>1379</v>
      </c>
      <c r="H154">
        <v>1326</v>
      </c>
      <c r="I154">
        <v>53</v>
      </c>
      <c r="J154">
        <v>1301</v>
      </c>
      <c r="K154">
        <v>20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22</v>
      </c>
      <c r="T154">
        <v>0</v>
      </c>
      <c r="U154">
        <v>0</v>
      </c>
      <c r="V154">
        <v>5</v>
      </c>
      <c r="W154">
        <v>11</v>
      </c>
      <c r="X154">
        <v>20</v>
      </c>
      <c r="Y154">
        <v>0</v>
      </c>
    </row>
    <row r="155" spans="1:25" x14ac:dyDescent="0.25">
      <c r="A155" t="s">
        <v>554</v>
      </c>
      <c r="B155">
        <v>5318965</v>
      </c>
      <c r="C155" t="s">
        <v>555</v>
      </c>
      <c r="D155">
        <v>9303</v>
      </c>
      <c r="E155">
        <v>7806</v>
      </c>
      <c r="F155">
        <v>1497</v>
      </c>
      <c r="G155">
        <v>9303</v>
      </c>
      <c r="H155">
        <v>7806</v>
      </c>
      <c r="I155">
        <v>1497</v>
      </c>
      <c r="J155">
        <v>5791</v>
      </c>
      <c r="K155">
        <v>595</v>
      </c>
      <c r="L155">
        <v>382</v>
      </c>
      <c r="M155">
        <v>152</v>
      </c>
      <c r="N155">
        <v>1021</v>
      </c>
      <c r="O155">
        <v>249</v>
      </c>
      <c r="P155">
        <v>0</v>
      </c>
      <c r="Q155">
        <v>0</v>
      </c>
      <c r="R155">
        <v>153</v>
      </c>
      <c r="S155">
        <v>228</v>
      </c>
      <c r="T155">
        <v>15</v>
      </c>
      <c r="U155">
        <v>152</v>
      </c>
      <c r="V155">
        <v>0</v>
      </c>
      <c r="W155">
        <v>21</v>
      </c>
      <c r="X155">
        <v>444</v>
      </c>
      <c r="Y155">
        <v>100</v>
      </c>
    </row>
    <row r="156" spans="1:25" x14ac:dyDescent="0.25">
      <c r="A156" t="s">
        <v>556</v>
      </c>
      <c r="B156">
        <v>5319035</v>
      </c>
      <c r="C156" t="s">
        <v>557</v>
      </c>
      <c r="D156">
        <v>7683</v>
      </c>
      <c r="E156">
        <v>7132</v>
      </c>
      <c r="F156">
        <v>551</v>
      </c>
      <c r="G156">
        <v>7683</v>
      </c>
      <c r="H156">
        <v>7132</v>
      </c>
      <c r="I156">
        <v>551</v>
      </c>
      <c r="J156">
        <v>6245</v>
      </c>
      <c r="K156">
        <v>249</v>
      </c>
      <c r="L156">
        <v>289</v>
      </c>
      <c r="M156">
        <v>169</v>
      </c>
      <c r="N156">
        <v>221</v>
      </c>
      <c r="O156">
        <v>1</v>
      </c>
      <c r="P156">
        <v>0</v>
      </c>
      <c r="Q156">
        <v>0</v>
      </c>
      <c r="R156">
        <v>82</v>
      </c>
      <c r="S156">
        <v>116</v>
      </c>
      <c r="T156">
        <v>0</v>
      </c>
      <c r="U156">
        <v>0</v>
      </c>
      <c r="V156">
        <v>43</v>
      </c>
      <c r="W156">
        <v>16</v>
      </c>
      <c r="X156">
        <v>252</v>
      </c>
      <c r="Y156">
        <v>0</v>
      </c>
    </row>
    <row r="157" spans="1:25" x14ac:dyDescent="0.25">
      <c r="A157" t="s">
        <v>558</v>
      </c>
      <c r="B157">
        <v>5319290</v>
      </c>
      <c r="C157" t="s">
        <v>559</v>
      </c>
      <c r="D157">
        <v>503</v>
      </c>
      <c r="E157">
        <v>503</v>
      </c>
      <c r="F157">
        <v>0</v>
      </c>
      <c r="G157">
        <v>503</v>
      </c>
      <c r="H157">
        <v>503</v>
      </c>
      <c r="I157">
        <v>0</v>
      </c>
      <c r="J157">
        <v>468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35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t="s">
        <v>560</v>
      </c>
      <c r="B158">
        <v>5319630</v>
      </c>
      <c r="C158" t="s">
        <v>561</v>
      </c>
      <c r="D158">
        <v>21951</v>
      </c>
      <c r="E158">
        <v>18002</v>
      </c>
      <c r="F158">
        <v>3949</v>
      </c>
      <c r="G158">
        <v>21951</v>
      </c>
      <c r="H158">
        <v>18002</v>
      </c>
      <c r="I158">
        <v>3949</v>
      </c>
      <c r="J158">
        <v>14589</v>
      </c>
      <c r="K158">
        <v>1202</v>
      </c>
      <c r="L158">
        <v>1044</v>
      </c>
      <c r="M158">
        <v>658</v>
      </c>
      <c r="N158">
        <v>386</v>
      </c>
      <c r="O158">
        <v>60</v>
      </c>
      <c r="P158">
        <v>41</v>
      </c>
      <c r="Q158">
        <v>0</v>
      </c>
      <c r="R158">
        <v>672</v>
      </c>
      <c r="S158">
        <v>1804</v>
      </c>
      <c r="T158">
        <v>20</v>
      </c>
      <c r="U158">
        <v>42</v>
      </c>
      <c r="V158">
        <v>89</v>
      </c>
      <c r="W158">
        <v>95</v>
      </c>
      <c r="X158">
        <v>1161</v>
      </c>
      <c r="Y158">
        <v>88</v>
      </c>
    </row>
    <row r="159" spans="1:25" x14ac:dyDescent="0.25">
      <c r="A159" t="s">
        <v>562</v>
      </c>
      <c r="B159">
        <v>5319700</v>
      </c>
      <c r="C159" t="s">
        <v>563</v>
      </c>
      <c r="D159">
        <v>395</v>
      </c>
      <c r="E159">
        <v>395</v>
      </c>
      <c r="F159">
        <v>0</v>
      </c>
      <c r="G159">
        <v>395</v>
      </c>
      <c r="H159">
        <v>395</v>
      </c>
      <c r="I159">
        <v>0</v>
      </c>
      <c r="J159">
        <v>385</v>
      </c>
      <c r="K159">
        <v>0</v>
      </c>
      <c r="L159">
        <v>10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 t="s">
        <v>564</v>
      </c>
      <c r="B160">
        <v>5319770</v>
      </c>
      <c r="C160" t="s">
        <v>565</v>
      </c>
      <c r="D160">
        <v>5334</v>
      </c>
      <c r="E160">
        <v>5044</v>
      </c>
      <c r="F160">
        <v>290</v>
      </c>
      <c r="G160">
        <v>5334</v>
      </c>
      <c r="H160">
        <v>5044</v>
      </c>
      <c r="I160">
        <v>290</v>
      </c>
      <c r="J160">
        <v>3740</v>
      </c>
      <c r="K160">
        <v>90</v>
      </c>
      <c r="L160">
        <v>247</v>
      </c>
      <c r="M160">
        <v>11</v>
      </c>
      <c r="N160">
        <v>108</v>
      </c>
      <c r="O160">
        <v>0</v>
      </c>
      <c r="P160">
        <v>79</v>
      </c>
      <c r="Q160">
        <v>0</v>
      </c>
      <c r="R160">
        <v>0</v>
      </c>
      <c r="S160">
        <v>151</v>
      </c>
      <c r="T160">
        <v>151</v>
      </c>
      <c r="U160">
        <v>0</v>
      </c>
      <c r="V160">
        <v>0</v>
      </c>
      <c r="W160">
        <v>0</v>
      </c>
      <c r="X160">
        <v>719</v>
      </c>
      <c r="Y160">
        <v>38</v>
      </c>
    </row>
    <row r="161" spans="1:25" x14ac:dyDescent="0.25">
      <c r="A161" t="s">
        <v>566</v>
      </c>
      <c r="B161">
        <v>5319857</v>
      </c>
      <c r="C161" t="s">
        <v>567</v>
      </c>
      <c r="D161">
        <v>11401</v>
      </c>
      <c r="E161">
        <v>10242</v>
      </c>
      <c r="F161">
        <v>1159</v>
      </c>
      <c r="G161">
        <v>11401</v>
      </c>
      <c r="H161">
        <v>10242</v>
      </c>
      <c r="I161">
        <v>1159</v>
      </c>
      <c r="J161">
        <v>8546</v>
      </c>
      <c r="K161">
        <v>416</v>
      </c>
      <c r="L161">
        <v>269</v>
      </c>
      <c r="M161">
        <v>27</v>
      </c>
      <c r="N161">
        <v>100</v>
      </c>
      <c r="O161">
        <v>30</v>
      </c>
      <c r="P161">
        <v>27</v>
      </c>
      <c r="Q161">
        <v>0</v>
      </c>
      <c r="R161">
        <v>446</v>
      </c>
      <c r="S161">
        <v>455</v>
      </c>
      <c r="T161">
        <v>0</v>
      </c>
      <c r="U161">
        <v>0</v>
      </c>
      <c r="V161">
        <v>93</v>
      </c>
      <c r="W161">
        <v>223</v>
      </c>
      <c r="X161">
        <v>761</v>
      </c>
      <c r="Y161">
        <v>8</v>
      </c>
    </row>
    <row r="162" spans="1:25" x14ac:dyDescent="0.25">
      <c r="A162" t="s">
        <v>568</v>
      </c>
      <c r="B162">
        <v>5320155</v>
      </c>
      <c r="C162" t="s">
        <v>569</v>
      </c>
      <c r="D162">
        <v>13624</v>
      </c>
      <c r="E162">
        <v>11408</v>
      </c>
      <c r="F162">
        <v>2216</v>
      </c>
      <c r="G162">
        <v>13624</v>
      </c>
      <c r="H162">
        <v>11408</v>
      </c>
      <c r="I162">
        <v>2216</v>
      </c>
      <c r="J162">
        <v>8165</v>
      </c>
      <c r="K162">
        <v>510</v>
      </c>
      <c r="L162">
        <v>397</v>
      </c>
      <c r="M162">
        <v>367</v>
      </c>
      <c r="N162">
        <v>61</v>
      </c>
      <c r="O162">
        <v>14</v>
      </c>
      <c r="P162">
        <v>107</v>
      </c>
      <c r="Q162">
        <v>8</v>
      </c>
      <c r="R162">
        <v>23</v>
      </c>
      <c r="S162">
        <v>95</v>
      </c>
      <c r="T162">
        <v>7</v>
      </c>
      <c r="U162">
        <v>21</v>
      </c>
      <c r="V162">
        <v>1920</v>
      </c>
      <c r="W162">
        <v>1090</v>
      </c>
      <c r="X162">
        <v>728</v>
      </c>
      <c r="Y162">
        <v>111</v>
      </c>
    </row>
    <row r="163" spans="1:25" x14ac:dyDescent="0.25">
      <c r="A163" t="s">
        <v>570</v>
      </c>
      <c r="B163">
        <v>5320260</v>
      </c>
      <c r="C163" t="s">
        <v>571</v>
      </c>
      <c r="D163">
        <v>2900</v>
      </c>
      <c r="E163">
        <v>2735</v>
      </c>
      <c r="F163">
        <v>165</v>
      </c>
      <c r="G163">
        <v>2900</v>
      </c>
      <c r="H163">
        <v>2735</v>
      </c>
      <c r="I163">
        <v>165</v>
      </c>
      <c r="J163">
        <v>2432</v>
      </c>
      <c r="K163">
        <v>56</v>
      </c>
      <c r="L163">
        <v>77</v>
      </c>
      <c r="M163">
        <v>35</v>
      </c>
      <c r="N163">
        <v>5</v>
      </c>
      <c r="O163">
        <v>0</v>
      </c>
      <c r="P163">
        <v>0</v>
      </c>
      <c r="Q163">
        <v>0</v>
      </c>
      <c r="R163">
        <v>21</v>
      </c>
      <c r="S163">
        <v>10</v>
      </c>
      <c r="T163">
        <v>0</v>
      </c>
      <c r="U163">
        <v>12</v>
      </c>
      <c r="V163">
        <v>10</v>
      </c>
      <c r="W163">
        <v>52</v>
      </c>
      <c r="X163">
        <v>190</v>
      </c>
      <c r="Y163">
        <v>0</v>
      </c>
    </row>
    <row r="164" spans="1:25" x14ac:dyDescent="0.25">
      <c r="A164" t="s">
        <v>572</v>
      </c>
      <c r="B164">
        <v>5320645</v>
      </c>
      <c r="C164" t="s">
        <v>573</v>
      </c>
      <c r="D164">
        <v>10165</v>
      </c>
      <c r="E164">
        <v>9562</v>
      </c>
      <c r="F164">
        <v>603</v>
      </c>
      <c r="G164">
        <v>10165</v>
      </c>
      <c r="H164">
        <v>9562</v>
      </c>
      <c r="I164">
        <v>603</v>
      </c>
      <c r="J164">
        <v>7839</v>
      </c>
      <c r="K164">
        <v>441</v>
      </c>
      <c r="L164">
        <v>345</v>
      </c>
      <c r="M164">
        <v>50</v>
      </c>
      <c r="N164">
        <v>5</v>
      </c>
      <c r="O164">
        <v>1</v>
      </c>
      <c r="P164">
        <v>338</v>
      </c>
      <c r="Q164">
        <v>0</v>
      </c>
      <c r="R164">
        <v>297</v>
      </c>
      <c r="S164">
        <v>36</v>
      </c>
      <c r="T164">
        <v>0</v>
      </c>
      <c r="U164">
        <v>0</v>
      </c>
      <c r="V164">
        <v>96</v>
      </c>
      <c r="W164">
        <v>13</v>
      </c>
      <c r="X164">
        <v>642</v>
      </c>
      <c r="Y164">
        <v>62</v>
      </c>
    </row>
    <row r="165" spans="1:25" x14ac:dyDescent="0.25">
      <c r="A165" t="s">
        <v>574</v>
      </c>
      <c r="B165">
        <v>5320680</v>
      </c>
      <c r="C165" t="s">
        <v>575</v>
      </c>
      <c r="D165">
        <v>156</v>
      </c>
      <c r="E165">
        <v>137</v>
      </c>
      <c r="F165">
        <v>19</v>
      </c>
      <c r="G165">
        <v>156</v>
      </c>
      <c r="H165">
        <v>137</v>
      </c>
      <c r="I165">
        <v>19</v>
      </c>
      <c r="J165">
        <v>137</v>
      </c>
      <c r="K165">
        <v>19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576</v>
      </c>
      <c r="B166">
        <v>5320750</v>
      </c>
      <c r="C166" t="s">
        <v>577</v>
      </c>
      <c r="D166">
        <v>41309</v>
      </c>
      <c r="E166">
        <v>35649</v>
      </c>
      <c r="F166">
        <v>5660</v>
      </c>
      <c r="G166">
        <v>41309</v>
      </c>
      <c r="H166">
        <v>35649</v>
      </c>
      <c r="I166">
        <v>5660</v>
      </c>
      <c r="J166">
        <v>30656</v>
      </c>
      <c r="K166">
        <v>2049</v>
      </c>
      <c r="L166">
        <v>963</v>
      </c>
      <c r="M166">
        <v>263</v>
      </c>
      <c r="N166">
        <v>207</v>
      </c>
      <c r="O166">
        <v>235</v>
      </c>
      <c r="P166">
        <v>171</v>
      </c>
      <c r="Q166">
        <v>14</v>
      </c>
      <c r="R166">
        <v>1015</v>
      </c>
      <c r="S166">
        <v>2503</v>
      </c>
      <c r="T166">
        <v>98</v>
      </c>
      <c r="U166">
        <v>122</v>
      </c>
      <c r="V166">
        <v>461</v>
      </c>
      <c r="W166">
        <v>357</v>
      </c>
      <c r="X166">
        <v>2078</v>
      </c>
      <c r="Y166">
        <v>117</v>
      </c>
    </row>
    <row r="167" spans="1:25" x14ac:dyDescent="0.25">
      <c r="A167" t="s">
        <v>578</v>
      </c>
      <c r="B167">
        <v>5320890</v>
      </c>
      <c r="C167" t="s">
        <v>579</v>
      </c>
      <c r="D167">
        <v>53</v>
      </c>
      <c r="E167">
        <v>53</v>
      </c>
      <c r="F167">
        <v>0</v>
      </c>
      <c r="G167">
        <v>53</v>
      </c>
      <c r="H167">
        <v>53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53</v>
      </c>
      <c r="Y167">
        <v>0</v>
      </c>
    </row>
    <row r="168" spans="1:25" x14ac:dyDescent="0.25">
      <c r="A168" t="s">
        <v>580</v>
      </c>
      <c r="B168">
        <v>5321030</v>
      </c>
      <c r="C168" t="s">
        <v>581</v>
      </c>
      <c r="D168">
        <v>989</v>
      </c>
      <c r="E168">
        <v>989</v>
      </c>
      <c r="F168">
        <v>0</v>
      </c>
      <c r="G168">
        <v>989</v>
      </c>
      <c r="H168">
        <v>989</v>
      </c>
      <c r="I168">
        <v>0</v>
      </c>
      <c r="J168">
        <v>722</v>
      </c>
      <c r="K168">
        <v>0</v>
      </c>
      <c r="L168">
        <v>37</v>
      </c>
      <c r="M168">
        <v>0</v>
      </c>
      <c r="N168">
        <v>0</v>
      </c>
      <c r="O168">
        <v>0</v>
      </c>
      <c r="P168">
        <v>173</v>
      </c>
      <c r="Q168">
        <v>0</v>
      </c>
      <c r="R168">
        <v>6</v>
      </c>
      <c r="S168">
        <v>0</v>
      </c>
      <c r="T168">
        <v>16</v>
      </c>
      <c r="U168">
        <v>0</v>
      </c>
      <c r="V168">
        <v>0</v>
      </c>
      <c r="W168">
        <v>0</v>
      </c>
      <c r="X168">
        <v>35</v>
      </c>
      <c r="Y168">
        <v>0</v>
      </c>
    </row>
    <row r="169" spans="1:25" x14ac:dyDescent="0.25">
      <c r="A169" t="s">
        <v>582</v>
      </c>
      <c r="B169">
        <v>5321205</v>
      </c>
      <c r="C169" t="s">
        <v>583</v>
      </c>
      <c r="D169">
        <v>14280</v>
      </c>
      <c r="E169">
        <v>12987</v>
      </c>
      <c r="F169">
        <v>1293</v>
      </c>
      <c r="G169">
        <v>14280</v>
      </c>
      <c r="H169">
        <v>12987</v>
      </c>
      <c r="I169">
        <v>1293</v>
      </c>
      <c r="J169">
        <v>10406</v>
      </c>
      <c r="K169">
        <v>466</v>
      </c>
      <c r="L169">
        <v>946</v>
      </c>
      <c r="M169">
        <v>24</v>
      </c>
      <c r="N169">
        <v>489</v>
      </c>
      <c r="O169">
        <v>8</v>
      </c>
      <c r="P169">
        <v>101</v>
      </c>
      <c r="Q169">
        <v>0</v>
      </c>
      <c r="R169">
        <v>25</v>
      </c>
      <c r="S169">
        <v>444</v>
      </c>
      <c r="T169">
        <v>120</v>
      </c>
      <c r="U169">
        <v>0</v>
      </c>
      <c r="V169">
        <v>184</v>
      </c>
      <c r="W169">
        <v>102</v>
      </c>
      <c r="X169">
        <v>716</v>
      </c>
      <c r="Y169">
        <v>249</v>
      </c>
    </row>
    <row r="170" spans="1:25" x14ac:dyDescent="0.25">
      <c r="A170" t="s">
        <v>584</v>
      </c>
      <c r="B170">
        <v>5321240</v>
      </c>
      <c r="C170" t="s">
        <v>585</v>
      </c>
      <c r="D170">
        <v>19307</v>
      </c>
      <c r="E170">
        <v>17539</v>
      </c>
      <c r="F170">
        <v>1768</v>
      </c>
      <c r="G170">
        <v>19307</v>
      </c>
      <c r="H170">
        <v>17539</v>
      </c>
      <c r="I170">
        <v>1768</v>
      </c>
      <c r="J170">
        <v>14662</v>
      </c>
      <c r="K170">
        <v>487</v>
      </c>
      <c r="L170">
        <v>762</v>
      </c>
      <c r="M170">
        <v>312</v>
      </c>
      <c r="N170">
        <v>348</v>
      </c>
      <c r="O170">
        <v>50</v>
      </c>
      <c r="P170">
        <v>41</v>
      </c>
      <c r="Q170">
        <v>16</v>
      </c>
      <c r="R170">
        <v>131</v>
      </c>
      <c r="S170">
        <v>434</v>
      </c>
      <c r="T170">
        <v>68</v>
      </c>
      <c r="U170">
        <v>19</v>
      </c>
      <c r="V170">
        <v>701</v>
      </c>
      <c r="W170">
        <v>315</v>
      </c>
      <c r="X170">
        <v>826</v>
      </c>
      <c r="Y170">
        <v>135</v>
      </c>
    </row>
    <row r="171" spans="1:25" x14ac:dyDescent="0.25">
      <c r="A171" t="s">
        <v>586</v>
      </c>
      <c r="B171">
        <v>5321450</v>
      </c>
      <c r="C171" t="s">
        <v>587</v>
      </c>
      <c r="D171">
        <v>3047</v>
      </c>
      <c r="E171">
        <v>2952</v>
      </c>
      <c r="F171">
        <v>95</v>
      </c>
      <c r="G171">
        <v>3047</v>
      </c>
      <c r="H171">
        <v>2952</v>
      </c>
      <c r="I171">
        <v>95</v>
      </c>
      <c r="J171">
        <v>2687</v>
      </c>
      <c r="K171">
        <v>44</v>
      </c>
      <c r="L171">
        <v>59</v>
      </c>
      <c r="M171">
        <v>51</v>
      </c>
      <c r="N171">
        <v>23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183</v>
      </c>
      <c r="Y171">
        <v>0</v>
      </c>
    </row>
    <row r="172" spans="1:25" x14ac:dyDescent="0.25">
      <c r="A172" t="s">
        <v>588</v>
      </c>
      <c r="B172">
        <v>5321485</v>
      </c>
      <c r="C172" t="s">
        <v>589</v>
      </c>
      <c r="D172">
        <v>342</v>
      </c>
      <c r="E172">
        <v>315</v>
      </c>
      <c r="F172">
        <v>27</v>
      </c>
      <c r="G172">
        <v>342</v>
      </c>
      <c r="H172">
        <v>315</v>
      </c>
      <c r="I172">
        <v>27</v>
      </c>
      <c r="J172">
        <v>137</v>
      </c>
      <c r="K172">
        <v>11</v>
      </c>
      <c r="L172">
        <v>0</v>
      </c>
      <c r="M172">
        <v>0</v>
      </c>
      <c r="N172">
        <v>7</v>
      </c>
      <c r="O172">
        <v>0</v>
      </c>
      <c r="P172">
        <v>141</v>
      </c>
      <c r="Q172">
        <v>1</v>
      </c>
      <c r="R172">
        <v>4</v>
      </c>
      <c r="S172">
        <v>0</v>
      </c>
      <c r="T172">
        <v>0</v>
      </c>
      <c r="U172">
        <v>15</v>
      </c>
      <c r="V172">
        <v>3</v>
      </c>
      <c r="W172">
        <v>0</v>
      </c>
      <c r="X172">
        <v>23</v>
      </c>
      <c r="Y172">
        <v>0</v>
      </c>
    </row>
    <row r="173" spans="1:25" x14ac:dyDescent="0.25">
      <c r="A173" t="s">
        <v>590</v>
      </c>
      <c r="B173">
        <v>5321730</v>
      </c>
      <c r="C173" t="s">
        <v>591</v>
      </c>
      <c r="D173">
        <v>302</v>
      </c>
      <c r="E173">
        <v>302</v>
      </c>
      <c r="F173">
        <v>0</v>
      </c>
      <c r="G173">
        <v>302</v>
      </c>
      <c r="H173">
        <v>302</v>
      </c>
      <c r="I173">
        <v>0</v>
      </c>
      <c r="J173">
        <v>294</v>
      </c>
      <c r="K173">
        <v>0</v>
      </c>
      <c r="L173">
        <v>4</v>
      </c>
      <c r="M173">
        <v>0</v>
      </c>
      <c r="N173">
        <v>0</v>
      </c>
      <c r="O173">
        <v>0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592</v>
      </c>
      <c r="B174">
        <v>5321800</v>
      </c>
      <c r="C174" t="s">
        <v>593</v>
      </c>
      <c r="D174">
        <v>2231</v>
      </c>
      <c r="E174">
        <v>1988</v>
      </c>
      <c r="F174">
        <v>243</v>
      </c>
      <c r="G174">
        <v>2231</v>
      </c>
      <c r="H174">
        <v>1988</v>
      </c>
      <c r="I174">
        <v>243</v>
      </c>
      <c r="J174">
        <v>1739</v>
      </c>
      <c r="K174">
        <v>59</v>
      </c>
      <c r="L174">
        <v>30</v>
      </c>
      <c r="M174">
        <v>15</v>
      </c>
      <c r="N174">
        <v>40</v>
      </c>
      <c r="O174">
        <v>0</v>
      </c>
      <c r="P174">
        <v>6</v>
      </c>
      <c r="Q174">
        <v>0</v>
      </c>
      <c r="R174">
        <v>63</v>
      </c>
      <c r="S174">
        <v>122</v>
      </c>
      <c r="T174">
        <v>0</v>
      </c>
      <c r="U174">
        <v>11</v>
      </c>
      <c r="V174">
        <v>0</v>
      </c>
      <c r="W174">
        <v>18</v>
      </c>
      <c r="X174">
        <v>110</v>
      </c>
      <c r="Y174">
        <v>18</v>
      </c>
    </row>
    <row r="175" spans="1:25" x14ac:dyDescent="0.25">
      <c r="A175" t="s">
        <v>594</v>
      </c>
      <c r="B175">
        <v>5322010</v>
      </c>
      <c r="C175" t="s">
        <v>595</v>
      </c>
      <c r="D175">
        <v>1093</v>
      </c>
      <c r="E175">
        <v>1041</v>
      </c>
      <c r="F175">
        <v>52</v>
      </c>
      <c r="G175">
        <v>1093</v>
      </c>
      <c r="H175">
        <v>1041</v>
      </c>
      <c r="I175">
        <v>52</v>
      </c>
      <c r="J175">
        <v>810</v>
      </c>
      <c r="K175">
        <v>10</v>
      </c>
      <c r="L175">
        <v>208</v>
      </c>
      <c r="M175">
        <v>37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8</v>
      </c>
      <c r="U175">
        <v>0</v>
      </c>
      <c r="V175">
        <v>0</v>
      </c>
      <c r="W175">
        <v>5</v>
      </c>
      <c r="X175">
        <v>15</v>
      </c>
      <c r="Y175">
        <v>0</v>
      </c>
    </row>
    <row r="176" spans="1:25" x14ac:dyDescent="0.25">
      <c r="A176" t="s">
        <v>596</v>
      </c>
      <c r="B176">
        <v>5322045</v>
      </c>
      <c r="C176" t="s">
        <v>597</v>
      </c>
      <c r="D176">
        <v>11670</v>
      </c>
      <c r="E176">
        <v>10426</v>
      </c>
      <c r="F176">
        <v>1244</v>
      </c>
      <c r="G176">
        <v>11670</v>
      </c>
      <c r="H176">
        <v>10426</v>
      </c>
      <c r="I176">
        <v>1244</v>
      </c>
      <c r="J176">
        <v>9081</v>
      </c>
      <c r="K176">
        <v>227</v>
      </c>
      <c r="L176">
        <v>379</v>
      </c>
      <c r="M176">
        <v>164</v>
      </c>
      <c r="N176">
        <v>174</v>
      </c>
      <c r="O176">
        <v>99</v>
      </c>
      <c r="P176">
        <v>91</v>
      </c>
      <c r="Q176">
        <v>0</v>
      </c>
      <c r="R176">
        <v>53</v>
      </c>
      <c r="S176">
        <v>85</v>
      </c>
      <c r="T176">
        <v>0</v>
      </c>
      <c r="U176">
        <v>16</v>
      </c>
      <c r="V176">
        <v>206</v>
      </c>
      <c r="W176">
        <v>548</v>
      </c>
      <c r="X176">
        <v>442</v>
      </c>
      <c r="Y176">
        <v>105</v>
      </c>
    </row>
    <row r="177" spans="1:25" x14ac:dyDescent="0.25">
      <c r="A177" t="s">
        <v>598</v>
      </c>
      <c r="B177">
        <v>5322080</v>
      </c>
      <c r="C177" t="s">
        <v>599</v>
      </c>
      <c r="D177">
        <v>7956</v>
      </c>
      <c r="E177">
        <v>7160</v>
      </c>
      <c r="F177">
        <v>796</v>
      </c>
      <c r="G177">
        <v>7956</v>
      </c>
      <c r="H177">
        <v>7160</v>
      </c>
      <c r="I177">
        <v>796</v>
      </c>
      <c r="J177">
        <v>5826</v>
      </c>
      <c r="K177">
        <v>104</v>
      </c>
      <c r="L177">
        <v>347</v>
      </c>
      <c r="M177">
        <v>48</v>
      </c>
      <c r="N177">
        <v>12</v>
      </c>
      <c r="O177">
        <v>0</v>
      </c>
      <c r="P177">
        <v>64</v>
      </c>
      <c r="Q177">
        <v>0</v>
      </c>
      <c r="R177">
        <v>71</v>
      </c>
      <c r="S177">
        <v>126</v>
      </c>
      <c r="T177">
        <v>10</v>
      </c>
      <c r="U177">
        <v>0</v>
      </c>
      <c r="V177">
        <v>592</v>
      </c>
      <c r="W177">
        <v>483</v>
      </c>
      <c r="X177">
        <v>238</v>
      </c>
      <c r="Y177">
        <v>35</v>
      </c>
    </row>
    <row r="178" spans="1:25" x14ac:dyDescent="0.25">
      <c r="A178" t="s">
        <v>600</v>
      </c>
      <c r="B178">
        <v>5322118</v>
      </c>
      <c r="C178" t="s">
        <v>601</v>
      </c>
      <c r="D178">
        <v>2973</v>
      </c>
      <c r="E178">
        <v>2840</v>
      </c>
      <c r="F178">
        <v>133</v>
      </c>
      <c r="G178">
        <v>2973</v>
      </c>
      <c r="H178">
        <v>2840</v>
      </c>
      <c r="I178">
        <v>133</v>
      </c>
      <c r="J178">
        <v>2351</v>
      </c>
      <c r="K178">
        <v>0</v>
      </c>
      <c r="L178">
        <v>50</v>
      </c>
      <c r="M178">
        <v>0</v>
      </c>
      <c r="N178">
        <v>0</v>
      </c>
      <c r="O178">
        <v>0</v>
      </c>
      <c r="P178">
        <v>39</v>
      </c>
      <c r="Q178">
        <v>0</v>
      </c>
      <c r="R178">
        <v>36</v>
      </c>
      <c r="S178">
        <v>54</v>
      </c>
      <c r="T178">
        <v>53</v>
      </c>
      <c r="U178">
        <v>0</v>
      </c>
      <c r="V178">
        <v>118</v>
      </c>
      <c r="W178">
        <v>71</v>
      </c>
      <c r="X178">
        <v>193</v>
      </c>
      <c r="Y178">
        <v>8</v>
      </c>
    </row>
    <row r="179" spans="1:25" x14ac:dyDescent="0.25">
      <c r="A179" t="s">
        <v>602</v>
      </c>
      <c r="B179">
        <v>5322150</v>
      </c>
      <c r="C179" t="s">
        <v>603</v>
      </c>
      <c r="D179">
        <v>377</v>
      </c>
      <c r="E179">
        <v>365</v>
      </c>
      <c r="F179">
        <v>12</v>
      </c>
      <c r="G179">
        <v>377</v>
      </c>
      <c r="H179">
        <v>365</v>
      </c>
      <c r="I179">
        <v>12</v>
      </c>
      <c r="J179">
        <v>321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12</v>
      </c>
      <c r="X179">
        <v>13</v>
      </c>
      <c r="Y179">
        <v>0</v>
      </c>
    </row>
    <row r="180" spans="1:25" x14ac:dyDescent="0.25">
      <c r="A180" t="s">
        <v>604</v>
      </c>
      <c r="B180">
        <v>5322255</v>
      </c>
      <c r="C180" t="s">
        <v>605</v>
      </c>
      <c r="D180">
        <v>3902</v>
      </c>
      <c r="E180">
        <v>3503</v>
      </c>
      <c r="F180">
        <v>399</v>
      </c>
      <c r="G180">
        <v>3902</v>
      </c>
      <c r="H180">
        <v>3503</v>
      </c>
      <c r="I180">
        <v>399</v>
      </c>
      <c r="J180">
        <v>3122</v>
      </c>
      <c r="K180">
        <v>48</v>
      </c>
      <c r="L180">
        <v>41</v>
      </c>
      <c r="M180">
        <v>13</v>
      </c>
      <c r="N180">
        <v>42</v>
      </c>
      <c r="O180">
        <v>15</v>
      </c>
      <c r="P180">
        <v>86</v>
      </c>
      <c r="Q180">
        <v>0</v>
      </c>
      <c r="R180">
        <v>98</v>
      </c>
      <c r="S180">
        <v>202</v>
      </c>
      <c r="T180">
        <v>0</v>
      </c>
      <c r="U180">
        <v>0</v>
      </c>
      <c r="V180">
        <v>0</v>
      </c>
      <c r="W180">
        <v>14</v>
      </c>
      <c r="X180">
        <v>114</v>
      </c>
      <c r="Y180">
        <v>107</v>
      </c>
    </row>
    <row r="181" spans="1:25" x14ac:dyDescent="0.25">
      <c r="A181" t="s">
        <v>606</v>
      </c>
      <c r="B181">
        <v>5322640</v>
      </c>
      <c r="C181" t="s">
        <v>607</v>
      </c>
      <c r="D181">
        <v>107560</v>
      </c>
      <c r="E181">
        <v>86178</v>
      </c>
      <c r="F181">
        <v>21382</v>
      </c>
      <c r="G181">
        <v>107560</v>
      </c>
      <c r="H181">
        <v>86178</v>
      </c>
      <c r="I181">
        <v>21382</v>
      </c>
      <c r="J181">
        <v>64356</v>
      </c>
      <c r="K181">
        <v>5811</v>
      </c>
      <c r="L181">
        <v>6605</v>
      </c>
      <c r="M181">
        <v>3716</v>
      </c>
      <c r="N181">
        <v>3339</v>
      </c>
      <c r="O181">
        <v>1155</v>
      </c>
      <c r="P181">
        <v>1035</v>
      </c>
      <c r="Q181">
        <v>72</v>
      </c>
      <c r="R181">
        <v>2414</v>
      </c>
      <c r="S181">
        <v>6945</v>
      </c>
      <c r="T181">
        <v>483</v>
      </c>
      <c r="U181">
        <v>896</v>
      </c>
      <c r="V181">
        <v>1661</v>
      </c>
      <c r="W181">
        <v>2057</v>
      </c>
      <c r="X181">
        <v>6285</v>
      </c>
      <c r="Y181">
        <v>730</v>
      </c>
    </row>
    <row r="182" spans="1:25" x14ac:dyDescent="0.25">
      <c r="A182" t="s">
        <v>608</v>
      </c>
      <c r="B182">
        <v>5322745</v>
      </c>
      <c r="C182" t="s">
        <v>609</v>
      </c>
      <c r="D182">
        <v>2592</v>
      </c>
      <c r="E182">
        <v>2057</v>
      </c>
      <c r="F182">
        <v>535</v>
      </c>
      <c r="G182">
        <v>2592</v>
      </c>
      <c r="H182">
        <v>2057</v>
      </c>
      <c r="I182">
        <v>535</v>
      </c>
      <c r="J182">
        <v>1490</v>
      </c>
      <c r="K182">
        <v>96</v>
      </c>
      <c r="L182">
        <v>238</v>
      </c>
      <c r="M182">
        <v>139</v>
      </c>
      <c r="N182">
        <v>0</v>
      </c>
      <c r="O182">
        <v>0</v>
      </c>
      <c r="P182">
        <v>56</v>
      </c>
      <c r="Q182">
        <v>72</v>
      </c>
      <c r="R182">
        <v>0</v>
      </c>
      <c r="S182">
        <v>26</v>
      </c>
      <c r="T182">
        <v>3</v>
      </c>
      <c r="U182">
        <v>14</v>
      </c>
      <c r="V182">
        <v>242</v>
      </c>
      <c r="W182">
        <v>188</v>
      </c>
      <c r="X182">
        <v>28</v>
      </c>
      <c r="Y182">
        <v>0</v>
      </c>
    </row>
    <row r="183" spans="1:25" x14ac:dyDescent="0.25">
      <c r="A183" t="s">
        <v>610</v>
      </c>
      <c r="B183">
        <v>5322955</v>
      </c>
      <c r="C183" t="s">
        <v>611</v>
      </c>
      <c r="D183">
        <v>2960</v>
      </c>
      <c r="E183">
        <v>2661</v>
      </c>
      <c r="F183">
        <v>299</v>
      </c>
      <c r="G183">
        <v>2960</v>
      </c>
      <c r="H183">
        <v>2661</v>
      </c>
      <c r="I183">
        <v>299</v>
      </c>
      <c r="J183">
        <v>1878</v>
      </c>
      <c r="K183">
        <v>152</v>
      </c>
      <c r="L183">
        <v>124</v>
      </c>
      <c r="M183">
        <v>20</v>
      </c>
      <c r="N183">
        <v>429</v>
      </c>
      <c r="O183">
        <v>0</v>
      </c>
      <c r="P183">
        <v>78</v>
      </c>
      <c r="Q183">
        <v>0</v>
      </c>
      <c r="R183">
        <v>22</v>
      </c>
      <c r="S183">
        <v>14</v>
      </c>
      <c r="T183">
        <v>0</v>
      </c>
      <c r="U183">
        <v>0</v>
      </c>
      <c r="V183">
        <v>45</v>
      </c>
      <c r="W183">
        <v>63</v>
      </c>
      <c r="X183">
        <v>85</v>
      </c>
      <c r="Y183">
        <v>50</v>
      </c>
    </row>
    <row r="184" spans="1:25" x14ac:dyDescent="0.25">
      <c r="A184" t="s">
        <v>612</v>
      </c>
      <c r="B184">
        <v>5322990</v>
      </c>
      <c r="C184" t="s">
        <v>613</v>
      </c>
      <c r="D184">
        <v>508</v>
      </c>
      <c r="E184">
        <v>502</v>
      </c>
      <c r="F184">
        <v>6</v>
      </c>
      <c r="G184">
        <v>508</v>
      </c>
      <c r="H184">
        <v>502</v>
      </c>
      <c r="I184">
        <v>6</v>
      </c>
      <c r="J184">
        <v>470</v>
      </c>
      <c r="K184">
        <v>6</v>
      </c>
      <c r="L184">
        <v>6</v>
      </c>
      <c r="M184">
        <v>0</v>
      </c>
      <c r="N184">
        <v>0</v>
      </c>
      <c r="O184">
        <v>0</v>
      </c>
      <c r="P184">
        <v>12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</v>
      </c>
      <c r="W184">
        <v>0</v>
      </c>
      <c r="X184">
        <v>12</v>
      </c>
      <c r="Y184">
        <v>0</v>
      </c>
    </row>
    <row r="185" spans="1:25" x14ac:dyDescent="0.25">
      <c r="A185" t="s">
        <v>614</v>
      </c>
      <c r="B185">
        <v>5323160</v>
      </c>
      <c r="C185" t="s">
        <v>615</v>
      </c>
      <c r="D185">
        <v>19531</v>
      </c>
      <c r="E185">
        <v>15587</v>
      </c>
      <c r="F185">
        <v>3944</v>
      </c>
      <c r="G185">
        <v>19531</v>
      </c>
      <c r="H185">
        <v>15587</v>
      </c>
      <c r="I185">
        <v>3944</v>
      </c>
      <c r="J185">
        <v>10251</v>
      </c>
      <c r="K185">
        <v>785</v>
      </c>
      <c r="L185">
        <v>524</v>
      </c>
      <c r="M185">
        <v>275</v>
      </c>
      <c r="N185">
        <v>1453</v>
      </c>
      <c r="O185">
        <v>315</v>
      </c>
      <c r="P185">
        <v>64</v>
      </c>
      <c r="Q185">
        <v>8</v>
      </c>
      <c r="R185">
        <v>1289</v>
      </c>
      <c r="S185">
        <v>2152</v>
      </c>
      <c r="T185">
        <v>56</v>
      </c>
      <c r="U185">
        <v>40</v>
      </c>
      <c r="V185">
        <v>388</v>
      </c>
      <c r="W185">
        <v>322</v>
      </c>
      <c r="X185">
        <v>1562</v>
      </c>
      <c r="Y185">
        <v>47</v>
      </c>
    </row>
    <row r="186" spans="1:25" x14ac:dyDescent="0.25">
      <c r="A186" t="s">
        <v>616</v>
      </c>
      <c r="B186">
        <v>5323165</v>
      </c>
      <c r="C186" t="s">
        <v>617</v>
      </c>
      <c r="D186">
        <v>8402</v>
      </c>
      <c r="E186">
        <v>8005</v>
      </c>
      <c r="F186">
        <v>397</v>
      </c>
      <c r="G186">
        <v>8402</v>
      </c>
      <c r="H186">
        <v>8005</v>
      </c>
      <c r="I186">
        <v>397</v>
      </c>
      <c r="J186">
        <v>7135</v>
      </c>
      <c r="K186">
        <v>162</v>
      </c>
      <c r="L186">
        <v>475</v>
      </c>
      <c r="M186">
        <v>0</v>
      </c>
      <c r="N186">
        <v>8</v>
      </c>
      <c r="O186">
        <v>0</v>
      </c>
      <c r="P186">
        <v>138</v>
      </c>
      <c r="Q186">
        <v>106</v>
      </c>
      <c r="R186">
        <v>0</v>
      </c>
      <c r="S186">
        <v>75</v>
      </c>
      <c r="T186">
        <v>0</v>
      </c>
      <c r="U186">
        <v>0</v>
      </c>
      <c r="V186">
        <v>81</v>
      </c>
      <c r="W186">
        <v>0</v>
      </c>
      <c r="X186">
        <v>168</v>
      </c>
      <c r="Y186">
        <v>54</v>
      </c>
    </row>
    <row r="187" spans="1:25" x14ac:dyDescent="0.25">
      <c r="A187" t="s">
        <v>618</v>
      </c>
      <c r="B187">
        <v>5323200</v>
      </c>
      <c r="C187" t="s">
        <v>619</v>
      </c>
      <c r="D187">
        <v>1903</v>
      </c>
      <c r="E187">
        <v>1790</v>
      </c>
      <c r="F187">
        <v>113</v>
      </c>
      <c r="G187">
        <v>1903</v>
      </c>
      <c r="H187">
        <v>1790</v>
      </c>
      <c r="I187">
        <v>113</v>
      </c>
      <c r="J187">
        <v>1607</v>
      </c>
      <c r="K187">
        <v>0</v>
      </c>
      <c r="L187">
        <v>168</v>
      </c>
      <c r="M187">
        <v>45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66</v>
      </c>
      <c r="T187">
        <v>0</v>
      </c>
      <c r="U187">
        <v>0</v>
      </c>
      <c r="V187">
        <v>15</v>
      </c>
      <c r="W187">
        <v>0</v>
      </c>
      <c r="X187">
        <v>0</v>
      </c>
      <c r="Y187">
        <v>2</v>
      </c>
    </row>
    <row r="188" spans="1:25" x14ac:dyDescent="0.25">
      <c r="A188" t="s">
        <v>620</v>
      </c>
      <c r="B188">
        <v>5323340</v>
      </c>
      <c r="C188" t="s">
        <v>621</v>
      </c>
      <c r="D188">
        <v>108</v>
      </c>
      <c r="E188">
        <v>108</v>
      </c>
      <c r="F188">
        <v>0</v>
      </c>
      <c r="G188">
        <v>108</v>
      </c>
      <c r="H188">
        <v>108</v>
      </c>
      <c r="I188">
        <v>0</v>
      </c>
      <c r="J188">
        <v>102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</v>
      </c>
      <c r="Y188">
        <v>0</v>
      </c>
    </row>
    <row r="189" spans="1:25" x14ac:dyDescent="0.25">
      <c r="A189" t="s">
        <v>622</v>
      </c>
      <c r="B189">
        <v>5323515</v>
      </c>
      <c r="C189" t="s">
        <v>623</v>
      </c>
      <c r="D189">
        <v>94905</v>
      </c>
      <c r="E189">
        <v>68693</v>
      </c>
      <c r="F189">
        <v>26212</v>
      </c>
      <c r="G189">
        <v>94905</v>
      </c>
      <c r="H189">
        <v>68693</v>
      </c>
      <c r="I189">
        <v>26212</v>
      </c>
      <c r="J189">
        <v>40253</v>
      </c>
      <c r="K189">
        <v>5265</v>
      </c>
      <c r="L189">
        <v>5390</v>
      </c>
      <c r="M189">
        <v>3558</v>
      </c>
      <c r="N189">
        <v>8377</v>
      </c>
      <c r="O189">
        <v>1764</v>
      </c>
      <c r="P189">
        <v>600</v>
      </c>
      <c r="Q189">
        <v>94</v>
      </c>
      <c r="R189">
        <v>3240</v>
      </c>
      <c r="S189">
        <v>10568</v>
      </c>
      <c r="T189">
        <v>1073</v>
      </c>
      <c r="U189">
        <v>1118</v>
      </c>
      <c r="V189">
        <v>3389</v>
      </c>
      <c r="W189">
        <v>3063</v>
      </c>
      <c r="X189">
        <v>6371</v>
      </c>
      <c r="Y189">
        <v>782</v>
      </c>
    </row>
    <row r="190" spans="1:25" x14ac:dyDescent="0.25">
      <c r="A190" t="s">
        <v>624</v>
      </c>
      <c r="B190">
        <v>5323550</v>
      </c>
      <c r="C190" t="s">
        <v>625</v>
      </c>
      <c r="D190">
        <v>8065</v>
      </c>
      <c r="E190">
        <v>7157</v>
      </c>
      <c r="F190">
        <v>908</v>
      </c>
      <c r="G190">
        <v>8065</v>
      </c>
      <c r="H190">
        <v>7157</v>
      </c>
      <c r="I190">
        <v>908</v>
      </c>
      <c r="J190">
        <v>6394</v>
      </c>
      <c r="K190">
        <v>347</v>
      </c>
      <c r="L190">
        <v>178</v>
      </c>
      <c r="M190">
        <v>78</v>
      </c>
      <c r="N190">
        <v>113</v>
      </c>
      <c r="O190">
        <v>0</v>
      </c>
      <c r="P190">
        <v>0</v>
      </c>
      <c r="Q190">
        <v>0</v>
      </c>
      <c r="R190">
        <v>187</v>
      </c>
      <c r="S190">
        <v>378</v>
      </c>
      <c r="T190">
        <v>0</v>
      </c>
      <c r="U190">
        <v>0</v>
      </c>
      <c r="V190">
        <v>12</v>
      </c>
      <c r="W190">
        <v>0</v>
      </c>
      <c r="X190">
        <v>273</v>
      </c>
      <c r="Y190">
        <v>105</v>
      </c>
    </row>
    <row r="191" spans="1:25" x14ac:dyDescent="0.25">
      <c r="A191" t="s">
        <v>626</v>
      </c>
      <c r="B191">
        <v>5323620</v>
      </c>
      <c r="C191" t="s">
        <v>627</v>
      </c>
      <c r="D191">
        <v>13171</v>
      </c>
      <c r="E191">
        <v>11262</v>
      </c>
      <c r="F191">
        <v>1909</v>
      </c>
      <c r="G191">
        <v>13171</v>
      </c>
      <c r="H191">
        <v>11262</v>
      </c>
      <c r="I191">
        <v>1909</v>
      </c>
      <c r="J191">
        <v>9004</v>
      </c>
      <c r="K191">
        <v>737</v>
      </c>
      <c r="L191">
        <v>720</v>
      </c>
      <c r="M191">
        <v>181</v>
      </c>
      <c r="N191">
        <v>138</v>
      </c>
      <c r="O191">
        <v>0</v>
      </c>
      <c r="P191">
        <v>489</v>
      </c>
      <c r="Q191">
        <v>0</v>
      </c>
      <c r="R191">
        <v>180</v>
      </c>
      <c r="S191">
        <v>498</v>
      </c>
      <c r="T191">
        <v>5</v>
      </c>
      <c r="U191">
        <v>0</v>
      </c>
      <c r="V191">
        <v>454</v>
      </c>
      <c r="W191">
        <v>381</v>
      </c>
      <c r="X191">
        <v>272</v>
      </c>
      <c r="Y191">
        <v>112</v>
      </c>
    </row>
    <row r="192" spans="1:25" x14ac:dyDescent="0.25">
      <c r="A192" t="s">
        <v>628</v>
      </c>
      <c r="B192">
        <v>5323690</v>
      </c>
      <c r="C192" t="s">
        <v>629</v>
      </c>
      <c r="D192">
        <v>2611</v>
      </c>
      <c r="E192">
        <v>2577</v>
      </c>
      <c r="F192">
        <v>34</v>
      </c>
      <c r="G192">
        <v>2611</v>
      </c>
      <c r="H192">
        <v>2577</v>
      </c>
      <c r="I192">
        <v>34</v>
      </c>
      <c r="J192">
        <v>2370</v>
      </c>
      <c r="K192">
        <v>11</v>
      </c>
      <c r="L192">
        <v>107</v>
      </c>
      <c r="M192">
        <v>0</v>
      </c>
      <c r="N192">
        <v>0</v>
      </c>
      <c r="O192">
        <v>0</v>
      </c>
      <c r="P192">
        <v>19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42</v>
      </c>
      <c r="W192">
        <v>23</v>
      </c>
      <c r="X192">
        <v>39</v>
      </c>
      <c r="Y192">
        <v>0</v>
      </c>
    </row>
    <row r="193" spans="1:25" x14ac:dyDescent="0.25">
      <c r="A193" t="s">
        <v>630</v>
      </c>
      <c r="B193">
        <v>5323795</v>
      </c>
      <c r="C193" t="s">
        <v>631</v>
      </c>
      <c r="D193">
        <v>9805</v>
      </c>
      <c r="E193">
        <v>7345</v>
      </c>
      <c r="F193">
        <v>2460</v>
      </c>
      <c r="G193">
        <v>9805</v>
      </c>
      <c r="H193">
        <v>7345</v>
      </c>
      <c r="I193">
        <v>2460</v>
      </c>
      <c r="J193">
        <v>4015</v>
      </c>
      <c r="K193">
        <v>493</v>
      </c>
      <c r="L193">
        <v>812</v>
      </c>
      <c r="M193">
        <v>555</v>
      </c>
      <c r="N193">
        <v>786</v>
      </c>
      <c r="O193">
        <v>100</v>
      </c>
      <c r="P193">
        <v>122</v>
      </c>
      <c r="Q193">
        <v>0</v>
      </c>
      <c r="R193">
        <v>507</v>
      </c>
      <c r="S193">
        <v>865</v>
      </c>
      <c r="T193">
        <v>186</v>
      </c>
      <c r="U193">
        <v>271</v>
      </c>
      <c r="V193">
        <v>99</v>
      </c>
      <c r="W193">
        <v>85</v>
      </c>
      <c r="X193">
        <v>818</v>
      </c>
      <c r="Y193">
        <v>91</v>
      </c>
    </row>
    <row r="194" spans="1:25" x14ac:dyDescent="0.25">
      <c r="A194" t="s">
        <v>632</v>
      </c>
      <c r="B194">
        <v>5323830</v>
      </c>
      <c r="C194" t="s">
        <v>633</v>
      </c>
      <c r="D194">
        <v>2185</v>
      </c>
      <c r="E194">
        <v>1918</v>
      </c>
      <c r="F194">
        <v>267</v>
      </c>
      <c r="G194">
        <v>2185</v>
      </c>
      <c r="H194">
        <v>1918</v>
      </c>
      <c r="I194">
        <v>267</v>
      </c>
      <c r="J194">
        <v>1450</v>
      </c>
      <c r="K194">
        <v>77</v>
      </c>
      <c r="L194">
        <v>172</v>
      </c>
      <c r="M194">
        <v>32</v>
      </c>
      <c r="N194">
        <v>141</v>
      </c>
      <c r="O194">
        <v>6</v>
      </c>
      <c r="P194">
        <v>19</v>
      </c>
      <c r="Q194">
        <v>0</v>
      </c>
      <c r="R194">
        <v>45</v>
      </c>
      <c r="S194">
        <v>133</v>
      </c>
      <c r="T194">
        <v>0</v>
      </c>
      <c r="U194">
        <v>0</v>
      </c>
      <c r="V194">
        <v>12</v>
      </c>
      <c r="W194">
        <v>15</v>
      </c>
      <c r="X194">
        <v>79</v>
      </c>
      <c r="Y194">
        <v>4</v>
      </c>
    </row>
    <row r="195" spans="1:25" x14ac:dyDescent="0.25">
      <c r="A195" t="s">
        <v>634</v>
      </c>
      <c r="B195">
        <v>5323865</v>
      </c>
      <c r="C195" t="s">
        <v>635</v>
      </c>
      <c r="D195">
        <v>6015</v>
      </c>
      <c r="E195">
        <v>5560</v>
      </c>
      <c r="F195">
        <v>455</v>
      </c>
      <c r="G195">
        <v>6015</v>
      </c>
      <c r="H195">
        <v>5560</v>
      </c>
      <c r="I195">
        <v>455</v>
      </c>
      <c r="J195">
        <v>4556</v>
      </c>
      <c r="K195">
        <v>71</v>
      </c>
      <c r="L195">
        <v>229</v>
      </c>
      <c r="M195">
        <v>23</v>
      </c>
      <c r="N195">
        <v>75</v>
      </c>
      <c r="O195">
        <v>0</v>
      </c>
      <c r="P195">
        <v>31</v>
      </c>
      <c r="Q195">
        <v>0</v>
      </c>
      <c r="R195">
        <v>0</v>
      </c>
      <c r="S195">
        <v>37</v>
      </c>
      <c r="T195">
        <v>0</v>
      </c>
      <c r="U195">
        <v>7</v>
      </c>
      <c r="V195">
        <v>621</v>
      </c>
      <c r="W195">
        <v>317</v>
      </c>
      <c r="X195">
        <v>48</v>
      </c>
      <c r="Y195">
        <v>0</v>
      </c>
    </row>
    <row r="196" spans="1:25" x14ac:dyDescent="0.25">
      <c r="A196" t="s">
        <v>636</v>
      </c>
      <c r="B196">
        <v>5323970</v>
      </c>
      <c r="C196" t="s">
        <v>637</v>
      </c>
      <c r="D196">
        <v>6666</v>
      </c>
      <c r="E196">
        <v>5979</v>
      </c>
      <c r="F196">
        <v>687</v>
      </c>
      <c r="G196">
        <v>6666</v>
      </c>
      <c r="H196">
        <v>5979</v>
      </c>
      <c r="I196">
        <v>687</v>
      </c>
      <c r="J196">
        <v>4295</v>
      </c>
      <c r="K196">
        <v>240</v>
      </c>
      <c r="L196">
        <v>67</v>
      </c>
      <c r="M196">
        <v>40</v>
      </c>
      <c r="N196">
        <v>440</v>
      </c>
      <c r="O196">
        <v>25</v>
      </c>
      <c r="P196">
        <v>49</v>
      </c>
      <c r="Q196">
        <v>2</v>
      </c>
      <c r="R196">
        <v>130</v>
      </c>
      <c r="S196">
        <v>242</v>
      </c>
      <c r="T196">
        <v>78</v>
      </c>
      <c r="U196">
        <v>0</v>
      </c>
      <c r="V196">
        <v>77</v>
      </c>
      <c r="W196">
        <v>0</v>
      </c>
      <c r="X196">
        <v>843</v>
      </c>
      <c r="Y196">
        <v>138</v>
      </c>
    </row>
    <row r="197" spans="1:25" x14ac:dyDescent="0.25">
      <c r="A197" t="s">
        <v>638</v>
      </c>
      <c r="B197">
        <v>5324188</v>
      </c>
      <c r="C197" t="s">
        <v>639</v>
      </c>
      <c r="D197">
        <v>18405</v>
      </c>
      <c r="E197">
        <v>16382</v>
      </c>
      <c r="F197">
        <v>2023</v>
      </c>
      <c r="G197">
        <v>18405</v>
      </c>
      <c r="H197">
        <v>16382</v>
      </c>
      <c r="I197">
        <v>2023</v>
      </c>
      <c r="J197">
        <v>13709</v>
      </c>
      <c r="K197">
        <v>1149</v>
      </c>
      <c r="L197">
        <v>391</v>
      </c>
      <c r="M197">
        <v>165</v>
      </c>
      <c r="N197">
        <v>458</v>
      </c>
      <c r="O197">
        <v>0</v>
      </c>
      <c r="P197">
        <v>120</v>
      </c>
      <c r="Q197">
        <v>0</v>
      </c>
      <c r="R197">
        <v>179</v>
      </c>
      <c r="S197">
        <v>565</v>
      </c>
      <c r="T197">
        <v>8</v>
      </c>
      <c r="U197">
        <v>0</v>
      </c>
      <c r="V197">
        <v>529</v>
      </c>
      <c r="W197">
        <v>122</v>
      </c>
      <c r="X197">
        <v>988</v>
      </c>
      <c r="Y197">
        <v>22</v>
      </c>
    </row>
    <row r="198" spans="1:25" x14ac:dyDescent="0.25">
      <c r="A198" t="s">
        <v>640</v>
      </c>
      <c r="B198">
        <v>5324425</v>
      </c>
      <c r="C198" t="s">
        <v>641</v>
      </c>
      <c r="D198">
        <v>2779</v>
      </c>
      <c r="E198">
        <v>2636</v>
      </c>
      <c r="F198">
        <v>143</v>
      </c>
      <c r="G198">
        <v>2779</v>
      </c>
      <c r="H198">
        <v>2636</v>
      </c>
      <c r="I198">
        <v>143</v>
      </c>
      <c r="J198">
        <v>2495</v>
      </c>
      <c r="K198">
        <v>107</v>
      </c>
      <c r="L198">
        <v>76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17</v>
      </c>
      <c r="T198">
        <v>31</v>
      </c>
      <c r="U198">
        <v>19</v>
      </c>
      <c r="V198">
        <v>2</v>
      </c>
      <c r="W198">
        <v>0</v>
      </c>
      <c r="X198">
        <v>31</v>
      </c>
      <c r="Y198">
        <v>0</v>
      </c>
    </row>
    <row r="199" spans="1:25" x14ac:dyDescent="0.25">
      <c r="A199" t="s">
        <v>642</v>
      </c>
      <c r="B199">
        <v>5324565</v>
      </c>
      <c r="C199" t="s">
        <v>643</v>
      </c>
      <c r="D199">
        <v>1812</v>
      </c>
      <c r="E199">
        <v>1544</v>
      </c>
      <c r="F199">
        <v>268</v>
      </c>
      <c r="G199">
        <v>1812</v>
      </c>
      <c r="H199">
        <v>1544</v>
      </c>
      <c r="I199">
        <v>268</v>
      </c>
      <c r="J199">
        <v>1446</v>
      </c>
      <c r="K199">
        <v>33</v>
      </c>
      <c r="L199">
        <v>37</v>
      </c>
      <c r="M199">
        <v>18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34</v>
      </c>
      <c r="T199">
        <v>0</v>
      </c>
      <c r="U199">
        <v>0</v>
      </c>
      <c r="V199">
        <v>52</v>
      </c>
      <c r="W199">
        <v>183</v>
      </c>
      <c r="X199">
        <v>9</v>
      </c>
      <c r="Y199">
        <v>0</v>
      </c>
    </row>
    <row r="200" spans="1:25" x14ac:dyDescent="0.25">
      <c r="A200" t="s">
        <v>644</v>
      </c>
      <c r="B200">
        <v>5324810</v>
      </c>
      <c r="C200" t="s">
        <v>645</v>
      </c>
      <c r="D200">
        <v>3748</v>
      </c>
      <c r="E200">
        <v>3382</v>
      </c>
      <c r="F200">
        <v>366</v>
      </c>
      <c r="G200">
        <v>3748</v>
      </c>
      <c r="H200">
        <v>3382</v>
      </c>
      <c r="I200">
        <v>366</v>
      </c>
      <c r="J200">
        <v>2647</v>
      </c>
      <c r="K200">
        <v>28</v>
      </c>
      <c r="L200">
        <v>280</v>
      </c>
      <c r="M200">
        <v>280</v>
      </c>
      <c r="N200">
        <v>134</v>
      </c>
      <c r="O200">
        <v>39</v>
      </c>
      <c r="P200">
        <v>155</v>
      </c>
      <c r="Q200">
        <v>0</v>
      </c>
      <c r="R200">
        <v>1</v>
      </c>
      <c r="S200">
        <v>6</v>
      </c>
      <c r="T200">
        <v>0</v>
      </c>
      <c r="U200">
        <v>0</v>
      </c>
      <c r="V200">
        <v>21</v>
      </c>
      <c r="W200">
        <v>6</v>
      </c>
      <c r="X200">
        <v>144</v>
      </c>
      <c r="Y200">
        <v>7</v>
      </c>
    </row>
    <row r="201" spans="1:25" x14ac:dyDescent="0.25">
      <c r="A201" t="s">
        <v>646</v>
      </c>
      <c r="B201">
        <v>5324915</v>
      </c>
      <c r="C201" t="s">
        <v>647</v>
      </c>
      <c r="D201">
        <v>13920</v>
      </c>
      <c r="E201">
        <v>12448</v>
      </c>
      <c r="F201">
        <v>1472</v>
      </c>
      <c r="G201">
        <v>13920</v>
      </c>
      <c r="H201">
        <v>12448</v>
      </c>
      <c r="I201">
        <v>1472</v>
      </c>
      <c r="J201">
        <v>7676</v>
      </c>
      <c r="K201">
        <v>382</v>
      </c>
      <c r="L201">
        <v>1700</v>
      </c>
      <c r="M201">
        <v>328</v>
      </c>
      <c r="N201">
        <v>1920</v>
      </c>
      <c r="O201">
        <v>104</v>
      </c>
      <c r="P201">
        <v>28</v>
      </c>
      <c r="Q201">
        <v>0</v>
      </c>
      <c r="R201">
        <v>154</v>
      </c>
      <c r="S201">
        <v>253</v>
      </c>
      <c r="T201">
        <v>152</v>
      </c>
      <c r="U201">
        <v>203</v>
      </c>
      <c r="V201">
        <v>260</v>
      </c>
      <c r="W201">
        <v>27</v>
      </c>
      <c r="X201">
        <v>558</v>
      </c>
      <c r="Y201">
        <v>175</v>
      </c>
    </row>
    <row r="202" spans="1:25" x14ac:dyDescent="0.25">
      <c r="A202" t="s">
        <v>648</v>
      </c>
      <c r="B202">
        <v>5325300</v>
      </c>
      <c r="C202" t="s">
        <v>649</v>
      </c>
      <c r="D202">
        <v>403</v>
      </c>
      <c r="E202">
        <v>403</v>
      </c>
      <c r="F202">
        <v>0</v>
      </c>
      <c r="G202">
        <v>403</v>
      </c>
      <c r="H202">
        <v>403</v>
      </c>
      <c r="I202">
        <v>0</v>
      </c>
      <c r="J202">
        <v>380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12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9</v>
      </c>
      <c r="Y202">
        <v>0</v>
      </c>
    </row>
    <row r="203" spans="1:25" x14ac:dyDescent="0.25">
      <c r="A203" t="s">
        <v>650</v>
      </c>
      <c r="B203">
        <v>5325370</v>
      </c>
      <c r="C203" t="s">
        <v>651</v>
      </c>
      <c r="D203">
        <v>3848</v>
      </c>
      <c r="E203">
        <v>3704</v>
      </c>
      <c r="F203">
        <v>144</v>
      </c>
      <c r="G203">
        <v>3848</v>
      </c>
      <c r="H203">
        <v>3704</v>
      </c>
      <c r="I203">
        <v>144</v>
      </c>
      <c r="J203">
        <v>3465</v>
      </c>
      <c r="K203">
        <v>100</v>
      </c>
      <c r="L203">
        <v>22</v>
      </c>
      <c r="M203">
        <v>9</v>
      </c>
      <c r="N203">
        <v>0</v>
      </c>
      <c r="O203">
        <v>0</v>
      </c>
      <c r="P203">
        <v>48</v>
      </c>
      <c r="Q203">
        <v>0</v>
      </c>
      <c r="R203">
        <v>8</v>
      </c>
      <c r="S203">
        <v>11</v>
      </c>
      <c r="T203">
        <v>0</v>
      </c>
      <c r="U203">
        <v>0</v>
      </c>
      <c r="V203">
        <v>10</v>
      </c>
      <c r="W203">
        <v>0</v>
      </c>
      <c r="X203">
        <v>151</v>
      </c>
      <c r="Y203">
        <v>24</v>
      </c>
    </row>
    <row r="204" spans="1:25" x14ac:dyDescent="0.25">
      <c r="A204" t="s">
        <v>652</v>
      </c>
      <c r="B204">
        <v>5325475</v>
      </c>
      <c r="C204" t="s">
        <v>653</v>
      </c>
      <c r="D204">
        <v>21737</v>
      </c>
      <c r="E204">
        <v>18769</v>
      </c>
      <c r="F204">
        <v>2968</v>
      </c>
      <c r="G204">
        <v>21737</v>
      </c>
      <c r="H204">
        <v>18769</v>
      </c>
      <c r="I204">
        <v>2968</v>
      </c>
      <c r="J204">
        <v>12904</v>
      </c>
      <c r="K204">
        <v>615</v>
      </c>
      <c r="L204">
        <v>935</v>
      </c>
      <c r="M204">
        <v>184</v>
      </c>
      <c r="N204">
        <v>1722</v>
      </c>
      <c r="O204">
        <v>86</v>
      </c>
      <c r="P204">
        <v>205</v>
      </c>
      <c r="Q204">
        <v>62</v>
      </c>
      <c r="R204">
        <v>672</v>
      </c>
      <c r="S204">
        <v>969</v>
      </c>
      <c r="T204">
        <v>173</v>
      </c>
      <c r="U204">
        <v>195</v>
      </c>
      <c r="V204">
        <v>274</v>
      </c>
      <c r="W204">
        <v>444</v>
      </c>
      <c r="X204">
        <v>1884</v>
      </c>
      <c r="Y204">
        <v>413</v>
      </c>
    </row>
    <row r="205" spans="1:25" x14ac:dyDescent="0.25">
      <c r="A205" t="s">
        <v>654</v>
      </c>
      <c r="B205">
        <v>5325510</v>
      </c>
      <c r="C205" t="s">
        <v>655</v>
      </c>
      <c r="D205">
        <v>1698</v>
      </c>
      <c r="E205">
        <v>1584</v>
      </c>
      <c r="F205">
        <v>114</v>
      </c>
      <c r="G205">
        <v>1698</v>
      </c>
      <c r="H205">
        <v>1584</v>
      </c>
      <c r="I205">
        <v>114</v>
      </c>
      <c r="J205">
        <v>1409</v>
      </c>
      <c r="K205">
        <v>94</v>
      </c>
      <c r="L205">
        <v>6</v>
      </c>
      <c r="M205">
        <v>0</v>
      </c>
      <c r="N205">
        <v>41</v>
      </c>
      <c r="O205">
        <v>0</v>
      </c>
      <c r="P205">
        <v>0</v>
      </c>
      <c r="Q205">
        <v>0</v>
      </c>
      <c r="R205">
        <v>0</v>
      </c>
      <c r="S205">
        <v>7</v>
      </c>
      <c r="T205">
        <v>26</v>
      </c>
      <c r="U205">
        <v>13</v>
      </c>
      <c r="V205">
        <v>8</v>
      </c>
      <c r="W205">
        <v>0</v>
      </c>
      <c r="X205">
        <v>94</v>
      </c>
      <c r="Y205">
        <v>0</v>
      </c>
    </row>
    <row r="206" spans="1:25" x14ac:dyDescent="0.25">
      <c r="A206" t="s">
        <v>656</v>
      </c>
      <c r="B206">
        <v>5325615</v>
      </c>
      <c r="C206" t="s">
        <v>657</v>
      </c>
      <c r="D206">
        <v>2419</v>
      </c>
      <c r="E206">
        <v>2188</v>
      </c>
      <c r="F206">
        <v>231</v>
      </c>
      <c r="G206">
        <v>2419</v>
      </c>
      <c r="H206">
        <v>2188</v>
      </c>
      <c r="I206">
        <v>231</v>
      </c>
      <c r="J206">
        <v>1904</v>
      </c>
      <c r="K206">
        <v>96</v>
      </c>
      <c r="L206">
        <v>124</v>
      </c>
      <c r="M206">
        <v>68</v>
      </c>
      <c r="N206">
        <v>0</v>
      </c>
      <c r="O206">
        <v>3</v>
      </c>
      <c r="P206">
        <v>11</v>
      </c>
      <c r="Q206">
        <v>0</v>
      </c>
      <c r="R206">
        <v>10</v>
      </c>
      <c r="S206">
        <v>22</v>
      </c>
      <c r="T206">
        <v>0</v>
      </c>
      <c r="U206">
        <v>0</v>
      </c>
      <c r="V206">
        <v>51</v>
      </c>
      <c r="W206">
        <v>29</v>
      </c>
      <c r="X206">
        <v>88</v>
      </c>
      <c r="Y206">
        <v>13</v>
      </c>
    </row>
    <row r="207" spans="1:25" x14ac:dyDescent="0.25">
      <c r="A207" t="s">
        <v>658</v>
      </c>
      <c r="B207">
        <v>5326140</v>
      </c>
      <c r="C207" t="s">
        <v>659</v>
      </c>
      <c r="D207">
        <v>505</v>
      </c>
      <c r="E207">
        <v>488</v>
      </c>
      <c r="F207">
        <v>17</v>
      </c>
      <c r="G207">
        <v>505</v>
      </c>
      <c r="H207">
        <v>488</v>
      </c>
      <c r="I207">
        <v>17</v>
      </c>
      <c r="J207">
        <v>461</v>
      </c>
      <c r="K207">
        <v>12</v>
      </c>
      <c r="L207">
        <v>22</v>
      </c>
      <c r="M207">
        <v>5</v>
      </c>
      <c r="N207">
        <v>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5">
      <c r="A208" t="s">
        <v>660</v>
      </c>
      <c r="B208">
        <v>5326245</v>
      </c>
      <c r="C208" t="s">
        <v>661</v>
      </c>
      <c r="D208">
        <v>1531</v>
      </c>
      <c r="E208">
        <v>1361</v>
      </c>
      <c r="F208">
        <v>170</v>
      </c>
      <c r="G208">
        <v>1531</v>
      </c>
      <c r="H208">
        <v>1361</v>
      </c>
      <c r="I208">
        <v>170</v>
      </c>
      <c r="J208">
        <v>995</v>
      </c>
      <c r="K208">
        <v>26</v>
      </c>
      <c r="L208">
        <v>124</v>
      </c>
      <c r="M208">
        <v>67</v>
      </c>
      <c r="N208">
        <v>13</v>
      </c>
      <c r="O208">
        <v>10</v>
      </c>
      <c r="P208">
        <v>0</v>
      </c>
      <c r="Q208">
        <v>0</v>
      </c>
      <c r="R208">
        <v>0</v>
      </c>
      <c r="S208">
        <v>14</v>
      </c>
      <c r="T208">
        <v>0</v>
      </c>
      <c r="U208">
        <v>0</v>
      </c>
      <c r="V208">
        <v>18</v>
      </c>
      <c r="W208">
        <v>53</v>
      </c>
      <c r="X208">
        <v>211</v>
      </c>
      <c r="Y208">
        <v>0</v>
      </c>
    </row>
    <row r="209" spans="1:25" x14ac:dyDescent="0.25">
      <c r="A209" t="s">
        <v>662</v>
      </c>
      <c r="B209">
        <v>5326420</v>
      </c>
      <c r="C209" t="s">
        <v>663</v>
      </c>
      <c r="D209">
        <v>2632</v>
      </c>
      <c r="E209">
        <v>2377</v>
      </c>
      <c r="F209">
        <v>255</v>
      </c>
      <c r="G209">
        <v>2632</v>
      </c>
      <c r="H209">
        <v>2377</v>
      </c>
      <c r="I209">
        <v>255</v>
      </c>
      <c r="J209">
        <v>2252</v>
      </c>
      <c r="K209">
        <v>157</v>
      </c>
      <c r="L209">
        <v>20</v>
      </c>
      <c r="M209">
        <v>34</v>
      </c>
      <c r="N209">
        <v>1</v>
      </c>
      <c r="O209">
        <v>0</v>
      </c>
      <c r="P209">
        <v>56</v>
      </c>
      <c r="Q209">
        <v>0</v>
      </c>
      <c r="R209">
        <v>32</v>
      </c>
      <c r="S209">
        <v>36</v>
      </c>
      <c r="T209">
        <v>0</v>
      </c>
      <c r="U209">
        <v>0</v>
      </c>
      <c r="V209">
        <v>0</v>
      </c>
      <c r="W209">
        <v>28</v>
      </c>
      <c r="X209">
        <v>16</v>
      </c>
      <c r="Y209">
        <v>0</v>
      </c>
    </row>
    <row r="210" spans="1:25" x14ac:dyDescent="0.25">
      <c r="A210" t="s">
        <v>664</v>
      </c>
      <c r="B210">
        <v>5326455</v>
      </c>
      <c r="C210" t="s">
        <v>665</v>
      </c>
      <c r="D210">
        <v>689</v>
      </c>
      <c r="E210">
        <v>383</v>
      </c>
      <c r="F210">
        <v>306</v>
      </c>
      <c r="G210">
        <v>689</v>
      </c>
      <c r="H210">
        <v>383</v>
      </c>
      <c r="I210">
        <v>306</v>
      </c>
      <c r="J210">
        <v>76</v>
      </c>
      <c r="K210">
        <v>2</v>
      </c>
      <c r="L210">
        <v>54</v>
      </c>
      <c r="M210">
        <v>72</v>
      </c>
      <c r="N210">
        <v>0</v>
      </c>
      <c r="O210">
        <v>0</v>
      </c>
      <c r="P210">
        <v>1</v>
      </c>
      <c r="Q210">
        <v>14</v>
      </c>
      <c r="R210">
        <v>0</v>
      </c>
      <c r="S210">
        <v>0</v>
      </c>
      <c r="T210">
        <v>0</v>
      </c>
      <c r="U210">
        <v>0</v>
      </c>
      <c r="V210">
        <v>252</v>
      </c>
      <c r="W210">
        <v>218</v>
      </c>
      <c r="X210">
        <v>0</v>
      </c>
      <c r="Y210">
        <v>0</v>
      </c>
    </row>
    <row r="211" spans="1:25" x14ac:dyDescent="0.25">
      <c r="A211" t="s">
        <v>666</v>
      </c>
      <c r="B211">
        <v>5326735</v>
      </c>
      <c r="C211" t="s">
        <v>667</v>
      </c>
      <c r="D211">
        <v>8651</v>
      </c>
      <c r="E211">
        <v>7951</v>
      </c>
      <c r="F211">
        <v>700</v>
      </c>
      <c r="G211">
        <v>8651</v>
      </c>
      <c r="H211">
        <v>7951</v>
      </c>
      <c r="I211">
        <v>700</v>
      </c>
      <c r="J211">
        <v>7139</v>
      </c>
      <c r="K211">
        <v>200</v>
      </c>
      <c r="L211">
        <v>182</v>
      </c>
      <c r="M211">
        <v>74</v>
      </c>
      <c r="N211">
        <v>79</v>
      </c>
      <c r="O211">
        <v>2</v>
      </c>
      <c r="P211">
        <v>111</v>
      </c>
      <c r="Q211">
        <v>11</v>
      </c>
      <c r="R211">
        <v>137</v>
      </c>
      <c r="S211">
        <v>337</v>
      </c>
      <c r="T211">
        <v>0</v>
      </c>
      <c r="U211">
        <v>12</v>
      </c>
      <c r="V211">
        <v>106</v>
      </c>
      <c r="W211">
        <v>0</v>
      </c>
      <c r="X211">
        <v>197</v>
      </c>
      <c r="Y211">
        <v>64</v>
      </c>
    </row>
    <row r="212" spans="1:25" x14ac:dyDescent="0.25">
      <c r="A212" t="s">
        <v>668</v>
      </c>
      <c r="B212">
        <v>5326875</v>
      </c>
      <c r="C212" t="s">
        <v>669</v>
      </c>
      <c r="D212">
        <v>102</v>
      </c>
      <c r="E212">
        <v>102</v>
      </c>
      <c r="F212">
        <v>0</v>
      </c>
      <c r="G212">
        <v>102</v>
      </c>
      <c r="H212">
        <v>102</v>
      </c>
      <c r="I212">
        <v>0</v>
      </c>
      <c r="J212">
        <v>102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 t="s">
        <v>670</v>
      </c>
      <c r="B213">
        <v>5326945</v>
      </c>
      <c r="C213" t="s">
        <v>671</v>
      </c>
      <c r="D213">
        <v>2474</v>
      </c>
      <c r="E213">
        <v>2328</v>
      </c>
      <c r="F213">
        <v>146</v>
      </c>
      <c r="G213">
        <v>2474</v>
      </c>
      <c r="H213">
        <v>2328</v>
      </c>
      <c r="I213">
        <v>146</v>
      </c>
      <c r="J213">
        <v>2069</v>
      </c>
      <c r="K213">
        <v>27</v>
      </c>
      <c r="L213">
        <v>38</v>
      </c>
      <c r="M213">
        <v>91</v>
      </c>
      <c r="N213">
        <v>32</v>
      </c>
      <c r="O213">
        <v>0</v>
      </c>
      <c r="P213">
        <v>15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98</v>
      </c>
      <c r="W213">
        <v>20</v>
      </c>
      <c r="X213">
        <v>76</v>
      </c>
      <c r="Y213">
        <v>8</v>
      </c>
    </row>
    <row r="214" spans="1:25" x14ac:dyDescent="0.25">
      <c r="A214" t="s">
        <v>672</v>
      </c>
      <c r="B214">
        <v>5327225</v>
      </c>
      <c r="C214" t="s">
        <v>673</v>
      </c>
      <c r="D214">
        <v>157</v>
      </c>
      <c r="E214">
        <v>154</v>
      </c>
      <c r="F214">
        <v>3</v>
      </c>
      <c r="G214">
        <v>157</v>
      </c>
      <c r="H214">
        <v>154</v>
      </c>
      <c r="I214">
        <v>3</v>
      </c>
      <c r="J214">
        <v>133</v>
      </c>
      <c r="K214">
        <v>1</v>
      </c>
      <c r="L214">
        <v>0</v>
      </c>
      <c r="M214">
        <v>0</v>
      </c>
      <c r="N214">
        <v>0</v>
      </c>
      <c r="O214">
        <v>2</v>
      </c>
      <c r="P214">
        <v>21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674</v>
      </c>
      <c r="B215">
        <v>5327365</v>
      </c>
      <c r="C215" t="s">
        <v>675</v>
      </c>
      <c r="D215">
        <v>1853</v>
      </c>
      <c r="E215">
        <v>1788</v>
      </c>
      <c r="F215">
        <v>65</v>
      </c>
      <c r="G215">
        <v>1853</v>
      </c>
      <c r="H215">
        <v>1788</v>
      </c>
      <c r="I215">
        <v>65</v>
      </c>
      <c r="J215">
        <v>1674</v>
      </c>
      <c r="K215">
        <v>3</v>
      </c>
      <c r="L215">
        <v>40</v>
      </c>
      <c r="M215">
        <v>49</v>
      </c>
      <c r="N215">
        <v>0</v>
      </c>
      <c r="O215">
        <v>0</v>
      </c>
      <c r="P215">
        <v>32</v>
      </c>
      <c r="Q215">
        <v>0</v>
      </c>
      <c r="R215">
        <v>0</v>
      </c>
      <c r="S215">
        <v>3</v>
      </c>
      <c r="T215">
        <v>0</v>
      </c>
      <c r="U215">
        <v>5</v>
      </c>
      <c r="V215">
        <v>5</v>
      </c>
      <c r="W215">
        <v>5</v>
      </c>
      <c r="X215">
        <v>37</v>
      </c>
      <c r="Y215">
        <v>0</v>
      </c>
    </row>
    <row r="216" spans="1:25" x14ac:dyDescent="0.25">
      <c r="A216" t="s">
        <v>676</v>
      </c>
      <c r="B216">
        <v>5327435</v>
      </c>
      <c r="C216" t="s">
        <v>677</v>
      </c>
      <c r="D216">
        <v>3433</v>
      </c>
      <c r="E216">
        <v>3383</v>
      </c>
      <c r="F216">
        <v>50</v>
      </c>
      <c r="G216">
        <v>3433</v>
      </c>
      <c r="H216">
        <v>3383</v>
      </c>
      <c r="I216">
        <v>50</v>
      </c>
      <c r="J216">
        <v>3172</v>
      </c>
      <c r="K216">
        <v>1</v>
      </c>
      <c r="L216">
        <v>65</v>
      </c>
      <c r="M216">
        <v>24</v>
      </c>
      <c r="N216">
        <v>8</v>
      </c>
      <c r="O216">
        <v>0</v>
      </c>
      <c r="P216">
        <v>46</v>
      </c>
      <c r="Q216">
        <v>0</v>
      </c>
      <c r="R216">
        <v>21</v>
      </c>
      <c r="S216">
        <v>25</v>
      </c>
      <c r="T216">
        <v>0</v>
      </c>
      <c r="U216">
        <v>0</v>
      </c>
      <c r="V216">
        <v>0</v>
      </c>
      <c r="W216">
        <v>0</v>
      </c>
      <c r="X216">
        <v>71</v>
      </c>
      <c r="Y216">
        <v>0</v>
      </c>
    </row>
    <row r="217" spans="1:25" x14ac:dyDescent="0.25">
      <c r="A217" t="s">
        <v>678</v>
      </c>
      <c r="B217">
        <v>5327680</v>
      </c>
      <c r="C217" t="s">
        <v>679</v>
      </c>
      <c r="D217">
        <v>257</v>
      </c>
      <c r="E217">
        <v>246</v>
      </c>
      <c r="F217">
        <v>11</v>
      </c>
      <c r="G217">
        <v>257</v>
      </c>
      <c r="H217">
        <v>246</v>
      </c>
      <c r="I217">
        <v>11</v>
      </c>
      <c r="J217">
        <v>246</v>
      </c>
      <c r="K217">
        <v>11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680</v>
      </c>
      <c r="B218">
        <v>5327785</v>
      </c>
      <c r="C218" t="s">
        <v>681</v>
      </c>
      <c r="D218">
        <v>26939</v>
      </c>
      <c r="E218">
        <v>24958</v>
      </c>
      <c r="F218">
        <v>1981</v>
      </c>
      <c r="G218">
        <v>26939</v>
      </c>
      <c r="H218">
        <v>24958</v>
      </c>
      <c r="I218">
        <v>1981</v>
      </c>
      <c r="J218">
        <v>20726</v>
      </c>
      <c r="K218">
        <v>847</v>
      </c>
      <c r="L218">
        <v>886</v>
      </c>
      <c r="M218">
        <v>154</v>
      </c>
      <c r="N218">
        <v>512</v>
      </c>
      <c r="O218">
        <v>77</v>
      </c>
      <c r="P218">
        <v>454</v>
      </c>
      <c r="Q218">
        <v>0</v>
      </c>
      <c r="R218">
        <v>231</v>
      </c>
      <c r="S218">
        <v>563</v>
      </c>
      <c r="T218">
        <v>237</v>
      </c>
      <c r="U218">
        <v>71</v>
      </c>
      <c r="V218">
        <v>348</v>
      </c>
      <c r="W218">
        <v>164</v>
      </c>
      <c r="X218">
        <v>1564</v>
      </c>
      <c r="Y218">
        <v>105</v>
      </c>
    </row>
    <row r="219" spans="1:25" x14ac:dyDescent="0.25">
      <c r="A219" t="s">
        <v>682</v>
      </c>
      <c r="B219">
        <v>5327855</v>
      </c>
      <c r="C219" t="s">
        <v>683</v>
      </c>
      <c r="D219">
        <v>1024</v>
      </c>
      <c r="E219">
        <v>985</v>
      </c>
      <c r="F219">
        <v>39</v>
      </c>
      <c r="G219">
        <v>1024</v>
      </c>
      <c r="H219">
        <v>985</v>
      </c>
      <c r="I219">
        <v>39</v>
      </c>
      <c r="J219">
        <v>654</v>
      </c>
      <c r="K219">
        <v>28</v>
      </c>
      <c r="L219">
        <v>14</v>
      </c>
      <c r="M219">
        <v>0</v>
      </c>
      <c r="N219">
        <v>0</v>
      </c>
      <c r="O219">
        <v>1</v>
      </c>
      <c r="P219">
        <v>215</v>
      </c>
      <c r="Q219">
        <v>0</v>
      </c>
      <c r="R219">
        <v>4</v>
      </c>
      <c r="S219">
        <v>2</v>
      </c>
      <c r="T219">
        <v>0</v>
      </c>
      <c r="U219">
        <v>0</v>
      </c>
      <c r="V219">
        <v>34</v>
      </c>
      <c r="W219">
        <v>8</v>
      </c>
      <c r="X219">
        <v>64</v>
      </c>
      <c r="Y219">
        <v>0</v>
      </c>
    </row>
    <row r="220" spans="1:25" x14ac:dyDescent="0.25">
      <c r="A220" t="s">
        <v>684</v>
      </c>
      <c r="B220">
        <v>5327890</v>
      </c>
      <c r="C220" t="s">
        <v>685</v>
      </c>
      <c r="D220">
        <v>3119</v>
      </c>
      <c r="E220">
        <v>2847</v>
      </c>
      <c r="F220">
        <v>272</v>
      </c>
      <c r="G220">
        <v>3119</v>
      </c>
      <c r="H220">
        <v>2847</v>
      </c>
      <c r="I220">
        <v>272</v>
      </c>
      <c r="J220">
        <v>1979</v>
      </c>
      <c r="K220">
        <v>52</v>
      </c>
      <c r="L220">
        <v>485</v>
      </c>
      <c r="M220">
        <v>147</v>
      </c>
      <c r="N220">
        <v>0</v>
      </c>
      <c r="O220">
        <v>0</v>
      </c>
      <c r="P220">
        <v>46</v>
      </c>
      <c r="Q220">
        <v>0</v>
      </c>
      <c r="R220">
        <v>18</v>
      </c>
      <c r="S220">
        <v>0</v>
      </c>
      <c r="T220">
        <v>0</v>
      </c>
      <c r="U220">
        <v>0</v>
      </c>
      <c r="V220">
        <v>0</v>
      </c>
      <c r="W220">
        <v>44</v>
      </c>
      <c r="X220">
        <v>319</v>
      </c>
      <c r="Y220">
        <v>29</v>
      </c>
    </row>
    <row r="221" spans="1:25" x14ac:dyDescent="0.25">
      <c r="A221" t="s">
        <v>686</v>
      </c>
      <c r="B221">
        <v>5327925</v>
      </c>
      <c r="C221" t="s">
        <v>687</v>
      </c>
      <c r="D221">
        <v>11112</v>
      </c>
      <c r="E221">
        <v>7640</v>
      </c>
      <c r="F221">
        <v>3472</v>
      </c>
      <c r="G221">
        <v>11112</v>
      </c>
      <c r="H221">
        <v>7640</v>
      </c>
      <c r="I221">
        <v>3472</v>
      </c>
      <c r="J221">
        <v>1844</v>
      </c>
      <c r="K221">
        <v>28</v>
      </c>
      <c r="L221">
        <v>4656</v>
      </c>
      <c r="M221">
        <v>2742</v>
      </c>
      <c r="N221">
        <v>59</v>
      </c>
      <c r="O221">
        <v>23</v>
      </c>
      <c r="P221">
        <v>14</v>
      </c>
      <c r="Q221">
        <v>35</v>
      </c>
      <c r="R221">
        <v>1</v>
      </c>
      <c r="S221">
        <v>16</v>
      </c>
      <c r="T221">
        <v>0</v>
      </c>
      <c r="U221">
        <v>0</v>
      </c>
      <c r="V221">
        <v>938</v>
      </c>
      <c r="W221">
        <v>620</v>
      </c>
      <c r="X221">
        <v>128</v>
      </c>
      <c r="Y221">
        <v>8</v>
      </c>
    </row>
    <row r="222" spans="1:25" x14ac:dyDescent="0.25">
      <c r="A222" t="s">
        <v>688</v>
      </c>
      <c r="B222">
        <v>5327960</v>
      </c>
      <c r="C222" t="s">
        <v>689</v>
      </c>
      <c r="D222">
        <v>3594</v>
      </c>
      <c r="E222">
        <v>2491</v>
      </c>
      <c r="F222">
        <v>1103</v>
      </c>
      <c r="G222">
        <v>3594</v>
      </c>
      <c r="H222">
        <v>2491</v>
      </c>
      <c r="I222">
        <v>1103</v>
      </c>
      <c r="J222">
        <v>349</v>
      </c>
      <c r="K222">
        <v>42</v>
      </c>
      <c r="L222">
        <v>1703</v>
      </c>
      <c r="M222">
        <v>903</v>
      </c>
      <c r="N222">
        <v>48</v>
      </c>
      <c r="O222">
        <v>0</v>
      </c>
      <c r="P222">
        <v>55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270</v>
      </c>
      <c r="W222">
        <v>139</v>
      </c>
      <c r="X222">
        <v>66</v>
      </c>
      <c r="Y222">
        <v>13</v>
      </c>
    </row>
    <row r="223" spans="1:25" x14ac:dyDescent="0.25">
      <c r="A223" t="s">
        <v>690</v>
      </c>
      <c r="B223">
        <v>5327995</v>
      </c>
      <c r="C223" t="s">
        <v>691</v>
      </c>
      <c r="D223">
        <v>3529</v>
      </c>
      <c r="E223">
        <v>3434</v>
      </c>
      <c r="F223">
        <v>95</v>
      </c>
      <c r="G223">
        <v>3529</v>
      </c>
      <c r="H223">
        <v>3434</v>
      </c>
      <c r="I223">
        <v>95</v>
      </c>
      <c r="J223">
        <v>3205</v>
      </c>
      <c r="K223">
        <v>65</v>
      </c>
      <c r="L223">
        <v>0</v>
      </c>
      <c r="M223">
        <v>0</v>
      </c>
      <c r="N223">
        <v>0</v>
      </c>
      <c r="O223">
        <v>30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18</v>
      </c>
      <c r="W223">
        <v>0</v>
      </c>
      <c r="X223">
        <v>211</v>
      </c>
      <c r="Y223">
        <v>0</v>
      </c>
    </row>
    <row r="224" spans="1:25" x14ac:dyDescent="0.25">
      <c r="A224" t="s">
        <v>692</v>
      </c>
      <c r="B224">
        <v>5328135</v>
      </c>
      <c r="C224" t="s">
        <v>693</v>
      </c>
      <c r="D224">
        <v>982</v>
      </c>
      <c r="E224">
        <v>972</v>
      </c>
      <c r="F224">
        <v>10</v>
      </c>
      <c r="G224">
        <v>982</v>
      </c>
      <c r="H224">
        <v>972</v>
      </c>
      <c r="I224">
        <v>10</v>
      </c>
      <c r="J224">
        <v>849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28</v>
      </c>
      <c r="Q224">
        <v>0</v>
      </c>
      <c r="R224">
        <v>0</v>
      </c>
      <c r="S224">
        <v>0</v>
      </c>
      <c r="T224">
        <v>32</v>
      </c>
      <c r="U224">
        <v>0</v>
      </c>
      <c r="V224">
        <v>0</v>
      </c>
      <c r="W224">
        <v>0</v>
      </c>
      <c r="X224">
        <v>63</v>
      </c>
      <c r="Y224">
        <v>0</v>
      </c>
    </row>
    <row r="225" spans="1:25" x14ac:dyDescent="0.25">
      <c r="A225" t="s">
        <v>694</v>
      </c>
      <c r="B225">
        <v>5328345</v>
      </c>
      <c r="C225" t="s">
        <v>695</v>
      </c>
      <c r="D225">
        <v>756</v>
      </c>
      <c r="E225">
        <v>756</v>
      </c>
      <c r="F225">
        <v>0</v>
      </c>
      <c r="G225">
        <v>756</v>
      </c>
      <c r="H225">
        <v>756</v>
      </c>
      <c r="I225">
        <v>0</v>
      </c>
      <c r="J225">
        <v>690</v>
      </c>
      <c r="K225">
        <v>0</v>
      </c>
      <c r="L225">
        <v>56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10</v>
      </c>
      <c r="Y225">
        <v>0</v>
      </c>
    </row>
    <row r="226" spans="1:25" x14ac:dyDescent="0.25">
      <c r="A226" t="s">
        <v>696</v>
      </c>
      <c r="B226">
        <v>5328450</v>
      </c>
      <c r="C226" t="s">
        <v>697</v>
      </c>
      <c r="D226">
        <v>425</v>
      </c>
      <c r="E226">
        <v>425</v>
      </c>
      <c r="F226">
        <v>0</v>
      </c>
      <c r="G226">
        <v>425</v>
      </c>
      <c r="H226">
        <v>425</v>
      </c>
      <c r="I226">
        <v>0</v>
      </c>
      <c r="J226">
        <v>402</v>
      </c>
      <c r="K226">
        <v>0</v>
      </c>
      <c r="L226">
        <v>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14</v>
      </c>
      <c r="Y226">
        <v>0</v>
      </c>
    </row>
    <row r="227" spans="1:25" x14ac:dyDescent="0.25">
      <c r="A227" t="s">
        <v>698</v>
      </c>
      <c r="B227">
        <v>5328590</v>
      </c>
      <c r="C227" t="s">
        <v>699</v>
      </c>
      <c r="D227">
        <v>544</v>
      </c>
      <c r="E227">
        <v>531</v>
      </c>
      <c r="F227">
        <v>13</v>
      </c>
      <c r="G227">
        <v>544</v>
      </c>
      <c r="H227">
        <v>531</v>
      </c>
      <c r="I227">
        <v>13</v>
      </c>
      <c r="J227">
        <v>531</v>
      </c>
      <c r="K227">
        <v>13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 t="s">
        <v>700</v>
      </c>
      <c r="B228">
        <v>5328695</v>
      </c>
      <c r="C228" t="s">
        <v>701</v>
      </c>
      <c r="D228">
        <v>28</v>
      </c>
      <c r="E228">
        <v>28</v>
      </c>
      <c r="F228">
        <v>0</v>
      </c>
      <c r="G228">
        <v>28</v>
      </c>
      <c r="H228">
        <v>28</v>
      </c>
      <c r="I228">
        <v>0</v>
      </c>
      <c r="J228">
        <v>28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 t="s">
        <v>702</v>
      </c>
      <c r="B229">
        <v>5329255</v>
      </c>
      <c r="C229" t="s">
        <v>703</v>
      </c>
      <c r="D229">
        <v>167</v>
      </c>
      <c r="E229">
        <v>162</v>
      </c>
      <c r="F229">
        <v>5</v>
      </c>
      <c r="G229">
        <v>167</v>
      </c>
      <c r="H229">
        <v>162</v>
      </c>
      <c r="I229">
        <v>5</v>
      </c>
      <c r="J229">
        <v>150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>
        <v>0</v>
      </c>
      <c r="V229">
        <v>4</v>
      </c>
      <c r="W229">
        <v>3</v>
      </c>
      <c r="X229">
        <v>5</v>
      </c>
      <c r="Y229">
        <v>0</v>
      </c>
    </row>
    <row r="230" spans="1:25" x14ac:dyDescent="0.25">
      <c r="A230" t="s">
        <v>704</v>
      </c>
      <c r="B230">
        <v>5329430</v>
      </c>
      <c r="C230" t="s">
        <v>705</v>
      </c>
      <c r="D230">
        <v>3809</v>
      </c>
      <c r="E230">
        <v>3658</v>
      </c>
      <c r="F230">
        <v>151</v>
      </c>
      <c r="G230">
        <v>3809</v>
      </c>
      <c r="H230">
        <v>3658</v>
      </c>
      <c r="I230">
        <v>151</v>
      </c>
      <c r="J230">
        <v>3201</v>
      </c>
      <c r="K230">
        <v>122</v>
      </c>
      <c r="L230">
        <v>98</v>
      </c>
      <c r="M230">
        <v>0</v>
      </c>
      <c r="N230">
        <v>16</v>
      </c>
      <c r="O230">
        <v>0</v>
      </c>
      <c r="P230">
        <v>117</v>
      </c>
      <c r="Q230">
        <v>0</v>
      </c>
      <c r="R230">
        <v>76</v>
      </c>
      <c r="S230">
        <v>0</v>
      </c>
      <c r="T230">
        <v>0</v>
      </c>
      <c r="U230">
        <v>0</v>
      </c>
      <c r="V230">
        <v>34</v>
      </c>
      <c r="W230">
        <v>0</v>
      </c>
      <c r="X230">
        <v>116</v>
      </c>
      <c r="Y230">
        <v>29</v>
      </c>
    </row>
    <row r="231" spans="1:25" x14ac:dyDescent="0.25">
      <c r="A231" t="s">
        <v>706</v>
      </c>
      <c r="B231">
        <v>5329710</v>
      </c>
      <c r="C231" t="s">
        <v>707</v>
      </c>
      <c r="D231">
        <v>659</v>
      </c>
      <c r="E231">
        <v>500</v>
      </c>
      <c r="F231">
        <v>159</v>
      </c>
      <c r="G231">
        <v>659</v>
      </c>
      <c r="H231">
        <v>500</v>
      </c>
      <c r="I231">
        <v>159</v>
      </c>
      <c r="J231">
        <v>99</v>
      </c>
      <c r="K231">
        <v>0</v>
      </c>
      <c r="L231">
        <v>192</v>
      </c>
      <c r="M231">
        <v>133</v>
      </c>
      <c r="N231">
        <v>9</v>
      </c>
      <c r="O231">
        <v>0</v>
      </c>
      <c r="P231">
        <v>134</v>
      </c>
      <c r="Q231">
        <v>4</v>
      </c>
      <c r="R231">
        <v>0</v>
      </c>
      <c r="S231">
        <v>0</v>
      </c>
      <c r="T231">
        <v>0</v>
      </c>
      <c r="U231">
        <v>0</v>
      </c>
      <c r="V231">
        <v>56</v>
      </c>
      <c r="W231">
        <v>20</v>
      </c>
      <c r="X231">
        <v>10</v>
      </c>
      <c r="Y231">
        <v>2</v>
      </c>
    </row>
    <row r="232" spans="1:25" x14ac:dyDescent="0.25">
      <c r="A232" t="s">
        <v>708</v>
      </c>
      <c r="B232">
        <v>5329745</v>
      </c>
      <c r="C232" t="s">
        <v>709</v>
      </c>
      <c r="D232">
        <v>378</v>
      </c>
      <c r="E232">
        <v>378</v>
      </c>
      <c r="F232">
        <v>0</v>
      </c>
      <c r="G232">
        <v>378</v>
      </c>
      <c r="H232">
        <v>378</v>
      </c>
      <c r="I232">
        <v>0</v>
      </c>
      <c r="J232">
        <v>365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12</v>
      </c>
      <c r="Y232">
        <v>0</v>
      </c>
    </row>
    <row r="233" spans="1:25" x14ac:dyDescent="0.25">
      <c r="A233" t="s">
        <v>710</v>
      </c>
      <c r="B233">
        <v>5329920</v>
      </c>
      <c r="C233" t="s">
        <v>711</v>
      </c>
      <c r="D233">
        <v>153</v>
      </c>
      <c r="E233">
        <v>153</v>
      </c>
      <c r="F233">
        <v>0</v>
      </c>
      <c r="G233">
        <v>153</v>
      </c>
      <c r="H233">
        <v>153</v>
      </c>
      <c r="I233">
        <v>0</v>
      </c>
      <c r="J233">
        <v>147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</v>
      </c>
      <c r="Y233">
        <v>0</v>
      </c>
    </row>
    <row r="234" spans="1:25" x14ac:dyDescent="0.25">
      <c r="A234" t="s">
        <v>712</v>
      </c>
      <c r="B234">
        <v>5330030</v>
      </c>
      <c r="C234" t="s">
        <v>713</v>
      </c>
      <c r="D234">
        <v>48</v>
      </c>
      <c r="E234">
        <v>48</v>
      </c>
      <c r="F234">
        <v>0</v>
      </c>
      <c r="G234">
        <v>48</v>
      </c>
      <c r="H234">
        <v>48</v>
      </c>
      <c r="I234">
        <v>0</v>
      </c>
      <c r="J234">
        <v>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5">
      <c r="A235" t="s">
        <v>714</v>
      </c>
      <c r="B235">
        <v>5330060</v>
      </c>
      <c r="C235" t="s">
        <v>715</v>
      </c>
      <c r="D235">
        <v>172</v>
      </c>
      <c r="E235">
        <v>162</v>
      </c>
      <c r="F235">
        <v>10</v>
      </c>
      <c r="G235">
        <v>172</v>
      </c>
      <c r="H235">
        <v>162</v>
      </c>
      <c r="I235">
        <v>10</v>
      </c>
      <c r="J235">
        <v>133</v>
      </c>
      <c r="K235">
        <v>3</v>
      </c>
      <c r="L235">
        <v>22</v>
      </c>
      <c r="M235">
        <v>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</v>
      </c>
      <c r="W235">
        <v>0</v>
      </c>
      <c r="X235">
        <v>2</v>
      </c>
      <c r="Y235">
        <v>0</v>
      </c>
    </row>
    <row r="236" spans="1:25" x14ac:dyDescent="0.25">
      <c r="A236" t="s">
        <v>716</v>
      </c>
      <c r="B236">
        <v>5330305</v>
      </c>
      <c r="C236" t="s">
        <v>717</v>
      </c>
      <c r="D236">
        <v>21449</v>
      </c>
      <c r="E236">
        <v>18934</v>
      </c>
      <c r="F236">
        <v>2515</v>
      </c>
      <c r="G236">
        <v>21449</v>
      </c>
      <c r="H236">
        <v>18934</v>
      </c>
      <c r="I236">
        <v>2515</v>
      </c>
      <c r="J236">
        <v>15057</v>
      </c>
      <c r="K236">
        <v>564</v>
      </c>
      <c r="L236">
        <v>1265</v>
      </c>
      <c r="M236">
        <v>598</v>
      </c>
      <c r="N236">
        <v>419</v>
      </c>
      <c r="O236">
        <v>36</v>
      </c>
      <c r="P236">
        <v>162</v>
      </c>
      <c r="Q236">
        <v>5</v>
      </c>
      <c r="R236">
        <v>373</v>
      </c>
      <c r="S236">
        <v>651</v>
      </c>
      <c r="T236">
        <v>91</v>
      </c>
      <c r="U236">
        <v>0</v>
      </c>
      <c r="V236">
        <v>628</v>
      </c>
      <c r="W236">
        <v>638</v>
      </c>
      <c r="X236">
        <v>939</v>
      </c>
      <c r="Y236">
        <v>23</v>
      </c>
    </row>
    <row r="237" spans="1:25" x14ac:dyDescent="0.25">
      <c r="A237" t="s">
        <v>718</v>
      </c>
      <c r="B237">
        <v>5330690</v>
      </c>
      <c r="C237" t="s">
        <v>719</v>
      </c>
      <c r="D237">
        <v>69</v>
      </c>
      <c r="E237">
        <v>69</v>
      </c>
      <c r="F237">
        <v>0</v>
      </c>
      <c r="G237">
        <v>69</v>
      </c>
      <c r="H237">
        <v>69</v>
      </c>
      <c r="I237">
        <v>0</v>
      </c>
      <c r="J237">
        <v>69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t="s">
        <v>720</v>
      </c>
      <c r="B238">
        <v>5330750</v>
      </c>
      <c r="C238" t="s">
        <v>721</v>
      </c>
      <c r="D238">
        <v>3028</v>
      </c>
      <c r="E238">
        <v>2750</v>
      </c>
      <c r="F238">
        <v>278</v>
      </c>
      <c r="G238">
        <v>3028</v>
      </c>
      <c r="H238">
        <v>2750</v>
      </c>
      <c r="I238">
        <v>278</v>
      </c>
      <c r="J238">
        <v>2590</v>
      </c>
      <c r="K238">
        <v>182</v>
      </c>
      <c r="L238">
        <v>68</v>
      </c>
      <c r="M238">
        <v>38</v>
      </c>
      <c r="N238">
        <v>0</v>
      </c>
      <c r="O238">
        <v>0</v>
      </c>
      <c r="P238">
        <v>0</v>
      </c>
      <c r="Q238">
        <v>0</v>
      </c>
      <c r="R238">
        <v>10</v>
      </c>
      <c r="S238">
        <v>45</v>
      </c>
      <c r="T238">
        <v>0</v>
      </c>
      <c r="U238">
        <v>0</v>
      </c>
      <c r="V238">
        <v>28</v>
      </c>
      <c r="W238">
        <v>13</v>
      </c>
      <c r="X238">
        <v>54</v>
      </c>
      <c r="Y238">
        <v>0</v>
      </c>
    </row>
    <row r="239" spans="1:25" x14ac:dyDescent="0.25">
      <c r="A239" t="s">
        <v>722</v>
      </c>
      <c r="B239">
        <v>5331495</v>
      </c>
      <c r="C239" t="s">
        <v>723</v>
      </c>
      <c r="D239">
        <v>6736</v>
      </c>
      <c r="E239">
        <v>6384</v>
      </c>
      <c r="F239">
        <v>352</v>
      </c>
      <c r="G239">
        <v>6736</v>
      </c>
      <c r="H239">
        <v>6384</v>
      </c>
      <c r="I239">
        <v>352</v>
      </c>
      <c r="J239">
        <v>5915</v>
      </c>
      <c r="K239">
        <v>185</v>
      </c>
      <c r="L239">
        <v>152</v>
      </c>
      <c r="M239">
        <v>20</v>
      </c>
      <c r="N239">
        <v>30</v>
      </c>
      <c r="O239">
        <v>6</v>
      </c>
      <c r="P239">
        <v>0</v>
      </c>
      <c r="Q239">
        <v>0</v>
      </c>
      <c r="R239">
        <v>0</v>
      </c>
      <c r="S239">
        <v>101</v>
      </c>
      <c r="T239">
        <v>0</v>
      </c>
      <c r="U239">
        <v>0</v>
      </c>
      <c r="V239">
        <v>41</v>
      </c>
      <c r="W239">
        <v>21</v>
      </c>
      <c r="X239">
        <v>246</v>
      </c>
      <c r="Y239">
        <v>19</v>
      </c>
    </row>
    <row r="240" spans="1:25" x14ac:dyDescent="0.25">
      <c r="A240" t="s">
        <v>724</v>
      </c>
      <c r="B240">
        <v>5331530</v>
      </c>
      <c r="C240" t="s">
        <v>725</v>
      </c>
      <c r="D240">
        <v>5267</v>
      </c>
      <c r="E240">
        <v>5060</v>
      </c>
      <c r="F240">
        <v>207</v>
      </c>
      <c r="G240">
        <v>5267</v>
      </c>
      <c r="H240">
        <v>5060</v>
      </c>
      <c r="I240">
        <v>207</v>
      </c>
      <c r="J240">
        <v>4696</v>
      </c>
      <c r="K240">
        <v>99</v>
      </c>
      <c r="L240">
        <v>46</v>
      </c>
      <c r="M240">
        <v>0</v>
      </c>
      <c r="N240">
        <v>5</v>
      </c>
      <c r="O240">
        <v>0</v>
      </c>
      <c r="P240">
        <v>17</v>
      </c>
      <c r="Q240">
        <v>0</v>
      </c>
      <c r="R240">
        <v>71</v>
      </c>
      <c r="S240">
        <v>81</v>
      </c>
      <c r="T240">
        <v>1</v>
      </c>
      <c r="U240">
        <v>12</v>
      </c>
      <c r="V240">
        <v>0</v>
      </c>
      <c r="W240">
        <v>3</v>
      </c>
      <c r="X240">
        <v>224</v>
      </c>
      <c r="Y240">
        <v>12</v>
      </c>
    </row>
    <row r="241" spans="1:25" x14ac:dyDescent="0.25">
      <c r="A241" t="s">
        <v>726</v>
      </c>
      <c r="B241">
        <v>5331540</v>
      </c>
      <c r="C241" t="s">
        <v>727</v>
      </c>
      <c r="D241">
        <v>52</v>
      </c>
      <c r="E241">
        <v>52</v>
      </c>
      <c r="F241">
        <v>0</v>
      </c>
      <c r="G241">
        <v>52</v>
      </c>
      <c r="H241">
        <v>52</v>
      </c>
      <c r="I241">
        <v>0</v>
      </c>
      <c r="J241">
        <v>52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 t="s">
        <v>728</v>
      </c>
      <c r="B242">
        <v>5331985</v>
      </c>
      <c r="C242" t="s">
        <v>729</v>
      </c>
      <c r="D242">
        <v>1375</v>
      </c>
      <c r="E242">
        <v>1358</v>
      </c>
      <c r="F242">
        <v>17</v>
      </c>
      <c r="G242">
        <v>1375</v>
      </c>
      <c r="H242">
        <v>1358</v>
      </c>
      <c r="I242">
        <v>17</v>
      </c>
      <c r="J242">
        <v>1323</v>
      </c>
      <c r="K242">
        <v>15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14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21</v>
      </c>
      <c r="Y242">
        <v>0</v>
      </c>
    </row>
    <row r="243" spans="1:25" x14ac:dyDescent="0.25">
      <c r="A243" t="s">
        <v>730</v>
      </c>
      <c r="B243">
        <v>5332125</v>
      </c>
      <c r="C243" t="s">
        <v>731</v>
      </c>
      <c r="D243">
        <v>331</v>
      </c>
      <c r="E243">
        <v>331</v>
      </c>
      <c r="F243">
        <v>0</v>
      </c>
      <c r="G243">
        <v>331</v>
      </c>
      <c r="H243">
        <v>331</v>
      </c>
      <c r="I243">
        <v>0</v>
      </c>
      <c r="J243">
        <v>331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t="s">
        <v>732</v>
      </c>
      <c r="B244">
        <v>5332300</v>
      </c>
      <c r="C244" t="s">
        <v>733</v>
      </c>
      <c r="D244">
        <v>8416</v>
      </c>
      <c r="E244">
        <v>8090</v>
      </c>
      <c r="F244">
        <v>326</v>
      </c>
      <c r="G244">
        <v>8416</v>
      </c>
      <c r="H244">
        <v>8090</v>
      </c>
      <c r="I244">
        <v>326</v>
      </c>
      <c r="J244">
        <v>6993</v>
      </c>
      <c r="K244">
        <v>120</v>
      </c>
      <c r="L244">
        <v>369</v>
      </c>
      <c r="M244">
        <v>38</v>
      </c>
      <c r="N244">
        <v>0</v>
      </c>
      <c r="O244">
        <v>1</v>
      </c>
      <c r="P244">
        <v>523</v>
      </c>
      <c r="Q244">
        <v>0</v>
      </c>
      <c r="R244">
        <v>19</v>
      </c>
      <c r="S244">
        <v>15</v>
      </c>
      <c r="T244">
        <v>0</v>
      </c>
      <c r="U244">
        <v>0</v>
      </c>
      <c r="V244">
        <v>28</v>
      </c>
      <c r="W244">
        <v>85</v>
      </c>
      <c r="X244">
        <v>158</v>
      </c>
      <c r="Y244">
        <v>67</v>
      </c>
    </row>
    <row r="245" spans="1:25" x14ac:dyDescent="0.25">
      <c r="A245" t="s">
        <v>734</v>
      </c>
      <c r="B245">
        <v>5332650</v>
      </c>
      <c r="C245" t="s">
        <v>735</v>
      </c>
      <c r="D245">
        <v>277</v>
      </c>
      <c r="E245">
        <v>274</v>
      </c>
      <c r="F245">
        <v>3</v>
      </c>
      <c r="G245">
        <v>277</v>
      </c>
      <c r="H245">
        <v>274</v>
      </c>
      <c r="I245">
        <v>3</v>
      </c>
      <c r="J245">
        <v>258</v>
      </c>
      <c r="K245">
        <v>0</v>
      </c>
      <c r="L245">
        <v>10</v>
      </c>
      <c r="M245">
        <v>3</v>
      </c>
      <c r="N245">
        <v>0</v>
      </c>
      <c r="O245">
        <v>0</v>
      </c>
      <c r="P245">
        <v>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0</v>
      </c>
    </row>
    <row r="246" spans="1:25" x14ac:dyDescent="0.25">
      <c r="A246" t="s">
        <v>736</v>
      </c>
      <c r="B246">
        <v>5332755</v>
      </c>
      <c r="C246" t="s">
        <v>737</v>
      </c>
      <c r="D246">
        <v>423</v>
      </c>
      <c r="E246">
        <v>342</v>
      </c>
      <c r="F246">
        <v>81</v>
      </c>
      <c r="G246">
        <v>423</v>
      </c>
      <c r="H246">
        <v>342</v>
      </c>
      <c r="I246">
        <v>81</v>
      </c>
      <c r="J246">
        <v>305</v>
      </c>
      <c r="K246">
        <v>28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21</v>
      </c>
      <c r="S246">
        <v>52</v>
      </c>
      <c r="T246">
        <v>0</v>
      </c>
      <c r="U246">
        <v>0</v>
      </c>
      <c r="V246">
        <v>0</v>
      </c>
      <c r="W246">
        <v>1</v>
      </c>
      <c r="X246">
        <v>14</v>
      </c>
      <c r="Y246">
        <v>0</v>
      </c>
    </row>
    <row r="247" spans="1:25" x14ac:dyDescent="0.25">
      <c r="A247" t="s">
        <v>738</v>
      </c>
      <c r="B247">
        <v>5333000</v>
      </c>
      <c r="C247" t="s">
        <v>739</v>
      </c>
      <c r="D247">
        <v>1062</v>
      </c>
      <c r="E247">
        <v>1018</v>
      </c>
      <c r="F247">
        <v>44</v>
      </c>
      <c r="G247">
        <v>1062</v>
      </c>
      <c r="H247">
        <v>1018</v>
      </c>
      <c r="I247">
        <v>44</v>
      </c>
      <c r="J247">
        <v>911</v>
      </c>
      <c r="K247">
        <v>24</v>
      </c>
      <c r="L247">
        <v>18</v>
      </c>
      <c r="M247">
        <v>0</v>
      </c>
      <c r="N247">
        <v>7</v>
      </c>
      <c r="O247">
        <v>14</v>
      </c>
      <c r="P247">
        <v>38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44</v>
      </c>
      <c r="Y247">
        <v>6</v>
      </c>
    </row>
    <row r="248" spans="1:25" x14ac:dyDescent="0.25">
      <c r="A248" t="s">
        <v>740</v>
      </c>
      <c r="B248">
        <v>5333105</v>
      </c>
      <c r="C248" t="s">
        <v>741</v>
      </c>
      <c r="D248">
        <v>413</v>
      </c>
      <c r="E248">
        <v>409</v>
      </c>
      <c r="F248">
        <v>4</v>
      </c>
      <c r="G248">
        <v>413</v>
      </c>
      <c r="H248">
        <v>409</v>
      </c>
      <c r="I248">
        <v>4</v>
      </c>
      <c r="J248">
        <v>68</v>
      </c>
      <c r="K248">
        <v>0</v>
      </c>
      <c r="L248">
        <v>8</v>
      </c>
      <c r="M248">
        <v>0</v>
      </c>
      <c r="N248">
        <v>0</v>
      </c>
      <c r="O248">
        <v>0</v>
      </c>
      <c r="P248">
        <v>313</v>
      </c>
      <c r="Q248">
        <v>0</v>
      </c>
      <c r="R248">
        <v>0</v>
      </c>
      <c r="S248">
        <v>0</v>
      </c>
      <c r="T248">
        <v>5</v>
      </c>
      <c r="U248">
        <v>4</v>
      </c>
      <c r="V248">
        <v>0</v>
      </c>
      <c r="W248">
        <v>0</v>
      </c>
      <c r="X248">
        <v>15</v>
      </c>
      <c r="Y248">
        <v>0</v>
      </c>
    </row>
    <row r="249" spans="1:25" x14ac:dyDescent="0.25">
      <c r="A249" t="s">
        <v>742</v>
      </c>
      <c r="B249">
        <v>5333175</v>
      </c>
      <c r="C249" t="s">
        <v>743</v>
      </c>
      <c r="D249">
        <v>209</v>
      </c>
      <c r="E249">
        <v>201</v>
      </c>
      <c r="F249">
        <v>8</v>
      </c>
      <c r="G249">
        <v>209</v>
      </c>
      <c r="H249">
        <v>201</v>
      </c>
      <c r="I249">
        <v>8</v>
      </c>
      <c r="J249">
        <v>201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t="s">
        <v>744</v>
      </c>
      <c r="B250">
        <v>5333280</v>
      </c>
      <c r="C250" t="s">
        <v>745</v>
      </c>
      <c r="D250">
        <v>3520</v>
      </c>
      <c r="E250">
        <v>3310</v>
      </c>
      <c r="F250">
        <v>210</v>
      </c>
      <c r="G250">
        <v>3520</v>
      </c>
      <c r="H250">
        <v>3310</v>
      </c>
      <c r="I250">
        <v>210</v>
      </c>
      <c r="J250">
        <v>2846</v>
      </c>
      <c r="K250">
        <v>93</v>
      </c>
      <c r="L250">
        <v>59</v>
      </c>
      <c r="M250">
        <v>22</v>
      </c>
      <c r="N250">
        <v>8</v>
      </c>
      <c r="O250">
        <v>8</v>
      </c>
      <c r="P250">
        <v>88</v>
      </c>
      <c r="Q250">
        <v>0</v>
      </c>
      <c r="R250">
        <v>24</v>
      </c>
      <c r="S250">
        <v>37</v>
      </c>
      <c r="T250">
        <v>2</v>
      </c>
      <c r="U250">
        <v>13</v>
      </c>
      <c r="V250">
        <v>50</v>
      </c>
      <c r="W250">
        <v>23</v>
      </c>
      <c r="X250">
        <v>233</v>
      </c>
      <c r="Y250">
        <v>14</v>
      </c>
    </row>
    <row r="251" spans="1:25" x14ac:dyDescent="0.25">
      <c r="A251" t="s">
        <v>746</v>
      </c>
      <c r="B251">
        <v>5333560</v>
      </c>
      <c r="C251" t="s">
        <v>747</v>
      </c>
      <c r="D251">
        <v>421</v>
      </c>
      <c r="E251">
        <v>420</v>
      </c>
      <c r="F251">
        <v>1</v>
      </c>
      <c r="G251">
        <v>421</v>
      </c>
      <c r="H251">
        <v>420</v>
      </c>
      <c r="I251">
        <v>1</v>
      </c>
      <c r="J251">
        <v>394</v>
      </c>
      <c r="K251">
        <v>1</v>
      </c>
      <c r="L251">
        <v>2</v>
      </c>
      <c r="M251">
        <v>0</v>
      </c>
      <c r="N251">
        <v>0</v>
      </c>
      <c r="O251">
        <v>0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22</v>
      </c>
      <c r="Y251">
        <v>0</v>
      </c>
    </row>
    <row r="252" spans="1:25" x14ac:dyDescent="0.25">
      <c r="A252" t="s">
        <v>748</v>
      </c>
      <c r="B252">
        <v>5333805</v>
      </c>
      <c r="C252" t="s">
        <v>749</v>
      </c>
      <c r="D252">
        <v>35629</v>
      </c>
      <c r="E252">
        <v>26594</v>
      </c>
      <c r="F252">
        <v>9035</v>
      </c>
      <c r="G252">
        <v>35629</v>
      </c>
      <c r="H252">
        <v>26594</v>
      </c>
      <c r="I252">
        <v>9035</v>
      </c>
      <c r="J252">
        <v>20297</v>
      </c>
      <c r="K252">
        <v>2738</v>
      </c>
      <c r="L252">
        <v>1240</v>
      </c>
      <c r="M252">
        <v>541</v>
      </c>
      <c r="N252">
        <v>1063</v>
      </c>
      <c r="O252">
        <v>257</v>
      </c>
      <c r="P252">
        <v>7</v>
      </c>
      <c r="Q252">
        <v>0</v>
      </c>
      <c r="R252">
        <v>2498</v>
      </c>
      <c r="S252">
        <v>4729</v>
      </c>
      <c r="T252">
        <v>0</v>
      </c>
      <c r="U252">
        <v>0</v>
      </c>
      <c r="V252">
        <v>275</v>
      </c>
      <c r="W252">
        <v>542</v>
      </c>
      <c r="X252">
        <v>1214</v>
      </c>
      <c r="Y252">
        <v>228</v>
      </c>
    </row>
    <row r="253" spans="1:25" x14ac:dyDescent="0.25">
      <c r="A253" t="s">
        <v>750</v>
      </c>
      <c r="B253">
        <v>5333890</v>
      </c>
      <c r="C253" t="s">
        <v>751</v>
      </c>
      <c r="D253">
        <v>289</v>
      </c>
      <c r="E253">
        <v>230</v>
      </c>
      <c r="F253">
        <v>59</v>
      </c>
      <c r="G253">
        <v>289</v>
      </c>
      <c r="H253">
        <v>230</v>
      </c>
      <c r="I253">
        <v>59</v>
      </c>
      <c r="J253">
        <v>189</v>
      </c>
      <c r="K253">
        <v>59</v>
      </c>
      <c r="L253">
        <v>34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7</v>
      </c>
      <c r="Y253">
        <v>0</v>
      </c>
    </row>
    <row r="254" spans="1:25" x14ac:dyDescent="0.25">
      <c r="A254" t="s">
        <v>752</v>
      </c>
      <c r="B254">
        <v>5334470</v>
      </c>
      <c r="C254" t="s">
        <v>753</v>
      </c>
      <c r="D254">
        <v>10</v>
      </c>
      <c r="E254">
        <v>10</v>
      </c>
      <c r="F254">
        <v>0</v>
      </c>
      <c r="G254">
        <v>10</v>
      </c>
      <c r="H254">
        <v>10</v>
      </c>
      <c r="I254">
        <v>0</v>
      </c>
      <c r="J254">
        <v>10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 t="s">
        <v>754</v>
      </c>
      <c r="B255">
        <v>5334575</v>
      </c>
      <c r="C255" t="s">
        <v>755</v>
      </c>
      <c r="D255">
        <v>181</v>
      </c>
      <c r="E255">
        <v>173</v>
      </c>
      <c r="F255">
        <v>8</v>
      </c>
      <c r="G255">
        <v>181</v>
      </c>
      <c r="H255">
        <v>173</v>
      </c>
      <c r="I255">
        <v>8</v>
      </c>
      <c r="J255">
        <v>159</v>
      </c>
      <c r="K255">
        <v>0</v>
      </c>
      <c r="L255">
        <v>8</v>
      </c>
      <c r="M255">
        <v>0</v>
      </c>
      <c r="N255">
        <v>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8</v>
      </c>
      <c r="X255">
        <v>0</v>
      </c>
      <c r="Y255">
        <v>0</v>
      </c>
    </row>
    <row r="256" spans="1:25" x14ac:dyDescent="0.25">
      <c r="A256" t="s">
        <v>756</v>
      </c>
      <c r="B256">
        <v>5334645</v>
      </c>
      <c r="C256" t="s">
        <v>757</v>
      </c>
      <c r="D256">
        <v>2497</v>
      </c>
      <c r="E256">
        <v>2411</v>
      </c>
      <c r="F256">
        <v>86</v>
      </c>
      <c r="G256">
        <v>2497</v>
      </c>
      <c r="H256">
        <v>2411</v>
      </c>
      <c r="I256">
        <v>86</v>
      </c>
      <c r="J256">
        <v>2162</v>
      </c>
      <c r="K256">
        <v>54</v>
      </c>
      <c r="L256">
        <v>125</v>
      </c>
      <c r="M256">
        <v>11</v>
      </c>
      <c r="N256">
        <v>0</v>
      </c>
      <c r="O256">
        <v>0</v>
      </c>
      <c r="P256">
        <v>22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19</v>
      </c>
      <c r="W256">
        <v>21</v>
      </c>
      <c r="X256">
        <v>83</v>
      </c>
      <c r="Y256">
        <v>0</v>
      </c>
    </row>
    <row r="257" spans="1:25" x14ac:dyDescent="0.25">
      <c r="A257" t="s">
        <v>758</v>
      </c>
      <c r="B257">
        <v>5334890</v>
      </c>
      <c r="C257" t="s">
        <v>759</v>
      </c>
      <c r="D257">
        <v>391</v>
      </c>
      <c r="E257">
        <v>364</v>
      </c>
      <c r="F257">
        <v>27</v>
      </c>
      <c r="G257">
        <v>391</v>
      </c>
      <c r="H257">
        <v>364</v>
      </c>
      <c r="I257">
        <v>27</v>
      </c>
      <c r="J257">
        <v>364</v>
      </c>
      <c r="K257">
        <v>27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 t="s">
        <v>760</v>
      </c>
      <c r="B258">
        <v>5334915</v>
      </c>
      <c r="C258" t="s">
        <v>761</v>
      </c>
      <c r="D258">
        <v>1693</v>
      </c>
      <c r="E258">
        <v>1584</v>
      </c>
      <c r="F258">
        <v>109</v>
      </c>
      <c r="G258">
        <v>1693</v>
      </c>
      <c r="H258">
        <v>1584</v>
      </c>
      <c r="I258">
        <v>109</v>
      </c>
      <c r="J258">
        <v>1444</v>
      </c>
      <c r="K258">
        <v>45</v>
      </c>
      <c r="L258">
        <v>27</v>
      </c>
      <c r="M258">
        <v>10</v>
      </c>
      <c r="N258">
        <v>19</v>
      </c>
      <c r="O258">
        <v>0</v>
      </c>
      <c r="P258">
        <v>0</v>
      </c>
      <c r="Q258">
        <v>9</v>
      </c>
      <c r="R258">
        <v>9</v>
      </c>
      <c r="S258">
        <v>45</v>
      </c>
      <c r="T258">
        <v>0</v>
      </c>
      <c r="U258">
        <v>0</v>
      </c>
      <c r="V258">
        <v>29</v>
      </c>
      <c r="W258">
        <v>0</v>
      </c>
      <c r="X258">
        <v>56</v>
      </c>
      <c r="Y258">
        <v>0</v>
      </c>
    </row>
    <row r="259" spans="1:25" x14ac:dyDescent="0.25">
      <c r="A259" t="s">
        <v>762</v>
      </c>
      <c r="B259">
        <v>5334960</v>
      </c>
      <c r="C259" t="s">
        <v>763</v>
      </c>
      <c r="D259">
        <v>228</v>
      </c>
      <c r="E259">
        <v>211</v>
      </c>
      <c r="F259">
        <v>17</v>
      </c>
      <c r="G259">
        <v>228</v>
      </c>
      <c r="H259">
        <v>211</v>
      </c>
      <c r="I259">
        <v>17</v>
      </c>
      <c r="J259">
        <v>24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186</v>
      </c>
      <c r="Q259">
        <v>2</v>
      </c>
      <c r="R259">
        <v>0</v>
      </c>
      <c r="S259">
        <v>0</v>
      </c>
      <c r="T259">
        <v>0</v>
      </c>
      <c r="U259">
        <v>15</v>
      </c>
      <c r="V259">
        <v>0</v>
      </c>
      <c r="W259">
        <v>0</v>
      </c>
      <c r="X259">
        <v>1</v>
      </c>
      <c r="Y259">
        <v>0</v>
      </c>
    </row>
    <row r="260" spans="1:25" x14ac:dyDescent="0.25">
      <c r="A260" t="s">
        <v>764</v>
      </c>
      <c r="B260">
        <v>5335065</v>
      </c>
      <c r="C260" t="s">
        <v>765</v>
      </c>
      <c r="D260">
        <v>11864</v>
      </c>
      <c r="E260">
        <v>11008</v>
      </c>
      <c r="F260">
        <v>856</v>
      </c>
      <c r="G260">
        <v>11864</v>
      </c>
      <c r="H260">
        <v>11008</v>
      </c>
      <c r="I260">
        <v>856</v>
      </c>
      <c r="J260">
        <v>8836</v>
      </c>
      <c r="K260">
        <v>218</v>
      </c>
      <c r="L260">
        <v>917</v>
      </c>
      <c r="M260">
        <v>305</v>
      </c>
      <c r="N260">
        <v>95</v>
      </c>
      <c r="O260">
        <v>114</v>
      </c>
      <c r="P260">
        <v>409</v>
      </c>
      <c r="Q260">
        <v>0</v>
      </c>
      <c r="R260">
        <v>100</v>
      </c>
      <c r="S260">
        <v>111</v>
      </c>
      <c r="T260">
        <v>51</v>
      </c>
      <c r="U260">
        <v>0</v>
      </c>
      <c r="V260">
        <v>113</v>
      </c>
      <c r="W260">
        <v>97</v>
      </c>
      <c r="X260">
        <v>487</v>
      </c>
      <c r="Y260">
        <v>11</v>
      </c>
    </row>
    <row r="261" spans="1:25" x14ac:dyDescent="0.25">
      <c r="A261" t="s">
        <v>766</v>
      </c>
      <c r="B261">
        <v>5335135</v>
      </c>
      <c r="C261" t="s">
        <v>767</v>
      </c>
      <c r="D261">
        <v>37</v>
      </c>
      <c r="E261">
        <v>37</v>
      </c>
      <c r="F261">
        <v>0</v>
      </c>
      <c r="G261">
        <v>37</v>
      </c>
      <c r="H261">
        <v>37</v>
      </c>
      <c r="I261">
        <v>0</v>
      </c>
      <c r="J261">
        <v>37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 t="s">
        <v>768</v>
      </c>
      <c r="B262">
        <v>5335170</v>
      </c>
      <c r="C262" t="s">
        <v>769</v>
      </c>
      <c r="D262">
        <v>22154</v>
      </c>
      <c r="E262">
        <v>17991</v>
      </c>
      <c r="F262">
        <v>4163</v>
      </c>
      <c r="G262">
        <v>22154</v>
      </c>
      <c r="H262">
        <v>17991</v>
      </c>
      <c r="I262">
        <v>4163</v>
      </c>
      <c r="J262">
        <v>14835</v>
      </c>
      <c r="K262">
        <v>1730</v>
      </c>
      <c r="L262">
        <v>857</v>
      </c>
      <c r="M262">
        <v>292</v>
      </c>
      <c r="N262">
        <v>264</v>
      </c>
      <c r="O262">
        <v>96</v>
      </c>
      <c r="P262">
        <v>62</v>
      </c>
      <c r="Q262">
        <v>0</v>
      </c>
      <c r="R262">
        <v>838</v>
      </c>
      <c r="S262">
        <v>1765</v>
      </c>
      <c r="T262">
        <v>53</v>
      </c>
      <c r="U262">
        <v>47</v>
      </c>
      <c r="V262">
        <v>174</v>
      </c>
      <c r="W262">
        <v>141</v>
      </c>
      <c r="X262">
        <v>908</v>
      </c>
      <c r="Y262">
        <v>92</v>
      </c>
    </row>
    <row r="263" spans="1:25" x14ac:dyDescent="0.25">
      <c r="A263" t="s">
        <v>770</v>
      </c>
      <c r="B263">
        <v>5335275</v>
      </c>
      <c r="C263" t="s">
        <v>771</v>
      </c>
      <c r="D263">
        <v>78858</v>
      </c>
      <c r="E263">
        <v>67973</v>
      </c>
      <c r="F263">
        <v>10885</v>
      </c>
      <c r="G263">
        <v>78858</v>
      </c>
      <c r="H263">
        <v>67973</v>
      </c>
      <c r="I263">
        <v>10885</v>
      </c>
      <c r="J263">
        <v>48896</v>
      </c>
      <c r="K263">
        <v>2140</v>
      </c>
      <c r="L263">
        <v>6455</v>
      </c>
      <c r="M263">
        <v>2654</v>
      </c>
      <c r="N263">
        <v>1393</v>
      </c>
      <c r="O263">
        <v>322</v>
      </c>
      <c r="P263">
        <v>561</v>
      </c>
      <c r="Q263">
        <v>12</v>
      </c>
      <c r="R263">
        <v>477</v>
      </c>
      <c r="S263">
        <v>1179</v>
      </c>
      <c r="T263">
        <v>69</v>
      </c>
      <c r="U263">
        <v>44</v>
      </c>
      <c r="V263">
        <v>6971</v>
      </c>
      <c r="W263">
        <v>4031</v>
      </c>
      <c r="X263">
        <v>3151</v>
      </c>
      <c r="Y263">
        <v>503</v>
      </c>
    </row>
    <row r="264" spans="1:25" x14ac:dyDescent="0.25">
      <c r="A264" t="s">
        <v>772</v>
      </c>
      <c r="B264">
        <v>5335415</v>
      </c>
      <c r="C264" t="s">
        <v>773</v>
      </c>
      <c r="D264">
        <v>126561</v>
      </c>
      <c r="E264">
        <v>86793</v>
      </c>
      <c r="F264">
        <v>39768</v>
      </c>
      <c r="G264">
        <v>126561</v>
      </c>
      <c r="H264">
        <v>86793</v>
      </c>
      <c r="I264">
        <v>39768</v>
      </c>
      <c r="J264">
        <v>49077</v>
      </c>
      <c r="K264">
        <v>8674</v>
      </c>
      <c r="L264">
        <v>4873</v>
      </c>
      <c r="M264">
        <v>3249</v>
      </c>
      <c r="N264">
        <v>11023</v>
      </c>
      <c r="O264">
        <v>3392</v>
      </c>
      <c r="P264">
        <v>1520</v>
      </c>
      <c r="Q264">
        <v>153</v>
      </c>
      <c r="R264">
        <v>7897</v>
      </c>
      <c r="S264">
        <v>17519</v>
      </c>
      <c r="T264">
        <v>1409</v>
      </c>
      <c r="U264">
        <v>795</v>
      </c>
      <c r="V264">
        <v>4233</v>
      </c>
      <c r="W264">
        <v>5011</v>
      </c>
      <c r="X264">
        <v>6761</v>
      </c>
      <c r="Y264">
        <v>975</v>
      </c>
    </row>
    <row r="265" spans="1:25" x14ac:dyDescent="0.25">
      <c r="A265" t="s">
        <v>774</v>
      </c>
      <c r="B265">
        <v>5335450</v>
      </c>
      <c r="C265" t="s">
        <v>775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 t="s">
        <v>776</v>
      </c>
      <c r="B266">
        <v>5335485</v>
      </c>
      <c r="C266" t="s">
        <v>777</v>
      </c>
      <c r="D266">
        <v>1661</v>
      </c>
      <c r="E266">
        <v>1615</v>
      </c>
      <c r="F266">
        <v>46</v>
      </c>
      <c r="G266">
        <v>1661</v>
      </c>
      <c r="H266">
        <v>1615</v>
      </c>
      <c r="I266">
        <v>46</v>
      </c>
      <c r="J266">
        <v>1443</v>
      </c>
      <c r="K266">
        <v>22</v>
      </c>
      <c r="L266">
        <v>45</v>
      </c>
      <c r="M266">
        <v>14</v>
      </c>
      <c r="N266">
        <v>5</v>
      </c>
      <c r="O266">
        <v>0</v>
      </c>
      <c r="P266">
        <v>43</v>
      </c>
      <c r="Q266">
        <v>0</v>
      </c>
      <c r="R266">
        <v>4</v>
      </c>
      <c r="S266">
        <v>10</v>
      </c>
      <c r="T266">
        <v>0</v>
      </c>
      <c r="U266">
        <v>0</v>
      </c>
      <c r="V266">
        <v>7</v>
      </c>
      <c r="W266">
        <v>0</v>
      </c>
      <c r="X266">
        <v>68</v>
      </c>
      <c r="Y266">
        <v>0</v>
      </c>
    </row>
    <row r="267" spans="1:25" x14ac:dyDescent="0.25">
      <c r="A267" t="s">
        <v>778</v>
      </c>
      <c r="B267">
        <v>5335555</v>
      </c>
      <c r="C267" t="s">
        <v>779</v>
      </c>
      <c r="D267">
        <v>3810</v>
      </c>
      <c r="E267">
        <v>3653</v>
      </c>
      <c r="F267">
        <v>157</v>
      </c>
      <c r="G267">
        <v>3810</v>
      </c>
      <c r="H267">
        <v>3653</v>
      </c>
      <c r="I267">
        <v>157</v>
      </c>
      <c r="J267">
        <v>3335</v>
      </c>
      <c r="K267">
        <v>90</v>
      </c>
      <c r="L267">
        <v>148</v>
      </c>
      <c r="M267">
        <v>12</v>
      </c>
      <c r="N267">
        <v>12</v>
      </c>
      <c r="O267">
        <v>0</v>
      </c>
      <c r="P267">
        <v>0</v>
      </c>
      <c r="Q267">
        <v>0</v>
      </c>
      <c r="R267">
        <v>0</v>
      </c>
      <c r="S267">
        <v>9</v>
      </c>
      <c r="T267">
        <v>0</v>
      </c>
      <c r="U267">
        <v>25</v>
      </c>
      <c r="V267">
        <v>0</v>
      </c>
      <c r="W267">
        <v>0</v>
      </c>
      <c r="X267">
        <v>158</v>
      </c>
      <c r="Y267">
        <v>21</v>
      </c>
    </row>
    <row r="268" spans="1:25" x14ac:dyDescent="0.25">
      <c r="A268" t="s">
        <v>780</v>
      </c>
      <c r="B268">
        <v>5335625</v>
      </c>
      <c r="C268" t="s">
        <v>781</v>
      </c>
      <c r="D268">
        <v>457</v>
      </c>
      <c r="E268">
        <v>450</v>
      </c>
      <c r="F268">
        <v>7</v>
      </c>
      <c r="G268">
        <v>457</v>
      </c>
      <c r="H268">
        <v>450</v>
      </c>
      <c r="I268">
        <v>7</v>
      </c>
      <c r="J268">
        <v>421</v>
      </c>
      <c r="K268">
        <v>0</v>
      </c>
      <c r="L268">
        <v>21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8</v>
      </c>
      <c r="W268">
        <v>0</v>
      </c>
      <c r="X268">
        <v>0</v>
      </c>
      <c r="Y268">
        <v>7</v>
      </c>
    </row>
    <row r="269" spans="1:25" x14ac:dyDescent="0.25">
      <c r="A269" t="s">
        <v>782</v>
      </c>
      <c r="B269">
        <v>5335870</v>
      </c>
      <c r="C269" t="s">
        <v>783</v>
      </c>
      <c r="D269">
        <v>1875</v>
      </c>
      <c r="E269">
        <v>1800</v>
      </c>
      <c r="F269">
        <v>75</v>
      </c>
      <c r="G269">
        <v>1875</v>
      </c>
      <c r="H269">
        <v>1800</v>
      </c>
      <c r="I269">
        <v>75</v>
      </c>
      <c r="J269">
        <v>1604</v>
      </c>
      <c r="K269">
        <v>23</v>
      </c>
      <c r="L269">
        <v>33</v>
      </c>
      <c r="M269">
        <v>0</v>
      </c>
      <c r="N269">
        <v>0</v>
      </c>
      <c r="O269">
        <v>0</v>
      </c>
      <c r="P269">
        <v>11</v>
      </c>
      <c r="Q269">
        <v>0</v>
      </c>
      <c r="R269">
        <v>0</v>
      </c>
      <c r="S269">
        <v>37</v>
      </c>
      <c r="T269">
        <v>0</v>
      </c>
      <c r="U269">
        <v>2</v>
      </c>
      <c r="V269">
        <v>0</v>
      </c>
      <c r="W269">
        <v>0</v>
      </c>
      <c r="X269">
        <v>152</v>
      </c>
      <c r="Y269">
        <v>13</v>
      </c>
    </row>
    <row r="270" spans="1:25" x14ac:dyDescent="0.25">
      <c r="A270" t="s">
        <v>784</v>
      </c>
      <c r="B270">
        <v>5335940</v>
      </c>
      <c r="C270" t="s">
        <v>785</v>
      </c>
      <c r="D270">
        <v>86772</v>
      </c>
      <c r="E270">
        <v>66098</v>
      </c>
      <c r="F270">
        <v>20674</v>
      </c>
      <c r="G270">
        <v>86772</v>
      </c>
      <c r="H270">
        <v>66098</v>
      </c>
      <c r="I270">
        <v>20674</v>
      </c>
      <c r="J270">
        <v>54292</v>
      </c>
      <c r="K270">
        <v>8694</v>
      </c>
      <c r="L270">
        <v>2069</v>
      </c>
      <c r="M270">
        <v>1677</v>
      </c>
      <c r="N270">
        <v>778</v>
      </c>
      <c r="O270">
        <v>258</v>
      </c>
      <c r="P270">
        <v>282</v>
      </c>
      <c r="Q270">
        <v>0</v>
      </c>
      <c r="R270">
        <v>3705</v>
      </c>
      <c r="S270">
        <v>8567</v>
      </c>
      <c r="T270">
        <v>30</v>
      </c>
      <c r="U270">
        <v>30</v>
      </c>
      <c r="V270">
        <v>808</v>
      </c>
      <c r="W270">
        <v>849</v>
      </c>
      <c r="X270">
        <v>4134</v>
      </c>
      <c r="Y270">
        <v>599</v>
      </c>
    </row>
    <row r="271" spans="1:25" x14ac:dyDescent="0.25">
      <c r="A271" t="s">
        <v>786</v>
      </c>
      <c r="B271">
        <v>5336045</v>
      </c>
      <c r="C271" t="s">
        <v>787</v>
      </c>
      <c r="D271">
        <v>1362</v>
      </c>
      <c r="E271">
        <v>1239</v>
      </c>
      <c r="F271">
        <v>123</v>
      </c>
      <c r="G271">
        <v>1362</v>
      </c>
      <c r="H271">
        <v>1239</v>
      </c>
      <c r="I271">
        <v>123</v>
      </c>
      <c r="J271">
        <v>1090</v>
      </c>
      <c r="K271">
        <v>4</v>
      </c>
      <c r="L271">
        <v>101</v>
      </c>
      <c r="M271">
        <v>76</v>
      </c>
      <c r="N271">
        <v>8</v>
      </c>
      <c r="O271">
        <v>0</v>
      </c>
      <c r="P271">
        <v>13</v>
      </c>
      <c r="Q271">
        <v>0</v>
      </c>
      <c r="R271">
        <v>0</v>
      </c>
      <c r="S271">
        <v>11</v>
      </c>
      <c r="T271">
        <v>0</v>
      </c>
      <c r="U271">
        <v>0</v>
      </c>
      <c r="V271">
        <v>15</v>
      </c>
      <c r="W271">
        <v>32</v>
      </c>
      <c r="X271">
        <v>12</v>
      </c>
      <c r="Y271">
        <v>0</v>
      </c>
    </row>
    <row r="272" spans="1:25" x14ac:dyDescent="0.25">
      <c r="A272" t="s">
        <v>788</v>
      </c>
      <c r="B272">
        <v>5336115</v>
      </c>
      <c r="C272" t="s">
        <v>789</v>
      </c>
      <c r="D272">
        <v>358</v>
      </c>
      <c r="E272">
        <v>329</v>
      </c>
      <c r="F272">
        <v>29</v>
      </c>
      <c r="G272">
        <v>358</v>
      </c>
      <c r="H272">
        <v>329</v>
      </c>
      <c r="I272">
        <v>29</v>
      </c>
      <c r="J272">
        <v>261</v>
      </c>
      <c r="K272">
        <v>11</v>
      </c>
      <c r="L272">
        <v>0</v>
      </c>
      <c r="M272">
        <v>0</v>
      </c>
      <c r="N272">
        <v>0</v>
      </c>
      <c r="O272">
        <v>0</v>
      </c>
      <c r="P272">
        <v>50</v>
      </c>
      <c r="Q272">
        <v>0</v>
      </c>
      <c r="R272">
        <v>0</v>
      </c>
      <c r="S272">
        <v>18</v>
      </c>
      <c r="T272">
        <v>0</v>
      </c>
      <c r="U272">
        <v>0</v>
      </c>
      <c r="V272">
        <v>0</v>
      </c>
      <c r="W272">
        <v>0</v>
      </c>
      <c r="X272">
        <v>18</v>
      </c>
      <c r="Y272">
        <v>0</v>
      </c>
    </row>
    <row r="273" spans="1:25" x14ac:dyDescent="0.25">
      <c r="A273" t="s">
        <v>790</v>
      </c>
      <c r="B273">
        <v>5336395</v>
      </c>
      <c r="C273" t="s">
        <v>791</v>
      </c>
      <c r="D273">
        <v>37</v>
      </c>
      <c r="E273">
        <v>32</v>
      </c>
      <c r="F273">
        <v>5</v>
      </c>
      <c r="G273">
        <v>37</v>
      </c>
      <c r="H273">
        <v>32</v>
      </c>
      <c r="I273">
        <v>5</v>
      </c>
      <c r="J273">
        <v>32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</v>
      </c>
      <c r="X273">
        <v>0</v>
      </c>
      <c r="Y273">
        <v>0</v>
      </c>
    </row>
    <row r="274" spans="1:25" x14ac:dyDescent="0.25">
      <c r="A274" t="s">
        <v>792</v>
      </c>
      <c r="B274">
        <v>5336710</v>
      </c>
      <c r="C274" t="s">
        <v>793</v>
      </c>
      <c r="D274">
        <v>3122</v>
      </c>
      <c r="E274">
        <v>2936</v>
      </c>
      <c r="F274">
        <v>186</v>
      </c>
      <c r="G274">
        <v>3122</v>
      </c>
      <c r="H274">
        <v>2936</v>
      </c>
      <c r="I274">
        <v>186</v>
      </c>
      <c r="J274">
        <v>2632</v>
      </c>
      <c r="K274">
        <v>98</v>
      </c>
      <c r="L274">
        <v>79</v>
      </c>
      <c r="M274">
        <v>5</v>
      </c>
      <c r="N274">
        <v>53</v>
      </c>
      <c r="O274">
        <v>0</v>
      </c>
      <c r="P274">
        <v>41</v>
      </c>
      <c r="Q274">
        <v>0</v>
      </c>
      <c r="R274">
        <v>32</v>
      </c>
      <c r="S274">
        <v>31</v>
      </c>
      <c r="T274">
        <v>0</v>
      </c>
      <c r="U274">
        <v>0</v>
      </c>
      <c r="V274">
        <v>65</v>
      </c>
      <c r="W274">
        <v>52</v>
      </c>
      <c r="X274">
        <v>34</v>
      </c>
      <c r="Y274">
        <v>0</v>
      </c>
    </row>
    <row r="275" spans="1:25" x14ac:dyDescent="0.25">
      <c r="A275" t="s">
        <v>794</v>
      </c>
      <c r="B275">
        <v>5336745</v>
      </c>
      <c r="C275" t="s">
        <v>795</v>
      </c>
      <c r="D275">
        <v>46655</v>
      </c>
      <c r="E275">
        <v>39884</v>
      </c>
      <c r="F275">
        <v>6771</v>
      </c>
      <c r="G275">
        <v>46655</v>
      </c>
      <c r="H275">
        <v>39884</v>
      </c>
      <c r="I275">
        <v>6771</v>
      </c>
      <c r="J275">
        <v>29362</v>
      </c>
      <c r="K275">
        <v>1402</v>
      </c>
      <c r="L275">
        <v>2466</v>
      </c>
      <c r="M275">
        <v>1073</v>
      </c>
      <c r="N275">
        <v>2270</v>
      </c>
      <c r="O275">
        <v>337</v>
      </c>
      <c r="P275">
        <v>713</v>
      </c>
      <c r="Q275">
        <v>0</v>
      </c>
      <c r="R275">
        <v>1269</v>
      </c>
      <c r="S275">
        <v>2588</v>
      </c>
      <c r="T275">
        <v>489</v>
      </c>
      <c r="U275">
        <v>351</v>
      </c>
      <c r="V275">
        <v>508</v>
      </c>
      <c r="W275">
        <v>257</v>
      </c>
      <c r="X275">
        <v>2807</v>
      </c>
      <c r="Y275">
        <v>763</v>
      </c>
    </row>
    <row r="276" spans="1:25" x14ac:dyDescent="0.25">
      <c r="A276" t="s">
        <v>796</v>
      </c>
      <c r="B276">
        <v>5336780</v>
      </c>
      <c r="C276" t="s">
        <v>797</v>
      </c>
      <c r="D276">
        <v>789</v>
      </c>
      <c r="E276">
        <v>757</v>
      </c>
      <c r="F276">
        <v>32</v>
      </c>
      <c r="G276">
        <v>789</v>
      </c>
      <c r="H276">
        <v>757</v>
      </c>
      <c r="I276">
        <v>32</v>
      </c>
      <c r="J276">
        <v>678</v>
      </c>
      <c r="K276">
        <v>32</v>
      </c>
      <c r="L276">
        <v>60</v>
      </c>
      <c r="M276">
        <v>0</v>
      </c>
      <c r="N276">
        <v>0</v>
      </c>
      <c r="O276">
        <v>0</v>
      </c>
      <c r="P276">
        <v>5</v>
      </c>
      <c r="Q276">
        <v>0</v>
      </c>
      <c r="R276">
        <v>11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>
        <v>0</v>
      </c>
    </row>
    <row r="277" spans="1:25" x14ac:dyDescent="0.25">
      <c r="A277" t="s">
        <v>798</v>
      </c>
      <c r="B277">
        <v>5336850</v>
      </c>
      <c r="C277" t="s">
        <v>799</v>
      </c>
      <c r="D277">
        <v>319</v>
      </c>
      <c r="E277">
        <v>319</v>
      </c>
      <c r="F277">
        <v>0</v>
      </c>
      <c r="G277">
        <v>319</v>
      </c>
      <c r="H277">
        <v>319</v>
      </c>
      <c r="I277">
        <v>0</v>
      </c>
      <c r="J277">
        <v>313</v>
      </c>
      <c r="K277">
        <v>0</v>
      </c>
      <c r="L277">
        <v>3</v>
      </c>
      <c r="M277">
        <v>0</v>
      </c>
      <c r="N277">
        <v>0</v>
      </c>
      <c r="O277">
        <v>0</v>
      </c>
      <c r="P277">
        <v>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</row>
    <row r="278" spans="1:25" x14ac:dyDescent="0.25">
      <c r="A278" t="s">
        <v>800</v>
      </c>
      <c r="B278">
        <v>5336920</v>
      </c>
      <c r="C278" t="s">
        <v>801</v>
      </c>
      <c r="D278">
        <v>118</v>
      </c>
      <c r="E278">
        <v>118</v>
      </c>
      <c r="F278">
        <v>0</v>
      </c>
      <c r="G278">
        <v>118</v>
      </c>
      <c r="H278">
        <v>118</v>
      </c>
      <c r="I278">
        <v>0</v>
      </c>
      <c r="J278">
        <v>118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 t="s">
        <v>802</v>
      </c>
      <c r="B279">
        <v>5337077</v>
      </c>
      <c r="C279" t="s">
        <v>803</v>
      </c>
      <c r="D279">
        <v>654</v>
      </c>
      <c r="E279">
        <v>654</v>
      </c>
      <c r="F279">
        <v>0</v>
      </c>
      <c r="G279">
        <v>654</v>
      </c>
      <c r="H279">
        <v>654</v>
      </c>
      <c r="I279">
        <v>0</v>
      </c>
      <c r="J279">
        <v>654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804</v>
      </c>
      <c r="B280">
        <v>5337100</v>
      </c>
      <c r="C280" t="s">
        <v>805</v>
      </c>
      <c r="D280">
        <v>3591</v>
      </c>
      <c r="E280">
        <v>3419</v>
      </c>
      <c r="F280">
        <v>172</v>
      </c>
      <c r="G280">
        <v>3591</v>
      </c>
      <c r="H280">
        <v>3419</v>
      </c>
      <c r="I280">
        <v>172</v>
      </c>
      <c r="J280">
        <v>2919</v>
      </c>
      <c r="K280">
        <v>55</v>
      </c>
      <c r="L280">
        <v>141</v>
      </c>
      <c r="M280">
        <v>69</v>
      </c>
      <c r="N280">
        <v>0</v>
      </c>
      <c r="O280">
        <v>0</v>
      </c>
      <c r="P280">
        <v>0</v>
      </c>
      <c r="Q280">
        <v>0</v>
      </c>
      <c r="R280">
        <v>167</v>
      </c>
      <c r="S280">
        <v>27</v>
      </c>
      <c r="T280">
        <v>0</v>
      </c>
      <c r="U280">
        <v>0</v>
      </c>
      <c r="V280">
        <v>0</v>
      </c>
      <c r="W280">
        <v>21</v>
      </c>
      <c r="X280">
        <v>192</v>
      </c>
      <c r="Y280">
        <v>0</v>
      </c>
    </row>
    <row r="281" spans="1:25" x14ac:dyDescent="0.25">
      <c r="A281" t="s">
        <v>806</v>
      </c>
      <c r="B281">
        <v>5337105</v>
      </c>
      <c r="C281" t="s">
        <v>807</v>
      </c>
      <c r="D281">
        <v>179</v>
      </c>
      <c r="E281">
        <v>179</v>
      </c>
      <c r="F281">
        <v>0</v>
      </c>
      <c r="G281">
        <v>179</v>
      </c>
      <c r="H281">
        <v>179</v>
      </c>
      <c r="I281">
        <v>0</v>
      </c>
      <c r="J281">
        <v>179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 t="s">
        <v>808</v>
      </c>
      <c r="B282">
        <v>5337270</v>
      </c>
      <c r="C282" t="s">
        <v>809</v>
      </c>
      <c r="D282">
        <v>13247</v>
      </c>
      <c r="E282">
        <v>11322</v>
      </c>
      <c r="F282">
        <v>1925</v>
      </c>
      <c r="G282">
        <v>13247</v>
      </c>
      <c r="H282">
        <v>11322</v>
      </c>
      <c r="I282">
        <v>1925</v>
      </c>
      <c r="J282">
        <v>9701</v>
      </c>
      <c r="K282">
        <v>670</v>
      </c>
      <c r="L282">
        <v>317</v>
      </c>
      <c r="M282">
        <v>65</v>
      </c>
      <c r="N282">
        <v>186</v>
      </c>
      <c r="O282">
        <v>33</v>
      </c>
      <c r="P282">
        <v>18</v>
      </c>
      <c r="Q282">
        <v>0</v>
      </c>
      <c r="R282">
        <v>311</v>
      </c>
      <c r="S282">
        <v>824</v>
      </c>
      <c r="T282">
        <v>9</v>
      </c>
      <c r="U282">
        <v>11</v>
      </c>
      <c r="V282">
        <v>84</v>
      </c>
      <c r="W282">
        <v>166</v>
      </c>
      <c r="X282">
        <v>696</v>
      </c>
      <c r="Y282">
        <v>156</v>
      </c>
    </row>
    <row r="283" spans="1:25" x14ac:dyDescent="0.25">
      <c r="A283" t="s">
        <v>810</v>
      </c>
      <c r="B283">
        <v>5337287</v>
      </c>
      <c r="C283" t="s">
        <v>811</v>
      </c>
      <c r="D283">
        <v>3879</v>
      </c>
      <c r="E283">
        <v>3743</v>
      </c>
      <c r="F283">
        <v>136</v>
      </c>
      <c r="G283">
        <v>3879</v>
      </c>
      <c r="H283">
        <v>3743</v>
      </c>
      <c r="I283">
        <v>136</v>
      </c>
      <c r="J283">
        <v>3510</v>
      </c>
      <c r="K283">
        <v>78</v>
      </c>
      <c r="L283">
        <v>81</v>
      </c>
      <c r="M283">
        <v>37</v>
      </c>
      <c r="N283">
        <v>0</v>
      </c>
      <c r="O283">
        <v>0</v>
      </c>
      <c r="P283">
        <v>30</v>
      </c>
      <c r="Q283">
        <v>0</v>
      </c>
      <c r="R283">
        <v>16</v>
      </c>
      <c r="S283">
        <v>21</v>
      </c>
      <c r="T283">
        <v>0</v>
      </c>
      <c r="U283">
        <v>0</v>
      </c>
      <c r="V283">
        <v>30</v>
      </c>
      <c r="W283">
        <v>0</v>
      </c>
      <c r="X283">
        <v>76</v>
      </c>
      <c r="Y283">
        <v>0</v>
      </c>
    </row>
    <row r="284" spans="1:25" x14ac:dyDescent="0.25">
      <c r="A284" t="s">
        <v>812</v>
      </c>
      <c r="B284">
        <v>5337345</v>
      </c>
      <c r="C284" t="s">
        <v>813</v>
      </c>
      <c r="D284">
        <v>3263</v>
      </c>
      <c r="E284">
        <v>3040</v>
      </c>
      <c r="F284">
        <v>223</v>
      </c>
      <c r="G284">
        <v>3263</v>
      </c>
      <c r="H284">
        <v>3040</v>
      </c>
      <c r="I284">
        <v>223</v>
      </c>
      <c r="J284">
        <v>2755</v>
      </c>
      <c r="K284">
        <v>107</v>
      </c>
      <c r="L284">
        <v>70</v>
      </c>
      <c r="M284">
        <v>0</v>
      </c>
      <c r="N284">
        <v>0</v>
      </c>
      <c r="O284">
        <v>0</v>
      </c>
      <c r="P284">
        <v>30</v>
      </c>
      <c r="Q284">
        <v>0</v>
      </c>
      <c r="R284">
        <v>104</v>
      </c>
      <c r="S284">
        <v>116</v>
      </c>
      <c r="T284">
        <v>0</v>
      </c>
      <c r="U284">
        <v>0</v>
      </c>
      <c r="V284">
        <v>0</v>
      </c>
      <c r="W284">
        <v>0</v>
      </c>
      <c r="X284">
        <v>81</v>
      </c>
      <c r="Y284">
        <v>0</v>
      </c>
    </row>
    <row r="285" spans="1:25" x14ac:dyDescent="0.25">
      <c r="A285" t="s">
        <v>814</v>
      </c>
      <c r="B285">
        <v>5337415</v>
      </c>
      <c r="C285" t="s">
        <v>815</v>
      </c>
      <c r="D285">
        <v>894</v>
      </c>
      <c r="E285">
        <v>845</v>
      </c>
      <c r="F285">
        <v>49</v>
      </c>
      <c r="G285">
        <v>894</v>
      </c>
      <c r="H285">
        <v>845</v>
      </c>
      <c r="I285">
        <v>49</v>
      </c>
      <c r="J285">
        <v>730</v>
      </c>
      <c r="K285">
        <v>0</v>
      </c>
      <c r="L285">
        <v>44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61</v>
      </c>
      <c r="W285">
        <v>49</v>
      </c>
      <c r="X285">
        <v>10</v>
      </c>
      <c r="Y285">
        <v>0</v>
      </c>
    </row>
    <row r="286" spans="1:25" x14ac:dyDescent="0.25">
      <c r="A286" t="s">
        <v>816</v>
      </c>
      <c r="B286">
        <v>5337420</v>
      </c>
      <c r="C286" t="s">
        <v>817</v>
      </c>
      <c r="D286">
        <v>12487</v>
      </c>
      <c r="E286">
        <v>9876</v>
      </c>
      <c r="F286">
        <v>2611</v>
      </c>
      <c r="G286">
        <v>12487</v>
      </c>
      <c r="H286">
        <v>9876</v>
      </c>
      <c r="I286">
        <v>2611</v>
      </c>
      <c r="J286">
        <v>6366</v>
      </c>
      <c r="K286">
        <v>774</v>
      </c>
      <c r="L286">
        <v>842</v>
      </c>
      <c r="M286">
        <v>182</v>
      </c>
      <c r="N286">
        <v>993</v>
      </c>
      <c r="O286">
        <v>114</v>
      </c>
      <c r="P286">
        <v>104</v>
      </c>
      <c r="Q286">
        <v>0</v>
      </c>
      <c r="R286">
        <v>441</v>
      </c>
      <c r="S286">
        <v>885</v>
      </c>
      <c r="T286">
        <v>121</v>
      </c>
      <c r="U286">
        <v>81</v>
      </c>
      <c r="V286">
        <v>384</v>
      </c>
      <c r="W286">
        <v>401</v>
      </c>
      <c r="X286">
        <v>625</v>
      </c>
      <c r="Y286">
        <v>174</v>
      </c>
    </row>
    <row r="287" spans="1:25" x14ac:dyDescent="0.25">
      <c r="A287" t="s">
        <v>818</v>
      </c>
      <c r="B287">
        <v>5337430</v>
      </c>
      <c r="C287" t="s">
        <v>819</v>
      </c>
      <c r="D287">
        <v>13982</v>
      </c>
      <c r="E287">
        <v>11131</v>
      </c>
      <c r="F287">
        <v>2851</v>
      </c>
      <c r="G287">
        <v>13982</v>
      </c>
      <c r="H287">
        <v>11131</v>
      </c>
      <c r="I287">
        <v>2851</v>
      </c>
      <c r="J287">
        <v>8233</v>
      </c>
      <c r="K287">
        <v>1363</v>
      </c>
      <c r="L287">
        <v>635</v>
      </c>
      <c r="M287">
        <v>322</v>
      </c>
      <c r="N287">
        <v>626</v>
      </c>
      <c r="O287">
        <v>34</v>
      </c>
      <c r="P287">
        <v>579</v>
      </c>
      <c r="Q287">
        <v>0</v>
      </c>
      <c r="R287">
        <v>198</v>
      </c>
      <c r="S287">
        <v>668</v>
      </c>
      <c r="T287">
        <v>135</v>
      </c>
      <c r="U287">
        <v>0</v>
      </c>
      <c r="V287">
        <v>135</v>
      </c>
      <c r="W287">
        <v>237</v>
      </c>
      <c r="X287">
        <v>590</v>
      </c>
      <c r="Y287">
        <v>227</v>
      </c>
    </row>
    <row r="288" spans="1:25" x14ac:dyDescent="0.25">
      <c r="A288" t="s">
        <v>820</v>
      </c>
      <c r="B288">
        <v>5337526</v>
      </c>
      <c r="C288" t="s">
        <v>821</v>
      </c>
      <c r="D288">
        <v>134</v>
      </c>
      <c r="E288">
        <v>124</v>
      </c>
      <c r="F288">
        <v>10</v>
      </c>
      <c r="G288">
        <v>134</v>
      </c>
      <c r="H288">
        <v>124</v>
      </c>
      <c r="I288">
        <v>10</v>
      </c>
      <c r="J288">
        <v>122</v>
      </c>
      <c r="K288">
        <v>10</v>
      </c>
      <c r="L288">
        <v>0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 t="s">
        <v>822</v>
      </c>
      <c r="B289">
        <v>5337538</v>
      </c>
      <c r="C289" t="s">
        <v>823</v>
      </c>
      <c r="D289">
        <v>1220</v>
      </c>
      <c r="E289">
        <v>1115</v>
      </c>
      <c r="F289">
        <v>105</v>
      </c>
      <c r="G289">
        <v>1220</v>
      </c>
      <c r="H289">
        <v>1115</v>
      </c>
      <c r="I289">
        <v>105</v>
      </c>
      <c r="J289">
        <v>1039</v>
      </c>
      <c r="K289">
        <v>68</v>
      </c>
      <c r="L289">
        <v>36</v>
      </c>
      <c r="M289">
        <v>18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40</v>
      </c>
      <c r="Y289">
        <v>19</v>
      </c>
    </row>
    <row r="290" spans="1:25" x14ac:dyDescent="0.25">
      <c r="A290" t="s">
        <v>824</v>
      </c>
      <c r="B290">
        <v>5337567</v>
      </c>
      <c r="C290" t="s">
        <v>825</v>
      </c>
      <c r="D290">
        <v>11201</v>
      </c>
      <c r="E290">
        <v>10231</v>
      </c>
      <c r="F290">
        <v>970</v>
      </c>
      <c r="G290">
        <v>11201</v>
      </c>
      <c r="H290">
        <v>10231</v>
      </c>
      <c r="I290">
        <v>970</v>
      </c>
      <c r="J290">
        <v>8808</v>
      </c>
      <c r="K290">
        <v>519</v>
      </c>
      <c r="L290">
        <v>281</v>
      </c>
      <c r="M290">
        <v>61</v>
      </c>
      <c r="N290">
        <v>115</v>
      </c>
      <c r="O290">
        <v>0</v>
      </c>
      <c r="P290">
        <v>86</v>
      </c>
      <c r="Q290">
        <v>0</v>
      </c>
      <c r="R290">
        <v>63</v>
      </c>
      <c r="S290">
        <v>214</v>
      </c>
      <c r="T290">
        <v>13</v>
      </c>
      <c r="U290">
        <v>21</v>
      </c>
      <c r="V290">
        <v>447</v>
      </c>
      <c r="W290">
        <v>155</v>
      </c>
      <c r="X290">
        <v>418</v>
      </c>
      <c r="Y290">
        <v>0</v>
      </c>
    </row>
    <row r="291" spans="1:25" x14ac:dyDescent="0.25">
      <c r="A291" t="s">
        <v>826</v>
      </c>
      <c r="B291">
        <v>5337672</v>
      </c>
      <c r="C291" t="s">
        <v>827</v>
      </c>
      <c r="D291">
        <v>657</v>
      </c>
      <c r="E291">
        <v>657</v>
      </c>
      <c r="F291">
        <v>0</v>
      </c>
      <c r="G291">
        <v>657</v>
      </c>
      <c r="H291">
        <v>657</v>
      </c>
      <c r="I291">
        <v>0</v>
      </c>
      <c r="J291">
        <v>600</v>
      </c>
      <c r="K291">
        <v>0</v>
      </c>
      <c r="L291">
        <v>14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43</v>
      </c>
      <c r="Y291">
        <v>0</v>
      </c>
    </row>
    <row r="292" spans="1:25" x14ac:dyDescent="0.25">
      <c r="A292" t="s">
        <v>828</v>
      </c>
      <c r="B292">
        <v>5337830</v>
      </c>
      <c r="C292" t="s">
        <v>829</v>
      </c>
      <c r="D292">
        <v>7550</v>
      </c>
      <c r="E292">
        <v>6776</v>
      </c>
      <c r="F292">
        <v>774</v>
      </c>
      <c r="G292">
        <v>7550</v>
      </c>
      <c r="H292">
        <v>6776</v>
      </c>
      <c r="I292">
        <v>774</v>
      </c>
      <c r="J292">
        <v>5703</v>
      </c>
      <c r="K292">
        <v>330</v>
      </c>
      <c r="L292">
        <v>349</v>
      </c>
      <c r="M292">
        <v>10</v>
      </c>
      <c r="N292">
        <v>84</v>
      </c>
      <c r="O292">
        <v>11</v>
      </c>
      <c r="P292">
        <v>17</v>
      </c>
      <c r="Q292">
        <v>0</v>
      </c>
      <c r="R292">
        <v>74</v>
      </c>
      <c r="S292">
        <v>107</v>
      </c>
      <c r="T292">
        <v>7</v>
      </c>
      <c r="U292">
        <v>12</v>
      </c>
      <c r="V292">
        <v>333</v>
      </c>
      <c r="W292">
        <v>287</v>
      </c>
      <c r="X292">
        <v>209</v>
      </c>
      <c r="Y292">
        <v>17</v>
      </c>
    </row>
    <row r="293" spans="1:25" x14ac:dyDescent="0.25">
      <c r="A293" t="s">
        <v>830</v>
      </c>
      <c r="B293">
        <v>5337900</v>
      </c>
      <c r="C293" t="s">
        <v>831</v>
      </c>
      <c r="D293">
        <v>31022</v>
      </c>
      <c r="E293">
        <v>28019</v>
      </c>
      <c r="F293">
        <v>3003</v>
      </c>
      <c r="G293">
        <v>31022</v>
      </c>
      <c r="H293">
        <v>28019</v>
      </c>
      <c r="I293">
        <v>3003</v>
      </c>
      <c r="J293">
        <v>23022</v>
      </c>
      <c r="K293">
        <v>927</v>
      </c>
      <c r="L293">
        <v>2194</v>
      </c>
      <c r="M293">
        <v>985</v>
      </c>
      <c r="N293">
        <v>227</v>
      </c>
      <c r="O293">
        <v>163</v>
      </c>
      <c r="P293">
        <v>109</v>
      </c>
      <c r="Q293">
        <v>0</v>
      </c>
      <c r="R293">
        <v>553</v>
      </c>
      <c r="S293">
        <v>658</v>
      </c>
      <c r="T293">
        <v>75</v>
      </c>
      <c r="U293">
        <v>43</v>
      </c>
      <c r="V293">
        <v>214</v>
      </c>
      <c r="W293">
        <v>171</v>
      </c>
      <c r="X293">
        <v>1625</v>
      </c>
      <c r="Y293">
        <v>56</v>
      </c>
    </row>
    <row r="294" spans="1:25" x14ac:dyDescent="0.25">
      <c r="A294" t="s">
        <v>832</v>
      </c>
      <c r="B294">
        <v>5337917</v>
      </c>
      <c r="C294" t="s">
        <v>833</v>
      </c>
      <c r="D294">
        <v>9667</v>
      </c>
      <c r="E294">
        <v>5812</v>
      </c>
      <c r="F294">
        <v>3855</v>
      </c>
      <c r="G294">
        <v>9667</v>
      </c>
      <c r="H294">
        <v>5812</v>
      </c>
      <c r="I294">
        <v>3855</v>
      </c>
      <c r="J294">
        <v>3210</v>
      </c>
      <c r="K294">
        <v>376</v>
      </c>
      <c r="L294">
        <v>582</v>
      </c>
      <c r="M294">
        <v>592</v>
      </c>
      <c r="N294">
        <v>311</v>
      </c>
      <c r="O294">
        <v>641</v>
      </c>
      <c r="P294">
        <v>65</v>
      </c>
      <c r="Q294">
        <v>0</v>
      </c>
      <c r="R294">
        <v>820</v>
      </c>
      <c r="S294">
        <v>1801</v>
      </c>
      <c r="T294">
        <v>20</v>
      </c>
      <c r="U294">
        <v>0</v>
      </c>
      <c r="V294">
        <v>178</v>
      </c>
      <c r="W294">
        <v>243</v>
      </c>
      <c r="X294">
        <v>626</v>
      </c>
      <c r="Y294">
        <v>202</v>
      </c>
    </row>
    <row r="295" spans="1:25" x14ac:dyDescent="0.25">
      <c r="A295" t="s">
        <v>834</v>
      </c>
      <c r="B295">
        <v>5337920</v>
      </c>
      <c r="C295" t="s">
        <v>835</v>
      </c>
      <c r="D295">
        <v>13091</v>
      </c>
      <c r="E295">
        <v>12345</v>
      </c>
      <c r="F295">
        <v>746</v>
      </c>
      <c r="G295">
        <v>13091</v>
      </c>
      <c r="H295">
        <v>12345</v>
      </c>
      <c r="I295">
        <v>746</v>
      </c>
      <c r="J295">
        <v>10868</v>
      </c>
      <c r="K295">
        <v>440</v>
      </c>
      <c r="L295">
        <v>355</v>
      </c>
      <c r="M295">
        <v>118</v>
      </c>
      <c r="N295">
        <v>55</v>
      </c>
      <c r="O295">
        <v>0</v>
      </c>
      <c r="P295">
        <v>15</v>
      </c>
      <c r="Q295">
        <v>0</v>
      </c>
      <c r="R295">
        <v>185</v>
      </c>
      <c r="S295">
        <v>92</v>
      </c>
      <c r="T295">
        <v>0</v>
      </c>
      <c r="U295">
        <v>0</v>
      </c>
      <c r="V295">
        <v>186</v>
      </c>
      <c r="W295">
        <v>63</v>
      </c>
      <c r="X295">
        <v>681</v>
      </c>
      <c r="Y295">
        <v>33</v>
      </c>
    </row>
    <row r="296" spans="1:25" x14ac:dyDescent="0.25">
      <c r="A296" t="s">
        <v>836</v>
      </c>
      <c r="B296">
        <v>5337926</v>
      </c>
      <c r="C296" t="s">
        <v>837</v>
      </c>
      <c r="D296">
        <v>881</v>
      </c>
      <c r="E296">
        <v>676</v>
      </c>
      <c r="F296">
        <v>205</v>
      </c>
      <c r="G296">
        <v>881</v>
      </c>
      <c r="H296">
        <v>676</v>
      </c>
      <c r="I296">
        <v>205</v>
      </c>
      <c r="J296">
        <v>563</v>
      </c>
      <c r="K296">
        <v>59</v>
      </c>
      <c r="L296">
        <v>33</v>
      </c>
      <c r="M296">
        <v>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80</v>
      </c>
      <c r="W296">
        <v>137</v>
      </c>
      <c r="X296">
        <v>0</v>
      </c>
      <c r="Y296">
        <v>0</v>
      </c>
    </row>
    <row r="297" spans="1:25" x14ac:dyDescent="0.25">
      <c r="A297" t="s">
        <v>838</v>
      </c>
      <c r="B297">
        <v>5338038</v>
      </c>
      <c r="C297" t="s">
        <v>839</v>
      </c>
      <c r="D297">
        <v>59102</v>
      </c>
      <c r="E297">
        <v>47401</v>
      </c>
      <c r="F297">
        <v>11701</v>
      </c>
      <c r="G297">
        <v>59102</v>
      </c>
      <c r="H297">
        <v>47401</v>
      </c>
      <c r="I297">
        <v>11701</v>
      </c>
      <c r="J297">
        <v>27682</v>
      </c>
      <c r="K297">
        <v>2361</v>
      </c>
      <c r="L297">
        <v>2857</v>
      </c>
      <c r="M297">
        <v>1360</v>
      </c>
      <c r="N297">
        <v>6244</v>
      </c>
      <c r="O297">
        <v>925</v>
      </c>
      <c r="P297">
        <v>1069</v>
      </c>
      <c r="Q297">
        <v>173</v>
      </c>
      <c r="R297">
        <v>951</v>
      </c>
      <c r="S297">
        <v>4320</v>
      </c>
      <c r="T297">
        <v>983</v>
      </c>
      <c r="U297">
        <v>822</v>
      </c>
      <c r="V297">
        <v>2064</v>
      </c>
      <c r="W297">
        <v>1181</v>
      </c>
      <c r="X297">
        <v>5551</v>
      </c>
      <c r="Y297">
        <v>559</v>
      </c>
    </row>
    <row r="298" spans="1:25" x14ac:dyDescent="0.25">
      <c r="A298" t="s">
        <v>840</v>
      </c>
      <c r="B298">
        <v>5338215</v>
      </c>
      <c r="C298" t="s">
        <v>841</v>
      </c>
      <c r="D298">
        <v>87</v>
      </c>
      <c r="E298">
        <v>86</v>
      </c>
      <c r="F298">
        <v>1</v>
      </c>
      <c r="G298">
        <v>87</v>
      </c>
      <c r="H298">
        <v>86</v>
      </c>
      <c r="I298">
        <v>1</v>
      </c>
      <c r="J298">
        <v>86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t="s">
        <v>842</v>
      </c>
      <c r="B299">
        <v>5338355</v>
      </c>
      <c r="C299" t="s">
        <v>843</v>
      </c>
      <c r="D299">
        <v>1319</v>
      </c>
      <c r="E299">
        <v>1229</v>
      </c>
      <c r="F299">
        <v>90</v>
      </c>
      <c r="G299">
        <v>1319</v>
      </c>
      <c r="H299">
        <v>1229</v>
      </c>
      <c r="I299">
        <v>90</v>
      </c>
      <c r="J299">
        <v>1043</v>
      </c>
      <c r="K299">
        <v>64</v>
      </c>
      <c r="L299">
        <v>50</v>
      </c>
      <c r="M299">
        <v>0</v>
      </c>
      <c r="N299">
        <v>9</v>
      </c>
      <c r="O299">
        <v>0</v>
      </c>
      <c r="P299">
        <v>52</v>
      </c>
      <c r="Q299">
        <v>0</v>
      </c>
      <c r="R299">
        <v>26</v>
      </c>
      <c r="S299">
        <v>26</v>
      </c>
      <c r="T299">
        <v>0</v>
      </c>
      <c r="U299">
        <v>0</v>
      </c>
      <c r="V299">
        <v>0</v>
      </c>
      <c r="W299">
        <v>0</v>
      </c>
      <c r="X299">
        <v>49</v>
      </c>
      <c r="Y299">
        <v>0</v>
      </c>
    </row>
    <row r="300" spans="1:25" x14ac:dyDescent="0.25">
      <c r="A300" t="s">
        <v>844</v>
      </c>
      <c r="B300">
        <v>5338420</v>
      </c>
      <c r="C300" t="s">
        <v>845</v>
      </c>
      <c r="D300">
        <v>4117</v>
      </c>
      <c r="E300">
        <v>2898</v>
      </c>
      <c r="F300">
        <v>1219</v>
      </c>
      <c r="G300">
        <v>4117</v>
      </c>
      <c r="H300">
        <v>2898</v>
      </c>
      <c r="I300">
        <v>1219</v>
      </c>
      <c r="J300">
        <v>1901</v>
      </c>
      <c r="K300">
        <v>126</v>
      </c>
      <c r="L300">
        <v>154</v>
      </c>
      <c r="M300">
        <v>0</v>
      </c>
      <c r="N300">
        <v>18</v>
      </c>
      <c r="O300">
        <v>16</v>
      </c>
      <c r="P300">
        <v>0</v>
      </c>
      <c r="Q300">
        <v>0</v>
      </c>
      <c r="R300">
        <v>633</v>
      </c>
      <c r="S300">
        <v>1030</v>
      </c>
      <c r="T300">
        <v>0</v>
      </c>
      <c r="U300">
        <v>0</v>
      </c>
      <c r="V300">
        <v>76</v>
      </c>
      <c r="W300">
        <v>19</v>
      </c>
      <c r="X300">
        <v>116</v>
      </c>
      <c r="Y300">
        <v>28</v>
      </c>
    </row>
    <row r="301" spans="1:25" x14ac:dyDescent="0.25">
      <c r="A301" t="s">
        <v>846</v>
      </c>
      <c r="B301">
        <v>5338495</v>
      </c>
      <c r="C301" t="s">
        <v>847</v>
      </c>
      <c r="D301">
        <v>142</v>
      </c>
      <c r="E301">
        <v>142</v>
      </c>
      <c r="F301">
        <v>0</v>
      </c>
      <c r="G301">
        <v>142</v>
      </c>
      <c r="H301">
        <v>142</v>
      </c>
      <c r="I301">
        <v>0</v>
      </c>
      <c r="J301">
        <v>121</v>
      </c>
      <c r="K301">
        <v>0</v>
      </c>
      <c r="L301">
        <v>4</v>
      </c>
      <c r="M301">
        <v>0</v>
      </c>
      <c r="N301">
        <v>0</v>
      </c>
      <c r="O301">
        <v>0</v>
      </c>
      <c r="P301">
        <v>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12</v>
      </c>
      <c r="Y301">
        <v>0</v>
      </c>
    </row>
    <row r="302" spans="1:25" x14ac:dyDescent="0.25">
      <c r="A302" t="s">
        <v>848</v>
      </c>
      <c r="B302">
        <v>5338705</v>
      </c>
      <c r="C302" t="s">
        <v>849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t="s">
        <v>850</v>
      </c>
      <c r="B303">
        <v>5338845</v>
      </c>
      <c r="C303" t="s">
        <v>851</v>
      </c>
      <c r="D303">
        <v>1993</v>
      </c>
      <c r="E303">
        <v>1875</v>
      </c>
      <c r="F303">
        <v>118</v>
      </c>
      <c r="G303">
        <v>1993</v>
      </c>
      <c r="H303">
        <v>1875</v>
      </c>
      <c r="I303">
        <v>118</v>
      </c>
      <c r="J303">
        <v>1631</v>
      </c>
      <c r="K303">
        <v>44</v>
      </c>
      <c r="L303">
        <v>103</v>
      </c>
      <c r="M303">
        <v>48</v>
      </c>
      <c r="N303">
        <v>0</v>
      </c>
      <c r="O303">
        <v>0</v>
      </c>
      <c r="P303">
        <v>17</v>
      </c>
      <c r="Q303">
        <v>0</v>
      </c>
      <c r="R303">
        <v>34</v>
      </c>
      <c r="S303">
        <v>20</v>
      </c>
      <c r="T303">
        <v>0</v>
      </c>
      <c r="U303">
        <v>0</v>
      </c>
      <c r="V303">
        <v>7</v>
      </c>
      <c r="W303">
        <v>6</v>
      </c>
      <c r="X303">
        <v>83</v>
      </c>
      <c r="Y303">
        <v>0</v>
      </c>
    </row>
    <row r="304" spans="1:25" x14ac:dyDescent="0.25">
      <c r="A304" t="s">
        <v>852</v>
      </c>
      <c r="B304">
        <v>5338880</v>
      </c>
      <c r="C304" t="s">
        <v>853</v>
      </c>
      <c r="D304">
        <v>101</v>
      </c>
      <c r="E304">
        <v>101</v>
      </c>
      <c r="F304">
        <v>0</v>
      </c>
      <c r="G304">
        <v>101</v>
      </c>
      <c r="H304">
        <v>101</v>
      </c>
      <c r="I304">
        <v>0</v>
      </c>
      <c r="J304">
        <v>101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854</v>
      </c>
      <c r="B305">
        <v>5339212</v>
      </c>
      <c r="C305" t="s">
        <v>855</v>
      </c>
      <c r="D305">
        <v>1503</v>
      </c>
      <c r="E305">
        <v>1380</v>
      </c>
      <c r="F305">
        <v>123</v>
      </c>
      <c r="G305">
        <v>1503</v>
      </c>
      <c r="H305">
        <v>1380</v>
      </c>
      <c r="I305">
        <v>123</v>
      </c>
      <c r="J305">
        <v>1349</v>
      </c>
      <c r="K305">
        <v>93</v>
      </c>
      <c r="L305">
        <v>14</v>
      </c>
      <c r="M305">
        <v>20</v>
      </c>
      <c r="N305">
        <v>0</v>
      </c>
      <c r="O305">
        <v>0</v>
      </c>
      <c r="P305">
        <v>9</v>
      </c>
      <c r="Q305">
        <v>0</v>
      </c>
      <c r="R305">
        <v>8</v>
      </c>
      <c r="S305">
        <v>10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856</v>
      </c>
      <c r="B306">
        <v>5339335</v>
      </c>
      <c r="C306" t="s">
        <v>857</v>
      </c>
      <c r="D306">
        <v>8905</v>
      </c>
      <c r="E306">
        <v>8439</v>
      </c>
      <c r="F306">
        <v>466</v>
      </c>
      <c r="G306">
        <v>8905</v>
      </c>
      <c r="H306">
        <v>8439</v>
      </c>
      <c r="I306">
        <v>466</v>
      </c>
      <c r="J306">
        <v>7709</v>
      </c>
      <c r="K306">
        <v>275</v>
      </c>
      <c r="L306">
        <v>159</v>
      </c>
      <c r="M306">
        <v>0</v>
      </c>
      <c r="N306">
        <v>0</v>
      </c>
      <c r="O306">
        <v>0</v>
      </c>
      <c r="P306">
        <v>26</v>
      </c>
      <c r="Q306">
        <v>0</v>
      </c>
      <c r="R306">
        <v>128</v>
      </c>
      <c r="S306">
        <v>191</v>
      </c>
      <c r="T306">
        <v>0</v>
      </c>
      <c r="U306">
        <v>0</v>
      </c>
      <c r="V306">
        <v>61</v>
      </c>
      <c r="W306">
        <v>0</v>
      </c>
      <c r="X306">
        <v>356</v>
      </c>
      <c r="Y306">
        <v>0</v>
      </c>
    </row>
    <row r="307" spans="1:25" x14ac:dyDescent="0.25">
      <c r="A307" t="s">
        <v>858</v>
      </c>
      <c r="B307">
        <v>5339510</v>
      </c>
      <c r="C307" t="s">
        <v>859</v>
      </c>
      <c r="D307">
        <v>563</v>
      </c>
      <c r="E307">
        <v>544</v>
      </c>
      <c r="F307">
        <v>19</v>
      </c>
      <c r="G307">
        <v>563</v>
      </c>
      <c r="H307">
        <v>544</v>
      </c>
      <c r="I307">
        <v>19</v>
      </c>
      <c r="J307">
        <v>479</v>
      </c>
      <c r="K307">
        <v>2</v>
      </c>
      <c r="L307">
        <v>30</v>
      </c>
      <c r="M307">
        <v>17</v>
      </c>
      <c r="N307">
        <v>0</v>
      </c>
      <c r="O307">
        <v>0</v>
      </c>
      <c r="P307">
        <v>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4</v>
      </c>
      <c r="W307">
        <v>0</v>
      </c>
      <c r="X307">
        <v>26</v>
      </c>
      <c r="Y307">
        <v>0</v>
      </c>
    </row>
    <row r="308" spans="1:25" x14ac:dyDescent="0.25">
      <c r="A308" t="s">
        <v>860</v>
      </c>
      <c r="B308">
        <v>5339860</v>
      </c>
      <c r="C308" t="s">
        <v>861</v>
      </c>
      <c r="D308">
        <v>3188</v>
      </c>
      <c r="E308">
        <v>2999</v>
      </c>
      <c r="F308">
        <v>189</v>
      </c>
      <c r="G308">
        <v>3188</v>
      </c>
      <c r="H308">
        <v>2999</v>
      </c>
      <c r="I308">
        <v>189</v>
      </c>
      <c r="J308">
        <v>2574</v>
      </c>
      <c r="K308">
        <v>132</v>
      </c>
      <c r="L308">
        <v>52</v>
      </c>
      <c r="M308">
        <v>30</v>
      </c>
      <c r="N308">
        <v>0</v>
      </c>
      <c r="O308">
        <v>0</v>
      </c>
      <c r="P308">
        <v>124</v>
      </c>
      <c r="Q308">
        <v>0</v>
      </c>
      <c r="R308">
        <v>0</v>
      </c>
      <c r="S308">
        <v>19</v>
      </c>
      <c r="T308">
        <v>0</v>
      </c>
      <c r="U308">
        <v>0</v>
      </c>
      <c r="V308">
        <v>47</v>
      </c>
      <c r="W308">
        <v>0</v>
      </c>
      <c r="X308">
        <v>202</v>
      </c>
      <c r="Y308">
        <v>8</v>
      </c>
    </row>
    <row r="309" spans="1:25" x14ac:dyDescent="0.25">
      <c r="A309" t="s">
        <v>862</v>
      </c>
      <c r="B309">
        <v>5339930</v>
      </c>
      <c r="C309" t="s">
        <v>863</v>
      </c>
      <c r="D309">
        <v>2211</v>
      </c>
      <c r="E309">
        <v>2136</v>
      </c>
      <c r="F309">
        <v>75</v>
      </c>
      <c r="G309">
        <v>2211</v>
      </c>
      <c r="H309">
        <v>2136</v>
      </c>
      <c r="I309">
        <v>75</v>
      </c>
      <c r="J309">
        <v>1959</v>
      </c>
      <c r="K309">
        <v>19</v>
      </c>
      <c r="L309">
        <v>125</v>
      </c>
      <c r="M309">
        <v>30</v>
      </c>
      <c r="N309">
        <v>34</v>
      </c>
      <c r="O309">
        <v>12</v>
      </c>
      <c r="P309">
        <v>0</v>
      </c>
      <c r="Q309">
        <v>0</v>
      </c>
      <c r="R309">
        <v>5</v>
      </c>
      <c r="S309">
        <v>14</v>
      </c>
      <c r="T309">
        <v>0</v>
      </c>
      <c r="U309">
        <v>0</v>
      </c>
      <c r="V309">
        <v>0</v>
      </c>
      <c r="W309">
        <v>0</v>
      </c>
      <c r="X309">
        <v>13</v>
      </c>
      <c r="Y309">
        <v>0</v>
      </c>
    </row>
    <row r="310" spans="1:25" x14ac:dyDescent="0.25">
      <c r="A310" t="s">
        <v>864</v>
      </c>
      <c r="B310">
        <v>5340070</v>
      </c>
      <c r="C310" t="s">
        <v>865</v>
      </c>
      <c r="D310">
        <v>1355</v>
      </c>
      <c r="E310">
        <v>1239</v>
      </c>
      <c r="F310">
        <v>116</v>
      </c>
      <c r="G310">
        <v>1355</v>
      </c>
      <c r="H310">
        <v>1239</v>
      </c>
      <c r="I310">
        <v>116</v>
      </c>
      <c r="J310">
        <v>1053</v>
      </c>
      <c r="K310">
        <v>31</v>
      </c>
      <c r="L310">
        <v>103</v>
      </c>
      <c r="M310">
        <v>63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39</v>
      </c>
      <c r="W310">
        <v>22</v>
      </c>
      <c r="X310">
        <v>42</v>
      </c>
      <c r="Y310">
        <v>0</v>
      </c>
    </row>
    <row r="311" spans="1:25" x14ac:dyDescent="0.25">
      <c r="A311" t="s">
        <v>866</v>
      </c>
      <c r="B311">
        <v>5340105</v>
      </c>
      <c r="C311" t="s">
        <v>867</v>
      </c>
      <c r="D311">
        <v>3236</v>
      </c>
      <c r="E311">
        <v>3047</v>
      </c>
      <c r="F311">
        <v>189</v>
      </c>
      <c r="G311">
        <v>3236</v>
      </c>
      <c r="H311">
        <v>3047</v>
      </c>
      <c r="I311">
        <v>189</v>
      </c>
      <c r="J311">
        <v>2738</v>
      </c>
      <c r="K311">
        <v>82</v>
      </c>
      <c r="L311">
        <v>27</v>
      </c>
      <c r="M311">
        <v>38</v>
      </c>
      <c r="N311">
        <v>14</v>
      </c>
      <c r="O311">
        <v>0</v>
      </c>
      <c r="P311">
        <v>37</v>
      </c>
      <c r="Q311">
        <v>0</v>
      </c>
      <c r="R311">
        <v>0</v>
      </c>
      <c r="S311">
        <v>69</v>
      </c>
      <c r="T311">
        <v>0</v>
      </c>
      <c r="U311">
        <v>0</v>
      </c>
      <c r="V311">
        <v>7</v>
      </c>
      <c r="W311">
        <v>0</v>
      </c>
      <c r="X311">
        <v>224</v>
      </c>
      <c r="Y311">
        <v>0</v>
      </c>
    </row>
    <row r="312" spans="1:25" x14ac:dyDescent="0.25">
      <c r="A312" t="s">
        <v>868</v>
      </c>
      <c r="B312">
        <v>5340245</v>
      </c>
      <c r="C312" t="s">
        <v>869</v>
      </c>
      <c r="D312">
        <v>36740</v>
      </c>
      <c r="E312">
        <v>34429</v>
      </c>
      <c r="F312">
        <v>2311</v>
      </c>
      <c r="G312">
        <v>36740</v>
      </c>
      <c r="H312">
        <v>34429</v>
      </c>
      <c r="I312">
        <v>2311</v>
      </c>
      <c r="J312">
        <v>28647</v>
      </c>
      <c r="K312">
        <v>652</v>
      </c>
      <c r="L312">
        <v>2059</v>
      </c>
      <c r="M312">
        <v>712</v>
      </c>
      <c r="N312">
        <v>306</v>
      </c>
      <c r="O312">
        <v>92</v>
      </c>
      <c r="P312">
        <v>408</v>
      </c>
      <c r="Q312">
        <v>14</v>
      </c>
      <c r="R312">
        <v>231</v>
      </c>
      <c r="S312">
        <v>492</v>
      </c>
      <c r="T312">
        <v>84</v>
      </c>
      <c r="U312">
        <v>33</v>
      </c>
      <c r="V312">
        <v>403</v>
      </c>
      <c r="W312">
        <v>233</v>
      </c>
      <c r="X312">
        <v>2291</v>
      </c>
      <c r="Y312">
        <v>83</v>
      </c>
    </row>
    <row r="313" spans="1:25" x14ac:dyDescent="0.25">
      <c r="A313" t="s">
        <v>870</v>
      </c>
      <c r="B313">
        <v>5340270</v>
      </c>
      <c r="C313" t="s">
        <v>871</v>
      </c>
      <c r="D313">
        <v>3678</v>
      </c>
      <c r="E313">
        <v>3530</v>
      </c>
      <c r="F313">
        <v>148</v>
      </c>
      <c r="G313">
        <v>3678</v>
      </c>
      <c r="H313">
        <v>3530</v>
      </c>
      <c r="I313">
        <v>148</v>
      </c>
      <c r="J313">
        <v>3205</v>
      </c>
      <c r="K313">
        <v>40</v>
      </c>
      <c r="L313">
        <v>76</v>
      </c>
      <c r="M313">
        <v>49</v>
      </c>
      <c r="N313">
        <v>0</v>
      </c>
      <c r="O313">
        <v>0</v>
      </c>
      <c r="P313">
        <v>0</v>
      </c>
      <c r="Q313">
        <v>0</v>
      </c>
      <c r="R313">
        <v>41</v>
      </c>
      <c r="S313">
        <v>0</v>
      </c>
      <c r="T313">
        <v>0</v>
      </c>
      <c r="U313">
        <v>0</v>
      </c>
      <c r="V313">
        <v>81</v>
      </c>
      <c r="W313">
        <v>59</v>
      </c>
      <c r="X313">
        <v>127</v>
      </c>
      <c r="Y313">
        <v>0</v>
      </c>
    </row>
    <row r="314" spans="1:25" x14ac:dyDescent="0.25">
      <c r="A314" t="s">
        <v>872</v>
      </c>
      <c r="B314">
        <v>5340350</v>
      </c>
      <c r="C314" t="s">
        <v>873</v>
      </c>
      <c r="D314">
        <v>117</v>
      </c>
      <c r="E314">
        <v>115</v>
      </c>
      <c r="F314">
        <v>2</v>
      </c>
      <c r="G314">
        <v>117</v>
      </c>
      <c r="H314">
        <v>115</v>
      </c>
      <c r="I314">
        <v>2</v>
      </c>
      <c r="J314">
        <v>98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17</v>
      </c>
      <c r="W314">
        <v>2</v>
      </c>
      <c r="X314">
        <v>0</v>
      </c>
      <c r="Y314">
        <v>0</v>
      </c>
    </row>
    <row r="315" spans="1:25" x14ac:dyDescent="0.25">
      <c r="A315" t="s">
        <v>874</v>
      </c>
      <c r="B315">
        <v>5340385</v>
      </c>
      <c r="C315" t="s">
        <v>875</v>
      </c>
      <c r="D315">
        <v>784</v>
      </c>
      <c r="E315">
        <v>769</v>
      </c>
      <c r="F315">
        <v>15</v>
      </c>
      <c r="G315">
        <v>784</v>
      </c>
      <c r="H315">
        <v>769</v>
      </c>
      <c r="I315">
        <v>15</v>
      </c>
      <c r="J315">
        <v>714</v>
      </c>
      <c r="K315">
        <v>10</v>
      </c>
      <c r="L315">
        <v>9</v>
      </c>
      <c r="M315">
        <v>0</v>
      </c>
      <c r="N315">
        <v>0</v>
      </c>
      <c r="O315">
        <v>0</v>
      </c>
      <c r="P315">
        <v>16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</v>
      </c>
      <c r="X315">
        <v>30</v>
      </c>
      <c r="Y315">
        <v>0</v>
      </c>
    </row>
    <row r="316" spans="1:25" x14ac:dyDescent="0.25">
      <c r="A316" t="s">
        <v>876</v>
      </c>
      <c r="B316">
        <v>5340570</v>
      </c>
      <c r="C316" t="s">
        <v>877</v>
      </c>
      <c r="D316">
        <v>160</v>
      </c>
      <c r="E316">
        <v>160</v>
      </c>
      <c r="F316">
        <v>0</v>
      </c>
      <c r="G316">
        <v>160</v>
      </c>
      <c r="H316">
        <v>160</v>
      </c>
      <c r="I316">
        <v>0</v>
      </c>
      <c r="J316">
        <v>160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t="s">
        <v>878</v>
      </c>
      <c r="B317">
        <v>5340735</v>
      </c>
      <c r="C317" t="s">
        <v>879</v>
      </c>
      <c r="D317">
        <v>548</v>
      </c>
      <c r="E317">
        <v>478</v>
      </c>
      <c r="F317">
        <v>70</v>
      </c>
      <c r="G317">
        <v>548</v>
      </c>
      <c r="H317">
        <v>478</v>
      </c>
      <c r="I317">
        <v>70</v>
      </c>
      <c r="J317">
        <v>348</v>
      </c>
      <c r="K317">
        <v>0</v>
      </c>
      <c r="L317">
        <v>130</v>
      </c>
      <c r="M317">
        <v>64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880</v>
      </c>
      <c r="B318">
        <v>5340770</v>
      </c>
      <c r="C318" t="s">
        <v>881</v>
      </c>
      <c r="D318">
        <v>520</v>
      </c>
      <c r="E318">
        <v>504</v>
      </c>
      <c r="F318">
        <v>16</v>
      </c>
      <c r="G318">
        <v>520</v>
      </c>
      <c r="H318">
        <v>504</v>
      </c>
      <c r="I318">
        <v>16</v>
      </c>
      <c r="J318">
        <v>475</v>
      </c>
      <c r="K318">
        <v>0</v>
      </c>
      <c r="L318">
        <v>0</v>
      </c>
      <c r="M318">
        <v>16</v>
      </c>
      <c r="N318">
        <v>1</v>
      </c>
      <c r="O318">
        <v>0</v>
      </c>
      <c r="P318">
        <v>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21</v>
      </c>
      <c r="Y318">
        <v>0</v>
      </c>
    </row>
    <row r="319" spans="1:25" x14ac:dyDescent="0.25">
      <c r="A319" t="s">
        <v>882</v>
      </c>
      <c r="B319">
        <v>5340805</v>
      </c>
      <c r="C319" t="s">
        <v>883</v>
      </c>
      <c r="D319">
        <v>13452</v>
      </c>
      <c r="E319">
        <v>11729</v>
      </c>
      <c r="F319">
        <v>1723</v>
      </c>
      <c r="G319">
        <v>13452</v>
      </c>
      <c r="H319">
        <v>11729</v>
      </c>
      <c r="I319">
        <v>1723</v>
      </c>
      <c r="J319">
        <v>10755</v>
      </c>
      <c r="K319">
        <v>949</v>
      </c>
      <c r="L319">
        <v>336</v>
      </c>
      <c r="M319">
        <v>105</v>
      </c>
      <c r="N319">
        <v>12</v>
      </c>
      <c r="O319">
        <v>32</v>
      </c>
      <c r="P319">
        <v>18</v>
      </c>
      <c r="Q319">
        <v>0</v>
      </c>
      <c r="R319">
        <v>10</v>
      </c>
      <c r="S319">
        <v>362</v>
      </c>
      <c r="T319">
        <v>20</v>
      </c>
      <c r="U319">
        <v>0</v>
      </c>
      <c r="V319">
        <v>120</v>
      </c>
      <c r="W319">
        <v>229</v>
      </c>
      <c r="X319">
        <v>458</v>
      </c>
      <c r="Y319">
        <v>46</v>
      </c>
    </row>
    <row r="320" spans="1:25" x14ac:dyDescent="0.25">
      <c r="A320" t="s">
        <v>884</v>
      </c>
      <c r="B320">
        <v>5340840</v>
      </c>
      <c r="C320" t="s">
        <v>885</v>
      </c>
      <c r="D320">
        <v>37242</v>
      </c>
      <c r="E320">
        <v>26075</v>
      </c>
      <c r="F320">
        <v>11167</v>
      </c>
      <c r="G320">
        <v>37242</v>
      </c>
      <c r="H320">
        <v>26075</v>
      </c>
      <c r="I320">
        <v>11167</v>
      </c>
      <c r="J320">
        <v>18022</v>
      </c>
      <c r="K320">
        <v>2418</v>
      </c>
      <c r="L320">
        <v>1527</v>
      </c>
      <c r="M320">
        <v>1193</v>
      </c>
      <c r="N320">
        <v>1156</v>
      </c>
      <c r="O320">
        <v>1498</v>
      </c>
      <c r="P320">
        <v>157</v>
      </c>
      <c r="Q320">
        <v>3</v>
      </c>
      <c r="R320">
        <v>1604</v>
      </c>
      <c r="S320">
        <v>4767</v>
      </c>
      <c r="T320">
        <v>157</v>
      </c>
      <c r="U320">
        <v>68</v>
      </c>
      <c r="V320">
        <v>1066</v>
      </c>
      <c r="W320">
        <v>981</v>
      </c>
      <c r="X320">
        <v>2386</v>
      </c>
      <c r="Y320">
        <v>239</v>
      </c>
    </row>
    <row r="321" spans="1:25" x14ac:dyDescent="0.25">
      <c r="A321" t="s">
        <v>886</v>
      </c>
      <c r="B321">
        <v>5340980</v>
      </c>
      <c r="C321" t="s">
        <v>887</v>
      </c>
      <c r="D321">
        <v>2103</v>
      </c>
      <c r="E321">
        <v>1270</v>
      </c>
      <c r="F321">
        <v>833</v>
      </c>
      <c r="G321">
        <v>2103</v>
      </c>
      <c r="H321">
        <v>1270</v>
      </c>
      <c r="I321">
        <v>833</v>
      </c>
      <c r="J321">
        <v>116</v>
      </c>
      <c r="K321">
        <v>3</v>
      </c>
      <c r="L321">
        <v>1060</v>
      </c>
      <c r="M321">
        <v>706</v>
      </c>
      <c r="N321">
        <v>0</v>
      </c>
      <c r="O321">
        <v>0</v>
      </c>
      <c r="P321">
        <v>0</v>
      </c>
      <c r="Q321">
        <v>0</v>
      </c>
      <c r="R321">
        <v>19</v>
      </c>
      <c r="S321">
        <v>21</v>
      </c>
      <c r="T321">
        <v>0</v>
      </c>
      <c r="U321">
        <v>0</v>
      </c>
      <c r="V321">
        <v>71</v>
      </c>
      <c r="W321">
        <v>103</v>
      </c>
      <c r="X321">
        <v>4</v>
      </c>
      <c r="Y321">
        <v>0</v>
      </c>
    </row>
    <row r="322" spans="1:25" x14ac:dyDescent="0.25">
      <c r="A322" t="s">
        <v>888</v>
      </c>
      <c r="B322">
        <v>5341155</v>
      </c>
      <c r="C322" t="s">
        <v>889</v>
      </c>
      <c r="D322">
        <v>3337</v>
      </c>
      <c r="E322">
        <v>2887</v>
      </c>
      <c r="F322">
        <v>450</v>
      </c>
      <c r="G322">
        <v>3337</v>
      </c>
      <c r="H322">
        <v>2887</v>
      </c>
      <c r="I322">
        <v>450</v>
      </c>
      <c r="J322">
        <v>1497</v>
      </c>
      <c r="K322">
        <v>116</v>
      </c>
      <c r="L322">
        <v>520</v>
      </c>
      <c r="M322">
        <v>140</v>
      </c>
      <c r="N322">
        <v>360</v>
      </c>
      <c r="O322">
        <v>19</v>
      </c>
      <c r="P322">
        <v>37</v>
      </c>
      <c r="Q322">
        <v>0</v>
      </c>
      <c r="R322">
        <v>162</v>
      </c>
      <c r="S322">
        <v>67</v>
      </c>
      <c r="T322">
        <v>34</v>
      </c>
      <c r="U322">
        <v>52</v>
      </c>
      <c r="V322">
        <v>84</v>
      </c>
      <c r="W322">
        <v>22</v>
      </c>
      <c r="X322">
        <v>193</v>
      </c>
      <c r="Y322">
        <v>34</v>
      </c>
    </row>
    <row r="323" spans="1:25" x14ac:dyDescent="0.25">
      <c r="A323" t="s">
        <v>890</v>
      </c>
      <c r="B323">
        <v>5341225</v>
      </c>
      <c r="C323" t="s">
        <v>891</v>
      </c>
      <c r="D323">
        <v>2087</v>
      </c>
      <c r="E323">
        <v>2038</v>
      </c>
      <c r="F323">
        <v>49</v>
      </c>
      <c r="G323">
        <v>2087</v>
      </c>
      <c r="H323">
        <v>2038</v>
      </c>
      <c r="I323">
        <v>49</v>
      </c>
      <c r="J323">
        <v>1791</v>
      </c>
      <c r="K323">
        <v>34</v>
      </c>
      <c r="L323">
        <v>89</v>
      </c>
      <c r="M323">
        <v>0</v>
      </c>
      <c r="N323">
        <v>8</v>
      </c>
      <c r="O323">
        <v>0</v>
      </c>
      <c r="P323">
        <v>21</v>
      </c>
      <c r="Q323">
        <v>0</v>
      </c>
      <c r="R323">
        <v>0</v>
      </c>
      <c r="S323">
        <v>6</v>
      </c>
      <c r="T323">
        <v>0</v>
      </c>
      <c r="U323">
        <v>0</v>
      </c>
      <c r="V323">
        <v>19</v>
      </c>
      <c r="W323">
        <v>8</v>
      </c>
      <c r="X323">
        <v>110</v>
      </c>
      <c r="Y323">
        <v>1</v>
      </c>
    </row>
    <row r="324" spans="1:25" x14ac:dyDescent="0.25">
      <c r="A324" t="s">
        <v>892</v>
      </c>
      <c r="B324">
        <v>5341470</v>
      </c>
      <c r="C324" t="s">
        <v>893</v>
      </c>
      <c r="D324">
        <v>886</v>
      </c>
      <c r="E324">
        <v>840</v>
      </c>
      <c r="F324">
        <v>46</v>
      </c>
      <c r="G324">
        <v>886</v>
      </c>
      <c r="H324">
        <v>840</v>
      </c>
      <c r="I324">
        <v>46</v>
      </c>
      <c r="J324">
        <v>777</v>
      </c>
      <c r="K324">
        <v>20</v>
      </c>
      <c r="L324">
        <v>0</v>
      </c>
      <c r="M324">
        <v>8</v>
      </c>
      <c r="N324">
        <v>0</v>
      </c>
      <c r="O324">
        <v>0</v>
      </c>
      <c r="P324">
        <v>30</v>
      </c>
      <c r="Q324">
        <v>0</v>
      </c>
      <c r="R324">
        <v>0</v>
      </c>
      <c r="S324">
        <v>18</v>
      </c>
      <c r="T324">
        <v>0</v>
      </c>
      <c r="U324">
        <v>0</v>
      </c>
      <c r="V324">
        <v>27</v>
      </c>
      <c r="W324">
        <v>0</v>
      </c>
      <c r="X324">
        <v>6</v>
      </c>
      <c r="Y324">
        <v>0</v>
      </c>
    </row>
    <row r="325" spans="1:25" x14ac:dyDescent="0.25">
      <c r="A325" t="s">
        <v>894</v>
      </c>
      <c r="B325">
        <v>5341645</v>
      </c>
      <c r="C325" t="s">
        <v>895</v>
      </c>
      <c r="D325">
        <v>978</v>
      </c>
      <c r="E325">
        <v>963</v>
      </c>
      <c r="F325">
        <v>15</v>
      </c>
      <c r="G325">
        <v>978</v>
      </c>
      <c r="H325">
        <v>963</v>
      </c>
      <c r="I325">
        <v>15</v>
      </c>
      <c r="J325">
        <v>683</v>
      </c>
      <c r="K325">
        <v>15</v>
      </c>
      <c r="L325">
        <v>241</v>
      </c>
      <c r="M325">
        <v>0</v>
      </c>
      <c r="N325">
        <v>10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29</v>
      </c>
      <c r="Y325">
        <v>0</v>
      </c>
    </row>
    <row r="326" spans="1:25" x14ac:dyDescent="0.25">
      <c r="A326" t="s">
        <v>896</v>
      </c>
      <c r="B326">
        <v>5341785</v>
      </c>
      <c r="C326" t="s">
        <v>897</v>
      </c>
      <c r="D326">
        <v>1673</v>
      </c>
      <c r="E326">
        <v>1638</v>
      </c>
      <c r="F326">
        <v>35</v>
      </c>
      <c r="G326">
        <v>1673</v>
      </c>
      <c r="H326">
        <v>1638</v>
      </c>
      <c r="I326">
        <v>35</v>
      </c>
      <c r="J326">
        <v>1476</v>
      </c>
      <c r="K326">
        <v>17</v>
      </c>
      <c r="L326">
        <v>36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26</v>
      </c>
      <c r="S326">
        <v>9</v>
      </c>
      <c r="T326">
        <v>0</v>
      </c>
      <c r="U326">
        <v>0</v>
      </c>
      <c r="V326">
        <v>0</v>
      </c>
      <c r="W326">
        <v>0</v>
      </c>
      <c r="X326">
        <v>100</v>
      </c>
      <c r="Y326">
        <v>9</v>
      </c>
    </row>
    <row r="327" spans="1:25" x14ac:dyDescent="0.25">
      <c r="A327" t="s">
        <v>898</v>
      </c>
      <c r="B327">
        <v>5342275</v>
      </c>
      <c r="C327" t="s">
        <v>899</v>
      </c>
      <c r="D327">
        <v>197</v>
      </c>
      <c r="E327">
        <v>196</v>
      </c>
      <c r="F327">
        <v>1</v>
      </c>
      <c r="G327">
        <v>197</v>
      </c>
      <c r="H327">
        <v>196</v>
      </c>
      <c r="I327">
        <v>1</v>
      </c>
      <c r="J327">
        <v>192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t="s">
        <v>900</v>
      </c>
      <c r="B328">
        <v>5342310</v>
      </c>
      <c r="C328" t="s">
        <v>901</v>
      </c>
      <c r="D328">
        <v>72</v>
      </c>
      <c r="E328">
        <v>62</v>
      </c>
      <c r="F328">
        <v>10</v>
      </c>
      <c r="G328">
        <v>72</v>
      </c>
      <c r="H328">
        <v>62</v>
      </c>
      <c r="I328">
        <v>10</v>
      </c>
      <c r="J328">
        <v>16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46</v>
      </c>
      <c r="S328">
        <v>10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t="s">
        <v>902</v>
      </c>
      <c r="B329">
        <v>5342345</v>
      </c>
      <c r="C329" t="s">
        <v>903</v>
      </c>
      <c r="D329">
        <v>543</v>
      </c>
      <c r="E329">
        <v>534</v>
      </c>
      <c r="F329">
        <v>9</v>
      </c>
      <c r="G329">
        <v>543</v>
      </c>
      <c r="H329">
        <v>534</v>
      </c>
      <c r="I329">
        <v>9</v>
      </c>
      <c r="J329">
        <v>510</v>
      </c>
      <c r="K329">
        <v>9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24</v>
      </c>
      <c r="Y329">
        <v>0</v>
      </c>
    </row>
    <row r="330" spans="1:25" x14ac:dyDescent="0.25">
      <c r="A330" t="s">
        <v>904</v>
      </c>
      <c r="B330">
        <v>5342380</v>
      </c>
      <c r="C330" t="s">
        <v>905</v>
      </c>
      <c r="D330">
        <v>592</v>
      </c>
      <c r="E330">
        <v>364</v>
      </c>
      <c r="F330">
        <v>228</v>
      </c>
      <c r="G330">
        <v>592</v>
      </c>
      <c r="H330">
        <v>364</v>
      </c>
      <c r="I330">
        <v>228</v>
      </c>
      <c r="J330">
        <v>170</v>
      </c>
      <c r="K330">
        <v>27</v>
      </c>
      <c r="L330">
        <v>123</v>
      </c>
      <c r="M330">
        <v>80</v>
      </c>
      <c r="N330">
        <v>12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57</v>
      </c>
      <c r="W330">
        <v>121</v>
      </c>
      <c r="X330">
        <v>2</v>
      </c>
      <c r="Y330">
        <v>0</v>
      </c>
    </row>
    <row r="331" spans="1:25" x14ac:dyDescent="0.25">
      <c r="A331" t="s">
        <v>906</v>
      </c>
      <c r="B331">
        <v>5342415</v>
      </c>
      <c r="C331" t="s">
        <v>907</v>
      </c>
      <c r="D331">
        <v>11443</v>
      </c>
      <c r="E331">
        <v>10317</v>
      </c>
      <c r="F331">
        <v>1126</v>
      </c>
      <c r="G331">
        <v>11443</v>
      </c>
      <c r="H331">
        <v>10317</v>
      </c>
      <c r="I331">
        <v>1126</v>
      </c>
      <c r="J331">
        <v>9409</v>
      </c>
      <c r="K331">
        <v>587</v>
      </c>
      <c r="L331">
        <v>147</v>
      </c>
      <c r="M331">
        <v>67</v>
      </c>
      <c r="N331">
        <v>2</v>
      </c>
      <c r="O331">
        <v>0</v>
      </c>
      <c r="P331">
        <v>45</v>
      </c>
      <c r="Q331">
        <v>20</v>
      </c>
      <c r="R331">
        <v>213</v>
      </c>
      <c r="S331">
        <v>359</v>
      </c>
      <c r="T331">
        <v>0</v>
      </c>
      <c r="U331">
        <v>4</v>
      </c>
      <c r="V331">
        <v>51</v>
      </c>
      <c r="W331">
        <v>89</v>
      </c>
      <c r="X331">
        <v>450</v>
      </c>
      <c r="Y331">
        <v>0</v>
      </c>
    </row>
    <row r="332" spans="1:25" x14ac:dyDescent="0.25">
      <c r="A332" t="s">
        <v>908</v>
      </c>
      <c r="B332">
        <v>5342450</v>
      </c>
      <c r="C332" t="s">
        <v>909</v>
      </c>
      <c r="D332">
        <v>5447</v>
      </c>
      <c r="E332">
        <v>4915</v>
      </c>
      <c r="F332">
        <v>532</v>
      </c>
      <c r="G332">
        <v>5447</v>
      </c>
      <c r="H332">
        <v>4915</v>
      </c>
      <c r="I332">
        <v>532</v>
      </c>
      <c r="J332">
        <v>3989</v>
      </c>
      <c r="K332">
        <v>158</v>
      </c>
      <c r="L332">
        <v>227</v>
      </c>
      <c r="M332">
        <v>15</v>
      </c>
      <c r="N332">
        <v>15</v>
      </c>
      <c r="O332">
        <v>16</v>
      </c>
      <c r="P332">
        <v>82</v>
      </c>
      <c r="Q332">
        <v>19</v>
      </c>
      <c r="R332">
        <v>134</v>
      </c>
      <c r="S332">
        <v>198</v>
      </c>
      <c r="T332">
        <v>50</v>
      </c>
      <c r="U332">
        <v>24</v>
      </c>
      <c r="V332">
        <v>67</v>
      </c>
      <c r="W332">
        <v>52</v>
      </c>
      <c r="X332">
        <v>351</v>
      </c>
      <c r="Y332">
        <v>50</v>
      </c>
    </row>
    <row r="333" spans="1:25" x14ac:dyDescent="0.25">
      <c r="A333" t="s">
        <v>910</v>
      </c>
      <c r="B333">
        <v>5342800</v>
      </c>
      <c r="C333" t="s">
        <v>911</v>
      </c>
      <c r="D333">
        <v>327</v>
      </c>
      <c r="E333">
        <v>325</v>
      </c>
      <c r="F333">
        <v>2</v>
      </c>
      <c r="G333">
        <v>327</v>
      </c>
      <c r="H333">
        <v>325</v>
      </c>
      <c r="I333">
        <v>2</v>
      </c>
      <c r="J333">
        <v>317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4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4</v>
      </c>
      <c r="Y333">
        <v>0</v>
      </c>
    </row>
    <row r="334" spans="1:25" x14ac:dyDescent="0.25">
      <c r="A334" t="s">
        <v>912</v>
      </c>
      <c r="B334">
        <v>5342835</v>
      </c>
      <c r="C334" t="s">
        <v>913</v>
      </c>
      <c r="D334">
        <v>1532</v>
      </c>
      <c r="E334">
        <v>1339</v>
      </c>
      <c r="F334">
        <v>193</v>
      </c>
      <c r="G334">
        <v>1532</v>
      </c>
      <c r="H334">
        <v>1339</v>
      </c>
      <c r="I334">
        <v>193</v>
      </c>
      <c r="J334">
        <v>656</v>
      </c>
      <c r="K334">
        <v>7</v>
      </c>
      <c r="L334">
        <v>266</v>
      </c>
      <c r="M334">
        <v>174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32</v>
      </c>
      <c r="U334">
        <v>0</v>
      </c>
      <c r="V334">
        <v>23</v>
      </c>
      <c r="W334">
        <v>12</v>
      </c>
      <c r="X334">
        <v>362</v>
      </c>
      <c r="Y334">
        <v>0</v>
      </c>
    </row>
    <row r="335" spans="1:25" x14ac:dyDescent="0.25">
      <c r="A335" t="s">
        <v>914</v>
      </c>
      <c r="B335">
        <v>5343010</v>
      </c>
      <c r="C335" t="s">
        <v>915</v>
      </c>
      <c r="D335">
        <v>76</v>
      </c>
      <c r="E335">
        <v>28</v>
      </c>
      <c r="F335">
        <v>48</v>
      </c>
      <c r="G335">
        <v>76</v>
      </c>
      <c r="H335">
        <v>28</v>
      </c>
      <c r="I335">
        <v>48</v>
      </c>
      <c r="J335">
        <v>28</v>
      </c>
      <c r="K335">
        <v>48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 t="s">
        <v>916</v>
      </c>
      <c r="B336">
        <v>5343062</v>
      </c>
      <c r="C336" t="s">
        <v>917</v>
      </c>
      <c r="D336">
        <v>3442</v>
      </c>
      <c r="E336">
        <v>3026</v>
      </c>
      <c r="F336">
        <v>416</v>
      </c>
      <c r="G336">
        <v>3442</v>
      </c>
      <c r="H336">
        <v>3026</v>
      </c>
      <c r="I336">
        <v>416</v>
      </c>
      <c r="J336">
        <v>2609</v>
      </c>
      <c r="K336">
        <v>97</v>
      </c>
      <c r="L336">
        <v>0</v>
      </c>
      <c r="M336">
        <v>0</v>
      </c>
      <c r="N336">
        <v>117</v>
      </c>
      <c r="O336">
        <v>13</v>
      </c>
      <c r="P336">
        <v>0</v>
      </c>
      <c r="Q336">
        <v>0</v>
      </c>
      <c r="R336">
        <v>141</v>
      </c>
      <c r="S336">
        <v>266</v>
      </c>
      <c r="T336">
        <v>0</v>
      </c>
      <c r="U336">
        <v>0</v>
      </c>
      <c r="V336">
        <v>0</v>
      </c>
      <c r="W336">
        <v>40</v>
      </c>
      <c r="X336">
        <v>159</v>
      </c>
      <c r="Y336">
        <v>0</v>
      </c>
    </row>
    <row r="337" spans="1:25" x14ac:dyDescent="0.25">
      <c r="A337" t="s">
        <v>918</v>
      </c>
      <c r="B337">
        <v>5343150</v>
      </c>
      <c r="C337" t="s">
        <v>919</v>
      </c>
      <c r="D337">
        <v>25375</v>
      </c>
      <c r="E337">
        <v>23385</v>
      </c>
      <c r="F337">
        <v>1990</v>
      </c>
      <c r="G337">
        <v>25375</v>
      </c>
      <c r="H337">
        <v>23385</v>
      </c>
      <c r="I337">
        <v>1990</v>
      </c>
      <c r="J337">
        <v>19491</v>
      </c>
      <c r="K337">
        <v>662</v>
      </c>
      <c r="L337">
        <v>707</v>
      </c>
      <c r="M337">
        <v>171</v>
      </c>
      <c r="N337">
        <v>363</v>
      </c>
      <c r="O337">
        <v>43</v>
      </c>
      <c r="P337">
        <v>133</v>
      </c>
      <c r="Q337">
        <v>15</v>
      </c>
      <c r="R337">
        <v>622</v>
      </c>
      <c r="S337">
        <v>797</v>
      </c>
      <c r="T337">
        <v>15</v>
      </c>
      <c r="U337">
        <v>13</v>
      </c>
      <c r="V337">
        <v>193</v>
      </c>
      <c r="W337">
        <v>148</v>
      </c>
      <c r="X337">
        <v>1861</v>
      </c>
      <c r="Y337">
        <v>141</v>
      </c>
    </row>
    <row r="338" spans="1:25" x14ac:dyDescent="0.25">
      <c r="A338" t="s">
        <v>920</v>
      </c>
      <c r="B338">
        <v>5343255</v>
      </c>
      <c r="C338" t="s">
        <v>921</v>
      </c>
      <c r="D338">
        <v>5340</v>
      </c>
      <c r="E338">
        <v>4943</v>
      </c>
      <c r="F338">
        <v>397</v>
      </c>
      <c r="G338">
        <v>5340</v>
      </c>
      <c r="H338">
        <v>4943</v>
      </c>
      <c r="I338">
        <v>397</v>
      </c>
      <c r="J338">
        <v>4559</v>
      </c>
      <c r="K338">
        <v>248</v>
      </c>
      <c r="L338">
        <v>29</v>
      </c>
      <c r="M338">
        <v>1</v>
      </c>
      <c r="N338">
        <v>86</v>
      </c>
      <c r="O338">
        <v>18</v>
      </c>
      <c r="P338">
        <v>0</v>
      </c>
      <c r="Q338">
        <v>0</v>
      </c>
      <c r="R338">
        <v>128</v>
      </c>
      <c r="S338">
        <v>121</v>
      </c>
      <c r="T338">
        <v>0</v>
      </c>
      <c r="U338">
        <v>0</v>
      </c>
      <c r="V338">
        <v>9</v>
      </c>
      <c r="W338">
        <v>0</v>
      </c>
      <c r="X338">
        <v>132</v>
      </c>
      <c r="Y338">
        <v>9</v>
      </c>
    </row>
    <row r="339" spans="1:25" x14ac:dyDescent="0.25">
      <c r="A339" t="s">
        <v>922</v>
      </c>
      <c r="B339">
        <v>5343325</v>
      </c>
      <c r="C339" t="s">
        <v>923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5">
      <c r="A340" t="s">
        <v>924</v>
      </c>
      <c r="B340">
        <v>5343395</v>
      </c>
      <c r="C340" t="s">
        <v>925</v>
      </c>
      <c r="D340">
        <v>189</v>
      </c>
      <c r="E340">
        <v>187</v>
      </c>
      <c r="F340">
        <v>2</v>
      </c>
      <c r="G340">
        <v>189</v>
      </c>
      <c r="H340">
        <v>187</v>
      </c>
      <c r="I340">
        <v>2</v>
      </c>
      <c r="J340">
        <v>160</v>
      </c>
      <c r="K340">
        <v>0</v>
      </c>
      <c r="L340">
        <v>7</v>
      </c>
      <c r="M340">
        <v>0</v>
      </c>
      <c r="N340">
        <v>0</v>
      </c>
      <c r="O340">
        <v>0</v>
      </c>
      <c r="P340">
        <v>2</v>
      </c>
      <c r="Q340">
        <v>0</v>
      </c>
      <c r="R340">
        <v>0</v>
      </c>
      <c r="S340">
        <v>2</v>
      </c>
      <c r="T340">
        <v>0</v>
      </c>
      <c r="U340">
        <v>0</v>
      </c>
      <c r="V340">
        <v>0</v>
      </c>
      <c r="W340">
        <v>0</v>
      </c>
      <c r="X340">
        <v>18</v>
      </c>
      <c r="Y340">
        <v>0</v>
      </c>
    </row>
    <row r="341" spans="1:25" x14ac:dyDescent="0.25">
      <c r="A341" t="s">
        <v>926</v>
      </c>
      <c r="B341">
        <v>5343491</v>
      </c>
      <c r="C341" t="s">
        <v>927</v>
      </c>
      <c r="D341">
        <v>4495</v>
      </c>
      <c r="E341">
        <v>4006</v>
      </c>
      <c r="F341">
        <v>489</v>
      </c>
      <c r="G341">
        <v>4495</v>
      </c>
      <c r="H341">
        <v>4006</v>
      </c>
      <c r="I341">
        <v>489</v>
      </c>
      <c r="J341">
        <v>3764</v>
      </c>
      <c r="K341">
        <v>171</v>
      </c>
      <c r="L341">
        <v>24</v>
      </c>
      <c r="M341">
        <v>0</v>
      </c>
      <c r="N341">
        <v>5</v>
      </c>
      <c r="O341">
        <v>0</v>
      </c>
      <c r="P341">
        <v>65</v>
      </c>
      <c r="Q341">
        <v>0</v>
      </c>
      <c r="R341">
        <v>0</v>
      </c>
      <c r="S341">
        <v>264</v>
      </c>
      <c r="T341">
        <v>39</v>
      </c>
      <c r="U341">
        <v>0</v>
      </c>
      <c r="V341">
        <v>84</v>
      </c>
      <c r="W341">
        <v>48</v>
      </c>
      <c r="X341">
        <v>25</v>
      </c>
      <c r="Y341">
        <v>6</v>
      </c>
    </row>
    <row r="342" spans="1:25" x14ac:dyDescent="0.25">
      <c r="A342" t="s">
        <v>928</v>
      </c>
      <c r="B342">
        <v>5343640</v>
      </c>
      <c r="C342" t="s">
        <v>929</v>
      </c>
      <c r="D342">
        <v>238</v>
      </c>
      <c r="E342">
        <v>238</v>
      </c>
      <c r="F342">
        <v>0</v>
      </c>
      <c r="G342">
        <v>238</v>
      </c>
      <c r="H342">
        <v>238</v>
      </c>
      <c r="I342">
        <v>0</v>
      </c>
      <c r="J342">
        <v>238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 t="s">
        <v>930</v>
      </c>
      <c r="B343">
        <v>5343762</v>
      </c>
      <c r="C343" t="s">
        <v>931</v>
      </c>
      <c r="D343">
        <v>1084</v>
      </c>
      <c r="E343">
        <v>1015</v>
      </c>
      <c r="F343">
        <v>69</v>
      </c>
      <c r="G343">
        <v>1084</v>
      </c>
      <c r="H343">
        <v>1015</v>
      </c>
      <c r="I343">
        <v>69</v>
      </c>
      <c r="J343">
        <v>970</v>
      </c>
      <c r="K343">
        <v>69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7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38</v>
      </c>
      <c r="Y343">
        <v>0</v>
      </c>
    </row>
    <row r="344" spans="1:25" x14ac:dyDescent="0.25">
      <c r="A344" t="s">
        <v>932</v>
      </c>
      <c r="B344">
        <v>5343815</v>
      </c>
      <c r="C344" t="s">
        <v>933</v>
      </c>
      <c r="D344">
        <v>18566</v>
      </c>
      <c r="E344">
        <v>14334</v>
      </c>
      <c r="F344">
        <v>4232</v>
      </c>
      <c r="G344">
        <v>18566</v>
      </c>
      <c r="H344">
        <v>14334</v>
      </c>
      <c r="I344">
        <v>4232</v>
      </c>
      <c r="J344">
        <v>10753</v>
      </c>
      <c r="K344">
        <v>1282</v>
      </c>
      <c r="L344">
        <v>760</v>
      </c>
      <c r="M344">
        <v>279</v>
      </c>
      <c r="N344">
        <v>640</v>
      </c>
      <c r="O344">
        <v>232</v>
      </c>
      <c r="P344">
        <v>174</v>
      </c>
      <c r="Q344">
        <v>31</v>
      </c>
      <c r="R344">
        <v>736</v>
      </c>
      <c r="S344">
        <v>2010</v>
      </c>
      <c r="T344">
        <v>9</v>
      </c>
      <c r="U344">
        <v>184</v>
      </c>
      <c r="V344">
        <v>131</v>
      </c>
      <c r="W344">
        <v>78</v>
      </c>
      <c r="X344">
        <v>1131</v>
      </c>
      <c r="Y344">
        <v>136</v>
      </c>
    </row>
    <row r="345" spans="1:25" x14ac:dyDescent="0.25">
      <c r="A345" t="s">
        <v>934</v>
      </c>
      <c r="B345">
        <v>5343885</v>
      </c>
      <c r="C345" t="s">
        <v>935</v>
      </c>
      <c r="D345">
        <v>73</v>
      </c>
      <c r="E345">
        <v>17</v>
      </c>
      <c r="F345">
        <v>56</v>
      </c>
      <c r="G345">
        <v>73</v>
      </c>
      <c r="H345">
        <v>17</v>
      </c>
      <c r="I345">
        <v>56</v>
      </c>
      <c r="J345">
        <v>0</v>
      </c>
      <c r="K345">
        <v>0</v>
      </c>
      <c r="L345">
        <v>17</v>
      </c>
      <c r="M345">
        <v>56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 t="s">
        <v>936</v>
      </c>
      <c r="B346">
        <v>5343955</v>
      </c>
      <c r="C346" t="s">
        <v>937</v>
      </c>
      <c r="D346">
        <v>66178</v>
      </c>
      <c r="E346">
        <v>57746</v>
      </c>
      <c r="F346">
        <v>8432</v>
      </c>
      <c r="G346">
        <v>66178</v>
      </c>
      <c r="H346">
        <v>57746</v>
      </c>
      <c r="I346">
        <v>8432</v>
      </c>
      <c r="J346">
        <v>47082</v>
      </c>
      <c r="K346">
        <v>2427</v>
      </c>
      <c r="L346">
        <v>3531</v>
      </c>
      <c r="M346">
        <v>1335</v>
      </c>
      <c r="N346">
        <v>565</v>
      </c>
      <c r="O346">
        <v>90</v>
      </c>
      <c r="P346">
        <v>547</v>
      </c>
      <c r="Q346">
        <v>8</v>
      </c>
      <c r="R346">
        <v>1229</v>
      </c>
      <c r="S346">
        <v>3497</v>
      </c>
      <c r="T346">
        <v>169</v>
      </c>
      <c r="U346">
        <v>206</v>
      </c>
      <c r="V346">
        <v>1191</v>
      </c>
      <c r="W346">
        <v>622</v>
      </c>
      <c r="X346">
        <v>3432</v>
      </c>
      <c r="Y346">
        <v>247</v>
      </c>
    </row>
    <row r="347" spans="1:25" x14ac:dyDescent="0.25">
      <c r="A347" t="s">
        <v>938</v>
      </c>
      <c r="B347">
        <v>5344165</v>
      </c>
      <c r="C347" t="s">
        <v>939</v>
      </c>
      <c r="D347">
        <v>4522</v>
      </c>
      <c r="E347">
        <v>1940</v>
      </c>
      <c r="F347">
        <v>2582</v>
      </c>
      <c r="G347">
        <v>4522</v>
      </c>
      <c r="H347">
        <v>1940</v>
      </c>
      <c r="I347">
        <v>2582</v>
      </c>
      <c r="J347">
        <v>29</v>
      </c>
      <c r="K347">
        <v>36</v>
      </c>
      <c r="L347">
        <v>757</v>
      </c>
      <c r="M347">
        <v>1047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12</v>
      </c>
      <c r="T347">
        <v>0</v>
      </c>
      <c r="U347">
        <v>0</v>
      </c>
      <c r="V347">
        <v>1122</v>
      </c>
      <c r="W347">
        <v>1437</v>
      </c>
      <c r="X347">
        <v>32</v>
      </c>
      <c r="Y347">
        <v>50</v>
      </c>
    </row>
    <row r="348" spans="1:25" x14ac:dyDescent="0.25">
      <c r="A348" t="s">
        <v>940</v>
      </c>
      <c r="B348">
        <v>5344260</v>
      </c>
      <c r="C348" t="s">
        <v>941</v>
      </c>
      <c r="D348">
        <v>663</v>
      </c>
      <c r="E348">
        <v>661</v>
      </c>
      <c r="F348">
        <v>2</v>
      </c>
      <c r="G348">
        <v>663</v>
      </c>
      <c r="H348">
        <v>661</v>
      </c>
      <c r="I348">
        <v>2</v>
      </c>
      <c r="J348">
        <v>572</v>
      </c>
      <c r="K348">
        <v>0</v>
      </c>
      <c r="L348">
        <v>31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0</v>
      </c>
      <c r="V348">
        <v>0</v>
      </c>
      <c r="W348">
        <v>0</v>
      </c>
      <c r="X348">
        <v>58</v>
      </c>
      <c r="Y348">
        <v>0</v>
      </c>
    </row>
    <row r="349" spans="1:25" x14ac:dyDescent="0.25">
      <c r="A349" t="s">
        <v>942</v>
      </c>
      <c r="B349">
        <v>5344480</v>
      </c>
      <c r="C349" t="s">
        <v>943</v>
      </c>
      <c r="D349">
        <v>6859</v>
      </c>
      <c r="E349">
        <v>6495</v>
      </c>
      <c r="F349">
        <v>364</v>
      </c>
      <c r="G349">
        <v>6859</v>
      </c>
      <c r="H349">
        <v>6495</v>
      </c>
      <c r="I349">
        <v>364</v>
      </c>
      <c r="J349">
        <v>6316</v>
      </c>
      <c r="K349">
        <v>230</v>
      </c>
      <c r="L349">
        <v>111</v>
      </c>
      <c r="M349">
        <v>0</v>
      </c>
      <c r="N349">
        <v>0</v>
      </c>
      <c r="O349">
        <v>6</v>
      </c>
      <c r="P349">
        <v>6</v>
      </c>
      <c r="Q349">
        <v>0</v>
      </c>
      <c r="R349">
        <v>12</v>
      </c>
      <c r="S349">
        <v>0</v>
      </c>
      <c r="T349">
        <v>0</v>
      </c>
      <c r="U349">
        <v>0</v>
      </c>
      <c r="V349">
        <v>9</v>
      </c>
      <c r="W349">
        <v>41</v>
      </c>
      <c r="X349">
        <v>41</v>
      </c>
      <c r="Y349">
        <v>87</v>
      </c>
    </row>
    <row r="350" spans="1:25" x14ac:dyDescent="0.25">
      <c r="A350" t="s">
        <v>944</v>
      </c>
      <c r="B350">
        <v>5344585</v>
      </c>
      <c r="C350" t="s">
        <v>945</v>
      </c>
      <c r="D350">
        <v>3049</v>
      </c>
      <c r="E350">
        <v>2635</v>
      </c>
      <c r="F350">
        <v>414</v>
      </c>
      <c r="G350">
        <v>3049</v>
      </c>
      <c r="H350">
        <v>2635</v>
      </c>
      <c r="I350">
        <v>414</v>
      </c>
      <c r="J350">
        <v>2108</v>
      </c>
      <c r="K350">
        <v>130</v>
      </c>
      <c r="L350">
        <v>142</v>
      </c>
      <c r="M350">
        <v>17</v>
      </c>
      <c r="N350">
        <v>111</v>
      </c>
      <c r="O350">
        <v>38</v>
      </c>
      <c r="P350">
        <v>5</v>
      </c>
      <c r="Q350">
        <v>0</v>
      </c>
      <c r="R350">
        <v>91</v>
      </c>
      <c r="S350">
        <v>171</v>
      </c>
      <c r="T350">
        <v>20</v>
      </c>
      <c r="U350">
        <v>12</v>
      </c>
      <c r="V350">
        <v>15</v>
      </c>
      <c r="W350">
        <v>1</v>
      </c>
      <c r="X350">
        <v>143</v>
      </c>
      <c r="Y350">
        <v>45</v>
      </c>
    </row>
    <row r="351" spans="1:25" x14ac:dyDescent="0.25">
      <c r="A351" t="s">
        <v>946</v>
      </c>
      <c r="B351">
        <v>5344620</v>
      </c>
      <c r="C351" t="s">
        <v>947</v>
      </c>
      <c r="D351">
        <v>2895</v>
      </c>
      <c r="E351">
        <v>2714</v>
      </c>
      <c r="F351">
        <v>181</v>
      </c>
      <c r="G351">
        <v>2895</v>
      </c>
      <c r="H351">
        <v>2714</v>
      </c>
      <c r="I351">
        <v>181</v>
      </c>
      <c r="J351">
        <v>2494</v>
      </c>
      <c r="K351">
        <v>122</v>
      </c>
      <c r="L351">
        <v>57</v>
      </c>
      <c r="M351">
        <v>0</v>
      </c>
      <c r="N351">
        <v>0</v>
      </c>
      <c r="O351">
        <v>11</v>
      </c>
      <c r="P351">
        <v>17</v>
      </c>
      <c r="Q351">
        <v>0</v>
      </c>
      <c r="R351">
        <v>10</v>
      </c>
      <c r="S351">
        <v>48</v>
      </c>
      <c r="T351">
        <v>0</v>
      </c>
      <c r="U351">
        <v>0</v>
      </c>
      <c r="V351">
        <v>17</v>
      </c>
      <c r="W351">
        <v>0</v>
      </c>
      <c r="X351">
        <v>119</v>
      </c>
      <c r="Y351">
        <v>0</v>
      </c>
    </row>
    <row r="352" spans="1:25" x14ac:dyDescent="0.25">
      <c r="A352" t="s">
        <v>948</v>
      </c>
      <c r="B352">
        <v>5344690</v>
      </c>
      <c r="C352" t="s">
        <v>949</v>
      </c>
      <c r="D352">
        <v>4923</v>
      </c>
      <c r="E352">
        <v>4488</v>
      </c>
      <c r="F352">
        <v>435</v>
      </c>
      <c r="G352">
        <v>4923</v>
      </c>
      <c r="H352">
        <v>4488</v>
      </c>
      <c r="I352">
        <v>435</v>
      </c>
      <c r="J352">
        <v>4008</v>
      </c>
      <c r="K352">
        <v>49</v>
      </c>
      <c r="L352">
        <v>71</v>
      </c>
      <c r="M352">
        <v>61</v>
      </c>
      <c r="N352">
        <v>12</v>
      </c>
      <c r="O352">
        <v>0</v>
      </c>
      <c r="P352">
        <v>30</v>
      </c>
      <c r="Q352">
        <v>0</v>
      </c>
      <c r="R352">
        <v>3</v>
      </c>
      <c r="S352">
        <v>153</v>
      </c>
      <c r="T352">
        <v>0</v>
      </c>
      <c r="U352">
        <v>0</v>
      </c>
      <c r="V352">
        <v>26</v>
      </c>
      <c r="W352">
        <v>0</v>
      </c>
      <c r="X352">
        <v>338</v>
      </c>
      <c r="Y352">
        <v>172</v>
      </c>
    </row>
    <row r="353" spans="1:25" x14ac:dyDescent="0.25">
      <c r="A353" t="s">
        <v>950</v>
      </c>
      <c r="B353">
        <v>5344725</v>
      </c>
      <c r="C353" t="s">
        <v>951</v>
      </c>
      <c r="D353">
        <v>3217</v>
      </c>
      <c r="E353">
        <v>2473</v>
      </c>
      <c r="F353">
        <v>744</v>
      </c>
      <c r="G353">
        <v>3217</v>
      </c>
      <c r="H353">
        <v>2473</v>
      </c>
      <c r="I353">
        <v>744</v>
      </c>
      <c r="J353">
        <v>2024</v>
      </c>
      <c r="K353">
        <v>232</v>
      </c>
      <c r="L353">
        <v>56</v>
      </c>
      <c r="M353">
        <v>40</v>
      </c>
      <c r="N353">
        <v>20</v>
      </c>
      <c r="O353">
        <v>0</v>
      </c>
      <c r="P353">
        <v>0</v>
      </c>
      <c r="Q353">
        <v>0</v>
      </c>
      <c r="R353">
        <v>215</v>
      </c>
      <c r="S353">
        <v>420</v>
      </c>
      <c r="T353">
        <v>0</v>
      </c>
      <c r="U353">
        <v>0</v>
      </c>
      <c r="V353">
        <v>3</v>
      </c>
      <c r="W353">
        <v>15</v>
      </c>
      <c r="X353">
        <v>155</v>
      </c>
      <c r="Y353">
        <v>37</v>
      </c>
    </row>
    <row r="354" spans="1:25" x14ac:dyDescent="0.25">
      <c r="A354" t="s">
        <v>952</v>
      </c>
      <c r="B354">
        <v>5345005</v>
      </c>
      <c r="C354" t="s">
        <v>953</v>
      </c>
      <c r="D354">
        <v>24768</v>
      </c>
      <c r="E354">
        <v>19722</v>
      </c>
      <c r="F354">
        <v>5046</v>
      </c>
      <c r="G354">
        <v>24768</v>
      </c>
      <c r="H354">
        <v>19722</v>
      </c>
      <c r="I354">
        <v>5046</v>
      </c>
      <c r="J354">
        <v>15937</v>
      </c>
      <c r="K354">
        <v>1988</v>
      </c>
      <c r="L354">
        <v>302</v>
      </c>
      <c r="M354">
        <v>327</v>
      </c>
      <c r="N354">
        <v>296</v>
      </c>
      <c r="O354">
        <v>151</v>
      </c>
      <c r="P354">
        <v>8</v>
      </c>
      <c r="Q354">
        <v>0</v>
      </c>
      <c r="R354">
        <v>2258</v>
      </c>
      <c r="S354">
        <v>2425</v>
      </c>
      <c r="T354">
        <v>17</v>
      </c>
      <c r="U354">
        <v>0</v>
      </c>
      <c r="V354">
        <v>112</v>
      </c>
      <c r="W354">
        <v>40</v>
      </c>
      <c r="X354">
        <v>792</v>
      </c>
      <c r="Y354">
        <v>115</v>
      </c>
    </row>
    <row r="355" spans="1:25" x14ac:dyDescent="0.25">
      <c r="A355" t="s">
        <v>954</v>
      </c>
      <c r="B355">
        <v>5345180</v>
      </c>
      <c r="C355" t="s">
        <v>955</v>
      </c>
      <c r="D355">
        <v>424</v>
      </c>
      <c r="E355">
        <v>239</v>
      </c>
      <c r="F355">
        <v>185</v>
      </c>
      <c r="G355">
        <v>424</v>
      </c>
      <c r="H355">
        <v>239</v>
      </c>
      <c r="I355">
        <v>185</v>
      </c>
      <c r="J355">
        <v>95</v>
      </c>
      <c r="K355">
        <v>0</v>
      </c>
      <c r="L355">
        <v>52</v>
      </c>
      <c r="M355">
        <v>109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62</v>
      </c>
      <c r="W355">
        <v>67</v>
      </c>
      <c r="X355">
        <v>30</v>
      </c>
      <c r="Y355">
        <v>9</v>
      </c>
    </row>
    <row r="356" spans="1:25" x14ac:dyDescent="0.25">
      <c r="A356" t="s">
        <v>956</v>
      </c>
      <c r="B356">
        <v>5345285</v>
      </c>
      <c r="C356" t="s">
        <v>957</v>
      </c>
      <c r="D356">
        <v>196</v>
      </c>
      <c r="E356">
        <v>190</v>
      </c>
      <c r="F356">
        <v>6</v>
      </c>
      <c r="G356">
        <v>196</v>
      </c>
      <c r="H356">
        <v>190</v>
      </c>
      <c r="I356">
        <v>6</v>
      </c>
      <c r="J356">
        <v>174</v>
      </c>
      <c r="K356">
        <v>6</v>
      </c>
      <c r="L356">
        <v>6</v>
      </c>
      <c r="M356">
        <v>0</v>
      </c>
      <c r="N356">
        <v>0</v>
      </c>
      <c r="O356">
        <v>0</v>
      </c>
      <c r="P356">
        <v>4</v>
      </c>
      <c r="Q356">
        <v>0</v>
      </c>
      <c r="R356">
        <v>0</v>
      </c>
      <c r="S356">
        <v>0</v>
      </c>
      <c r="T356">
        <v>3</v>
      </c>
      <c r="U356">
        <v>0</v>
      </c>
      <c r="V356">
        <v>0</v>
      </c>
      <c r="W356">
        <v>0</v>
      </c>
      <c r="X356">
        <v>3</v>
      </c>
      <c r="Y356">
        <v>0</v>
      </c>
    </row>
    <row r="357" spans="1:25" x14ac:dyDescent="0.25">
      <c r="A357" t="s">
        <v>958</v>
      </c>
      <c r="B357">
        <v>5345320</v>
      </c>
      <c r="C357" t="s">
        <v>959</v>
      </c>
      <c r="D357">
        <v>180</v>
      </c>
      <c r="E357">
        <v>175</v>
      </c>
      <c r="F357">
        <v>5</v>
      </c>
      <c r="G357">
        <v>180</v>
      </c>
      <c r="H357">
        <v>175</v>
      </c>
      <c r="I357">
        <v>5</v>
      </c>
      <c r="J357">
        <v>163</v>
      </c>
      <c r="K357">
        <v>4</v>
      </c>
      <c r="L357">
        <v>11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t="s">
        <v>960</v>
      </c>
      <c r="B358">
        <v>5345355</v>
      </c>
      <c r="C358" t="s">
        <v>961</v>
      </c>
      <c r="D358">
        <v>78</v>
      </c>
      <c r="E358">
        <v>73</v>
      </c>
      <c r="F358">
        <v>5</v>
      </c>
      <c r="G358">
        <v>78</v>
      </c>
      <c r="H358">
        <v>73</v>
      </c>
      <c r="I358">
        <v>5</v>
      </c>
      <c r="J358">
        <v>73</v>
      </c>
      <c r="K358">
        <v>0</v>
      </c>
      <c r="L358">
        <v>0</v>
      </c>
      <c r="M358">
        <v>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t="s">
        <v>962</v>
      </c>
      <c r="B359">
        <v>5345495</v>
      </c>
      <c r="C359" t="s">
        <v>963</v>
      </c>
      <c r="D359">
        <v>8792</v>
      </c>
      <c r="E359">
        <v>6713</v>
      </c>
      <c r="F359">
        <v>2079</v>
      </c>
      <c r="G359">
        <v>8792</v>
      </c>
      <c r="H359">
        <v>6713</v>
      </c>
      <c r="I359">
        <v>2079</v>
      </c>
      <c r="J359">
        <v>3568</v>
      </c>
      <c r="K359">
        <v>116</v>
      </c>
      <c r="L359">
        <v>184</v>
      </c>
      <c r="M359">
        <v>194</v>
      </c>
      <c r="N359">
        <v>650</v>
      </c>
      <c r="O359">
        <v>288</v>
      </c>
      <c r="P359">
        <v>178</v>
      </c>
      <c r="Q359">
        <v>0</v>
      </c>
      <c r="R359">
        <v>515</v>
      </c>
      <c r="S359">
        <v>553</v>
      </c>
      <c r="T359">
        <v>0</v>
      </c>
      <c r="U359">
        <v>78</v>
      </c>
      <c r="V359">
        <v>914</v>
      </c>
      <c r="W359">
        <v>803</v>
      </c>
      <c r="X359">
        <v>704</v>
      </c>
      <c r="Y359">
        <v>47</v>
      </c>
    </row>
    <row r="360" spans="1:25" x14ac:dyDescent="0.25">
      <c r="A360" t="s">
        <v>964</v>
      </c>
      <c r="B360">
        <v>5345865</v>
      </c>
      <c r="C360" t="s">
        <v>965</v>
      </c>
      <c r="D360">
        <v>19706</v>
      </c>
      <c r="E360">
        <v>15390</v>
      </c>
      <c r="F360">
        <v>4316</v>
      </c>
      <c r="G360">
        <v>19706</v>
      </c>
      <c r="H360">
        <v>15390</v>
      </c>
      <c r="I360">
        <v>4316</v>
      </c>
      <c r="J360">
        <v>11935</v>
      </c>
      <c r="K360">
        <v>1596</v>
      </c>
      <c r="L360">
        <v>541</v>
      </c>
      <c r="M360">
        <v>112</v>
      </c>
      <c r="N360">
        <v>311</v>
      </c>
      <c r="O360">
        <v>16</v>
      </c>
      <c r="P360">
        <v>141</v>
      </c>
      <c r="Q360">
        <v>0</v>
      </c>
      <c r="R360">
        <v>1476</v>
      </c>
      <c r="S360">
        <v>2383</v>
      </c>
      <c r="T360">
        <v>0</v>
      </c>
      <c r="U360">
        <v>0</v>
      </c>
      <c r="V360">
        <v>20</v>
      </c>
      <c r="W360">
        <v>142</v>
      </c>
      <c r="X360">
        <v>966</v>
      </c>
      <c r="Y360">
        <v>67</v>
      </c>
    </row>
    <row r="361" spans="1:25" x14ac:dyDescent="0.25">
      <c r="A361" t="s">
        <v>966</v>
      </c>
      <c r="B361">
        <v>5345870</v>
      </c>
      <c r="C361" t="s">
        <v>967</v>
      </c>
      <c r="D361">
        <v>20514</v>
      </c>
      <c r="E361">
        <v>15596</v>
      </c>
      <c r="F361">
        <v>4918</v>
      </c>
      <c r="G361">
        <v>20514</v>
      </c>
      <c r="H361">
        <v>15596</v>
      </c>
      <c r="I361">
        <v>4918</v>
      </c>
      <c r="J361">
        <v>12091</v>
      </c>
      <c r="K361">
        <v>1180</v>
      </c>
      <c r="L361">
        <v>565</v>
      </c>
      <c r="M361">
        <v>337</v>
      </c>
      <c r="N361">
        <v>225</v>
      </c>
      <c r="O361">
        <v>236</v>
      </c>
      <c r="P361">
        <v>7</v>
      </c>
      <c r="Q361">
        <v>0</v>
      </c>
      <c r="R361">
        <v>1592</v>
      </c>
      <c r="S361">
        <v>3037</v>
      </c>
      <c r="T361">
        <v>20</v>
      </c>
      <c r="U361">
        <v>9</v>
      </c>
      <c r="V361">
        <v>41</v>
      </c>
      <c r="W361">
        <v>52</v>
      </c>
      <c r="X361">
        <v>1055</v>
      </c>
      <c r="Y361">
        <v>67</v>
      </c>
    </row>
    <row r="362" spans="1:25" x14ac:dyDescent="0.25">
      <c r="A362" t="s">
        <v>968</v>
      </c>
      <c r="B362">
        <v>5345985</v>
      </c>
      <c r="C362" t="s">
        <v>969</v>
      </c>
      <c r="D362">
        <v>1684</v>
      </c>
      <c r="E362">
        <v>1633</v>
      </c>
      <c r="F362">
        <v>51</v>
      </c>
      <c r="G362">
        <v>1684</v>
      </c>
      <c r="H362">
        <v>1633</v>
      </c>
      <c r="I362">
        <v>51</v>
      </c>
      <c r="J362">
        <v>1479</v>
      </c>
      <c r="K362">
        <v>23</v>
      </c>
      <c r="L362">
        <v>19</v>
      </c>
      <c r="M362">
        <v>0</v>
      </c>
      <c r="N362">
        <v>62</v>
      </c>
      <c r="O362">
        <v>7</v>
      </c>
      <c r="P362">
        <v>10</v>
      </c>
      <c r="Q362">
        <v>0</v>
      </c>
      <c r="R362">
        <v>3</v>
      </c>
      <c r="S362">
        <v>14</v>
      </c>
      <c r="T362">
        <v>0</v>
      </c>
      <c r="U362">
        <v>2</v>
      </c>
      <c r="V362">
        <v>6</v>
      </c>
      <c r="W362">
        <v>3</v>
      </c>
      <c r="X362">
        <v>54</v>
      </c>
      <c r="Y362">
        <v>2</v>
      </c>
    </row>
    <row r="363" spans="1:25" x14ac:dyDescent="0.25">
      <c r="A363" t="s">
        <v>970</v>
      </c>
      <c r="B363">
        <v>5346020</v>
      </c>
      <c r="C363" t="s">
        <v>971</v>
      </c>
      <c r="D363">
        <v>7481</v>
      </c>
      <c r="E363">
        <v>6951</v>
      </c>
      <c r="F363">
        <v>530</v>
      </c>
      <c r="G363">
        <v>7481</v>
      </c>
      <c r="H363">
        <v>6951</v>
      </c>
      <c r="I363">
        <v>530</v>
      </c>
      <c r="J363">
        <v>5882</v>
      </c>
      <c r="K363">
        <v>247</v>
      </c>
      <c r="L363">
        <v>381</v>
      </c>
      <c r="M363">
        <v>53</v>
      </c>
      <c r="N363">
        <v>225</v>
      </c>
      <c r="O363">
        <v>10</v>
      </c>
      <c r="P363">
        <v>17</v>
      </c>
      <c r="Q363">
        <v>0</v>
      </c>
      <c r="R363">
        <v>85</v>
      </c>
      <c r="S363">
        <v>128</v>
      </c>
      <c r="T363">
        <v>6</v>
      </c>
      <c r="U363">
        <v>62</v>
      </c>
      <c r="V363">
        <v>72</v>
      </c>
      <c r="W363">
        <v>26</v>
      </c>
      <c r="X363">
        <v>283</v>
      </c>
      <c r="Y363">
        <v>4</v>
      </c>
    </row>
    <row r="364" spans="1:25" x14ac:dyDescent="0.25">
      <c r="A364" t="s">
        <v>972</v>
      </c>
      <c r="B364">
        <v>5346090</v>
      </c>
      <c r="C364" t="s">
        <v>973</v>
      </c>
      <c r="D364">
        <v>193</v>
      </c>
      <c r="E364">
        <v>193</v>
      </c>
      <c r="F364">
        <v>0</v>
      </c>
      <c r="G364">
        <v>193</v>
      </c>
      <c r="H364">
        <v>193</v>
      </c>
      <c r="I364">
        <v>0</v>
      </c>
      <c r="J364">
        <v>182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11</v>
      </c>
      <c r="Y364">
        <v>0</v>
      </c>
    </row>
    <row r="365" spans="1:25" x14ac:dyDescent="0.25">
      <c r="A365" t="s">
        <v>974</v>
      </c>
      <c r="B365">
        <v>5346125</v>
      </c>
      <c r="C365" t="s">
        <v>975</v>
      </c>
      <c r="D365">
        <v>11767</v>
      </c>
      <c r="E365">
        <v>10385</v>
      </c>
      <c r="F365">
        <v>1382</v>
      </c>
      <c r="G365">
        <v>11767</v>
      </c>
      <c r="H365">
        <v>10385</v>
      </c>
      <c r="I365">
        <v>1382</v>
      </c>
      <c r="J365">
        <v>8132</v>
      </c>
      <c r="K365">
        <v>738</v>
      </c>
      <c r="L365">
        <v>396</v>
      </c>
      <c r="M365">
        <v>15</v>
      </c>
      <c r="N365">
        <v>407</v>
      </c>
      <c r="O365">
        <v>0</v>
      </c>
      <c r="P365">
        <v>62</v>
      </c>
      <c r="Q365">
        <v>0</v>
      </c>
      <c r="R365">
        <v>279</v>
      </c>
      <c r="S365">
        <v>272</v>
      </c>
      <c r="T365">
        <v>161</v>
      </c>
      <c r="U365">
        <v>66</v>
      </c>
      <c r="V365">
        <v>318</v>
      </c>
      <c r="W365">
        <v>250</v>
      </c>
      <c r="X365">
        <v>630</v>
      </c>
      <c r="Y365">
        <v>41</v>
      </c>
    </row>
    <row r="366" spans="1:25" x14ac:dyDescent="0.25">
      <c r="A366" t="s">
        <v>976</v>
      </c>
      <c r="B366">
        <v>5346215</v>
      </c>
      <c r="C366" t="s">
        <v>977</v>
      </c>
      <c r="D366">
        <v>3682</v>
      </c>
      <c r="E366">
        <v>3328</v>
      </c>
      <c r="F366">
        <v>354</v>
      </c>
      <c r="G366">
        <v>3682</v>
      </c>
      <c r="H366">
        <v>3328</v>
      </c>
      <c r="I366">
        <v>354</v>
      </c>
      <c r="J366">
        <v>3203</v>
      </c>
      <c r="K366">
        <v>253</v>
      </c>
      <c r="L366">
        <v>22</v>
      </c>
      <c r="M366">
        <v>0</v>
      </c>
      <c r="N366">
        <v>12</v>
      </c>
      <c r="O366">
        <v>0</v>
      </c>
      <c r="P366">
        <v>0</v>
      </c>
      <c r="Q366">
        <v>0</v>
      </c>
      <c r="R366">
        <v>60</v>
      </c>
      <c r="S366">
        <v>73</v>
      </c>
      <c r="T366">
        <v>0</v>
      </c>
      <c r="U366">
        <v>0</v>
      </c>
      <c r="V366">
        <v>0</v>
      </c>
      <c r="W366">
        <v>0</v>
      </c>
      <c r="X366">
        <v>31</v>
      </c>
      <c r="Y366">
        <v>28</v>
      </c>
    </row>
    <row r="367" spans="1:25" x14ac:dyDescent="0.25">
      <c r="A367" t="s">
        <v>978</v>
      </c>
      <c r="B367">
        <v>5346405</v>
      </c>
      <c r="C367" t="s">
        <v>979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 t="s">
        <v>980</v>
      </c>
      <c r="B368">
        <v>5346685</v>
      </c>
      <c r="C368" t="s">
        <v>981</v>
      </c>
      <c r="D368">
        <v>18149</v>
      </c>
      <c r="E368">
        <v>15503</v>
      </c>
      <c r="F368">
        <v>2646</v>
      </c>
      <c r="G368">
        <v>18149</v>
      </c>
      <c r="H368">
        <v>15503</v>
      </c>
      <c r="I368">
        <v>2646</v>
      </c>
      <c r="J368">
        <v>12011</v>
      </c>
      <c r="K368">
        <v>392</v>
      </c>
      <c r="L368">
        <v>1038</v>
      </c>
      <c r="M368">
        <v>1204</v>
      </c>
      <c r="N368">
        <v>497</v>
      </c>
      <c r="O368">
        <v>142</v>
      </c>
      <c r="P368">
        <v>174</v>
      </c>
      <c r="Q368">
        <v>33</v>
      </c>
      <c r="R368">
        <v>217</v>
      </c>
      <c r="S368">
        <v>352</v>
      </c>
      <c r="T368">
        <v>0</v>
      </c>
      <c r="U368">
        <v>18</v>
      </c>
      <c r="V368">
        <v>606</v>
      </c>
      <c r="W368">
        <v>394</v>
      </c>
      <c r="X368">
        <v>960</v>
      </c>
      <c r="Y368">
        <v>111</v>
      </c>
    </row>
    <row r="369" spans="1:25" x14ac:dyDescent="0.25">
      <c r="A369" t="s">
        <v>982</v>
      </c>
      <c r="B369">
        <v>5346725</v>
      </c>
      <c r="C369" t="s">
        <v>983</v>
      </c>
      <c r="D369">
        <v>1704</v>
      </c>
      <c r="E369">
        <v>1669</v>
      </c>
      <c r="F369">
        <v>35</v>
      </c>
      <c r="G369">
        <v>1704</v>
      </c>
      <c r="H369">
        <v>1669</v>
      </c>
      <c r="I369">
        <v>35</v>
      </c>
      <c r="J369">
        <v>1461</v>
      </c>
      <c r="K369">
        <v>27</v>
      </c>
      <c r="L369">
        <v>147</v>
      </c>
      <c r="M369">
        <v>8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16</v>
      </c>
      <c r="W369">
        <v>0</v>
      </c>
      <c r="X369">
        <v>45</v>
      </c>
      <c r="Y369">
        <v>0</v>
      </c>
    </row>
    <row r="370" spans="1:25" x14ac:dyDescent="0.25">
      <c r="A370" t="s">
        <v>984</v>
      </c>
      <c r="B370">
        <v>5346895</v>
      </c>
      <c r="C370" t="s">
        <v>985</v>
      </c>
      <c r="D370">
        <v>3899</v>
      </c>
      <c r="E370">
        <v>3658</v>
      </c>
      <c r="F370">
        <v>241</v>
      </c>
      <c r="G370">
        <v>3899</v>
      </c>
      <c r="H370">
        <v>3658</v>
      </c>
      <c r="I370">
        <v>241</v>
      </c>
      <c r="J370">
        <v>2981</v>
      </c>
      <c r="K370">
        <v>135</v>
      </c>
      <c r="L370">
        <v>439</v>
      </c>
      <c r="M370">
        <v>34</v>
      </c>
      <c r="N370">
        <v>18</v>
      </c>
      <c r="O370">
        <v>0</v>
      </c>
      <c r="P370">
        <v>90</v>
      </c>
      <c r="Q370">
        <v>0</v>
      </c>
      <c r="R370">
        <v>43</v>
      </c>
      <c r="S370">
        <v>52</v>
      </c>
      <c r="T370">
        <v>0</v>
      </c>
      <c r="U370">
        <v>0</v>
      </c>
      <c r="V370">
        <v>0</v>
      </c>
      <c r="W370">
        <v>0</v>
      </c>
      <c r="X370">
        <v>87</v>
      </c>
      <c r="Y370">
        <v>20</v>
      </c>
    </row>
    <row r="371" spans="1:25" x14ac:dyDescent="0.25">
      <c r="A371" t="s">
        <v>986</v>
      </c>
      <c r="B371">
        <v>5347175</v>
      </c>
      <c r="C371" t="s">
        <v>987</v>
      </c>
      <c r="D371">
        <v>1179</v>
      </c>
      <c r="E371">
        <v>1121</v>
      </c>
      <c r="F371">
        <v>58</v>
      </c>
      <c r="G371">
        <v>1179</v>
      </c>
      <c r="H371">
        <v>1121</v>
      </c>
      <c r="I371">
        <v>58</v>
      </c>
      <c r="J371">
        <v>958</v>
      </c>
      <c r="K371">
        <v>6</v>
      </c>
      <c r="L371">
        <v>94</v>
      </c>
      <c r="M371">
        <v>22</v>
      </c>
      <c r="N371">
        <v>0</v>
      </c>
      <c r="O371">
        <v>0</v>
      </c>
      <c r="P371">
        <v>4</v>
      </c>
      <c r="Q371">
        <v>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15</v>
      </c>
      <c r="X371">
        <v>65</v>
      </c>
      <c r="Y371">
        <v>12</v>
      </c>
    </row>
    <row r="372" spans="1:25" x14ac:dyDescent="0.25">
      <c r="A372" t="s">
        <v>988</v>
      </c>
      <c r="B372">
        <v>5347245</v>
      </c>
      <c r="C372" t="s">
        <v>989</v>
      </c>
      <c r="D372">
        <v>22038</v>
      </c>
      <c r="E372">
        <v>19627</v>
      </c>
      <c r="F372">
        <v>2411</v>
      </c>
      <c r="G372">
        <v>22038</v>
      </c>
      <c r="H372">
        <v>19627</v>
      </c>
      <c r="I372">
        <v>2411</v>
      </c>
      <c r="J372">
        <v>12654</v>
      </c>
      <c r="K372">
        <v>551</v>
      </c>
      <c r="L372">
        <v>2667</v>
      </c>
      <c r="M372">
        <v>662</v>
      </c>
      <c r="N372">
        <v>334</v>
      </c>
      <c r="O372">
        <v>0</v>
      </c>
      <c r="P372">
        <v>283</v>
      </c>
      <c r="Q372">
        <v>21</v>
      </c>
      <c r="R372">
        <v>252</v>
      </c>
      <c r="S372">
        <v>282</v>
      </c>
      <c r="T372">
        <v>0</v>
      </c>
      <c r="U372">
        <v>0</v>
      </c>
      <c r="V372">
        <v>1764</v>
      </c>
      <c r="W372">
        <v>851</v>
      </c>
      <c r="X372">
        <v>1673</v>
      </c>
      <c r="Y372">
        <v>44</v>
      </c>
    </row>
    <row r="373" spans="1:25" x14ac:dyDescent="0.25">
      <c r="A373" t="s">
        <v>990</v>
      </c>
      <c r="B373">
        <v>5347280</v>
      </c>
      <c r="C373" t="s">
        <v>991</v>
      </c>
      <c r="D373">
        <v>3787</v>
      </c>
      <c r="E373">
        <v>3171</v>
      </c>
      <c r="F373">
        <v>616</v>
      </c>
      <c r="G373">
        <v>3787</v>
      </c>
      <c r="H373">
        <v>3171</v>
      </c>
      <c r="I373">
        <v>616</v>
      </c>
      <c r="J373">
        <v>2098</v>
      </c>
      <c r="K373">
        <v>137</v>
      </c>
      <c r="L373">
        <v>60</v>
      </c>
      <c r="M373">
        <v>51</v>
      </c>
      <c r="N373">
        <v>120</v>
      </c>
      <c r="O373">
        <v>19</v>
      </c>
      <c r="P373">
        <v>20</v>
      </c>
      <c r="Q373">
        <v>0</v>
      </c>
      <c r="R373">
        <v>7</v>
      </c>
      <c r="S373">
        <v>17</v>
      </c>
      <c r="T373">
        <v>25</v>
      </c>
      <c r="U373">
        <v>0</v>
      </c>
      <c r="V373">
        <v>644</v>
      </c>
      <c r="W373">
        <v>369</v>
      </c>
      <c r="X373">
        <v>197</v>
      </c>
      <c r="Y373">
        <v>23</v>
      </c>
    </row>
    <row r="374" spans="1:25" x14ac:dyDescent="0.25">
      <c r="A374" t="s">
        <v>992</v>
      </c>
      <c r="B374">
        <v>5347315</v>
      </c>
      <c r="C374" t="s">
        <v>993</v>
      </c>
      <c r="D374">
        <v>668</v>
      </c>
      <c r="E374">
        <v>576</v>
      </c>
      <c r="F374">
        <v>92</v>
      </c>
      <c r="G374">
        <v>668</v>
      </c>
      <c r="H374">
        <v>576</v>
      </c>
      <c r="I374">
        <v>92</v>
      </c>
      <c r="J374">
        <v>435</v>
      </c>
      <c r="K374">
        <v>0</v>
      </c>
      <c r="L374">
        <v>100</v>
      </c>
      <c r="M374">
        <v>56</v>
      </c>
      <c r="N374">
        <v>0</v>
      </c>
      <c r="O374">
        <v>10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26</v>
      </c>
      <c r="X374">
        <v>39</v>
      </c>
      <c r="Y374">
        <v>0</v>
      </c>
    </row>
    <row r="375" spans="1:25" x14ac:dyDescent="0.25">
      <c r="A375" t="s">
        <v>994</v>
      </c>
      <c r="B375">
        <v>5347490</v>
      </c>
      <c r="C375" t="s">
        <v>995</v>
      </c>
      <c r="D375">
        <v>20922</v>
      </c>
      <c r="E375">
        <v>15871</v>
      </c>
      <c r="F375">
        <v>5051</v>
      </c>
      <c r="G375">
        <v>20922</v>
      </c>
      <c r="H375">
        <v>15871</v>
      </c>
      <c r="I375">
        <v>5051</v>
      </c>
      <c r="J375">
        <v>12241</v>
      </c>
      <c r="K375">
        <v>1317</v>
      </c>
      <c r="L375">
        <v>718</v>
      </c>
      <c r="M375">
        <v>490</v>
      </c>
      <c r="N375">
        <v>586</v>
      </c>
      <c r="O375">
        <v>775</v>
      </c>
      <c r="P375">
        <v>193</v>
      </c>
      <c r="Q375">
        <v>28</v>
      </c>
      <c r="R375">
        <v>769</v>
      </c>
      <c r="S375">
        <v>1758</v>
      </c>
      <c r="T375">
        <v>67</v>
      </c>
      <c r="U375">
        <v>175</v>
      </c>
      <c r="V375">
        <v>234</v>
      </c>
      <c r="W375">
        <v>284</v>
      </c>
      <c r="X375">
        <v>1063</v>
      </c>
      <c r="Y375">
        <v>224</v>
      </c>
    </row>
    <row r="376" spans="1:25" x14ac:dyDescent="0.25">
      <c r="A376" t="s">
        <v>996</v>
      </c>
      <c r="B376">
        <v>5347560</v>
      </c>
      <c r="C376" t="s">
        <v>997</v>
      </c>
      <c r="D376">
        <v>33787</v>
      </c>
      <c r="E376">
        <v>26929</v>
      </c>
      <c r="F376">
        <v>6858</v>
      </c>
      <c r="G376">
        <v>33787</v>
      </c>
      <c r="H376">
        <v>26929</v>
      </c>
      <c r="I376">
        <v>6858</v>
      </c>
      <c r="J376">
        <v>18032</v>
      </c>
      <c r="K376">
        <v>1324</v>
      </c>
      <c r="L376">
        <v>3420</v>
      </c>
      <c r="M376">
        <v>1388</v>
      </c>
      <c r="N376">
        <v>405</v>
      </c>
      <c r="O376">
        <v>63</v>
      </c>
      <c r="P376">
        <v>534</v>
      </c>
      <c r="Q376">
        <v>22</v>
      </c>
      <c r="R376">
        <v>223</v>
      </c>
      <c r="S376">
        <v>740</v>
      </c>
      <c r="T376">
        <v>52</v>
      </c>
      <c r="U376">
        <v>25</v>
      </c>
      <c r="V376">
        <v>3162</v>
      </c>
      <c r="W376">
        <v>3166</v>
      </c>
      <c r="X376">
        <v>1101</v>
      </c>
      <c r="Y376">
        <v>130</v>
      </c>
    </row>
    <row r="377" spans="1:25" x14ac:dyDescent="0.25">
      <c r="A377" t="s">
        <v>998</v>
      </c>
      <c r="B377">
        <v>5347630</v>
      </c>
      <c r="C377" t="s">
        <v>999</v>
      </c>
      <c r="D377">
        <v>8525</v>
      </c>
      <c r="E377">
        <v>7644</v>
      </c>
      <c r="F377">
        <v>881</v>
      </c>
      <c r="G377">
        <v>8525</v>
      </c>
      <c r="H377">
        <v>7644</v>
      </c>
      <c r="I377">
        <v>881</v>
      </c>
      <c r="J377">
        <v>6966</v>
      </c>
      <c r="K377">
        <v>546</v>
      </c>
      <c r="L377">
        <v>204</v>
      </c>
      <c r="M377">
        <v>56</v>
      </c>
      <c r="N377">
        <v>28</v>
      </c>
      <c r="O377">
        <v>0</v>
      </c>
      <c r="P377">
        <v>29</v>
      </c>
      <c r="Q377">
        <v>0</v>
      </c>
      <c r="R377">
        <v>102</v>
      </c>
      <c r="S377">
        <v>251</v>
      </c>
      <c r="T377">
        <v>0</v>
      </c>
      <c r="U377">
        <v>0</v>
      </c>
      <c r="V377">
        <v>39</v>
      </c>
      <c r="W377">
        <v>0</v>
      </c>
      <c r="X377">
        <v>276</v>
      </c>
      <c r="Y377">
        <v>28</v>
      </c>
    </row>
    <row r="378" spans="1:25" x14ac:dyDescent="0.25">
      <c r="A378" t="s">
        <v>1000</v>
      </c>
      <c r="B378">
        <v>5347665</v>
      </c>
      <c r="C378" t="s">
        <v>1001</v>
      </c>
      <c r="D378">
        <v>3877</v>
      </c>
      <c r="E378">
        <v>3362</v>
      </c>
      <c r="F378">
        <v>515</v>
      </c>
      <c r="G378">
        <v>3877</v>
      </c>
      <c r="H378">
        <v>3362</v>
      </c>
      <c r="I378">
        <v>515</v>
      </c>
      <c r="J378">
        <v>1626</v>
      </c>
      <c r="K378">
        <v>9</v>
      </c>
      <c r="L378">
        <v>831</v>
      </c>
      <c r="M378">
        <v>287</v>
      </c>
      <c r="N378">
        <v>16</v>
      </c>
      <c r="O378">
        <v>0</v>
      </c>
      <c r="P378">
        <v>206</v>
      </c>
      <c r="Q378">
        <v>0</v>
      </c>
      <c r="R378">
        <v>15</v>
      </c>
      <c r="S378">
        <v>20</v>
      </c>
      <c r="T378">
        <v>0</v>
      </c>
      <c r="U378">
        <v>0</v>
      </c>
      <c r="V378">
        <v>487</v>
      </c>
      <c r="W378">
        <v>195</v>
      </c>
      <c r="X378">
        <v>181</v>
      </c>
      <c r="Y378">
        <v>4</v>
      </c>
    </row>
    <row r="379" spans="1:25" x14ac:dyDescent="0.25">
      <c r="A379" t="s">
        <v>1002</v>
      </c>
      <c r="B379">
        <v>5347735</v>
      </c>
      <c r="C379" t="s">
        <v>1003</v>
      </c>
      <c r="D379">
        <v>21101</v>
      </c>
      <c r="E379">
        <v>16444</v>
      </c>
      <c r="F379">
        <v>4657</v>
      </c>
      <c r="G379">
        <v>21101</v>
      </c>
      <c r="H379">
        <v>16444</v>
      </c>
      <c r="I379">
        <v>4657</v>
      </c>
      <c r="J379">
        <v>13536</v>
      </c>
      <c r="K379">
        <v>1126</v>
      </c>
      <c r="L379">
        <v>358</v>
      </c>
      <c r="M379">
        <v>276</v>
      </c>
      <c r="N379">
        <v>183</v>
      </c>
      <c r="O379">
        <v>129</v>
      </c>
      <c r="P379">
        <v>162</v>
      </c>
      <c r="Q379">
        <v>0</v>
      </c>
      <c r="R379">
        <v>1027</v>
      </c>
      <c r="S379">
        <v>2810</v>
      </c>
      <c r="T379">
        <v>19</v>
      </c>
      <c r="U379">
        <v>0</v>
      </c>
      <c r="V379">
        <v>243</v>
      </c>
      <c r="W379">
        <v>183</v>
      </c>
      <c r="X379">
        <v>916</v>
      </c>
      <c r="Y379">
        <v>133</v>
      </c>
    </row>
    <row r="380" spans="1:25" x14ac:dyDescent="0.25">
      <c r="A380" t="s">
        <v>1004</v>
      </c>
      <c r="B380">
        <v>5347805</v>
      </c>
      <c r="C380" t="s">
        <v>1005</v>
      </c>
      <c r="D380">
        <v>710</v>
      </c>
      <c r="E380">
        <v>686</v>
      </c>
      <c r="F380">
        <v>24</v>
      </c>
      <c r="G380">
        <v>710</v>
      </c>
      <c r="H380">
        <v>686</v>
      </c>
      <c r="I380">
        <v>24</v>
      </c>
      <c r="J380">
        <v>609</v>
      </c>
      <c r="K380">
        <v>18</v>
      </c>
      <c r="L380">
        <v>33</v>
      </c>
      <c r="M380">
        <v>5</v>
      </c>
      <c r="N380">
        <v>21</v>
      </c>
      <c r="O380">
        <v>0</v>
      </c>
      <c r="P380">
        <v>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14</v>
      </c>
      <c r="W380">
        <v>1</v>
      </c>
      <c r="X380">
        <v>0</v>
      </c>
      <c r="Y380">
        <v>0</v>
      </c>
    </row>
    <row r="381" spans="1:25" x14ac:dyDescent="0.25">
      <c r="A381" t="s">
        <v>1006</v>
      </c>
      <c r="B381">
        <v>5347980</v>
      </c>
      <c r="C381" t="s">
        <v>1007</v>
      </c>
      <c r="D381">
        <v>1701</v>
      </c>
      <c r="E381">
        <v>1660</v>
      </c>
      <c r="F381">
        <v>41</v>
      </c>
      <c r="G381">
        <v>1701</v>
      </c>
      <c r="H381">
        <v>1660</v>
      </c>
      <c r="I381">
        <v>41</v>
      </c>
      <c r="J381">
        <v>1541</v>
      </c>
      <c r="K381">
        <v>10</v>
      </c>
      <c r="L381">
        <v>19</v>
      </c>
      <c r="M381">
        <v>12</v>
      </c>
      <c r="N381">
        <v>0</v>
      </c>
      <c r="O381">
        <v>0</v>
      </c>
      <c r="P381">
        <v>40</v>
      </c>
      <c r="Q381">
        <v>3</v>
      </c>
      <c r="R381">
        <v>0</v>
      </c>
      <c r="S381">
        <v>0</v>
      </c>
      <c r="T381">
        <v>0</v>
      </c>
      <c r="U381">
        <v>0</v>
      </c>
      <c r="V381">
        <v>13</v>
      </c>
      <c r="W381">
        <v>16</v>
      </c>
      <c r="X381">
        <v>47</v>
      </c>
      <c r="Y381">
        <v>0</v>
      </c>
    </row>
    <row r="382" spans="1:25" x14ac:dyDescent="0.25">
      <c r="A382" t="s">
        <v>1008</v>
      </c>
      <c r="B382">
        <v>5348015</v>
      </c>
      <c r="C382" t="s">
        <v>1009</v>
      </c>
      <c r="D382">
        <v>376</v>
      </c>
      <c r="E382">
        <v>370</v>
      </c>
      <c r="F382">
        <v>6</v>
      </c>
      <c r="G382">
        <v>376</v>
      </c>
      <c r="H382">
        <v>370</v>
      </c>
      <c r="I382">
        <v>6</v>
      </c>
      <c r="J382">
        <v>298</v>
      </c>
      <c r="K382">
        <v>6</v>
      </c>
      <c r="L382">
        <v>30</v>
      </c>
      <c r="M382">
        <v>0</v>
      </c>
      <c r="N382">
        <v>0</v>
      </c>
      <c r="O382">
        <v>0</v>
      </c>
      <c r="P382">
        <v>34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8</v>
      </c>
      <c r="Y382">
        <v>0</v>
      </c>
    </row>
    <row r="383" spans="1:25" x14ac:dyDescent="0.25">
      <c r="A383" t="s">
        <v>1010</v>
      </c>
      <c r="B383">
        <v>5348225</v>
      </c>
      <c r="C383" t="s">
        <v>1011</v>
      </c>
      <c r="D383">
        <v>3154</v>
      </c>
      <c r="E383">
        <v>2955</v>
      </c>
      <c r="F383">
        <v>199</v>
      </c>
      <c r="G383">
        <v>3154</v>
      </c>
      <c r="H383">
        <v>2955</v>
      </c>
      <c r="I383">
        <v>199</v>
      </c>
      <c r="J383">
        <v>2204</v>
      </c>
      <c r="K383">
        <v>67</v>
      </c>
      <c r="L383">
        <v>186</v>
      </c>
      <c r="M383">
        <v>43</v>
      </c>
      <c r="N383">
        <v>90</v>
      </c>
      <c r="O383">
        <v>0</v>
      </c>
      <c r="P383">
        <v>50</v>
      </c>
      <c r="Q383">
        <v>0</v>
      </c>
      <c r="R383">
        <v>28</v>
      </c>
      <c r="S383">
        <v>32</v>
      </c>
      <c r="T383">
        <v>0</v>
      </c>
      <c r="U383">
        <v>36</v>
      </c>
      <c r="V383">
        <v>49</v>
      </c>
      <c r="W383">
        <v>0</v>
      </c>
      <c r="X383">
        <v>348</v>
      </c>
      <c r="Y383">
        <v>21</v>
      </c>
    </row>
    <row r="384" spans="1:25" x14ac:dyDescent="0.25">
      <c r="A384" t="s">
        <v>1012</v>
      </c>
      <c r="B384">
        <v>5348295</v>
      </c>
      <c r="C384" t="s">
        <v>1013</v>
      </c>
      <c r="D384">
        <v>994</v>
      </c>
      <c r="E384">
        <v>971</v>
      </c>
      <c r="F384">
        <v>23</v>
      </c>
      <c r="G384">
        <v>994</v>
      </c>
      <c r="H384">
        <v>971</v>
      </c>
      <c r="I384">
        <v>23</v>
      </c>
      <c r="J384">
        <v>94</v>
      </c>
      <c r="K384">
        <v>4</v>
      </c>
      <c r="L384">
        <v>9</v>
      </c>
      <c r="M384">
        <v>6</v>
      </c>
      <c r="N384">
        <v>0</v>
      </c>
      <c r="O384">
        <v>0</v>
      </c>
      <c r="P384">
        <v>762</v>
      </c>
      <c r="Q384">
        <v>6</v>
      </c>
      <c r="R384">
        <v>0</v>
      </c>
      <c r="S384">
        <v>0</v>
      </c>
      <c r="T384">
        <v>0</v>
      </c>
      <c r="U384">
        <v>4</v>
      </c>
      <c r="V384">
        <v>0</v>
      </c>
      <c r="W384">
        <v>0</v>
      </c>
      <c r="X384">
        <v>106</v>
      </c>
      <c r="Y384">
        <v>3</v>
      </c>
    </row>
    <row r="385" spans="1:25" x14ac:dyDescent="0.25">
      <c r="A385" t="s">
        <v>1014</v>
      </c>
      <c r="B385">
        <v>5348330</v>
      </c>
      <c r="C385" t="s">
        <v>1015</v>
      </c>
      <c r="D385">
        <v>373</v>
      </c>
      <c r="E385">
        <v>333</v>
      </c>
      <c r="F385">
        <v>40</v>
      </c>
      <c r="G385">
        <v>373</v>
      </c>
      <c r="H385">
        <v>333</v>
      </c>
      <c r="I385">
        <v>40</v>
      </c>
      <c r="J385">
        <v>307</v>
      </c>
      <c r="K385">
        <v>3</v>
      </c>
      <c r="L385">
        <v>22</v>
      </c>
      <c r="M385">
        <v>37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>
        <v>0</v>
      </c>
    </row>
    <row r="386" spans="1:25" x14ac:dyDescent="0.25">
      <c r="A386" t="s">
        <v>1016</v>
      </c>
      <c r="B386">
        <v>5348540</v>
      </c>
      <c r="C386" t="s">
        <v>1017</v>
      </c>
      <c r="D386">
        <v>185</v>
      </c>
      <c r="E386">
        <v>185</v>
      </c>
      <c r="F386">
        <v>0</v>
      </c>
      <c r="G386">
        <v>185</v>
      </c>
      <c r="H386">
        <v>185</v>
      </c>
      <c r="I386">
        <v>0</v>
      </c>
      <c r="J386">
        <v>17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159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9</v>
      </c>
      <c r="Y386">
        <v>0</v>
      </c>
    </row>
    <row r="387" spans="1:25" x14ac:dyDescent="0.25">
      <c r="A387" t="s">
        <v>1018</v>
      </c>
      <c r="B387">
        <v>5348550</v>
      </c>
      <c r="C387" t="s">
        <v>1019</v>
      </c>
      <c r="D387">
        <v>259</v>
      </c>
      <c r="E387">
        <v>259</v>
      </c>
      <c r="F387">
        <v>0</v>
      </c>
      <c r="G387">
        <v>259</v>
      </c>
      <c r="H387">
        <v>259</v>
      </c>
      <c r="I387">
        <v>0</v>
      </c>
      <c r="J387">
        <v>11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241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3</v>
      </c>
      <c r="W387">
        <v>0</v>
      </c>
      <c r="X387">
        <v>4</v>
      </c>
      <c r="Y387">
        <v>0</v>
      </c>
    </row>
    <row r="388" spans="1:25" x14ac:dyDescent="0.25">
      <c r="A388" t="s">
        <v>1020</v>
      </c>
      <c r="B388">
        <v>5348645</v>
      </c>
      <c r="C388" t="s">
        <v>1021</v>
      </c>
      <c r="D388">
        <v>11346</v>
      </c>
      <c r="E388">
        <v>7859</v>
      </c>
      <c r="F388">
        <v>3487</v>
      </c>
      <c r="G388">
        <v>11346</v>
      </c>
      <c r="H388">
        <v>7859</v>
      </c>
      <c r="I388">
        <v>3487</v>
      </c>
      <c r="J388">
        <v>5796</v>
      </c>
      <c r="K388">
        <v>1063</v>
      </c>
      <c r="L388">
        <v>138</v>
      </c>
      <c r="M388">
        <v>106</v>
      </c>
      <c r="N388">
        <v>224</v>
      </c>
      <c r="O388">
        <v>101</v>
      </c>
      <c r="P388">
        <v>0</v>
      </c>
      <c r="Q388">
        <v>12</v>
      </c>
      <c r="R388">
        <v>1143</v>
      </c>
      <c r="S388">
        <v>2102</v>
      </c>
      <c r="T388">
        <v>0</v>
      </c>
      <c r="U388">
        <v>0</v>
      </c>
      <c r="V388">
        <v>62</v>
      </c>
      <c r="W388">
        <v>45</v>
      </c>
      <c r="X388">
        <v>496</v>
      </c>
      <c r="Y388">
        <v>58</v>
      </c>
    </row>
    <row r="389" spans="1:25" x14ac:dyDescent="0.25">
      <c r="A389" t="s">
        <v>1022</v>
      </c>
      <c r="B389">
        <v>5348820</v>
      </c>
      <c r="C389" t="s">
        <v>1023</v>
      </c>
      <c r="D389">
        <v>2228</v>
      </c>
      <c r="E389">
        <v>2112</v>
      </c>
      <c r="F389">
        <v>116</v>
      </c>
      <c r="G389">
        <v>2228</v>
      </c>
      <c r="H389">
        <v>2112</v>
      </c>
      <c r="I389">
        <v>116</v>
      </c>
      <c r="J389">
        <v>1944</v>
      </c>
      <c r="K389">
        <v>111</v>
      </c>
      <c r="L389">
        <v>40</v>
      </c>
      <c r="M389">
        <v>1</v>
      </c>
      <c r="N389">
        <v>5</v>
      </c>
      <c r="O389">
        <v>0</v>
      </c>
      <c r="P389">
        <v>52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10</v>
      </c>
      <c r="W389">
        <v>4</v>
      </c>
      <c r="X389">
        <v>60</v>
      </c>
      <c r="Y389">
        <v>0</v>
      </c>
    </row>
    <row r="390" spans="1:25" x14ac:dyDescent="0.25">
      <c r="A390" t="s">
        <v>1024</v>
      </c>
      <c r="B390">
        <v>5349030</v>
      </c>
      <c r="C390" t="s">
        <v>1025</v>
      </c>
      <c r="D390">
        <v>98</v>
      </c>
      <c r="E390">
        <v>98</v>
      </c>
      <c r="F390">
        <v>0</v>
      </c>
      <c r="G390">
        <v>98</v>
      </c>
      <c r="H390">
        <v>98</v>
      </c>
      <c r="I390">
        <v>0</v>
      </c>
      <c r="J390">
        <v>98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t="s">
        <v>1026</v>
      </c>
      <c r="B391">
        <v>5349193</v>
      </c>
      <c r="C391" t="s">
        <v>1027</v>
      </c>
      <c r="D391">
        <v>690</v>
      </c>
      <c r="E391">
        <v>647</v>
      </c>
      <c r="F391">
        <v>43</v>
      </c>
      <c r="G391">
        <v>690</v>
      </c>
      <c r="H391">
        <v>647</v>
      </c>
      <c r="I391">
        <v>43</v>
      </c>
      <c r="J391">
        <v>137</v>
      </c>
      <c r="K391">
        <v>11</v>
      </c>
      <c r="L391">
        <v>8</v>
      </c>
      <c r="M391">
        <v>1</v>
      </c>
      <c r="N391">
        <v>19</v>
      </c>
      <c r="O391">
        <v>0</v>
      </c>
      <c r="P391">
        <v>408</v>
      </c>
      <c r="Q391">
        <v>4</v>
      </c>
      <c r="R391">
        <v>7</v>
      </c>
      <c r="S391">
        <v>7</v>
      </c>
      <c r="T391">
        <v>36</v>
      </c>
      <c r="U391">
        <v>14</v>
      </c>
      <c r="V391">
        <v>2</v>
      </c>
      <c r="W391">
        <v>4</v>
      </c>
      <c r="X391">
        <v>30</v>
      </c>
      <c r="Y391">
        <v>2</v>
      </c>
    </row>
    <row r="392" spans="1:25" x14ac:dyDescent="0.25">
      <c r="A392" t="s">
        <v>1028</v>
      </c>
      <c r="B392">
        <v>5349275</v>
      </c>
      <c r="C392" t="s">
        <v>1029</v>
      </c>
      <c r="D392">
        <v>1667</v>
      </c>
      <c r="E392">
        <v>1454</v>
      </c>
      <c r="F392">
        <v>213</v>
      </c>
      <c r="G392">
        <v>1667</v>
      </c>
      <c r="H392">
        <v>1454</v>
      </c>
      <c r="I392">
        <v>213</v>
      </c>
      <c r="J392">
        <v>1161</v>
      </c>
      <c r="K392">
        <v>51</v>
      </c>
      <c r="L392">
        <v>78</v>
      </c>
      <c r="M392">
        <v>28</v>
      </c>
      <c r="N392">
        <v>17</v>
      </c>
      <c r="O392">
        <v>2</v>
      </c>
      <c r="P392">
        <v>14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83</v>
      </c>
      <c r="W392">
        <v>65</v>
      </c>
      <c r="X392">
        <v>101</v>
      </c>
      <c r="Y392">
        <v>67</v>
      </c>
    </row>
    <row r="393" spans="1:25" x14ac:dyDescent="0.25">
      <c r="A393" t="s">
        <v>1030</v>
      </c>
      <c r="B393">
        <v>5349415</v>
      </c>
      <c r="C393" t="s">
        <v>1031</v>
      </c>
      <c r="D393">
        <v>6634</v>
      </c>
      <c r="E393">
        <v>5894</v>
      </c>
      <c r="F393">
        <v>740</v>
      </c>
      <c r="G393">
        <v>6634</v>
      </c>
      <c r="H393">
        <v>5894</v>
      </c>
      <c r="I393">
        <v>740</v>
      </c>
      <c r="J393">
        <v>5415</v>
      </c>
      <c r="K393">
        <v>346</v>
      </c>
      <c r="L393">
        <v>195</v>
      </c>
      <c r="M393">
        <v>34</v>
      </c>
      <c r="N393">
        <v>0</v>
      </c>
      <c r="O393">
        <v>0</v>
      </c>
      <c r="P393">
        <v>0</v>
      </c>
      <c r="Q393">
        <v>0</v>
      </c>
      <c r="R393">
        <v>175</v>
      </c>
      <c r="S393">
        <v>350</v>
      </c>
      <c r="T393">
        <v>0</v>
      </c>
      <c r="U393">
        <v>0</v>
      </c>
      <c r="V393">
        <v>28</v>
      </c>
      <c r="W393">
        <v>10</v>
      </c>
      <c r="X393">
        <v>81</v>
      </c>
      <c r="Y393">
        <v>0</v>
      </c>
    </row>
    <row r="394" spans="1:25" x14ac:dyDescent="0.25">
      <c r="A394" t="s">
        <v>1032</v>
      </c>
      <c r="B394">
        <v>5349485</v>
      </c>
      <c r="C394" t="s">
        <v>1033</v>
      </c>
      <c r="D394">
        <v>6645</v>
      </c>
      <c r="E394">
        <v>5872</v>
      </c>
      <c r="F394">
        <v>773</v>
      </c>
      <c r="G394">
        <v>6645</v>
      </c>
      <c r="H394">
        <v>5872</v>
      </c>
      <c r="I394">
        <v>773</v>
      </c>
      <c r="J394">
        <v>5109</v>
      </c>
      <c r="K394">
        <v>257</v>
      </c>
      <c r="L394">
        <v>184</v>
      </c>
      <c r="M394">
        <v>133</v>
      </c>
      <c r="N394">
        <v>80</v>
      </c>
      <c r="O394">
        <v>0</v>
      </c>
      <c r="P394">
        <v>0</v>
      </c>
      <c r="Q394">
        <v>0</v>
      </c>
      <c r="R394">
        <v>13</v>
      </c>
      <c r="S394">
        <v>42</v>
      </c>
      <c r="T394">
        <v>0</v>
      </c>
      <c r="U394">
        <v>0</v>
      </c>
      <c r="V394">
        <v>185</v>
      </c>
      <c r="W394">
        <v>341</v>
      </c>
      <c r="X394">
        <v>301</v>
      </c>
      <c r="Y394">
        <v>0</v>
      </c>
    </row>
    <row r="395" spans="1:25" x14ac:dyDescent="0.25">
      <c r="A395" t="s">
        <v>1034</v>
      </c>
      <c r="B395">
        <v>5349555</v>
      </c>
      <c r="C395" t="s">
        <v>1035</v>
      </c>
      <c r="D395">
        <v>1048</v>
      </c>
      <c r="E395">
        <v>1028</v>
      </c>
      <c r="F395">
        <v>20</v>
      </c>
      <c r="G395">
        <v>1048</v>
      </c>
      <c r="H395">
        <v>1028</v>
      </c>
      <c r="I395">
        <v>20</v>
      </c>
      <c r="J395">
        <v>1011</v>
      </c>
      <c r="K395">
        <v>16</v>
      </c>
      <c r="L395">
        <v>0</v>
      </c>
      <c r="M395">
        <v>0</v>
      </c>
      <c r="N395">
        <v>13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</v>
      </c>
      <c r="X395">
        <v>4</v>
      </c>
      <c r="Y395">
        <v>0</v>
      </c>
    </row>
    <row r="396" spans="1:25" x14ac:dyDescent="0.25">
      <c r="A396" t="s">
        <v>1036</v>
      </c>
      <c r="B396">
        <v>5349765</v>
      </c>
      <c r="C396" t="s">
        <v>1037</v>
      </c>
      <c r="D396">
        <v>5009</v>
      </c>
      <c r="E396">
        <v>4287</v>
      </c>
      <c r="F396">
        <v>722</v>
      </c>
      <c r="G396">
        <v>5009</v>
      </c>
      <c r="H396">
        <v>4287</v>
      </c>
      <c r="I396">
        <v>722</v>
      </c>
      <c r="J396">
        <v>2499</v>
      </c>
      <c r="K396">
        <v>103</v>
      </c>
      <c r="L396">
        <v>414</v>
      </c>
      <c r="M396">
        <v>65</v>
      </c>
      <c r="N396">
        <v>759</v>
      </c>
      <c r="O396">
        <v>90</v>
      </c>
      <c r="P396">
        <v>4</v>
      </c>
      <c r="Q396">
        <v>0</v>
      </c>
      <c r="R396">
        <v>71</v>
      </c>
      <c r="S396">
        <v>204</v>
      </c>
      <c r="T396">
        <v>23</v>
      </c>
      <c r="U396">
        <v>46</v>
      </c>
      <c r="V396">
        <v>148</v>
      </c>
      <c r="W396">
        <v>35</v>
      </c>
      <c r="X396">
        <v>369</v>
      </c>
      <c r="Y396">
        <v>179</v>
      </c>
    </row>
    <row r="397" spans="1:25" x14ac:dyDescent="0.25">
      <c r="A397" t="s">
        <v>1038</v>
      </c>
      <c r="B397">
        <v>5349940</v>
      </c>
      <c r="C397" t="s">
        <v>1039</v>
      </c>
      <c r="D397">
        <v>20626</v>
      </c>
      <c r="E397">
        <v>13822</v>
      </c>
      <c r="F397">
        <v>6804</v>
      </c>
      <c r="G397">
        <v>20626</v>
      </c>
      <c r="H397">
        <v>13822</v>
      </c>
      <c r="I397">
        <v>6804</v>
      </c>
      <c r="J397">
        <v>9181</v>
      </c>
      <c r="K397">
        <v>1374</v>
      </c>
      <c r="L397">
        <v>510</v>
      </c>
      <c r="M397">
        <v>485</v>
      </c>
      <c r="N397">
        <v>449</v>
      </c>
      <c r="O397">
        <v>817</v>
      </c>
      <c r="P397">
        <v>113</v>
      </c>
      <c r="Q397">
        <v>19</v>
      </c>
      <c r="R397">
        <v>1078</v>
      </c>
      <c r="S397">
        <v>2486</v>
      </c>
      <c r="T397">
        <v>45</v>
      </c>
      <c r="U397">
        <v>113</v>
      </c>
      <c r="V397">
        <v>585</v>
      </c>
      <c r="W397">
        <v>541</v>
      </c>
      <c r="X397">
        <v>1861</v>
      </c>
      <c r="Y397">
        <v>969</v>
      </c>
    </row>
    <row r="398" spans="1:25" x14ac:dyDescent="0.25">
      <c r="A398" t="s">
        <v>1040</v>
      </c>
      <c r="B398">
        <v>5349992</v>
      </c>
      <c r="C398" t="s">
        <v>1041</v>
      </c>
      <c r="D398">
        <v>172</v>
      </c>
      <c r="E398">
        <v>162</v>
      </c>
      <c r="F398">
        <v>10</v>
      </c>
      <c r="G398">
        <v>172</v>
      </c>
      <c r="H398">
        <v>162</v>
      </c>
      <c r="I398">
        <v>10</v>
      </c>
      <c r="J398">
        <v>149</v>
      </c>
      <c r="K398">
        <v>10</v>
      </c>
      <c r="L398">
        <v>13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 t="s">
        <v>1042</v>
      </c>
      <c r="B399">
        <v>5350007</v>
      </c>
      <c r="C399" t="s">
        <v>1043</v>
      </c>
      <c r="D399">
        <v>685</v>
      </c>
      <c r="E399">
        <v>646</v>
      </c>
      <c r="F399">
        <v>39</v>
      </c>
      <c r="G399">
        <v>685</v>
      </c>
      <c r="H399">
        <v>646</v>
      </c>
      <c r="I399">
        <v>39</v>
      </c>
      <c r="J399">
        <v>257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368</v>
      </c>
      <c r="Q399">
        <v>0</v>
      </c>
      <c r="R399">
        <v>0</v>
      </c>
      <c r="S399">
        <v>16</v>
      </c>
      <c r="T399">
        <v>0</v>
      </c>
      <c r="U399">
        <v>0</v>
      </c>
      <c r="V399">
        <v>21</v>
      </c>
      <c r="W399">
        <v>23</v>
      </c>
      <c r="X399">
        <v>0</v>
      </c>
      <c r="Y399">
        <v>0</v>
      </c>
    </row>
    <row r="400" spans="1:25" x14ac:dyDescent="0.25">
      <c r="A400" t="s">
        <v>1044</v>
      </c>
      <c r="B400">
        <v>5350045</v>
      </c>
      <c r="C400" t="s">
        <v>1045</v>
      </c>
      <c r="D400">
        <v>332</v>
      </c>
      <c r="E400">
        <v>315</v>
      </c>
      <c r="F400">
        <v>17</v>
      </c>
      <c r="G400">
        <v>332</v>
      </c>
      <c r="H400">
        <v>315</v>
      </c>
      <c r="I400">
        <v>17</v>
      </c>
      <c r="J400">
        <v>291</v>
      </c>
      <c r="K400">
        <v>13</v>
      </c>
      <c r="L400">
        <v>0</v>
      </c>
      <c r="M400">
        <v>0</v>
      </c>
      <c r="N400">
        <v>2</v>
      </c>
      <c r="O400">
        <v>0</v>
      </c>
      <c r="P400">
        <v>2</v>
      </c>
      <c r="Q400">
        <v>0</v>
      </c>
      <c r="R400">
        <v>0</v>
      </c>
      <c r="S400">
        <v>4</v>
      </c>
      <c r="T400">
        <v>0</v>
      </c>
      <c r="U400">
        <v>0</v>
      </c>
      <c r="V400">
        <v>0</v>
      </c>
      <c r="W400">
        <v>0</v>
      </c>
      <c r="X400">
        <v>20</v>
      </c>
      <c r="Y400">
        <v>0</v>
      </c>
    </row>
    <row r="401" spans="1:25" x14ac:dyDescent="0.25">
      <c r="A401" t="s">
        <v>1046</v>
      </c>
      <c r="B401">
        <v>5350115</v>
      </c>
      <c r="C401" t="s">
        <v>1047</v>
      </c>
      <c r="D401">
        <v>1848</v>
      </c>
      <c r="E401">
        <v>1730</v>
      </c>
      <c r="F401">
        <v>118</v>
      </c>
      <c r="G401">
        <v>1848</v>
      </c>
      <c r="H401">
        <v>1730</v>
      </c>
      <c r="I401">
        <v>118</v>
      </c>
      <c r="J401">
        <v>1597</v>
      </c>
      <c r="K401">
        <v>58</v>
      </c>
      <c r="L401">
        <v>34</v>
      </c>
      <c r="M401">
        <v>0</v>
      </c>
      <c r="N401">
        <v>31</v>
      </c>
      <c r="O401">
        <v>0</v>
      </c>
      <c r="P401">
        <v>22</v>
      </c>
      <c r="Q401">
        <v>0</v>
      </c>
      <c r="R401">
        <v>0</v>
      </c>
      <c r="S401">
        <v>46</v>
      </c>
      <c r="T401">
        <v>0</v>
      </c>
      <c r="U401">
        <v>0</v>
      </c>
      <c r="V401">
        <v>35</v>
      </c>
      <c r="W401">
        <v>14</v>
      </c>
      <c r="X401">
        <v>11</v>
      </c>
      <c r="Y401">
        <v>0</v>
      </c>
    </row>
    <row r="402" spans="1:25" x14ac:dyDescent="0.25">
      <c r="A402" t="s">
        <v>1048</v>
      </c>
      <c r="B402">
        <v>5350183</v>
      </c>
      <c r="C402" t="s">
        <v>1049</v>
      </c>
      <c r="D402">
        <v>241</v>
      </c>
      <c r="E402">
        <v>241</v>
      </c>
      <c r="F402">
        <v>0</v>
      </c>
      <c r="G402">
        <v>241</v>
      </c>
      <c r="H402">
        <v>241</v>
      </c>
      <c r="I402">
        <v>0</v>
      </c>
      <c r="J402">
        <v>241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 t="s">
        <v>1050</v>
      </c>
      <c r="B403">
        <v>5350195</v>
      </c>
      <c r="C403" t="s">
        <v>1051</v>
      </c>
      <c r="D403">
        <v>144</v>
      </c>
      <c r="E403">
        <v>139</v>
      </c>
      <c r="F403">
        <v>5</v>
      </c>
      <c r="G403">
        <v>144</v>
      </c>
      <c r="H403">
        <v>139</v>
      </c>
      <c r="I403">
        <v>5</v>
      </c>
      <c r="J403">
        <v>139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5">
      <c r="A404" t="s">
        <v>1052</v>
      </c>
      <c r="B404">
        <v>5350210</v>
      </c>
      <c r="C404" t="s">
        <v>1053</v>
      </c>
      <c r="D404">
        <v>2887</v>
      </c>
      <c r="E404">
        <v>2796</v>
      </c>
      <c r="F404">
        <v>91</v>
      </c>
      <c r="G404">
        <v>2887</v>
      </c>
      <c r="H404">
        <v>2796</v>
      </c>
      <c r="I404">
        <v>91</v>
      </c>
      <c r="J404">
        <v>2250</v>
      </c>
      <c r="K404">
        <v>60</v>
      </c>
      <c r="L404">
        <v>99</v>
      </c>
      <c r="M404">
        <v>0</v>
      </c>
      <c r="N404">
        <v>0</v>
      </c>
      <c r="O404">
        <v>11</v>
      </c>
      <c r="P404">
        <v>101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20</v>
      </c>
      <c r="X404">
        <v>346</v>
      </c>
      <c r="Y404">
        <v>0</v>
      </c>
    </row>
    <row r="405" spans="1:25" x14ac:dyDescent="0.25">
      <c r="A405" t="s">
        <v>1054</v>
      </c>
      <c r="B405">
        <v>5350325</v>
      </c>
      <c r="C405" t="s">
        <v>1055</v>
      </c>
      <c r="D405">
        <v>434</v>
      </c>
      <c r="E405">
        <v>419</v>
      </c>
      <c r="F405">
        <v>15</v>
      </c>
      <c r="G405">
        <v>434</v>
      </c>
      <c r="H405">
        <v>419</v>
      </c>
      <c r="I405">
        <v>15</v>
      </c>
      <c r="J405">
        <v>409</v>
      </c>
      <c r="K405">
        <v>5</v>
      </c>
      <c r="L405">
        <v>0</v>
      </c>
      <c r="M405">
        <v>0</v>
      </c>
      <c r="N405">
        <v>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10</v>
      </c>
      <c r="X405">
        <v>6</v>
      </c>
      <c r="Y405">
        <v>0</v>
      </c>
    </row>
    <row r="406" spans="1:25" x14ac:dyDescent="0.25">
      <c r="A406" t="s">
        <v>1056</v>
      </c>
      <c r="B406">
        <v>5350360</v>
      </c>
      <c r="C406" t="s">
        <v>1057</v>
      </c>
      <c r="D406">
        <v>22527</v>
      </c>
      <c r="E406">
        <v>19019</v>
      </c>
      <c r="F406">
        <v>3508</v>
      </c>
      <c r="G406">
        <v>22527</v>
      </c>
      <c r="H406">
        <v>19019</v>
      </c>
      <c r="I406">
        <v>3508</v>
      </c>
      <c r="J406">
        <v>13479</v>
      </c>
      <c r="K406">
        <v>666</v>
      </c>
      <c r="L406">
        <v>1210</v>
      </c>
      <c r="M406">
        <v>413</v>
      </c>
      <c r="N406">
        <v>1372</v>
      </c>
      <c r="O406">
        <v>219</v>
      </c>
      <c r="P406">
        <v>524</v>
      </c>
      <c r="Q406">
        <v>22</v>
      </c>
      <c r="R406">
        <v>547</v>
      </c>
      <c r="S406">
        <v>1693</v>
      </c>
      <c r="T406">
        <v>108</v>
      </c>
      <c r="U406">
        <v>43</v>
      </c>
      <c r="V406">
        <v>349</v>
      </c>
      <c r="W406">
        <v>169</v>
      </c>
      <c r="X406">
        <v>1430</v>
      </c>
      <c r="Y406">
        <v>283</v>
      </c>
    </row>
    <row r="407" spans="1:25" x14ac:dyDescent="0.25">
      <c r="A407" t="s">
        <v>1058</v>
      </c>
      <c r="B407">
        <v>5350430</v>
      </c>
      <c r="C407" t="s">
        <v>1059</v>
      </c>
      <c r="D407">
        <v>723</v>
      </c>
      <c r="E407">
        <v>697</v>
      </c>
      <c r="F407">
        <v>26</v>
      </c>
      <c r="G407">
        <v>723</v>
      </c>
      <c r="H407">
        <v>697</v>
      </c>
      <c r="I407">
        <v>26</v>
      </c>
      <c r="J407">
        <v>521</v>
      </c>
      <c r="K407">
        <v>13</v>
      </c>
      <c r="L407">
        <v>43</v>
      </c>
      <c r="M407">
        <v>9</v>
      </c>
      <c r="N407">
        <v>1</v>
      </c>
      <c r="O407">
        <v>0</v>
      </c>
      <c r="P407">
        <v>81</v>
      </c>
      <c r="Q407">
        <v>0</v>
      </c>
      <c r="R407">
        <v>0</v>
      </c>
      <c r="S407">
        <v>4</v>
      </c>
      <c r="T407">
        <v>15</v>
      </c>
      <c r="U407">
        <v>0</v>
      </c>
      <c r="V407">
        <v>0</v>
      </c>
      <c r="W407">
        <v>0</v>
      </c>
      <c r="X407">
        <v>36</v>
      </c>
      <c r="Y407">
        <v>0</v>
      </c>
    </row>
    <row r="408" spans="1:25" x14ac:dyDescent="0.25">
      <c r="A408" t="s">
        <v>1060</v>
      </c>
      <c r="B408">
        <v>5350500</v>
      </c>
      <c r="C408" t="s">
        <v>1061</v>
      </c>
      <c r="D408">
        <v>168</v>
      </c>
      <c r="E408">
        <v>168</v>
      </c>
      <c r="F408">
        <v>0</v>
      </c>
      <c r="G408">
        <v>168</v>
      </c>
      <c r="H408">
        <v>168</v>
      </c>
      <c r="I408">
        <v>0</v>
      </c>
      <c r="J408">
        <v>168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 t="s">
        <v>1062</v>
      </c>
      <c r="B409">
        <v>5350535</v>
      </c>
      <c r="C409" t="s">
        <v>1063</v>
      </c>
      <c r="D409">
        <v>1782</v>
      </c>
      <c r="E409">
        <v>1761</v>
      </c>
      <c r="F409">
        <v>21</v>
      </c>
      <c r="G409">
        <v>1782</v>
      </c>
      <c r="H409">
        <v>1761</v>
      </c>
      <c r="I409">
        <v>21</v>
      </c>
      <c r="J409">
        <v>1705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21</v>
      </c>
      <c r="T409">
        <v>0</v>
      </c>
      <c r="U409">
        <v>0</v>
      </c>
      <c r="V409">
        <v>0</v>
      </c>
      <c r="W409">
        <v>0</v>
      </c>
      <c r="X409">
        <v>56</v>
      </c>
      <c r="Y409">
        <v>0</v>
      </c>
    </row>
    <row r="410" spans="1:25" x14ac:dyDescent="0.25">
      <c r="A410" t="s">
        <v>1064</v>
      </c>
      <c r="B410">
        <v>5350570</v>
      </c>
      <c r="C410" t="s">
        <v>1065</v>
      </c>
      <c r="D410">
        <v>5714</v>
      </c>
      <c r="E410">
        <v>5119</v>
      </c>
      <c r="F410">
        <v>595</v>
      </c>
      <c r="G410">
        <v>5714</v>
      </c>
      <c r="H410">
        <v>5119</v>
      </c>
      <c r="I410">
        <v>595</v>
      </c>
      <c r="J410">
        <v>4610</v>
      </c>
      <c r="K410">
        <v>341</v>
      </c>
      <c r="L410">
        <v>111</v>
      </c>
      <c r="M410">
        <v>0</v>
      </c>
      <c r="N410">
        <v>1</v>
      </c>
      <c r="O410">
        <v>0</v>
      </c>
      <c r="P410">
        <v>229</v>
      </c>
      <c r="Q410">
        <v>0</v>
      </c>
      <c r="R410">
        <v>9</v>
      </c>
      <c r="S410">
        <v>254</v>
      </c>
      <c r="T410">
        <v>0</v>
      </c>
      <c r="U410">
        <v>0</v>
      </c>
      <c r="V410">
        <v>0</v>
      </c>
      <c r="W410">
        <v>0</v>
      </c>
      <c r="X410">
        <v>159</v>
      </c>
      <c r="Y410">
        <v>0</v>
      </c>
    </row>
    <row r="411" spans="1:25" x14ac:dyDescent="0.25">
      <c r="A411" t="s">
        <v>1066</v>
      </c>
      <c r="B411">
        <v>5350745</v>
      </c>
      <c r="C411" t="s">
        <v>1067</v>
      </c>
      <c r="D411">
        <v>907</v>
      </c>
      <c r="E411">
        <v>899</v>
      </c>
      <c r="F411">
        <v>8</v>
      </c>
      <c r="G411">
        <v>907</v>
      </c>
      <c r="H411">
        <v>899</v>
      </c>
      <c r="I411">
        <v>8</v>
      </c>
      <c r="J411">
        <v>739</v>
      </c>
      <c r="K411">
        <v>6</v>
      </c>
      <c r="L411">
        <v>31</v>
      </c>
      <c r="M411">
        <v>0</v>
      </c>
      <c r="N411">
        <v>19</v>
      </c>
      <c r="O411">
        <v>1</v>
      </c>
      <c r="P411">
        <v>16</v>
      </c>
      <c r="Q411">
        <v>0</v>
      </c>
      <c r="R411">
        <v>10</v>
      </c>
      <c r="S411">
        <v>1</v>
      </c>
      <c r="T411">
        <v>0</v>
      </c>
      <c r="U411">
        <v>0</v>
      </c>
      <c r="V411">
        <v>26</v>
      </c>
      <c r="W411">
        <v>0</v>
      </c>
      <c r="X411">
        <v>58</v>
      </c>
      <c r="Y411">
        <v>0</v>
      </c>
    </row>
    <row r="412" spans="1:25" x14ac:dyDescent="0.25">
      <c r="A412" t="s">
        <v>1068</v>
      </c>
      <c r="B412">
        <v>5350920</v>
      </c>
      <c r="C412" t="s">
        <v>1069</v>
      </c>
      <c r="D412">
        <v>2572</v>
      </c>
      <c r="E412">
        <v>2347</v>
      </c>
      <c r="F412">
        <v>225</v>
      </c>
      <c r="G412">
        <v>2572</v>
      </c>
      <c r="H412">
        <v>2347</v>
      </c>
      <c r="I412">
        <v>225</v>
      </c>
      <c r="J412">
        <v>1932</v>
      </c>
      <c r="K412">
        <v>59</v>
      </c>
      <c r="L412">
        <v>55</v>
      </c>
      <c r="M412">
        <v>44</v>
      </c>
      <c r="N412">
        <v>70</v>
      </c>
      <c r="O412">
        <v>8</v>
      </c>
      <c r="P412">
        <v>67</v>
      </c>
      <c r="Q412">
        <v>0</v>
      </c>
      <c r="R412">
        <v>0</v>
      </c>
      <c r="S412">
        <v>8</v>
      </c>
      <c r="T412">
        <v>0</v>
      </c>
      <c r="U412">
        <v>0</v>
      </c>
      <c r="V412">
        <v>137</v>
      </c>
      <c r="W412">
        <v>102</v>
      </c>
      <c r="X412">
        <v>86</v>
      </c>
      <c r="Y412">
        <v>4</v>
      </c>
    </row>
    <row r="413" spans="1:25" x14ac:dyDescent="0.25">
      <c r="A413" t="s">
        <v>1070</v>
      </c>
      <c r="B413">
        <v>5351300</v>
      </c>
      <c r="C413" t="s">
        <v>1071</v>
      </c>
      <c r="D413">
        <v>49928</v>
      </c>
      <c r="E413">
        <v>44483</v>
      </c>
      <c r="F413">
        <v>5445</v>
      </c>
      <c r="G413">
        <v>49928</v>
      </c>
      <c r="H413">
        <v>44483</v>
      </c>
      <c r="I413">
        <v>5445</v>
      </c>
      <c r="J413">
        <v>37607</v>
      </c>
      <c r="K413">
        <v>1568</v>
      </c>
      <c r="L413">
        <v>2113</v>
      </c>
      <c r="M413">
        <v>778</v>
      </c>
      <c r="N413">
        <v>1137</v>
      </c>
      <c r="O413">
        <v>173</v>
      </c>
      <c r="P413">
        <v>503</v>
      </c>
      <c r="Q413">
        <v>0</v>
      </c>
      <c r="R413">
        <v>859</v>
      </c>
      <c r="S413">
        <v>2540</v>
      </c>
      <c r="T413">
        <v>60</v>
      </c>
      <c r="U413">
        <v>49</v>
      </c>
      <c r="V413">
        <v>259</v>
      </c>
      <c r="W413">
        <v>130</v>
      </c>
      <c r="X413">
        <v>1945</v>
      </c>
      <c r="Y413">
        <v>207</v>
      </c>
    </row>
    <row r="414" spans="1:25" x14ac:dyDescent="0.25">
      <c r="A414" t="s">
        <v>1072</v>
      </c>
      <c r="B414">
        <v>5351340</v>
      </c>
      <c r="C414" t="s">
        <v>1073</v>
      </c>
      <c r="D414">
        <v>4770</v>
      </c>
      <c r="E414">
        <v>4146</v>
      </c>
      <c r="F414">
        <v>624</v>
      </c>
      <c r="G414">
        <v>4770</v>
      </c>
      <c r="H414">
        <v>4146</v>
      </c>
      <c r="I414">
        <v>624</v>
      </c>
      <c r="J414">
        <v>2796</v>
      </c>
      <c r="K414">
        <v>0</v>
      </c>
      <c r="L414">
        <v>234</v>
      </c>
      <c r="M414">
        <v>186</v>
      </c>
      <c r="N414">
        <v>5</v>
      </c>
      <c r="O414">
        <v>0</v>
      </c>
      <c r="P414">
        <v>522</v>
      </c>
      <c r="Q414">
        <v>51</v>
      </c>
      <c r="R414">
        <v>26</v>
      </c>
      <c r="S414">
        <v>95</v>
      </c>
      <c r="T414">
        <v>0</v>
      </c>
      <c r="U414">
        <v>0</v>
      </c>
      <c r="V414">
        <v>191</v>
      </c>
      <c r="W414">
        <v>253</v>
      </c>
      <c r="X414">
        <v>372</v>
      </c>
      <c r="Y414">
        <v>39</v>
      </c>
    </row>
    <row r="415" spans="1:25" x14ac:dyDescent="0.25">
      <c r="A415" t="s">
        <v>1074</v>
      </c>
      <c r="B415">
        <v>5351410</v>
      </c>
      <c r="C415" t="s">
        <v>1075</v>
      </c>
      <c r="D415">
        <v>709</v>
      </c>
      <c r="E415">
        <v>676</v>
      </c>
      <c r="F415">
        <v>33</v>
      </c>
      <c r="G415">
        <v>709</v>
      </c>
      <c r="H415">
        <v>676</v>
      </c>
      <c r="I415">
        <v>33</v>
      </c>
      <c r="J415">
        <v>582</v>
      </c>
      <c r="K415">
        <v>0</v>
      </c>
      <c r="L415">
        <v>0</v>
      </c>
      <c r="M415">
        <v>33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94</v>
      </c>
      <c r="Y415">
        <v>0</v>
      </c>
    </row>
    <row r="416" spans="1:25" x14ac:dyDescent="0.25">
      <c r="A416" t="s">
        <v>1076</v>
      </c>
      <c r="B416">
        <v>5351795</v>
      </c>
      <c r="C416" t="s">
        <v>1077</v>
      </c>
      <c r="D416">
        <v>21299</v>
      </c>
      <c r="E416">
        <v>18537</v>
      </c>
      <c r="F416">
        <v>2762</v>
      </c>
      <c r="G416">
        <v>21299</v>
      </c>
      <c r="H416">
        <v>18537</v>
      </c>
      <c r="I416">
        <v>2762</v>
      </c>
      <c r="J416">
        <v>15143</v>
      </c>
      <c r="K416">
        <v>1505</v>
      </c>
      <c r="L416">
        <v>522</v>
      </c>
      <c r="M416">
        <v>225</v>
      </c>
      <c r="N416">
        <v>472</v>
      </c>
      <c r="O416">
        <v>17</v>
      </c>
      <c r="P416">
        <v>145</v>
      </c>
      <c r="Q416">
        <v>7</v>
      </c>
      <c r="R416">
        <v>250</v>
      </c>
      <c r="S416">
        <v>545</v>
      </c>
      <c r="T416">
        <v>29</v>
      </c>
      <c r="U416">
        <v>68</v>
      </c>
      <c r="V416">
        <v>534</v>
      </c>
      <c r="W416">
        <v>379</v>
      </c>
      <c r="X416">
        <v>1442</v>
      </c>
      <c r="Y416">
        <v>16</v>
      </c>
    </row>
    <row r="417" spans="1:25" x14ac:dyDescent="0.25">
      <c r="A417" t="s">
        <v>1078</v>
      </c>
      <c r="B417">
        <v>5351830</v>
      </c>
      <c r="C417" t="s">
        <v>1079</v>
      </c>
      <c r="D417">
        <v>132</v>
      </c>
      <c r="E417">
        <v>132</v>
      </c>
      <c r="F417">
        <v>0</v>
      </c>
      <c r="G417">
        <v>132</v>
      </c>
      <c r="H417">
        <v>132</v>
      </c>
      <c r="I417">
        <v>0</v>
      </c>
      <c r="J417">
        <v>101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25</v>
      </c>
      <c r="Y417">
        <v>0</v>
      </c>
    </row>
    <row r="418" spans="1:25" x14ac:dyDescent="0.25">
      <c r="A418" t="s">
        <v>1080</v>
      </c>
      <c r="B418">
        <v>5351970</v>
      </c>
      <c r="C418" t="s">
        <v>1081</v>
      </c>
      <c r="D418">
        <v>2033</v>
      </c>
      <c r="E418">
        <v>1681</v>
      </c>
      <c r="F418">
        <v>352</v>
      </c>
      <c r="G418">
        <v>2033</v>
      </c>
      <c r="H418">
        <v>1681</v>
      </c>
      <c r="I418">
        <v>352</v>
      </c>
      <c r="J418">
        <v>1257</v>
      </c>
      <c r="K418">
        <v>53</v>
      </c>
      <c r="L418">
        <v>78</v>
      </c>
      <c r="M418">
        <v>63</v>
      </c>
      <c r="N418">
        <v>0</v>
      </c>
      <c r="O418">
        <v>0</v>
      </c>
      <c r="P418">
        <v>112</v>
      </c>
      <c r="Q418">
        <v>45</v>
      </c>
      <c r="R418">
        <v>0</v>
      </c>
      <c r="S418">
        <v>3</v>
      </c>
      <c r="T418">
        <v>0</v>
      </c>
      <c r="U418">
        <v>0</v>
      </c>
      <c r="V418">
        <v>103</v>
      </c>
      <c r="W418">
        <v>176</v>
      </c>
      <c r="X418">
        <v>131</v>
      </c>
      <c r="Y418">
        <v>12</v>
      </c>
    </row>
    <row r="419" spans="1:25" x14ac:dyDescent="0.25">
      <c r="A419" t="s">
        <v>1082</v>
      </c>
      <c r="B419">
        <v>5352005</v>
      </c>
      <c r="C419" t="s">
        <v>1083</v>
      </c>
      <c r="D419">
        <v>7460</v>
      </c>
      <c r="E419">
        <v>6910</v>
      </c>
      <c r="F419">
        <v>550</v>
      </c>
      <c r="G419">
        <v>7460</v>
      </c>
      <c r="H419">
        <v>6910</v>
      </c>
      <c r="I419">
        <v>550</v>
      </c>
      <c r="J419">
        <v>5864</v>
      </c>
      <c r="K419">
        <v>234</v>
      </c>
      <c r="L419">
        <v>309</v>
      </c>
      <c r="M419">
        <v>190</v>
      </c>
      <c r="N419">
        <v>184</v>
      </c>
      <c r="O419">
        <v>0</v>
      </c>
      <c r="P419">
        <v>106</v>
      </c>
      <c r="Q419">
        <v>0</v>
      </c>
      <c r="R419">
        <v>30</v>
      </c>
      <c r="S419">
        <v>66</v>
      </c>
      <c r="T419">
        <v>0</v>
      </c>
      <c r="U419">
        <v>6</v>
      </c>
      <c r="V419">
        <v>0</v>
      </c>
      <c r="W419">
        <v>11</v>
      </c>
      <c r="X419">
        <v>417</v>
      </c>
      <c r="Y419">
        <v>43</v>
      </c>
    </row>
    <row r="420" spans="1:25" x14ac:dyDescent="0.25">
      <c r="A420" t="s">
        <v>1084</v>
      </c>
      <c r="B420">
        <v>5352110</v>
      </c>
      <c r="C420" t="s">
        <v>1085</v>
      </c>
      <c r="D420">
        <v>212</v>
      </c>
      <c r="E420">
        <v>202</v>
      </c>
      <c r="F420">
        <v>10</v>
      </c>
      <c r="G420">
        <v>212</v>
      </c>
      <c r="H420">
        <v>202</v>
      </c>
      <c r="I420">
        <v>10</v>
      </c>
      <c r="J420">
        <v>202</v>
      </c>
      <c r="K420">
        <v>10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5">
      <c r="A421" t="s">
        <v>1086</v>
      </c>
      <c r="B421">
        <v>5352215</v>
      </c>
      <c r="C421" t="s">
        <v>1087</v>
      </c>
      <c r="D421">
        <v>7797</v>
      </c>
      <c r="E421">
        <v>5315</v>
      </c>
      <c r="F421">
        <v>2482</v>
      </c>
      <c r="G421">
        <v>7797</v>
      </c>
      <c r="H421">
        <v>5315</v>
      </c>
      <c r="I421">
        <v>2482</v>
      </c>
      <c r="J421">
        <v>1511</v>
      </c>
      <c r="K421">
        <v>62</v>
      </c>
      <c r="L421">
        <v>2231</v>
      </c>
      <c r="M421">
        <v>1244</v>
      </c>
      <c r="N421">
        <v>24</v>
      </c>
      <c r="O421">
        <v>47</v>
      </c>
      <c r="P421">
        <v>165</v>
      </c>
      <c r="Q421">
        <v>131</v>
      </c>
      <c r="R421">
        <v>111</v>
      </c>
      <c r="S421">
        <v>70</v>
      </c>
      <c r="T421">
        <v>0</v>
      </c>
      <c r="U421">
        <v>0</v>
      </c>
      <c r="V421">
        <v>1185</v>
      </c>
      <c r="W421">
        <v>886</v>
      </c>
      <c r="X421">
        <v>88</v>
      </c>
      <c r="Y421">
        <v>42</v>
      </c>
    </row>
    <row r="422" spans="1:25" x14ac:dyDescent="0.25">
      <c r="A422" t="s">
        <v>1088</v>
      </c>
      <c r="B422">
        <v>5352267</v>
      </c>
      <c r="C422" t="s">
        <v>1089</v>
      </c>
      <c r="D422">
        <v>6385</v>
      </c>
      <c r="E422">
        <v>6145</v>
      </c>
      <c r="F422">
        <v>240</v>
      </c>
      <c r="G422">
        <v>6385</v>
      </c>
      <c r="H422">
        <v>6145</v>
      </c>
      <c r="I422">
        <v>240</v>
      </c>
      <c r="J422">
        <v>5867</v>
      </c>
      <c r="K422">
        <v>200</v>
      </c>
      <c r="L422">
        <v>157</v>
      </c>
      <c r="M422">
        <v>26</v>
      </c>
      <c r="N422">
        <v>0</v>
      </c>
      <c r="O422">
        <v>0</v>
      </c>
      <c r="P422">
        <v>39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13</v>
      </c>
      <c r="X422">
        <v>82</v>
      </c>
      <c r="Y422">
        <v>0</v>
      </c>
    </row>
    <row r="423" spans="1:25" x14ac:dyDescent="0.25">
      <c r="A423" t="s">
        <v>1090</v>
      </c>
      <c r="B423">
        <v>5352285</v>
      </c>
      <c r="C423" t="s">
        <v>1091</v>
      </c>
      <c r="D423">
        <v>300</v>
      </c>
      <c r="E423">
        <v>227</v>
      </c>
      <c r="F423">
        <v>73</v>
      </c>
      <c r="G423">
        <v>300</v>
      </c>
      <c r="H423">
        <v>227</v>
      </c>
      <c r="I423">
        <v>73</v>
      </c>
      <c r="J423">
        <v>0</v>
      </c>
      <c r="K423">
        <v>0</v>
      </c>
      <c r="L423">
        <v>227</v>
      </c>
      <c r="M423">
        <v>73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 t="s">
        <v>1092</v>
      </c>
      <c r="B424">
        <v>5352378</v>
      </c>
      <c r="C424" t="s">
        <v>1093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 t="s">
        <v>1094</v>
      </c>
      <c r="B425">
        <v>5352495</v>
      </c>
      <c r="C425" t="s">
        <v>1095</v>
      </c>
      <c r="D425">
        <v>7113</v>
      </c>
      <c r="E425">
        <v>5994</v>
      </c>
      <c r="F425">
        <v>1119</v>
      </c>
      <c r="G425">
        <v>7113</v>
      </c>
      <c r="H425">
        <v>5994</v>
      </c>
      <c r="I425">
        <v>1119</v>
      </c>
      <c r="J425">
        <v>3892</v>
      </c>
      <c r="K425">
        <v>105</v>
      </c>
      <c r="L425">
        <v>543</v>
      </c>
      <c r="M425">
        <v>251</v>
      </c>
      <c r="N425">
        <v>305</v>
      </c>
      <c r="O425">
        <v>0</v>
      </c>
      <c r="P425">
        <v>57</v>
      </c>
      <c r="Q425">
        <v>0</v>
      </c>
      <c r="R425">
        <v>317</v>
      </c>
      <c r="S425">
        <v>371</v>
      </c>
      <c r="T425">
        <v>94</v>
      </c>
      <c r="U425">
        <v>191</v>
      </c>
      <c r="V425">
        <v>212</v>
      </c>
      <c r="W425">
        <v>144</v>
      </c>
      <c r="X425">
        <v>574</v>
      </c>
      <c r="Y425">
        <v>57</v>
      </c>
    </row>
    <row r="426" spans="1:25" x14ac:dyDescent="0.25">
      <c r="A426" t="s">
        <v>1096</v>
      </c>
      <c r="B426">
        <v>5352530</v>
      </c>
      <c r="C426" t="s">
        <v>1097</v>
      </c>
      <c r="D426">
        <v>538</v>
      </c>
      <c r="E426">
        <v>529</v>
      </c>
      <c r="F426">
        <v>9</v>
      </c>
      <c r="G426">
        <v>538</v>
      </c>
      <c r="H426">
        <v>529</v>
      </c>
      <c r="I426">
        <v>9</v>
      </c>
      <c r="J426">
        <v>503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26</v>
      </c>
      <c r="S426">
        <v>9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 t="s">
        <v>1098</v>
      </c>
      <c r="B427">
        <v>5352600</v>
      </c>
      <c r="C427" t="s">
        <v>1099</v>
      </c>
      <c r="D427">
        <v>230</v>
      </c>
      <c r="E427">
        <v>230</v>
      </c>
      <c r="F427">
        <v>0</v>
      </c>
      <c r="G427">
        <v>230</v>
      </c>
      <c r="H427">
        <v>230</v>
      </c>
      <c r="I427">
        <v>0</v>
      </c>
      <c r="J427">
        <v>225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</v>
      </c>
      <c r="Y427">
        <v>0</v>
      </c>
    </row>
    <row r="428" spans="1:25" x14ac:dyDescent="0.25">
      <c r="A428" t="s">
        <v>1100</v>
      </c>
      <c r="B428">
        <v>5352950</v>
      </c>
      <c r="C428" t="s">
        <v>1101</v>
      </c>
      <c r="D428">
        <v>987</v>
      </c>
      <c r="E428">
        <v>946</v>
      </c>
      <c r="F428">
        <v>41</v>
      </c>
      <c r="G428">
        <v>987</v>
      </c>
      <c r="H428">
        <v>946</v>
      </c>
      <c r="I428">
        <v>41</v>
      </c>
      <c r="J428">
        <v>869</v>
      </c>
      <c r="K428">
        <v>14</v>
      </c>
      <c r="L428">
        <v>31</v>
      </c>
      <c r="M428">
        <v>10</v>
      </c>
      <c r="N428">
        <v>13</v>
      </c>
      <c r="O428">
        <v>0</v>
      </c>
      <c r="P428">
        <v>3</v>
      </c>
      <c r="Q428">
        <v>3</v>
      </c>
      <c r="R428">
        <v>0</v>
      </c>
      <c r="S428">
        <v>14</v>
      </c>
      <c r="T428">
        <v>0</v>
      </c>
      <c r="U428">
        <v>0</v>
      </c>
      <c r="V428">
        <v>4</v>
      </c>
      <c r="W428">
        <v>0</v>
      </c>
      <c r="X428">
        <v>26</v>
      </c>
      <c r="Y428">
        <v>0</v>
      </c>
    </row>
    <row r="429" spans="1:25" x14ac:dyDescent="0.25">
      <c r="A429" t="s">
        <v>1102</v>
      </c>
      <c r="B429">
        <v>5353265</v>
      </c>
      <c r="C429" t="s">
        <v>1103</v>
      </c>
      <c r="D429">
        <v>60</v>
      </c>
      <c r="E429">
        <v>45</v>
      </c>
      <c r="F429">
        <v>15</v>
      </c>
      <c r="G429">
        <v>60</v>
      </c>
      <c r="H429">
        <v>45</v>
      </c>
      <c r="I429">
        <v>15</v>
      </c>
      <c r="J429">
        <v>36</v>
      </c>
      <c r="K429">
        <v>0</v>
      </c>
      <c r="L429">
        <v>0</v>
      </c>
      <c r="M429">
        <v>15</v>
      </c>
      <c r="N429">
        <v>0</v>
      </c>
      <c r="O429">
        <v>0</v>
      </c>
      <c r="P429">
        <v>9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 t="s">
        <v>1104</v>
      </c>
      <c r="B430">
        <v>5353335</v>
      </c>
      <c r="C430" t="s">
        <v>1105</v>
      </c>
      <c r="D430">
        <v>37019</v>
      </c>
      <c r="E430">
        <v>30091</v>
      </c>
      <c r="F430">
        <v>6928</v>
      </c>
      <c r="G430">
        <v>37019</v>
      </c>
      <c r="H430">
        <v>30091</v>
      </c>
      <c r="I430">
        <v>6928</v>
      </c>
      <c r="J430">
        <v>17616</v>
      </c>
      <c r="K430">
        <v>1687</v>
      </c>
      <c r="L430">
        <v>1772</v>
      </c>
      <c r="M430">
        <v>1164</v>
      </c>
      <c r="N430">
        <v>4534</v>
      </c>
      <c r="O430">
        <v>382</v>
      </c>
      <c r="P430">
        <v>429</v>
      </c>
      <c r="Q430">
        <v>110</v>
      </c>
      <c r="R430">
        <v>794</v>
      </c>
      <c r="S430">
        <v>1626</v>
      </c>
      <c r="T430">
        <v>709</v>
      </c>
      <c r="U430">
        <v>990</v>
      </c>
      <c r="V430">
        <v>844</v>
      </c>
      <c r="W430">
        <v>631</v>
      </c>
      <c r="X430">
        <v>3393</v>
      </c>
      <c r="Y430">
        <v>338</v>
      </c>
    </row>
    <row r="431" spans="1:25" x14ac:dyDescent="0.25">
      <c r="A431" t="s">
        <v>1106</v>
      </c>
      <c r="B431">
        <v>5353440</v>
      </c>
      <c r="C431" t="s">
        <v>1107</v>
      </c>
      <c r="D431">
        <v>6559</v>
      </c>
      <c r="E431">
        <v>6031</v>
      </c>
      <c r="F431">
        <v>528</v>
      </c>
      <c r="G431">
        <v>6559</v>
      </c>
      <c r="H431">
        <v>6031</v>
      </c>
      <c r="I431">
        <v>528</v>
      </c>
      <c r="J431">
        <v>5205</v>
      </c>
      <c r="K431">
        <v>179</v>
      </c>
      <c r="L431">
        <v>414</v>
      </c>
      <c r="M431">
        <v>8</v>
      </c>
      <c r="N431">
        <v>172</v>
      </c>
      <c r="O431">
        <v>25</v>
      </c>
      <c r="P431">
        <v>11</v>
      </c>
      <c r="Q431">
        <v>4</v>
      </c>
      <c r="R431">
        <v>0</v>
      </c>
      <c r="S431">
        <v>242</v>
      </c>
      <c r="T431">
        <v>43</v>
      </c>
      <c r="U431">
        <v>54</v>
      </c>
      <c r="V431">
        <v>39</v>
      </c>
      <c r="W431">
        <v>0</v>
      </c>
      <c r="X431">
        <v>147</v>
      </c>
      <c r="Y431">
        <v>16</v>
      </c>
    </row>
    <row r="432" spans="1:25" x14ac:dyDescent="0.25">
      <c r="A432" t="s">
        <v>1108</v>
      </c>
      <c r="B432">
        <v>5353545</v>
      </c>
      <c r="C432" t="s">
        <v>1109</v>
      </c>
      <c r="D432">
        <v>70607</v>
      </c>
      <c r="E432">
        <v>53029</v>
      </c>
      <c r="F432">
        <v>17578</v>
      </c>
      <c r="G432">
        <v>70607</v>
      </c>
      <c r="H432">
        <v>53029</v>
      </c>
      <c r="I432">
        <v>17578</v>
      </c>
      <c r="J432">
        <v>26199</v>
      </c>
      <c r="K432">
        <v>1075</v>
      </c>
      <c r="L432">
        <v>14822</v>
      </c>
      <c r="M432">
        <v>7541</v>
      </c>
      <c r="N432">
        <v>1338</v>
      </c>
      <c r="O432">
        <v>348</v>
      </c>
      <c r="P432">
        <v>395</v>
      </c>
      <c r="Q432">
        <v>130</v>
      </c>
      <c r="R432">
        <v>697</v>
      </c>
      <c r="S432">
        <v>1037</v>
      </c>
      <c r="T432">
        <v>97</v>
      </c>
      <c r="U432">
        <v>37</v>
      </c>
      <c r="V432">
        <v>7203</v>
      </c>
      <c r="W432">
        <v>6980</v>
      </c>
      <c r="X432">
        <v>2278</v>
      </c>
      <c r="Y432">
        <v>430</v>
      </c>
    </row>
    <row r="433" spans="1:25" x14ac:dyDescent="0.25">
      <c r="A433" t="s">
        <v>1110</v>
      </c>
      <c r="B433">
        <v>5353720</v>
      </c>
      <c r="C433" t="s">
        <v>1111</v>
      </c>
      <c r="D433">
        <v>749</v>
      </c>
      <c r="E433">
        <v>623</v>
      </c>
      <c r="F433">
        <v>126</v>
      </c>
      <c r="G433">
        <v>749</v>
      </c>
      <c r="H433">
        <v>623</v>
      </c>
      <c r="I433">
        <v>126</v>
      </c>
      <c r="J433">
        <v>334</v>
      </c>
      <c r="K433">
        <v>4</v>
      </c>
      <c r="L433">
        <v>108</v>
      </c>
      <c r="M433">
        <v>67</v>
      </c>
      <c r="N433">
        <v>0</v>
      </c>
      <c r="O433">
        <v>6</v>
      </c>
      <c r="P433">
        <v>11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91</v>
      </c>
      <c r="W433">
        <v>49</v>
      </c>
      <c r="X433">
        <v>79</v>
      </c>
      <c r="Y433">
        <v>0</v>
      </c>
    </row>
    <row r="434" spans="1:25" x14ac:dyDescent="0.25">
      <c r="A434" t="s">
        <v>1112</v>
      </c>
      <c r="B434">
        <v>5353800</v>
      </c>
      <c r="C434" t="s">
        <v>1113</v>
      </c>
      <c r="D434">
        <v>4196</v>
      </c>
      <c r="E434">
        <v>3692</v>
      </c>
      <c r="F434">
        <v>504</v>
      </c>
      <c r="G434">
        <v>4196</v>
      </c>
      <c r="H434">
        <v>3692</v>
      </c>
      <c r="I434">
        <v>504</v>
      </c>
      <c r="J434">
        <v>3003</v>
      </c>
      <c r="K434">
        <v>193</v>
      </c>
      <c r="L434">
        <v>288</v>
      </c>
      <c r="M434">
        <v>221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76</v>
      </c>
      <c r="T434">
        <v>0</v>
      </c>
      <c r="U434">
        <v>0</v>
      </c>
      <c r="V434">
        <v>197</v>
      </c>
      <c r="W434">
        <v>14</v>
      </c>
      <c r="X434">
        <v>204</v>
      </c>
      <c r="Y434">
        <v>0</v>
      </c>
    </row>
    <row r="435" spans="1:25" x14ac:dyDescent="0.25">
      <c r="A435" t="s">
        <v>1114</v>
      </c>
      <c r="B435">
        <v>5353930</v>
      </c>
      <c r="C435" t="s">
        <v>1115</v>
      </c>
      <c r="D435">
        <v>620</v>
      </c>
      <c r="E435">
        <v>614</v>
      </c>
      <c r="F435">
        <v>6</v>
      </c>
      <c r="G435">
        <v>620</v>
      </c>
      <c r="H435">
        <v>614</v>
      </c>
      <c r="I435">
        <v>6</v>
      </c>
      <c r="J435">
        <v>559</v>
      </c>
      <c r="K435">
        <v>6</v>
      </c>
      <c r="L435">
        <v>4</v>
      </c>
      <c r="M435">
        <v>0</v>
      </c>
      <c r="N435">
        <v>0</v>
      </c>
      <c r="O435">
        <v>0</v>
      </c>
      <c r="P435">
        <v>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47</v>
      </c>
      <c r="Y435">
        <v>0</v>
      </c>
    </row>
    <row r="436" spans="1:25" x14ac:dyDescent="0.25">
      <c r="A436" t="s">
        <v>1116</v>
      </c>
      <c r="B436">
        <v>5354213</v>
      </c>
      <c r="C436" t="s">
        <v>1117</v>
      </c>
      <c r="D436">
        <v>9002</v>
      </c>
      <c r="E436">
        <v>7352</v>
      </c>
      <c r="F436">
        <v>1650</v>
      </c>
      <c r="G436">
        <v>9002</v>
      </c>
      <c r="H436">
        <v>7352</v>
      </c>
      <c r="I436">
        <v>1650</v>
      </c>
      <c r="J436">
        <v>6057</v>
      </c>
      <c r="K436">
        <v>556</v>
      </c>
      <c r="L436">
        <v>197</v>
      </c>
      <c r="M436">
        <v>88</v>
      </c>
      <c r="N436">
        <v>85</v>
      </c>
      <c r="O436">
        <v>187</v>
      </c>
      <c r="P436">
        <v>12</v>
      </c>
      <c r="Q436">
        <v>0</v>
      </c>
      <c r="R436">
        <v>387</v>
      </c>
      <c r="S436">
        <v>719</v>
      </c>
      <c r="T436">
        <v>0</v>
      </c>
      <c r="U436">
        <v>0</v>
      </c>
      <c r="V436">
        <v>31</v>
      </c>
      <c r="W436">
        <v>36</v>
      </c>
      <c r="X436">
        <v>583</v>
      </c>
      <c r="Y436">
        <v>64</v>
      </c>
    </row>
    <row r="437" spans="1:25" x14ac:dyDescent="0.25">
      <c r="A437" t="s">
        <v>1118</v>
      </c>
      <c r="B437">
        <v>5354405</v>
      </c>
      <c r="C437" t="s">
        <v>1119</v>
      </c>
      <c r="D437">
        <v>111</v>
      </c>
      <c r="E437">
        <v>111</v>
      </c>
      <c r="F437">
        <v>0</v>
      </c>
      <c r="G437">
        <v>111</v>
      </c>
      <c r="H437">
        <v>111</v>
      </c>
      <c r="I437">
        <v>0</v>
      </c>
      <c r="J437">
        <v>105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6</v>
      </c>
      <c r="Y437">
        <v>0</v>
      </c>
    </row>
    <row r="438" spans="1:25" x14ac:dyDescent="0.25">
      <c r="A438" t="s">
        <v>1120</v>
      </c>
      <c r="B438">
        <v>5355015</v>
      </c>
      <c r="C438" t="s">
        <v>1121</v>
      </c>
      <c r="D438">
        <v>1251</v>
      </c>
      <c r="E438">
        <v>635</v>
      </c>
      <c r="F438">
        <v>616</v>
      </c>
      <c r="G438">
        <v>1251</v>
      </c>
      <c r="H438">
        <v>635</v>
      </c>
      <c r="I438">
        <v>616</v>
      </c>
      <c r="J438">
        <v>604</v>
      </c>
      <c r="K438">
        <v>525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0</v>
      </c>
      <c r="R438">
        <v>0</v>
      </c>
      <c r="S438">
        <v>62</v>
      </c>
      <c r="T438">
        <v>0</v>
      </c>
      <c r="U438">
        <v>0</v>
      </c>
      <c r="V438">
        <v>0</v>
      </c>
      <c r="W438">
        <v>4</v>
      </c>
      <c r="X438">
        <v>26</v>
      </c>
      <c r="Y438">
        <v>25</v>
      </c>
    </row>
    <row r="439" spans="1:25" x14ac:dyDescent="0.25">
      <c r="A439" t="s">
        <v>1122</v>
      </c>
      <c r="B439">
        <v>5355120</v>
      </c>
      <c r="C439" t="s">
        <v>1123</v>
      </c>
      <c r="D439">
        <v>1303</v>
      </c>
      <c r="E439">
        <v>1271</v>
      </c>
      <c r="F439">
        <v>32</v>
      </c>
      <c r="G439">
        <v>1303</v>
      </c>
      <c r="H439">
        <v>1271</v>
      </c>
      <c r="I439">
        <v>32</v>
      </c>
      <c r="J439">
        <v>1118</v>
      </c>
      <c r="K439">
        <v>14</v>
      </c>
      <c r="L439">
        <v>47</v>
      </c>
      <c r="M439">
        <v>6</v>
      </c>
      <c r="N439">
        <v>0</v>
      </c>
      <c r="O439">
        <v>0</v>
      </c>
      <c r="P439">
        <v>5</v>
      </c>
      <c r="Q439">
        <v>0</v>
      </c>
      <c r="R439">
        <v>16</v>
      </c>
      <c r="S439">
        <v>12</v>
      </c>
      <c r="T439">
        <v>0</v>
      </c>
      <c r="U439">
        <v>0</v>
      </c>
      <c r="V439">
        <v>0</v>
      </c>
      <c r="W439">
        <v>0</v>
      </c>
      <c r="X439">
        <v>85</v>
      </c>
      <c r="Y439">
        <v>0</v>
      </c>
    </row>
    <row r="440" spans="1:25" x14ac:dyDescent="0.25">
      <c r="A440" t="s">
        <v>1124</v>
      </c>
      <c r="B440">
        <v>5355365</v>
      </c>
      <c r="C440" t="s">
        <v>1125</v>
      </c>
      <c r="D440">
        <v>19419</v>
      </c>
      <c r="E440">
        <v>18421</v>
      </c>
      <c r="F440">
        <v>998</v>
      </c>
      <c r="G440">
        <v>19419</v>
      </c>
      <c r="H440">
        <v>18421</v>
      </c>
      <c r="I440">
        <v>998</v>
      </c>
      <c r="J440">
        <v>15727</v>
      </c>
      <c r="K440">
        <v>464</v>
      </c>
      <c r="L440">
        <v>740</v>
      </c>
      <c r="M440">
        <v>51</v>
      </c>
      <c r="N440">
        <v>454</v>
      </c>
      <c r="O440">
        <v>0</v>
      </c>
      <c r="P440">
        <v>390</v>
      </c>
      <c r="Q440">
        <v>9</v>
      </c>
      <c r="R440">
        <v>147</v>
      </c>
      <c r="S440">
        <v>356</v>
      </c>
      <c r="T440">
        <v>0</v>
      </c>
      <c r="U440">
        <v>0</v>
      </c>
      <c r="V440">
        <v>109</v>
      </c>
      <c r="W440">
        <v>85</v>
      </c>
      <c r="X440">
        <v>854</v>
      </c>
      <c r="Y440">
        <v>33</v>
      </c>
    </row>
    <row r="441" spans="1:25" x14ac:dyDescent="0.25">
      <c r="A441" t="s">
        <v>1126</v>
      </c>
      <c r="B441">
        <v>5355400</v>
      </c>
      <c r="C441" t="s">
        <v>1127</v>
      </c>
      <c r="D441">
        <v>3627</v>
      </c>
      <c r="E441">
        <v>3538</v>
      </c>
      <c r="F441">
        <v>89</v>
      </c>
      <c r="G441">
        <v>3627</v>
      </c>
      <c r="H441">
        <v>3538</v>
      </c>
      <c r="I441">
        <v>89</v>
      </c>
      <c r="J441">
        <v>3230</v>
      </c>
      <c r="K441">
        <v>80</v>
      </c>
      <c r="L441">
        <v>93</v>
      </c>
      <c r="M441">
        <v>0</v>
      </c>
      <c r="N441">
        <v>38</v>
      </c>
      <c r="O441">
        <v>0</v>
      </c>
      <c r="P441">
        <v>47</v>
      </c>
      <c r="Q441">
        <v>0</v>
      </c>
      <c r="R441">
        <v>0</v>
      </c>
      <c r="S441">
        <v>0</v>
      </c>
      <c r="T441">
        <v>0</v>
      </c>
      <c r="U441">
        <v>9</v>
      </c>
      <c r="V441">
        <v>17</v>
      </c>
      <c r="W441">
        <v>0</v>
      </c>
      <c r="X441">
        <v>113</v>
      </c>
      <c r="Y441">
        <v>0</v>
      </c>
    </row>
    <row r="442" spans="1:25" x14ac:dyDescent="0.25">
      <c r="A442" t="s">
        <v>1128</v>
      </c>
      <c r="B442">
        <v>5355540</v>
      </c>
      <c r="C442" t="s">
        <v>1129</v>
      </c>
      <c r="D442">
        <v>222</v>
      </c>
      <c r="E442">
        <v>211</v>
      </c>
      <c r="F442">
        <v>11</v>
      </c>
      <c r="G442">
        <v>222</v>
      </c>
      <c r="H442">
        <v>211</v>
      </c>
      <c r="I442">
        <v>11</v>
      </c>
      <c r="J442">
        <v>196</v>
      </c>
      <c r="K442">
        <v>11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15</v>
      </c>
      <c r="Y442">
        <v>0</v>
      </c>
    </row>
    <row r="443" spans="1:25" x14ac:dyDescent="0.25">
      <c r="A443" t="s">
        <v>1130</v>
      </c>
      <c r="B443">
        <v>5355612</v>
      </c>
      <c r="C443" t="s">
        <v>1131</v>
      </c>
      <c r="D443">
        <v>920</v>
      </c>
      <c r="E443">
        <v>894</v>
      </c>
      <c r="F443">
        <v>26</v>
      </c>
      <c r="G443">
        <v>920</v>
      </c>
      <c r="H443">
        <v>894</v>
      </c>
      <c r="I443">
        <v>26</v>
      </c>
      <c r="J443">
        <v>377</v>
      </c>
      <c r="K443">
        <v>14</v>
      </c>
      <c r="L443">
        <v>3</v>
      </c>
      <c r="M443">
        <v>0</v>
      </c>
      <c r="N443">
        <v>0</v>
      </c>
      <c r="O443">
        <v>0</v>
      </c>
      <c r="P443">
        <v>439</v>
      </c>
      <c r="Q443">
        <v>5</v>
      </c>
      <c r="R443">
        <v>1</v>
      </c>
      <c r="S443">
        <v>0</v>
      </c>
      <c r="T443">
        <v>0</v>
      </c>
      <c r="U443">
        <v>0</v>
      </c>
      <c r="V443">
        <v>3</v>
      </c>
      <c r="W443">
        <v>5</v>
      </c>
      <c r="X443">
        <v>71</v>
      </c>
      <c r="Y443">
        <v>2</v>
      </c>
    </row>
    <row r="444" spans="1:25" x14ac:dyDescent="0.25">
      <c r="A444" t="s">
        <v>1132</v>
      </c>
      <c r="B444">
        <v>5355620</v>
      </c>
      <c r="C444" t="s">
        <v>1133</v>
      </c>
      <c r="D444">
        <v>3765</v>
      </c>
      <c r="E444">
        <v>3651</v>
      </c>
      <c r="F444">
        <v>114</v>
      </c>
      <c r="G444">
        <v>3765</v>
      </c>
      <c r="H444">
        <v>3651</v>
      </c>
      <c r="I444">
        <v>114</v>
      </c>
      <c r="J444">
        <v>3265</v>
      </c>
      <c r="K444">
        <v>49</v>
      </c>
      <c r="L444">
        <v>91</v>
      </c>
      <c r="M444">
        <v>13</v>
      </c>
      <c r="N444">
        <v>0</v>
      </c>
      <c r="O444">
        <v>0</v>
      </c>
      <c r="P444">
        <v>34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52</v>
      </c>
      <c r="X444">
        <v>261</v>
      </c>
      <c r="Y444">
        <v>0</v>
      </c>
    </row>
    <row r="445" spans="1:25" x14ac:dyDescent="0.25">
      <c r="A445" t="s">
        <v>1134</v>
      </c>
      <c r="B445">
        <v>5355645</v>
      </c>
      <c r="C445" t="s">
        <v>1135</v>
      </c>
      <c r="D445">
        <v>2642</v>
      </c>
      <c r="E445">
        <v>2472</v>
      </c>
      <c r="F445">
        <v>170</v>
      </c>
      <c r="G445">
        <v>2642</v>
      </c>
      <c r="H445">
        <v>2472</v>
      </c>
      <c r="I445">
        <v>170</v>
      </c>
      <c r="J445">
        <v>2308</v>
      </c>
      <c r="K445">
        <v>143</v>
      </c>
      <c r="L445">
        <v>115</v>
      </c>
      <c r="M445">
        <v>12</v>
      </c>
      <c r="N445">
        <v>0</v>
      </c>
      <c r="O445">
        <v>0</v>
      </c>
      <c r="P445">
        <v>49</v>
      </c>
      <c r="Q445">
        <v>0</v>
      </c>
      <c r="R445">
        <v>0</v>
      </c>
      <c r="S445">
        <v>15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1136</v>
      </c>
      <c r="B446">
        <v>5355785</v>
      </c>
      <c r="C446" t="s">
        <v>1137</v>
      </c>
      <c r="D446">
        <v>13476</v>
      </c>
      <c r="E446">
        <v>12121</v>
      </c>
      <c r="F446">
        <v>1355</v>
      </c>
      <c r="G446">
        <v>13476</v>
      </c>
      <c r="H446">
        <v>12121</v>
      </c>
      <c r="I446">
        <v>1355</v>
      </c>
      <c r="J446">
        <v>9355</v>
      </c>
      <c r="K446">
        <v>303</v>
      </c>
      <c r="L446">
        <v>804</v>
      </c>
      <c r="M446">
        <v>41</v>
      </c>
      <c r="N446">
        <v>483</v>
      </c>
      <c r="O446">
        <v>17</v>
      </c>
      <c r="P446">
        <v>117</v>
      </c>
      <c r="Q446">
        <v>0</v>
      </c>
      <c r="R446">
        <v>177</v>
      </c>
      <c r="S446">
        <v>746</v>
      </c>
      <c r="T446">
        <v>59</v>
      </c>
      <c r="U446">
        <v>77</v>
      </c>
      <c r="V446">
        <v>277</v>
      </c>
      <c r="W446">
        <v>7</v>
      </c>
      <c r="X446">
        <v>849</v>
      </c>
      <c r="Y446">
        <v>164</v>
      </c>
    </row>
    <row r="447" spans="1:25" x14ac:dyDescent="0.25">
      <c r="A447" t="s">
        <v>1138</v>
      </c>
      <c r="B447">
        <v>5355855</v>
      </c>
      <c r="C447" t="s">
        <v>1139</v>
      </c>
      <c r="D447">
        <v>9315</v>
      </c>
      <c r="E447">
        <v>8655</v>
      </c>
      <c r="F447">
        <v>660</v>
      </c>
      <c r="G447">
        <v>9315</v>
      </c>
      <c r="H447">
        <v>8655</v>
      </c>
      <c r="I447">
        <v>660</v>
      </c>
      <c r="J447">
        <v>8058</v>
      </c>
      <c r="K447">
        <v>414</v>
      </c>
      <c r="L447">
        <v>243</v>
      </c>
      <c r="M447">
        <v>49</v>
      </c>
      <c r="N447">
        <v>74</v>
      </c>
      <c r="O447">
        <v>2</v>
      </c>
      <c r="P447">
        <v>33</v>
      </c>
      <c r="Q447">
        <v>0</v>
      </c>
      <c r="R447">
        <v>60</v>
      </c>
      <c r="S447">
        <v>193</v>
      </c>
      <c r="T447">
        <v>0</v>
      </c>
      <c r="U447">
        <v>2</v>
      </c>
      <c r="V447">
        <v>0</v>
      </c>
      <c r="W447">
        <v>0</v>
      </c>
      <c r="X447">
        <v>187</v>
      </c>
      <c r="Y447">
        <v>0</v>
      </c>
    </row>
    <row r="448" spans="1:25" x14ac:dyDescent="0.25">
      <c r="A448" t="s">
        <v>1140</v>
      </c>
      <c r="B448">
        <v>5355995</v>
      </c>
      <c r="C448" t="s">
        <v>1141</v>
      </c>
      <c r="D448">
        <v>10005</v>
      </c>
      <c r="E448">
        <v>8884</v>
      </c>
      <c r="F448">
        <v>1121</v>
      </c>
      <c r="G448">
        <v>10005</v>
      </c>
      <c r="H448">
        <v>8884</v>
      </c>
      <c r="I448">
        <v>1121</v>
      </c>
      <c r="J448">
        <v>7223</v>
      </c>
      <c r="K448">
        <v>456</v>
      </c>
      <c r="L448">
        <v>522</v>
      </c>
      <c r="M448">
        <v>209</v>
      </c>
      <c r="N448">
        <v>103</v>
      </c>
      <c r="O448">
        <v>0</v>
      </c>
      <c r="P448">
        <v>32</v>
      </c>
      <c r="Q448">
        <v>0</v>
      </c>
      <c r="R448">
        <v>159</v>
      </c>
      <c r="S448">
        <v>250</v>
      </c>
      <c r="T448">
        <v>0</v>
      </c>
      <c r="U448">
        <v>0</v>
      </c>
      <c r="V448">
        <v>233</v>
      </c>
      <c r="W448">
        <v>179</v>
      </c>
      <c r="X448">
        <v>612</v>
      </c>
      <c r="Y448">
        <v>27</v>
      </c>
    </row>
    <row r="449" spans="1:25" x14ac:dyDescent="0.25">
      <c r="A449" t="s">
        <v>1142</v>
      </c>
      <c r="B449">
        <v>5356150</v>
      </c>
      <c r="C449" t="s">
        <v>1143</v>
      </c>
      <c r="D449">
        <v>4610</v>
      </c>
      <c r="E449">
        <v>4211</v>
      </c>
      <c r="F449">
        <v>399</v>
      </c>
      <c r="G449">
        <v>4610</v>
      </c>
      <c r="H449">
        <v>4211</v>
      </c>
      <c r="I449">
        <v>399</v>
      </c>
      <c r="J449">
        <v>3582</v>
      </c>
      <c r="K449">
        <v>72</v>
      </c>
      <c r="L449">
        <v>265</v>
      </c>
      <c r="M449">
        <v>68</v>
      </c>
      <c r="N449">
        <v>68</v>
      </c>
      <c r="O449">
        <v>0</v>
      </c>
      <c r="P449">
        <v>42</v>
      </c>
      <c r="Q449">
        <v>0</v>
      </c>
      <c r="R449">
        <v>0</v>
      </c>
      <c r="S449">
        <v>43</v>
      </c>
      <c r="T449">
        <v>0</v>
      </c>
      <c r="U449">
        <v>0</v>
      </c>
      <c r="V449">
        <v>156</v>
      </c>
      <c r="W449">
        <v>200</v>
      </c>
      <c r="X449">
        <v>98</v>
      </c>
      <c r="Y449">
        <v>16</v>
      </c>
    </row>
    <row r="450" spans="1:25" x14ac:dyDescent="0.25">
      <c r="A450" t="s">
        <v>1144</v>
      </c>
      <c r="B450">
        <v>5356170</v>
      </c>
      <c r="C450" t="s">
        <v>1145</v>
      </c>
      <c r="D450">
        <v>12733</v>
      </c>
      <c r="E450">
        <v>12375</v>
      </c>
      <c r="F450">
        <v>358</v>
      </c>
      <c r="G450">
        <v>12733</v>
      </c>
      <c r="H450">
        <v>12375</v>
      </c>
      <c r="I450">
        <v>358</v>
      </c>
      <c r="J450">
        <v>10419</v>
      </c>
      <c r="K450">
        <v>166</v>
      </c>
      <c r="L450">
        <v>814</v>
      </c>
      <c r="M450">
        <v>128</v>
      </c>
      <c r="N450">
        <v>79</v>
      </c>
      <c r="O450">
        <v>0</v>
      </c>
      <c r="P450">
        <v>185</v>
      </c>
      <c r="Q450">
        <v>27</v>
      </c>
      <c r="R450">
        <v>53</v>
      </c>
      <c r="S450">
        <v>37</v>
      </c>
      <c r="T450">
        <v>0</v>
      </c>
      <c r="U450">
        <v>0</v>
      </c>
      <c r="V450">
        <v>44</v>
      </c>
      <c r="W450">
        <v>0</v>
      </c>
      <c r="X450">
        <v>781</v>
      </c>
      <c r="Y450">
        <v>0</v>
      </c>
    </row>
    <row r="451" spans="1:25" x14ac:dyDescent="0.25">
      <c r="A451" t="s">
        <v>1146</v>
      </c>
      <c r="B451">
        <v>5356240</v>
      </c>
      <c r="C451" t="s">
        <v>1147</v>
      </c>
      <c r="D451">
        <v>345</v>
      </c>
      <c r="E451">
        <v>322</v>
      </c>
      <c r="F451">
        <v>23</v>
      </c>
      <c r="G451">
        <v>345</v>
      </c>
      <c r="H451">
        <v>322</v>
      </c>
      <c r="I451">
        <v>23</v>
      </c>
      <c r="J451">
        <v>259</v>
      </c>
      <c r="K451">
        <v>0</v>
      </c>
      <c r="L451">
        <v>4</v>
      </c>
      <c r="M451">
        <v>10</v>
      </c>
      <c r="N451">
        <v>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55</v>
      </c>
      <c r="W451">
        <v>13</v>
      </c>
      <c r="X451">
        <v>0</v>
      </c>
      <c r="Y451">
        <v>0</v>
      </c>
    </row>
    <row r="452" spans="1:25" x14ac:dyDescent="0.25">
      <c r="A452" t="s">
        <v>1148</v>
      </c>
      <c r="B452">
        <v>5356450</v>
      </c>
      <c r="C452" t="s">
        <v>1149</v>
      </c>
      <c r="D452">
        <v>5967</v>
      </c>
      <c r="E452">
        <v>5245</v>
      </c>
      <c r="F452">
        <v>722</v>
      </c>
      <c r="G452">
        <v>5967</v>
      </c>
      <c r="H452">
        <v>5245</v>
      </c>
      <c r="I452">
        <v>722</v>
      </c>
      <c r="J452">
        <v>3426</v>
      </c>
      <c r="K452">
        <v>71</v>
      </c>
      <c r="L452">
        <v>719</v>
      </c>
      <c r="M452">
        <v>232</v>
      </c>
      <c r="N452">
        <v>33</v>
      </c>
      <c r="O452">
        <v>0</v>
      </c>
      <c r="P452">
        <v>139</v>
      </c>
      <c r="Q452">
        <v>0</v>
      </c>
      <c r="R452">
        <v>0</v>
      </c>
      <c r="S452">
        <v>13</v>
      </c>
      <c r="T452">
        <v>0</v>
      </c>
      <c r="U452">
        <v>0</v>
      </c>
      <c r="V452">
        <v>577</v>
      </c>
      <c r="W452">
        <v>291</v>
      </c>
      <c r="X452">
        <v>351</v>
      </c>
      <c r="Y452">
        <v>115</v>
      </c>
    </row>
    <row r="453" spans="1:25" x14ac:dyDescent="0.25">
      <c r="A453" t="s">
        <v>1150</v>
      </c>
      <c r="B453">
        <v>5356555</v>
      </c>
      <c r="C453" t="s">
        <v>1151</v>
      </c>
      <c r="D453">
        <v>899</v>
      </c>
      <c r="E453">
        <v>856</v>
      </c>
      <c r="F453">
        <v>43</v>
      </c>
      <c r="G453">
        <v>899</v>
      </c>
      <c r="H453">
        <v>856</v>
      </c>
      <c r="I453">
        <v>43</v>
      </c>
      <c r="J453">
        <v>840</v>
      </c>
      <c r="K453">
        <v>7</v>
      </c>
      <c r="L453">
        <v>0</v>
      </c>
      <c r="M453">
        <v>0</v>
      </c>
      <c r="N453">
        <v>0</v>
      </c>
      <c r="O453">
        <v>0</v>
      </c>
      <c r="P453">
        <v>16</v>
      </c>
      <c r="Q453">
        <v>0</v>
      </c>
      <c r="R453">
        <v>0</v>
      </c>
      <c r="S453">
        <v>36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5">
      <c r="A454" t="s">
        <v>1152</v>
      </c>
      <c r="B454">
        <v>5356625</v>
      </c>
      <c r="C454" t="s">
        <v>1153</v>
      </c>
      <c r="D454">
        <v>32382</v>
      </c>
      <c r="E454">
        <v>27067</v>
      </c>
      <c r="F454">
        <v>5315</v>
      </c>
      <c r="G454">
        <v>32382</v>
      </c>
      <c r="H454">
        <v>27067</v>
      </c>
      <c r="I454">
        <v>5315</v>
      </c>
      <c r="J454">
        <v>21853</v>
      </c>
      <c r="K454">
        <v>1820</v>
      </c>
      <c r="L454">
        <v>986</v>
      </c>
      <c r="M454">
        <v>212</v>
      </c>
      <c r="N454">
        <v>540</v>
      </c>
      <c r="O454">
        <v>345</v>
      </c>
      <c r="P454">
        <v>232</v>
      </c>
      <c r="Q454">
        <v>0</v>
      </c>
      <c r="R454">
        <v>1170</v>
      </c>
      <c r="S454">
        <v>2559</v>
      </c>
      <c r="T454">
        <v>64</v>
      </c>
      <c r="U454">
        <v>0</v>
      </c>
      <c r="V454">
        <v>435</v>
      </c>
      <c r="W454">
        <v>129</v>
      </c>
      <c r="X454">
        <v>1787</v>
      </c>
      <c r="Y454">
        <v>250</v>
      </c>
    </row>
    <row r="455" spans="1:25" x14ac:dyDescent="0.25">
      <c r="A455" t="s">
        <v>1154</v>
      </c>
      <c r="B455">
        <v>5356660</v>
      </c>
      <c r="C455" t="s">
        <v>1155</v>
      </c>
      <c r="D455">
        <v>1087</v>
      </c>
      <c r="E455">
        <v>998</v>
      </c>
      <c r="F455">
        <v>89</v>
      </c>
      <c r="G455">
        <v>1087</v>
      </c>
      <c r="H455">
        <v>998</v>
      </c>
      <c r="I455">
        <v>89</v>
      </c>
      <c r="J455">
        <v>894</v>
      </c>
      <c r="K455">
        <v>67</v>
      </c>
      <c r="L455">
        <v>0</v>
      </c>
      <c r="M455">
        <v>0</v>
      </c>
      <c r="N455">
        <v>0</v>
      </c>
      <c r="O455">
        <v>0</v>
      </c>
      <c r="P455">
        <v>6</v>
      </c>
      <c r="Q455">
        <v>0</v>
      </c>
      <c r="R455">
        <v>15</v>
      </c>
      <c r="S455">
        <v>14</v>
      </c>
      <c r="T455">
        <v>0</v>
      </c>
      <c r="U455">
        <v>0</v>
      </c>
      <c r="V455">
        <v>40</v>
      </c>
      <c r="W455">
        <v>0</v>
      </c>
      <c r="X455">
        <v>43</v>
      </c>
      <c r="Y455">
        <v>8</v>
      </c>
    </row>
    <row r="456" spans="1:25" x14ac:dyDescent="0.25">
      <c r="A456" t="s">
        <v>1156</v>
      </c>
      <c r="B456">
        <v>5356695</v>
      </c>
      <c r="C456" t="s">
        <v>1157</v>
      </c>
      <c r="D456">
        <v>39637</v>
      </c>
      <c r="E456">
        <v>35770</v>
      </c>
      <c r="F456">
        <v>3867</v>
      </c>
      <c r="G456">
        <v>39637</v>
      </c>
      <c r="H456">
        <v>35770</v>
      </c>
      <c r="I456">
        <v>3867</v>
      </c>
      <c r="J456">
        <v>28833</v>
      </c>
      <c r="K456">
        <v>1147</v>
      </c>
      <c r="L456">
        <v>1610</v>
      </c>
      <c r="M456">
        <v>376</v>
      </c>
      <c r="N456">
        <v>1120</v>
      </c>
      <c r="O456">
        <v>104</v>
      </c>
      <c r="P456">
        <v>348</v>
      </c>
      <c r="Q456">
        <v>25</v>
      </c>
      <c r="R456">
        <v>1041</v>
      </c>
      <c r="S456">
        <v>1348</v>
      </c>
      <c r="T456">
        <v>17</v>
      </c>
      <c r="U456">
        <v>61</v>
      </c>
      <c r="V456">
        <v>396</v>
      </c>
      <c r="W456">
        <v>437</v>
      </c>
      <c r="X456">
        <v>2405</v>
      </c>
      <c r="Y456">
        <v>369</v>
      </c>
    </row>
    <row r="457" spans="1:25" x14ac:dyDescent="0.25">
      <c r="A457" t="s">
        <v>1158</v>
      </c>
      <c r="B457">
        <v>5356905</v>
      </c>
      <c r="C457" t="s">
        <v>1159</v>
      </c>
      <c r="D457">
        <v>199</v>
      </c>
      <c r="E457">
        <v>199</v>
      </c>
      <c r="F457">
        <v>0</v>
      </c>
      <c r="G457">
        <v>199</v>
      </c>
      <c r="H457">
        <v>199</v>
      </c>
      <c r="I457">
        <v>0</v>
      </c>
      <c r="J457">
        <v>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175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20</v>
      </c>
      <c r="Y457">
        <v>0</v>
      </c>
    </row>
    <row r="458" spans="1:25" x14ac:dyDescent="0.25">
      <c r="A458" t="s">
        <v>1160</v>
      </c>
      <c r="B458">
        <v>5356975</v>
      </c>
      <c r="C458" t="s">
        <v>1161</v>
      </c>
      <c r="D458">
        <v>432</v>
      </c>
      <c r="E458">
        <v>397</v>
      </c>
      <c r="F458">
        <v>35</v>
      </c>
      <c r="G458">
        <v>432</v>
      </c>
      <c r="H458">
        <v>397</v>
      </c>
      <c r="I458">
        <v>35</v>
      </c>
      <c r="J458">
        <v>353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35</v>
      </c>
      <c r="Q458">
        <v>0</v>
      </c>
      <c r="R458">
        <v>0</v>
      </c>
      <c r="S458">
        <v>35</v>
      </c>
      <c r="T458">
        <v>0</v>
      </c>
      <c r="U458">
        <v>0</v>
      </c>
      <c r="V458">
        <v>0</v>
      </c>
      <c r="W458">
        <v>0</v>
      </c>
      <c r="X458">
        <v>6</v>
      </c>
      <c r="Y458">
        <v>0</v>
      </c>
    </row>
    <row r="459" spans="1:25" x14ac:dyDescent="0.25">
      <c r="A459" t="s">
        <v>1162</v>
      </c>
      <c r="B459">
        <v>5357030</v>
      </c>
      <c r="C459" t="s">
        <v>1163</v>
      </c>
      <c r="D459">
        <v>79</v>
      </c>
      <c r="E459">
        <v>76</v>
      </c>
      <c r="F459">
        <v>3</v>
      </c>
      <c r="G459">
        <v>79</v>
      </c>
      <c r="H459">
        <v>76</v>
      </c>
      <c r="I459">
        <v>3</v>
      </c>
      <c r="J459">
        <v>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72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</v>
      </c>
      <c r="X459">
        <v>0</v>
      </c>
      <c r="Y459">
        <v>0</v>
      </c>
    </row>
    <row r="460" spans="1:25" x14ac:dyDescent="0.25">
      <c r="A460" t="s">
        <v>1164</v>
      </c>
      <c r="B460">
        <v>5357115</v>
      </c>
      <c r="C460" t="s">
        <v>1165</v>
      </c>
      <c r="D460">
        <v>7333</v>
      </c>
      <c r="E460">
        <v>4513</v>
      </c>
      <c r="F460">
        <v>2820</v>
      </c>
      <c r="G460">
        <v>7333</v>
      </c>
      <c r="H460">
        <v>4513</v>
      </c>
      <c r="I460">
        <v>2820</v>
      </c>
      <c r="J460">
        <v>1572</v>
      </c>
      <c r="K460">
        <v>131</v>
      </c>
      <c r="L460">
        <v>905</v>
      </c>
      <c r="M460">
        <v>681</v>
      </c>
      <c r="N460">
        <v>0</v>
      </c>
      <c r="O460">
        <v>0</v>
      </c>
      <c r="P460">
        <v>45</v>
      </c>
      <c r="Q460">
        <v>0</v>
      </c>
      <c r="R460">
        <v>15</v>
      </c>
      <c r="S460">
        <v>24</v>
      </c>
      <c r="T460">
        <v>0</v>
      </c>
      <c r="U460">
        <v>0</v>
      </c>
      <c r="V460">
        <v>1824</v>
      </c>
      <c r="W460">
        <v>1966</v>
      </c>
      <c r="X460">
        <v>152</v>
      </c>
      <c r="Y460">
        <v>18</v>
      </c>
    </row>
    <row r="461" spans="1:25" x14ac:dyDescent="0.25">
      <c r="A461" t="s">
        <v>1166</v>
      </c>
      <c r="B461">
        <v>5357140</v>
      </c>
      <c r="C461" t="s">
        <v>1167</v>
      </c>
      <c r="D461">
        <v>341</v>
      </c>
      <c r="E461">
        <v>334</v>
      </c>
      <c r="F461">
        <v>7</v>
      </c>
      <c r="G461">
        <v>341</v>
      </c>
      <c r="H461">
        <v>334</v>
      </c>
      <c r="I461">
        <v>7</v>
      </c>
      <c r="J461">
        <v>334</v>
      </c>
      <c r="K461">
        <v>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t="s">
        <v>1168</v>
      </c>
      <c r="B462">
        <v>5357220</v>
      </c>
      <c r="C462" t="s">
        <v>1169</v>
      </c>
      <c r="D462">
        <v>2345</v>
      </c>
      <c r="E462">
        <v>2226</v>
      </c>
      <c r="F462">
        <v>119</v>
      </c>
      <c r="G462">
        <v>2345</v>
      </c>
      <c r="H462">
        <v>2226</v>
      </c>
      <c r="I462">
        <v>119</v>
      </c>
      <c r="J462">
        <v>1706</v>
      </c>
      <c r="K462">
        <v>72</v>
      </c>
      <c r="L462">
        <v>186</v>
      </c>
      <c r="M462">
        <v>0</v>
      </c>
      <c r="N462">
        <v>193</v>
      </c>
      <c r="O462">
        <v>5</v>
      </c>
      <c r="P462">
        <v>11</v>
      </c>
      <c r="Q462">
        <v>0</v>
      </c>
      <c r="R462">
        <v>3</v>
      </c>
      <c r="S462">
        <v>27</v>
      </c>
      <c r="T462">
        <v>5</v>
      </c>
      <c r="U462">
        <v>7</v>
      </c>
      <c r="V462">
        <v>10</v>
      </c>
      <c r="W462">
        <v>5</v>
      </c>
      <c r="X462">
        <v>112</v>
      </c>
      <c r="Y462">
        <v>3</v>
      </c>
    </row>
    <row r="463" spans="1:25" x14ac:dyDescent="0.25">
      <c r="A463" t="s">
        <v>1170</v>
      </c>
      <c r="B463">
        <v>5357395</v>
      </c>
      <c r="C463" t="s">
        <v>1171</v>
      </c>
      <c r="D463">
        <v>1579</v>
      </c>
      <c r="E463">
        <v>1542</v>
      </c>
      <c r="F463">
        <v>37</v>
      </c>
      <c r="G463">
        <v>1579</v>
      </c>
      <c r="H463">
        <v>1542</v>
      </c>
      <c r="I463">
        <v>37</v>
      </c>
      <c r="J463">
        <v>1347</v>
      </c>
      <c r="K463">
        <v>23</v>
      </c>
      <c r="L463">
        <v>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14</v>
      </c>
      <c r="T463">
        <v>41</v>
      </c>
      <c r="U463">
        <v>0</v>
      </c>
      <c r="V463">
        <v>0</v>
      </c>
      <c r="W463">
        <v>0</v>
      </c>
      <c r="X463">
        <v>146</v>
      </c>
      <c r="Y463">
        <v>0</v>
      </c>
    </row>
    <row r="464" spans="1:25" x14ac:dyDescent="0.25">
      <c r="A464" t="s">
        <v>1172</v>
      </c>
      <c r="B464">
        <v>5357430</v>
      </c>
      <c r="C464" t="s">
        <v>1173</v>
      </c>
      <c r="D464">
        <v>2847</v>
      </c>
      <c r="E464">
        <v>2450</v>
      </c>
      <c r="F464">
        <v>397</v>
      </c>
      <c r="G464">
        <v>2847</v>
      </c>
      <c r="H464">
        <v>2450</v>
      </c>
      <c r="I464">
        <v>397</v>
      </c>
      <c r="J464">
        <v>1831</v>
      </c>
      <c r="K464">
        <v>10</v>
      </c>
      <c r="L464">
        <v>296</v>
      </c>
      <c r="M464">
        <v>347</v>
      </c>
      <c r="N464">
        <v>0</v>
      </c>
      <c r="O464">
        <v>0</v>
      </c>
      <c r="P464">
        <v>13</v>
      </c>
      <c r="Q464">
        <v>0</v>
      </c>
      <c r="R464">
        <v>159</v>
      </c>
      <c r="S464">
        <v>24</v>
      </c>
      <c r="T464">
        <v>0</v>
      </c>
      <c r="U464">
        <v>0</v>
      </c>
      <c r="V464">
        <v>0</v>
      </c>
      <c r="W464">
        <v>16</v>
      </c>
      <c r="X464">
        <v>151</v>
      </c>
      <c r="Y464">
        <v>0</v>
      </c>
    </row>
    <row r="465" spans="1:25" x14ac:dyDescent="0.25">
      <c r="A465" t="s">
        <v>1174</v>
      </c>
      <c r="B465">
        <v>5357465</v>
      </c>
      <c r="C465" t="s">
        <v>1175</v>
      </c>
      <c r="D465">
        <v>607</v>
      </c>
      <c r="E465">
        <v>607</v>
      </c>
      <c r="F465">
        <v>0</v>
      </c>
      <c r="G465">
        <v>607</v>
      </c>
      <c r="H465">
        <v>607</v>
      </c>
      <c r="I465">
        <v>0</v>
      </c>
      <c r="J465">
        <v>545</v>
      </c>
      <c r="K465">
        <v>0</v>
      </c>
      <c r="L465">
        <v>49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13</v>
      </c>
      <c r="Y465">
        <v>0</v>
      </c>
    </row>
    <row r="466" spans="1:25" x14ac:dyDescent="0.25">
      <c r="A466" t="s">
        <v>1176</v>
      </c>
      <c r="B466">
        <v>5357535</v>
      </c>
      <c r="C466" t="s">
        <v>1177</v>
      </c>
      <c r="D466">
        <v>60712</v>
      </c>
      <c r="E466">
        <v>35428</v>
      </c>
      <c r="F466">
        <v>25284</v>
      </c>
      <c r="G466">
        <v>60712</v>
      </c>
      <c r="H466">
        <v>35428</v>
      </c>
      <c r="I466">
        <v>25284</v>
      </c>
      <c r="J466">
        <v>25788</v>
      </c>
      <c r="K466">
        <v>6246</v>
      </c>
      <c r="L466">
        <v>1234</v>
      </c>
      <c r="M466">
        <v>1838</v>
      </c>
      <c r="N466">
        <v>686</v>
      </c>
      <c r="O466">
        <v>375</v>
      </c>
      <c r="P466">
        <v>85</v>
      </c>
      <c r="Q466">
        <v>0</v>
      </c>
      <c r="R466">
        <v>5009</v>
      </c>
      <c r="S466">
        <v>15581</v>
      </c>
      <c r="T466">
        <v>68</v>
      </c>
      <c r="U466">
        <v>44</v>
      </c>
      <c r="V466">
        <v>341</v>
      </c>
      <c r="W466">
        <v>651</v>
      </c>
      <c r="X466">
        <v>2217</v>
      </c>
      <c r="Y466">
        <v>549</v>
      </c>
    </row>
    <row r="467" spans="1:25" x14ac:dyDescent="0.25">
      <c r="A467" t="s">
        <v>1178</v>
      </c>
      <c r="B467">
        <v>5357745</v>
      </c>
      <c r="C467" t="s">
        <v>1179</v>
      </c>
      <c r="D467">
        <v>99692</v>
      </c>
      <c r="E467">
        <v>69204</v>
      </c>
      <c r="F467">
        <v>30488</v>
      </c>
      <c r="G467">
        <v>99692</v>
      </c>
      <c r="H467">
        <v>69204</v>
      </c>
      <c r="I467">
        <v>30488</v>
      </c>
      <c r="J467">
        <v>40047</v>
      </c>
      <c r="K467">
        <v>5576</v>
      </c>
      <c r="L467">
        <v>2905</v>
      </c>
      <c r="M467">
        <v>2050</v>
      </c>
      <c r="N467">
        <v>8063</v>
      </c>
      <c r="O467">
        <v>1983</v>
      </c>
      <c r="P467">
        <v>537</v>
      </c>
      <c r="Q467">
        <v>0</v>
      </c>
      <c r="R467">
        <v>7340</v>
      </c>
      <c r="S467">
        <v>15057</v>
      </c>
      <c r="T467">
        <v>976</v>
      </c>
      <c r="U467">
        <v>671</v>
      </c>
      <c r="V467">
        <v>2586</v>
      </c>
      <c r="W467">
        <v>4375</v>
      </c>
      <c r="X467">
        <v>6750</v>
      </c>
      <c r="Y467">
        <v>776</v>
      </c>
    </row>
    <row r="468" spans="1:25" x14ac:dyDescent="0.25">
      <c r="A468" t="s">
        <v>1180</v>
      </c>
      <c r="B468">
        <v>5357850</v>
      </c>
      <c r="C468" t="s">
        <v>1181</v>
      </c>
      <c r="D468">
        <v>1103</v>
      </c>
      <c r="E468">
        <v>1064</v>
      </c>
      <c r="F468">
        <v>39</v>
      </c>
      <c r="G468">
        <v>1103</v>
      </c>
      <c r="H468">
        <v>1064</v>
      </c>
      <c r="I468">
        <v>39</v>
      </c>
      <c r="J468">
        <v>888</v>
      </c>
      <c r="K468">
        <v>17</v>
      </c>
      <c r="L468">
        <v>87</v>
      </c>
      <c r="M468">
        <v>0</v>
      </c>
      <c r="N468">
        <v>4</v>
      </c>
      <c r="O468">
        <v>0</v>
      </c>
      <c r="P468">
        <v>20</v>
      </c>
      <c r="Q468">
        <v>0</v>
      </c>
      <c r="R468">
        <v>0</v>
      </c>
      <c r="S468">
        <v>6</v>
      </c>
      <c r="T468">
        <v>0</v>
      </c>
      <c r="U468">
        <v>13</v>
      </c>
      <c r="V468">
        <v>1</v>
      </c>
      <c r="W468">
        <v>0</v>
      </c>
      <c r="X468">
        <v>64</v>
      </c>
      <c r="Y468">
        <v>3</v>
      </c>
    </row>
    <row r="469" spans="1:25" x14ac:dyDescent="0.25">
      <c r="A469" t="s">
        <v>1182</v>
      </c>
      <c r="B469">
        <v>5358235</v>
      </c>
      <c r="C469" t="s">
        <v>1183</v>
      </c>
      <c r="D469">
        <v>53991</v>
      </c>
      <c r="E469">
        <v>49286</v>
      </c>
      <c r="F469">
        <v>4705</v>
      </c>
      <c r="G469">
        <v>53991</v>
      </c>
      <c r="H469">
        <v>49286</v>
      </c>
      <c r="I469">
        <v>4705</v>
      </c>
      <c r="J469">
        <v>40696</v>
      </c>
      <c r="K469">
        <v>1604</v>
      </c>
      <c r="L469">
        <v>2571</v>
      </c>
      <c r="M469">
        <v>200</v>
      </c>
      <c r="N469">
        <v>505</v>
      </c>
      <c r="O469">
        <v>363</v>
      </c>
      <c r="P469">
        <v>355</v>
      </c>
      <c r="Q469">
        <v>27</v>
      </c>
      <c r="R469">
        <v>932</v>
      </c>
      <c r="S469">
        <v>1790</v>
      </c>
      <c r="T469">
        <v>0</v>
      </c>
      <c r="U469">
        <v>40</v>
      </c>
      <c r="V469">
        <v>2006</v>
      </c>
      <c r="W469">
        <v>555</v>
      </c>
      <c r="X469">
        <v>2221</v>
      </c>
      <c r="Y469">
        <v>126</v>
      </c>
    </row>
    <row r="470" spans="1:25" x14ac:dyDescent="0.25">
      <c r="A470" t="s">
        <v>1184</v>
      </c>
      <c r="B470">
        <v>5358410</v>
      </c>
      <c r="C470" t="s">
        <v>1185</v>
      </c>
      <c r="D470">
        <v>6637</v>
      </c>
      <c r="E470">
        <v>5945</v>
      </c>
      <c r="F470">
        <v>692</v>
      </c>
      <c r="G470">
        <v>6637</v>
      </c>
      <c r="H470">
        <v>5945</v>
      </c>
      <c r="I470">
        <v>692</v>
      </c>
      <c r="J470">
        <v>5584</v>
      </c>
      <c r="K470">
        <v>379</v>
      </c>
      <c r="L470">
        <v>171</v>
      </c>
      <c r="M470">
        <v>36</v>
      </c>
      <c r="N470">
        <v>23</v>
      </c>
      <c r="O470">
        <v>0</v>
      </c>
      <c r="P470">
        <v>0</v>
      </c>
      <c r="Q470">
        <v>0</v>
      </c>
      <c r="R470">
        <v>37</v>
      </c>
      <c r="S470">
        <v>261</v>
      </c>
      <c r="T470">
        <v>0</v>
      </c>
      <c r="U470">
        <v>0</v>
      </c>
      <c r="V470">
        <v>0</v>
      </c>
      <c r="W470">
        <v>0</v>
      </c>
      <c r="X470">
        <v>130</v>
      </c>
      <c r="Y470">
        <v>16</v>
      </c>
    </row>
    <row r="471" spans="1:25" x14ac:dyDescent="0.25">
      <c r="A471" t="s">
        <v>1186</v>
      </c>
      <c r="B471">
        <v>5358725</v>
      </c>
      <c r="C471" t="s">
        <v>1187</v>
      </c>
      <c r="D471">
        <v>1531</v>
      </c>
      <c r="E471">
        <v>1423</v>
      </c>
      <c r="F471">
        <v>108</v>
      </c>
      <c r="G471">
        <v>1531</v>
      </c>
      <c r="H471">
        <v>1423</v>
      </c>
      <c r="I471">
        <v>108</v>
      </c>
      <c r="J471">
        <v>1238</v>
      </c>
      <c r="K471">
        <v>29</v>
      </c>
      <c r="L471">
        <v>32</v>
      </c>
      <c r="M471">
        <v>11</v>
      </c>
      <c r="N471">
        <v>0</v>
      </c>
      <c r="O471">
        <v>0</v>
      </c>
      <c r="P471">
        <v>2</v>
      </c>
      <c r="Q471">
        <v>2</v>
      </c>
      <c r="R471">
        <v>0</v>
      </c>
      <c r="S471">
        <v>37</v>
      </c>
      <c r="T471">
        <v>0</v>
      </c>
      <c r="U471">
        <v>0</v>
      </c>
      <c r="V471">
        <v>51</v>
      </c>
      <c r="W471">
        <v>14</v>
      </c>
      <c r="X471">
        <v>100</v>
      </c>
      <c r="Y471">
        <v>15</v>
      </c>
    </row>
    <row r="472" spans="1:25" x14ac:dyDescent="0.25">
      <c r="A472" t="s">
        <v>1188</v>
      </c>
      <c r="B472">
        <v>5358742</v>
      </c>
      <c r="C472" t="s">
        <v>1189</v>
      </c>
      <c r="D472">
        <v>2241</v>
      </c>
      <c r="E472">
        <v>2121</v>
      </c>
      <c r="F472">
        <v>120</v>
      </c>
      <c r="G472">
        <v>2241</v>
      </c>
      <c r="H472">
        <v>2121</v>
      </c>
      <c r="I472">
        <v>120</v>
      </c>
      <c r="J472">
        <v>2042</v>
      </c>
      <c r="K472">
        <v>79</v>
      </c>
      <c r="L472">
        <v>0</v>
      </c>
      <c r="M472">
        <v>16</v>
      </c>
      <c r="N472">
        <v>79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25</v>
      </c>
    </row>
    <row r="473" spans="1:25" x14ac:dyDescent="0.25">
      <c r="A473" t="s">
        <v>1190</v>
      </c>
      <c r="B473">
        <v>5358777</v>
      </c>
      <c r="C473" t="s">
        <v>1191</v>
      </c>
      <c r="D473">
        <v>952</v>
      </c>
      <c r="E473">
        <v>690</v>
      </c>
      <c r="F473">
        <v>262</v>
      </c>
      <c r="G473">
        <v>952</v>
      </c>
      <c r="H473">
        <v>690</v>
      </c>
      <c r="I473">
        <v>262</v>
      </c>
      <c r="J473">
        <v>511</v>
      </c>
      <c r="K473">
        <v>13</v>
      </c>
      <c r="L473">
        <v>80</v>
      </c>
      <c r="M473">
        <v>225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20</v>
      </c>
      <c r="W473">
        <v>24</v>
      </c>
      <c r="X473">
        <v>79</v>
      </c>
      <c r="Y473">
        <v>0</v>
      </c>
    </row>
    <row r="474" spans="1:25" x14ac:dyDescent="0.25">
      <c r="A474" t="s">
        <v>1192</v>
      </c>
      <c r="B474">
        <v>5358795</v>
      </c>
      <c r="C474" t="s">
        <v>1193</v>
      </c>
      <c r="D474">
        <v>383</v>
      </c>
      <c r="E474">
        <v>366</v>
      </c>
      <c r="F474">
        <v>17</v>
      </c>
      <c r="G474">
        <v>383</v>
      </c>
      <c r="H474">
        <v>366</v>
      </c>
      <c r="I474">
        <v>17</v>
      </c>
      <c r="J474">
        <v>307</v>
      </c>
      <c r="K474">
        <v>12</v>
      </c>
      <c r="L474">
        <v>17</v>
      </c>
      <c r="M474">
        <v>1</v>
      </c>
      <c r="N474">
        <v>0</v>
      </c>
      <c r="O474">
        <v>0</v>
      </c>
      <c r="P474">
        <v>35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3</v>
      </c>
      <c r="X474">
        <v>7</v>
      </c>
      <c r="Y474">
        <v>0</v>
      </c>
    </row>
    <row r="475" spans="1:25" x14ac:dyDescent="0.25">
      <c r="A475" t="s">
        <v>1194</v>
      </c>
      <c r="B475">
        <v>5359110</v>
      </c>
      <c r="C475" t="s">
        <v>1195</v>
      </c>
      <c r="D475">
        <v>2923</v>
      </c>
      <c r="E475">
        <v>2717</v>
      </c>
      <c r="F475">
        <v>206</v>
      </c>
      <c r="G475">
        <v>2923</v>
      </c>
      <c r="H475">
        <v>2717</v>
      </c>
      <c r="I475">
        <v>206</v>
      </c>
      <c r="J475">
        <v>2217</v>
      </c>
      <c r="K475">
        <v>99</v>
      </c>
      <c r="L475">
        <v>307</v>
      </c>
      <c r="M475">
        <v>107</v>
      </c>
      <c r="N475">
        <v>0</v>
      </c>
      <c r="O475">
        <v>0</v>
      </c>
      <c r="P475">
        <v>82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111</v>
      </c>
      <c r="Y475">
        <v>0</v>
      </c>
    </row>
    <row r="476" spans="1:25" x14ac:dyDescent="0.25">
      <c r="A476" t="s">
        <v>1196</v>
      </c>
      <c r="B476">
        <v>5359145</v>
      </c>
      <c r="C476" t="s">
        <v>1197</v>
      </c>
      <c r="D476">
        <v>390</v>
      </c>
      <c r="E476">
        <v>385</v>
      </c>
      <c r="F476">
        <v>5</v>
      </c>
      <c r="G476">
        <v>390</v>
      </c>
      <c r="H476">
        <v>385</v>
      </c>
      <c r="I476">
        <v>5</v>
      </c>
      <c r="J476">
        <v>340</v>
      </c>
      <c r="K476">
        <v>5</v>
      </c>
      <c r="L476">
        <v>23</v>
      </c>
      <c r="M476">
        <v>0</v>
      </c>
      <c r="N476">
        <v>0</v>
      </c>
      <c r="O476">
        <v>0</v>
      </c>
      <c r="P476">
        <v>12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10</v>
      </c>
      <c r="Y476">
        <v>0</v>
      </c>
    </row>
    <row r="477" spans="1:25" x14ac:dyDescent="0.25">
      <c r="A477" t="s">
        <v>1198</v>
      </c>
      <c r="B477">
        <v>5359180</v>
      </c>
      <c r="C477" t="s">
        <v>1199</v>
      </c>
      <c r="D477">
        <v>1302</v>
      </c>
      <c r="E477">
        <v>1087</v>
      </c>
      <c r="F477">
        <v>215</v>
      </c>
      <c r="G477">
        <v>1302</v>
      </c>
      <c r="H477">
        <v>1087</v>
      </c>
      <c r="I477">
        <v>215</v>
      </c>
      <c r="J477">
        <v>665</v>
      </c>
      <c r="K477">
        <v>10</v>
      </c>
      <c r="L477">
        <v>211</v>
      </c>
      <c r="M477">
        <v>18</v>
      </c>
      <c r="N477">
        <v>0</v>
      </c>
      <c r="O477">
        <v>0</v>
      </c>
      <c r="P477">
        <v>17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152</v>
      </c>
      <c r="W477">
        <v>187</v>
      </c>
      <c r="X477">
        <v>42</v>
      </c>
      <c r="Y477">
        <v>0</v>
      </c>
    </row>
    <row r="478" spans="1:25" x14ac:dyDescent="0.25">
      <c r="A478" t="s">
        <v>1200</v>
      </c>
      <c r="B478">
        <v>5359250</v>
      </c>
      <c r="C478" t="s">
        <v>1201</v>
      </c>
      <c r="D478">
        <v>76</v>
      </c>
      <c r="E478">
        <v>76</v>
      </c>
      <c r="F478">
        <v>0</v>
      </c>
      <c r="G478">
        <v>76</v>
      </c>
      <c r="H478">
        <v>76</v>
      </c>
      <c r="I478">
        <v>0</v>
      </c>
      <c r="J478">
        <v>76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 t="s">
        <v>1202</v>
      </c>
      <c r="B479">
        <v>5359390</v>
      </c>
      <c r="C479" t="s">
        <v>1203</v>
      </c>
      <c r="D479">
        <v>1449</v>
      </c>
      <c r="E479">
        <v>1355</v>
      </c>
      <c r="F479">
        <v>94</v>
      </c>
      <c r="G479">
        <v>1449</v>
      </c>
      <c r="H479">
        <v>1355</v>
      </c>
      <c r="I479">
        <v>94</v>
      </c>
      <c r="J479">
        <v>1202</v>
      </c>
      <c r="K479">
        <v>51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29</v>
      </c>
      <c r="S479">
        <v>29</v>
      </c>
      <c r="T479">
        <v>0</v>
      </c>
      <c r="U479">
        <v>0</v>
      </c>
      <c r="V479">
        <v>0</v>
      </c>
      <c r="W479">
        <v>0</v>
      </c>
      <c r="X479">
        <v>101</v>
      </c>
      <c r="Y479">
        <v>14</v>
      </c>
    </row>
    <row r="480" spans="1:25" x14ac:dyDescent="0.25">
      <c r="A480" t="s">
        <v>1204</v>
      </c>
      <c r="B480">
        <v>5359635</v>
      </c>
      <c r="C480" t="s">
        <v>1205</v>
      </c>
      <c r="D480">
        <v>284</v>
      </c>
      <c r="E480">
        <v>284</v>
      </c>
      <c r="F480">
        <v>0</v>
      </c>
      <c r="G480">
        <v>284</v>
      </c>
      <c r="H480">
        <v>284</v>
      </c>
      <c r="I480">
        <v>0</v>
      </c>
      <c r="J480">
        <v>284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5">
      <c r="A481" t="s">
        <v>1206</v>
      </c>
      <c r="B481">
        <v>5359705</v>
      </c>
      <c r="C481" t="s">
        <v>1207</v>
      </c>
      <c r="D481">
        <v>107</v>
      </c>
      <c r="E481">
        <v>64</v>
      </c>
      <c r="F481">
        <v>43</v>
      </c>
      <c r="G481">
        <v>107</v>
      </c>
      <c r="H481">
        <v>64</v>
      </c>
      <c r="I481">
        <v>43</v>
      </c>
      <c r="J481">
        <v>52</v>
      </c>
      <c r="K481">
        <v>10</v>
      </c>
      <c r="L481">
        <v>12</v>
      </c>
      <c r="M481">
        <v>33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5">
      <c r="A482" t="s">
        <v>1208</v>
      </c>
      <c r="B482">
        <v>5359775</v>
      </c>
      <c r="C482" t="s">
        <v>1209</v>
      </c>
      <c r="D482">
        <v>592</v>
      </c>
      <c r="E482">
        <v>581</v>
      </c>
      <c r="F482">
        <v>11</v>
      </c>
      <c r="G482">
        <v>592</v>
      </c>
      <c r="H482">
        <v>581</v>
      </c>
      <c r="I482">
        <v>11</v>
      </c>
      <c r="J482">
        <v>502</v>
      </c>
      <c r="K482">
        <v>4</v>
      </c>
      <c r="L482">
        <v>61</v>
      </c>
      <c r="M482">
        <v>1</v>
      </c>
      <c r="N482">
        <v>2</v>
      </c>
      <c r="O482">
        <v>0</v>
      </c>
      <c r="P482">
        <v>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</v>
      </c>
      <c r="X482">
        <v>10</v>
      </c>
      <c r="Y482">
        <v>0</v>
      </c>
    </row>
    <row r="483" spans="1:25" x14ac:dyDescent="0.25">
      <c r="A483" t="s">
        <v>1210</v>
      </c>
      <c r="B483">
        <v>5359845</v>
      </c>
      <c r="C483" t="s">
        <v>1211</v>
      </c>
      <c r="D483">
        <v>385</v>
      </c>
      <c r="E483">
        <v>357</v>
      </c>
      <c r="F483">
        <v>28</v>
      </c>
      <c r="G483">
        <v>385</v>
      </c>
      <c r="H483">
        <v>357</v>
      </c>
      <c r="I483">
        <v>28</v>
      </c>
      <c r="J483">
        <v>339</v>
      </c>
      <c r="K483">
        <v>14</v>
      </c>
      <c r="L483">
        <v>0</v>
      </c>
      <c r="M483">
        <v>14</v>
      </c>
      <c r="N483">
        <v>0</v>
      </c>
      <c r="O483">
        <v>0</v>
      </c>
      <c r="P483">
        <v>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11</v>
      </c>
      <c r="Y483">
        <v>0</v>
      </c>
    </row>
    <row r="484" spans="1:25" x14ac:dyDescent="0.25">
      <c r="A484" t="s">
        <v>1212</v>
      </c>
      <c r="B484">
        <v>5359880</v>
      </c>
      <c r="C484" t="s">
        <v>1213</v>
      </c>
      <c r="D484">
        <v>4459</v>
      </c>
      <c r="E484">
        <v>4107</v>
      </c>
      <c r="F484">
        <v>352</v>
      </c>
      <c r="G484">
        <v>4459</v>
      </c>
      <c r="H484">
        <v>4107</v>
      </c>
      <c r="I484">
        <v>352</v>
      </c>
      <c r="J484">
        <v>3244</v>
      </c>
      <c r="K484">
        <v>148</v>
      </c>
      <c r="L484">
        <v>20</v>
      </c>
      <c r="M484">
        <v>22</v>
      </c>
      <c r="N484">
        <v>130</v>
      </c>
      <c r="O484">
        <v>0</v>
      </c>
      <c r="P484">
        <v>62</v>
      </c>
      <c r="Q484">
        <v>0</v>
      </c>
      <c r="R484">
        <v>33</v>
      </c>
      <c r="S484">
        <v>94</v>
      </c>
      <c r="T484">
        <v>13</v>
      </c>
      <c r="U484">
        <v>28</v>
      </c>
      <c r="V484">
        <v>41</v>
      </c>
      <c r="W484">
        <v>60</v>
      </c>
      <c r="X484">
        <v>564</v>
      </c>
      <c r="Y484">
        <v>0</v>
      </c>
    </row>
    <row r="485" spans="1:25" x14ac:dyDescent="0.25">
      <c r="A485" t="s">
        <v>1214</v>
      </c>
      <c r="B485">
        <v>5360055</v>
      </c>
      <c r="C485" t="s">
        <v>1215</v>
      </c>
      <c r="D485">
        <v>664</v>
      </c>
      <c r="E485">
        <v>657</v>
      </c>
      <c r="F485">
        <v>7</v>
      </c>
      <c r="G485">
        <v>664</v>
      </c>
      <c r="H485">
        <v>657</v>
      </c>
      <c r="I485">
        <v>7</v>
      </c>
      <c r="J485">
        <v>645</v>
      </c>
      <c r="K485">
        <v>7</v>
      </c>
      <c r="L485">
        <v>4</v>
      </c>
      <c r="M485">
        <v>0</v>
      </c>
      <c r="N485">
        <v>0</v>
      </c>
      <c r="O485">
        <v>0</v>
      </c>
      <c r="P485">
        <v>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</v>
      </c>
      <c r="Y485">
        <v>0</v>
      </c>
    </row>
    <row r="486" spans="1:25" x14ac:dyDescent="0.25">
      <c r="A486" t="s">
        <v>1216</v>
      </c>
      <c r="B486">
        <v>5360160</v>
      </c>
      <c r="C486" t="s">
        <v>1217</v>
      </c>
      <c r="D486">
        <v>707</v>
      </c>
      <c r="E486">
        <v>649</v>
      </c>
      <c r="F486">
        <v>58</v>
      </c>
      <c r="G486">
        <v>707</v>
      </c>
      <c r="H486">
        <v>649</v>
      </c>
      <c r="I486">
        <v>58</v>
      </c>
      <c r="J486">
        <v>534</v>
      </c>
      <c r="K486">
        <v>36</v>
      </c>
      <c r="L486">
        <v>29</v>
      </c>
      <c r="M486">
        <v>0</v>
      </c>
      <c r="N486">
        <v>3</v>
      </c>
      <c r="O486">
        <v>0</v>
      </c>
      <c r="P486">
        <v>17</v>
      </c>
      <c r="Q486">
        <v>0</v>
      </c>
      <c r="R486">
        <v>3</v>
      </c>
      <c r="S486">
        <v>19</v>
      </c>
      <c r="T486">
        <v>0</v>
      </c>
      <c r="U486">
        <v>0</v>
      </c>
      <c r="V486">
        <v>25</v>
      </c>
      <c r="W486">
        <v>0</v>
      </c>
      <c r="X486">
        <v>38</v>
      </c>
      <c r="Y486">
        <v>3</v>
      </c>
    </row>
    <row r="487" spans="1:25" x14ac:dyDescent="0.25">
      <c r="A487" t="s">
        <v>1218</v>
      </c>
      <c r="B487">
        <v>5360230</v>
      </c>
      <c r="C487" t="s">
        <v>1219</v>
      </c>
      <c r="D487">
        <v>1587</v>
      </c>
      <c r="E487">
        <v>713</v>
      </c>
      <c r="F487">
        <v>874</v>
      </c>
      <c r="G487">
        <v>1587</v>
      </c>
      <c r="H487">
        <v>713</v>
      </c>
      <c r="I487">
        <v>874</v>
      </c>
      <c r="J487">
        <v>135</v>
      </c>
      <c r="K487">
        <v>0</v>
      </c>
      <c r="L487">
        <v>182</v>
      </c>
      <c r="M487">
        <v>243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387</v>
      </c>
      <c r="W487">
        <v>631</v>
      </c>
      <c r="X487">
        <v>9</v>
      </c>
      <c r="Y487">
        <v>0</v>
      </c>
    </row>
    <row r="488" spans="1:25" x14ac:dyDescent="0.25">
      <c r="A488" t="s">
        <v>1220</v>
      </c>
      <c r="B488">
        <v>5360510</v>
      </c>
      <c r="C488" t="s">
        <v>1221</v>
      </c>
      <c r="D488">
        <v>1007</v>
      </c>
      <c r="E488">
        <v>937</v>
      </c>
      <c r="F488">
        <v>70</v>
      </c>
      <c r="G488">
        <v>1007</v>
      </c>
      <c r="H488">
        <v>937</v>
      </c>
      <c r="I488">
        <v>70</v>
      </c>
      <c r="J488">
        <v>802</v>
      </c>
      <c r="K488">
        <v>37</v>
      </c>
      <c r="L488">
        <v>47</v>
      </c>
      <c r="M488">
        <v>12</v>
      </c>
      <c r="N488">
        <v>19</v>
      </c>
      <c r="O488">
        <v>0</v>
      </c>
      <c r="P488">
        <v>11</v>
      </c>
      <c r="Q488">
        <v>0</v>
      </c>
      <c r="R488">
        <v>8</v>
      </c>
      <c r="S488">
        <v>16</v>
      </c>
      <c r="T488">
        <v>2</v>
      </c>
      <c r="U488">
        <v>0</v>
      </c>
      <c r="V488">
        <v>4</v>
      </c>
      <c r="W488">
        <v>1</v>
      </c>
      <c r="X488">
        <v>44</v>
      </c>
      <c r="Y488">
        <v>4</v>
      </c>
    </row>
    <row r="489" spans="1:25" x14ac:dyDescent="0.25">
      <c r="A489" t="s">
        <v>1222</v>
      </c>
      <c r="B489">
        <v>5360580</v>
      </c>
      <c r="C489" t="s">
        <v>1223</v>
      </c>
      <c r="D489">
        <v>332</v>
      </c>
      <c r="E489">
        <v>321</v>
      </c>
      <c r="F489">
        <v>11</v>
      </c>
      <c r="G489">
        <v>332</v>
      </c>
      <c r="H489">
        <v>321</v>
      </c>
      <c r="I489">
        <v>11</v>
      </c>
      <c r="J489">
        <v>321</v>
      </c>
      <c r="K489">
        <v>11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t="s">
        <v>1224</v>
      </c>
      <c r="B490">
        <v>5360860</v>
      </c>
      <c r="C490" t="s">
        <v>1225</v>
      </c>
      <c r="D490">
        <v>547</v>
      </c>
      <c r="E490">
        <v>523</v>
      </c>
      <c r="F490">
        <v>24</v>
      </c>
      <c r="G490">
        <v>547</v>
      </c>
      <c r="H490">
        <v>523</v>
      </c>
      <c r="I490">
        <v>24</v>
      </c>
      <c r="J490">
        <v>480</v>
      </c>
      <c r="K490">
        <v>16</v>
      </c>
      <c r="L490">
        <v>10</v>
      </c>
      <c r="M490">
        <v>6</v>
      </c>
      <c r="N490">
        <v>10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10</v>
      </c>
      <c r="W490">
        <v>2</v>
      </c>
      <c r="X490">
        <v>13</v>
      </c>
      <c r="Y490">
        <v>0</v>
      </c>
    </row>
    <row r="491" spans="1:25" x14ac:dyDescent="0.25">
      <c r="A491" t="s">
        <v>1226</v>
      </c>
      <c r="B491">
        <v>5361000</v>
      </c>
      <c r="C491" t="s">
        <v>1227</v>
      </c>
      <c r="D491">
        <v>21068</v>
      </c>
      <c r="E491">
        <v>19114</v>
      </c>
      <c r="F491">
        <v>1954</v>
      </c>
      <c r="G491">
        <v>21068</v>
      </c>
      <c r="H491">
        <v>19114</v>
      </c>
      <c r="I491">
        <v>1954</v>
      </c>
      <c r="J491">
        <v>16527</v>
      </c>
      <c r="K491">
        <v>771</v>
      </c>
      <c r="L491">
        <v>682</v>
      </c>
      <c r="M491">
        <v>142</v>
      </c>
      <c r="N491">
        <v>168</v>
      </c>
      <c r="O491">
        <v>9</v>
      </c>
      <c r="P491">
        <v>126</v>
      </c>
      <c r="Q491">
        <v>0</v>
      </c>
      <c r="R491">
        <v>154</v>
      </c>
      <c r="S491">
        <v>584</v>
      </c>
      <c r="T491">
        <v>101</v>
      </c>
      <c r="U491">
        <v>0</v>
      </c>
      <c r="V491">
        <v>568</v>
      </c>
      <c r="W491">
        <v>374</v>
      </c>
      <c r="X491">
        <v>788</v>
      </c>
      <c r="Y491">
        <v>74</v>
      </c>
    </row>
    <row r="492" spans="1:25" x14ac:dyDescent="0.25">
      <c r="A492" t="s">
        <v>1228</v>
      </c>
      <c r="B492">
        <v>5361115</v>
      </c>
      <c r="C492" t="s">
        <v>1229</v>
      </c>
      <c r="D492">
        <v>62877</v>
      </c>
      <c r="E492">
        <v>45404</v>
      </c>
      <c r="F492">
        <v>17473</v>
      </c>
      <c r="G492">
        <v>62877</v>
      </c>
      <c r="H492">
        <v>45404</v>
      </c>
      <c r="I492">
        <v>17473</v>
      </c>
      <c r="J492">
        <v>35619</v>
      </c>
      <c r="K492">
        <v>4676</v>
      </c>
      <c r="L492">
        <v>1269</v>
      </c>
      <c r="M492">
        <v>496</v>
      </c>
      <c r="N492">
        <v>420</v>
      </c>
      <c r="O492">
        <v>167</v>
      </c>
      <c r="P492">
        <v>1</v>
      </c>
      <c r="Q492">
        <v>77</v>
      </c>
      <c r="R492">
        <v>5656</v>
      </c>
      <c r="S492">
        <v>11557</v>
      </c>
      <c r="T492">
        <v>67</v>
      </c>
      <c r="U492">
        <v>9</v>
      </c>
      <c r="V492">
        <v>177</v>
      </c>
      <c r="W492">
        <v>180</v>
      </c>
      <c r="X492">
        <v>2195</v>
      </c>
      <c r="Y492">
        <v>311</v>
      </c>
    </row>
    <row r="493" spans="1:25" x14ac:dyDescent="0.25">
      <c r="A493" t="s">
        <v>1230</v>
      </c>
      <c r="B493">
        <v>5361235</v>
      </c>
      <c r="C493" t="s">
        <v>1231</v>
      </c>
      <c r="D493">
        <v>26</v>
      </c>
      <c r="E493">
        <v>26</v>
      </c>
      <c r="F493">
        <v>0</v>
      </c>
      <c r="G493">
        <v>26</v>
      </c>
      <c r="H493">
        <v>26</v>
      </c>
      <c r="I493">
        <v>0</v>
      </c>
      <c r="J493">
        <v>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15</v>
      </c>
      <c r="Q493">
        <v>0</v>
      </c>
      <c r="R493">
        <v>0</v>
      </c>
      <c r="S493">
        <v>0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t="s">
        <v>1232</v>
      </c>
      <c r="B494">
        <v>5361350</v>
      </c>
      <c r="C494" t="s">
        <v>1233</v>
      </c>
      <c r="D494">
        <v>572</v>
      </c>
      <c r="E494">
        <v>551</v>
      </c>
      <c r="F494">
        <v>21</v>
      </c>
      <c r="G494">
        <v>572</v>
      </c>
      <c r="H494">
        <v>551</v>
      </c>
      <c r="I494">
        <v>21</v>
      </c>
      <c r="J494">
        <v>516</v>
      </c>
      <c r="K494">
        <v>21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34</v>
      </c>
      <c r="Y494">
        <v>0</v>
      </c>
    </row>
    <row r="495" spans="1:25" x14ac:dyDescent="0.25">
      <c r="A495" t="s">
        <v>1234</v>
      </c>
      <c r="B495">
        <v>5362120</v>
      </c>
      <c r="C495" t="s">
        <v>1235</v>
      </c>
      <c r="D495">
        <v>1141</v>
      </c>
      <c r="E495">
        <v>927</v>
      </c>
      <c r="F495">
        <v>214</v>
      </c>
      <c r="G495">
        <v>1141</v>
      </c>
      <c r="H495">
        <v>927</v>
      </c>
      <c r="I495">
        <v>214</v>
      </c>
      <c r="J495">
        <v>814</v>
      </c>
      <c r="K495">
        <v>100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52</v>
      </c>
      <c r="S495">
        <v>88</v>
      </c>
      <c r="T495">
        <v>0</v>
      </c>
      <c r="U495">
        <v>0</v>
      </c>
      <c r="V495">
        <v>31</v>
      </c>
      <c r="W495">
        <v>0</v>
      </c>
      <c r="X495">
        <v>30</v>
      </c>
      <c r="Y495">
        <v>26</v>
      </c>
    </row>
    <row r="496" spans="1:25" x14ac:dyDescent="0.25">
      <c r="A496" t="s">
        <v>1236</v>
      </c>
      <c r="B496">
        <v>5362288</v>
      </c>
      <c r="C496" t="s">
        <v>1237</v>
      </c>
      <c r="D496">
        <v>28597</v>
      </c>
      <c r="E496">
        <v>16387</v>
      </c>
      <c r="F496">
        <v>12210</v>
      </c>
      <c r="G496">
        <v>28597</v>
      </c>
      <c r="H496">
        <v>16387</v>
      </c>
      <c r="I496">
        <v>12210</v>
      </c>
      <c r="J496">
        <v>8166</v>
      </c>
      <c r="K496">
        <v>1055</v>
      </c>
      <c r="L496">
        <v>1481</v>
      </c>
      <c r="M496">
        <v>1317</v>
      </c>
      <c r="N496">
        <v>2386</v>
      </c>
      <c r="O496">
        <v>4280</v>
      </c>
      <c r="P496">
        <v>217</v>
      </c>
      <c r="Q496">
        <v>44</v>
      </c>
      <c r="R496">
        <v>1035</v>
      </c>
      <c r="S496">
        <v>3472</v>
      </c>
      <c r="T496">
        <v>356</v>
      </c>
      <c r="U496">
        <v>350</v>
      </c>
      <c r="V496">
        <v>880</v>
      </c>
      <c r="W496">
        <v>1135</v>
      </c>
      <c r="X496">
        <v>1866</v>
      </c>
      <c r="Y496">
        <v>557</v>
      </c>
    </row>
    <row r="497" spans="1:25" x14ac:dyDescent="0.25">
      <c r="A497" t="s">
        <v>1238</v>
      </c>
      <c r="B497">
        <v>5363000</v>
      </c>
      <c r="C497" t="s">
        <v>1239</v>
      </c>
      <c r="D497">
        <v>688245</v>
      </c>
      <c r="E497">
        <v>550129</v>
      </c>
      <c r="F497">
        <v>138116</v>
      </c>
      <c r="G497">
        <v>688245</v>
      </c>
      <c r="H497">
        <v>550129</v>
      </c>
      <c r="I497">
        <v>138116</v>
      </c>
      <c r="J497">
        <v>413282</v>
      </c>
      <c r="K497">
        <v>35856</v>
      </c>
      <c r="L497">
        <v>16198</v>
      </c>
      <c r="M497">
        <v>7011</v>
      </c>
      <c r="N497">
        <v>34611</v>
      </c>
      <c r="O497">
        <v>14273</v>
      </c>
      <c r="P497">
        <v>3345</v>
      </c>
      <c r="Q497">
        <v>454</v>
      </c>
      <c r="R497">
        <v>33760</v>
      </c>
      <c r="S497">
        <v>65968</v>
      </c>
      <c r="T497">
        <v>1578</v>
      </c>
      <c r="U497">
        <v>1097</v>
      </c>
      <c r="V497">
        <v>7291</v>
      </c>
      <c r="W497">
        <v>7864</v>
      </c>
      <c r="X497">
        <v>40064</v>
      </c>
      <c r="Y497">
        <v>5593</v>
      </c>
    </row>
    <row r="498" spans="1:25" x14ac:dyDescent="0.25">
      <c r="A498" t="s">
        <v>1240</v>
      </c>
      <c r="B498">
        <v>5363210</v>
      </c>
      <c r="C498" t="s">
        <v>1241</v>
      </c>
      <c r="D498">
        <v>11360</v>
      </c>
      <c r="E498">
        <v>10650</v>
      </c>
      <c r="F498">
        <v>710</v>
      </c>
      <c r="G498">
        <v>11360</v>
      </c>
      <c r="H498">
        <v>10650</v>
      </c>
      <c r="I498">
        <v>710</v>
      </c>
      <c r="J498">
        <v>8561</v>
      </c>
      <c r="K498">
        <v>124</v>
      </c>
      <c r="L498">
        <v>439</v>
      </c>
      <c r="M498">
        <v>84</v>
      </c>
      <c r="N498">
        <v>162</v>
      </c>
      <c r="O498">
        <v>69</v>
      </c>
      <c r="P498">
        <v>171</v>
      </c>
      <c r="Q498">
        <v>0</v>
      </c>
      <c r="R498">
        <v>0</v>
      </c>
      <c r="S498">
        <v>35</v>
      </c>
      <c r="T498">
        <v>111</v>
      </c>
      <c r="U498">
        <v>23</v>
      </c>
      <c r="V498">
        <v>239</v>
      </c>
      <c r="W498">
        <v>312</v>
      </c>
      <c r="X498">
        <v>967</v>
      </c>
      <c r="Y498">
        <v>63</v>
      </c>
    </row>
    <row r="499" spans="1:25" x14ac:dyDescent="0.25">
      <c r="A499" t="s">
        <v>1242</v>
      </c>
      <c r="B499">
        <v>5363245</v>
      </c>
      <c r="C499" t="s">
        <v>1243</v>
      </c>
      <c r="D499">
        <v>50</v>
      </c>
      <c r="E499">
        <v>50</v>
      </c>
      <c r="F499">
        <v>0</v>
      </c>
      <c r="G499">
        <v>50</v>
      </c>
      <c r="H499">
        <v>50</v>
      </c>
      <c r="I499">
        <v>0</v>
      </c>
      <c r="J499">
        <v>50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 t="s">
        <v>1244</v>
      </c>
      <c r="B500">
        <v>5363280</v>
      </c>
      <c r="C500" t="s">
        <v>1245</v>
      </c>
      <c r="D500">
        <v>7652</v>
      </c>
      <c r="E500">
        <v>6858</v>
      </c>
      <c r="F500">
        <v>794</v>
      </c>
      <c r="G500">
        <v>7652</v>
      </c>
      <c r="H500">
        <v>6858</v>
      </c>
      <c r="I500">
        <v>794</v>
      </c>
      <c r="J500">
        <v>6135</v>
      </c>
      <c r="K500">
        <v>474</v>
      </c>
      <c r="L500">
        <v>400</v>
      </c>
      <c r="M500">
        <v>212</v>
      </c>
      <c r="N500">
        <v>87</v>
      </c>
      <c r="O500">
        <v>0</v>
      </c>
      <c r="P500">
        <v>33</v>
      </c>
      <c r="Q500">
        <v>0</v>
      </c>
      <c r="R500">
        <v>0</v>
      </c>
      <c r="S500">
        <v>31</v>
      </c>
      <c r="T500">
        <v>0</v>
      </c>
      <c r="U500">
        <v>0</v>
      </c>
      <c r="V500">
        <v>51</v>
      </c>
      <c r="W500">
        <v>77</v>
      </c>
      <c r="X500">
        <v>152</v>
      </c>
      <c r="Y500">
        <v>0</v>
      </c>
    </row>
    <row r="501" spans="1:25" x14ac:dyDescent="0.25">
      <c r="A501" t="s">
        <v>1246</v>
      </c>
      <c r="B501">
        <v>5363385</v>
      </c>
      <c r="C501" t="s">
        <v>1247</v>
      </c>
      <c r="D501">
        <v>6819</v>
      </c>
      <c r="E501">
        <v>6265</v>
      </c>
      <c r="F501">
        <v>554</v>
      </c>
      <c r="G501">
        <v>6819</v>
      </c>
      <c r="H501">
        <v>6265</v>
      </c>
      <c r="I501">
        <v>554</v>
      </c>
      <c r="J501">
        <v>5151</v>
      </c>
      <c r="K501">
        <v>177</v>
      </c>
      <c r="L501">
        <v>402</v>
      </c>
      <c r="M501">
        <v>94</v>
      </c>
      <c r="N501">
        <v>116</v>
      </c>
      <c r="O501">
        <v>0</v>
      </c>
      <c r="P501">
        <v>67</v>
      </c>
      <c r="Q501">
        <v>0</v>
      </c>
      <c r="R501">
        <v>27</v>
      </c>
      <c r="S501">
        <v>199</v>
      </c>
      <c r="T501">
        <v>0</v>
      </c>
      <c r="U501">
        <v>0</v>
      </c>
      <c r="V501">
        <v>292</v>
      </c>
      <c r="W501">
        <v>39</v>
      </c>
      <c r="X501">
        <v>210</v>
      </c>
      <c r="Y501">
        <v>45</v>
      </c>
    </row>
    <row r="502" spans="1:25" x14ac:dyDescent="0.25">
      <c r="A502" t="s">
        <v>1248</v>
      </c>
      <c r="B502">
        <v>5363545</v>
      </c>
      <c r="C502" t="s">
        <v>1249</v>
      </c>
      <c r="D502">
        <v>2655</v>
      </c>
      <c r="E502">
        <v>2459</v>
      </c>
      <c r="F502">
        <v>196</v>
      </c>
      <c r="G502">
        <v>2655</v>
      </c>
      <c r="H502">
        <v>2459</v>
      </c>
      <c r="I502">
        <v>196</v>
      </c>
      <c r="J502">
        <v>2025</v>
      </c>
      <c r="K502">
        <v>140</v>
      </c>
      <c r="L502">
        <v>90</v>
      </c>
      <c r="M502">
        <v>0</v>
      </c>
      <c r="N502">
        <v>138</v>
      </c>
      <c r="O502">
        <v>0</v>
      </c>
      <c r="P502">
        <v>0</v>
      </c>
      <c r="Q502">
        <v>0</v>
      </c>
      <c r="R502">
        <v>17</v>
      </c>
      <c r="S502">
        <v>56</v>
      </c>
      <c r="T502">
        <v>30</v>
      </c>
      <c r="U502">
        <v>0</v>
      </c>
      <c r="V502">
        <v>32</v>
      </c>
      <c r="W502">
        <v>0</v>
      </c>
      <c r="X502">
        <v>127</v>
      </c>
      <c r="Y502">
        <v>0</v>
      </c>
    </row>
    <row r="503" spans="1:25" x14ac:dyDescent="0.25">
      <c r="A503" t="s">
        <v>1250</v>
      </c>
      <c r="B503">
        <v>5363735</v>
      </c>
      <c r="C503" t="s">
        <v>1251</v>
      </c>
      <c r="D503">
        <v>9882</v>
      </c>
      <c r="E503">
        <v>8772</v>
      </c>
      <c r="F503">
        <v>1110</v>
      </c>
      <c r="G503">
        <v>9882</v>
      </c>
      <c r="H503">
        <v>8772</v>
      </c>
      <c r="I503">
        <v>1110</v>
      </c>
      <c r="J503">
        <v>7173</v>
      </c>
      <c r="K503">
        <v>128</v>
      </c>
      <c r="L503">
        <v>482</v>
      </c>
      <c r="M503">
        <v>137</v>
      </c>
      <c r="N503">
        <v>41</v>
      </c>
      <c r="O503">
        <v>0</v>
      </c>
      <c r="P503">
        <v>130</v>
      </c>
      <c r="Q503">
        <v>53</v>
      </c>
      <c r="R503">
        <v>48</v>
      </c>
      <c r="S503">
        <v>68</v>
      </c>
      <c r="T503">
        <v>6</v>
      </c>
      <c r="U503">
        <v>0</v>
      </c>
      <c r="V503">
        <v>345</v>
      </c>
      <c r="W503">
        <v>703</v>
      </c>
      <c r="X503">
        <v>547</v>
      </c>
      <c r="Y503">
        <v>21</v>
      </c>
    </row>
    <row r="504" spans="1:25" x14ac:dyDescent="0.25">
      <c r="A504" t="s">
        <v>1252</v>
      </c>
      <c r="B504">
        <v>5363960</v>
      </c>
      <c r="C504" t="s">
        <v>1253</v>
      </c>
      <c r="D504">
        <v>55431</v>
      </c>
      <c r="E504">
        <v>42927</v>
      </c>
      <c r="F504">
        <v>12504</v>
      </c>
      <c r="G504">
        <v>55431</v>
      </c>
      <c r="H504">
        <v>42927</v>
      </c>
      <c r="I504">
        <v>12504</v>
      </c>
      <c r="J504">
        <v>33504</v>
      </c>
      <c r="K504">
        <v>2366</v>
      </c>
      <c r="L504">
        <v>1566</v>
      </c>
      <c r="M504">
        <v>1064</v>
      </c>
      <c r="N504">
        <v>1691</v>
      </c>
      <c r="O504">
        <v>1826</v>
      </c>
      <c r="P504">
        <v>611</v>
      </c>
      <c r="Q504">
        <v>0</v>
      </c>
      <c r="R504">
        <v>2075</v>
      </c>
      <c r="S504">
        <v>5724</v>
      </c>
      <c r="T504">
        <v>66</v>
      </c>
      <c r="U504">
        <v>57</v>
      </c>
      <c r="V504">
        <v>738</v>
      </c>
      <c r="W504">
        <v>1164</v>
      </c>
      <c r="X504">
        <v>2676</v>
      </c>
      <c r="Y504">
        <v>303</v>
      </c>
    </row>
    <row r="505" spans="1:25" x14ac:dyDescent="0.25">
      <c r="A505" t="s">
        <v>1254</v>
      </c>
      <c r="B505">
        <v>5364190</v>
      </c>
      <c r="C505" t="s">
        <v>1255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5">
      <c r="A506" t="s">
        <v>1256</v>
      </c>
      <c r="B506">
        <v>5364365</v>
      </c>
      <c r="C506" t="s">
        <v>1257</v>
      </c>
      <c r="D506">
        <v>20664</v>
      </c>
      <c r="E506">
        <v>17896</v>
      </c>
      <c r="F506">
        <v>2768</v>
      </c>
      <c r="G506">
        <v>20664</v>
      </c>
      <c r="H506">
        <v>17896</v>
      </c>
      <c r="I506">
        <v>2768</v>
      </c>
      <c r="J506">
        <v>13728</v>
      </c>
      <c r="K506">
        <v>484</v>
      </c>
      <c r="L506">
        <v>765</v>
      </c>
      <c r="M506">
        <v>119</v>
      </c>
      <c r="N506">
        <v>824</v>
      </c>
      <c r="O506">
        <v>46</v>
      </c>
      <c r="P506">
        <v>54</v>
      </c>
      <c r="Q506">
        <v>0</v>
      </c>
      <c r="R506">
        <v>458</v>
      </c>
      <c r="S506">
        <v>1601</v>
      </c>
      <c r="T506">
        <v>74</v>
      </c>
      <c r="U506">
        <v>17</v>
      </c>
      <c r="V506">
        <v>310</v>
      </c>
      <c r="W506">
        <v>247</v>
      </c>
      <c r="X506">
        <v>1683</v>
      </c>
      <c r="Y506">
        <v>254</v>
      </c>
    </row>
    <row r="507" spans="1:25" x14ac:dyDescent="0.25">
      <c r="A507" t="s">
        <v>1258</v>
      </c>
      <c r="B507">
        <v>5364380</v>
      </c>
      <c r="C507" t="s">
        <v>1259</v>
      </c>
      <c r="D507">
        <v>22937</v>
      </c>
      <c r="E507">
        <v>19213</v>
      </c>
      <c r="F507">
        <v>3724</v>
      </c>
      <c r="G507">
        <v>22937</v>
      </c>
      <c r="H507">
        <v>19213</v>
      </c>
      <c r="I507">
        <v>3724</v>
      </c>
      <c r="J507">
        <v>15553</v>
      </c>
      <c r="K507">
        <v>1108</v>
      </c>
      <c r="L507">
        <v>754</v>
      </c>
      <c r="M507">
        <v>213</v>
      </c>
      <c r="N507">
        <v>211</v>
      </c>
      <c r="O507">
        <v>289</v>
      </c>
      <c r="P507">
        <v>113</v>
      </c>
      <c r="Q507">
        <v>0</v>
      </c>
      <c r="R507">
        <v>1088</v>
      </c>
      <c r="S507">
        <v>1964</v>
      </c>
      <c r="T507">
        <v>83</v>
      </c>
      <c r="U507">
        <v>0</v>
      </c>
      <c r="V507">
        <v>226</v>
      </c>
      <c r="W507">
        <v>70</v>
      </c>
      <c r="X507">
        <v>1185</v>
      </c>
      <c r="Y507">
        <v>80</v>
      </c>
    </row>
    <row r="508" spans="1:25" x14ac:dyDescent="0.25">
      <c r="A508" t="s">
        <v>1260</v>
      </c>
      <c r="B508">
        <v>5364610</v>
      </c>
      <c r="C508" t="s">
        <v>1261</v>
      </c>
      <c r="D508">
        <v>2810</v>
      </c>
      <c r="E508">
        <v>2720</v>
      </c>
      <c r="F508">
        <v>90</v>
      </c>
      <c r="G508">
        <v>2810</v>
      </c>
      <c r="H508">
        <v>2720</v>
      </c>
      <c r="I508">
        <v>90</v>
      </c>
      <c r="J508">
        <v>2516</v>
      </c>
      <c r="K508">
        <v>66</v>
      </c>
      <c r="L508">
        <v>99</v>
      </c>
      <c r="M508">
        <v>0</v>
      </c>
      <c r="N508">
        <v>14</v>
      </c>
      <c r="O508">
        <v>0</v>
      </c>
      <c r="P508">
        <v>36</v>
      </c>
      <c r="Q508">
        <v>0</v>
      </c>
      <c r="R508">
        <v>0</v>
      </c>
      <c r="S508">
        <v>13</v>
      </c>
      <c r="T508">
        <v>16</v>
      </c>
      <c r="U508">
        <v>0</v>
      </c>
      <c r="V508">
        <v>0</v>
      </c>
      <c r="W508">
        <v>0</v>
      </c>
      <c r="X508">
        <v>39</v>
      </c>
      <c r="Y508">
        <v>11</v>
      </c>
    </row>
    <row r="509" spans="1:25" x14ac:dyDescent="0.25">
      <c r="A509" t="s">
        <v>1262</v>
      </c>
      <c r="B509">
        <v>5364755</v>
      </c>
      <c r="C509" t="s">
        <v>1263</v>
      </c>
      <c r="D509">
        <v>300</v>
      </c>
      <c r="E509">
        <v>281</v>
      </c>
      <c r="F509">
        <v>19</v>
      </c>
      <c r="G509">
        <v>300</v>
      </c>
      <c r="H509">
        <v>281</v>
      </c>
      <c r="I509">
        <v>19</v>
      </c>
      <c r="J509">
        <v>240</v>
      </c>
      <c r="K509">
        <v>10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9</v>
      </c>
      <c r="T509">
        <v>0</v>
      </c>
      <c r="U509">
        <v>0</v>
      </c>
      <c r="V509">
        <v>0</v>
      </c>
      <c r="W509">
        <v>0</v>
      </c>
      <c r="X509">
        <v>41</v>
      </c>
      <c r="Y509">
        <v>0</v>
      </c>
    </row>
    <row r="510" spans="1:25" x14ac:dyDescent="0.25">
      <c r="A510" t="s">
        <v>1264</v>
      </c>
      <c r="B510">
        <v>5364775</v>
      </c>
      <c r="C510" t="s">
        <v>1265</v>
      </c>
      <c r="D510">
        <v>755</v>
      </c>
      <c r="E510">
        <v>748</v>
      </c>
      <c r="F510">
        <v>7</v>
      </c>
      <c r="G510">
        <v>755</v>
      </c>
      <c r="H510">
        <v>748</v>
      </c>
      <c r="I510">
        <v>7</v>
      </c>
      <c r="J510">
        <v>113</v>
      </c>
      <c r="K510">
        <v>0</v>
      </c>
      <c r="L510">
        <v>4</v>
      </c>
      <c r="M510">
        <v>0</v>
      </c>
      <c r="N510">
        <v>3</v>
      </c>
      <c r="O510">
        <v>0</v>
      </c>
      <c r="P510">
        <v>538</v>
      </c>
      <c r="Q510">
        <v>0</v>
      </c>
      <c r="R510">
        <v>5</v>
      </c>
      <c r="S510">
        <v>3</v>
      </c>
      <c r="T510">
        <v>16</v>
      </c>
      <c r="U510">
        <v>0</v>
      </c>
      <c r="V510">
        <v>2</v>
      </c>
      <c r="W510">
        <v>0</v>
      </c>
      <c r="X510">
        <v>67</v>
      </c>
      <c r="Y510">
        <v>4</v>
      </c>
    </row>
    <row r="511" spans="1:25" x14ac:dyDescent="0.25">
      <c r="A511" t="s">
        <v>1266</v>
      </c>
      <c r="B511">
        <v>5364855</v>
      </c>
      <c r="C511" t="s">
        <v>1267</v>
      </c>
      <c r="D511">
        <v>101</v>
      </c>
      <c r="E511">
        <v>91</v>
      </c>
      <c r="F511">
        <v>10</v>
      </c>
      <c r="G511">
        <v>101</v>
      </c>
      <c r="H511">
        <v>91</v>
      </c>
      <c r="I511">
        <v>10</v>
      </c>
      <c r="J511">
        <v>84</v>
      </c>
      <c r="K511">
        <v>2</v>
      </c>
      <c r="L511">
        <v>0</v>
      </c>
      <c r="M511">
        <v>0</v>
      </c>
      <c r="N511">
        <v>0</v>
      </c>
      <c r="O511">
        <v>8</v>
      </c>
      <c r="P511">
        <v>0</v>
      </c>
      <c r="Q511">
        <v>0</v>
      </c>
      <c r="R511">
        <v>4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>
        <v>0</v>
      </c>
    </row>
    <row r="512" spans="1:25" x14ac:dyDescent="0.25">
      <c r="A512" t="s">
        <v>1268</v>
      </c>
      <c r="B512">
        <v>5365170</v>
      </c>
      <c r="C512" t="s">
        <v>1269</v>
      </c>
      <c r="D512">
        <v>9713</v>
      </c>
      <c r="E512">
        <v>8754</v>
      </c>
      <c r="F512">
        <v>959</v>
      </c>
      <c r="G512">
        <v>9713</v>
      </c>
      <c r="H512">
        <v>8754</v>
      </c>
      <c r="I512">
        <v>959</v>
      </c>
      <c r="J512">
        <v>7710</v>
      </c>
      <c r="K512">
        <v>240</v>
      </c>
      <c r="L512">
        <v>206</v>
      </c>
      <c r="M512">
        <v>270</v>
      </c>
      <c r="N512">
        <v>51</v>
      </c>
      <c r="O512">
        <v>5</v>
      </c>
      <c r="P512">
        <v>96</v>
      </c>
      <c r="Q512">
        <v>0</v>
      </c>
      <c r="R512">
        <v>101</v>
      </c>
      <c r="S512">
        <v>211</v>
      </c>
      <c r="T512">
        <v>0</v>
      </c>
      <c r="U512">
        <v>0</v>
      </c>
      <c r="V512">
        <v>201</v>
      </c>
      <c r="W512">
        <v>206</v>
      </c>
      <c r="X512">
        <v>389</v>
      </c>
      <c r="Y512">
        <v>27</v>
      </c>
    </row>
    <row r="513" spans="1:25" x14ac:dyDescent="0.25">
      <c r="A513" t="s">
        <v>1270</v>
      </c>
      <c r="B513">
        <v>5365205</v>
      </c>
      <c r="C513" t="s">
        <v>1271</v>
      </c>
      <c r="D513">
        <v>12944</v>
      </c>
      <c r="E513">
        <v>11190</v>
      </c>
      <c r="F513">
        <v>1754</v>
      </c>
      <c r="G513">
        <v>12944</v>
      </c>
      <c r="H513">
        <v>11190</v>
      </c>
      <c r="I513">
        <v>1754</v>
      </c>
      <c r="J513">
        <v>9590</v>
      </c>
      <c r="K513">
        <v>557</v>
      </c>
      <c r="L513">
        <v>274</v>
      </c>
      <c r="M513">
        <v>105</v>
      </c>
      <c r="N513">
        <v>41</v>
      </c>
      <c r="O513">
        <v>22</v>
      </c>
      <c r="P513">
        <v>28</v>
      </c>
      <c r="Q513">
        <v>0</v>
      </c>
      <c r="R513">
        <v>525</v>
      </c>
      <c r="S513">
        <v>1039</v>
      </c>
      <c r="T513">
        <v>0</v>
      </c>
      <c r="U513">
        <v>0</v>
      </c>
      <c r="V513">
        <v>44</v>
      </c>
      <c r="W513">
        <v>15</v>
      </c>
      <c r="X513">
        <v>688</v>
      </c>
      <c r="Y513">
        <v>16</v>
      </c>
    </row>
    <row r="514" spans="1:25" x14ac:dyDescent="0.25">
      <c r="A514" t="s">
        <v>1272</v>
      </c>
      <c r="B514">
        <v>5365275</v>
      </c>
      <c r="C514" t="s">
        <v>1273</v>
      </c>
      <c r="D514">
        <v>235</v>
      </c>
      <c r="E514">
        <v>234</v>
      </c>
      <c r="F514">
        <v>1</v>
      </c>
      <c r="G514">
        <v>235</v>
      </c>
      <c r="H514">
        <v>234</v>
      </c>
      <c r="I514">
        <v>1</v>
      </c>
      <c r="J514">
        <v>165</v>
      </c>
      <c r="K514">
        <v>0</v>
      </c>
      <c r="L514">
        <v>2</v>
      </c>
      <c r="M514">
        <v>0</v>
      </c>
      <c r="N514">
        <v>55</v>
      </c>
      <c r="O514">
        <v>0</v>
      </c>
      <c r="P514">
        <v>0</v>
      </c>
      <c r="Q514">
        <v>0</v>
      </c>
      <c r="R514">
        <v>4</v>
      </c>
      <c r="S514">
        <v>0</v>
      </c>
      <c r="T514">
        <v>0</v>
      </c>
      <c r="U514">
        <v>0</v>
      </c>
      <c r="V514">
        <v>6</v>
      </c>
      <c r="W514">
        <v>1</v>
      </c>
      <c r="X514">
        <v>2</v>
      </c>
      <c r="Y514">
        <v>0</v>
      </c>
    </row>
    <row r="515" spans="1:25" x14ac:dyDescent="0.25">
      <c r="A515" t="s">
        <v>1274</v>
      </c>
      <c r="B515">
        <v>5365345</v>
      </c>
      <c r="C515" t="s">
        <v>1275</v>
      </c>
      <c r="D515">
        <v>1539</v>
      </c>
      <c r="E515">
        <v>1334</v>
      </c>
      <c r="F515">
        <v>205</v>
      </c>
      <c r="G515">
        <v>1539</v>
      </c>
      <c r="H515">
        <v>1334</v>
      </c>
      <c r="I515">
        <v>205</v>
      </c>
      <c r="J515">
        <v>960</v>
      </c>
      <c r="K515">
        <v>94</v>
      </c>
      <c r="L515">
        <v>25</v>
      </c>
      <c r="M515">
        <v>1</v>
      </c>
      <c r="N515">
        <v>13</v>
      </c>
      <c r="O515">
        <v>0</v>
      </c>
      <c r="P515">
        <v>85</v>
      </c>
      <c r="Q515">
        <v>0</v>
      </c>
      <c r="R515">
        <v>6</v>
      </c>
      <c r="S515">
        <v>0</v>
      </c>
      <c r="T515">
        <v>13</v>
      </c>
      <c r="U515">
        <v>0</v>
      </c>
      <c r="V515">
        <v>174</v>
      </c>
      <c r="W515">
        <v>110</v>
      </c>
      <c r="X515">
        <v>58</v>
      </c>
      <c r="Y515">
        <v>0</v>
      </c>
    </row>
    <row r="516" spans="1:25" x14ac:dyDescent="0.25">
      <c r="A516" t="s">
        <v>1276</v>
      </c>
      <c r="B516">
        <v>5365625</v>
      </c>
      <c r="C516" t="s">
        <v>1277</v>
      </c>
      <c r="D516">
        <v>1500</v>
      </c>
      <c r="E516">
        <v>1218</v>
      </c>
      <c r="F516">
        <v>282</v>
      </c>
      <c r="G516">
        <v>1500</v>
      </c>
      <c r="H516">
        <v>1218</v>
      </c>
      <c r="I516">
        <v>282</v>
      </c>
      <c r="J516">
        <v>939</v>
      </c>
      <c r="K516">
        <v>27</v>
      </c>
      <c r="L516">
        <v>127</v>
      </c>
      <c r="M516">
        <v>108</v>
      </c>
      <c r="N516">
        <v>6</v>
      </c>
      <c r="O516">
        <v>0</v>
      </c>
      <c r="P516">
        <v>40</v>
      </c>
      <c r="Q516">
        <v>0</v>
      </c>
      <c r="R516">
        <v>17</v>
      </c>
      <c r="S516">
        <v>91</v>
      </c>
      <c r="T516">
        <v>0</v>
      </c>
      <c r="U516">
        <v>0</v>
      </c>
      <c r="V516">
        <v>39</v>
      </c>
      <c r="W516">
        <v>56</v>
      </c>
      <c r="X516">
        <v>50</v>
      </c>
      <c r="Y516">
        <v>0</v>
      </c>
    </row>
    <row r="517" spans="1:25" x14ac:dyDescent="0.25">
      <c r="A517" t="s">
        <v>1278</v>
      </c>
      <c r="B517">
        <v>5365765</v>
      </c>
      <c r="C517" t="s">
        <v>1279</v>
      </c>
      <c r="D517">
        <v>547</v>
      </c>
      <c r="E517">
        <v>513</v>
      </c>
      <c r="F517">
        <v>34</v>
      </c>
      <c r="G517">
        <v>547</v>
      </c>
      <c r="H517">
        <v>513</v>
      </c>
      <c r="I517">
        <v>34</v>
      </c>
      <c r="J517">
        <v>489</v>
      </c>
      <c r="K517">
        <v>12</v>
      </c>
      <c r="L517">
        <v>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15</v>
      </c>
      <c r="W517">
        <v>22</v>
      </c>
      <c r="X517">
        <v>0</v>
      </c>
      <c r="Y517">
        <v>0</v>
      </c>
    </row>
    <row r="518" spans="1:25" x14ac:dyDescent="0.25">
      <c r="A518" t="s">
        <v>1280</v>
      </c>
      <c r="B518">
        <v>5365810</v>
      </c>
      <c r="C518" t="s">
        <v>1281</v>
      </c>
      <c r="D518">
        <v>2500</v>
      </c>
      <c r="E518">
        <v>2409</v>
      </c>
      <c r="F518">
        <v>91</v>
      </c>
      <c r="G518">
        <v>2500</v>
      </c>
      <c r="H518">
        <v>2409</v>
      </c>
      <c r="I518">
        <v>91</v>
      </c>
      <c r="J518">
        <v>2218</v>
      </c>
      <c r="K518">
        <v>91</v>
      </c>
      <c r="L518">
        <v>16</v>
      </c>
      <c r="M518">
        <v>0</v>
      </c>
      <c r="N518">
        <v>31</v>
      </c>
      <c r="O518">
        <v>0</v>
      </c>
      <c r="P518">
        <v>48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96</v>
      </c>
      <c r="Y518">
        <v>0</v>
      </c>
    </row>
    <row r="519" spans="1:25" x14ac:dyDescent="0.25">
      <c r="A519" t="s">
        <v>1282</v>
      </c>
      <c r="B519">
        <v>5365922</v>
      </c>
      <c r="C519" t="s">
        <v>1283</v>
      </c>
      <c r="D519">
        <v>56379</v>
      </c>
      <c r="E519">
        <v>49947</v>
      </c>
      <c r="F519">
        <v>6432</v>
      </c>
      <c r="G519">
        <v>56379</v>
      </c>
      <c r="H519">
        <v>49947</v>
      </c>
      <c r="I519">
        <v>6432</v>
      </c>
      <c r="J519">
        <v>36545</v>
      </c>
      <c r="K519">
        <v>1296</v>
      </c>
      <c r="L519">
        <v>3210</v>
      </c>
      <c r="M519">
        <v>1038</v>
      </c>
      <c r="N519">
        <v>2019</v>
      </c>
      <c r="O519">
        <v>425</v>
      </c>
      <c r="P519">
        <v>714</v>
      </c>
      <c r="Q519">
        <v>73</v>
      </c>
      <c r="R519">
        <v>1209</v>
      </c>
      <c r="S519">
        <v>2446</v>
      </c>
      <c r="T519">
        <v>407</v>
      </c>
      <c r="U519">
        <v>247</v>
      </c>
      <c r="V519">
        <v>972</v>
      </c>
      <c r="W519">
        <v>503</v>
      </c>
      <c r="X519">
        <v>4871</v>
      </c>
      <c r="Y519">
        <v>404</v>
      </c>
    </row>
    <row r="520" spans="1:25" x14ac:dyDescent="0.25">
      <c r="A520" t="s">
        <v>1284</v>
      </c>
      <c r="B520">
        <v>5366045</v>
      </c>
      <c r="C520" t="s">
        <v>1285</v>
      </c>
      <c r="D520">
        <v>271</v>
      </c>
      <c r="E520">
        <v>268</v>
      </c>
      <c r="F520">
        <v>3</v>
      </c>
      <c r="G520">
        <v>271</v>
      </c>
      <c r="H520">
        <v>268</v>
      </c>
      <c r="I520">
        <v>3</v>
      </c>
      <c r="J520">
        <v>229</v>
      </c>
      <c r="K520">
        <v>0</v>
      </c>
      <c r="L520">
        <v>5</v>
      </c>
      <c r="M520">
        <v>2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33</v>
      </c>
      <c r="Y520">
        <v>0</v>
      </c>
    </row>
    <row r="521" spans="1:25" x14ac:dyDescent="0.25">
      <c r="A521" t="s">
        <v>1286</v>
      </c>
      <c r="B521">
        <v>5366185</v>
      </c>
      <c r="C521" t="s">
        <v>1287</v>
      </c>
      <c r="D521">
        <v>2057</v>
      </c>
      <c r="E521">
        <v>1771</v>
      </c>
      <c r="F521">
        <v>286</v>
      </c>
      <c r="G521">
        <v>2057</v>
      </c>
      <c r="H521">
        <v>1771</v>
      </c>
      <c r="I521">
        <v>286</v>
      </c>
      <c r="J521">
        <v>935</v>
      </c>
      <c r="K521">
        <v>12</v>
      </c>
      <c r="L521">
        <v>836</v>
      </c>
      <c r="M521">
        <v>263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11</v>
      </c>
      <c r="X521">
        <v>0</v>
      </c>
      <c r="Y521">
        <v>0</v>
      </c>
    </row>
    <row r="522" spans="1:25" x14ac:dyDescent="0.25">
      <c r="A522" t="s">
        <v>1288</v>
      </c>
      <c r="B522">
        <v>5366220</v>
      </c>
      <c r="C522" t="s">
        <v>1289</v>
      </c>
      <c r="D522">
        <v>2280</v>
      </c>
      <c r="E522">
        <v>2094</v>
      </c>
      <c r="F522">
        <v>186</v>
      </c>
      <c r="G522">
        <v>2280</v>
      </c>
      <c r="H522">
        <v>2094</v>
      </c>
      <c r="I522">
        <v>186</v>
      </c>
      <c r="J522">
        <v>1870</v>
      </c>
      <c r="K522">
        <v>163</v>
      </c>
      <c r="L522">
        <v>79</v>
      </c>
      <c r="M522">
        <v>14</v>
      </c>
      <c r="N522">
        <v>1</v>
      </c>
      <c r="O522">
        <v>0</v>
      </c>
      <c r="P522">
        <v>37</v>
      </c>
      <c r="Q522">
        <v>0</v>
      </c>
      <c r="R522">
        <v>10</v>
      </c>
      <c r="S522">
        <v>7</v>
      </c>
      <c r="T522">
        <v>0</v>
      </c>
      <c r="U522">
        <v>0</v>
      </c>
      <c r="V522">
        <v>2</v>
      </c>
      <c r="W522">
        <v>0</v>
      </c>
      <c r="X522">
        <v>95</v>
      </c>
      <c r="Y522">
        <v>2</v>
      </c>
    </row>
    <row r="523" spans="1:25" x14ac:dyDescent="0.25">
      <c r="A523" t="s">
        <v>1290</v>
      </c>
      <c r="B523">
        <v>5366255</v>
      </c>
      <c r="C523" t="s">
        <v>1291</v>
      </c>
      <c r="D523">
        <v>30528</v>
      </c>
      <c r="E523">
        <v>25681</v>
      </c>
      <c r="F523">
        <v>4847</v>
      </c>
      <c r="G523">
        <v>30528</v>
      </c>
      <c r="H523">
        <v>25681</v>
      </c>
      <c r="I523">
        <v>4847</v>
      </c>
      <c r="J523">
        <v>16744</v>
      </c>
      <c r="K523">
        <v>1167</v>
      </c>
      <c r="L523">
        <v>1761</v>
      </c>
      <c r="M523">
        <v>591</v>
      </c>
      <c r="N523">
        <v>2847</v>
      </c>
      <c r="O523">
        <v>235</v>
      </c>
      <c r="P523">
        <v>369</v>
      </c>
      <c r="Q523">
        <v>10</v>
      </c>
      <c r="R523">
        <v>721</v>
      </c>
      <c r="S523">
        <v>1165</v>
      </c>
      <c r="T523">
        <v>807</v>
      </c>
      <c r="U523">
        <v>1142</v>
      </c>
      <c r="V523">
        <v>448</v>
      </c>
      <c r="W523">
        <v>223</v>
      </c>
      <c r="X523">
        <v>1984</v>
      </c>
      <c r="Y523">
        <v>314</v>
      </c>
    </row>
    <row r="524" spans="1:25" x14ac:dyDescent="0.25">
      <c r="A524" t="s">
        <v>1292</v>
      </c>
      <c r="B524">
        <v>5366290</v>
      </c>
      <c r="C524" t="s">
        <v>1293</v>
      </c>
      <c r="D524">
        <v>200</v>
      </c>
      <c r="E524">
        <v>176</v>
      </c>
      <c r="F524">
        <v>24</v>
      </c>
      <c r="G524">
        <v>200</v>
      </c>
      <c r="H524">
        <v>176</v>
      </c>
      <c r="I524">
        <v>24</v>
      </c>
      <c r="J524">
        <v>163</v>
      </c>
      <c r="K524">
        <v>5</v>
      </c>
      <c r="L524">
        <v>3</v>
      </c>
      <c r="M524">
        <v>0</v>
      </c>
      <c r="N524">
        <v>0</v>
      </c>
      <c r="O524">
        <v>0</v>
      </c>
      <c r="P524">
        <v>3</v>
      </c>
      <c r="Q524">
        <v>0</v>
      </c>
      <c r="R524">
        <v>0</v>
      </c>
      <c r="S524">
        <v>19</v>
      </c>
      <c r="T524">
        <v>0</v>
      </c>
      <c r="U524">
        <v>0</v>
      </c>
      <c r="V524">
        <v>0</v>
      </c>
      <c r="W524">
        <v>0</v>
      </c>
      <c r="X524">
        <v>7</v>
      </c>
      <c r="Y524">
        <v>0</v>
      </c>
    </row>
    <row r="525" spans="1:25" x14ac:dyDescent="0.25">
      <c r="A525" t="s">
        <v>1294</v>
      </c>
      <c r="B525">
        <v>5367000</v>
      </c>
      <c r="C525" t="s">
        <v>1295</v>
      </c>
      <c r="D525">
        <v>212982</v>
      </c>
      <c r="E525">
        <v>196489</v>
      </c>
      <c r="F525">
        <v>16493</v>
      </c>
      <c r="G525">
        <v>212982</v>
      </c>
      <c r="H525">
        <v>196489</v>
      </c>
      <c r="I525">
        <v>16493</v>
      </c>
      <c r="J525">
        <v>165237</v>
      </c>
      <c r="K525">
        <v>8253</v>
      </c>
      <c r="L525">
        <v>6828</v>
      </c>
      <c r="M525">
        <v>1327</v>
      </c>
      <c r="N525">
        <v>4195</v>
      </c>
      <c r="O525">
        <v>724</v>
      </c>
      <c r="P525">
        <v>3608</v>
      </c>
      <c r="Q525">
        <v>218</v>
      </c>
      <c r="R525">
        <v>2101</v>
      </c>
      <c r="S525">
        <v>3878</v>
      </c>
      <c r="T525">
        <v>747</v>
      </c>
      <c r="U525">
        <v>940</v>
      </c>
      <c r="V525">
        <v>2008</v>
      </c>
      <c r="W525">
        <v>582</v>
      </c>
      <c r="X525">
        <v>11765</v>
      </c>
      <c r="Y525">
        <v>571</v>
      </c>
    </row>
    <row r="526" spans="1:25" x14ac:dyDescent="0.25">
      <c r="A526" t="s">
        <v>1296</v>
      </c>
      <c r="B526">
        <v>5367167</v>
      </c>
      <c r="C526" t="s">
        <v>1297</v>
      </c>
      <c r="D526">
        <v>94424</v>
      </c>
      <c r="E526">
        <v>88357</v>
      </c>
      <c r="F526">
        <v>6067</v>
      </c>
      <c r="G526">
        <v>94424</v>
      </c>
      <c r="H526">
        <v>88357</v>
      </c>
      <c r="I526">
        <v>6067</v>
      </c>
      <c r="J526">
        <v>79719</v>
      </c>
      <c r="K526">
        <v>3359</v>
      </c>
      <c r="L526">
        <v>2404</v>
      </c>
      <c r="M526">
        <v>617</v>
      </c>
      <c r="N526">
        <v>817</v>
      </c>
      <c r="O526">
        <v>92</v>
      </c>
      <c r="P526">
        <v>1139</v>
      </c>
      <c r="Q526">
        <v>26</v>
      </c>
      <c r="R526">
        <v>661</v>
      </c>
      <c r="S526">
        <v>852</v>
      </c>
      <c r="T526">
        <v>212</v>
      </c>
      <c r="U526">
        <v>189</v>
      </c>
      <c r="V526">
        <v>921</v>
      </c>
      <c r="W526">
        <v>687</v>
      </c>
      <c r="X526">
        <v>2484</v>
      </c>
      <c r="Y526">
        <v>245</v>
      </c>
    </row>
    <row r="527" spans="1:25" x14ac:dyDescent="0.25">
      <c r="A527" t="s">
        <v>1298</v>
      </c>
      <c r="B527">
        <v>5367175</v>
      </c>
      <c r="C527" t="s">
        <v>1299</v>
      </c>
      <c r="D527">
        <v>419</v>
      </c>
      <c r="E527">
        <v>401</v>
      </c>
      <c r="F527">
        <v>18</v>
      </c>
      <c r="G527">
        <v>419</v>
      </c>
      <c r="H527">
        <v>401</v>
      </c>
      <c r="I527">
        <v>18</v>
      </c>
      <c r="J527">
        <v>334</v>
      </c>
      <c r="K527">
        <v>13</v>
      </c>
      <c r="L527">
        <v>17</v>
      </c>
      <c r="M527">
        <v>5</v>
      </c>
      <c r="N527">
        <v>0</v>
      </c>
      <c r="O527">
        <v>0</v>
      </c>
      <c r="P527">
        <v>3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4</v>
      </c>
      <c r="W527">
        <v>0</v>
      </c>
      <c r="X527">
        <v>43</v>
      </c>
      <c r="Y527">
        <v>0</v>
      </c>
    </row>
    <row r="528" spans="1:25" x14ac:dyDescent="0.25">
      <c r="A528" t="s">
        <v>1300</v>
      </c>
      <c r="B528">
        <v>5367210</v>
      </c>
      <c r="C528" t="s">
        <v>1301</v>
      </c>
      <c r="D528">
        <v>377</v>
      </c>
      <c r="E528">
        <v>353</v>
      </c>
      <c r="F528">
        <v>24</v>
      </c>
      <c r="G528">
        <v>377</v>
      </c>
      <c r="H528">
        <v>353</v>
      </c>
      <c r="I528">
        <v>24</v>
      </c>
      <c r="J528">
        <v>305</v>
      </c>
      <c r="K528">
        <v>9</v>
      </c>
      <c r="L528">
        <v>24</v>
      </c>
      <c r="M528">
        <v>15</v>
      </c>
      <c r="N528">
        <v>5</v>
      </c>
      <c r="O528">
        <v>0</v>
      </c>
      <c r="P528">
        <v>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11</v>
      </c>
      <c r="Y528">
        <v>0</v>
      </c>
    </row>
    <row r="529" spans="1:25" x14ac:dyDescent="0.25">
      <c r="A529" t="s">
        <v>1302</v>
      </c>
      <c r="B529">
        <v>5367435</v>
      </c>
      <c r="C529" t="s">
        <v>1303</v>
      </c>
      <c r="D529">
        <v>2747</v>
      </c>
      <c r="E529">
        <v>2593</v>
      </c>
      <c r="F529">
        <v>154</v>
      </c>
      <c r="G529">
        <v>2747</v>
      </c>
      <c r="H529">
        <v>2593</v>
      </c>
      <c r="I529">
        <v>154</v>
      </c>
      <c r="J529">
        <v>2216</v>
      </c>
      <c r="K529">
        <v>118</v>
      </c>
      <c r="L529">
        <v>106</v>
      </c>
      <c r="M529">
        <v>0</v>
      </c>
      <c r="N529">
        <v>19</v>
      </c>
      <c r="O529">
        <v>11</v>
      </c>
      <c r="P529">
        <v>37</v>
      </c>
      <c r="Q529">
        <v>0</v>
      </c>
      <c r="R529">
        <v>8</v>
      </c>
      <c r="S529">
        <v>25</v>
      </c>
      <c r="T529">
        <v>0</v>
      </c>
      <c r="U529">
        <v>0</v>
      </c>
      <c r="V529">
        <v>42</v>
      </c>
      <c r="W529">
        <v>0</v>
      </c>
      <c r="X529">
        <v>165</v>
      </c>
      <c r="Y529">
        <v>0</v>
      </c>
    </row>
    <row r="530" spans="1:25" x14ac:dyDescent="0.25">
      <c r="A530" t="s">
        <v>1304</v>
      </c>
      <c r="B530">
        <v>5367455</v>
      </c>
      <c r="C530" t="s">
        <v>1305</v>
      </c>
      <c r="D530">
        <v>6825</v>
      </c>
      <c r="E530">
        <v>6597</v>
      </c>
      <c r="F530">
        <v>228</v>
      </c>
      <c r="G530">
        <v>6825</v>
      </c>
      <c r="H530">
        <v>6597</v>
      </c>
      <c r="I530">
        <v>228</v>
      </c>
      <c r="J530">
        <v>5566</v>
      </c>
      <c r="K530">
        <v>132</v>
      </c>
      <c r="L530">
        <v>493</v>
      </c>
      <c r="M530">
        <v>0</v>
      </c>
      <c r="N530">
        <v>19</v>
      </c>
      <c r="O530">
        <v>3</v>
      </c>
      <c r="P530">
        <v>90</v>
      </c>
      <c r="Q530">
        <v>17</v>
      </c>
      <c r="R530">
        <v>34</v>
      </c>
      <c r="S530">
        <v>31</v>
      </c>
      <c r="T530">
        <v>0</v>
      </c>
      <c r="U530">
        <v>0</v>
      </c>
      <c r="V530">
        <v>0</v>
      </c>
      <c r="W530">
        <v>21</v>
      </c>
      <c r="X530">
        <v>395</v>
      </c>
      <c r="Y530">
        <v>24</v>
      </c>
    </row>
    <row r="531" spans="1:25" x14ac:dyDescent="0.25">
      <c r="A531" t="s">
        <v>1306</v>
      </c>
      <c r="B531">
        <v>5367490</v>
      </c>
      <c r="C531" t="s">
        <v>1307</v>
      </c>
      <c r="D531">
        <v>114</v>
      </c>
      <c r="E531">
        <v>114</v>
      </c>
      <c r="F531">
        <v>0</v>
      </c>
      <c r="G531">
        <v>114</v>
      </c>
      <c r="H531">
        <v>114</v>
      </c>
      <c r="I531">
        <v>0</v>
      </c>
      <c r="J531">
        <v>99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7</v>
      </c>
      <c r="Y531">
        <v>0</v>
      </c>
    </row>
    <row r="532" spans="1:25" x14ac:dyDescent="0.25">
      <c r="A532" t="s">
        <v>1308</v>
      </c>
      <c r="B532">
        <v>5367595</v>
      </c>
      <c r="C532" t="s">
        <v>1309</v>
      </c>
      <c r="D532">
        <v>683</v>
      </c>
      <c r="E532">
        <v>683</v>
      </c>
      <c r="F532">
        <v>0</v>
      </c>
      <c r="G532">
        <v>683</v>
      </c>
      <c r="H532">
        <v>683</v>
      </c>
      <c r="I532">
        <v>0</v>
      </c>
      <c r="J532">
        <v>659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</v>
      </c>
      <c r="Y532">
        <v>0</v>
      </c>
    </row>
    <row r="533" spans="1:25" x14ac:dyDescent="0.25">
      <c r="A533" t="s">
        <v>1310</v>
      </c>
      <c r="B533">
        <v>5367770</v>
      </c>
      <c r="C533" t="s">
        <v>1311</v>
      </c>
      <c r="D533">
        <v>6199</v>
      </c>
      <c r="E533">
        <v>5257</v>
      </c>
      <c r="F533">
        <v>942</v>
      </c>
      <c r="G533">
        <v>6199</v>
      </c>
      <c r="H533">
        <v>5257</v>
      </c>
      <c r="I533">
        <v>942</v>
      </c>
      <c r="J533">
        <v>4072</v>
      </c>
      <c r="K533">
        <v>206</v>
      </c>
      <c r="L533">
        <v>279</v>
      </c>
      <c r="M533">
        <v>97</v>
      </c>
      <c r="N533">
        <v>315</v>
      </c>
      <c r="O533">
        <v>28</v>
      </c>
      <c r="P533">
        <v>11</v>
      </c>
      <c r="Q533">
        <v>0</v>
      </c>
      <c r="R533">
        <v>53</v>
      </c>
      <c r="S533">
        <v>506</v>
      </c>
      <c r="T533">
        <v>11</v>
      </c>
      <c r="U533">
        <v>12</v>
      </c>
      <c r="V533">
        <v>7</v>
      </c>
      <c r="W533">
        <v>38</v>
      </c>
      <c r="X533">
        <v>509</v>
      </c>
      <c r="Y533">
        <v>55</v>
      </c>
    </row>
    <row r="534" spans="1:25" x14ac:dyDescent="0.25">
      <c r="A534" t="s">
        <v>1312</v>
      </c>
      <c r="B534">
        <v>5367805</v>
      </c>
      <c r="C534" t="s">
        <v>1313</v>
      </c>
      <c r="D534">
        <v>183</v>
      </c>
      <c r="E534">
        <v>183</v>
      </c>
      <c r="F534">
        <v>0</v>
      </c>
      <c r="G534">
        <v>183</v>
      </c>
      <c r="H534">
        <v>183</v>
      </c>
      <c r="I534">
        <v>0</v>
      </c>
      <c r="J534">
        <v>178</v>
      </c>
      <c r="K534">
        <v>0</v>
      </c>
      <c r="L534">
        <v>3</v>
      </c>
      <c r="M534">
        <v>0</v>
      </c>
      <c r="N534">
        <v>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 t="s">
        <v>1314</v>
      </c>
      <c r="B535">
        <v>5367875</v>
      </c>
      <c r="C535" t="s">
        <v>1315</v>
      </c>
      <c r="D535">
        <v>1448</v>
      </c>
      <c r="E535">
        <v>1419</v>
      </c>
      <c r="F535">
        <v>29</v>
      </c>
      <c r="G535">
        <v>1448</v>
      </c>
      <c r="H535">
        <v>1419</v>
      </c>
      <c r="I535">
        <v>29</v>
      </c>
      <c r="J535">
        <v>1291</v>
      </c>
      <c r="K535">
        <v>15</v>
      </c>
      <c r="L535">
        <v>27</v>
      </c>
      <c r="M535">
        <v>14</v>
      </c>
      <c r="N535">
        <v>20</v>
      </c>
      <c r="O535">
        <v>0</v>
      </c>
      <c r="P535">
        <v>32</v>
      </c>
      <c r="Q535">
        <v>0</v>
      </c>
      <c r="R535">
        <v>20</v>
      </c>
      <c r="S535">
        <v>0</v>
      </c>
      <c r="T535">
        <v>0</v>
      </c>
      <c r="U535">
        <v>0</v>
      </c>
      <c r="V535">
        <v>6</v>
      </c>
      <c r="W535">
        <v>0</v>
      </c>
      <c r="X535">
        <v>23</v>
      </c>
      <c r="Y535">
        <v>0</v>
      </c>
    </row>
    <row r="536" spans="1:25" x14ac:dyDescent="0.25">
      <c r="A536" t="s">
        <v>1316</v>
      </c>
      <c r="B536">
        <v>5368200</v>
      </c>
      <c r="C536" t="s">
        <v>1317</v>
      </c>
      <c r="D536">
        <v>7621</v>
      </c>
      <c r="E536">
        <v>7073</v>
      </c>
      <c r="F536">
        <v>548</v>
      </c>
      <c r="G536">
        <v>7621</v>
      </c>
      <c r="H536">
        <v>7073</v>
      </c>
      <c r="I536">
        <v>548</v>
      </c>
      <c r="J536">
        <v>5822</v>
      </c>
      <c r="K536">
        <v>340</v>
      </c>
      <c r="L536">
        <v>517</v>
      </c>
      <c r="M536">
        <v>90</v>
      </c>
      <c r="N536">
        <v>39</v>
      </c>
      <c r="O536">
        <v>0</v>
      </c>
      <c r="P536">
        <v>0</v>
      </c>
      <c r="Q536">
        <v>0</v>
      </c>
      <c r="R536">
        <v>64</v>
      </c>
      <c r="S536">
        <v>90</v>
      </c>
      <c r="T536">
        <v>81</v>
      </c>
      <c r="U536">
        <v>0</v>
      </c>
      <c r="V536">
        <v>172</v>
      </c>
      <c r="W536">
        <v>0</v>
      </c>
      <c r="X536">
        <v>378</v>
      </c>
      <c r="Y536">
        <v>28</v>
      </c>
    </row>
    <row r="537" spans="1:25" x14ac:dyDescent="0.25">
      <c r="A537" t="s">
        <v>1318</v>
      </c>
      <c r="B537">
        <v>5368260</v>
      </c>
      <c r="C537" t="s">
        <v>1319</v>
      </c>
      <c r="D537">
        <v>4953</v>
      </c>
      <c r="E537">
        <v>4485</v>
      </c>
      <c r="F537">
        <v>468</v>
      </c>
      <c r="G537">
        <v>4953</v>
      </c>
      <c r="H537">
        <v>4485</v>
      </c>
      <c r="I537">
        <v>468</v>
      </c>
      <c r="J537">
        <v>3835</v>
      </c>
      <c r="K537">
        <v>112</v>
      </c>
      <c r="L537">
        <v>190</v>
      </c>
      <c r="M537">
        <v>63</v>
      </c>
      <c r="N537">
        <v>0</v>
      </c>
      <c r="O537">
        <v>0</v>
      </c>
      <c r="P537">
        <v>67</v>
      </c>
      <c r="Q537">
        <v>0</v>
      </c>
      <c r="R537">
        <v>44</v>
      </c>
      <c r="S537">
        <v>79</v>
      </c>
      <c r="T537">
        <v>0</v>
      </c>
      <c r="U537">
        <v>45</v>
      </c>
      <c r="V537">
        <v>125</v>
      </c>
      <c r="W537">
        <v>145</v>
      </c>
      <c r="X537">
        <v>224</v>
      </c>
      <c r="Y537">
        <v>24</v>
      </c>
    </row>
    <row r="538" spans="1:25" x14ac:dyDescent="0.25">
      <c r="A538" t="s">
        <v>1320</v>
      </c>
      <c r="B538">
        <v>5368330</v>
      </c>
      <c r="C538" t="s">
        <v>1321</v>
      </c>
      <c r="D538">
        <v>1692</v>
      </c>
      <c r="E538">
        <v>1366</v>
      </c>
      <c r="F538">
        <v>326</v>
      </c>
      <c r="G538">
        <v>1692</v>
      </c>
      <c r="H538">
        <v>1366</v>
      </c>
      <c r="I538">
        <v>326</v>
      </c>
      <c r="J538">
        <v>1063</v>
      </c>
      <c r="K538">
        <v>146</v>
      </c>
      <c r="L538">
        <v>29</v>
      </c>
      <c r="M538">
        <v>27</v>
      </c>
      <c r="N538">
        <v>19</v>
      </c>
      <c r="O538">
        <v>0</v>
      </c>
      <c r="P538">
        <v>49</v>
      </c>
      <c r="Q538">
        <v>121</v>
      </c>
      <c r="R538">
        <v>14</v>
      </c>
      <c r="S538">
        <v>21</v>
      </c>
      <c r="T538">
        <v>0</v>
      </c>
      <c r="U538">
        <v>0</v>
      </c>
      <c r="V538">
        <v>67</v>
      </c>
      <c r="W538">
        <v>11</v>
      </c>
      <c r="X538">
        <v>125</v>
      </c>
      <c r="Y538">
        <v>0</v>
      </c>
    </row>
    <row r="539" spans="1:25" x14ac:dyDescent="0.25">
      <c r="A539" t="s">
        <v>1322</v>
      </c>
      <c r="B539">
        <v>5368365</v>
      </c>
      <c r="C539" t="s">
        <v>1323</v>
      </c>
      <c r="D539">
        <v>7876</v>
      </c>
      <c r="E539">
        <v>7287</v>
      </c>
      <c r="F539">
        <v>589</v>
      </c>
      <c r="G539">
        <v>7876</v>
      </c>
      <c r="H539">
        <v>7287</v>
      </c>
      <c r="I539">
        <v>589</v>
      </c>
      <c r="J539">
        <v>6091</v>
      </c>
      <c r="K539">
        <v>308</v>
      </c>
      <c r="L539">
        <v>248</v>
      </c>
      <c r="M539">
        <v>68</v>
      </c>
      <c r="N539">
        <v>240</v>
      </c>
      <c r="O539">
        <v>32</v>
      </c>
      <c r="P539">
        <v>102</v>
      </c>
      <c r="Q539">
        <v>0</v>
      </c>
      <c r="R539">
        <v>99</v>
      </c>
      <c r="S539">
        <v>140</v>
      </c>
      <c r="T539">
        <v>16</v>
      </c>
      <c r="U539">
        <v>0</v>
      </c>
      <c r="V539">
        <v>88</v>
      </c>
      <c r="W539">
        <v>41</v>
      </c>
      <c r="X539">
        <v>403</v>
      </c>
      <c r="Y539">
        <v>0</v>
      </c>
    </row>
    <row r="540" spans="1:25" x14ac:dyDescent="0.25">
      <c r="A540" t="s">
        <v>1324</v>
      </c>
      <c r="B540">
        <v>5368410</v>
      </c>
      <c r="C540" t="s">
        <v>1325</v>
      </c>
      <c r="D540">
        <v>7421</v>
      </c>
      <c r="E540">
        <v>6907</v>
      </c>
      <c r="F540">
        <v>514</v>
      </c>
      <c r="G540">
        <v>7421</v>
      </c>
      <c r="H540">
        <v>6907</v>
      </c>
      <c r="I540">
        <v>514</v>
      </c>
      <c r="J540">
        <v>5249</v>
      </c>
      <c r="K540">
        <v>172</v>
      </c>
      <c r="L540">
        <v>267</v>
      </c>
      <c r="M540">
        <v>163</v>
      </c>
      <c r="N540">
        <v>523</v>
      </c>
      <c r="O540">
        <v>0</v>
      </c>
      <c r="P540">
        <v>0</v>
      </c>
      <c r="Q540">
        <v>0</v>
      </c>
      <c r="R540">
        <v>88</v>
      </c>
      <c r="S540">
        <v>95</v>
      </c>
      <c r="T540">
        <v>124</v>
      </c>
      <c r="U540">
        <v>19</v>
      </c>
      <c r="V540">
        <v>41</v>
      </c>
      <c r="W540">
        <v>0</v>
      </c>
      <c r="X540">
        <v>615</v>
      </c>
      <c r="Y540">
        <v>65</v>
      </c>
    </row>
    <row r="541" spans="1:25" x14ac:dyDescent="0.25">
      <c r="A541" t="s">
        <v>1326</v>
      </c>
      <c r="B541">
        <v>5368417</v>
      </c>
      <c r="C541" t="s">
        <v>1327</v>
      </c>
      <c r="D541">
        <v>1182</v>
      </c>
      <c r="E541">
        <v>1157</v>
      </c>
      <c r="F541">
        <v>25</v>
      </c>
      <c r="G541">
        <v>1182</v>
      </c>
      <c r="H541">
        <v>1157</v>
      </c>
      <c r="I541">
        <v>25</v>
      </c>
      <c r="J541">
        <v>968</v>
      </c>
      <c r="K541">
        <v>0</v>
      </c>
      <c r="L541">
        <v>152</v>
      </c>
      <c r="M541">
        <v>9</v>
      </c>
      <c r="N541">
        <v>0</v>
      </c>
      <c r="O541">
        <v>0</v>
      </c>
      <c r="P541">
        <v>15</v>
      </c>
      <c r="Q541">
        <v>16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22</v>
      </c>
      <c r="Y541">
        <v>0</v>
      </c>
    </row>
    <row r="542" spans="1:25" x14ac:dyDescent="0.25">
      <c r="A542" t="s">
        <v>1328</v>
      </c>
      <c r="B542">
        <v>5368435</v>
      </c>
      <c r="C542" t="s">
        <v>1329</v>
      </c>
      <c r="D542">
        <v>9789</v>
      </c>
      <c r="E542">
        <v>9269</v>
      </c>
      <c r="F542">
        <v>520</v>
      </c>
      <c r="G542">
        <v>9789</v>
      </c>
      <c r="H542">
        <v>9269</v>
      </c>
      <c r="I542">
        <v>520</v>
      </c>
      <c r="J542">
        <v>7091</v>
      </c>
      <c r="K542">
        <v>236</v>
      </c>
      <c r="L542">
        <v>434</v>
      </c>
      <c r="M542">
        <v>136</v>
      </c>
      <c r="N542">
        <v>170</v>
      </c>
      <c r="O542">
        <v>0</v>
      </c>
      <c r="P542">
        <v>117</v>
      </c>
      <c r="Q542">
        <v>0</v>
      </c>
      <c r="R542">
        <v>155</v>
      </c>
      <c r="S542">
        <v>49</v>
      </c>
      <c r="T542">
        <v>10</v>
      </c>
      <c r="U542">
        <v>0</v>
      </c>
      <c r="V542">
        <v>291</v>
      </c>
      <c r="W542">
        <v>83</v>
      </c>
      <c r="X542">
        <v>1001</v>
      </c>
      <c r="Y542">
        <v>16</v>
      </c>
    </row>
    <row r="543" spans="1:25" x14ac:dyDescent="0.25">
      <c r="A543" t="s">
        <v>1330</v>
      </c>
      <c r="B543">
        <v>5368480</v>
      </c>
      <c r="C543" t="s">
        <v>1331</v>
      </c>
      <c r="D543">
        <v>666</v>
      </c>
      <c r="E543">
        <v>666</v>
      </c>
      <c r="F543">
        <v>0</v>
      </c>
      <c r="G543">
        <v>666</v>
      </c>
      <c r="H543">
        <v>666</v>
      </c>
      <c r="I543">
        <v>0</v>
      </c>
      <c r="J543">
        <v>618</v>
      </c>
      <c r="K543">
        <v>0</v>
      </c>
      <c r="L543">
        <v>23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25</v>
      </c>
      <c r="Y543">
        <v>0</v>
      </c>
    </row>
    <row r="544" spans="1:25" x14ac:dyDescent="0.25">
      <c r="A544" t="s">
        <v>1332</v>
      </c>
      <c r="B544">
        <v>5368750</v>
      </c>
      <c r="C544" t="s">
        <v>1333</v>
      </c>
      <c r="D544">
        <v>16248</v>
      </c>
      <c r="E544">
        <v>11501</v>
      </c>
      <c r="F544">
        <v>4747</v>
      </c>
      <c r="G544">
        <v>16248</v>
      </c>
      <c r="H544">
        <v>11501</v>
      </c>
      <c r="I544">
        <v>4747</v>
      </c>
      <c r="J544">
        <v>1791</v>
      </c>
      <c r="K544">
        <v>53</v>
      </c>
      <c r="L544">
        <v>8348</v>
      </c>
      <c r="M544">
        <v>4265</v>
      </c>
      <c r="N544">
        <v>23</v>
      </c>
      <c r="O544">
        <v>0</v>
      </c>
      <c r="P544">
        <v>40</v>
      </c>
      <c r="Q544">
        <v>7</v>
      </c>
      <c r="R544">
        <v>14</v>
      </c>
      <c r="S544">
        <v>36</v>
      </c>
      <c r="T544">
        <v>0</v>
      </c>
      <c r="U544">
        <v>0</v>
      </c>
      <c r="V544">
        <v>1117</v>
      </c>
      <c r="W544">
        <v>347</v>
      </c>
      <c r="X544">
        <v>168</v>
      </c>
      <c r="Y544">
        <v>39</v>
      </c>
    </row>
    <row r="545" spans="1:25" x14ac:dyDescent="0.25">
      <c r="A545" t="s">
        <v>1334</v>
      </c>
      <c r="B545">
        <v>5368785</v>
      </c>
      <c r="C545" t="s">
        <v>1335</v>
      </c>
      <c r="D545">
        <v>3641</v>
      </c>
      <c r="E545">
        <v>3542</v>
      </c>
      <c r="F545">
        <v>99</v>
      </c>
      <c r="G545">
        <v>3641</v>
      </c>
      <c r="H545">
        <v>3542</v>
      </c>
      <c r="I545">
        <v>99</v>
      </c>
      <c r="J545">
        <v>3249</v>
      </c>
      <c r="K545">
        <v>72</v>
      </c>
      <c r="L545">
        <v>222</v>
      </c>
      <c r="M545">
        <v>10</v>
      </c>
      <c r="N545">
        <v>0</v>
      </c>
      <c r="O545">
        <v>2</v>
      </c>
      <c r="P545">
        <v>0</v>
      </c>
      <c r="Q545">
        <v>0</v>
      </c>
      <c r="R545">
        <v>60</v>
      </c>
      <c r="S545">
        <v>14</v>
      </c>
      <c r="T545">
        <v>0</v>
      </c>
      <c r="U545">
        <v>0</v>
      </c>
      <c r="V545">
        <v>11</v>
      </c>
      <c r="W545">
        <v>1</v>
      </c>
      <c r="X545">
        <v>0</v>
      </c>
      <c r="Y545">
        <v>0</v>
      </c>
    </row>
    <row r="546" spans="1:25" x14ac:dyDescent="0.25">
      <c r="A546" t="s">
        <v>1336</v>
      </c>
      <c r="B546">
        <v>5369170</v>
      </c>
      <c r="C546" t="s">
        <v>1337</v>
      </c>
      <c r="D546">
        <v>4108</v>
      </c>
      <c r="E546">
        <v>3817</v>
      </c>
      <c r="F546">
        <v>291</v>
      </c>
      <c r="G546">
        <v>4108</v>
      </c>
      <c r="H546">
        <v>3817</v>
      </c>
      <c r="I546">
        <v>291</v>
      </c>
      <c r="J546">
        <v>2878</v>
      </c>
      <c r="K546">
        <v>123</v>
      </c>
      <c r="L546">
        <v>102</v>
      </c>
      <c r="M546">
        <v>30</v>
      </c>
      <c r="N546">
        <v>14</v>
      </c>
      <c r="O546">
        <v>0</v>
      </c>
      <c r="P546">
        <v>413</v>
      </c>
      <c r="Q546">
        <v>6</v>
      </c>
      <c r="R546">
        <v>26</v>
      </c>
      <c r="S546">
        <v>73</v>
      </c>
      <c r="T546">
        <v>5</v>
      </c>
      <c r="U546">
        <v>5</v>
      </c>
      <c r="V546">
        <v>42</v>
      </c>
      <c r="W546">
        <v>37</v>
      </c>
      <c r="X546">
        <v>337</v>
      </c>
      <c r="Y546">
        <v>17</v>
      </c>
    </row>
    <row r="547" spans="1:25" x14ac:dyDescent="0.25">
      <c r="A547" t="s">
        <v>1338</v>
      </c>
      <c r="B547">
        <v>5369280</v>
      </c>
      <c r="C547" t="s">
        <v>1339</v>
      </c>
      <c r="D547">
        <v>1030</v>
      </c>
      <c r="E547">
        <v>994</v>
      </c>
      <c r="F547">
        <v>36</v>
      </c>
      <c r="G547">
        <v>1030</v>
      </c>
      <c r="H547">
        <v>994</v>
      </c>
      <c r="I547">
        <v>36</v>
      </c>
      <c r="J547">
        <v>874</v>
      </c>
      <c r="K547">
        <v>27</v>
      </c>
      <c r="L547">
        <v>0</v>
      </c>
      <c r="M547">
        <v>0</v>
      </c>
      <c r="N547">
        <v>0</v>
      </c>
      <c r="O547">
        <v>0</v>
      </c>
      <c r="P547">
        <v>85</v>
      </c>
      <c r="Q547">
        <v>0</v>
      </c>
      <c r="R547">
        <v>11</v>
      </c>
      <c r="S547">
        <v>0</v>
      </c>
      <c r="T547">
        <v>0</v>
      </c>
      <c r="U547">
        <v>0</v>
      </c>
      <c r="V547">
        <v>0</v>
      </c>
      <c r="W547">
        <v>9</v>
      </c>
      <c r="X547">
        <v>24</v>
      </c>
      <c r="Y547">
        <v>0</v>
      </c>
    </row>
    <row r="548" spans="1:25" x14ac:dyDescent="0.25">
      <c r="A548" t="s">
        <v>1340</v>
      </c>
      <c r="B548">
        <v>5370000</v>
      </c>
      <c r="C548" t="s">
        <v>1341</v>
      </c>
      <c r="D548">
        <v>207280</v>
      </c>
      <c r="E548">
        <v>175234</v>
      </c>
      <c r="F548">
        <v>32046</v>
      </c>
      <c r="G548">
        <v>207280</v>
      </c>
      <c r="H548">
        <v>175234</v>
      </c>
      <c r="I548">
        <v>32046</v>
      </c>
      <c r="J548">
        <v>117501</v>
      </c>
      <c r="K548">
        <v>7397</v>
      </c>
      <c r="L548">
        <v>8167</v>
      </c>
      <c r="M548">
        <v>3757</v>
      </c>
      <c r="N548">
        <v>18257</v>
      </c>
      <c r="O548">
        <v>2188</v>
      </c>
      <c r="P548">
        <v>2665</v>
      </c>
      <c r="Q548">
        <v>12</v>
      </c>
      <c r="R548">
        <v>5638</v>
      </c>
      <c r="S548">
        <v>12598</v>
      </c>
      <c r="T548">
        <v>1141</v>
      </c>
      <c r="U548">
        <v>1514</v>
      </c>
      <c r="V548">
        <v>5348</v>
      </c>
      <c r="W548">
        <v>3514</v>
      </c>
      <c r="X548">
        <v>16517</v>
      </c>
      <c r="Y548">
        <v>1066</v>
      </c>
    </row>
    <row r="549" spans="1:25" x14ac:dyDescent="0.25">
      <c r="A549" t="s">
        <v>1342</v>
      </c>
      <c r="B549">
        <v>5370175</v>
      </c>
      <c r="C549" t="s">
        <v>1343</v>
      </c>
      <c r="D549">
        <v>714</v>
      </c>
      <c r="E549">
        <v>699</v>
      </c>
      <c r="F549">
        <v>15</v>
      </c>
      <c r="G549">
        <v>714</v>
      </c>
      <c r="H549">
        <v>699</v>
      </c>
      <c r="I549">
        <v>15</v>
      </c>
      <c r="J549">
        <v>27</v>
      </c>
      <c r="K549">
        <v>0</v>
      </c>
      <c r="L549">
        <v>2</v>
      </c>
      <c r="M549">
        <v>2</v>
      </c>
      <c r="N549">
        <v>1</v>
      </c>
      <c r="O549">
        <v>0</v>
      </c>
      <c r="P549">
        <v>636</v>
      </c>
      <c r="Q549">
        <v>12</v>
      </c>
      <c r="R549">
        <v>0</v>
      </c>
      <c r="S549">
        <v>0</v>
      </c>
      <c r="T549">
        <v>8</v>
      </c>
      <c r="U549">
        <v>1</v>
      </c>
      <c r="V549">
        <v>0</v>
      </c>
      <c r="W549">
        <v>0</v>
      </c>
      <c r="X549">
        <v>25</v>
      </c>
      <c r="Y549">
        <v>0</v>
      </c>
    </row>
    <row r="550" spans="1:25" x14ac:dyDescent="0.25">
      <c r="A550" t="s">
        <v>1344</v>
      </c>
      <c r="B550">
        <v>5370245</v>
      </c>
      <c r="C550" t="s">
        <v>1345</v>
      </c>
      <c r="D550">
        <v>465</v>
      </c>
      <c r="E550">
        <v>465</v>
      </c>
      <c r="F550">
        <v>0</v>
      </c>
      <c r="G550">
        <v>465</v>
      </c>
      <c r="H550">
        <v>465</v>
      </c>
      <c r="I550">
        <v>0</v>
      </c>
      <c r="J550">
        <v>443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22</v>
      </c>
      <c r="Y550">
        <v>0</v>
      </c>
    </row>
    <row r="551" spans="1:25" x14ac:dyDescent="0.25">
      <c r="A551" t="s">
        <v>1346</v>
      </c>
      <c r="B551">
        <v>5370280</v>
      </c>
      <c r="C551" t="s">
        <v>1347</v>
      </c>
      <c r="D551">
        <v>6205</v>
      </c>
      <c r="E551">
        <v>5272</v>
      </c>
      <c r="F551">
        <v>933</v>
      </c>
      <c r="G551">
        <v>6205</v>
      </c>
      <c r="H551">
        <v>5272</v>
      </c>
      <c r="I551">
        <v>933</v>
      </c>
      <c r="J551">
        <v>4170</v>
      </c>
      <c r="K551">
        <v>272</v>
      </c>
      <c r="L551">
        <v>220</v>
      </c>
      <c r="M551">
        <v>118</v>
      </c>
      <c r="N551">
        <v>261</v>
      </c>
      <c r="O551">
        <v>0</v>
      </c>
      <c r="P551">
        <v>78</v>
      </c>
      <c r="Q551">
        <v>0</v>
      </c>
      <c r="R551">
        <v>104</v>
      </c>
      <c r="S551">
        <v>491</v>
      </c>
      <c r="T551">
        <v>0</v>
      </c>
      <c r="U551">
        <v>0</v>
      </c>
      <c r="V551">
        <v>86</v>
      </c>
      <c r="W551">
        <v>32</v>
      </c>
      <c r="X551">
        <v>353</v>
      </c>
      <c r="Y551">
        <v>20</v>
      </c>
    </row>
    <row r="552" spans="1:25" x14ac:dyDescent="0.25">
      <c r="A552" t="s">
        <v>1348</v>
      </c>
      <c r="B552">
        <v>5370315</v>
      </c>
      <c r="C552" t="s">
        <v>1349</v>
      </c>
      <c r="D552">
        <v>905</v>
      </c>
      <c r="E552">
        <v>833</v>
      </c>
      <c r="F552">
        <v>72</v>
      </c>
      <c r="G552">
        <v>905</v>
      </c>
      <c r="H552">
        <v>833</v>
      </c>
      <c r="I552">
        <v>72</v>
      </c>
      <c r="J552">
        <v>823</v>
      </c>
      <c r="K552">
        <v>52</v>
      </c>
      <c r="L552">
        <v>0</v>
      </c>
      <c r="M552">
        <v>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10</v>
      </c>
      <c r="Y552">
        <v>13</v>
      </c>
    </row>
    <row r="553" spans="1:25" x14ac:dyDescent="0.25">
      <c r="A553" t="s">
        <v>1350</v>
      </c>
      <c r="B553">
        <v>5370560</v>
      </c>
      <c r="C553" t="s">
        <v>1351</v>
      </c>
      <c r="D553">
        <v>897</v>
      </c>
      <c r="E553">
        <v>871</v>
      </c>
      <c r="F553">
        <v>26</v>
      </c>
      <c r="G553">
        <v>897</v>
      </c>
      <c r="H553">
        <v>871</v>
      </c>
      <c r="I553">
        <v>26</v>
      </c>
      <c r="J553">
        <v>761</v>
      </c>
      <c r="K553">
        <v>13</v>
      </c>
      <c r="L553">
        <v>22</v>
      </c>
      <c r="M553">
        <v>0</v>
      </c>
      <c r="N553">
        <v>12</v>
      </c>
      <c r="O553">
        <v>0</v>
      </c>
      <c r="P553">
        <v>5</v>
      </c>
      <c r="Q553">
        <v>0</v>
      </c>
      <c r="R553">
        <v>12</v>
      </c>
      <c r="S553">
        <v>0</v>
      </c>
      <c r="T553">
        <v>0</v>
      </c>
      <c r="U553">
        <v>0</v>
      </c>
      <c r="V553">
        <v>44</v>
      </c>
      <c r="W553">
        <v>13</v>
      </c>
      <c r="X553">
        <v>15</v>
      </c>
      <c r="Y553">
        <v>0</v>
      </c>
    </row>
    <row r="554" spans="1:25" x14ac:dyDescent="0.25">
      <c r="A554" t="s">
        <v>1352</v>
      </c>
      <c r="B554">
        <v>5370630</v>
      </c>
      <c r="C554" t="s">
        <v>1353</v>
      </c>
      <c r="D554">
        <v>1557</v>
      </c>
      <c r="E554">
        <v>1462</v>
      </c>
      <c r="F554">
        <v>95</v>
      </c>
      <c r="G554">
        <v>1557</v>
      </c>
      <c r="H554">
        <v>1462</v>
      </c>
      <c r="I554">
        <v>95</v>
      </c>
      <c r="J554">
        <v>1260</v>
      </c>
      <c r="K554">
        <v>28</v>
      </c>
      <c r="L554">
        <v>47</v>
      </c>
      <c r="M554">
        <v>40</v>
      </c>
      <c r="N554">
        <v>8</v>
      </c>
      <c r="O554">
        <v>0</v>
      </c>
      <c r="P554">
        <v>12</v>
      </c>
      <c r="Q554">
        <v>0</v>
      </c>
      <c r="R554">
        <v>9</v>
      </c>
      <c r="S554">
        <v>7</v>
      </c>
      <c r="T554">
        <v>0</v>
      </c>
      <c r="U554">
        <v>0</v>
      </c>
      <c r="V554">
        <v>0</v>
      </c>
      <c r="W554">
        <v>4</v>
      </c>
      <c r="X554">
        <v>126</v>
      </c>
      <c r="Y554">
        <v>16</v>
      </c>
    </row>
    <row r="555" spans="1:25" x14ac:dyDescent="0.25">
      <c r="A555" t="s">
        <v>1354</v>
      </c>
      <c r="B555">
        <v>5370805</v>
      </c>
      <c r="C555" t="s">
        <v>1355</v>
      </c>
      <c r="D555">
        <v>7849</v>
      </c>
      <c r="E555">
        <v>7384</v>
      </c>
      <c r="F555">
        <v>465</v>
      </c>
      <c r="G555">
        <v>7849</v>
      </c>
      <c r="H555">
        <v>7384</v>
      </c>
      <c r="I555">
        <v>465</v>
      </c>
      <c r="J555">
        <v>5786</v>
      </c>
      <c r="K555">
        <v>166</v>
      </c>
      <c r="L555">
        <v>383</v>
      </c>
      <c r="M555">
        <v>222</v>
      </c>
      <c r="N555">
        <v>141</v>
      </c>
      <c r="O555">
        <v>14</v>
      </c>
      <c r="P555">
        <v>56</v>
      </c>
      <c r="Q555">
        <v>0</v>
      </c>
      <c r="R555">
        <v>30</v>
      </c>
      <c r="S555">
        <v>49</v>
      </c>
      <c r="T555">
        <v>0</v>
      </c>
      <c r="U555">
        <v>0</v>
      </c>
      <c r="V555">
        <v>666</v>
      </c>
      <c r="W555">
        <v>14</v>
      </c>
      <c r="X555">
        <v>322</v>
      </c>
      <c r="Y555">
        <v>0</v>
      </c>
    </row>
    <row r="556" spans="1:25" x14ac:dyDescent="0.25">
      <c r="A556" t="s">
        <v>1356</v>
      </c>
      <c r="B556">
        <v>5371225</v>
      </c>
      <c r="C556" t="s">
        <v>1357</v>
      </c>
      <c r="D556">
        <v>297</v>
      </c>
      <c r="E556">
        <v>297</v>
      </c>
      <c r="F556">
        <v>0</v>
      </c>
      <c r="G556">
        <v>297</v>
      </c>
      <c r="H556">
        <v>297</v>
      </c>
      <c r="I556">
        <v>0</v>
      </c>
      <c r="J556">
        <v>292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 t="s">
        <v>1358</v>
      </c>
      <c r="B557">
        <v>5371330</v>
      </c>
      <c r="C557" t="s">
        <v>1359</v>
      </c>
      <c r="D557">
        <v>3390</v>
      </c>
      <c r="E557">
        <v>3211</v>
      </c>
      <c r="F557">
        <v>179</v>
      </c>
      <c r="G557">
        <v>3390</v>
      </c>
      <c r="H557">
        <v>3211</v>
      </c>
      <c r="I557">
        <v>179</v>
      </c>
      <c r="J557">
        <v>3106</v>
      </c>
      <c r="K557">
        <v>135</v>
      </c>
      <c r="L557">
        <v>29</v>
      </c>
      <c r="M557">
        <v>10</v>
      </c>
      <c r="N557">
        <v>8</v>
      </c>
      <c r="O557">
        <v>8</v>
      </c>
      <c r="P557">
        <v>21</v>
      </c>
      <c r="Q557">
        <v>0</v>
      </c>
      <c r="R557">
        <v>19</v>
      </c>
      <c r="S557">
        <v>26</v>
      </c>
      <c r="T557">
        <v>0</v>
      </c>
      <c r="U557">
        <v>0</v>
      </c>
      <c r="V557">
        <v>0</v>
      </c>
      <c r="W557">
        <v>0</v>
      </c>
      <c r="X557">
        <v>28</v>
      </c>
      <c r="Y557">
        <v>0</v>
      </c>
    </row>
    <row r="558" spans="1:25" x14ac:dyDescent="0.25">
      <c r="A558" t="s">
        <v>1360</v>
      </c>
      <c r="B558">
        <v>5371400</v>
      </c>
      <c r="C558" t="s">
        <v>1361</v>
      </c>
      <c r="D558">
        <v>1471</v>
      </c>
      <c r="E558">
        <v>946</v>
      </c>
      <c r="F558">
        <v>525</v>
      </c>
      <c r="G558">
        <v>1471</v>
      </c>
      <c r="H558">
        <v>946</v>
      </c>
      <c r="I558">
        <v>525</v>
      </c>
      <c r="J558">
        <v>369</v>
      </c>
      <c r="K558">
        <v>2</v>
      </c>
      <c r="L558">
        <v>340</v>
      </c>
      <c r="M558">
        <v>258</v>
      </c>
      <c r="N558">
        <v>0</v>
      </c>
      <c r="O558">
        <v>0</v>
      </c>
      <c r="P558">
        <v>15</v>
      </c>
      <c r="Q558">
        <v>0</v>
      </c>
      <c r="R558">
        <v>3</v>
      </c>
      <c r="S558">
        <v>6</v>
      </c>
      <c r="T558">
        <v>0</v>
      </c>
      <c r="U558">
        <v>0</v>
      </c>
      <c r="V558">
        <v>200</v>
      </c>
      <c r="W558">
        <v>249</v>
      </c>
      <c r="X558">
        <v>19</v>
      </c>
      <c r="Y558">
        <v>10</v>
      </c>
    </row>
    <row r="559" spans="1:25" x14ac:dyDescent="0.25">
      <c r="A559" t="s">
        <v>1362</v>
      </c>
      <c r="B559">
        <v>5371680</v>
      </c>
      <c r="C559" t="s">
        <v>1363</v>
      </c>
      <c r="D559">
        <v>330</v>
      </c>
      <c r="E559">
        <v>330</v>
      </c>
      <c r="F559">
        <v>0</v>
      </c>
      <c r="G559">
        <v>330</v>
      </c>
      <c r="H559">
        <v>330</v>
      </c>
      <c r="I559">
        <v>0</v>
      </c>
      <c r="J559">
        <v>289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9</v>
      </c>
      <c r="Y559">
        <v>0</v>
      </c>
    </row>
    <row r="560" spans="1:25" x14ac:dyDescent="0.25">
      <c r="A560" t="s">
        <v>1364</v>
      </c>
      <c r="B560">
        <v>5371785</v>
      </c>
      <c r="C560" t="s">
        <v>1365</v>
      </c>
      <c r="D560">
        <v>581</v>
      </c>
      <c r="E560">
        <v>521</v>
      </c>
      <c r="F560">
        <v>60</v>
      </c>
      <c r="G560">
        <v>581</v>
      </c>
      <c r="H560">
        <v>521</v>
      </c>
      <c r="I560">
        <v>60</v>
      </c>
      <c r="J560">
        <v>446</v>
      </c>
      <c r="K560">
        <v>13</v>
      </c>
      <c r="L560">
        <v>36</v>
      </c>
      <c r="M560">
        <v>27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7</v>
      </c>
      <c r="T560">
        <v>0</v>
      </c>
      <c r="U560">
        <v>0</v>
      </c>
      <c r="V560">
        <v>0</v>
      </c>
      <c r="W560">
        <v>13</v>
      </c>
      <c r="X560">
        <v>39</v>
      </c>
      <c r="Y560">
        <v>0</v>
      </c>
    </row>
    <row r="561" spans="1:25" x14ac:dyDescent="0.25">
      <c r="A561" t="s">
        <v>1366</v>
      </c>
      <c r="B561">
        <v>5371890</v>
      </c>
      <c r="C561" t="s">
        <v>1367</v>
      </c>
      <c r="D561">
        <v>928</v>
      </c>
      <c r="E561">
        <v>865</v>
      </c>
      <c r="F561">
        <v>63</v>
      </c>
      <c r="G561">
        <v>928</v>
      </c>
      <c r="H561">
        <v>865</v>
      </c>
      <c r="I561">
        <v>63</v>
      </c>
      <c r="J561">
        <v>739</v>
      </c>
      <c r="K561">
        <v>30</v>
      </c>
      <c r="L561">
        <v>45</v>
      </c>
      <c r="M561">
        <v>25</v>
      </c>
      <c r="N561">
        <v>0</v>
      </c>
      <c r="O561">
        <v>0</v>
      </c>
      <c r="P561">
        <v>22</v>
      </c>
      <c r="Q561">
        <v>0</v>
      </c>
      <c r="R561">
        <v>0</v>
      </c>
      <c r="S561">
        <v>0</v>
      </c>
      <c r="T561">
        <v>4</v>
      </c>
      <c r="U561">
        <v>0</v>
      </c>
      <c r="V561">
        <v>0</v>
      </c>
      <c r="W561">
        <v>8</v>
      </c>
      <c r="X561">
        <v>55</v>
      </c>
      <c r="Y561">
        <v>0</v>
      </c>
    </row>
    <row r="562" spans="1:25" x14ac:dyDescent="0.25">
      <c r="A562" t="s">
        <v>1368</v>
      </c>
      <c r="B562">
        <v>5371960</v>
      </c>
      <c r="C562" t="s">
        <v>1369</v>
      </c>
      <c r="D562">
        <v>8923</v>
      </c>
      <c r="E562">
        <v>6017</v>
      </c>
      <c r="F562">
        <v>2906</v>
      </c>
      <c r="G562">
        <v>8923</v>
      </c>
      <c r="H562">
        <v>6017</v>
      </c>
      <c r="I562">
        <v>2906</v>
      </c>
      <c r="J562">
        <v>765</v>
      </c>
      <c r="K562">
        <v>56</v>
      </c>
      <c r="L562">
        <v>3907</v>
      </c>
      <c r="M562">
        <v>2251</v>
      </c>
      <c r="N562">
        <v>54</v>
      </c>
      <c r="O562">
        <v>0</v>
      </c>
      <c r="P562">
        <v>406</v>
      </c>
      <c r="Q562">
        <v>0</v>
      </c>
      <c r="R562">
        <v>14</v>
      </c>
      <c r="S562">
        <v>76</v>
      </c>
      <c r="T562">
        <v>0</v>
      </c>
      <c r="U562">
        <v>9</v>
      </c>
      <c r="V562">
        <v>739</v>
      </c>
      <c r="W562">
        <v>463</v>
      </c>
      <c r="X562">
        <v>132</v>
      </c>
      <c r="Y562">
        <v>51</v>
      </c>
    </row>
    <row r="563" spans="1:25" x14ac:dyDescent="0.25">
      <c r="A563" t="s">
        <v>1370</v>
      </c>
      <c r="B563">
        <v>5371995</v>
      </c>
      <c r="C563" t="s">
        <v>1371</v>
      </c>
      <c r="D563">
        <v>48</v>
      </c>
      <c r="E563">
        <v>48</v>
      </c>
      <c r="F563">
        <v>0</v>
      </c>
      <c r="G563">
        <v>48</v>
      </c>
      <c r="H563">
        <v>48</v>
      </c>
      <c r="I563">
        <v>0</v>
      </c>
      <c r="J563">
        <v>48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 t="s">
        <v>1372</v>
      </c>
      <c r="B564">
        <v>5372030</v>
      </c>
      <c r="C564" t="s">
        <v>1373</v>
      </c>
      <c r="D564">
        <v>437</v>
      </c>
      <c r="E564">
        <v>407</v>
      </c>
      <c r="F564">
        <v>30</v>
      </c>
      <c r="G564">
        <v>437</v>
      </c>
      <c r="H564">
        <v>407</v>
      </c>
      <c r="I564">
        <v>30</v>
      </c>
      <c r="J564">
        <v>333</v>
      </c>
      <c r="K564">
        <v>0</v>
      </c>
      <c r="L564">
        <v>11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46</v>
      </c>
      <c r="W564">
        <v>30</v>
      </c>
      <c r="X564">
        <v>17</v>
      </c>
      <c r="Y564">
        <v>0</v>
      </c>
    </row>
    <row r="565" spans="1:25" x14ac:dyDescent="0.25">
      <c r="A565" t="s">
        <v>1374</v>
      </c>
      <c r="B565">
        <v>5372170</v>
      </c>
      <c r="C565" t="s">
        <v>1375</v>
      </c>
      <c r="D565">
        <v>5001</v>
      </c>
      <c r="E565">
        <v>4776</v>
      </c>
      <c r="F565">
        <v>225</v>
      </c>
      <c r="G565">
        <v>5001</v>
      </c>
      <c r="H565">
        <v>4776</v>
      </c>
      <c r="I565">
        <v>225</v>
      </c>
      <c r="J565">
        <v>4246</v>
      </c>
      <c r="K565">
        <v>130</v>
      </c>
      <c r="L565">
        <v>126</v>
      </c>
      <c r="M565">
        <v>21</v>
      </c>
      <c r="N565">
        <v>42</v>
      </c>
      <c r="O565">
        <v>0</v>
      </c>
      <c r="P565">
        <v>48</v>
      </c>
      <c r="Q565">
        <v>0</v>
      </c>
      <c r="R565">
        <v>97</v>
      </c>
      <c r="S565">
        <v>43</v>
      </c>
      <c r="T565">
        <v>0</v>
      </c>
      <c r="U565">
        <v>0</v>
      </c>
      <c r="V565">
        <v>0</v>
      </c>
      <c r="W565">
        <v>3</v>
      </c>
      <c r="X565">
        <v>217</v>
      </c>
      <c r="Y565">
        <v>28</v>
      </c>
    </row>
    <row r="566" spans="1:25" x14ac:dyDescent="0.25">
      <c r="A566" t="s">
        <v>1376</v>
      </c>
      <c r="B566">
        <v>5372205</v>
      </c>
      <c r="C566" t="s">
        <v>1377</v>
      </c>
      <c r="D566">
        <v>5937</v>
      </c>
      <c r="E566">
        <v>4888</v>
      </c>
      <c r="F566">
        <v>1049</v>
      </c>
      <c r="G566">
        <v>5937</v>
      </c>
      <c r="H566">
        <v>4888</v>
      </c>
      <c r="I566">
        <v>1049</v>
      </c>
      <c r="J566">
        <v>3580</v>
      </c>
      <c r="K566">
        <v>71</v>
      </c>
      <c r="L566">
        <v>228</v>
      </c>
      <c r="M566">
        <v>10</v>
      </c>
      <c r="N566">
        <v>409</v>
      </c>
      <c r="O566">
        <v>29</v>
      </c>
      <c r="P566">
        <v>0</v>
      </c>
      <c r="Q566">
        <v>0</v>
      </c>
      <c r="R566">
        <v>78</v>
      </c>
      <c r="S566">
        <v>442</v>
      </c>
      <c r="T566">
        <v>42</v>
      </c>
      <c r="U566">
        <v>326</v>
      </c>
      <c r="V566">
        <v>38</v>
      </c>
      <c r="W566">
        <v>84</v>
      </c>
      <c r="X566">
        <v>513</v>
      </c>
      <c r="Y566">
        <v>87</v>
      </c>
    </row>
    <row r="567" spans="1:25" x14ac:dyDescent="0.25">
      <c r="A567" t="s">
        <v>1378</v>
      </c>
      <c r="B567">
        <v>5372450</v>
      </c>
      <c r="C567" t="s">
        <v>1379</v>
      </c>
      <c r="D567">
        <v>654</v>
      </c>
      <c r="E567">
        <v>634</v>
      </c>
      <c r="F567">
        <v>20</v>
      </c>
      <c r="G567">
        <v>654</v>
      </c>
      <c r="H567">
        <v>634</v>
      </c>
      <c r="I567">
        <v>20</v>
      </c>
      <c r="J567">
        <v>617</v>
      </c>
      <c r="K567">
        <v>0</v>
      </c>
      <c r="L567">
        <v>4</v>
      </c>
      <c r="M567">
        <v>16</v>
      </c>
      <c r="N567">
        <v>0</v>
      </c>
      <c r="O567">
        <v>0</v>
      </c>
      <c r="P567">
        <v>0</v>
      </c>
      <c r="Q567">
        <v>0</v>
      </c>
      <c r="R567">
        <v>6</v>
      </c>
      <c r="S567">
        <v>4</v>
      </c>
      <c r="T567">
        <v>0</v>
      </c>
      <c r="U567">
        <v>0</v>
      </c>
      <c r="V567">
        <v>7</v>
      </c>
      <c r="W567">
        <v>0</v>
      </c>
      <c r="X567">
        <v>0</v>
      </c>
      <c r="Y567">
        <v>0</v>
      </c>
    </row>
    <row r="568" spans="1:25" x14ac:dyDescent="0.25">
      <c r="A568" t="s">
        <v>1380</v>
      </c>
      <c r="B568">
        <v>5372625</v>
      </c>
      <c r="C568" t="s">
        <v>1381</v>
      </c>
      <c r="D568">
        <v>20025</v>
      </c>
      <c r="E568">
        <v>11416</v>
      </c>
      <c r="F568">
        <v>8609</v>
      </c>
      <c r="G568">
        <v>20025</v>
      </c>
      <c r="H568">
        <v>11416</v>
      </c>
      <c r="I568">
        <v>8609</v>
      </c>
      <c r="J568">
        <v>5323</v>
      </c>
      <c r="K568">
        <v>1257</v>
      </c>
      <c r="L568">
        <v>443</v>
      </c>
      <c r="M568">
        <v>419</v>
      </c>
      <c r="N568">
        <v>1806</v>
      </c>
      <c r="O568">
        <v>1625</v>
      </c>
      <c r="P568">
        <v>158</v>
      </c>
      <c r="Q568">
        <v>56</v>
      </c>
      <c r="R568">
        <v>955</v>
      </c>
      <c r="S568">
        <v>3791</v>
      </c>
      <c r="T568">
        <v>276</v>
      </c>
      <c r="U568">
        <v>151</v>
      </c>
      <c r="V568">
        <v>595</v>
      </c>
      <c r="W568">
        <v>980</v>
      </c>
      <c r="X568">
        <v>1860</v>
      </c>
      <c r="Y568">
        <v>330</v>
      </c>
    </row>
    <row r="569" spans="1:25" x14ac:dyDescent="0.25">
      <c r="A569" t="s">
        <v>1382</v>
      </c>
      <c r="B569">
        <v>5372905</v>
      </c>
      <c r="C569" t="s">
        <v>1383</v>
      </c>
      <c r="D569">
        <v>22005</v>
      </c>
      <c r="E569">
        <v>20230</v>
      </c>
      <c r="F569">
        <v>1775</v>
      </c>
      <c r="G569">
        <v>22005</v>
      </c>
      <c r="H569">
        <v>20230</v>
      </c>
      <c r="I569">
        <v>1775</v>
      </c>
      <c r="J569">
        <v>17007</v>
      </c>
      <c r="K569">
        <v>695</v>
      </c>
      <c r="L569">
        <v>696</v>
      </c>
      <c r="M569">
        <v>132</v>
      </c>
      <c r="N569">
        <v>479</v>
      </c>
      <c r="O569">
        <v>132</v>
      </c>
      <c r="P569">
        <v>107</v>
      </c>
      <c r="Q569">
        <v>17</v>
      </c>
      <c r="R569">
        <v>300</v>
      </c>
      <c r="S569">
        <v>610</v>
      </c>
      <c r="T569">
        <v>55</v>
      </c>
      <c r="U569">
        <v>64</v>
      </c>
      <c r="V569">
        <v>150</v>
      </c>
      <c r="W569">
        <v>52</v>
      </c>
      <c r="X569">
        <v>1436</v>
      </c>
      <c r="Y569">
        <v>73</v>
      </c>
    </row>
    <row r="570" spans="1:25" x14ac:dyDescent="0.25">
      <c r="A570" t="s">
        <v>1384</v>
      </c>
      <c r="B570">
        <v>5373065</v>
      </c>
      <c r="C570" t="s">
        <v>1385</v>
      </c>
      <c r="D570">
        <v>100</v>
      </c>
      <c r="E570">
        <v>86</v>
      </c>
      <c r="F570">
        <v>14</v>
      </c>
      <c r="G570">
        <v>100</v>
      </c>
      <c r="H570">
        <v>86</v>
      </c>
      <c r="I570">
        <v>14</v>
      </c>
      <c r="J570">
        <v>58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23</v>
      </c>
      <c r="Q570">
        <v>0</v>
      </c>
      <c r="R570">
        <v>0</v>
      </c>
      <c r="S570">
        <v>0</v>
      </c>
      <c r="T570">
        <v>0</v>
      </c>
      <c r="U570">
        <v>14</v>
      </c>
      <c r="V570">
        <v>0</v>
      </c>
      <c r="W570">
        <v>0</v>
      </c>
      <c r="X570">
        <v>5</v>
      </c>
      <c r="Y570">
        <v>0</v>
      </c>
    </row>
    <row r="571" spans="1:25" x14ac:dyDescent="0.25">
      <c r="A571" t="s">
        <v>1386</v>
      </c>
      <c r="B571">
        <v>5373080</v>
      </c>
      <c r="C571" t="s">
        <v>1387</v>
      </c>
      <c r="D571">
        <v>1129</v>
      </c>
      <c r="E571">
        <v>1041</v>
      </c>
      <c r="F571">
        <v>88</v>
      </c>
      <c r="G571">
        <v>1129</v>
      </c>
      <c r="H571">
        <v>1041</v>
      </c>
      <c r="I571">
        <v>88</v>
      </c>
      <c r="J571">
        <v>932</v>
      </c>
      <c r="K571">
        <v>33</v>
      </c>
      <c r="L571">
        <v>50</v>
      </c>
      <c r="M571">
        <v>4</v>
      </c>
      <c r="N571">
        <v>0</v>
      </c>
      <c r="O571">
        <v>0</v>
      </c>
      <c r="P571">
        <v>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39</v>
      </c>
      <c r="W571">
        <v>51</v>
      </c>
      <c r="X571">
        <v>11</v>
      </c>
      <c r="Y571">
        <v>0</v>
      </c>
    </row>
    <row r="572" spans="1:25" x14ac:dyDescent="0.25">
      <c r="A572" t="s">
        <v>1388</v>
      </c>
      <c r="B572">
        <v>5373255</v>
      </c>
      <c r="C572" t="s">
        <v>1389</v>
      </c>
      <c r="D572">
        <v>272</v>
      </c>
      <c r="E572">
        <v>272</v>
      </c>
      <c r="F572">
        <v>0</v>
      </c>
      <c r="G572">
        <v>272</v>
      </c>
      <c r="H572">
        <v>272</v>
      </c>
      <c r="I572">
        <v>0</v>
      </c>
      <c r="J572">
        <v>253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19</v>
      </c>
      <c r="Y572">
        <v>0</v>
      </c>
    </row>
    <row r="573" spans="1:25" x14ac:dyDescent="0.25">
      <c r="A573" t="s">
        <v>1390</v>
      </c>
      <c r="B573">
        <v>5373290</v>
      </c>
      <c r="C573" t="s">
        <v>1391</v>
      </c>
      <c r="D573">
        <v>6152</v>
      </c>
      <c r="E573">
        <v>4693</v>
      </c>
      <c r="F573">
        <v>1459</v>
      </c>
      <c r="G573">
        <v>6152</v>
      </c>
      <c r="H573">
        <v>4693</v>
      </c>
      <c r="I573">
        <v>1459</v>
      </c>
      <c r="J573">
        <v>2485</v>
      </c>
      <c r="K573">
        <v>10</v>
      </c>
      <c r="L573">
        <v>1142</v>
      </c>
      <c r="M573">
        <v>717</v>
      </c>
      <c r="N573">
        <v>17</v>
      </c>
      <c r="O573">
        <v>0</v>
      </c>
      <c r="P573">
        <v>187</v>
      </c>
      <c r="Q573">
        <v>0</v>
      </c>
      <c r="R573">
        <v>30</v>
      </c>
      <c r="S573">
        <v>24</v>
      </c>
      <c r="T573">
        <v>0</v>
      </c>
      <c r="U573">
        <v>0</v>
      </c>
      <c r="V573">
        <v>779</v>
      </c>
      <c r="W573">
        <v>696</v>
      </c>
      <c r="X573">
        <v>53</v>
      </c>
      <c r="Y573">
        <v>12</v>
      </c>
    </row>
    <row r="574" spans="1:25" x14ac:dyDescent="0.25">
      <c r="A574" t="s">
        <v>1392</v>
      </c>
      <c r="B574">
        <v>5373307</v>
      </c>
      <c r="C574" t="s">
        <v>1393</v>
      </c>
      <c r="D574">
        <v>22109</v>
      </c>
      <c r="E574">
        <v>16280</v>
      </c>
      <c r="F574">
        <v>5829</v>
      </c>
      <c r="G574">
        <v>22109</v>
      </c>
      <c r="H574">
        <v>16280</v>
      </c>
      <c r="I574">
        <v>5829</v>
      </c>
      <c r="J574">
        <v>13209</v>
      </c>
      <c r="K574">
        <v>1794</v>
      </c>
      <c r="L574">
        <v>568</v>
      </c>
      <c r="M574">
        <v>205</v>
      </c>
      <c r="N574">
        <v>159</v>
      </c>
      <c r="O574">
        <v>86</v>
      </c>
      <c r="P574">
        <v>58</v>
      </c>
      <c r="Q574">
        <v>9</v>
      </c>
      <c r="R574">
        <v>1760</v>
      </c>
      <c r="S574">
        <v>3544</v>
      </c>
      <c r="T574">
        <v>0</v>
      </c>
      <c r="U574">
        <v>0</v>
      </c>
      <c r="V574">
        <v>0</v>
      </c>
      <c r="W574">
        <v>60</v>
      </c>
      <c r="X574">
        <v>526</v>
      </c>
      <c r="Y574">
        <v>131</v>
      </c>
    </row>
    <row r="575" spans="1:25" x14ac:dyDescent="0.25">
      <c r="A575" t="s">
        <v>1394</v>
      </c>
      <c r="B575">
        <v>5373360</v>
      </c>
      <c r="C575" t="s">
        <v>1395</v>
      </c>
      <c r="D575">
        <v>340</v>
      </c>
      <c r="E575">
        <v>334</v>
      </c>
      <c r="F575">
        <v>6</v>
      </c>
      <c r="G575">
        <v>340</v>
      </c>
      <c r="H575">
        <v>334</v>
      </c>
      <c r="I575">
        <v>6</v>
      </c>
      <c r="J575">
        <v>321</v>
      </c>
      <c r="K575">
        <v>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13</v>
      </c>
      <c r="Y575">
        <v>0</v>
      </c>
    </row>
    <row r="576" spans="1:25" x14ac:dyDescent="0.25">
      <c r="A576" t="s">
        <v>1396</v>
      </c>
      <c r="B576">
        <v>5373465</v>
      </c>
      <c r="C576" t="s">
        <v>1397</v>
      </c>
      <c r="D576">
        <v>32528</v>
      </c>
      <c r="E576">
        <v>27743</v>
      </c>
      <c r="F576">
        <v>4785</v>
      </c>
      <c r="G576">
        <v>32528</v>
      </c>
      <c r="H576">
        <v>27743</v>
      </c>
      <c r="I576">
        <v>4785</v>
      </c>
      <c r="J576">
        <v>19926</v>
      </c>
      <c r="K576">
        <v>1174</v>
      </c>
      <c r="L576">
        <v>1289</v>
      </c>
      <c r="M576">
        <v>245</v>
      </c>
      <c r="N576">
        <v>2215</v>
      </c>
      <c r="O576">
        <v>399</v>
      </c>
      <c r="P576">
        <v>205</v>
      </c>
      <c r="Q576">
        <v>0</v>
      </c>
      <c r="R576">
        <v>744</v>
      </c>
      <c r="S576">
        <v>2486</v>
      </c>
      <c r="T576">
        <v>86</v>
      </c>
      <c r="U576">
        <v>0</v>
      </c>
      <c r="V576">
        <v>511</v>
      </c>
      <c r="W576">
        <v>270</v>
      </c>
      <c r="X576">
        <v>2767</v>
      </c>
      <c r="Y576">
        <v>211</v>
      </c>
    </row>
    <row r="577" spans="1:25" x14ac:dyDescent="0.25">
      <c r="A577" t="s">
        <v>1398</v>
      </c>
      <c r="B577">
        <v>5373580</v>
      </c>
      <c r="C577" t="s">
        <v>1399</v>
      </c>
      <c r="D577">
        <v>70</v>
      </c>
      <c r="E577">
        <v>70</v>
      </c>
      <c r="F577">
        <v>0</v>
      </c>
      <c r="G577">
        <v>70</v>
      </c>
      <c r="H577">
        <v>70</v>
      </c>
      <c r="I577">
        <v>0</v>
      </c>
      <c r="J577">
        <v>70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25">
      <c r="A578" t="s">
        <v>1400</v>
      </c>
      <c r="B578">
        <v>5373780</v>
      </c>
      <c r="C578" t="s">
        <v>1401</v>
      </c>
      <c r="D578">
        <v>709</v>
      </c>
      <c r="E578">
        <v>672</v>
      </c>
      <c r="F578">
        <v>37</v>
      </c>
      <c r="G578">
        <v>709</v>
      </c>
      <c r="H578">
        <v>672</v>
      </c>
      <c r="I578">
        <v>37</v>
      </c>
      <c r="J578">
        <v>545</v>
      </c>
      <c r="K578">
        <v>2</v>
      </c>
      <c r="L578">
        <v>52</v>
      </c>
      <c r="M578">
        <v>35</v>
      </c>
      <c r="N578">
        <v>0</v>
      </c>
      <c r="O578">
        <v>0</v>
      </c>
      <c r="P578">
        <v>12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63</v>
      </c>
      <c r="Y578">
        <v>0</v>
      </c>
    </row>
    <row r="579" spans="1:25" x14ac:dyDescent="0.25">
      <c r="A579" t="s">
        <v>1402</v>
      </c>
      <c r="B579">
        <v>5373885</v>
      </c>
      <c r="C579" t="s">
        <v>1403</v>
      </c>
      <c r="D579">
        <v>171</v>
      </c>
      <c r="E579">
        <v>171</v>
      </c>
      <c r="F579">
        <v>0</v>
      </c>
      <c r="G579">
        <v>171</v>
      </c>
      <c r="H579">
        <v>171</v>
      </c>
      <c r="I579">
        <v>0</v>
      </c>
      <c r="J579">
        <v>141</v>
      </c>
      <c r="K579">
        <v>0</v>
      </c>
      <c r="L579">
        <v>0</v>
      </c>
      <c r="M579">
        <v>0</v>
      </c>
      <c r="N579">
        <v>21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9</v>
      </c>
      <c r="Y579">
        <v>0</v>
      </c>
    </row>
    <row r="580" spans="1:25" x14ac:dyDescent="0.25">
      <c r="A580" t="s">
        <v>1404</v>
      </c>
      <c r="B580">
        <v>5374060</v>
      </c>
      <c r="C580" t="s">
        <v>1405</v>
      </c>
      <c r="D580">
        <v>171393</v>
      </c>
      <c r="E580">
        <v>146886</v>
      </c>
      <c r="F580">
        <v>24507</v>
      </c>
      <c r="G580">
        <v>171393</v>
      </c>
      <c r="H580">
        <v>146886</v>
      </c>
      <c r="I580">
        <v>24507</v>
      </c>
      <c r="J580">
        <v>116251</v>
      </c>
      <c r="K580">
        <v>8646</v>
      </c>
      <c r="L580">
        <v>8127</v>
      </c>
      <c r="M580">
        <v>3630</v>
      </c>
      <c r="N580">
        <v>4000</v>
      </c>
      <c r="O580">
        <v>391</v>
      </c>
      <c r="P580">
        <v>984</v>
      </c>
      <c r="Q580">
        <v>66</v>
      </c>
      <c r="R580">
        <v>3354</v>
      </c>
      <c r="S580">
        <v>5800</v>
      </c>
      <c r="T580">
        <v>1000</v>
      </c>
      <c r="U580">
        <v>1393</v>
      </c>
      <c r="V580">
        <v>3917</v>
      </c>
      <c r="W580">
        <v>3903</v>
      </c>
      <c r="X580">
        <v>9253</v>
      </c>
      <c r="Y580">
        <v>678</v>
      </c>
    </row>
    <row r="581" spans="1:25" x14ac:dyDescent="0.25">
      <c r="A581" t="s">
        <v>1406</v>
      </c>
      <c r="B581">
        <v>5374200</v>
      </c>
      <c r="C581" t="s">
        <v>1407</v>
      </c>
      <c r="D581">
        <v>18</v>
      </c>
      <c r="E581">
        <v>18</v>
      </c>
      <c r="F581">
        <v>0</v>
      </c>
      <c r="G581">
        <v>18</v>
      </c>
      <c r="H581">
        <v>18</v>
      </c>
      <c r="I581">
        <v>0</v>
      </c>
      <c r="J581">
        <v>18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25">
      <c r="A582" t="s">
        <v>1408</v>
      </c>
      <c r="B582">
        <v>5374305</v>
      </c>
      <c r="C582" t="s">
        <v>1409</v>
      </c>
      <c r="D582">
        <v>9635</v>
      </c>
      <c r="E582">
        <v>8875</v>
      </c>
      <c r="F582">
        <v>760</v>
      </c>
      <c r="G582">
        <v>9635</v>
      </c>
      <c r="H582">
        <v>8875</v>
      </c>
      <c r="I582">
        <v>760</v>
      </c>
      <c r="J582">
        <v>8360</v>
      </c>
      <c r="K582">
        <v>484</v>
      </c>
      <c r="L582">
        <v>275</v>
      </c>
      <c r="M582">
        <v>99</v>
      </c>
      <c r="N582">
        <v>21</v>
      </c>
      <c r="O582">
        <v>0</v>
      </c>
      <c r="P582">
        <v>62</v>
      </c>
      <c r="Q582">
        <v>16</v>
      </c>
      <c r="R582">
        <v>40</v>
      </c>
      <c r="S582">
        <v>159</v>
      </c>
      <c r="T582">
        <v>0</v>
      </c>
      <c r="U582">
        <v>0</v>
      </c>
      <c r="V582">
        <v>34</v>
      </c>
      <c r="W582">
        <v>1</v>
      </c>
      <c r="X582">
        <v>83</v>
      </c>
      <c r="Y582">
        <v>1</v>
      </c>
    </row>
    <row r="583" spans="1:25" x14ac:dyDescent="0.25">
      <c r="A583" t="s">
        <v>1410</v>
      </c>
      <c r="B583">
        <v>5374445</v>
      </c>
      <c r="C583" t="s">
        <v>1411</v>
      </c>
      <c r="D583">
        <v>342</v>
      </c>
      <c r="E583">
        <v>326</v>
      </c>
      <c r="F583">
        <v>16</v>
      </c>
      <c r="G583">
        <v>342</v>
      </c>
      <c r="H583">
        <v>326</v>
      </c>
      <c r="I583">
        <v>16</v>
      </c>
      <c r="J583">
        <v>325</v>
      </c>
      <c r="K583">
        <v>0</v>
      </c>
      <c r="L583">
        <v>0</v>
      </c>
      <c r="M583">
        <v>16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</row>
    <row r="584" spans="1:25" x14ac:dyDescent="0.25">
      <c r="A584" t="s">
        <v>1412</v>
      </c>
      <c r="B584">
        <v>5374585</v>
      </c>
      <c r="C584" t="s">
        <v>1413</v>
      </c>
      <c r="D584">
        <v>4196</v>
      </c>
      <c r="E584">
        <v>4034</v>
      </c>
      <c r="F584">
        <v>162</v>
      </c>
      <c r="G584">
        <v>4196</v>
      </c>
      <c r="H584">
        <v>4034</v>
      </c>
      <c r="I584">
        <v>162</v>
      </c>
      <c r="J584">
        <v>3822</v>
      </c>
      <c r="K584">
        <v>118</v>
      </c>
      <c r="L584">
        <v>98</v>
      </c>
      <c r="M584">
        <v>6</v>
      </c>
      <c r="N584">
        <v>21</v>
      </c>
      <c r="O584">
        <v>0</v>
      </c>
      <c r="P584">
        <v>20</v>
      </c>
      <c r="Q584">
        <v>0</v>
      </c>
      <c r="R584">
        <v>0</v>
      </c>
      <c r="S584">
        <v>38</v>
      </c>
      <c r="T584">
        <v>5</v>
      </c>
      <c r="U584">
        <v>0</v>
      </c>
      <c r="V584">
        <v>0</v>
      </c>
      <c r="W584">
        <v>0</v>
      </c>
      <c r="X584">
        <v>68</v>
      </c>
      <c r="Y584">
        <v>0</v>
      </c>
    </row>
    <row r="585" spans="1:25" x14ac:dyDescent="0.25">
      <c r="A585" t="s">
        <v>1414</v>
      </c>
      <c r="B585">
        <v>5374760</v>
      </c>
      <c r="C585" t="s">
        <v>1415</v>
      </c>
      <c r="D585">
        <v>457</v>
      </c>
      <c r="E585">
        <v>399</v>
      </c>
      <c r="F585">
        <v>58</v>
      </c>
      <c r="G585">
        <v>457</v>
      </c>
      <c r="H585">
        <v>399</v>
      </c>
      <c r="I585">
        <v>58</v>
      </c>
      <c r="J585">
        <v>168</v>
      </c>
      <c r="K585">
        <v>0</v>
      </c>
      <c r="L585">
        <v>231</v>
      </c>
      <c r="M585">
        <v>58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25">
      <c r="A586" t="s">
        <v>1416</v>
      </c>
      <c r="B586">
        <v>5375565</v>
      </c>
      <c r="C586" t="s">
        <v>1417</v>
      </c>
      <c r="D586">
        <v>1186</v>
      </c>
      <c r="E586">
        <v>1135</v>
      </c>
      <c r="F586">
        <v>51</v>
      </c>
      <c r="G586">
        <v>1186</v>
      </c>
      <c r="H586">
        <v>1135</v>
      </c>
      <c r="I586">
        <v>51</v>
      </c>
      <c r="J586">
        <v>1066</v>
      </c>
      <c r="K586">
        <v>12</v>
      </c>
      <c r="L586">
        <v>27</v>
      </c>
      <c r="M586">
        <v>4</v>
      </c>
      <c r="N586">
        <v>9</v>
      </c>
      <c r="O586">
        <v>0</v>
      </c>
      <c r="P586">
        <v>0</v>
      </c>
      <c r="Q586">
        <v>0</v>
      </c>
      <c r="R586">
        <v>0</v>
      </c>
      <c r="S586">
        <v>9</v>
      </c>
      <c r="T586">
        <v>0</v>
      </c>
      <c r="U586">
        <v>0</v>
      </c>
      <c r="V586">
        <v>17</v>
      </c>
      <c r="W586">
        <v>5</v>
      </c>
      <c r="X586">
        <v>16</v>
      </c>
      <c r="Y586">
        <v>21</v>
      </c>
    </row>
    <row r="587" spans="1:25" x14ac:dyDescent="0.25">
      <c r="A587" t="s">
        <v>1418</v>
      </c>
      <c r="B587">
        <v>5375775</v>
      </c>
      <c r="C587" t="s">
        <v>1419</v>
      </c>
      <c r="D587">
        <v>32585</v>
      </c>
      <c r="E587">
        <v>28514</v>
      </c>
      <c r="F587">
        <v>4071</v>
      </c>
      <c r="G587">
        <v>32585</v>
      </c>
      <c r="H587">
        <v>28514</v>
      </c>
      <c r="I587">
        <v>4071</v>
      </c>
      <c r="J587">
        <v>21051</v>
      </c>
      <c r="K587">
        <v>627</v>
      </c>
      <c r="L587">
        <v>3535</v>
      </c>
      <c r="M587">
        <v>1585</v>
      </c>
      <c r="N587">
        <v>677</v>
      </c>
      <c r="O587">
        <v>40</v>
      </c>
      <c r="P587">
        <v>252</v>
      </c>
      <c r="Q587">
        <v>183</v>
      </c>
      <c r="R587">
        <v>133</v>
      </c>
      <c r="S587">
        <v>596</v>
      </c>
      <c r="T587">
        <v>5</v>
      </c>
      <c r="U587">
        <v>14</v>
      </c>
      <c r="V587">
        <v>1173</v>
      </c>
      <c r="W587">
        <v>900</v>
      </c>
      <c r="X587">
        <v>1688</v>
      </c>
      <c r="Y587">
        <v>126</v>
      </c>
    </row>
    <row r="588" spans="1:25" x14ac:dyDescent="0.25">
      <c r="A588" t="s">
        <v>1420</v>
      </c>
      <c r="B588">
        <v>5375810</v>
      </c>
      <c r="C588" t="s">
        <v>1421</v>
      </c>
      <c r="D588">
        <v>1877</v>
      </c>
      <c r="E588">
        <v>1783</v>
      </c>
      <c r="F588">
        <v>94</v>
      </c>
      <c r="G588">
        <v>1877</v>
      </c>
      <c r="H588">
        <v>1783</v>
      </c>
      <c r="I588">
        <v>94</v>
      </c>
      <c r="J588">
        <v>1625</v>
      </c>
      <c r="K588">
        <v>0</v>
      </c>
      <c r="L588">
        <v>111</v>
      </c>
      <c r="M588">
        <v>29</v>
      </c>
      <c r="N588">
        <v>21</v>
      </c>
      <c r="O588">
        <v>13</v>
      </c>
      <c r="P588">
        <v>0</v>
      </c>
      <c r="Q588">
        <v>0</v>
      </c>
      <c r="R588">
        <v>0</v>
      </c>
      <c r="S588">
        <v>52</v>
      </c>
      <c r="T588">
        <v>0</v>
      </c>
      <c r="U588">
        <v>0</v>
      </c>
      <c r="V588">
        <v>0</v>
      </c>
      <c r="W588">
        <v>0</v>
      </c>
      <c r="X588">
        <v>26</v>
      </c>
      <c r="Y588">
        <v>0</v>
      </c>
    </row>
    <row r="589" spans="1:25" x14ac:dyDescent="0.25">
      <c r="A589" t="s">
        <v>1422</v>
      </c>
      <c r="B589">
        <v>5375905</v>
      </c>
      <c r="C589" t="s">
        <v>1423</v>
      </c>
      <c r="D589">
        <v>8064</v>
      </c>
      <c r="E589">
        <v>7557</v>
      </c>
      <c r="F589">
        <v>507</v>
      </c>
      <c r="G589">
        <v>8064</v>
      </c>
      <c r="H589">
        <v>7557</v>
      </c>
      <c r="I589">
        <v>507</v>
      </c>
      <c r="J589">
        <v>6311</v>
      </c>
      <c r="K589">
        <v>135</v>
      </c>
      <c r="L589">
        <v>215</v>
      </c>
      <c r="M589">
        <v>46</v>
      </c>
      <c r="N589">
        <v>314</v>
      </c>
      <c r="O589">
        <v>16</v>
      </c>
      <c r="P589">
        <v>209</v>
      </c>
      <c r="Q589">
        <v>5</v>
      </c>
      <c r="R589">
        <v>75</v>
      </c>
      <c r="S589">
        <v>171</v>
      </c>
      <c r="T589">
        <v>0</v>
      </c>
      <c r="U589">
        <v>16</v>
      </c>
      <c r="V589">
        <v>57</v>
      </c>
      <c r="W589">
        <v>68</v>
      </c>
      <c r="X589">
        <v>376</v>
      </c>
      <c r="Y589">
        <v>50</v>
      </c>
    </row>
    <row r="590" spans="1:25" x14ac:dyDescent="0.25">
      <c r="A590" t="s">
        <v>1424</v>
      </c>
      <c r="B590">
        <v>5375985</v>
      </c>
      <c r="C590" t="s">
        <v>1425</v>
      </c>
      <c r="D590">
        <v>329</v>
      </c>
      <c r="E590">
        <v>270</v>
      </c>
      <c r="F590">
        <v>59</v>
      </c>
      <c r="G590">
        <v>329</v>
      </c>
      <c r="H590">
        <v>270</v>
      </c>
      <c r="I590">
        <v>59</v>
      </c>
      <c r="J590">
        <v>54</v>
      </c>
      <c r="K590">
        <v>0</v>
      </c>
      <c r="L590">
        <v>143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73</v>
      </c>
      <c r="W590">
        <v>59</v>
      </c>
      <c r="X590">
        <v>0</v>
      </c>
      <c r="Y590">
        <v>0</v>
      </c>
    </row>
    <row r="591" spans="1:25" x14ac:dyDescent="0.25">
      <c r="A591" t="s">
        <v>1426</v>
      </c>
      <c r="B591">
        <v>5376055</v>
      </c>
      <c r="C591" t="s">
        <v>1427</v>
      </c>
      <c r="D591">
        <v>9907</v>
      </c>
      <c r="E591">
        <v>8268</v>
      </c>
      <c r="F591">
        <v>1639</v>
      </c>
      <c r="G591">
        <v>9907</v>
      </c>
      <c r="H591">
        <v>8268</v>
      </c>
      <c r="I591">
        <v>1639</v>
      </c>
      <c r="J591">
        <v>6820</v>
      </c>
      <c r="K591">
        <v>830</v>
      </c>
      <c r="L591">
        <v>351</v>
      </c>
      <c r="M591">
        <v>164</v>
      </c>
      <c r="N591">
        <v>124</v>
      </c>
      <c r="O591">
        <v>27</v>
      </c>
      <c r="P591">
        <v>3</v>
      </c>
      <c r="Q591">
        <v>0</v>
      </c>
      <c r="R591">
        <v>227</v>
      </c>
      <c r="S591">
        <v>465</v>
      </c>
      <c r="T591">
        <v>30</v>
      </c>
      <c r="U591">
        <v>10</v>
      </c>
      <c r="V591">
        <v>131</v>
      </c>
      <c r="W591">
        <v>75</v>
      </c>
      <c r="X591">
        <v>582</v>
      </c>
      <c r="Y591">
        <v>68</v>
      </c>
    </row>
    <row r="592" spans="1:25" x14ac:dyDescent="0.25">
      <c r="A592" t="s">
        <v>1428</v>
      </c>
      <c r="B592">
        <v>5376125</v>
      </c>
      <c r="C592" t="s">
        <v>1429</v>
      </c>
      <c r="D592">
        <v>5049</v>
      </c>
      <c r="E592">
        <v>3544</v>
      </c>
      <c r="F592">
        <v>1505</v>
      </c>
      <c r="G592">
        <v>5049</v>
      </c>
      <c r="H592">
        <v>3544</v>
      </c>
      <c r="I592">
        <v>1505</v>
      </c>
      <c r="J592">
        <v>319</v>
      </c>
      <c r="K592">
        <v>17</v>
      </c>
      <c r="L592">
        <v>1783</v>
      </c>
      <c r="M592">
        <v>1089</v>
      </c>
      <c r="N592">
        <v>19</v>
      </c>
      <c r="O592">
        <v>0</v>
      </c>
      <c r="P592">
        <v>724</v>
      </c>
      <c r="Q592">
        <v>22</v>
      </c>
      <c r="R592">
        <v>0</v>
      </c>
      <c r="S592">
        <v>8</v>
      </c>
      <c r="T592">
        <v>0</v>
      </c>
      <c r="U592">
        <v>0</v>
      </c>
      <c r="V592">
        <v>471</v>
      </c>
      <c r="W592">
        <v>343</v>
      </c>
      <c r="X592">
        <v>228</v>
      </c>
      <c r="Y592">
        <v>26</v>
      </c>
    </row>
    <row r="593" spans="1:25" x14ac:dyDescent="0.25">
      <c r="A593" t="s">
        <v>1430</v>
      </c>
      <c r="B593">
        <v>5376160</v>
      </c>
      <c r="C593" t="s">
        <v>1431</v>
      </c>
      <c r="D593">
        <v>2740</v>
      </c>
      <c r="E593">
        <v>1889</v>
      </c>
      <c r="F593">
        <v>851</v>
      </c>
      <c r="G593">
        <v>2740</v>
      </c>
      <c r="H593">
        <v>1889</v>
      </c>
      <c r="I593">
        <v>851</v>
      </c>
      <c r="J593">
        <v>498</v>
      </c>
      <c r="K593">
        <v>3</v>
      </c>
      <c r="L593">
        <v>425</v>
      </c>
      <c r="M593">
        <v>203</v>
      </c>
      <c r="N593">
        <v>0</v>
      </c>
      <c r="O593">
        <v>2</v>
      </c>
      <c r="P593">
        <v>41</v>
      </c>
      <c r="Q593">
        <v>0</v>
      </c>
      <c r="R593">
        <v>7</v>
      </c>
      <c r="S593">
        <v>0</v>
      </c>
      <c r="T593">
        <v>0</v>
      </c>
      <c r="U593">
        <v>0</v>
      </c>
      <c r="V593">
        <v>760</v>
      </c>
      <c r="W593">
        <v>643</v>
      </c>
      <c r="X593">
        <v>158</v>
      </c>
      <c r="Y593">
        <v>0</v>
      </c>
    </row>
    <row r="594" spans="1:25" x14ac:dyDescent="0.25">
      <c r="A594" t="s">
        <v>1432</v>
      </c>
      <c r="B594">
        <v>5376195</v>
      </c>
      <c r="C594" t="s">
        <v>1433</v>
      </c>
      <c r="D594">
        <v>2495</v>
      </c>
      <c r="E594">
        <v>2369</v>
      </c>
      <c r="F594">
        <v>126</v>
      </c>
      <c r="G594">
        <v>2495</v>
      </c>
      <c r="H594">
        <v>2369</v>
      </c>
      <c r="I594">
        <v>126</v>
      </c>
      <c r="J594">
        <v>2256</v>
      </c>
      <c r="K594">
        <v>59</v>
      </c>
      <c r="L594">
        <v>75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21</v>
      </c>
      <c r="S594">
        <v>67</v>
      </c>
      <c r="T594">
        <v>0</v>
      </c>
      <c r="U594">
        <v>0</v>
      </c>
      <c r="V594">
        <v>0</v>
      </c>
      <c r="W594">
        <v>0</v>
      </c>
      <c r="X594">
        <v>17</v>
      </c>
      <c r="Y594">
        <v>0</v>
      </c>
    </row>
    <row r="595" spans="1:25" x14ac:dyDescent="0.25">
      <c r="A595" t="s">
        <v>1434</v>
      </c>
      <c r="B595">
        <v>5376405</v>
      </c>
      <c r="C595" t="s">
        <v>1435</v>
      </c>
      <c r="D595">
        <v>15241</v>
      </c>
      <c r="E595">
        <v>14153</v>
      </c>
      <c r="F595">
        <v>1088</v>
      </c>
      <c r="G595">
        <v>15241</v>
      </c>
      <c r="H595">
        <v>14153</v>
      </c>
      <c r="I595">
        <v>1088</v>
      </c>
      <c r="J595">
        <v>12585</v>
      </c>
      <c r="K595">
        <v>617</v>
      </c>
      <c r="L595">
        <v>421</v>
      </c>
      <c r="M595">
        <v>89</v>
      </c>
      <c r="N595">
        <v>178</v>
      </c>
      <c r="O595">
        <v>0</v>
      </c>
      <c r="P595">
        <v>83</v>
      </c>
      <c r="Q595">
        <v>0</v>
      </c>
      <c r="R595">
        <v>240</v>
      </c>
      <c r="S595">
        <v>267</v>
      </c>
      <c r="T595">
        <v>11</v>
      </c>
      <c r="U595">
        <v>0</v>
      </c>
      <c r="V595">
        <v>191</v>
      </c>
      <c r="W595">
        <v>48</v>
      </c>
      <c r="X595">
        <v>444</v>
      </c>
      <c r="Y595">
        <v>67</v>
      </c>
    </row>
    <row r="596" spans="1:25" x14ac:dyDescent="0.25">
      <c r="A596" t="s">
        <v>1436</v>
      </c>
      <c r="B596">
        <v>5376440</v>
      </c>
      <c r="C596" t="s">
        <v>1437</v>
      </c>
      <c r="D596">
        <v>333</v>
      </c>
      <c r="E596">
        <v>324</v>
      </c>
      <c r="F596">
        <v>9</v>
      </c>
      <c r="G596">
        <v>333</v>
      </c>
      <c r="H596">
        <v>324</v>
      </c>
      <c r="I596">
        <v>9</v>
      </c>
      <c r="J596">
        <v>296</v>
      </c>
      <c r="K596">
        <v>2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8</v>
      </c>
      <c r="S596">
        <v>2</v>
      </c>
      <c r="T596">
        <v>0</v>
      </c>
      <c r="U596">
        <v>0</v>
      </c>
      <c r="V596">
        <v>0</v>
      </c>
      <c r="W596">
        <v>0</v>
      </c>
      <c r="X596">
        <v>19</v>
      </c>
      <c r="Y596">
        <v>5</v>
      </c>
    </row>
    <row r="597" spans="1:25" x14ac:dyDescent="0.25">
      <c r="A597" t="s">
        <v>1438</v>
      </c>
      <c r="B597">
        <v>5376510</v>
      </c>
      <c r="C597" t="s">
        <v>1439</v>
      </c>
      <c r="D597">
        <v>1696</v>
      </c>
      <c r="E597">
        <v>1640</v>
      </c>
      <c r="F597">
        <v>56</v>
      </c>
      <c r="G597">
        <v>1696</v>
      </c>
      <c r="H597">
        <v>1640</v>
      </c>
      <c r="I597">
        <v>56</v>
      </c>
      <c r="J597">
        <v>1506</v>
      </c>
      <c r="K597">
        <v>39</v>
      </c>
      <c r="L597">
        <v>0</v>
      </c>
      <c r="M597">
        <v>0</v>
      </c>
      <c r="N597">
        <v>0</v>
      </c>
      <c r="O597">
        <v>0</v>
      </c>
      <c r="P597">
        <v>47</v>
      </c>
      <c r="Q597">
        <v>0</v>
      </c>
      <c r="R597">
        <v>0</v>
      </c>
      <c r="S597">
        <v>17</v>
      </c>
      <c r="T597">
        <v>0</v>
      </c>
      <c r="U597">
        <v>0</v>
      </c>
      <c r="V597">
        <v>0</v>
      </c>
      <c r="W597">
        <v>0</v>
      </c>
      <c r="X597">
        <v>87</v>
      </c>
      <c r="Y597">
        <v>0</v>
      </c>
    </row>
    <row r="598" spans="1:25" x14ac:dyDescent="0.25">
      <c r="A598" t="s">
        <v>1440</v>
      </c>
      <c r="B598">
        <v>5376615</v>
      </c>
      <c r="C598" t="s">
        <v>1441</v>
      </c>
      <c r="D598">
        <v>4412</v>
      </c>
      <c r="E598">
        <v>4128</v>
      </c>
      <c r="F598">
        <v>284</v>
      </c>
      <c r="G598">
        <v>4412</v>
      </c>
      <c r="H598">
        <v>4128</v>
      </c>
      <c r="I598">
        <v>284</v>
      </c>
      <c r="J598">
        <v>3474</v>
      </c>
      <c r="K598">
        <v>177</v>
      </c>
      <c r="L598">
        <v>70</v>
      </c>
      <c r="M598">
        <v>34</v>
      </c>
      <c r="N598">
        <v>59</v>
      </c>
      <c r="O598">
        <v>3</v>
      </c>
      <c r="P598">
        <v>153</v>
      </c>
      <c r="Q598">
        <v>0</v>
      </c>
      <c r="R598">
        <v>64</v>
      </c>
      <c r="S598">
        <v>52</v>
      </c>
      <c r="T598">
        <v>38</v>
      </c>
      <c r="U598">
        <v>0</v>
      </c>
      <c r="V598">
        <v>31</v>
      </c>
      <c r="W598">
        <v>0</v>
      </c>
      <c r="X598">
        <v>239</v>
      </c>
      <c r="Y598">
        <v>18</v>
      </c>
    </row>
    <row r="599" spans="1:25" x14ac:dyDescent="0.25">
      <c r="A599" t="s">
        <v>1442</v>
      </c>
      <c r="B599">
        <v>5376720</v>
      </c>
      <c r="C599" t="s">
        <v>1443</v>
      </c>
      <c r="D599">
        <v>73</v>
      </c>
      <c r="E599">
        <v>72</v>
      </c>
      <c r="F599">
        <v>1</v>
      </c>
      <c r="G599">
        <v>73</v>
      </c>
      <c r="H599">
        <v>72</v>
      </c>
      <c r="I599">
        <v>1</v>
      </c>
      <c r="J599">
        <v>63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8</v>
      </c>
      <c r="Y599">
        <v>0</v>
      </c>
    </row>
    <row r="600" spans="1:25" x14ac:dyDescent="0.25">
      <c r="A600" t="s">
        <v>1444</v>
      </c>
      <c r="B600">
        <v>5377105</v>
      </c>
      <c r="C600" t="s">
        <v>1445</v>
      </c>
      <c r="D600">
        <v>33544</v>
      </c>
      <c r="E600">
        <v>29080</v>
      </c>
      <c r="F600">
        <v>4464</v>
      </c>
      <c r="G600">
        <v>33544</v>
      </c>
      <c r="H600">
        <v>29080</v>
      </c>
      <c r="I600">
        <v>4464</v>
      </c>
      <c r="J600">
        <v>20688</v>
      </c>
      <c r="K600">
        <v>495</v>
      </c>
      <c r="L600">
        <v>5445</v>
      </c>
      <c r="M600">
        <v>2269</v>
      </c>
      <c r="N600">
        <v>180</v>
      </c>
      <c r="O600">
        <v>119</v>
      </c>
      <c r="P600">
        <v>499</v>
      </c>
      <c r="Q600">
        <v>0</v>
      </c>
      <c r="R600">
        <v>71</v>
      </c>
      <c r="S600">
        <v>161</v>
      </c>
      <c r="T600">
        <v>8</v>
      </c>
      <c r="U600">
        <v>32</v>
      </c>
      <c r="V600">
        <v>1165</v>
      </c>
      <c r="W600">
        <v>1243</v>
      </c>
      <c r="X600">
        <v>1024</v>
      </c>
      <c r="Y600">
        <v>145</v>
      </c>
    </row>
    <row r="601" spans="1:25" x14ac:dyDescent="0.25">
      <c r="A601" t="s">
        <v>1446</v>
      </c>
      <c r="B601">
        <v>5377297</v>
      </c>
      <c r="C601" t="s">
        <v>1447</v>
      </c>
      <c r="D601">
        <v>5895</v>
      </c>
      <c r="E601">
        <v>5698</v>
      </c>
      <c r="F601">
        <v>197</v>
      </c>
      <c r="G601">
        <v>5895</v>
      </c>
      <c r="H601">
        <v>5698</v>
      </c>
      <c r="I601">
        <v>197</v>
      </c>
      <c r="J601">
        <v>5183</v>
      </c>
      <c r="K601">
        <v>143</v>
      </c>
      <c r="L601">
        <v>115</v>
      </c>
      <c r="M601">
        <v>0</v>
      </c>
      <c r="N601">
        <v>35</v>
      </c>
      <c r="O601">
        <v>47</v>
      </c>
      <c r="P601">
        <v>19</v>
      </c>
      <c r="Q601">
        <v>0</v>
      </c>
      <c r="R601">
        <v>0</v>
      </c>
      <c r="S601">
        <v>4</v>
      </c>
      <c r="T601">
        <v>0</v>
      </c>
      <c r="U601">
        <v>0</v>
      </c>
      <c r="V601">
        <v>0</v>
      </c>
      <c r="W601">
        <v>0</v>
      </c>
      <c r="X601">
        <v>346</v>
      </c>
      <c r="Y601">
        <v>3</v>
      </c>
    </row>
    <row r="602" spans="1:25" x14ac:dyDescent="0.25">
      <c r="A602" t="s">
        <v>1448</v>
      </c>
      <c r="B602">
        <v>5377612</v>
      </c>
      <c r="C602" t="s">
        <v>1449</v>
      </c>
      <c r="D602">
        <v>1233</v>
      </c>
      <c r="E602">
        <v>1206</v>
      </c>
      <c r="F602">
        <v>27</v>
      </c>
      <c r="G602">
        <v>1233</v>
      </c>
      <c r="H602">
        <v>1206</v>
      </c>
      <c r="I602">
        <v>27</v>
      </c>
      <c r="J602">
        <v>906</v>
      </c>
      <c r="K602">
        <v>8</v>
      </c>
      <c r="L602">
        <v>93</v>
      </c>
      <c r="M602">
        <v>0</v>
      </c>
      <c r="N602">
        <v>97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22</v>
      </c>
      <c r="W602">
        <v>19</v>
      </c>
      <c r="X602">
        <v>88</v>
      </c>
      <c r="Y602">
        <v>0</v>
      </c>
    </row>
    <row r="603" spans="1:25" x14ac:dyDescent="0.25">
      <c r="A603" t="s">
        <v>1450</v>
      </c>
      <c r="B603">
        <v>5377630</v>
      </c>
      <c r="C603" t="s">
        <v>1451</v>
      </c>
      <c r="D603">
        <v>2057</v>
      </c>
      <c r="E603">
        <v>1985</v>
      </c>
      <c r="F603">
        <v>72</v>
      </c>
      <c r="G603">
        <v>2057</v>
      </c>
      <c r="H603">
        <v>1985</v>
      </c>
      <c r="I603">
        <v>72</v>
      </c>
      <c r="J603">
        <v>1708</v>
      </c>
      <c r="K603">
        <v>45</v>
      </c>
      <c r="L603">
        <v>103</v>
      </c>
      <c r="M603">
        <v>12</v>
      </c>
      <c r="N603">
        <v>1</v>
      </c>
      <c r="O603">
        <v>0</v>
      </c>
      <c r="P603">
        <v>19</v>
      </c>
      <c r="Q603">
        <v>0</v>
      </c>
      <c r="R603">
        <v>14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140</v>
      </c>
      <c r="Y603">
        <v>15</v>
      </c>
    </row>
    <row r="604" spans="1:25" x14ac:dyDescent="0.25">
      <c r="A604" t="s">
        <v>1452</v>
      </c>
      <c r="B604">
        <v>5377665</v>
      </c>
      <c r="C604" t="s">
        <v>1453</v>
      </c>
      <c r="D604">
        <v>13797</v>
      </c>
      <c r="E604">
        <v>13040</v>
      </c>
      <c r="F604">
        <v>757</v>
      </c>
      <c r="G604">
        <v>13797</v>
      </c>
      <c r="H604">
        <v>13040</v>
      </c>
      <c r="I604">
        <v>757</v>
      </c>
      <c r="J604">
        <v>11105</v>
      </c>
      <c r="K604">
        <v>245</v>
      </c>
      <c r="L604">
        <v>820</v>
      </c>
      <c r="M604">
        <v>113</v>
      </c>
      <c r="N604">
        <v>137</v>
      </c>
      <c r="O604">
        <v>0</v>
      </c>
      <c r="P604">
        <v>127</v>
      </c>
      <c r="Q604">
        <v>0</v>
      </c>
      <c r="R604">
        <v>37</v>
      </c>
      <c r="S604">
        <v>156</v>
      </c>
      <c r="T604">
        <v>4</v>
      </c>
      <c r="U604">
        <v>5</v>
      </c>
      <c r="V604">
        <v>418</v>
      </c>
      <c r="W604">
        <v>196</v>
      </c>
      <c r="X604">
        <v>392</v>
      </c>
      <c r="Y604">
        <v>42</v>
      </c>
    </row>
    <row r="605" spans="1:25" x14ac:dyDescent="0.25">
      <c r="A605" t="s">
        <v>1454</v>
      </c>
      <c r="B605">
        <v>5377745</v>
      </c>
      <c r="C605" t="s">
        <v>1455</v>
      </c>
      <c r="D605">
        <v>5902</v>
      </c>
      <c r="E605">
        <v>5638</v>
      </c>
      <c r="F605">
        <v>264</v>
      </c>
      <c r="G605">
        <v>5902</v>
      </c>
      <c r="H605">
        <v>5638</v>
      </c>
      <c r="I605">
        <v>264</v>
      </c>
      <c r="J605">
        <v>5002</v>
      </c>
      <c r="K605">
        <v>107</v>
      </c>
      <c r="L605">
        <v>117</v>
      </c>
      <c r="M605">
        <v>0</v>
      </c>
      <c r="N605">
        <v>73</v>
      </c>
      <c r="O605">
        <v>0</v>
      </c>
      <c r="P605">
        <v>102</v>
      </c>
      <c r="Q605">
        <v>0</v>
      </c>
      <c r="R605">
        <v>31</v>
      </c>
      <c r="S605">
        <v>89</v>
      </c>
      <c r="T605">
        <v>0</v>
      </c>
      <c r="U605">
        <v>0</v>
      </c>
      <c r="V605">
        <v>21</v>
      </c>
      <c r="W605">
        <v>49</v>
      </c>
      <c r="X605">
        <v>292</v>
      </c>
      <c r="Y605">
        <v>19</v>
      </c>
    </row>
    <row r="606" spans="1:25" x14ac:dyDescent="0.25">
      <c r="A606" t="s">
        <v>1456</v>
      </c>
      <c r="B606">
        <v>5378155</v>
      </c>
      <c r="C606" t="s">
        <v>1457</v>
      </c>
      <c r="D606">
        <v>1938</v>
      </c>
      <c r="E606">
        <v>1799</v>
      </c>
      <c r="F606">
        <v>139</v>
      </c>
      <c r="G606">
        <v>1938</v>
      </c>
      <c r="H606">
        <v>1799</v>
      </c>
      <c r="I606">
        <v>139</v>
      </c>
      <c r="J606">
        <v>1137</v>
      </c>
      <c r="K606">
        <v>23</v>
      </c>
      <c r="L606">
        <v>263</v>
      </c>
      <c r="M606">
        <v>69</v>
      </c>
      <c r="N606">
        <v>323</v>
      </c>
      <c r="O606">
        <v>26</v>
      </c>
      <c r="P606">
        <v>0</v>
      </c>
      <c r="Q606">
        <v>0</v>
      </c>
      <c r="R606">
        <v>0</v>
      </c>
      <c r="S606">
        <v>14</v>
      </c>
      <c r="T606">
        <v>0</v>
      </c>
      <c r="U606">
        <v>0</v>
      </c>
      <c r="V606">
        <v>71</v>
      </c>
      <c r="W606">
        <v>0</v>
      </c>
      <c r="X606">
        <v>5</v>
      </c>
      <c r="Y606">
        <v>7</v>
      </c>
    </row>
    <row r="607" spans="1:25" x14ac:dyDescent="0.25">
      <c r="A607" t="s">
        <v>1458</v>
      </c>
      <c r="B607">
        <v>5378225</v>
      </c>
      <c r="C607" t="s">
        <v>1459</v>
      </c>
      <c r="D607">
        <v>15300</v>
      </c>
      <c r="E607">
        <v>10165</v>
      </c>
      <c r="F607">
        <v>5135</v>
      </c>
      <c r="G607">
        <v>15300</v>
      </c>
      <c r="H607">
        <v>10165</v>
      </c>
      <c r="I607">
        <v>5135</v>
      </c>
      <c r="J607">
        <v>5076</v>
      </c>
      <c r="K607">
        <v>265</v>
      </c>
      <c r="L607">
        <v>434</v>
      </c>
      <c r="M607">
        <v>597</v>
      </c>
      <c r="N607">
        <v>1334</v>
      </c>
      <c r="O607">
        <v>455</v>
      </c>
      <c r="P607">
        <v>281</v>
      </c>
      <c r="Q607">
        <v>35</v>
      </c>
      <c r="R607">
        <v>440</v>
      </c>
      <c r="S607">
        <v>2234</v>
      </c>
      <c r="T607">
        <v>524</v>
      </c>
      <c r="U607">
        <v>333</v>
      </c>
      <c r="V607">
        <v>576</v>
      </c>
      <c r="W607">
        <v>955</v>
      </c>
      <c r="X607">
        <v>1500</v>
      </c>
      <c r="Y607">
        <v>261</v>
      </c>
    </row>
    <row r="608" spans="1:25" x14ac:dyDescent="0.25">
      <c r="A608" t="s">
        <v>1460</v>
      </c>
      <c r="B608">
        <v>5378330</v>
      </c>
      <c r="C608" t="s">
        <v>1461</v>
      </c>
      <c r="D608">
        <v>2453</v>
      </c>
      <c r="E608">
        <v>2223</v>
      </c>
      <c r="F608">
        <v>230</v>
      </c>
      <c r="G608">
        <v>2453</v>
      </c>
      <c r="H608">
        <v>2223</v>
      </c>
      <c r="I608">
        <v>230</v>
      </c>
      <c r="J608">
        <v>2084</v>
      </c>
      <c r="K608">
        <v>88</v>
      </c>
      <c r="L608">
        <v>82</v>
      </c>
      <c r="M608">
        <v>94</v>
      </c>
      <c r="N608">
        <v>0</v>
      </c>
      <c r="O608">
        <v>0</v>
      </c>
      <c r="P608">
        <v>0</v>
      </c>
      <c r="Q608">
        <v>0</v>
      </c>
      <c r="R608">
        <v>10</v>
      </c>
      <c r="S608">
        <v>20</v>
      </c>
      <c r="T608">
        <v>0</v>
      </c>
      <c r="U608">
        <v>0</v>
      </c>
      <c r="V608">
        <v>0</v>
      </c>
      <c r="W608">
        <v>0</v>
      </c>
      <c r="X608">
        <v>47</v>
      </c>
      <c r="Y608">
        <v>28</v>
      </c>
    </row>
    <row r="609" spans="1:25" x14ac:dyDescent="0.25">
      <c r="A609" t="s">
        <v>1462</v>
      </c>
      <c r="B609">
        <v>5378365</v>
      </c>
      <c r="C609" t="s">
        <v>1463</v>
      </c>
      <c r="D609">
        <v>973</v>
      </c>
      <c r="E609">
        <v>890</v>
      </c>
      <c r="F609">
        <v>83</v>
      </c>
      <c r="G609">
        <v>973</v>
      </c>
      <c r="H609">
        <v>890</v>
      </c>
      <c r="I609">
        <v>83</v>
      </c>
      <c r="J609">
        <v>27</v>
      </c>
      <c r="K609">
        <v>0</v>
      </c>
      <c r="L609">
        <v>60</v>
      </c>
      <c r="M609">
        <v>55</v>
      </c>
      <c r="N609">
        <v>0</v>
      </c>
      <c r="O609">
        <v>0</v>
      </c>
      <c r="P609">
        <v>764</v>
      </c>
      <c r="Q609">
        <v>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39</v>
      </c>
      <c r="Y609">
        <v>23</v>
      </c>
    </row>
    <row r="610" spans="1:25" x14ac:dyDescent="0.25">
      <c r="A610" t="s">
        <v>1464</v>
      </c>
      <c r="B610">
        <v>5378680</v>
      </c>
      <c r="C610" t="s">
        <v>1465</v>
      </c>
      <c r="D610">
        <v>757</v>
      </c>
      <c r="E610">
        <v>741</v>
      </c>
      <c r="F610">
        <v>16</v>
      </c>
      <c r="G610">
        <v>757</v>
      </c>
      <c r="H610">
        <v>741</v>
      </c>
      <c r="I610">
        <v>16</v>
      </c>
      <c r="J610">
        <v>639</v>
      </c>
      <c r="K610">
        <v>12</v>
      </c>
      <c r="L610">
        <v>0</v>
      </c>
      <c r="M610">
        <v>0</v>
      </c>
      <c r="N610">
        <v>5</v>
      </c>
      <c r="O610">
        <v>0</v>
      </c>
      <c r="P610">
        <v>41</v>
      </c>
      <c r="Q610">
        <v>0</v>
      </c>
      <c r="R610">
        <v>17</v>
      </c>
      <c r="S610">
        <v>4</v>
      </c>
      <c r="T610">
        <v>10</v>
      </c>
      <c r="U610">
        <v>0</v>
      </c>
      <c r="V610">
        <v>3</v>
      </c>
      <c r="W610">
        <v>0</v>
      </c>
      <c r="X610">
        <v>26</v>
      </c>
      <c r="Y610">
        <v>0</v>
      </c>
    </row>
    <row r="611" spans="1:25" x14ac:dyDescent="0.25">
      <c r="A611" t="s">
        <v>1466</v>
      </c>
      <c r="B611">
        <v>5378780</v>
      </c>
      <c r="C611" t="s">
        <v>1467</v>
      </c>
      <c r="D611">
        <v>1443</v>
      </c>
      <c r="E611">
        <v>1359</v>
      </c>
      <c r="F611">
        <v>84</v>
      </c>
      <c r="G611">
        <v>1443</v>
      </c>
      <c r="H611">
        <v>1359</v>
      </c>
      <c r="I611">
        <v>84</v>
      </c>
      <c r="J611">
        <v>1066</v>
      </c>
      <c r="K611">
        <v>68</v>
      </c>
      <c r="L611">
        <v>0</v>
      </c>
      <c r="M611">
        <v>0</v>
      </c>
      <c r="N611">
        <v>111</v>
      </c>
      <c r="O611">
        <v>0</v>
      </c>
      <c r="P611">
        <v>0</v>
      </c>
      <c r="Q611">
        <v>0</v>
      </c>
      <c r="R611">
        <v>20</v>
      </c>
      <c r="S611">
        <v>16</v>
      </c>
      <c r="T611">
        <v>0</v>
      </c>
      <c r="U611">
        <v>0</v>
      </c>
      <c r="V611">
        <v>14</v>
      </c>
      <c r="W611">
        <v>0</v>
      </c>
      <c r="X611">
        <v>148</v>
      </c>
      <c r="Y611">
        <v>0</v>
      </c>
    </row>
    <row r="612" spans="1:25" x14ac:dyDescent="0.25">
      <c r="A612" t="s">
        <v>1468</v>
      </c>
      <c r="B612">
        <v>5378925</v>
      </c>
      <c r="C612" t="s">
        <v>1469</v>
      </c>
      <c r="D612">
        <v>447</v>
      </c>
      <c r="E612">
        <v>441</v>
      </c>
      <c r="F612">
        <v>6</v>
      </c>
      <c r="G612">
        <v>447</v>
      </c>
      <c r="H612">
        <v>441</v>
      </c>
      <c r="I612">
        <v>6</v>
      </c>
      <c r="J612">
        <v>431</v>
      </c>
      <c r="K612">
        <v>6</v>
      </c>
      <c r="L612">
        <v>0</v>
      </c>
      <c r="M612">
        <v>0</v>
      </c>
      <c r="N612">
        <v>0</v>
      </c>
      <c r="O612">
        <v>0</v>
      </c>
      <c r="P612">
        <v>3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7</v>
      </c>
      <c r="Y612">
        <v>0</v>
      </c>
    </row>
    <row r="613" spans="1:25" x14ac:dyDescent="0.25">
      <c r="A613" t="s">
        <v>1470</v>
      </c>
      <c r="B613">
        <v>5378995</v>
      </c>
      <c r="C613" t="s">
        <v>1471</v>
      </c>
      <c r="D613">
        <v>204</v>
      </c>
      <c r="E613">
        <v>204</v>
      </c>
      <c r="F613">
        <v>0</v>
      </c>
      <c r="G613">
        <v>204</v>
      </c>
      <c r="H613">
        <v>204</v>
      </c>
      <c r="I613">
        <v>0</v>
      </c>
      <c r="J613">
        <v>204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25">
      <c r="A614" t="s">
        <v>1472</v>
      </c>
      <c r="B614">
        <v>5379135</v>
      </c>
      <c r="C614" t="s">
        <v>1473</v>
      </c>
      <c r="D614">
        <v>256</v>
      </c>
      <c r="E614">
        <v>248</v>
      </c>
      <c r="F614">
        <v>8</v>
      </c>
      <c r="G614">
        <v>256</v>
      </c>
      <c r="H614">
        <v>248</v>
      </c>
      <c r="I614">
        <v>8</v>
      </c>
      <c r="J614">
        <v>221</v>
      </c>
      <c r="K614">
        <v>0</v>
      </c>
      <c r="L614">
        <v>0</v>
      </c>
      <c r="M614">
        <v>4</v>
      </c>
      <c r="N614">
        <v>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11</v>
      </c>
      <c r="W614">
        <v>4</v>
      </c>
      <c r="X614">
        <v>11</v>
      </c>
      <c r="Y614">
        <v>0</v>
      </c>
    </row>
    <row r="615" spans="1:25" x14ac:dyDescent="0.25">
      <c r="A615" t="s">
        <v>1474</v>
      </c>
      <c r="B615">
        <v>5379275</v>
      </c>
      <c r="C615" t="s">
        <v>1475</v>
      </c>
      <c r="D615">
        <v>1582</v>
      </c>
      <c r="E615">
        <v>1357</v>
      </c>
      <c r="F615">
        <v>225</v>
      </c>
      <c r="G615">
        <v>1582</v>
      </c>
      <c r="H615">
        <v>1357</v>
      </c>
      <c r="I615">
        <v>225</v>
      </c>
      <c r="J615">
        <v>1010</v>
      </c>
      <c r="K615">
        <v>23</v>
      </c>
      <c r="L615">
        <v>151</v>
      </c>
      <c r="M615">
        <v>35</v>
      </c>
      <c r="N615">
        <v>0</v>
      </c>
      <c r="O615">
        <v>0</v>
      </c>
      <c r="P615">
        <v>2</v>
      </c>
      <c r="Q615">
        <v>0</v>
      </c>
      <c r="R615">
        <v>35</v>
      </c>
      <c r="S615">
        <v>21</v>
      </c>
      <c r="T615">
        <v>0</v>
      </c>
      <c r="U615">
        <v>0</v>
      </c>
      <c r="V615">
        <v>78</v>
      </c>
      <c r="W615">
        <v>138</v>
      </c>
      <c r="X615">
        <v>81</v>
      </c>
      <c r="Y615">
        <v>8</v>
      </c>
    </row>
    <row r="616" spans="1:25" x14ac:dyDescent="0.25">
      <c r="A616" t="s">
        <v>1476</v>
      </c>
      <c r="B616">
        <v>5379380</v>
      </c>
      <c r="C616" t="s">
        <v>1477</v>
      </c>
      <c r="D616">
        <v>411</v>
      </c>
      <c r="E616">
        <v>332</v>
      </c>
      <c r="F616">
        <v>79</v>
      </c>
      <c r="G616">
        <v>411</v>
      </c>
      <c r="H616">
        <v>332</v>
      </c>
      <c r="I616">
        <v>79</v>
      </c>
      <c r="J616">
        <v>303</v>
      </c>
      <c r="K616">
        <v>15</v>
      </c>
      <c r="L616">
        <v>13</v>
      </c>
      <c r="M616">
        <v>43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5</v>
      </c>
      <c r="W616">
        <v>21</v>
      </c>
      <c r="X616">
        <v>11</v>
      </c>
      <c r="Y616">
        <v>0</v>
      </c>
    </row>
    <row r="617" spans="1:25" x14ac:dyDescent="0.25">
      <c r="A617" t="s">
        <v>1478</v>
      </c>
      <c r="B617">
        <v>5379485</v>
      </c>
      <c r="C617" t="s">
        <v>1479</v>
      </c>
      <c r="D617">
        <v>438</v>
      </c>
      <c r="E617">
        <v>427</v>
      </c>
      <c r="F617">
        <v>11</v>
      </c>
      <c r="G617">
        <v>438</v>
      </c>
      <c r="H617">
        <v>427</v>
      </c>
      <c r="I617">
        <v>11</v>
      </c>
      <c r="J617">
        <v>374</v>
      </c>
      <c r="K617">
        <v>11</v>
      </c>
      <c r="L617">
        <v>13</v>
      </c>
      <c r="M617">
        <v>0</v>
      </c>
      <c r="N617">
        <v>0</v>
      </c>
      <c r="O617">
        <v>0</v>
      </c>
      <c r="P617">
        <v>38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0</v>
      </c>
    </row>
    <row r="618" spans="1:25" x14ac:dyDescent="0.25">
      <c r="A618" t="s">
        <v>1480</v>
      </c>
      <c r="B618">
        <v>5379555</v>
      </c>
      <c r="C618" t="s">
        <v>1481</v>
      </c>
      <c r="D618">
        <v>6291</v>
      </c>
      <c r="E618">
        <v>5819</v>
      </c>
      <c r="F618">
        <v>472</v>
      </c>
      <c r="G618">
        <v>6291</v>
      </c>
      <c r="H618">
        <v>5819</v>
      </c>
      <c r="I618">
        <v>472</v>
      </c>
      <c r="J618">
        <v>5150</v>
      </c>
      <c r="K618">
        <v>266</v>
      </c>
      <c r="L618">
        <v>156</v>
      </c>
      <c r="M618">
        <v>4</v>
      </c>
      <c r="N618">
        <v>85</v>
      </c>
      <c r="O618">
        <v>13</v>
      </c>
      <c r="P618">
        <v>122</v>
      </c>
      <c r="Q618">
        <v>53</v>
      </c>
      <c r="R618">
        <v>17</v>
      </c>
      <c r="S618">
        <v>104</v>
      </c>
      <c r="T618">
        <v>0</v>
      </c>
      <c r="U618">
        <v>0</v>
      </c>
      <c r="V618">
        <v>15</v>
      </c>
      <c r="W618">
        <v>0</v>
      </c>
      <c r="X618">
        <v>274</v>
      </c>
      <c r="Y618">
        <v>32</v>
      </c>
    </row>
    <row r="619" spans="1:25" x14ac:dyDescent="0.25">
      <c r="A619" t="s">
        <v>1482</v>
      </c>
      <c r="B619">
        <v>5379590</v>
      </c>
      <c r="C619" t="s">
        <v>1483</v>
      </c>
      <c r="D619">
        <v>11675</v>
      </c>
      <c r="E619">
        <v>9994</v>
      </c>
      <c r="F619">
        <v>1681</v>
      </c>
      <c r="G619">
        <v>11675</v>
      </c>
      <c r="H619">
        <v>9994</v>
      </c>
      <c r="I619">
        <v>1681</v>
      </c>
      <c r="J619">
        <v>8729</v>
      </c>
      <c r="K619">
        <v>728</v>
      </c>
      <c r="L619">
        <v>225</v>
      </c>
      <c r="M619">
        <v>23</v>
      </c>
      <c r="N619">
        <v>120</v>
      </c>
      <c r="O619">
        <v>0</v>
      </c>
      <c r="P619">
        <v>8</v>
      </c>
      <c r="Q619">
        <v>6</v>
      </c>
      <c r="R619">
        <v>345</v>
      </c>
      <c r="S619">
        <v>914</v>
      </c>
      <c r="T619">
        <v>29</v>
      </c>
      <c r="U619">
        <v>0</v>
      </c>
      <c r="V619">
        <v>56</v>
      </c>
      <c r="W619">
        <v>1</v>
      </c>
      <c r="X619">
        <v>482</v>
      </c>
      <c r="Y619">
        <v>9</v>
      </c>
    </row>
    <row r="620" spans="1:25" x14ac:dyDescent="0.25">
      <c r="A620" t="s">
        <v>1484</v>
      </c>
      <c r="B620">
        <v>5379625</v>
      </c>
      <c r="C620" t="s">
        <v>1485</v>
      </c>
      <c r="D620">
        <v>5765</v>
      </c>
      <c r="E620">
        <v>5297</v>
      </c>
      <c r="F620">
        <v>468</v>
      </c>
      <c r="G620">
        <v>5765</v>
      </c>
      <c r="H620">
        <v>5297</v>
      </c>
      <c r="I620">
        <v>468</v>
      </c>
      <c r="J620">
        <v>4598</v>
      </c>
      <c r="K620">
        <v>51</v>
      </c>
      <c r="L620">
        <v>567</v>
      </c>
      <c r="M620">
        <v>304</v>
      </c>
      <c r="N620">
        <v>0</v>
      </c>
      <c r="O620">
        <v>0</v>
      </c>
      <c r="P620">
        <v>8</v>
      </c>
      <c r="Q620">
        <v>0</v>
      </c>
      <c r="R620">
        <v>0</v>
      </c>
      <c r="S620">
        <v>13</v>
      </c>
      <c r="T620">
        <v>0</v>
      </c>
      <c r="U620">
        <v>0</v>
      </c>
      <c r="V620">
        <v>98</v>
      </c>
      <c r="W620">
        <v>100</v>
      </c>
      <c r="X620">
        <v>26</v>
      </c>
      <c r="Y620">
        <v>0</v>
      </c>
    </row>
    <row r="621" spans="1:25" x14ac:dyDescent="0.25">
      <c r="A621" t="s">
        <v>1486</v>
      </c>
      <c r="B621">
        <v>5379825</v>
      </c>
      <c r="C621" t="s">
        <v>1487</v>
      </c>
      <c r="D621">
        <v>5826</v>
      </c>
      <c r="E621">
        <v>5416</v>
      </c>
      <c r="F621">
        <v>410</v>
      </c>
      <c r="G621">
        <v>5826</v>
      </c>
      <c r="H621">
        <v>5416</v>
      </c>
      <c r="I621">
        <v>410</v>
      </c>
      <c r="J621">
        <v>4711</v>
      </c>
      <c r="K621">
        <v>275</v>
      </c>
      <c r="L621">
        <v>313</v>
      </c>
      <c r="M621">
        <v>125</v>
      </c>
      <c r="N621">
        <v>19</v>
      </c>
      <c r="O621">
        <v>0</v>
      </c>
      <c r="P621">
        <v>37</v>
      </c>
      <c r="Q621">
        <v>0</v>
      </c>
      <c r="R621">
        <v>14</v>
      </c>
      <c r="S621">
        <v>9</v>
      </c>
      <c r="T621">
        <v>0</v>
      </c>
      <c r="U621">
        <v>0</v>
      </c>
      <c r="V621">
        <v>36</v>
      </c>
      <c r="W621">
        <v>1</v>
      </c>
      <c r="X621">
        <v>286</v>
      </c>
      <c r="Y621">
        <v>0</v>
      </c>
    </row>
    <row r="622" spans="1:25" x14ac:dyDescent="0.25">
      <c r="A622" t="s">
        <v>1488</v>
      </c>
      <c r="B622">
        <v>5379835</v>
      </c>
      <c r="C622" t="s">
        <v>1489</v>
      </c>
      <c r="D622">
        <v>1289</v>
      </c>
      <c r="E622">
        <v>1130</v>
      </c>
      <c r="F622">
        <v>159</v>
      </c>
      <c r="G622">
        <v>1289</v>
      </c>
      <c r="H622">
        <v>1130</v>
      </c>
      <c r="I622">
        <v>159</v>
      </c>
      <c r="J622">
        <v>977</v>
      </c>
      <c r="K622">
        <v>60</v>
      </c>
      <c r="L622">
        <v>10</v>
      </c>
      <c r="M622">
        <v>16</v>
      </c>
      <c r="N622">
        <v>0</v>
      </c>
      <c r="O622">
        <v>0</v>
      </c>
      <c r="P622">
        <v>0</v>
      </c>
      <c r="Q622">
        <v>0</v>
      </c>
      <c r="R622">
        <v>80</v>
      </c>
      <c r="S622">
        <v>74</v>
      </c>
      <c r="T622">
        <v>0</v>
      </c>
      <c r="U622">
        <v>0</v>
      </c>
      <c r="V622">
        <v>2</v>
      </c>
      <c r="W622">
        <v>0</v>
      </c>
      <c r="X622">
        <v>61</v>
      </c>
      <c r="Y622">
        <v>9</v>
      </c>
    </row>
    <row r="623" spans="1:25" x14ac:dyDescent="0.25">
      <c r="A623" t="s">
        <v>1490</v>
      </c>
      <c r="B623">
        <v>5379975</v>
      </c>
      <c r="C623" t="s">
        <v>1491</v>
      </c>
      <c r="D623">
        <v>1564</v>
      </c>
      <c r="E623">
        <v>1544</v>
      </c>
      <c r="F623">
        <v>20</v>
      </c>
      <c r="G623">
        <v>1564</v>
      </c>
      <c r="H623">
        <v>1544</v>
      </c>
      <c r="I623">
        <v>20</v>
      </c>
      <c r="J623">
        <v>1480</v>
      </c>
      <c r="K623">
        <v>20</v>
      </c>
      <c r="L623">
        <v>39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25</v>
      </c>
      <c r="Y623">
        <v>0</v>
      </c>
    </row>
    <row r="624" spans="1:25" x14ac:dyDescent="0.25">
      <c r="A624" t="s">
        <v>1492</v>
      </c>
      <c r="B624">
        <v>5380010</v>
      </c>
      <c r="C624" t="s">
        <v>1493</v>
      </c>
      <c r="D624">
        <v>93182</v>
      </c>
      <c r="E624">
        <v>75857</v>
      </c>
      <c r="F624">
        <v>17325</v>
      </c>
      <c r="G624">
        <v>93182</v>
      </c>
      <c r="H624">
        <v>75857</v>
      </c>
      <c r="I624">
        <v>17325</v>
      </c>
      <c r="J624">
        <v>44275</v>
      </c>
      <c r="K624">
        <v>875</v>
      </c>
      <c r="L624">
        <v>15638</v>
      </c>
      <c r="M624">
        <v>9257</v>
      </c>
      <c r="N624">
        <v>1163</v>
      </c>
      <c r="O624">
        <v>198</v>
      </c>
      <c r="P624">
        <v>1511</v>
      </c>
      <c r="Q624">
        <v>57</v>
      </c>
      <c r="R624">
        <v>364</v>
      </c>
      <c r="S624">
        <v>696</v>
      </c>
      <c r="T624">
        <v>29</v>
      </c>
      <c r="U624">
        <v>18</v>
      </c>
      <c r="V624">
        <v>9792</v>
      </c>
      <c r="W624">
        <v>6022</v>
      </c>
      <c r="X624">
        <v>3085</v>
      </c>
      <c r="Y624">
        <v>202</v>
      </c>
    </row>
    <row r="625" spans="1:25" x14ac:dyDescent="0.25">
      <c r="A625" t="s">
        <v>1494</v>
      </c>
      <c r="B625">
        <v>5380150</v>
      </c>
      <c r="C625" t="s">
        <v>1495</v>
      </c>
      <c r="D625">
        <v>1184</v>
      </c>
      <c r="E625">
        <v>928</v>
      </c>
      <c r="F625">
        <v>256</v>
      </c>
      <c r="G625">
        <v>1184</v>
      </c>
      <c r="H625">
        <v>928</v>
      </c>
      <c r="I625">
        <v>256</v>
      </c>
      <c r="J625">
        <v>810</v>
      </c>
      <c r="K625">
        <v>102</v>
      </c>
      <c r="L625">
        <v>5</v>
      </c>
      <c r="M625">
        <v>8</v>
      </c>
      <c r="N625">
        <v>2</v>
      </c>
      <c r="O625">
        <v>0</v>
      </c>
      <c r="P625">
        <v>0</v>
      </c>
      <c r="Q625">
        <v>0</v>
      </c>
      <c r="R625">
        <v>72</v>
      </c>
      <c r="S625">
        <v>139</v>
      </c>
      <c r="T625">
        <v>0</v>
      </c>
      <c r="U625">
        <v>0</v>
      </c>
      <c r="V625">
        <v>0</v>
      </c>
      <c r="W625">
        <v>4</v>
      </c>
      <c r="X625">
        <v>39</v>
      </c>
      <c r="Y625">
        <v>3</v>
      </c>
    </row>
    <row r="626" spans="1:25" x14ac:dyDescent="0.25">
      <c r="A626" t="s">
        <v>1496</v>
      </c>
      <c r="B626">
        <v>5380220</v>
      </c>
      <c r="C626" t="s">
        <v>1497</v>
      </c>
      <c r="D626">
        <v>8425</v>
      </c>
      <c r="E626">
        <v>7655</v>
      </c>
      <c r="F626">
        <v>770</v>
      </c>
      <c r="G626">
        <v>8425</v>
      </c>
      <c r="H626">
        <v>7655</v>
      </c>
      <c r="I626">
        <v>770</v>
      </c>
      <c r="J626">
        <v>5748</v>
      </c>
      <c r="K626">
        <v>218</v>
      </c>
      <c r="L626">
        <v>872</v>
      </c>
      <c r="M626">
        <v>232</v>
      </c>
      <c r="N626">
        <v>203</v>
      </c>
      <c r="O626">
        <v>0</v>
      </c>
      <c r="P626">
        <v>182</v>
      </c>
      <c r="Q626">
        <v>0</v>
      </c>
      <c r="R626">
        <v>85</v>
      </c>
      <c r="S626">
        <v>189</v>
      </c>
      <c r="T626">
        <v>52</v>
      </c>
      <c r="U626">
        <v>0</v>
      </c>
      <c r="V626">
        <v>214</v>
      </c>
      <c r="W626">
        <v>106</v>
      </c>
      <c r="X626">
        <v>299</v>
      </c>
      <c r="Y626">
        <v>25</v>
      </c>
    </row>
    <row r="627" spans="1:25" x14ac:dyDescent="0.25">
      <c r="A627" t="s">
        <v>1498</v>
      </c>
      <c r="B627">
        <v>5380500</v>
      </c>
      <c r="C627" t="s">
        <v>1499</v>
      </c>
      <c r="D627">
        <v>3099</v>
      </c>
      <c r="E627">
        <v>2667</v>
      </c>
      <c r="F627">
        <v>432</v>
      </c>
      <c r="G627">
        <v>3099</v>
      </c>
      <c r="H627">
        <v>2667</v>
      </c>
      <c r="I627">
        <v>432</v>
      </c>
      <c r="J627">
        <v>1659</v>
      </c>
      <c r="K627">
        <v>12</v>
      </c>
      <c r="L627">
        <v>704</v>
      </c>
      <c r="M627">
        <v>361</v>
      </c>
      <c r="N627">
        <v>0</v>
      </c>
      <c r="O627">
        <v>0</v>
      </c>
      <c r="P627">
        <v>135</v>
      </c>
      <c r="Q627">
        <v>0</v>
      </c>
      <c r="R627">
        <v>5</v>
      </c>
      <c r="S627">
        <v>5</v>
      </c>
      <c r="T627">
        <v>0</v>
      </c>
      <c r="U627">
        <v>0</v>
      </c>
      <c r="V627">
        <v>54</v>
      </c>
      <c r="W627">
        <v>54</v>
      </c>
      <c r="X627">
        <v>110</v>
      </c>
      <c r="Y6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FD497-7810-483C-8E86-FF78205E5897}">
  <dimension ref="A1:AF374"/>
  <sheetViews>
    <sheetView topLeftCell="G100" workbookViewId="0">
      <selection activeCell="AF121" sqref="AF121"/>
    </sheetView>
  </sheetViews>
  <sheetFormatPr defaultRowHeight="15" x14ac:dyDescent="0.25"/>
  <cols>
    <col min="3" max="3" width="40.5703125" customWidth="1"/>
    <col min="26" max="26" width="10" bestFit="1" customWidth="1"/>
    <col min="29" max="29" width="15.140625" customWidth="1"/>
    <col min="30" max="31" width="18.5703125" customWidth="1"/>
  </cols>
  <sheetData>
    <row r="1" spans="1:32" x14ac:dyDescent="0.25">
      <c r="A1" t="s">
        <v>1608</v>
      </c>
      <c r="B1" t="s">
        <v>1609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  <c r="O1" t="s">
        <v>237</v>
      </c>
      <c r="P1" t="s">
        <v>238</v>
      </c>
      <c r="Q1" t="s">
        <v>239</v>
      </c>
      <c r="R1" t="s">
        <v>240</v>
      </c>
      <c r="S1" t="s">
        <v>241</v>
      </c>
      <c r="T1" t="s">
        <v>242</v>
      </c>
      <c r="U1" t="s">
        <v>243</v>
      </c>
      <c r="V1" t="s">
        <v>244</v>
      </c>
      <c r="W1" t="s">
        <v>245</v>
      </c>
      <c r="X1" t="s">
        <v>246</v>
      </c>
      <c r="Y1" t="s">
        <v>247</v>
      </c>
      <c r="Z1" t="s">
        <v>3318</v>
      </c>
      <c r="AC1" t="s">
        <v>3344</v>
      </c>
      <c r="AD1" t="s">
        <v>3346</v>
      </c>
      <c r="AF1" t="s">
        <v>2893</v>
      </c>
    </row>
    <row r="2" spans="1:32" x14ac:dyDescent="0.25">
      <c r="A2" t="s">
        <v>1610</v>
      </c>
      <c r="B2">
        <v>53033000100</v>
      </c>
      <c r="C2" t="s">
        <v>1611</v>
      </c>
      <c r="D2">
        <v>5530</v>
      </c>
      <c r="E2">
        <v>4115</v>
      </c>
      <c r="F2">
        <v>1415</v>
      </c>
      <c r="G2">
        <v>5530</v>
      </c>
      <c r="H2">
        <v>4115</v>
      </c>
      <c r="I2">
        <v>1415</v>
      </c>
      <c r="J2">
        <v>2978</v>
      </c>
      <c r="K2">
        <v>326</v>
      </c>
      <c r="L2">
        <v>164</v>
      </c>
      <c r="M2">
        <v>46</v>
      </c>
      <c r="N2">
        <v>365</v>
      </c>
      <c r="O2">
        <v>225</v>
      </c>
      <c r="P2">
        <v>82</v>
      </c>
      <c r="Q2">
        <v>0</v>
      </c>
      <c r="R2">
        <v>118</v>
      </c>
      <c r="S2">
        <v>509</v>
      </c>
      <c r="T2">
        <v>64</v>
      </c>
      <c r="U2">
        <v>36</v>
      </c>
      <c r="V2">
        <v>82</v>
      </c>
      <c r="W2">
        <v>217</v>
      </c>
      <c r="X2">
        <v>262</v>
      </c>
      <c r="Y2">
        <v>56</v>
      </c>
      <c r="Z2">
        <f>VLOOKUP(C2,$AE$2:$AF$125,2,FALSE)</f>
        <v>1851445.2509999999</v>
      </c>
      <c r="AC2" t="s">
        <v>2746</v>
      </c>
      <c r="AD2" t="s">
        <v>2748</v>
      </c>
      <c r="AE2" t="str">
        <f>_xlfn.CONCAT(AD2, ", King County, Washington")</f>
        <v>Census Tract 28, King County, Washington</v>
      </c>
      <c r="AF2">
        <v>983389.18299999996</v>
      </c>
    </row>
    <row r="3" spans="1:32" x14ac:dyDescent="0.25">
      <c r="A3" t="s">
        <v>1612</v>
      </c>
      <c r="B3">
        <v>53033000200</v>
      </c>
      <c r="C3" t="s">
        <v>1613</v>
      </c>
      <c r="D3">
        <v>7345</v>
      </c>
      <c r="E3">
        <v>5703</v>
      </c>
      <c r="F3">
        <v>1642</v>
      </c>
      <c r="G3">
        <v>7345</v>
      </c>
      <c r="H3">
        <v>5703</v>
      </c>
      <c r="I3">
        <v>1642</v>
      </c>
      <c r="J3">
        <v>4598</v>
      </c>
      <c r="K3">
        <v>465</v>
      </c>
      <c r="L3">
        <v>74</v>
      </c>
      <c r="M3">
        <v>39</v>
      </c>
      <c r="N3">
        <v>260</v>
      </c>
      <c r="O3">
        <v>90</v>
      </c>
      <c r="P3">
        <v>43</v>
      </c>
      <c r="Q3">
        <v>0</v>
      </c>
      <c r="R3">
        <v>370</v>
      </c>
      <c r="S3">
        <v>828</v>
      </c>
      <c r="T3">
        <v>0</v>
      </c>
      <c r="U3">
        <v>7</v>
      </c>
      <c r="V3">
        <v>69</v>
      </c>
      <c r="W3">
        <v>58</v>
      </c>
      <c r="X3">
        <v>289</v>
      </c>
      <c r="Y3">
        <v>155</v>
      </c>
      <c r="Z3">
        <f t="shared" ref="Z3:Z66" si="0">VLOOKUP(C3,$AE$2:$AF$125,2,FALSE)</f>
        <v>3285671.64</v>
      </c>
      <c r="AC3" t="s">
        <v>2749</v>
      </c>
      <c r="AD3" t="s">
        <v>2751</v>
      </c>
      <c r="AE3" t="str">
        <f t="shared" ref="AE3:AE66" si="1">_xlfn.CONCAT(AD3, ", King County, Washington")</f>
        <v>Census Tract 27, King County, Washington</v>
      </c>
      <c r="AF3">
        <v>1593773.5220000001</v>
      </c>
    </row>
    <row r="4" spans="1:32" x14ac:dyDescent="0.25">
      <c r="A4" t="s">
        <v>1614</v>
      </c>
      <c r="B4">
        <v>53033000300</v>
      </c>
      <c r="C4" t="s">
        <v>1615</v>
      </c>
      <c r="D4">
        <v>2485</v>
      </c>
      <c r="E4">
        <v>2036</v>
      </c>
      <c r="F4">
        <v>449</v>
      </c>
      <c r="G4">
        <v>2485</v>
      </c>
      <c r="H4">
        <v>2036</v>
      </c>
      <c r="I4">
        <v>449</v>
      </c>
      <c r="J4">
        <v>1633</v>
      </c>
      <c r="K4">
        <v>130</v>
      </c>
      <c r="L4">
        <v>71</v>
      </c>
      <c r="M4">
        <v>11</v>
      </c>
      <c r="N4">
        <v>132</v>
      </c>
      <c r="O4">
        <v>8</v>
      </c>
      <c r="P4">
        <v>14</v>
      </c>
      <c r="Q4">
        <v>0</v>
      </c>
      <c r="R4">
        <v>50</v>
      </c>
      <c r="S4">
        <v>252</v>
      </c>
      <c r="T4">
        <v>0</v>
      </c>
      <c r="U4">
        <v>0</v>
      </c>
      <c r="V4">
        <v>21</v>
      </c>
      <c r="W4">
        <v>6</v>
      </c>
      <c r="X4">
        <v>115</v>
      </c>
      <c r="Y4">
        <v>42</v>
      </c>
      <c r="Z4">
        <f t="shared" si="0"/>
        <v>1210512.6910000001</v>
      </c>
      <c r="AC4" t="s">
        <v>2752</v>
      </c>
      <c r="AD4" t="s">
        <v>2754</v>
      </c>
      <c r="AE4" t="str">
        <f t="shared" si="1"/>
        <v>Census Tract 26, King County, Washington</v>
      </c>
      <c r="AF4">
        <v>1211642.7150000001</v>
      </c>
    </row>
    <row r="5" spans="1:32" x14ac:dyDescent="0.25">
      <c r="A5" t="s">
        <v>1616</v>
      </c>
      <c r="B5">
        <v>53033000401</v>
      </c>
      <c r="C5" t="s">
        <v>1617</v>
      </c>
      <c r="D5">
        <v>4734</v>
      </c>
      <c r="E5">
        <v>3584</v>
      </c>
      <c r="F5">
        <v>1150</v>
      </c>
      <c r="G5">
        <v>4734</v>
      </c>
      <c r="H5">
        <v>3584</v>
      </c>
      <c r="I5">
        <v>1150</v>
      </c>
      <c r="J5">
        <v>3039</v>
      </c>
      <c r="K5">
        <v>248</v>
      </c>
      <c r="L5">
        <v>31</v>
      </c>
      <c r="M5">
        <v>101</v>
      </c>
      <c r="N5">
        <v>44</v>
      </c>
      <c r="O5">
        <v>97</v>
      </c>
      <c r="P5">
        <v>5</v>
      </c>
      <c r="Q5">
        <v>0</v>
      </c>
      <c r="R5">
        <v>118</v>
      </c>
      <c r="S5">
        <v>551</v>
      </c>
      <c r="T5">
        <v>11</v>
      </c>
      <c r="U5">
        <v>0</v>
      </c>
      <c r="V5">
        <v>143</v>
      </c>
      <c r="W5">
        <v>41</v>
      </c>
      <c r="X5">
        <v>193</v>
      </c>
      <c r="Y5">
        <v>112</v>
      </c>
      <c r="Z5">
        <f t="shared" si="0"/>
        <v>1286647.0049999999</v>
      </c>
      <c r="AC5" t="s">
        <v>2755</v>
      </c>
      <c r="AD5" t="s">
        <v>2757</v>
      </c>
      <c r="AE5" t="str">
        <f t="shared" si="1"/>
        <v>Census Tract 25, King County, Washington</v>
      </c>
      <c r="AF5">
        <v>984333.93599999999</v>
      </c>
    </row>
    <row r="6" spans="1:32" x14ac:dyDescent="0.25">
      <c r="A6" t="s">
        <v>1618</v>
      </c>
      <c r="B6">
        <v>53033000402</v>
      </c>
      <c r="C6" t="s">
        <v>1619</v>
      </c>
      <c r="D6">
        <v>4582</v>
      </c>
      <c r="E6">
        <v>3757</v>
      </c>
      <c r="F6">
        <v>825</v>
      </c>
      <c r="G6">
        <v>4582</v>
      </c>
      <c r="H6">
        <v>3757</v>
      </c>
      <c r="I6">
        <v>825</v>
      </c>
      <c r="J6">
        <v>3225</v>
      </c>
      <c r="K6">
        <v>354</v>
      </c>
      <c r="L6">
        <v>66</v>
      </c>
      <c r="M6">
        <v>20</v>
      </c>
      <c r="N6">
        <v>67</v>
      </c>
      <c r="O6">
        <v>124</v>
      </c>
      <c r="P6">
        <v>67</v>
      </c>
      <c r="Q6">
        <v>0</v>
      </c>
      <c r="R6">
        <v>162</v>
      </c>
      <c r="S6">
        <v>230</v>
      </c>
      <c r="T6">
        <v>0</v>
      </c>
      <c r="U6">
        <v>0</v>
      </c>
      <c r="V6">
        <v>24</v>
      </c>
      <c r="W6">
        <v>88</v>
      </c>
      <c r="X6">
        <v>146</v>
      </c>
      <c r="Y6">
        <v>9</v>
      </c>
      <c r="Z6">
        <f t="shared" si="0"/>
        <v>1798932.382</v>
      </c>
      <c r="AC6" t="s">
        <v>2758</v>
      </c>
      <c r="AD6" t="s">
        <v>2760</v>
      </c>
      <c r="AE6" t="str">
        <f t="shared" si="1"/>
        <v>Census Tract 24, King County, Washington</v>
      </c>
      <c r="AF6">
        <v>978104.31700000004</v>
      </c>
    </row>
    <row r="7" spans="1:32" x14ac:dyDescent="0.25">
      <c r="A7" t="s">
        <v>1620</v>
      </c>
      <c r="B7">
        <v>53033000500</v>
      </c>
      <c r="C7" t="s">
        <v>1621</v>
      </c>
      <c r="D7">
        <v>3296</v>
      </c>
      <c r="E7">
        <v>2927</v>
      </c>
      <c r="F7">
        <v>369</v>
      </c>
      <c r="G7">
        <v>3296</v>
      </c>
      <c r="H7">
        <v>2927</v>
      </c>
      <c r="I7">
        <v>369</v>
      </c>
      <c r="J7">
        <v>2665</v>
      </c>
      <c r="K7">
        <v>193</v>
      </c>
      <c r="L7">
        <v>43</v>
      </c>
      <c r="M7">
        <v>35</v>
      </c>
      <c r="N7">
        <v>21</v>
      </c>
      <c r="O7">
        <v>0</v>
      </c>
      <c r="P7">
        <v>18</v>
      </c>
      <c r="Q7">
        <v>0</v>
      </c>
      <c r="R7">
        <v>46</v>
      </c>
      <c r="S7">
        <v>130</v>
      </c>
      <c r="T7">
        <v>0</v>
      </c>
      <c r="U7">
        <v>0</v>
      </c>
      <c r="V7">
        <v>44</v>
      </c>
      <c r="W7">
        <v>11</v>
      </c>
      <c r="X7">
        <v>90</v>
      </c>
      <c r="Y7">
        <v>0</v>
      </c>
      <c r="Z7">
        <f t="shared" si="0"/>
        <v>2778942.4840000002</v>
      </c>
      <c r="AC7" t="s">
        <v>2761</v>
      </c>
      <c r="AD7" t="s">
        <v>2763</v>
      </c>
      <c r="AE7" t="str">
        <f t="shared" si="1"/>
        <v>Census Tract 22, King County, Washington</v>
      </c>
      <c r="AF7">
        <v>2769392.3089999999</v>
      </c>
    </row>
    <row r="8" spans="1:32" x14ac:dyDescent="0.25">
      <c r="A8" t="s">
        <v>1622</v>
      </c>
      <c r="B8">
        <v>53033000600</v>
      </c>
      <c r="C8" t="s">
        <v>1623</v>
      </c>
      <c r="D8">
        <v>7361</v>
      </c>
      <c r="E8">
        <v>5364</v>
      </c>
      <c r="F8">
        <v>1997</v>
      </c>
      <c r="G8">
        <v>7361</v>
      </c>
      <c r="H8">
        <v>5364</v>
      </c>
      <c r="I8">
        <v>1997</v>
      </c>
      <c r="J8">
        <v>4302</v>
      </c>
      <c r="K8">
        <v>348</v>
      </c>
      <c r="L8">
        <v>80</v>
      </c>
      <c r="M8">
        <v>193</v>
      </c>
      <c r="N8">
        <v>233</v>
      </c>
      <c r="O8">
        <v>48</v>
      </c>
      <c r="P8">
        <v>30</v>
      </c>
      <c r="Q8">
        <v>28</v>
      </c>
      <c r="R8">
        <v>326</v>
      </c>
      <c r="S8">
        <v>1090</v>
      </c>
      <c r="T8">
        <v>7</v>
      </c>
      <c r="U8">
        <v>0</v>
      </c>
      <c r="V8">
        <v>46</v>
      </c>
      <c r="W8">
        <v>62</v>
      </c>
      <c r="X8">
        <v>340</v>
      </c>
      <c r="Y8">
        <v>228</v>
      </c>
      <c r="Z8">
        <f t="shared" si="0"/>
        <v>3779676.1120000002</v>
      </c>
      <c r="AC8" t="s">
        <v>2764</v>
      </c>
      <c r="AD8" t="s">
        <v>2766</v>
      </c>
      <c r="AE8" t="str">
        <f t="shared" si="1"/>
        <v>Census Tract 21, King County, Washington</v>
      </c>
      <c r="AF8">
        <v>1365463.0220000001</v>
      </c>
    </row>
    <row r="9" spans="1:32" x14ac:dyDescent="0.25">
      <c r="A9" t="s">
        <v>1624</v>
      </c>
      <c r="B9">
        <v>53033000700</v>
      </c>
      <c r="C9" t="s">
        <v>1625</v>
      </c>
      <c r="D9">
        <v>4189</v>
      </c>
      <c r="E9">
        <v>3277</v>
      </c>
      <c r="F9">
        <v>912</v>
      </c>
      <c r="G9">
        <v>4189</v>
      </c>
      <c r="H9">
        <v>3277</v>
      </c>
      <c r="I9">
        <v>912</v>
      </c>
      <c r="J9">
        <v>2551</v>
      </c>
      <c r="K9">
        <v>185</v>
      </c>
      <c r="L9">
        <v>62</v>
      </c>
      <c r="M9">
        <v>10</v>
      </c>
      <c r="N9">
        <v>155</v>
      </c>
      <c r="O9">
        <v>77</v>
      </c>
      <c r="P9">
        <v>38</v>
      </c>
      <c r="Q9">
        <v>7</v>
      </c>
      <c r="R9">
        <v>198</v>
      </c>
      <c r="S9">
        <v>504</v>
      </c>
      <c r="T9">
        <v>6</v>
      </c>
      <c r="U9">
        <v>0</v>
      </c>
      <c r="V9">
        <v>130</v>
      </c>
      <c r="W9">
        <v>87</v>
      </c>
      <c r="X9">
        <v>137</v>
      </c>
      <c r="Y9">
        <v>42</v>
      </c>
      <c r="Z9">
        <f t="shared" si="0"/>
        <v>1294675.3319999999</v>
      </c>
      <c r="AC9" t="s">
        <v>2767</v>
      </c>
      <c r="AD9" t="s">
        <v>2769</v>
      </c>
      <c r="AE9" t="str">
        <f t="shared" si="1"/>
        <v>Census Tract 20, King County, Washington</v>
      </c>
      <c r="AF9">
        <v>1099740.1470000001</v>
      </c>
    </row>
    <row r="10" spans="1:32" x14ac:dyDescent="0.25">
      <c r="A10" t="s">
        <v>1626</v>
      </c>
      <c r="B10">
        <v>53033000800</v>
      </c>
      <c r="C10" t="s">
        <v>1627</v>
      </c>
      <c r="D10">
        <v>2600</v>
      </c>
      <c r="E10">
        <v>2147</v>
      </c>
      <c r="F10">
        <v>453</v>
      </c>
      <c r="G10">
        <v>2600</v>
      </c>
      <c r="H10">
        <v>2147</v>
      </c>
      <c r="I10">
        <v>453</v>
      </c>
      <c r="J10">
        <v>1812</v>
      </c>
      <c r="K10">
        <v>162</v>
      </c>
      <c r="L10">
        <v>27</v>
      </c>
      <c r="M10">
        <v>5</v>
      </c>
      <c r="N10">
        <v>83</v>
      </c>
      <c r="O10">
        <v>13</v>
      </c>
      <c r="P10">
        <v>22</v>
      </c>
      <c r="Q10">
        <v>0</v>
      </c>
      <c r="R10">
        <v>127</v>
      </c>
      <c r="S10">
        <v>214</v>
      </c>
      <c r="T10">
        <v>0</v>
      </c>
      <c r="U10">
        <v>0</v>
      </c>
      <c r="V10">
        <v>20</v>
      </c>
      <c r="W10">
        <v>32</v>
      </c>
      <c r="X10">
        <v>56</v>
      </c>
      <c r="Y10">
        <v>27</v>
      </c>
      <c r="Z10">
        <f t="shared" si="0"/>
        <v>1141588.2779999999</v>
      </c>
      <c r="AC10" t="s">
        <v>2773</v>
      </c>
      <c r="AD10" t="s">
        <v>2775</v>
      </c>
      <c r="AE10" t="str">
        <f t="shared" si="1"/>
        <v>Census Tract 19, King County, Washington</v>
      </c>
      <c r="AF10">
        <v>1649995.541</v>
      </c>
    </row>
    <row r="11" spans="1:32" x14ac:dyDescent="0.25">
      <c r="A11" t="s">
        <v>1628</v>
      </c>
      <c r="B11">
        <v>53033000900</v>
      </c>
      <c r="C11" t="s">
        <v>1629</v>
      </c>
      <c r="D11">
        <v>2034</v>
      </c>
      <c r="E11">
        <v>1805</v>
      </c>
      <c r="F11">
        <v>229</v>
      </c>
      <c r="G11">
        <v>2034</v>
      </c>
      <c r="H11">
        <v>1805</v>
      </c>
      <c r="I11">
        <v>229</v>
      </c>
      <c r="J11">
        <v>1675</v>
      </c>
      <c r="K11">
        <v>166</v>
      </c>
      <c r="L11">
        <v>21</v>
      </c>
      <c r="M11">
        <v>0</v>
      </c>
      <c r="N11">
        <v>15</v>
      </c>
      <c r="O11">
        <v>0</v>
      </c>
      <c r="P11">
        <v>12</v>
      </c>
      <c r="Q11">
        <v>0</v>
      </c>
      <c r="R11">
        <v>43</v>
      </c>
      <c r="S11">
        <v>50</v>
      </c>
      <c r="T11">
        <v>0</v>
      </c>
      <c r="U11">
        <v>0</v>
      </c>
      <c r="V11">
        <v>23</v>
      </c>
      <c r="W11">
        <v>9</v>
      </c>
      <c r="X11">
        <v>16</v>
      </c>
      <c r="Y11">
        <v>4</v>
      </c>
      <c r="Z11">
        <f t="shared" si="0"/>
        <v>962343.86100000003</v>
      </c>
      <c r="AC11" t="s">
        <v>2776</v>
      </c>
      <c r="AD11" t="s">
        <v>2778</v>
      </c>
      <c r="AE11" t="str">
        <f t="shared" si="1"/>
        <v>Census Tract 18, King County, Washington</v>
      </c>
      <c r="AF11">
        <v>942970.65700000001</v>
      </c>
    </row>
    <row r="12" spans="1:32" x14ac:dyDescent="0.25">
      <c r="A12" t="s">
        <v>1630</v>
      </c>
      <c r="B12">
        <v>53033001000</v>
      </c>
      <c r="C12" t="s">
        <v>1631</v>
      </c>
      <c r="D12">
        <v>1737</v>
      </c>
      <c r="E12">
        <v>1451</v>
      </c>
      <c r="F12">
        <v>286</v>
      </c>
      <c r="G12">
        <v>1737</v>
      </c>
      <c r="H12">
        <v>1451</v>
      </c>
      <c r="I12">
        <v>286</v>
      </c>
      <c r="J12">
        <v>1145</v>
      </c>
      <c r="K12">
        <v>74</v>
      </c>
      <c r="L12">
        <v>45</v>
      </c>
      <c r="M12">
        <v>0</v>
      </c>
      <c r="N12">
        <v>60</v>
      </c>
      <c r="O12">
        <v>0</v>
      </c>
      <c r="P12">
        <v>23</v>
      </c>
      <c r="Q12">
        <v>0</v>
      </c>
      <c r="R12">
        <v>54</v>
      </c>
      <c r="S12">
        <v>175</v>
      </c>
      <c r="T12">
        <v>0</v>
      </c>
      <c r="U12">
        <v>0</v>
      </c>
      <c r="V12">
        <v>29</v>
      </c>
      <c r="W12">
        <v>19</v>
      </c>
      <c r="X12">
        <v>95</v>
      </c>
      <c r="Y12">
        <v>18</v>
      </c>
      <c r="Z12">
        <f t="shared" si="0"/>
        <v>954458.64300000004</v>
      </c>
      <c r="AC12" t="s">
        <v>3366</v>
      </c>
      <c r="AD12" t="s">
        <v>3368</v>
      </c>
      <c r="AE12" t="str">
        <f t="shared" si="1"/>
        <v>Census Tract 17, King County, Washington</v>
      </c>
      <c r="AF12">
        <v>2172992.5669999998</v>
      </c>
    </row>
    <row r="13" spans="1:32" x14ac:dyDescent="0.25">
      <c r="A13" t="s">
        <v>1632</v>
      </c>
      <c r="B13">
        <v>53033001100</v>
      </c>
      <c r="C13" t="s">
        <v>1633</v>
      </c>
      <c r="D13">
        <v>2337</v>
      </c>
      <c r="E13">
        <v>2041</v>
      </c>
      <c r="F13">
        <v>296</v>
      </c>
      <c r="G13">
        <v>2337</v>
      </c>
      <c r="H13">
        <v>2041</v>
      </c>
      <c r="I13">
        <v>296</v>
      </c>
      <c r="J13">
        <v>1688</v>
      </c>
      <c r="K13">
        <v>121</v>
      </c>
      <c r="L13">
        <v>57</v>
      </c>
      <c r="M13">
        <v>6</v>
      </c>
      <c r="N13">
        <v>50</v>
      </c>
      <c r="O13">
        <v>27</v>
      </c>
      <c r="P13">
        <v>5</v>
      </c>
      <c r="Q13">
        <v>0</v>
      </c>
      <c r="R13">
        <v>137</v>
      </c>
      <c r="S13">
        <v>121</v>
      </c>
      <c r="T13">
        <v>10</v>
      </c>
      <c r="U13">
        <v>16</v>
      </c>
      <c r="V13">
        <v>0</v>
      </c>
      <c r="W13">
        <v>0</v>
      </c>
      <c r="X13">
        <v>94</v>
      </c>
      <c r="Y13">
        <v>5</v>
      </c>
      <c r="Z13">
        <f t="shared" si="0"/>
        <v>1060421.014</v>
      </c>
      <c r="AC13" t="s">
        <v>2785</v>
      </c>
      <c r="AD13" t="s">
        <v>2787</v>
      </c>
      <c r="AE13" t="str">
        <f t="shared" si="1"/>
        <v>Census Tract 16, King County, Washington</v>
      </c>
      <c r="AF13">
        <v>1924337.4080000001</v>
      </c>
    </row>
    <row r="14" spans="1:32" x14ac:dyDescent="0.25">
      <c r="A14" t="s">
        <v>1634</v>
      </c>
      <c r="B14">
        <v>53033001200</v>
      </c>
      <c r="C14" t="s">
        <v>1635</v>
      </c>
      <c r="D14">
        <v>6116</v>
      </c>
      <c r="E14">
        <v>4240</v>
      </c>
      <c r="F14">
        <v>1876</v>
      </c>
      <c r="G14">
        <v>6116</v>
      </c>
      <c r="H14">
        <v>4240</v>
      </c>
      <c r="I14">
        <v>1876</v>
      </c>
      <c r="J14">
        <v>3479</v>
      </c>
      <c r="K14">
        <v>409</v>
      </c>
      <c r="L14">
        <v>94</v>
      </c>
      <c r="M14">
        <v>70</v>
      </c>
      <c r="N14">
        <v>208</v>
      </c>
      <c r="O14">
        <v>216</v>
      </c>
      <c r="P14">
        <v>58</v>
      </c>
      <c r="Q14">
        <v>0</v>
      </c>
      <c r="R14">
        <v>157</v>
      </c>
      <c r="S14">
        <v>853</v>
      </c>
      <c r="T14">
        <v>0</v>
      </c>
      <c r="U14">
        <v>0</v>
      </c>
      <c r="V14">
        <v>75</v>
      </c>
      <c r="W14">
        <v>70</v>
      </c>
      <c r="X14">
        <v>169</v>
      </c>
      <c r="Y14">
        <v>258</v>
      </c>
      <c r="Z14">
        <f t="shared" si="0"/>
        <v>1834049.1680000001</v>
      </c>
      <c r="AC14" t="s">
        <v>2788</v>
      </c>
      <c r="AD14" t="s">
        <v>2790</v>
      </c>
      <c r="AE14" t="str">
        <f t="shared" si="1"/>
        <v>Census Tract 15, King County, Washington</v>
      </c>
      <c r="AF14">
        <v>1143987.2290000001</v>
      </c>
    </row>
    <row r="15" spans="1:32" x14ac:dyDescent="0.25">
      <c r="A15" t="s">
        <v>1636</v>
      </c>
      <c r="B15">
        <v>53033001300</v>
      </c>
      <c r="C15" t="s">
        <v>1637</v>
      </c>
      <c r="D15">
        <v>4183</v>
      </c>
      <c r="E15">
        <v>2972</v>
      </c>
      <c r="F15">
        <v>1211</v>
      </c>
      <c r="G15">
        <v>4183</v>
      </c>
      <c r="H15">
        <v>2972</v>
      </c>
      <c r="I15">
        <v>1211</v>
      </c>
      <c r="J15">
        <v>2265</v>
      </c>
      <c r="K15">
        <v>397</v>
      </c>
      <c r="L15">
        <v>107</v>
      </c>
      <c r="M15">
        <v>90</v>
      </c>
      <c r="N15">
        <v>93</v>
      </c>
      <c r="O15">
        <v>95</v>
      </c>
      <c r="P15">
        <v>39</v>
      </c>
      <c r="Q15">
        <v>0</v>
      </c>
      <c r="R15">
        <v>130</v>
      </c>
      <c r="S15">
        <v>527</v>
      </c>
      <c r="T15">
        <v>20</v>
      </c>
      <c r="U15">
        <v>0</v>
      </c>
      <c r="V15">
        <v>49</v>
      </c>
      <c r="W15">
        <v>41</v>
      </c>
      <c r="X15">
        <v>269</v>
      </c>
      <c r="Y15">
        <v>61</v>
      </c>
      <c r="Z15">
        <f t="shared" si="0"/>
        <v>1183992.8659999999</v>
      </c>
      <c r="AC15" t="s">
        <v>2791</v>
      </c>
      <c r="AD15" t="s">
        <v>2793</v>
      </c>
      <c r="AE15" t="str">
        <f t="shared" si="1"/>
        <v>Census Tract 14, King County, Washington</v>
      </c>
      <c r="AF15">
        <v>2125867.5660000001</v>
      </c>
    </row>
    <row r="16" spans="1:32" x14ac:dyDescent="0.25">
      <c r="A16" t="s">
        <v>1638</v>
      </c>
      <c r="B16">
        <v>53033001400</v>
      </c>
      <c r="C16" t="s">
        <v>1639</v>
      </c>
      <c r="D16">
        <v>4673</v>
      </c>
      <c r="E16">
        <v>4036</v>
      </c>
      <c r="F16">
        <v>637</v>
      </c>
      <c r="G16">
        <v>4673</v>
      </c>
      <c r="H16">
        <v>4036</v>
      </c>
      <c r="I16">
        <v>637</v>
      </c>
      <c r="J16">
        <v>3494</v>
      </c>
      <c r="K16">
        <v>215</v>
      </c>
      <c r="L16">
        <v>77</v>
      </c>
      <c r="M16">
        <v>31</v>
      </c>
      <c r="N16">
        <v>126</v>
      </c>
      <c r="O16">
        <v>47</v>
      </c>
      <c r="P16">
        <v>18</v>
      </c>
      <c r="Q16">
        <v>0</v>
      </c>
      <c r="R16">
        <v>71</v>
      </c>
      <c r="S16">
        <v>288</v>
      </c>
      <c r="T16">
        <v>33</v>
      </c>
      <c r="U16">
        <v>12</v>
      </c>
      <c r="V16">
        <v>58</v>
      </c>
      <c r="W16">
        <v>25</v>
      </c>
      <c r="X16">
        <v>159</v>
      </c>
      <c r="Y16">
        <v>19</v>
      </c>
      <c r="Z16">
        <f t="shared" si="0"/>
        <v>2125867.5660000001</v>
      </c>
      <c r="AC16" t="s">
        <v>2794</v>
      </c>
      <c r="AD16" t="s">
        <v>2796</v>
      </c>
      <c r="AE16" t="str">
        <f t="shared" si="1"/>
        <v>Census Tract 13, King County, Washington</v>
      </c>
      <c r="AF16">
        <v>1183992.8659999999</v>
      </c>
    </row>
    <row r="17" spans="1:32" x14ac:dyDescent="0.25">
      <c r="A17" t="s">
        <v>1640</v>
      </c>
      <c r="B17">
        <v>53033001500</v>
      </c>
      <c r="C17" t="s">
        <v>1641</v>
      </c>
      <c r="D17">
        <v>2329</v>
      </c>
      <c r="E17">
        <v>1981</v>
      </c>
      <c r="F17">
        <v>348</v>
      </c>
      <c r="G17">
        <v>2329</v>
      </c>
      <c r="H17">
        <v>1981</v>
      </c>
      <c r="I17">
        <v>348</v>
      </c>
      <c r="J17">
        <v>1853</v>
      </c>
      <c r="K17">
        <v>284</v>
      </c>
      <c r="L17">
        <v>59</v>
      </c>
      <c r="M17">
        <v>17</v>
      </c>
      <c r="N17">
        <v>0</v>
      </c>
      <c r="O17">
        <v>0</v>
      </c>
      <c r="P17">
        <v>0</v>
      </c>
      <c r="Q17">
        <v>0</v>
      </c>
      <c r="R17">
        <v>11</v>
      </c>
      <c r="S17">
        <v>47</v>
      </c>
      <c r="T17">
        <v>0</v>
      </c>
      <c r="U17">
        <v>0</v>
      </c>
      <c r="V17">
        <v>0</v>
      </c>
      <c r="W17">
        <v>0</v>
      </c>
      <c r="X17">
        <v>58</v>
      </c>
      <c r="Y17">
        <v>0</v>
      </c>
      <c r="Z17">
        <f t="shared" si="0"/>
        <v>1143987.2290000001</v>
      </c>
      <c r="AC17" t="s">
        <v>2803</v>
      </c>
      <c r="AD17" t="s">
        <v>2805</v>
      </c>
      <c r="AE17" t="str">
        <f t="shared" si="1"/>
        <v>Census Tract 12, King County, Washington</v>
      </c>
      <c r="AF17">
        <v>1834049.1680000001</v>
      </c>
    </row>
    <row r="18" spans="1:32" x14ac:dyDescent="0.25">
      <c r="A18" t="s">
        <v>1642</v>
      </c>
      <c r="B18">
        <v>53033001600</v>
      </c>
      <c r="C18" t="s">
        <v>1643</v>
      </c>
      <c r="D18">
        <v>3967</v>
      </c>
      <c r="E18">
        <v>3474</v>
      </c>
      <c r="F18">
        <v>493</v>
      </c>
      <c r="G18">
        <v>3967</v>
      </c>
      <c r="H18">
        <v>3474</v>
      </c>
      <c r="I18">
        <v>493</v>
      </c>
      <c r="J18">
        <v>3174</v>
      </c>
      <c r="K18">
        <v>327</v>
      </c>
      <c r="L18">
        <v>26</v>
      </c>
      <c r="M18">
        <v>7</v>
      </c>
      <c r="N18">
        <v>57</v>
      </c>
      <c r="O18">
        <v>0</v>
      </c>
      <c r="P18">
        <v>8</v>
      </c>
      <c r="Q18">
        <v>0</v>
      </c>
      <c r="R18">
        <v>119</v>
      </c>
      <c r="S18">
        <v>123</v>
      </c>
      <c r="T18">
        <v>0</v>
      </c>
      <c r="U18">
        <v>0</v>
      </c>
      <c r="V18">
        <v>8</v>
      </c>
      <c r="W18">
        <v>11</v>
      </c>
      <c r="X18">
        <v>82</v>
      </c>
      <c r="Y18">
        <v>25</v>
      </c>
      <c r="Z18">
        <f t="shared" si="0"/>
        <v>1924337.4080000001</v>
      </c>
      <c r="AC18" t="s">
        <v>2845</v>
      </c>
      <c r="AD18" t="s">
        <v>2847</v>
      </c>
      <c r="AE18" t="str">
        <f t="shared" si="1"/>
        <v>Census Tract 11, King County, Washington</v>
      </c>
      <c r="AF18">
        <v>1060421.014</v>
      </c>
    </row>
    <row r="19" spans="1:32" x14ac:dyDescent="0.25">
      <c r="A19" t="s">
        <v>1644</v>
      </c>
      <c r="B19">
        <v>53033001700</v>
      </c>
      <c r="C19" t="s">
        <v>1645</v>
      </c>
      <c r="D19">
        <v>7448</v>
      </c>
      <c r="E19">
        <v>5995</v>
      </c>
      <c r="F19">
        <v>1453</v>
      </c>
      <c r="G19">
        <v>7448</v>
      </c>
      <c r="H19">
        <v>5995</v>
      </c>
      <c r="I19">
        <v>1453</v>
      </c>
      <c r="J19">
        <v>4961</v>
      </c>
      <c r="K19">
        <v>370</v>
      </c>
      <c r="L19">
        <v>92</v>
      </c>
      <c r="M19">
        <v>114</v>
      </c>
      <c r="N19">
        <v>171</v>
      </c>
      <c r="O19">
        <v>59</v>
      </c>
      <c r="P19">
        <v>81</v>
      </c>
      <c r="Q19">
        <v>16</v>
      </c>
      <c r="R19">
        <v>243</v>
      </c>
      <c r="S19">
        <v>723</v>
      </c>
      <c r="T19">
        <v>0</v>
      </c>
      <c r="U19">
        <v>12</v>
      </c>
      <c r="V19">
        <v>59</v>
      </c>
      <c r="W19">
        <v>56</v>
      </c>
      <c r="X19">
        <v>388</v>
      </c>
      <c r="Y19">
        <v>103</v>
      </c>
      <c r="Z19">
        <f t="shared" si="0"/>
        <v>2172992.5669999998</v>
      </c>
      <c r="AC19" t="s">
        <v>2887</v>
      </c>
      <c r="AD19" t="s">
        <v>2889</v>
      </c>
      <c r="AE19" t="str">
        <f t="shared" si="1"/>
        <v>Census Tract 10, King County, Washington</v>
      </c>
      <c r="AF19">
        <v>954458.64300000004</v>
      </c>
    </row>
    <row r="20" spans="1:32" x14ac:dyDescent="0.25">
      <c r="A20" t="s">
        <v>1646</v>
      </c>
      <c r="B20">
        <v>53033001800</v>
      </c>
      <c r="C20" t="s">
        <v>1647</v>
      </c>
      <c r="D20">
        <v>3991</v>
      </c>
      <c r="E20">
        <v>3151</v>
      </c>
      <c r="F20">
        <v>840</v>
      </c>
      <c r="G20">
        <v>3991</v>
      </c>
      <c r="H20">
        <v>3151</v>
      </c>
      <c r="I20">
        <v>840</v>
      </c>
      <c r="J20">
        <v>2607</v>
      </c>
      <c r="K20">
        <v>203</v>
      </c>
      <c r="L20">
        <v>33</v>
      </c>
      <c r="M20">
        <v>29</v>
      </c>
      <c r="N20">
        <v>118</v>
      </c>
      <c r="O20">
        <v>111</v>
      </c>
      <c r="P20">
        <v>34</v>
      </c>
      <c r="Q20">
        <v>5</v>
      </c>
      <c r="R20">
        <v>145</v>
      </c>
      <c r="S20">
        <v>299</v>
      </c>
      <c r="T20">
        <v>4</v>
      </c>
      <c r="U20">
        <v>9</v>
      </c>
      <c r="V20">
        <v>63</v>
      </c>
      <c r="W20">
        <v>107</v>
      </c>
      <c r="X20">
        <v>147</v>
      </c>
      <c r="Y20">
        <v>77</v>
      </c>
      <c r="Z20">
        <f t="shared" si="0"/>
        <v>942970.65700000001</v>
      </c>
      <c r="AC20" t="s">
        <v>2530</v>
      </c>
      <c r="AD20" t="s">
        <v>2532</v>
      </c>
      <c r="AE20" t="str">
        <f t="shared" si="1"/>
        <v>Census Tract 9, King County, Washington</v>
      </c>
      <c r="AF20">
        <v>962343.86100000003</v>
      </c>
    </row>
    <row r="21" spans="1:32" x14ac:dyDescent="0.25">
      <c r="A21" t="s">
        <v>1648</v>
      </c>
      <c r="B21">
        <v>53033001900</v>
      </c>
      <c r="C21" t="s">
        <v>1649</v>
      </c>
      <c r="D21">
        <v>3423</v>
      </c>
      <c r="E21">
        <v>2903</v>
      </c>
      <c r="F21">
        <v>520</v>
      </c>
      <c r="G21">
        <v>3423</v>
      </c>
      <c r="H21">
        <v>2903</v>
      </c>
      <c r="I21">
        <v>520</v>
      </c>
      <c r="J21">
        <v>2436</v>
      </c>
      <c r="K21">
        <v>247</v>
      </c>
      <c r="L21">
        <v>44</v>
      </c>
      <c r="M21">
        <v>0</v>
      </c>
      <c r="N21">
        <v>52</v>
      </c>
      <c r="O21">
        <v>0</v>
      </c>
      <c r="P21">
        <v>13</v>
      </c>
      <c r="Q21">
        <v>0</v>
      </c>
      <c r="R21">
        <v>172</v>
      </c>
      <c r="S21">
        <v>234</v>
      </c>
      <c r="T21">
        <v>8</v>
      </c>
      <c r="U21">
        <v>0</v>
      </c>
      <c r="V21">
        <v>39</v>
      </c>
      <c r="W21">
        <v>18</v>
      </c>
      <c r="X21">
        <v>139</v>
      </c>
      <c r="Y21">
        <v>21</v>
      </c>
      <c r="Z21">
        <f t="shared" si="0"/>
        <v>1649995.541</v>
      </c>
      <c r="AC21" t="s">
        <v>2566</v>
      </c>
      <c r="AD21" t="s">
        <v>2568</v>
      </c>
      <c r="AE21" t="str">
        <f t="shared" si="1"/>
        <v>Census Tract 8, King County, Washington</v>
      </c>
      <c r="AF21">
        <v>1141588.2779999999</v>
      </c>
    </row>
    <row r="22" spans="1:32" x14ac:dyDescent="0.25">
      <c r="A22" t="s">
        <v>1650</v>
      </c>
      <c r="B22">
        <v>53033002000</v>
      </c>
      <c r="C22" t="s">
        <v>1651</v>
      </c>
      <c r="D22">
        <v>3116</v>
      </c>
      <c r="E22">
        <v>2765</v>
      </c>
      <c r="F22">
        <v>351</v>
      </c>
      <c r="G22">
        <v>3116</v>
      </c>
      <c r="H22">
        <v>2765</v>
      </c>
      <c r="I22">
        <v>351</v>
      </c>
      <c r="J22">
        <v>2392</v>
      </c>
      <c r="K22">
        <v>150</v>
      </c>
      <c r="L22">
        <v>18</v>
      </c>
      <c r="M22">
        <v>11</v>
      </c>
      <c r="N22">
        <v>83</v>
      </c>
      <c r="O22">
        <v>16</v>
      </c>
      <c r="P22">
        <v>0</v>
      </c>
      <c r="Q22">
        <v>5</v>
      </c>
      <c r="R22">
        <v>30</v>
      </c>
      <c r="S22">
        <v>135</v>
      </c>
      <c r="T22">
        <v>9</v>
      </c>
      <c r="U22">
        <v>0</v>
      </c>
      <c r="V22">
        <v>51</v>
      </c>
      <c r="W22">
        <v>19</v>
      </c>
      <c r="X22">
        <v>182</v>
      </c>
      <c r="Y22">
        <v>15</v>
      </c>
      <c r="Z22">
        <f t="shared" si="0"/>
        <v>1099740.1470000001</v>
      </c>
      <c r="AC22" t="s">
        <v>2602</v>
      </c>
      <c r="AD22" t="s">
        <v>2604</v>
      </c>
      <c r="AE22" t="str">
        <f t="shared" si="1"/>
        <v>Census Tract 7, King County, Washington</v>
      </c>
      <c r="AF22">
        <v>1294675.3319999999</v>
      </c>
    </row>
    <row r="23" spans="1:32" x14ac:dyDescent="0.25">
      <c r="A23" t="s">
        <v>1652</v>
      </c>
      <c r="B23">
        <v>53033002100</v>
      </c>
      <c r="C23" t="s">
        <v>1653</v>
      </c>
      <c r="D23">
        <v>3637</v>
      </c>
      <c r="E23">
        <v>3119</v>
      </c>
      <c r="F23">
        <v>518</v>
      </c>
      <c r="G23">
        <v>3637</v>
      </c>
      <c r="H23">
        <v>3119</v>
      </c>
      <c r="I23">
        <v>518</v>
      </c>
      <c r="J23">
        <v>2768</v>
      </c>
      <c r="K23">
        <v>184</v>
      </c>
      <c r="L23">
        <v>59</v>
      </c>
      <c r="M23">
        <v>13</v>
      </c>
      <c r="N23">
        <v>80</v>
      </c>
      <c r="O23">
        <v>29</v>
      </c>
      <c r="P23">
        <v>11</v>
      </c>
      <c r="Q23">
        <v>0</v>
      </c>
      <c r="R23">
        <v>92</v>
      </c>
      <c r="S23">
        <v>243</v>
      </c>
      <c r="T23">
        <v>0</v>
      </c>
      <c r="U23">
        <v>0</v>
      </c>
      <c r="V23">
        <v>5</v>
      </c>
      <c r="W23">
        <v>12</v>
      </c>
      <c r="X23">
        <v>104</v>
      </c>
      <c r="Y23">
        <v>37</v>
      </c>
      <c r="Z23">
        <f t="shared" si="0"/>
        <v>1365463.0220000001</v>
      </c>
      <c r="AC23" t="s">
        <v>2635</v>
      </c>
      <c r="AD23" t="s">
        <v>2637</v>
      </c>
      <c r="AE23" t="str">
        <f t="shared" si="1"/>
        <v>Census Tract 6, King County, Washington</v>
      </c>
      <c r="AF23">
        <v>3779676.1120000002</v>
      </c>
    </row>
    <row r="24" spans="1:32" x14ac:dyDescent="0.25">
      <c r="A24" t="s">
        <v>1654</v>
      </c>
      <c r="B24">
        <v>53033002200</v>
      </c>
      <c r="C24" t="s">
        <v>1655</v>
      </c>
      <c r="D24">
        <v>5396</v>
      </c>
      <c r="E24">
        <v>4500</v>
      </c>
      <c r="F24">
        <v>896</v>
      </c>
      <c r="G24">
        <v>5396</v>
      </c>
      <c r="H24">
        <v>4500</v>
      </c>
      <c r="I24">
        <v>896</v>
      </c>
      <c r="J24">
        <v>4023</v>
      </c>
      <c r="K24">
        <v>345</v>
      </c>
      <c r="L24">
        <v>80</v>
      </c>
      <c r="M24">
        <v>36</v>
      </c>
      <c r="N24">
        <v>6</v>
      </c>
      <c r="O24">
        <v>7</v>
      </c>
      <c r="P24">
        <v>7</v>
      </c>
      <c r="Q24">
        <v>10</v>
      </c>
      <c r="R24">
        <v>168</v>
      </c>
      <c r="S24">
        <v>406</v>
      </c>
      <c r="T24">
        <v>0</v>
      </c>
      <c r="U24">
        <v>0</v>
      </c>
      <c r="V24">
        <v>45</v>
      </c>
      <c r="W24">
        <v>45</v>
      </c>
      <c r="X24">
        <v>171</v>
      </c>
      <c r="Y24">
        <v>47</v>
      </c>
      <c r="Z24">
        <f t="shared" si="0"/>
        <v>2769392.3089999999</v>
      </c>
      <c r="AC24" t="s">
        <v>2671</v>
      </c>
      <c r="AD24" t="s">
        <v>2673</v>
      </c>
      <c r="AE24" t="str">
        <f t="shared" si="1"/>
        <v>Census Tract 5, King County, Washington</v>
      </c>
      <c r="AF24">
        <v>2778942.4840000002</v>
      </c>
    </row>
    <row r="25" spans="1:32" x14ac:dyDescent="0.25">
      <c r="A25" t="s">
        <v>1656</v>
      </c>
      <c r="B25">
        <v>53033002400</v>
      </c>
      <c r="C25" t="s">
        <v>1657</v>
      </c>
      <c r="D25">
        <v>2828</v>
      </c>
      <c r="E25">
        <v>2364</v>
      </c>
      <c r="F25">
        <v>464</v>
      </c>
      <c r="G25">
        <v>2828</v>
      </c>
      <c r="H25">
        <v>2364</v>
      </c>
      <c r="I25">
        <v>464</v>
      </c>
      <c r="J25">
        <v>2143</v>
      </c>
      <c r="K25">
        <v>174</v>
      </c>
      <c r="L25">
        <v>18</v>
      </c>
      <c r="M25">
        <v>16</v>
      </c>
      <c r="N25">
        <v>26</v>
      </c>
      <c r="O25">
        <v>36</v>
      </c>
      <c r="P25">
        <v>12</v>
      </c>
      <c r="Q25">
        <v>0</v>
      </c>
      <c r="R25">
        <v>37</v>
      </c>
      <c r="S25">
        <v>202</v>
      </c>
      <c r="T25">
        <v>0</v>
      </c>
      <c r="U25">
        <v>0</v>
      </c>
      <c r="V25">
        <v>12</v>
      </c>
      <c r="W25">
        <v>0</v>
      </c>
      <c r="X25">
        <v>116</v>
      </c>
      <c r="Y25">
        <v>36</v>
      </c>
      <c r="Z25">
        <f t="shared" si="0"/>
        <v>978104.31700000004</v>
      </c>
      <c r="AC25" t="s">
        <v>2707</v>
      </c>
      <c r="AD25" t="s">
        <v>2709</v>
      </c>
      <c r="AE25" t="str">
        <f t="shared" si="1"/>
        <v>Census Tract 4.02, King County, Washington</v>
      </c>
      <c r="AF25">
        <v>1798932.382</v>
      </c>
    </row>
    <row r="26" spans="1:32" x14ac:dyDescent="0.25">
      <c r="A26" t="s">
        <v>1658</v>
      </c>
      <c r="B26">
        <v>53033002500</v>
      </c>
      <c r="C26" t="s">
        <v>1659</v>
      </c>
      <c r="D26">
        <v>2541</v>
      </c>
      <c r="E26">
        <v>2186</v>
      </c>
      <c r="F26">
        <v>355</v>
      </c>
      <c r="G26">
        <v>2541</v>
      </c>
      <c r="H26">
        <v>2186</v>
      </c>
      <c r="I26">
        <v>355</v>
      </c>
      <c r="J26">
        <v>1919</v>
      </c>
      <c r="K26">
        <v>187</v>
      </c>
      <c r="L26">
        <v>26</v>
      </c>
      <c r="M26">
        <v>0</v>
      </c>
      <c r="N26">
        <v>31</v>
      </c>
      <c r="O26">
        <v>5</v>
      </c>
      <c r="P26">
        <v>20</v>
      </c>
      <c r="Q26">
        <v>0</v>
      </c>
      <c r="R26">
        <v>58</v>
      </c>
      <c r="S26">
        <v>100</v>
      </c>
      <c r="T26">
        <v>15</v>
      </c>
      <c r="U26">
        <v>8</v>
      </c>
      <c r="V26">
        <v>47</v>
      </c>
      <c r="W26">
        <v>35</v>
      </c>
      <c r="X26">
        <v>70</v>
      </c>
      <c r="Y26">
        <v>20</v>
      </c>
      <c r="Z26">
        <f t="shared" si="0"/>
        <v>984333.93599999999</v>
      </c>
      <c r="AC26" t="s">
        <v>2710</v>
      </c>
      <c r="AD26" t="s">
        <v>2712</v>
      </c>
      <c r="AE26" t="str">
        <f t="shared" si="1"/>
        <v>Census Tract 4.01, King County, Washington</v>
      </c>
      <c r="AF26">
        <v>1286647.0049999999</v>
      </c>
    </row>
    <row r="27" spans="1:32" x14ac:dyDescent="0.25">
      <c r="A27" t="s">
        <v>1660</v>
      </c>
      <c r="B27">
        <v>53033002600</v>
      </c>
      <c r="C27" t="s">
        <v>1661</v>
      </c>
      <c r="D27">
        <v>4522</v>
      </c>
      <c r="E27">
        <v>4097</v>
      </c>
      <c r="F27">
        <v>425</v>
      </c>
      <c r="G27">
        <v>4522</v>
      </c>
      <c r="H27">
        <v>4097</v>
      </c>
      <c r="I27">
        <v>425</v>
      </c>
      <c r="J27">
        <v>3654</v>
      </c>
      <c r="K27">
        <v>220</v>
      </c>
      <c r="L27">
        <v>67</v>
      </c>
      <c r="M27">
        <v>14</v>
      </c>
      <c r="N27">
        <v>35</v>
      </c>
      <c r="O27">
        <v>6</v>
      </c>
      <c r="P27">
        <v>42</v>
      </c>
      <c r="Q27">
        <v>0</v>
      </c>
      <c r="R27">
        <v>108</v>
      </c>
      <c r="S27">
        <v>144</v>
      </c>
      <c r="T27">
        <v>37</v>
      </c>
      <c r="U27">
        <v>7</v>
      </c>
      <c r="V27">
        <v>14</v>
      </c>
      <c r="W27">
        <v>9</v>
      </c>
      <c r="X27">
        <v>140</v>
      </c>
      <c r="Y27">
        <v>25</v>
      </c>
      <c r="Z27">
        <f t="shared" si="0"/>
        <v>1211642.7150000001</v>
      </c>
      <c r="AC27" t="s">
        <v>2740</v>
      </c>
      <c r="AD27" t="s">
        <v>2742</v>
      </c>
      <c r="AE27" t="str">
        <f t="shared" si="1"/>
        <v>Census Tract 3, King County, Washington</v>
      </c>
      <c r="AF27">
        <v>1210512.6910000001</v>
      </c>
    </row>
    <row r="28" spans="1:32" x14ac:dyDescent="0.25">
      <c r="A28" t="s">
        <v>1662</v>
      </c>
      <c r="B28">
        <v>53033002700</v>
      </c>
      <c r="C28" t="s">
        <v>1663</v>
      </c>
      <c r="D28">
        <v>4943</v>
      </c>
      <c r="E28">
        <v>4503</v>
      </c>
      <c r="F28">
        <v>440</v>
      </c>
      <c r="G28">
        <v>4943</v>
      </c>
      <c r="H28">
        <v>4503</v>
      </c>
      <c r="I28">
        <v>440</v>
      </c>
      <c r="J28">
        <v>4004</v>
      </c>
      <c r="K28">
        <v>237</v>
      </c>
      <c r="L28">
        <v>19</v>
      </c>
      <c r="M28">
        <v>0</v>
      </c>
      <c r="N28">
        <v>71</v>
      </c>
      <c r="O28">
        <v>0</v>
      </c>
      <c r="P28">
        <v>93</v>
      </c>
      <c r="Q28">
        <v>0</v>
      </c>
      <c r="R28">
        <v>124</v>
      </c>
      <c r="S28">
        <v>150</v>
      </c>
      <c r="T28">
        <v>0</v>
      </c>
      <c r="U28">
        <v>0</v>
      </c>
      <c r="V28">
        <v>21</v>
      </c>
      <c r="W28">
        <v>35</v>
      </c>
      <c r="X28">
        <v>171</v>
      </c>
      <c r="Y28">
        <v>18</v>
      </c>
      <c r="Z28">
        <f t="shared" si="0"/>
        <v>1593773.5220000001</v>
      </c>
      <c r="AC28" t="s">
        <v>2770</v>
      </c>
      <c r="AD28" t="s">
        <v>2772</v>
      </c>
      <c r="AE28" t="str">
        <f t="shared" si="1"/>
        <v>Census Tract 2, King County, Washington</v>
      </c>
      <c r="AF28">
        <v>3285671.64</v>
      </c>
    </row>
    <row r="29" spans="1:32" x14ac:dyDescent="0.25">
      <c r="A29" t="s">
        <v>1664</v>
      </c>
      <c r="B29">
        <v>53033002800</v>
      </c>
      <c r="C29" t="s">
        <v>1665</v>
      </c>
      <c r="D29">
        <v>4232</v>
      </c>
      <c r="E29">
        <v>3816</v>
      </c>
      <c r="F29">
        <v>416</v>
      </c>
      <c r="G29">
        <v>4232</v>
      </c>
      <c r="H29">
        <v>3816</v>
      </c>
      <c r="I29">
        <v>416</v>
      </c>
      <c r="J29">
        <v>3474</v>
      </c>
      <c r="K29">
        <v>183</v>
      </c>
      <c r="L29">
        <v>87</v>
      </c>
      <c r="M29">
        <v>39</v>
      </c>
      <c r="N29">
        <v>69</v>
      </c>
      <c r="O29">
        <v>8</v>
      </c>
      <c r="P29">
        <v>10</v>
      </c>
      <c r="Q29">
        <v>0</v>
      </c>
      <c r="R29">
        <v>70</v>
      </c>
      <c r="S29">
        <v>174</v>
      </c>
      <c r="T29">
        <v>0</v>
      </c>
      <c r="U29">
        <v>0</v>
      </c>
      <c r="V29">
        <v>7</v>
      </c>
      <c r="W29">
        <v>0</v>
      </c>
      <c r="X29">
        <v>99</v>
      </c>
      <c r="Y29">
        <v>12</v>
      </c>
      <c r="Z29">
        <f t="shared" si="0"/>
        <v>983389.18299999996</v>
      </c>
      <c r="AC29" t="s">
        <v>2890</v>
      </c>
      <c r="AD29" t="s">
        <v>2892</v>
      </c>
      <c r="AE29" t="str">
        <f t="shared" si="1"/>
        <v>Census Tract 1, King County, Washington</v>
      </c>
      <c r="AF29">
        <v>1851445.2509999999</v>
      </c>
    </row>
    <row r="30" spans="1:32" x14ac:dyDescent="0.25">
      <c r="A30" t="s">
        <v>1666</v>
      </c>
      <c r="B30">
        <v>53033002900</v>
      </c>
      <c r="C30" t="s">
        <v>1667</v>
      </c>
      <c r="D30">
        <v>3984</v>
      </c>
      <c r="E30">
        <v>3627</v>
      </c>
      <c r="F30">
        <v>357</v>
      </c>
      <c r="G30">
        <v>3984</v>
      </c>
      <c r="H30">
        <v>3627</v>
      </c>
      <c r="I30">
        <v>357</v>
      </c>
      <c r="J30">
        <v>3330</v>
      </c>
      <c r="K30">
        <v>165</v>
      </c>
      <c r="L30">
        <v>59</v>
      </c>
      <c r="M30">
        <v>17</v>
      </c>
      <c r="N30">
        <v>19</v>
      </c>
      <c r="O30">
        <v>6</v>
      </c>
      <c r="P30">
        <v>13</v>
      </c>
      <c r="Q30">
        <v>0</v>
      </c>
      <c r="R30">
        <v>39</v>
      </c>
      <c r="S30">
        <v>120</v>
      </c>
      <c r="T30">
        <v>0</v>
      </c>
      <c r="U30">
        <v>0</v>
      </c>
      <c r="V30">
        <v>17</v>
      </c>
      <c r="W30">
        <v>25</v>
      </c>
      <c r="X30">
        <v>150</v>
      </c>
      <c r="Y30">
        <v>24</v>
      </c>
      <c r="Z30">
        <f t="shared" si="0"/>
        <v>986206.95499999996</v>
      </c>
      <c r="AC30" t="s">
        <v>2797</v>
      </c>
      <c r="AD30" t="s">
        <v>2799</v>
      </c>
      <c r="AE30" t="str">
        <f t="shared" si="1"/>
        <v>Census Tract 121, King County, Washington</v>
      </c>
      <c r="AF30">
        <v>1706805.1229999999</v>
      </c>
    </row>
    <row r="31" spans="1:32" x14ac:dyDescent="0.25">
      <c r="A31" t="s">
        <v>1668</v>
      </c>
      <c r="B31">
        <v>53033003000</v>
      </c>
      <c r="C31" t="s">
        <v>1669</v>
      </c>
      <c r="D31">
        <v>5250</v>
      </c>
      <c r="E31">
        <v>4711</v>
      </c>
      <c r="F31">
        <v>539</v>
      </c>
      <c r="G31">
        <v>5250</v>
      </c>
      <c r="H31">
        <v>4711</v>
      </c>
      <c r="I31">
        <v>539</v>
      </c>
      <c r="J31">
        <v>4164</v>
      </c>
      <c r="K31">
        <v>364</v>
      </c>
      <c r="L31">
        <v>80</v>
      </c>
      <c r="M31">
        <v>68</v>
      </c>
      <c r="N31">
        <v>26</v>
      </c>
      <c r="O31">
        <v>0</v>
      </c>
      <c r="P31">
        <v>72</v>
      </c>
      <c r="Q31">
        <v>0</v>
      </c>
      <c r="R31">
        <v>87</v>
      </c>
      <c r="S31">
        <v>80</v>
      </c>
      <c r="T31">
        <v>19</v>
      </c>
      <c r="U31">
        <v>18</v>
      </c>
      <c r="V31">
        <v>84</v>
      </c>
      <c r="W31">
        <v>0</v>
      </c>
      <c r="X31">
        <v>179</v>
      </c>
      <c r="Y31">
        <v>9</v>
      </c>
      <c r="Z31">
        <f t="shared" si="0"/>
        <v>1493252.781</v>
      </c>
      <c r="AC31" t="s">
        <v>2800</v>
      </c>
      <c r="AD31" t="s">
        <v>2802</v>
      </c>
      <c r="AE31" t="str">
        <f t="shared" si="1"/>
        <v>Census Tract 120, King County, Washington</v>
      </c>
      <c r="AF31">
        <v>1449701.226</v>
      </c>
    </row>
    <row r="32" spans="1:32" x14ac:dyDescent="0.25">
      <c r="A32" t="s">
        <v>1670</v>
      </c>
      <c r="B32">
        <v>53033003100</v>
      </c>
      <c r="C32" t="s">
        <v>1671</v>
      </c>
      <c r="D32">
        <v>6038</v>
      </c>
      <c r="E32">
        <v>5564</v>
      </c>
      <c r="F32">
        <v>474</v>
      </c>
      <c r="G32">
        <v>6038</v>
      </c>
      <c r="H32">
        <v>5564</v>
      </c>
      <c r="I32">
        <v>474</v>
      </c>
      <c r="J32">
        <v>5131</v>
      </c>
      <c r="K32">
        <v>304</v>
      </c>
      <c r="L32">
        <v>143</v>
      </c>
      <c r="M32">
        <v>29</v>
      </c>
      <c r="N32">
        <v>38</v>
      </c>
      <c r="O32">
        <v>5</v>
      </c>
      <c r="P32">
        <v>77</v>
      </c>
      <c r="Q32">
        <v>0</v>
      </c>
      <c r="R32">
        <v>64</v>
      </c>
      <c r="S32">
        <v>97</v>
      </c>
      <c r="T32">
        <v>6</v>
      </c>
      <c r="U32">
        <v>13</v>
      </c>
      <c r="V32">
        <v>28</v>
      </c>
      <c r="W32">
        <v>4</v>
      </c>
      <c r="X32">
        <v>77</v>
      </c>
      <c r="Y32">
        <v>22</v>
      </c>
      <c r="Z32">
        <f t="shared" si="0"/>
        <v>2126261.835</v>
      </c>
      <c r="AC32" t="s">
        <v>2806</v>
      </c>
      <c r="AD32" t="s">
        <v>2808</v>
      </c>
      <c r="AE32" t="str">
        <f t="shared" si="1"/>
        <v>Census Tract 119, King County, Washington</v>
      </c>
      <c r="AF32">
        <v>3141142.1949999998</v>
      </c>
    </row>
    <row r="33" spans="1:32" x14ac:dyDescent="0.25">
      <c r="A33" t="s">
        <v>1672</v>
      </c>
      <c r="B33">
        <v>53033003200</v>
      </c>
      <c r="C33" t="s">
        <v>1673</v>
      </c>
      <c r="D33">
        <v>7213</v>
      </c>
      <c r="E33">
        <v>6406</v>
      </c>
      <c r="F33">
        <v>807</v>
      </c>
      <c r="G33">
        <v>7213</v>
      </c>
      <c r="H33">
        <v>6406</v>
      </c>
      <c r="I33">
        <v>807</v>
      </c>
      <c r="J33">
        <v>5918</v>
      </c>
      <c r="K33">
        <v>454</v>
      </c>
      <c r="L33">
        <v>52</v>
      </c>
      <c r="M33">
        <v>52</v>
      </c>
      <c r="N33">
        <v>43</v>
      </c>
      <c r="O33">
        <v>38</v>
      </c>
      <c r="P33">
        <v>45</v>
      </c>
      <c r="Q33">
        <v>0</v>
      </c>
      <c r="R33">
        <v>130</v>
      </c>
      <c r="S33">
        <v>167</v>
      </c>
      <c r="T33">
        <v>0</v>
      </c>
      <c r="U33">
        <v>0</v>
      </c>
      <c r="V33">
        <v>27</v>
      </c>
      <c r="W33">
        <v>22</v>
      </c>
      <c r="X33">
        <v>191</v>
      </c>
      <c r="Y33">
        <v>74</v>
      </c>
      <c r="Z33">
        <f t="shared" si="0"/>
        <v>2072998.2890000001</v>
      </c>
      <c r="AC33" t="s">
        <v>2848</v>
      </c>
      <c r="AD33" t="s">
        <v>2850</v>
      </c>
      <c r="AE33" t="str">
        <f t="shared" si="1"/>
        <v>Census Tract 109, King County, Washington</v>
      </c>
      <c r="AF33">
        <v>4790223.3109999998</v>
      </c>
    </row>
    <row r="34" spans="1:32" x14ac:dyDescent="0.25">
      <c r="A34" t="s">
        <v>1674</v>
      </c>
      <c r="B34">
        <v>53033003300</v>
      </c>
      <c r="C34" t="s">
        <v>1675</v>
      </c>
      <c r="D34">
        <v>5832</v>
      </c>
      <c r="E34">
        <v>5184</v>
      </c>
      <c r="F34">
        <v>648</v>
      </c>
      <c r="G34">
        <v>5832</v>
      </c>
      <c r="H34">
        <v>5184</v>
      </c>
      <c r="I34">
        <v>648</v>
      </c>
      <c r="J34">
        <v>4477</v>
      </c>
      <c r="K34">
        <v>396</v>
      </c>
      <c r="L34">
        <v>77</v>
      </c>
      <c r="M34">
        <v>29</v>
      </c>
      <c r="N34">
        <v>57</v>
      </c>
      <c r="O34">
        <v>22</v>
      </c>
      <c r="P34">
        <v>107</v>
      </c>
      <c r="Q34">
        <v>7</v>
      </c>
      <c r="R34">
        <v>101</v>
      </c>
      <c r="S34">
        <v>139</v>
      </c>
      <c r="T34">
        <v>0</v>
      </c>
      <c r="U34">
        <v>0</v>
      </c>
      <c r="V34">
        <v>104</v>
      </c>
      <c r="W34">
        <v>0</v>
      </c>
      <c r="X34">
        <v>261</v>
      </c>
      <c r="Y34">
        <v>55</v>
      </c>
      <c r="Z34">
        <f t="shared" si="0"/>
        <v>1296370.827</v>
      </c>
      <c r="AC34" t="s">
        <v>2851</v>
      </c>
      <c r="AD34" t="s">
        <v>2853</v>
      </c>
      <c r="AE34" t="str">
        <f t="shared" si="1"/>
        <v>Census Tract 108, King County, Washington</v>
      </c>
      <c r="AF34">
        <v>4057514.5649999999</v>
      </c>
    </row>
    <row r="35" spans="1:32" x14ac:dyDescent="0.25">
      <c r="A35" t="s">
        <v>1676</v>
      </c>
      <c r="B35">
        <v>53033003400</v>
      </c>
      <c r="C35" t="s">
        <v>1677</v>
      </c>
      <c r="D35">
        <v>3198</v>
      </c>
      <c r="E35">
        <v>2937</v>
      </c>
      <c r="F35">
        <v>261</v>
      </c>
      <c r="G35">
        <v>3198</v>
      </c>
      <c r="H35">
        <v>2937</v>
      </c>
      <c r="I35">
        <v>261</v>
      </c>
      <c r="J35">
        <v>2623</v>
      </c>
      <c r="K35">
        <v>167</v>
      </c>
      <c r="L35">
        <v>35</v>
      </c>
      <c r="M35">
        <v>13</v>
      </c>
      <c r="N35">
        <v>71</v>
      </c>
      <c r="O35">
        <v>18</v>
      </c>
      <c r="P35">
        <v>21</v>
      </c>
      <c r="Q35">
        <v>7</v>
      </c>
      <c r="R35">
        <v>35</v>
      </c>
      <c r="S35">
        <v>56</v>
      </c>
      <c r="T35">
        <v>0</v>
      </c>
      <c r="U35">
        <v>0</v>
      </c>
      <c r="V35">
        <v>6</v>
      </c>
      <c r="W35">
        <v>0</v>
      </c>
      <c r="X35">
        <v>146</v>
      </c>
      <c r="Y35">
        <v>0</v>
      </c>
      <c r="Z35">
        <f t="shared" si="0"/>
        <v>787151.99899999995</v>
      </c>
      <c r="AC35" t="s">
        <v>3402</v>
      </c>
      <c r="AD35" t="s">
        <v>3404</v>
      </c>
      <c r="AE35" t="str">
        <f t="shared" si="1"/>
        <v>Census Tract 107, King County, Washington</v>
      </c>
      <c r="AF35">
        <v>2237504.2480000001</v>
      </c>
    </row>
    <row r="36" spans="1:32" x14ac:dyDescent="0.25">
      <c r="A36" t="s">
        <v>1678</v>
      </c>
      <c r="B36">
        <v>53033003500</v>
      </c>
      <c r="C36" t="s">
        <v>1679</v>
      </c>
      <c r="D36">
        <v>3639</v>
      </c>
      <c r="E36">
        <v>3346</v>
      </c>
      <c r="F36">
        <v>293</v>
      </c>
      <c r="G36">
        <v>3639</v>
      </c>
      <c r="H36">
        <v>3346</v>
      </c>
      <c r="I36">
        <v>293</v>
      </c>
      <c r="J36">
        <v>3036</v>
      </c>
      <c r="K36">
        <v>223</v>
      </c>
      <c r="L36">
        <v>27</v>
      </c>
      <c r="M36">
        <v>5</v>
      </c>
      <c r="N36">
        <v>5</v>
      </c>
      <c r="O36">
        <v>12</v>
      </c>
      <c r="P36">
        <v>17</v>
      </c>
      <c r="Q36">
        <v>0</v>
      </c>
      <c r="R36">
        <v>87</v>
      </c>
      <c r="S36">
        <v>31</v>
      </c>
      <c r="T36">
        <v>0</v>
      </c>
      <c r="U36">
        <v>0</v>
      </c>
      <c r="V36">
        <v>45</v>
      </c>
      <c r="W36">
        <v>0</v>
      </c>
      <c r="X36">
        <v>129</v>
      </c>
      <c r="Y36">
        <v>22</v>
      </c>
      <c r="Z36">
        <f t="shared" si="0"/>
        <v>1284761.325</v>
      </c>
      <c r="AC36" t="s">
        <v>2860</v>
      </c>
      <c r="AD36" t="s">
        <v>2862</v>
      </c>
      <c r="AE36" t="str">
        <f t="shared" si="1"/>
        <v>Census Tract 106, King County, Washington</v>
      </c>
      <c r="AF36">
        <v>2515784.2540000002</v>
      </c>
    </row>
    <row r="37" spans="1:32" x14ac:dyDescent="0.25">
      <c r="A37" t="s">
        <v>1680</v>
      </c>
      <c r="B37">
        <v>53033003600</v>
      </c>
      <c r="C37" t="s">
        <v>1681</v>
      </c>
      <c r="D37">
        <v>4886</v>
      </c>
      <c r="E37">
        <v>4234</v>
      </c>
      <c r="F37">
        <v>652</v>
      </c>
      <c r="G37">
        <v>4886</v>
      </c>
      <c r="H37">
        <v>4234</v>
      </c>
      <c r="I37">
        <v>652</v>
      </c>
      <c r="J37">
        <v>3760</v>
      </c>
      <c r="K37">
        <v>316</v>
      </c>
      <c r="L37">
        <v>50</v>
      </c>
      <c r="M37">
        <v>16</v>
      </c>
      <c r="N37">
        <v>57</v>
      </c>
      <c r="O37">
        <v>0</v>
      </c>
      <c r="P37">
        <v>0</v>
      </c>
      <c r="Q37">
        <v>0</v>
      </c>
      <c r="R37">
        <v>176</v>
      </c>
      <c r="S37">
        <v>253</v>
      </c>
      <c r="T37">
        <v>0</v>
      </c>
      <c r="U37">
        <v>0</v>
      </c>
      <c r="V37">
        <v>9</v>
      </c>
      <c r="W37">
        <v>0</v>
      </c>
      <c r="X37">
        <v>182</v>
      </c>
      <c r="Y37">
        <v>67</v>
      </c>
      <c r="Z37">
        <f t="shared" si="0"/>
        <v>1196455.8589999999</v>
      </c>
      <c r="AC37" t="s">
        <v>2863</v>
      </c>
      <c r="AD37" t="s">
        <v>2865</v>
      </c>
      <c r="AE37" t="str">
        <f t="shared" si="1"/>
        <v>Census Tract 105, King County, Washington</v>
      </c>
      <c r="AF37">
        <v>1717922.3259999999</v>
      </c>
    </row>
    <row r="38" spans="1:32" x14ac:dyDescent="0.25">
      <c r="A38" t="s">
        <v>1682</v>
      </c>
      <c r="B38">
        <v>53033003800</v>
      </c>
      <c r="C38" t="s">
        <v>1683</v>
      </c>
      <c r="D38">
        <v>1995</v>
      </c>
      <c r="E38">
        <v>1676</v>
      </c>
      <c r="F38">
        <v>319</v>
      </c>
      <c r="G38">
        <v>1995</v>
      </c>
      <c r="H38">
        <v>1676</v>
      </c>
      <c r="I38">
        <v>319</v>
      </c>
      <c r="J38">
        <v>1573</v>
      </c>
      <c r="K38">
        <v>154</v>
      </c>
      <c r="L38">
        <v>0</v>
      </c>
      <c r="M38">
        <v>19</v>
      </c>
      <c r="N38">
        <v>7</v>
      </c>
      <c r="O38">
        <v>0</v>
      </c>
      <c r="P38">
        <v>0</v>
      </c>
      <c r="Q38">
        <v>0</v>
      </c>
      <c r="R38">
        <v>34</v>
      </c>
      <c r="S38">
        <v>127</v>
      </c>
      <c r="T38">
        <v>0</v>
      </c>
      <c r="U38">
        <v>0</v>
      </c>
      <c r="V38">
        <v>16</v>
      </c>
      <c r="W38">
        <v>14</v>
      </c>
      <c r="X38">
        <v>46</v>
      </c>
      <c r="Y38">
        <v>5</v>
      </c>
      <c r="Z38">
        <f t="shared" si="0"/>
        <v>624606.14199999999</v>
      </c>
      <c r="AC38" t="s">
        <v>3410</v>
      </c>
      <c r="AD38" t="s">
        <v>3412</v>
      </c>
      <c r="AE38" t="str">
        <f t="shared" si="1"/>
        <v>Census Tract 104, King County, Washington</v>
      </c>
      <c r="AF38">
        <v>3415757.8480000002</v>
      </c>
    </row>
    <row r="39" spans="1:32" x14ac:dyDescent="0.25">
      <c r="A39" t="s">
        <v>1684</v>
      </c>
      <c r="B39">
        <v>53033003900</v>
      </c>
      <c r="C39" t="s">
        <v>1685</v>
      </c>
      <c r="D39">
        <v>2688</v>
      </c>
      <c r="E39">
        <v>2262</v>
      </c>
      <c r="F39">
        <v>426</v>
      </c>
      <c r="G39">
        <v>2688</v>
      </c>
      <c r="H39">
        <v>2262</v>
      </c>
      <c r="I39">
        <v>426</v>
      </c>
      <c r="J39">
        <v>1917</v>
      </c>
      <c r="K39">
        <v>186</v>
      </c>
      <c r="L39">
        <v>52</v>
      </c>
      <c r="M39">
        <v>10</v>
      </c>
      <c r="N39">
        <v>19</v>
      </c>
      <c r="O39">
        <v>7</v>
      </c>
      <c r="P39">
        <v>20</v>
      </c>
      <c r="Q39">
        <v>0</v>
      </c>
      <c r="R39">
        <v>67</v>
      </c>
      <c r="S39">
        <v>198</v>
      </c>
      <c r="T39">
        <v>0</v>
      </c>
      <c r="U39">
        <v>0</v>
      </c>
      <c r="V39">
        <v>35</v>
      </c>
      <c r="W39">
        <v>9</v>
      </c>
      <c r="X39">
        <v>152</v>
      </c>
      <c r="Y39">
        <v>16</v>
      </c>
      <c r="Z39">
        <f t="shared" si="0"/>
        <v>973807.67200000002</v>
      </c>
      <c r="AC39" t="s">
        <v>2872</v>
      </c>
      <c r="AD39" t="s">
        <v>2874</v>
      </c>
      <c r="AE39" t="str">
        <f t="shared" si="1"/>
        <v>Census Tract 103, King County, Washington</v>
      </c>
      <c r="AF39">
        <v>1660241.7420000001</v>
      </c>
    </row>
    <row r="40" spans="1:32" x14ac:dyDescent="0.25">
      <c r="A40" t="s">
        <v>1686</v>
      </c>
      <c r="B40">
        <v>53033004000</v>
      </c>
      <c r="C40" t="s">
        <v>1687</v>
      </c>
      <c r="D40">
        <v>2352</v>
      </c>
      <c r="E40">
        <v>1981</v>
      </c>
      <c r="F40">
        <v>371</v>
      </c>
      <c r="G40">
        <v>2352</v>
      </c>
      <c r="H40">
        <v>1981</v>
      </c>
      <c r="I40">
        <v>371</v>
      </c>
      <c r="J40">
        <v>1836</v>
      </c>
      <c r="K40">
        <v>226</v>
      </c>
      <c r="L40">
        <v>0</v>
      </c>
      <c r="M40">
        <v>0</v>
      </c>
      <c r="N40">
        <v>36</v>
      </c>
      <c r="O40">
        <v>14</v>
      </c>
      <c r="P40">
        <v>0</v>
      </c>
      <c r="Q40">
        <v>0</v>
      </c>
      <c r="R40">
        <v>61</v>
      </c>
      <c r="S40">
        <v>110</v>
      </c>
      <c r="T40">
        <v>0</v>
      </c>
      <c r="U40">
        <v>0</v>
      </c>
      <c r="V40">
        <v>6</v>
      </c>
      <c r="W40">
        <v>0</v>
      </c>
      <c r="X40">
        <v>42</v>
      </c>
      <c r="Y40">
        <v>21</v>
      </c>
      <c r="Z40">
        <f t="shared" si="0"/>
        <v>2471859.3330000001</v>
      </c>
      <c r="AC40" t="s">
        <v>2875</v>
      </c>
      <c r="AD40" t="s">
        <v>2877</v>
      </c>
      <c r="AE40" t="str">
        <f t="shared" si="1"/>
        <v>Census Tract 102, King County, Washington</v>
      </c>
      <c r="AF40">
        <v>2749743.26</v>
      </c>
    </row>
    <row r="41" spans="1:32" x14ac:dyDescent="0.25">
      <c r="A41" t="s">
        <v>1688</v>
      </c>
      <c r="B41">
        <v>53033004100</v>
      </c>
      <c r="C41" t="s">
        <v>1689</v>
      </c>
      <c r="D41">
        <v>7505</v>
      </c>
      <c r="E41">
        <v>6496</v>
      </c>
      <c r="F41">
        <v>1009</v>
      </c>
      <c r="G41">
        <v>7505</v>
      </c>
      <c r="H41">
        <v>6496</v>
      </c>
      <c r="I41">
        <v>1009</v>
      </c>
      <c r="J41">
        <v>5979</v>
      </c>
      <c r="K41">
        <v>438</v>
      </c>
      <c r="L41">
        <v>35</v>
      </c>
      <c r="M41">
        <v>64</v>
      </c>
      <c r="N41">
        <v>74</v>
      </c>
      <c r="O41">
        <v>38</v>
      </c>
      <c r="P41">
        <v>40</v>
      </c>
      <c r="Q41">
        <v>0</v>
      </c>
      <c r="R41">
        <v>173</v>
      </c>
      <c r="S41">
        <v>417</v>
      </c>
      <c r="T41">
        <v>0</v>
      </c>
      <c r="U41">
        <v>0</v>
      </c>
      <c r="V41">
        <v>11</v>
      </c>
      <c r="W41">
        <v>28</v>
      </c>
      <c r="X41">
        <v>184</v>
      </c>
      <c r="Y41">
        <v>24</v>
      </c>
      <c r="Z41">
        <f t="shared" si="0"/>
        <v>3202027.6320000002</v>
      </c>
      <c r="AC41" t="s">
        <v>2878</v>
      </c>
      <c r="AD41" t="s">
        <v>2880</v>
      </c>
      <c r="AE41" t="str">
        <f t="shared" si="1"/>
        <v>Census Tract 101, King County, Washington</v>
      </c>
      <c r="AF41">
        <v>2482464.2779999999</v>
      </c>
    </row>
    <row r="42" spans="1:32" x14ac:dyDescent="0.25">
      <c r="A42" t="s">
        <v>1690</v>
      </c>
      <c r="B42">
        <v>53033004200</v>
      </c>
      <c r="C42" t="s">
        <v>1691</v>
      </c>
      <c r="D42">
        <v>7202</v>
      </c>
      <c r="E42">
        <v>6231</v>
      </c>
      <c r="F42">
        <v>971</v>
      </c>
      <c r="G42">
        <v>7202</v>
      </c>
      <c r="H42">
        <v>6231</v>
      </c>
      <c r="I42">
        <v>971</v>
      </c>
      <c r="J42">
        <v>5517</v>
      </c>
      <c r="K42">
        <v>499</v>
      </c>
      <c r="L42">
        <v>94</v>
      </c>
      <c r="M42">
        <v>65</v>
      </c>
      <c r="N42">
        <v>165</v>
      </c>
      <c r="O42">
        <v>27</v>
      </c>
      <c r="P42">
        <v>4</v>
      </c>
      <c r="Q42">
        <v>0</v>
      </c>
      <c r="R42">
        <v>200</v>
      </c>
      <c r="S42">
        <v>243</v>
      </c>
      <c r="T42">
        <v>54</v>
      </c>
      <c r="U42">
        <v>19</v>
      </c>
      <c r="V42">
        <v>17</v>
      </c>
      <c r="W42">
        <v>7</v>
      </c>
      <c r="X42">
        <v>180</v>
      </c>
      <c r="Y42">
        <v>111</v>
      </c>
      <c r="Z42">
        <f t="shared" si="0"/>
        <v>2464003.8820000002</v>
      </c>
      <c r="AC42" t="s">
        <v>3420</v>
      </c>
      <c r="AD42" t="s">
        <v>3422</v>
      </c>
      <c r="AE42" t="str">
        <f t="shared" si="1"/>
        <v>Census Tract 100, King County, Washington</v>
      </c>
      <c r="AF42">
        <v>3193901.5589999999</v>
      </c>
    </row>
    <row r="43" spans="1:32" x14ac:dyDescent="0.25">
      <c r="A43" t="s">
        <v>1692</v>
      </c>
      <c r="B43">
        <v>53033004300</v>
      </c>
      <c r="C43" t="s">
        <v>1693</v>
      </c>
      <c r="D43">
        <v>6132</v>
      </c>
      <c r="E43">
        <v>5113</v>
      </c>
      <c r="F43">
        <v>1019</v>
      </c>
      <c r="G43">
        <v>6132</v>
      </c>
      <c r="H43">
        <v>5113</v>
      </c>
      <c r="I43">
        <v>1019</v>
      </c>
      <c r="J43">
        <v>4243</v>
      </c>
      <c r="K43">
        <v>501</v>
      </c>
      <c r="L43">
        <v>95</v>
      </c>
      <c r="M43">
        <v>28</v>
      </c>
      <c r="N43">
        <v>163</v>
      </c>
      <c r="O43">
        <v>15</v>
      </c>
      <c r="P43">
        <v>8</v>
      </c>
      <c r="Q43">
        <v>0</v>
      </c>
      <c r="R43">
        <v>309</v>
      </c>
      <c r="S43">
        <v>404</v>
      </c>
      <c r="T43">
        <v>0</v>
      </c>
      <c r="U43">
        <v>0</v>
      </c>
      <c r="V43">
        <v>97</v>
      </c>
      <c r="W43">
        <v>21</v>
      </c>
      <c r="X43">
        <v>198</v>
      </c>
      <c r="Y43">
        <v>50</v>
      </c>
      <c r="Z43">
        <f t="shared" si="0"/>
        <v>1310074.1229999999</v>
      </c>
      <c r="AC43" t="s">
        <v>2497</v>
      </c>
      <c r="AD43" t="s">
        <v>2499</v>
      </c>
      <c r="AE43" t="str">
        <f t="shared" si="1"/>
        <v>Census Tract 99, King County, Washington</v>
      </c>
      <c r="AF43">
        <v>6506275.5999999996</v>
      </c>
    </row>
    <row r="44" spans="1:32" x14ac:dyDescent="0.25">
      <c r="A44" t="s">
        <v>1694</v>
      </c>
      <c r="B44">
        <v>53033004400</v>
      </c>
      <c r="C44" t="s">
        <v>1695</v>
      </c>
      <c r="D44">
        <v>5740</v>
      </c>
      <c r="E44">
        <v>4695</v>
      </c>
      <c r="F44">
        <v>1045</v>
      </c>
      <c r="G44">
        <v>5740</v>
      </c>
      <c r="H44">
        <v>4695</v>
      </c>
      <c r="I44">
        <v>1045</v>
      </c>
      <c r="J44">
        <v>4046</v>
      </c>
      <c r="K44">
        <v>387</v>
      </c>
      <c r="L44">
        <v>66</v>
      </c>
      <c r="M44">
        <v>51</v>
      </c>
      <c r="N44">
        <v>51</v>
      </c>
      <c r="O44">
        <v>0</v>
      </c>
      <c r="P44">
        <v>15</v>
      </c>
      <c r="Q44">
        <v>0</v>
      </c>
      <c r="R44">
        <v>213</v>
      </c>
      <c r="S44">
        <v>507</v>
      </c>
      <c r="T44">
        <v>0</v>
      </c>
      <c r="U44">
        <v>0</v>
      </c>
      <c r="V44">
        <v>60</v>
      </c>
      <c r="W44">
        <v>31</v>
      </c>
      <c r="X44">
        <v>244</v>
      </c>
      <c r="Y44">
        <v>69</v>
      </c>
      <c r="Z44">
        <f t="shared" si="0"/>
        <v>989902.56900000002</v>
      </c>
      <c r="AC44" t="s">
        <v>2500</v>
      </c>
      <c r="AD44" t="s">
        <v>2502</v>
      </c>
      <c r="AE44" t="str">
        <f t="shared" si="1"/>
        <v>Census Tract 98, King County, Washington</v>
      </c>
      <c r="AF44">
        <v>1930637.115</v>
      </c>
    </row>
    <row r="45" spans="1:32" x14ac:dyDescent="0.25">
      <c r="A45" t="s">
        <v>1696</v>
      </c>
      <c r="B45">
        <v>53033004500</v>
      </c>
      <c r="C45" t="s">
        <v>1697</v>
      </c>
      <c r="D45">
        <v>2369</v>
      </c>
      <c r="E45">
        <v>2034</v>
      </c>
      <c r="F45">
        <v>335</v>
      </c>
      <c r="G45">
        <v>2369</v>
      </c>
      <c r="H45">
        <v>2034</v>
      </c>
      <c r="I45">
        <v>335</v>
      </c>
      <c r="J45">
        <v>1731</v>
      </c>
      <c r="K45">
        <v>176</v>
      </c>
      <c r="L45">
        <v>57</v>
      </c>
      <c r="M45">
        <v>11</v>
      </c>
      <c r="N45">
        <v>18</v>
      </c>
      <c r="O45">
        <v>24</v>
      </c>
      <c r="P45">
        <v>0</v>
      </c>
      <c r="Q45">
        <v>0</v>
      </c>
      <c r="R45">
        <v>69</v>
      </c>
      <c r="S45">
        <v>113</v>
      </c>
      <c r="T45">
        <v>21</v>
      </c>
      <c r="U45">
        <v>0</v>
      </c>
      <c r="V45">
        <v>0</v>
      </c>
      <c r="W45">
        <v>0</v>
      </c>
      <c r="X45">
        <v>138</v>
      </c>
      <c r="Y45">
        <v>11</v>
      </c>
      <c r="Z45">
        <f t="shared" si="0"/>
        <v>670998.06999999995</v>
      </c>
      <c r="AC45" t="s">
        <v>2503</v>
      </c>
      <c r="AD45" t="s">
        <v>2505</v>
      </c>
      <c r="AE45" t="str">
        <f t="shared" si="1"/>
        <v>Census Tract 97.02, King County, Washington</v>
      </c>
      <c r="AF45">
        <v>2219067.2319999998</v>
      </c>
    </row>
    <row r="46" spans="1:32" x14ac:dyDescent="0.25">
      <c r="A46" t="s">
        <v>1698</v>
      </c>
      <c r="B46">
        <v>53033004600</v>
      </c>
      <c r="C46" t="s">
        <v>1699</v>
      </c>
      <c r="D46">
        <v>3068</v>
      </c>
      <c r="E46">
        <v>2743</v>
      </c>
      <c r="F46">
        <v>325</v>
      </c>
      <c r="G46">
        <v>3068</v>
      </c>
      <c r="H46">
        <v>2743</v>
      </c>
      <c r="I46">
        <v>325</v>
      </c>
      <c r="J46">
        <v>2534</v>
      </c>
      <c r="K46">
        <v>225</v>
      </c>
      <c r="L46">
        <v>47</v>
      </c>
      <c r="M46">
        <v>25</v>
      </c>
      <c r="N46">
        <v>20</v>
      </c>
      <c r="O46">
        <v>0</v>
      </c>
      <c r="P46">
        <v>0</v>
      </c>
      <c r="Q46">
        <v>6</v>
      </c>
      <c r="R46">
        <v>43</v>
      </c>
      <c r="S46">
        <v>41</v>
      </c>
      <c r="T46">
        <v>13</v>
      </c>
      <c r="U46">
        <v>6</v>
      </c>
      <c r="V46">
        <v>5</v>
      </c>
      <c r="W46">
        <v>8</v>
      </c>
      <c r="X46">
        <v>81</v>
      </c>
      <c r="Y46">
        <v>14</v>
      </c>
      <c r="Z46">
        <f t="shared" si="0"/>
        <v>1574150.358</v>
      </c>
      <c r="AC46" t="s">
        <v>2506</v>
      </c>
      <c r="AD46" t="s">
        <v>2508</v>
      </c>
      <c r="AE46" t="str">
        <f t="shared" si="1"/>
        <v>Census Tract 97.01, King County, Washington</v>
      </c>
      <c r="AF46">
        <v>1757145.872</v>
      </c>
    </row>
    <row r="47" spans="1:32" x14ac:dyDescent="0.25">
      <c r="A47" t="s">
        <v>1700</v>
      </c>
      <c r="B47">
        <v>53033004700</v>
      </c>
      <c r="C47" t="s">
        <v>1701</v>
      </c>
      <c r="D47">
        <v>4916</v>
      </c>
      <c r="E47">
        <v>4273</v>
      </c>
      <c r="F47">
        <v>643</v>
      </c>
      <c r="G47">
        <v>4916</v>
      </c>
      <c r="H47">
        <v>4273</v>
      </c>
      <c r="I47">
        <v>643</v>
      </c>
      <c r="J47">
        <v>3759</v>
      </c>
      <c r="K47">
        <v>251</v>
      </c>
      <c r="L47">
        <v>65</v>
      </c>
      <c r="M47">
        <v>23</v>
      </c>
      <c r="N47">
        <v>77</v>
      </c>
      <c r="O47">
        <v>55</v>
      </c>
      <c r="P47">
        <v>33</v>
      </c>
      <c r="Q47">
        <v>0</v>
      </c>
      <c r="R47">
        <v>53</v>
      </c>
      <c r="S47">
        <v>132</v>
      </c>
      <c r="T47">
        <v>0</v>
      </c>
      <c r="U47">
        <v>0</v>
      </c>
      <c r="V47">
        <v>97</v>
      </c>
      <c r="W47">
        <v>129</v>
      </c>
      <c r="X47">
        <v>189</v>
      </c>
      <c r="Y47">
        <v>53</v>
      </c>
      <c r="Z47">
        <f t="shared" si="0"/>
        <v>1985387.925</v>
      </c>
      <c r="AC47" t="s">
        <v>2509</v>
      </c>
      <c r="AD47" t="s">
        <v>2511</v>
      </c>
      <c r="AE47" t="str">
        <f t="shared" si="1"/>
        <v>Census Tract 96, King County, Washington</v>
      </c>
      <c r="AF47">
        <v>1777292.192</v>
      </c>
    </row>
    <row r="48" spans="1:32" x14ac:dyDescent="0.25">
      <c r="A48" t="s">
        <v>1702</v>
      </c>
      <c r="B48">
        <v>53033004800</v>
      </c>
      <c r="C48" t="s">
        <v>1703</v>
      </c>
      <c r="D48">
        <v>4325</v>
      </c>
      <c r="E48">
        <v>3929</v>
      </c>
      <c r="F48">
        <v>396</v>
      </c>
      <c r="G48">
        <v>4325</v>
      </c>
      <c r="H48">
        <v>3929</v>
      </c>
      <c r="I48">
        <v>396</v>
      </c>
      <c r="J48">
        <v>3543</v>
      </c>
      <c r="K48">
        <v>173</v>
      </c>
      <c r="L48">
        <v>97</v>
      </c>
      <c r="M48">
        <v>56</v>
      </c>
      <c r="N48">
        <v>60</v>
      </c>
      <c r="O48">
        <v>14</v>
      </c>
      <c r="P48">
        <v>49</v>
      </c>
      <c r="Q48">
        <v>0</v>
      </c>
      <c r="R48">
        <v>24</v>
      </c>
      <c r="S48">
        <v>112</v>
      </c>
      <c r="T48">
        <v>0</v>
      </c>
      <c r="U48">
        <v>0</v>
      </c>
      <c r="V48">
        <v>0</v>
      </c>
      <c r="W48">
        <v>22</v>
      </c>
      <c r="X48">
        <v>156</v>
      </c>
      <c r="Y48">
        <v>19</v>
      </c>
      <c r="Z48">
        <f t="shared" si="0"/>
        <v>1332369.4750000001</v>
      </c>
      <c r="AC48" t="s">
        <v>2512</v>
      </c>
      <c r="AD48" t="s">
        <v>2514</v>
      </c>
      <c r="AE48" t="str">
        <f t="shared" si="1"/>
        <v>Census Tract 95, King County, Washington</v>
      </c>
      <c r="AF48">
        <v>2523815.2829999998</v>
      </c>
    </row>
    <row r="49" spans="1:32" x14ac:dyDescent="0.25">
      <c r="A49" t="s">
        <v>1704</v>
      </c>
      <c r="B49">
        <v>53033004900</v>
      </c>
      <c r="C49" t="s">
        <v>1705</v>
      </c>
      <c r="D49">
        <v>5525</v>
      </c>
      <c r="E49">
        <v>5056</v>
      </c>
      <c r="F49">
        <v>469</v>
      </c>
      <c r="G49">
        <v>5525</v>
      </c>
      <c r="H49">
        <v>5056</v>
      </c>
      <c r="I49">
        <v>469</v>
      </c>
      <c r="J49">
        <v>4449</v>
      </c>
      <c r="K49">
        <v>289</v>
      </c>
      <c r="L49">
        <v>72</v>
      </c>
      <c r="M49">
        <v>26</v>
      </c>
      <c r="N49">
        <v>129</v>
      </c>
      <c r="O49">
        <v>0</v>
      </c>
      <c r="P49">
        <v>45</v>
      </c>
      <c r="Q49">
        <v>6</v>
      </c>
      <c r="R49">
        <v>51</v>
      </c>
      <c r="S49">
        <v>90</v>
      </c>
      <c r="T49">
        <v>8</v>
      </c>
      <c r="U49">
        <v>0</v>
      </c>
      <c r="V49">
        <v>81</v>
      </c>
      <c r="W49">
        <v>7</v>
      </c>
      <c r="X49">
        <v>221</v>
      </c>
      <c r="Y49">
        <v>51</v>
      </c>
      <c r="Z49">
        <f t="shared" si="0"/>
        <v>1096632.0989999999</v>
      </c>
      <c r="AC49" t="s">
        <v>2515</v>
      </c>
      <c r="AD49" t="s">
        <v>2517</v>
      </c>
      <c r="AE49" t="str">
        <f t="shared" si="1"/>
        <v>Census Tract 94, King County, Washington</v>
      </c>
      <c r="AF49">
        <v>1722395.432</v>
      </c>
    </row>
    <row r="50" spans="1:32" x14ac:dyDescent="0.25">
      <c r="A50" t="s">
        <v>1706</v>
      </c>
      <c r="B50">
        <v>53033005000</v>
      </c>
      <c r="C50" t="s">
        <v>1707</v>
      </c>
      <c r="D50">
        <v>3252</v>
      </c>
      <c r="E50">
        <v>2902</v>
      </c>
      <c r="F50">
        <v>350</v>
      </c>
      <c r="G50">
        <v>3252</v>
      </c>
      <c r="H50">
        <v>2902</v>
      </c>
      <c r="I50">
        <v>350</v>
      </c>
      <c r="J50">
        <v>2545</v>
      </c>
      <c r="K50">
        <v>213</v>
      </c>
      <c r="L50">
        <v>39</v>
      </c>
      <c r="M50">
        <v>25</v>
      </c>
      <c r="N50">
        <v>94</v>
      </c>
      <c r="O50">
        <v>8</v>
      </c>
      <c r="P50">
        <v>0</v>
      </c>
      <c r="Q50">
        <v>0</v>
      </c>
      <c r="R50">
        <v>55</v>
      </c>
      <c r="S50">
        <v>80</v>
      </c>
      <c r="T50">
        <v>19</v>
      </c>
      <c r="U50">
        <v>7</v>
      </c>
      <c r="V50">
        <v>60</v>
      </c>
      <c r="W50">
        <v>10</v>
      </c>
      <c r="X50">
        <v>90</v>
      </c>
      <c r="Y50">
        <v>7</v>
      </c>
      <c r="Z50">
        <f t="shared" si="0"/>
        <v>757382.46699999995</v>
      </c>
      <c r="AC50" t="s">
        <v>2518</v>
      </c>
      <c r="AD50" t="s">
        <v>2520</v>
      </c>
      <c r="AE50" t="str">
        <f t="shared" si="1"/>
        <v>Census Tract 93, King County, Washington</v>
      </c>
      <c r="AF50">
        <v>9449275.4039999992</v>
      </c>
    </row>
    <row r="51" spans="1:32" x14ac:dyDescent="0.25">
      <c r="A51" t="s">
        <v>1708</v>
      </c>
      <c r="B51">
        <v>53033005100</v>
      </c>
      <c r="C51" t="s">
        <v>1709</v>
      </c>
      <c r="D51">
        <v>3420</v>
      </c>
      <c r="E51">
        <v>2952</v>
      </c>
      <c r="F51">
        <v>468</v>
      </c>
      <c r="G51">
        <v>3420</v>
      </c>
      <c r="H51">
        <v>2952</v>
      </c>
      <c r="I51">
        <v>468</v>
      </c>
      <c r="J51">
        <v>2639</v>
      </c>
      <c r="K51">
        <v>296</v>
      </c>
      <c r="L51">
        <v>39</v>
      </c>
      <c r="M51">
        <v>37</v>
      </c>
      <c r="N51">
        <v>44</v>
      </c>
      <c r="O51">
        <v>0</v>
      </c>
      <c r="P51">
        <v>9</v>
      </c>
      <c r="Q51">
        <v>0</v>
      </c>
      <c r="R51">
        <v>61</v>
      </c>
      <c r="S51">
        <v>116</v>
      </c>
      <c r="T51">
        <v>0</v>
      </c>
      <c r="U51">
        <v>0</v>
      </c>
      <c r="V51">
        <v>12</v>
      </c>
      <c r="W51">
        <v>6</v>
      </c>
      <c r="X51">
        <v>148</v>
      </c>
      <c r="Y51">
        <v>13</v>
      </c>
      <c r="Z51">
        <f t="shared" si="0"/>
        <v>881712.23899999994</v>
      </c>
      <c r="AC51" t="s">
        <v>2521</v>
      </c>
      <c r="AD51" t="s">
        <v>2523</v>
      </c>
      <c r="AE51" t="str">
        <f t="shared" si="1"/>
        <v>Census Tract 92, King County, Washington</v>
      </c>
      <c r="AF51">
        <v>305170.19099999999</v>
      </c>
    </row>
    <row r="52" spans="1:32" x14ac:dyDescent="0.25">
      <c r="A52" t="s">
        <v>1710</v>
      </c>
      <c r="B52">
        <v>53033005200</v>
      </c>
      <c r="C52" t="s">
        <v>1711</v>
      </c>
      <c r="D52">
        <v>5281</v>
      </c>
      <c r="E52">
        <v>4374</v>
      </c>
      <c r="F52">
        <v>907</v>
      </c>
      <c r="G52">
        <v>5281</v>
      </c>
      <c r="H52">
        <v>4374</v>
      </c>
      <c r="I52">
        <v>907</v>
      </c>
      <c r="J52">
        <v>3488</v>
      </c>
      <c r="K52">
        <v>392</v>
      </c>
      <c r="L52">
        <v>55</v>
      </c>
      <c r="M52">
        <v>27</v>
      </c>
      <c r="N52">
        <v>96</v>
      </c>
      <c r="O52">
        <v>14</v>
      </c>
      <c r="P52">
        <v>88</v>
      </c>
      <c r="Q52">
        <v>0</v>
      </c>
      <c r="R52">
        <v>305</v>
      </c>
      <c r="S52">
        <v>357</v>
      </c>
      <c r="T52">
        <v>46</v>
      </c>
      <c r="U52">
        <v>29</v>
      </c>
      <c r="V52">
        <v>76</v>
      </c>
      <c r="W52">
        <v>24</v>
      </c>
      <c r="X52">
        <v>220</v>
      </c>
      <c r="Y52">
        <v>64</v>
      </c>
      <c r="Z52">
        <f t="shared" si="0"/>
        <v>961971.79599999997</v>
      </c>
      <c r="AC52" t="s">
        <v>2524</v>
      </c>
      <c r="AD52" t="s">
        <v>2526</v>
      </c>
      <c r="AE52" t="str">
        <f t="shared" si="1"/>
        <v>Census Tract 91, King County, Washington</v>
      </c>
      <c r="AF52">
        <v>418832.28100000002</v>
      </c>
    </row>
    <row r="53" spans="1:32" x14ac:dyDescent="0.25">
      <c r="A53" t="s">
        <v>1712</v>
      </c>
      <c r="B53">
        <v>53033005301</v>
      </c>
      <c r="C53" t="s">
        <v>1713</v>
      </c>
      <c r="D53">
        <v>8509</v>
      </c>
      <c r="E53">
        <v>6920</v>
      </c>
      <c r="F53">
        <v>1589</v>
      </c>
      <c r="G53">
        <v>8509</v>
      </c>
      <c r="H53">
        <v>6920</v>
      </c>
      <c r="I53">
        <v>1589</v>
      </c>
      <c r="J53">
        <v>5573</v>
      </c>
      <c r="K53">
        <v>357</v>
      </c>
      <c r="L53">
        <v>89</v>
      </c>
      <c r="M53">
        <v>75</v>
      </c>
      <c r="N53">
        <v>140</v>
      </c>
      <c r="O53">
        <v>0</v>
      </c>
      <c r="P53">
        <v>35</v>
      </c>
      <c r="Q53">
        <v>0</v>
      </c>
      <c r="R53">
        <v>664</v>
      </c>
      <c r="S53">
        <v>1008</v>
      </c>
      <c r="T53">
        <v>11</v>
      </c>
      <c r="U53">
        <v>11</v>
      </c>
      <c r="V53">
        <v>83</v>
      </c>
      <c r="W53">
        <v>55</v>
      </c>
      <c r="X53">
        <v>325</v>
      </c>
      <c r="Y53">
        <v>83</v>
      </c>
      <c r="Z53">
        <f t="shared" si="0"/>
        <v>543482.07700000005</v>
      </c>
      <c r="AC53" t="s">
        <v>2527</v>
      </c>
      <c r="AD53" t="s">
        <v>2529</v>
      </c>
      <c r="AE53" t="str">
        <f t="shared" si="1"/>
        <v>Census Tract 90, King County, Washington</v>
      </c>
      <c r="AF53">
        <v>820731.29299999995</v>
      </c>
    </row>
    <row r="54" spans="1:32" x14ac:dyDescent="0.25">
      <c r="A54" t="s">
        <v>1714</v>
      </c>
      <c r="B54">
        <v>53033005302</v>
      </c>
      <c r="C54" t="s">
        <v>1715</v>
      </c>
      <c r="D54">
        <v>2561</v>
      </c>
      <c r="E54">
        <v>1796</v>
      </c>
      <c r="F54">
        <v>765</v>
      </c>
      <c r="G54">
        <v>2561</v>
      </c>
      <c r="H54">
        <v>1796</v>
      </c>
      <c r="I54">
        <v>765</v>
      </c>
      <c r="J54">
        <v>1293</v>
      </c>
      <c r="K54">
        <v>137</v>
      </c>
      <c r="L54">
        <v>34</v>
      </c>
      <c r="M54">
        <v>5</v>
      </c>
      <c r="N54">
        <v>46</v>
      </c>
      <c r="O54">
        <v>16</v>
      </c>
      <c r="P54">
        <v>46</v>
      </c>
      <c r="Q54">
        <v>16</v>
      </c>
      <c r="R54">
        <v>230</v>
      </c>
      <c r="S54">
        <v>525</v>
      </c>
      <c r="T54">
        <v>0</v>
      </c>
      <c r="U54">
        <v>11</v>
      </c>
      <c r="V54">
        <v>57</v>
      </c>
      <c r="W54">
        <v>0</v>
      </c>
      <c r="X54">
        <v>90</v>
      </c>
      <c r="Y54">
        <v>55</v>
      </c>
      <c r="Z54">
        <f t="shared" si="0"/>
        <v>2405232.8909999998</v>
      </c>
      <c r="AC54" t="s">
        <v>2533</v>
      </c>
      <c r="AD54" t="s">
        <v>2535</v>
      </c>
      <c r="AE54" t="str">
        <f t="shared" si="1"/>
        <v>Census Tract 89, King County, Washington</v>
      </c>
      <c r="AF54">
        <v>1267823.227</v>
      </c>
    </row>
    <row r="55" spans="1:32" x14ac:dyDescent="0.25">
      <c r="A55" t="s">
        <v>1716</v>
      </c>
      <c r="B55">
        <v>53033005400</v>
      </c>
      <c r="C55" t="s">
        <v>1717</v>
      </c>
      <c r="D55">
        <v>4241</v>
      </c>
      <c r="E55">
        <v>3812</v>
      </c>
      <c r="F55">
        <v>429</v>
      </c>
      <c r="G55">
        <v>4241</v>
      </c>
      <c r="H55">
        <v>3812</v>
      </c>
      <c r="I55">
        <v>429</v>
      </c>
      <c r="J55">
        <v>3403</v>
      </c>
      <c r="K55">
        <v>276</v>
      </c>
      <c r="L55">
        <v>93</v>
      </c>
      <c r="M55">
        <v>12</v>
      </c>
      <c r="N55">
        <v>40</v>
      </c>
      <c r="O55">
        <v>0</v>
      </c>
      <c r="P55">
        <v>12</v>
      </c>
      <c r="Q55">
        <v>0</v>
      </c>
      <c r="R55">
        <v>136</v>
      </c>
      <c r="S55">
        <v>123</v>
      </c>
      <c r="T55">
        <v>15</v>
      </c>
      <c r="U55">
        <v>0</v>
      </c>
      <c r="V55">
        <v>12</v>
      </c>
      <c r="W55">
        <v>0</v>
      </c>
      <c r="X55">
        <v>101</v>
      </c>
      <c r="Y55">
        <v>18</v>
      </c>
      <c r="Z55">
        <f t="shared" si="0"/>
        <v>1173294.4720000001</v>
      </c>
      <c r="AC55" t="s">
        <v>2536</v>
      </c>
      <c r="AD55" t="s">
        <v>2538</v>
      </c>
      <c r="AE55" t="str">
        <f t="shared" si="1"/>
        <v>Census Tract 88, King County, Washington</v>
      </c>
      <c r="AF55">
        <v>948580.94799999997</v>
      </c>
    </row>
    <row r="56" spans="1:32" x14ac:dyDescent="0.25">
      <c r="A56" t="s">
        <v>1718</v>
      </c>
      <c r="B56">
        <v>53033005600</v>
      </c>
      <c r="C56" t="s">
        <v>1719</v>
      </c>
      <c r="D56">
        <v>6229</v>
      </c>
      <c r="E56">
        <v>5651</v>
      </c>
      <c r="F56">
        <v>578</v>
      </c>
      <c r="G56">
        <v>6229</v>
      </c>
      <c r="H56">
        <v>5651</v>
      </c>
      <c r="I56">
        <v>578</v>
      </c>
      <c r="J56">
        <v>5178</v>
      </c>
      <c r="K56">
        <v>414</v>
      </c>
      <c r="L56">
        <v>59</v>
      </c>
      <c r="M56">
        <v>7</v>
      </c>
      <c r="N56">
        <v>56</v>
      </c>
      <c r="O56">
        <v>6</v>
      </c>
      <c r="P56">
        <v>22</v>
      </c>
      <c r="Q56">
        <v>0</v>
      </c>
      <c r="R56">
        <v>106</v>
      </c>
      <c r="S56">
        <v>117</v>
      </c>
      <c r="T56">
        <v>7</v>
      </c>
      <c r="U56">
        <v>0</v>
      </c>
      <c r="V56">
        <v>10</v>
      </c>
      <c r="W56">
        <v>32</v>
      </c>
      <c r="X56">
        <v>213</v>
      </c>
      <c r="Y56">
        <v>2</v>
      </c>
      <c r="Z56">
        <f t="shared" si="0"/>
        <v>2978462.2429999998</v>
      </c>
      <c r="AC56" t="s">
        <v>2539</v>
      </c>
      <c r="AD56" t="s">
        <v>2541</v>
      </c>
      <c r="AE56" t="str">
        <f t="shared" si="1"/>
        <v>Census Tract 87, King County, Washington</v>
      </c>
      <c r="AF56">
        <v>732388.71499999997</v>
      </c>
    </row>
    <row r="57" spans="1:32" x14ac:dyDescent="0.25">
      <c r="A57" t="s">
        <v>1720</v>
      </c>
      <c r="B57">
        <v>53033005700</v>
      </c>
      <c r="C57" t="s">
        <v>1721</v>
      </c>
      <c r="D57">
        <v>5990</v>
      </c>
      <c r="E57">
        <v>5293</v>
      </c>
      <c r="F57">
        <v>697</v>
      </c>
      <c r="G57">
        <v>5990</v>
      </c>
      <c r="H57">
        <v>5293</v>
      </c>
      <c r="I57">
        <v>697</v>
      </c>
      <c r="J57">
        <v>4701</v>
      </c>
      <c r="K57">
        <v>325</v>
      </c>
      <c r="L57">
        <v>71</v>
      </c>
      <c r="M57">
        <v>29</v>
      </c>
      <c r="N57">
        <v>105</v>
      </c>
      <c r="O57">
        <v>29</v>
      </c>
      <c r="P57">
        <v>51</v>
      </c>
      <c r="Q57">
        <v>11</v>
      </c>
      <c r="R57">
        <v>120</v>
      </c>
      <c r="S57">
        <v>258</v>
      </c>
      <c r="T57">
        <v>7</v>
      </c>
      <c r="U57">
        <v>39</v>
      </c>
      <c r="V57">
        <v>84</v>
      </c>
      <c r="W57">
        <v>0</v>
      </c>
      <c r="X57">
        <v>154</v>
      </c>
      <c r="Y57">
        <v>6</v>
      </c>
      <c r="Z57">
        <f t="shared" si="0"/>
        <v>4973399.7120000003</v>
      </c>
      <c r="AC57" t="s">
        <v>2809</v>
      </c>
      <c r="AD57" t="s">
        <v>2811</v>
      </c>
      <c r="AE57" t="str">
        <f t="shared" si="1"/>
        <v>Census Tract 118, King County, Washington</v>
      </c>
      <c r="AF57">
        <v>2299528.6529999999</v>
      </c>
    </row>
    <row r="58" spans="1:32" x14ac:dyDescent="0.25">
      <c r="A58" t="s">
        <v>1722</v>
      </c>
      <c r="B58">
        <v>53033005801</v>
      </c>
      <c r="C58" t="s">
        <v>1723</v>
      </c>
      <c r="D58">
        <v>4543</v>
      </c>
      <c r="E58">
        <v>3702</v>
      </c>
      <c r="F58">
        <v>841</v>
      </c>
      <c r="G58">
        <v>4543</v>
      </c>
      <c r="H58">
        <v>3702</v>
      </c>
      <c r="I58">
        <v>841</v>
      </c>
      <c r="J58">
        <v>3258</v>
      </c>
      <c r="K58">
        <v>475</v>
      </c>
      <c r="L58">
        <v>66</v>
      </c>
      <c r="M58">
        <v>45</v>
      </c>
      <c r="N58">
        <v>91</v>
      </c>
      <c r="O58">
        <v>10</v>
      </c>
      <c r="P58">
        <v>7</v>
      </c>
      <c r="Q58">
        <v>0</v>
      </c>
      <c r="R58">
        <v>143</v>
      </c>
      <c r="S58">
        <v>246</v>
      </c>
      <c r="T58">
        <v>0</v>
      </c>
      <c r="U58">
        <v>14</v>
      </c>
      <c r="V58">
        <v>42</v>
      </c>
      <c r="W58">
        <v>31</v>
      </c>
      <c r="X58">
        <v>95</v>
      </c>
      <c r="Y58">
        <v>20</v>
      </c>
      <c r="Z58">
        <f t="shared" si="0"/>
        <v>1808549.6240000001</v>
      </c>
      <c r="AC58" t="s">
        <v>2812</v>
      </c>
      <c r="AD58" t="s">
        <v>2814</v>
      </c>
      <c r="AE58" t="str">
        <f t="shared" si="1"/>
        <v>Census Tract 117, King County, Washington</v>
      </c>
      <c r="AF58">
        <v>3531697.9309999999</v>
      </c>
    </row>
    <row r="59" spans="1:32" x14ac:dyDescent="0.25">
      <c r="A59" t="s">
        <v>1724</v>
      </c>
      <c r="B59">
        <v>53033005802</v>
      </c>
      <c r="C59" t="s">
        <v>1725</v>
      </c>
      <c r="D59">
        <v>4817</v>
      </c>
      <c r="E59">
        <v>4252</v>
      </c>
      <c r="F59">
        <v>565</v>
      </c>
      <c r="G59">
        <v>4817</v>
      </c>
      <c r="H59">
        <v>4252</v>
      </c>
      <c r="I59">
        <v>565</v>
      </c>
      <c r="J59">
        <v>3679</v>
      </c>
      <c r="K59">
        <v>268</v>
      </c>
      <c r="L59">
        <v>104</v>
      </c>
      <c r="M59">
        <v>89</v>
      </c>
      <c r="N59">
        <v>102</v>
      </c>
      <c r="O59">
        <v>14</v>
      </c>
      <c r="P59">
        <v>33</v>
      </c>
      <c r="Q59">
        <v>0</v>
      </c>
      <c r="R59">
        <v>113</v>
      </c>
      <c r="S59">
        <v>165</v>
      </c>
      <c r="T59">
        <v>8</v>
      </c>
      <c r="U59">
        <v>10</v>
      </c>
      <c r="V59">
        <v>27</v>
      </c>
      <c r="W59">
        <v>19</v>
      </c>
      <c r="X59">
        <v>186</v>
      </c>
      <c r="Y59">
        <v>0</v>
      </c>
      <c r="Z59">
        <f t="shared" si="0"/>
        <v>2844903.8730000001</v>
      </c>
      <c r="AC59" t="s">
        <v>2815</v>
      </c>
      <c r="AD59" t="s">
        <v>2817</v>
      </c>
      <c r="AE59" t="str">
        <f t="shared" si="1"/>
        <v>Census Tract 116, King County, Washington</v>
      </c>
      <c r="AF59">
        <v>3100957.5520000001</v>
      </c>
    </row>
    <row r="60" spans="1:32" x14ac:dyDescent="0.25">
      <c r="A60" t="s">
        <v>1726</v>
      </c>
      <c r="B60">
        <v>53033005900</v>
      </c>
      <c r="C60" t="s">
        <v>1727</v>
      </c>
      <c r="D60">
        <v>6715</v>
      </c>
      <c r="E60">
        <v>6099</v>
      </c>
      <c r="F60">
        <v>616</v>
      </c>
      <c r="G60">
        <v>6715</v>
      </c>
      <c r="H60">
        <v>6099</v>
      </c>
      <c r="I60">
        <v>616</v>
      </c>
      <c r="J60">
        <v>5590</v>
      </c>
      <c r="K60">
        <v>338</v>
      </c>
      <c r="L60">
        <v>87</v>
      </c>
      <c r="M60">
        <v>31</v>
      </c>
      <c r="N60">
        <v>55</v>
      </c>
      <c r="O60">
        <v>0</v>
      </c>
      <c r="P60">
        <v>37</v>
      </c>
      <c r="Q60">
        <v>0</v>
      </c>
      <c r="R60">
        <v>116</v>
      </c>
      <c r="S60">
        <v>224</v>
      </c>
      <c r="T60">
        <v>0</v>
      </c>
      <c r="U60">
        <v>19</v>
      </c>
      <c r="V60">
        <v>0</v>
      </c>
      <c r="W60">
        <v>0</v>
      </c>
      <c r="X60">
        <v>214</v>
      </c>
      <c r="Y60">
        <v>4</v>
      </c>
      <c r="Z60">
        <f t="shared" si="0"/>
        <v>1804803.649</v>
      </c>
      <c r="AC60" t="s">
        <v>2818</v>
      </c>
      <c r="AD60" t="s">
        <v>2820</v>
      </c>
      <c r="AE60" t="str">
        <f t="shared" si="1"/>
        <v>Census Tract 115, King County, Washington</v>
      </c>
      <c r="AF60">
        <v>1538373.152</v>
      </c>
    </row>
    <row r="61" spans="1:32" x14ac:dyDescent="0.25">
      <c r="A61" t="s">
        <v>1728</v>
      </c>
      <c r="B61">
        <v>53033006000</v>
      </c>
      <c r="C61" t="s">
        <v>1729</v>
      </c>
      <c r="D61">
        <v>4725</v>
      </c>
      <c r="E61">
        <v>4193</v>
      </c>
      <c r="F61">
        <v>532</v>
      </c>
      <c r="G61">
        <v>4725</v>
      </c>
      <c r="H61">
        <v>4193</v>
      </c>
      <c r="I61">
        <v>532</v>
      </c>
      <c r="J61">
        <v>3791</v>
      </c>
      <c r="K61">
        <v>282</v>
      </c>
      <c r="L61">
        <v>54</v>
      </c>
      <c r="M61">
        <v>6</v>
      </c>
      <c r="N61">
        <v>56</v>
      </c>
      <c r="O61">
        <v>0</v>
      </c>
      <c r="P61">
        <v>78</v>
      </c>
      <c r="Q61">
        <v>7</v>
      </c>
      <c r="R61">
        <v>106</v>
      </c>
      <c r="S61">
        <v>152</v>
      </c>
      <c r="T61">
        <v>0</v>
      </c>
      <c r="U61">
        <v>14</v>
      </c>
      <c r="V61">
        <v>36</v>
      </c>
      <c r="W61">
        <v>31</v>
      </c>
      <c r="X61">
        <v>72</v>
      </c>
      <c r="Y61">
        <v>40</v>
      </c>
      <c r="Z61">
        <f t="shared" si="0"/>
        <v>1295262.5260000001</v>
      </c>
      <c r="AC61" t="s">
        <v>3443</v>
      </c>
      <c r="AD61" t="s">
        <v>3445</v>
      </c>
      <c r="AE61" t="str">
        <f t="shared" si="1"/>
        <v>Census Tract 114, King County, Washington</v>
      </c>
      <c r="AF61">
        <v>2419338.1290000002</v>
      </c>
    </row>
    <row r="62" spans="1:32" x14ac:dyDescent="0.25">
      <c r="A62" t="s">
        <v>1730</v>
      </c>
      <c r="B62">
        <v>53033006100</v>
      </c>
      <c r="C62" t="s">
        <v>1731</v>
      </c>
      <c r="D62">
        <v>4447</v>
      </c>
      <c r="E62">
        <v>3985</v>
      </c>
      <c r="F62">
        <v>462</v>
      </c>
      <c r="G62">
        <v>4447</v>
      </c>
      <c r="H62">
        <v>3985</v>
      </c>
      <c r="I62">
        <v>462</v>
      </c>
      <c r="J62">
        <v>3572</v>
      </c>
      <c r="K62">
        <v>230</v>
      </c>
      <c r="L62">
        <v>91</v>
      </c>
      <c r="M62">
        <v>17</v>
      </c>
      <c r="N62">
        <v>59</v>
      </c>
      <c r="O62">
        <v>0</v>
      </c>
      <c r="P62">
        <v>0</v>
      </c>
      <c r="Q62">
        <v>0</v>
      </c>
      <c r="R62">
        <v>102</v>
      </c>
      <c r="S62">
        <v>174</v>
      </c>
      <c r="T62">
        <v>0</v>
      </c>
      <c r="U62">
        <v>0</v>
      </c>
      <c r="V62">
        <v>21</v>
      </c>
      <c r="W62">
        <v>18</v>
      </c>
      <c r="X62">
        <v>140</v>
      </c>
      <c r="Y62">
        <v>23</v>
      </c>
      <c r="Z62">
        <f t="shared" si="0"/>
        <v>1106777.6270000001</v>
      </c>
      <c r="AC62" t="s">
        <v>2827</v>
      </c>
      <c r="AD62" t="s">
        <v>2829</v>
      </c>
      <c r="AE62" t="str">
        <f t="shared" si="1"/>
        <v>Census Tract 113, King County, Washington</v>
      </c>
      <c r="AF62">
        <v>3157558.2140000002</v>
      </c>
    </row>
    <row r="63" spans="1:32" x14ac:dyDescent="0.25">
      <c r="A63" t="s">
        <v>1732</v>
      </c>
      <c r="B63">
        <v>53033006200</v>
      </c>
      <c r="C63" t="s">
        <v>1733</v>
      </c>
      <c r="D63">
        <v>3800</v>
      </c>
      <c r="E63">
        <v>3370</v>
      </c>
      <c r="F63">
        <v>430</v>
      </c>
      <c r="G63">
        <v>3800</v>
      </c>
      <c r="H63">
        <v>3370</v>
      </c>
      <c r="I63">
        <v>430</v>
      </c>
      <c r="J63">
        <v>3076</v>
      </c>
      <c r="K63">
        <v>251</v>
      </c>
      <c r="L63">
        <v>44</v>
      </c>
      <c r="M63">
        <v>16</v>
      </c>
      <c r="N63">
        <v>39</v>
      </c>
      <c r="O63">
        <v>8</v>
      </c>
      <c r="P63">
        <v>10</v>
      </c>
      <c r="Q63">
        <v>0</v>
      </c>
      <c r="R63">
        <v>96</v>
      </c>
      <c r="S63">
        <v>126</v>
      </c>
      <c r="T63">
        <v>0</v>
      </c>
      <c r="U63">
        <v>0</v>
      </c>
      <c r="V63">
        <v>0</v>
      </c>
      <c r="W63">
        <v>11</v>
      </c>
      <c r="X63">
        <v>105</v>
      </c>
      <c r="Y63">
        <v>18</v>
      </c>
      <c r="Z63">
        <f t="shared" si="0"/>
        <v>2527641.2570000002</v>
      </c>
      <c r="AC63" t="s">
        <v>2830</v>
      </c>
      <c r="AD63" t="s">
        <v>2832</v>
      </c>
      <c r="AE63" t="str">
        <f t="shared" si="1"/>
        <v>Census Tract 112, King County, Washington</v>
      </c>
      <c r="AF63">
        <v>2738588.4789999998</v>
      </c>
    </row>
    <row r="64" spans="1:32" x14ac:dyDescent="0.25">
      <c r="A64" t="s">
        <v>1734</v>
      </c>
      <c r="B64">
        <v>53033006300</v>
      </c>
      <c r="C64" t="s">
        <v>1735</v>
      </c>
      <c r="D64">
        <v>5006</v>
      </c>
      <c r="E64">
        <v>4598</v>
      </c>
      <c r="F64">
        <v>408</v>
      </c>
      <c r="G64">
        <v>5006</v>
      </c>
      <c r="H64">
        <v>4598</v>
      </c>
      <c r="I64">
        <v>408</v>
      </c>
      <c r="J64">
        <v>4351</v>
      </c>
      <c r="K64">
        <v>346</v>
      </c>
      <c r="L64">
        <v>65</v>
      </c>
      <c r="M64">
        <v>14</v>
      </c>
      <c r="N64">
        <v>67</v>
      </c>
      <c r="O64">
        <v>0</v>
      </c>
      <c r="P64">
        <v>14</v>
      </c>
      <c r="Q64">
        <v>0</v>
      </c>
      <c r="R64">
        <v>22</v>
      </c>
      <c r="S64">
        <v>22</v>
      </c>
      <c r="T64">
        <v>5</v>
      </c>
      <c r="U64">
        <v>0</v>
      </c>
      <c r="V64">
        <v>9</v>
      </c>
      <c r="W64">
        <v>19</v>
      </c>
      <c r="X64">
        <v>65</v>
      </c>
      <c r="Y64">
        <v>7</v>
      </c>
      <c r="Z64">
        <f t="shared" si="0"/>
        <v>2321807.1039999998</v>
      </c>
      <c r="AC64" t="s">
        <v>2833</v>
      </c>
      <c r="AD64" t="s">
        <v>2835</v>
      </c>
      <c r="AE64" t="str">
        <f t="shared" si="1"/>
        <v>Census Tract 111.02, King County, Washington</v>
      </c>
      <c r="AF64">
        <v>1298757.5330000001</v>
      </c>
    </row>
    <row r="65" spans="1:32" x14ac:dyDescent="0.25">
      <c r="A65" t="s">
        <v>1736</v>
      </c>
      <c r="B65">
        <v>53033006400</v>
      </c>
      <c r="C65" t="s">
        <v>1737</v>
      </c>
      <c r="D65">
        <v>3201</v>
      </c>
      <c r="E65">
        <v>2880</v>
      </c>
      <c r="F65">
        <v>321</v>
      </c>
      <c r="G65">
        <v>3201</v>
      </c>
      <c r="H65">
        <v>2880</v>
      </c>
      <c r="I65">
        <v>321</v>
      </c>
      <c r="J65">
        <v>2440</v>
      </c>
      <c r="K65">
        <v>176</v>
      </c>
      <c r="L65">
        <v>50</v>
      </c>
      <c r="M65">
        <v>7</v>
      </c>
      <c r="N65">
        <v>198</v>
      </c>
      <c r="O65">
        <v>24</v>
      </c>
      <c r="P65">
        <v>18</v>
      </c>
      <c r="Q65">
        <v>0</v>
      </c>
      <c r="R65">
        <v>66</v>
      </c>
      <c r="S65">
        <v>100</v>
      </c>
      <c r="T65">
        <v>0</v>
      </c>
      <c r="U65">
        <v>0</v>
      </c>
      <c r="V65">
        <v>9</v>
      </c>
      <c r="W65">
        <v>7</v>
      </c>
      <c r="X65">
        <v>99</v>
      </c>
      <c r="Y65">
        <v>7</v>
      </c>
      <c r="Z65">
        <f t="shared" si="0"/>
        <v>903650.33100000001</v>
      </c>
      <c r="AC65" t="s">
        <v>2836</v>
      </c>
      <c r="AD65" t="s">
        <v>2838</v>
      </c>
      <c r="AE65" t="str">
        <f t="shared" si="1"/>
        <v>Census Tract 111.01, King County, Washington</v>
      </c>
      <c r="AF65">
        <v>1150364.17</v>
      </c>
    </row>
    <row r="66" spans="1:32" x14ac:dyDescent="0.25">
      <c r="A66" t="s">
        <v>1738</v>
      </c>
      <c r="B66">
        <v>53033006500</v>
      </c>
      <c r="C66" t="s">
        <v>1739</v>
      </c>
      <c r="D66">
        <v>4045</v>
      </c>
      <c r="E66">
        <v>3456</v>
      </c>
      <c r="F66">
        <v>589</v>
      </c>
      <c r="G66">
        <v>4045</v>
      </c>
      <c r="H66">
        <v>3456</v>
      </c>
      <c r="I66">
        <v>589</v>
      </c>
      <c r="J66">
        <v>3158</v>
      </c>
      <c r="K66">
        <v>341</v>
      </c>
      <c r="L66">
        <v>39</v>
      </c>
      <c r="M66">
        <v>37</v>
      </c>
      <c r="N66">
        <v>42</v>
      </c>
      <c r="O66">
        <v>14</v>
      </c>
      <c r="P66">
        <v>21</v>
      </c>
      <c r="Q66">
        <v>0</v>
      </c>
      <c r="R66">
        <v>84</v>
      </c>
      <c r="S66">
        <v>148</v>
      </c>
      <c r="T66">
        <v>5</v>
      </c>
      <c r="U66">
        <v>0</v>
      </c>
      <c r="V66">
        <v>40</v>
      </c>
      <c r="W66">
        <v>20</v>
      </c>
      <c r="X66">
        <v>67</v>
      </c>
      <c r="Y66">
        <v>29</v>
      </c>
      <c r="Z66">
        <f t="shared" si="0"/>
        <v>1133539.8970000001</v>
      </c>
      <c r="AC66" t="s">
        <v>3453</v>
      </c>
      <c r="AD66" t="s">
        <v>3455</v>
      </c>
      <c r="AE66" t="str">
        <f t="shared" si="1"/>
        <v>Census Tract 110, King County, Washington</v>
      </c>
      <c r="AF66">
        <v>2746891.3679999998</v>
      </c>
    </row>
    <row r="67" spans="1:32" x14ac:dyDescent="0.25">
      <c r="A67" t="s">
        <v>1740</v>
      </c>
      <c r="B67">
        <v>53033006600</v>
      </c>
      <c r="C67" t="s">
        <v>1741</v>
      </c>
      <c r="D67">
        <v>2849</v>
      </c>
      <c r="E67">
        <v>2448</v>
      </c>
      <c r="F67">
        <v>401</v>
      </c>
      <c r="G67">
        <v>2849</v>
      </c>
      <c r="H67">
        <v>2448</v>
      </c>
      <c r="I67">
        <v>401</v>
      </c>
      <c r="J67">
        <v>2185</v>
      </c>
      <c r="K67">
        <v>141</v>
      </c>
      <c r="L67">
        <v>25</v>
      </c>
      <c r="M67">
        <v>35</v>
      </c>
      <c r="N67">
        <v>57</v>
      </c>
      <c r="O67">
        <v>14</v>
      </c>
      <c r="P67">
        <v>12</v>
      </c>
      <c r="Q67">
        <v>0</v>
      </c>
      <c r="R67">
        <v>83</v>
      </c>
      <c r="S67">
        <v>142</v>
      </c>
      <c r="T67">
        <v>6</v>
      </c>
      <c r="U67">
        <v>17</v>
      </c>
      <c r="V67">
        <v>25</v>
      </c>
      <c r="W67">
        <v>32</v>
      </c>
      <c r="X67">
        <v>55</v>
      </c>
      <c r="Y67">
        <v>20</v>
      </c>
      <c r="Z67">
        <f t="shared" ref="Z67:Z130" si="2">VLOOKUP(C67,$AE$2:$AF$125,2,FALSE)</f>
        <v>1015324.775</v>
      </c>
      <c r="AC67" t="s">
        <v>2542</v>
      </c>
      <c r="AD67" t="s">
        <v>2544</v>
      </c>
      <c r="AE67" t="str">
        <f t="shared" ref="AE67:AE125" si="3">_xlfn.CONCAT(AD67, ", King County, Washington")</f>
        <v>Census Tract 86, King County, Washington</v>
      </c>
      <c r="AF67">
        <v>711358.777</v>
      </c>
    </row>
    <row r="68" spans="1:32" x14ac:dyDescent="0.25">
      <c r="A68" t="s">
        <v>1742</v>
      </c>
      <c r="B68">
        <v>53033006700</v>
      </c>
      <c r="C68" t="s">
        <v>1743</v>
      </c>
      <c r="D68">
        <v>5369</v>
      </c>
      <c r="E68">
        <v>4629</v>
      </c>
      <c r="F68">
        <v>740</v>
      </c>
      <c r="G68">
        <v>5369</v>
      </c>
      <c r="H68">
        <v>4629</v>
      </c>
      <c r="I68">
        <v>740</v>
      </c>
      <c r="J68">
        <v>4075</v>
      </c>
      <c r="K68">
        <v>460</v>
      </c>
      <c r="L68">
        <v>78</v>
      </c>
      <c r="M68">
        <v>34</v>
      </c>
      <c r="N68">
        <v>49</v>
      </c>
      <c r="O68">
        <v>12</v>
      </c>
      <c r="P68">
        <v>36</v>
      </c>
      <c r="Q68">
        <v>0</v>
      </c>
      <c r="R68">
        <v>147</v>
      </c>
      <c r="S68">
        <v>202</v>
      </c>
      <c r="T68">
        <v>8</v>
      </c>
      <c r="U68">
        <v>12</v>
      </c>
      <c r="V68">
        <v>29</v>
      </c>
      <c r="W68">
        <v>10</v>
      </c>
      <c r="X68">
        <v>207</v>
      </c>
      <c r="Y68">
        <v>10</v>
      </c>
      <c r="Z68">
        <f t="shared" si="2"/>
        <v>1214170.183</v>
      </c>
      <c r="AC68" t="s">
        <v>2545</v>
      </c>
      <c r="AD68" t="s">
        <v>2547</v>
      </c>
      <c r="AE68" t="str">
        <f t="shared" si="3"/>
        <v>Census Tract 85, King County, Washington</v>
      </c>
      <c r="AF68">
        <v>474214.022</v>
      </c>
    </row>
    <row r="69" spans="1:32" x14ac:dyDescent="0.25">
      <c r="A69" t="s">
        <v>1744</v>
      </c>
      <c r="B69">
        <v>53033006800</v>
      </c>
      <c r="C69" t="s">
        <v>1745</v>
      </c>
      <c r="D69">
        <v>2751</v>
      </c>
      <c r="E69">
        <v>2506</v>
      </c>
      <c r="F69">
        <v>245</v>
      </c>
      <c r="G69">
        <v>2751</v>
      </c>
      <c r="H69">
        <v>2506</v>
      </c>
      <c r="I69">
        <v>245</v>
      </c>
      <c r="J69">
        <v>2289</v>
      </c>
      <c r="K69">
        <v>169</v>
      </c>
      <c r="L69">
        <v>36</v>
      </c>
      <c r="M69">
        <v>12</v>
      </c>
      <c r="N69">
        <v>70</v>
      </c>
      <c r="O69">
        <v>28</v>
      </c>
      <c r="P69">
        <v>11</v>
      </c>
      <c r="Q69">
        <v>0</v>
      </c>
      <c r="R69">
        <v>16</v>
      </c>
      <c r="S69">
        <v>36</v>
      </c>
      <c r="T69">
        <v>0</v>
      </c>
      <c r="U69">
        <v>0</v>
      </c>
      <c r="V69">
        <v>0</v>
      </c>
      <c r="W69">
        <v>0</v>
      </c>
      <c r="X69">
        <v>84</v>
      </c>
      <c r="Y69">
        <v>0</v>
      </c>
      <c r="Z69">
        <f t="shared" si="2"/>
        <v>718104.83799999999</v>
      </c>
      <c r="AC69" t="s">
        <v>2548</v>
      </c>
      <c r="AD69" t="s">
        <v>2550</v>
      </c>
      <c r="AE69" t="str">
        <f t="shared" si="3"/>
        <v>Census Tract 84, King County, Washington</v>
      </c>
      <c r="AF69">
        <v>382616.32699999999</v>
      </c>
    </row>
    <row r="70" spans="1:32" x14ac:dyDescent="0.25">
      <c r="A70" t="s">
        <v>1746</v>
      </c>
      <c r="B70">
        <v>53033006900</v>
      </c>
      <c r="C70" t="s">
        <v>1747</v>
      </c>
      <c r="D70">
        <v>3845</v>
      </c>
      <c r="E70">
        <v>3579</v>
      </c>
      <c r="F70">
        <v>266</v>
      </c>
      <c r="G70">
        <v>3845</v>
      </c>
      <c r="H70">
        <v>3579</v>
      </c>
      <c r="I70">
        <v>266</v>
      </c>
      <c r="J70">
        <v>3232</v>
      </c>
      <c r="K70">
        <v>141</v>
      </c>
      <c r="L70">
        <v>48</v>
      </c>
      <c r="M70">
        <v>0</v>
      </c>
      <c r="N70">
        <v>38</v>
      </c>
      <c r="O70">
        <v>7</v>
      </c>
      <c r="P70">
        <v>23</v>
      </c>
      <c r="Q70">
        <v>0</v>
      </c>
      <c r="R70">
        <v>64</v>
      </c>
      <c r="S70">
        <v>86</v>
      </c>
      <c r="T70">
        <v>0</v>
      </c>
      <c r="U70">
        <v>0</v>
      </c>
      <c r="V70">
        <v>22</v>
      </c>
      <c r="W70">
        <v>14</v>
      </c>
      <c r="X70">
        <v>152</v>
      </c>
      <c r="Y70">
        <v>18</v>
      </c>
      <c r="Z70">
        <f t="shared" si="2"/>
        <v>902888.83</v>
      </c>
      <c r="AC70" t="s">
        <v>2551</v>
      </c>
      <c r="AD70" t="s">
        <v>2553</v>
      </c>
      <c r="AE70" t="str">
        <f t="shared" si="3"/>
        <v>Census Tract 83, King County, Washington</v>
      </c>
      <c r="AF70">
        <v>237450.166</v>
      </c>
    </row>
    <row r="71" spans="1:32" x14ac:dyDescent="0.25">
      <c r="A71" t="s">
        <v>1748</v>
      </c>
      <c r="B71">
        <v>53033007000</v>
      </c>
      <c r="C71" t="s">
        <v>1749</v>
      </c>
      <c r="D71">
        <v>6855</v>
      </c>
      <c r="E71">
        <v>5789</v>
      </c>
      <c r="F71">
        <v>1066</v>
      </c>
      <c r="G71">
        <v>6855</v>
      </c>
      <c r="H71">
        <v>5789</v>
      </c>
      <c r="I71">
        <v>1066</v>
      </c>
      <c r="J71">
        <v>5224</v>
      </c>
      <c r="K71">
        <v>655</v>
      </c>
      <c r="L71">
        <v>108</v>
      </c>
      <c r="M71">
        <v>50</v>
      </c>
      <c r="N71">
        <v>143</v>
      </c>
      <c r="O71">
        <v>0</v>
      </c>
      <c r="P71">
        <v>10</v>
      </c>
      <c r="Q71">
        <v>0</v>
      </c>
      <c r="R71">
        <v>102</v>
      </c>
      <c r="S71">
        <v>271</v>
      </c>
      <c r="T71">
        <v>9</v>
      </c>
      <c r="U71">
        <v>0</v>
      </c>
      <c r="V71">
        <v>25</v>
      </c>
      <c r="W71">
        <v>37</v>
      </c>
      <c r="X71">
        <v>168</v>
      </c>
      <c r="Y71">
        <v>53</v>
      </c>
      <c r="Z71">
        <f t="shared" si="2"/>
        <v>805957.96200000006</v>
      </c>
      <c r="AC71" t="s">
        <v>2554</v>
      </c>
      <c r="AD71" t="s">
        <v>2556</v>
      </c>
      <c r="AE71" t="str">
        <f t="shared" si="3"/>
        <v>Census Tract 82, King County, Washington</v>
      </c>
      <c r="AF71">
        <v>366707.82500000001</v>
      </c>
    </row>
    <row r="72" spans="1:32" x14ac:dyDescent="0.25">
      <c r="A72" t="s">
        <v>1750</v>
      </c>
      <c r="B72">
        <v>53033007100</v>
      </c>
      <c r="C72" t="s">
        <v>1751</v>
      </c>
      <c r="D72">
        <v>1796</v>
      </c>
      <c r="E72">
        <v>1575</v>
      </c>
      <c r="F72">
        <v>221</v>
      </c>
      <c r="G72">
        <v>1796</v>
      </c>
      <c r="H72">
        <v>1575</v>
      </c>
      <c r="I72">
        <v>221</v>
      </c>
      <c r="J72">
        <v>1343</v>
      </c>
      <c r="K72">
        <v>142</v>
      </c>
      <c r="L72">
        <v>14</v>
      </c>
      <c r="M72">
        <v>0</v>
      </c>
      <c r="N72">
        <v>72</v>
      </c>
      <c r="O72">
        <v>13</v>
      </c>
      <c r="P72">
        <v>28</v>
      </c>
      <c r="Q72">
        <v>0</v>
      </c>
      <c r="R72">
        <v>17</v>
      </c>
      <c r="S72">
        <v>48</v>
      </c>
      <c r="T72">
        <v>0</v>
      </c>
      <c r="U72">
        <v>0</v>
      </c>
      <c r="V72">
        <v>42</v>
      </c>
      <c r="W72">
        <v>18</v>
      </c>
      <c r="X72">
        <v>59</v>
      </c>
      <c r="Y72">
        <v>0</v>
      </c>
      <c r="Z72">
        <f t="shared" si="2"/>
        <v>862093.34100000001</v>
      </c>
      <c r="AC72" t="s">
        <v>2557</v>
      </c>
      <c r="AD72" t="s">
        <v>2559</v>
      </c>
      <c r="AE72" t="str">
        <f t="shared" si="3"/>
        <v>Census Tract 81, King County, Washington</v>
      </c>
      <c r="AF72">
        <v>795075.62</v>
      </c>
    </row>
    <row r="73" spans="1:32" x14ac:dyDescent="0.25">
      <c r="A73" t="s">
        <v>1752</v>
      </c>
      <c r="B73">
        <v>53033007200</v>
      </c>
      <c r="C73" t="s">
        <v>1753</v>
      </c>
      <c r="D73">
        <v>2969</v>
      </c>
      <c r="E73">
        <v>2520</v>
      </c>
      <c r="F73">
        <v>449</v>
      </c>
      <c r="G73">
        <v>2969</v>
      </c>
      <c r="H73">
        <v>2520</v>
      </c>
      <c r="I73">
        <v>449</v>
      </c>
      <c r="J73">
        <v>2133</v>
      </c>
      <c r="K73">
        <v>171</v>
      </c>
      <c r="L73">
        <v>13</v>
      </c>
      <c r="M73">
        <v>23</v>
      </c>
      <c r="N73">
        <v>82</v>
      </c>
      <c r="O73">
        <v>0</v>
      </c>
      <c r="P73">
        <v>49</v>
      </c>
      <c r="Q73">
        <v>17</v>
      </c>
      <c r="R73">
        <v>91</v>
      </c>
      <c r="S73">
        <v>203</v>
      </c>
      <c r="T73">
        <v>6</v>
      </c>
      <c r="U73">
        <v>0</v>
      </c>
      <c r="V73">
        <v>46</v>
      </c>
      <c r="W73">
        <v>13</v>
      </c>
      <c r="X73">
        <v>100</v>
      </c>
      <c r="Y73">
        <v>22</v>
      </c>
      <c r="Z73">
        <f t="shared" si="2"/>
        <v>1010272.098</v>
      </c>
      <c r="AC73" t="s">
        <v>2560</v>
      </c>
      <c r="AD73" t="s">
        <v>2562</v>
      </c>
      <c r="AE73" t="str">
        <f t="shared" si="3"/>
        <v>Census Tract 80.02, King County, Washington</v>
      </c>
      <c r="AF73">
        <v>229060.647</v>
      </c>
    </row>
    <row r="74" spans="1:32" x14ac:dyDescent="0.25">
      <c r="A74" t="s">
        <v>1754</v>
      </c>
      <c r="B74">
        <v>53033007300</v>
      </c>
      <c r="C74" t="s">
        <v>1755</v>
      </c>
      <c r="D74">
        <v>2231</v>
      </c>
      <c r="E74">
        <v>1910</v>
      </c>
      <c r="F74">
        <v>321</v>
      </c>
      <c r="G74">
        <v>2231</v>
      </c>
      <c r="H74">
        <v>1910</v>
      </c>
      <c r="I74">
        <v>321</v>
      </c>
      <c r="J74">
        <v>1211</v>
      </c>
      <c r="K74">
        <v>61</v>
      </c>
      <c r="L74">
        <v>13</v>
      </c>
      <c r="M74">
        <v>14</v>
      </c>
      <c r="N74">
        <v>347</v>
      </c>
      <c r="O74">
        <v>75</v>
      </c>
      <c r="P74">
        <v>72</v>
      </c>
      <c r="Q74">
        <v>11</v>
      </c>
      <c r="R74">
        <v>53</v>
      </c>
      <c r="S74">
        <v>103</v>
      </c>
      <c r="T74">
        <v>5</v>
      </c>
      <c r="U74">
        <v>0</v>
      </c>
      <c r="V74">
        <v>85</v>
      </c>
      <c r="W74">
        <v>27</v>
      </c>
      <c r="X74">
        <v>124</v>
      </c>
      <c r="Y74">
        <v>30</v>
      </c>
      <c r="Z74">
        <f t="shared" si="2"/>
        <v>926044.67599999998</v>
      </c>
      <c r="AC74" t="s">
        <v>2563</v>
      </c>
      <c r="AD74" t="s">
        <v>2565</v>
      </c>
      <c r="AE74" t="str">
        <f t="shared" si="3"/>
        <v>Census Tract 80.01, King County, Washington</v>
      </c>
      <c r="AF74">
        <v>448898.12199999997</v>
      </c>
    </row>
    <row r="75" spans="1:32" x14ac:dyDescent="0.25">
      <c r="A75" t="s">
        <v>1756</v>
      </c>
      <c r="B75">
        <v>53033007400</v>
      </c>
      <c r="C75" t="s">
        <v>1757</v>
      </c>
      <c r="D75">
        <v>9047</v>
      </c>
      <c r="E75">
        <v>7755</v>
      </c>
      <c r="F75">
        <v>1292</v>
      </c>
      <c r="G75">
        <v>9047</v>
      </c>
      <c r="H75">
        <v>7755</v>
      </c>
      <c r="I75">
        <v>1292</v>
      </c>
      <c r="J75">
        <v>6337</v>
      </c>
      <c r="K75">
        <v>505</v>
      </c>
      <c r="L75">
        <v>175</v>
      </c>
      <c r="M75">
        <v>47</v>
      </c>
      <c r="N75">
        <v>458</v>
      </c>
      <c r="O75">
        <v>115</v>
      </c>
      <c r="P75">
        <v>60</v>
      </c>
      <c r="Q75">
        <v>14</v>
      </c>
      <c r="R75">
        <v>210</v>
      </c>
      <c r="S75">
        <v>355</v>
      </c>
      <c r="T75">
        <v>21</v>
      </c>
      <c r="U75">
        <v>7</v>
      </c>
      <c r="V75">
        <v>117</v>
      </c>
      <c r="W75">
        <v>113</v>
      </c>
      <c r="X75">
        <v>377</v>
      </c>
      <c r="Y75">
        <v>136</v>
      </c>
      <c r="Z75">
        <f t="shared" si="2"/>
        <v>508669.71600000001</v>
      </c>
      <c r="AC75" t="s">
        <v>2569</v>
      </c>
      <c r="AD75" t="s">
        <v>2571</v>
      </c>
      <c r="AE75" t="str">
        <f t="shared" si="3"/>
        <v>Census Tract 79, King County, Washington</v>
      </c>
      <c r="AF75">
        <v>698472.90300000005</v>
      </c>
    </row>
    <row r="76" spans="1:32" x14ac:dyDescent="0.25">
      <c r="A76" t="s">
        <v>1758</v>
      </c>
      <c r="B76">
        <v>53033007500</v>
      </c>
      <c r="C76" t="s">
        <v>1759</v>
      </c>
      <c r="D76">
        <v>5554</v>
      </c>
      <c r="E76">
        <v>4672</v>
      </c>
      <c r="F76">
        <v>882</v>
      </c>
      <c r="G76">
        <v>5554</v>
      </c>
      <c r="H76">
        <v>4672</v>
      </c>
      <c r="I76">
        <v>882</v>
      </c>
      <c r="J76">
        <v>3900</v>
      </c>
      <c r="K76">
        <v>403</v>
      </c>
      <c r="L76">
        <v>85</v>
      </c>
      <c r="M76">
        <v>29</v>
      </c>
      <c r="N76">
        <v>318</v>
      </c>
      <c r="O76">
        <v>112</v>
      </c>
      <c r="P76">
        <v>54</v>
      </c>
      <c r="Q76">
        <v>7</v>
      </c>
      <c r="R76">
        <v>66</v>
      </c>
      <c r="S76">
        <v>214</v>
      </c>
      <c r="T76">
        <v>8</v>
      </c>
      <c r="U76">
        <v>0</v>
      </c>
      <c r="V76">
        <v>35</v>
      </c>
      <c r="W76">
        <v>68</v>
      </c>
      <c r="X76">
        <v>206</v>
      </c>
      <c r="Y76">
        <v>49</v>
      </c>
      <c r="Z76">
        <f t="shared" si="2"/>
        <v>787749.39399999997</v>
      </c>
      <c r="AC76" t="s">
        <v>2572</v>
      </c>
      <c r="AD76" t="s">
        <v>2574</v>
      </c>
      <c r="AE76" t="str">
        <f t="shared" si="3"/>
        <v>Census Tract 78, King County, Washington</v>
      </c>
      <c r="AF76">
        <v>2085784.0730000001</v>
      </c>
    </row>
    <row r="77" spans="1:32" x14ac:dyDescent="0.25">
      <c r="A77" t="s">
        <v>1760</v>
      </c>
      <c r="B77">
        <v>53033007600</v>
      </c>
      <c r="C77" t="s">
        <v>1761</v>
      </c>
      <c r="D77">
        <v>3261</v>
      </c>
      <c r="E77">
        <v>3026</v>
      </c>
      <c r="F77">
        <v>235</v>
      </c>
      <c r="G77">
        <v>3261</v>
      </c>
      <c r="H77">
        <v>3026</v>
      </c>
      <c r="I77">
        <v>235</v>
      </c>
      <c r="J77">
        <v>2190</v>
      </c>
      <c r="K77">
        <v>141</v>
      </c>
      <c r="L77">
        <v>68</v>
      </c>
      <c r="M77">
        <v>8</v>
      </c>
      <c r="N77">
        <v>475</v>
      </c>
      <c r="O77">
        <v>15</v>
      </c>
      <c r="P77">
        <v>25</v>
      </c>
      <c r="Q77">
        <v>0</v>
      </c>
      <c r="R77">
        <v>90</v>
      </c>
      <c r="S77">
        <v>39</v>
      </c>
      <c r="T77">
        <v>8</v>
      </c>
      <c r="U77">
        <v>5</v>
      </c>
      <c r="V77">
        <v>19</v>
      </c>
      <c r="W77">
        <v>6</v>
      </c>
      <c r="X77">
        <v>151</v>
      </c>
      <c r="Y77">
        <v>21</v>
      </c>
      <c r="Z77">
        <f t="shared" si="2"/>
        <v>571878.897</v>
      </c>
      <c r="AC77" t="s">
        <v>2575</v>
      </c>
      <c r="AD77" t="s">
        <v>2577</v>
      </c>
      <c r="AE77" t="str">
        <f t="shared" si="3"/>
        <v>Census Tract 77, King County, Washington</v>
      </c>
      <c r="AF77">
        <v>1058324.871</v>
      </c>
    </row>
    <row r="78" spans="1:32" x14ac:dyDescent="0.25">
      <c r="A78" t="s">
        <v>1762</v>
      </c>
      <c r="B78">
        <v>53033007700</v>
      </c>
      <c r="C78" t="s">
        <v>1763</v>
      </c>
      <c r="D78">
        <v>3990</v>
      </c>
      <c r="E78">
        <v>3652</v>
      </c>
      <c r="F78">
        <v>338</v>
      </c>
      <c r="G78">
        <v>3990</v>
      </c>
      <c r="H78">
        <v>3652</v>
      </c>
      <c r="I78">
        <v>338</v>
      </c>
      <c r="J78">
        <v>1790</v>
      </c>
      <c r="K78">
        <v>187</v>
      </c>
      <c r="L78">
        <v>18</v>
      </c>
      <c r="M78">
        <v>68</v>
      </c>
      <c r="N78">
        <v>1537</v>
      </c>
      <c r="O78">
        <v>30</v>
      </c>
      <c r="P78">
        <v>31</v>
      </c>
      <c r="Q78">
        <v>0</v>
      </c>
      <c r="R78">
        <v>84</v>
      </c>
      <c r="S78">
        <v>37</v>
      </c>
      <c r="T78">
        <v>6</v>
      </c>
      <c r="U78">
        <v>0</v>
      </c>
      <c r="V78">
        <v>40</v>
      </c>
      <c r="W78">
        <v>16</v>
      </c>
      <c r="X78">
        <v>146</v>
      </c>
      <c r="Y78">
        <v>0</v>
      </c>
      <c r="Z78">
        <f t="shared" si="2"/>
        <v>1058324.871</v>
      </c>
      <c r="AC78" t="s">
        <v>2578</v>
      </c>
      <c r="AD78" t="s">
        <v>2580</v>
      </c>
      <c r="AE78" t="str">
        <f t="shared" si="3"/>
        <v>Census Tract 76, King County, Washington</v>
      </c>
      <c r="AF78">
        <v>571878.897</v>
      </c>
    </row>
    <row r="79" spans="1:32" x14ac:dyDescent="0.25">
      <c r="A79" t="s">
        <v>1764</v>
      </c>
      <c r="B79">
        <v>53033007800</v>
      </c>
      <c r="C79" t="s">
        <v>1765</v>
      </c>
      <c r="D79">
        <v>5097</v>
      </c>
      <c r="E79">
        <v>4688</v>
      </c>
      <c r="F79">
        <v>409</v>
      </c>
      <c r="G79">
        <v>5097</v>
      </c>
      <c r="H79">
        <v>4688</v>
      </c>
      <c r="I79">
        <v>409</v>
      </c>
      <c r="J79">
        <v>3329</v>
      </c>
      <c r="K79">
        <v>291</v>
      </c>
      <c r="L79">
        <v>54</v>
      </c>
      <c r="M79">
        <v>0</v>
      </c>
      <c r="N79">
        <v>971</v>
      </c>
      <c r="O79">
        <v>37</v>
      </c>
      <c r="P79">
        <v>97</v>
      </c>
      <c r="Q79">
        <v>8</v>
      </c>
      <c r="R79">
        <v>77</v>
      </c>
      <c r="S79">
        <v>49</v>
      </c>
      <c r="T79">
        <v>0</v>
      </c>
      <c r="U79">
        <v>0</v>
      </c>
      <c r="V79">
        <v>11</v>
      </c>
      <c r="W79">
        <v>0</v>
      </c>
      <c r="X79">
        <v>149</v>
      </c>
      <c r="Y79">
        <v>24</v>
      </c>
      <c r="Z79">
        <f t="shared" si="2"/>
        <v>2085784.0730000001</v>
      </c>
      <c r="AC79" t="s">
        <v>2581</v>
      </c>
      <c r="AD79" t="s">
        <v>2583</v>
      </c>
      <c r="AE79" t="str">
        <f t="shared" si="3"/>
        <v>Census Tract 75, King County, Washington</v>
      </c>
      <c r="AF79">
        <v>787749.39399999997</v>
      </c>
    </row>
    <row r="80" spans="1:32" x14ac:dyDescent="0.25">
      <c r="A80" t="s">
        <v>1766</v>
      </c>
      <c r="B80">
        <v>53033007900</v>
      </c>
      <c r="C80" t="s">
        <v>1767</v>
      </c>
      <c r="D80">
        <v>4232</v>
      </c>
      <c r="E80">
        <v>3419</v>
      </c>
      <c r="F80">
        <v>813</v>
      </c>
      <c r="G80">
        <v>4232</v>
      </c>
      <c r="H80">
        <v>3419</v>
      </c>
      <c r="I80">
        <v>813</v>
      </c>
      <c r="J80">
        <v>2217</v>
      </c>
      <c r="K80">
        <v>226</v>
      </c>
      <c r="L80">
        <v>74</v>
      </c>
      <c r="M80">
        <v>226</v>
      </c>
      <c r="N80">
        <v>926</v>
      </c>
      <c r="O80">
        <v>157</v>
      </c>
      <c r="P80">
        <v>31</v>
      </c>
      <c r="Q80">
        <v>6</v>
      </c>
      <c r="R80">
        <v>66</v>
      </c>
      <c r="S80">
        <v>162</v>
      </c>
      <c r="T80">
        <v>9</v>
      </c>
      <c r="U80">
        <v>10</v>
      </c>
      <c r="V80">
        <v>13</v>
      </c>
      <c r="W80">
        <v>22</v>
      </c>
      <c r="X80">
        <v>83</v>
      </c>
      <c r="Y80">
        <v>4</v>
      </c>
      <c r="Z80">
        <f t="shared" si="2"/>
        <v>698472.90300000005</v>
      </c>
      <c r="AC80" t="s">
        <v>3469</v>
      </c>
      <c r="AD80" t="s">
        <v>3471</v>
      </c>
      <c r="AE80" t="str">
        <f t="shared" si="3"/>
        <v>Census Tract 74, King County, Washington</v>
      </c>
      <c r="AF80">
        <v>508669.71600000001</v>
      </c>
    </row>
    <row r="81" spans="1:32" x14ac:dyDescent="0.25">
      <c r="A81" t="s">
        <v>1768</v>
      </c>
      <c r="B81">
        <v>53033008001</v>
      </c>
      <c r="C81" t="s">
        <v>1769</v>
      </c>
      <c r="D81">
        <v>3477</v>
      </c>
      <c r="E81">
        <v>2857</v>
      </c>
      <c r="F81">
        <v>620</v>
      </c>
      <c r="G81">
        <v>3477</v>
      </c>
      <c r="H81">
        <v>2857</v>
      </c>
      <c r="I81">
        <v>620</v>
      </c>
      <c r="J81">
        <v>2219</v>
      </c>
      <c r="K81">
        <v>245</v>
      </c>
      <c r="L81">
        <v>36</v>
      </c>
      <c r="M81">
        <v>74</v>
      </c>
      <c r="N81">
        <v>283</v>
      </c>
      <c r="O81">
        <v>22</v>
      </c>
      <c r="P81">
        <v>73</v>
      </c>
      <c r="Q81">
        <v>13</v>
      </c>
      <c r="R81">
        <v>77</v>
      </c>
      <c r="S81">
        <v>209</v>
      </c>
      <c r="T81">
        <v>0</v>
      </c>
      <c r="U81">
        <v>0</v>
      </c>
      <c r="V81">
        <v>33</v>
      </c>
      <c r="W81">
        <v>25</v>
      </c>
      <c r="X81">
        <v>136</v>
      </c>
      <c r="Y81">
        <v>32</v>
      </c>
      <c r="Z81">
        <f t="shared" si="2"/>
        <v>448898.12199999997</v>
      </c>
      <c r="AC81" t="s">
        <v>2590</v>
      </c>
      <c r="AD81" t="s">
        <v>2592</v>
      </c>
      <c r="AE81" t="str">
        <f t="shared" si="3"/>
        <v>Census Tract 73, King County, Washington</v>
      </c>
      <c r="AF81">
        <v>926044.67599999998</v>
      </c>
    </row>
    <row r="82" spans="1:32" x14ac:dyDescent="0.25">
      <c r="A82" t="s">
        <v>1770</v>
      </c>
      <c r="B82">
        <v>53033008002</v>
      </c>
      <c r="C82" t="s">
        <v>1771</v>
      </c>
      <c r="D82">
        <v>2711</v>
      </c>
      <c r="E82">
        <v>2322</v>
      </c>
      <c r="F82">
        <v>389</v>
      </c>
      <c r="G82">
        <v>2711</v>
      </c>
      <c r="H82">
        <v>2322</v>
      </c>
      <c r="I82">
        <v>389</v>
      </c>
      <c r="J82">
        <v>1753</v>
      </c>
      <c r="K82">
        <v>147</v>
      </c>
      <c r="L82">
        <v>10</v>
      </c>
      <c r="M82">
        <v>0</v>
      </c>
      <c r="N82">
        <v>307</v>
      </c>
      <c r="O82">
        <v>23</v>
      </c>
      <c r="P82">
        <v>61</v>
      </c>
      <c r="Q82">
        <v>0</v>
      </c>
      <c r="R82">
        <v>74</v>
      </c>
      <c r="S82">
        <v>162</v>
      </c>
      <c r="T82">
        <v>0</v>
      </c>
      <c r="U82">
        <v>0</v>
      </c>
      <c r="V82">
        <v>12</v>
      </c>
      <c r="W82">
        <v>35</v>
      </c>
      <c r="X82">
        <v>105</v>
      </c>
      <c r="Y82">
        <v>22</v>
      </c>
      <c r="Z82">
        <f t="shared" si="2"/>
        <v>229060.647</v>
      </c>
      <c r="AC82" t="s">
        <v>2593</v>
      </c>
      <c r="AD82" t="s">
        <v>2595</v>
      </c>
      <c r="AE82" t="str">
        <f t="shared" si="3"/>
        <v>Census Tract 72, King County, Washington</v>
      </c>
      <c r="AF82">
        <v>1010272.098</v>
      </c>
    </row>
    <row r="83" spans="1:32" x14ac:dyDescent="0.25">
      <c r="A83" t="s">
        <v>1772</v>
      </c>
      <c r="B83">
        <v>53033008100</v>
      </c>
      <c r="C83" t="s">
        <v>1773</v>
      </c>
      <c r="D83">
        <v>3461</v>
      </c>
      <c r="E83">
        <v>2921</v>
      </c>
      <c r="F83">
        <v>540</v>
      </c>
      <c r="G83">
        <v>3461</v>
      </c>
      <c r="H83">
        <v>2921</v>
      </c>
      <c r="I83">
        <v>540</v>
      </c>
      <c r="J83">
        <v>2199</v>
      </c>
      <c r="K83">
        <v>200</v>
      </c>
      <c r="L83">
        <v>99</v>
      </c>
      <c r="M83">
        <v>9</v>
      </c>
      <c r="N83">
        <v>375</v>
      </c>
      <c r="O83">
        <v>37</v>
      </c>
      <c r="P83">
        <v>53</v>
      </c>
      <c r="Q83">
        <v>18</v>
      </c>
      <c r="R83">
        <v>40</v>
      </c>
      <c r="S83">
        <v>198</v>
      </c>
      <c r="T83">
        <v>0</v>
      </c>
      <c r="U83">
        <v>0</v>
      </c>
      <c r="V83">
        <v>31</v>
      </c>
      <c r="W83">
        <v>57</v>
      </c>
      <c r="X83">
        <v>124</v>
      </c>
      <c r="Y83">
        <v>21</v>
      </c>
      <c r="Z83">
        <f t="shared" si="2"/>
        <v>795075.62</v>
      </c>
      <c r="AC83" t="s">
        <v>2596</v>
      </c>
      <c r="AD83" t="s">
        <v>2598</v>
      </c>
      <c r="AE83" t="str">
        <f t="shared" si="3"/>
        <v>Census Tract 71, King County, Washington</v>
      </c>
      <c r="AF83">
        <v>862093.34100000001</v>
      </c>
    </row>
    <row r="84" spans="1:32" x14ac:dyDescent="0.25">
      <c r="A84" t="s">
        <v>1774</v>
      </c>
      <c r="B84">
        <v>53033008200</v>
      </c>
      <c r="C84" t="s">
        <v>1775</v>
      </c>
      <c r="D84">
        <v>2954</v>
      </c>
      <c r="E84">
        <v>2458</v>
      </c>
      <c r="F84">
        <v>496</v>
      </c>
      <c r="G84">
        <v>2954</v>
      </c>
      <c r="H84">
        <v>2458</v>
      </c>
      <c r="I84">
        <v>496</v>
      </c>
      <c r="J84">
        <v>2028</v>
      </c>
      <c r="K84">
        <v>158</v>
      </c>
      <c r="L84">
        <v>49</v>
      </c>
      <c r="M84">
        <v>56</v>
      </c>
      <c r="N84">
        <v>140</v>
      </c>
      <c r="O84">
        <v>29</v>
      </c>
      <c r="P84">
        <v>34</v>
      </c>
      <c r="Q84">
        <v>0</v>
      </c>
      <c r="R84">
        <v>82</v>
      </c>
      <c r="S84">
        <v>168</v>
      </c>
      <c r="T84">
        <v>9</v>
      </c>
      <c r="U84">
        <v>7</v>
      </c>
      <c r="V84">
        <v>21</v>
      </c>
      <c r="W84">
        <v>49</v>
      </c>
      <c r="X84">
        <v>95</v>
      </c>
      <c r="Y84">
        <v>29</v>
      </c>
      <c r="Z84">
        <f t="shared" si="2"/>
        <v>366707.82500000001</v>
      </c>
      <c r="AC84" t="s">
        <v>2599</v>
      </c>
      <c r="AD84" t="s">
        <v>2601</v>
      </c>
      <c r="AE84" t="str">
        <f t="shared" si="3"/>
        <v>Census Tract 70, King County, Washington</v>
      </c>
      <c r="AF84">
        <v>805957.96200000006</v>
      </c>
    </row>
    <row r="85" spans="1:32" x14ac:dyDescent="0.25">
      <c r="A85" t="s">
        <v>1776</v>
      </c>
      <c r="B85">
        <v>53033008300</v>
      </c>
      <c r="C85" t="s">
        <v>1777</v>
      </c>
      <c r="D85">
        <v>2429</v>
      </c>
      <c r="E85">
        <v>1860</v>
      </c>
      <c r="F85">
        <v>569</v>
      </c>
      <c r="G85">
        <v>2429</v>
      </c>
      <c r="H85">
        <v>1860</v>
      </c>
      <c r="I85">
        <v>569</v>
      </c>
      <c r="J85">
        <v>1549</v>
      </c>
      <c r="K85">
        <v>217</v>
      </c>
      <c r="L85">
        <v>25</v>
      </c>
      <c r="M85">
        <v>14</v>
      </c>
      <c r="N85">
        <v>131</v>
      </c>
      <c r="O85">
        <v>34</v>
      </c>
      <c r="P85">
        <v>7</v>
      </c>
      <c r="Q85">
        <v>0</v>
      </c>
      <c r="R85">
        <v>66</v>
      </c>
      <c r="S85">
        <v>233</v>
      </c>
      <c r="T85">
        <v>0</v>
      </c>
      <c r="U85">
        <v>0</v>
      </c>
      <c r="V85">
        <v>54</v>
      </c>
      <c r="W85">
        <v>25</v>
      </c>
      <c r="X85">
        <v>28</v>
      </c>
      <c r="Y85">
        <v>46</v>
      </c>
      <c r="Z85">
        <f t="shared" si="2"/>
        <v>237450.166</v>
      </c>
      <c r="AC85" t="s">
        <v>2605</v>
      </c>
      <c r="AD85" t="s">
        <v>2607</v>
      </c>
      <c r="AE85" t="str">
        <f t="shared" si="3"/>
        <v>Census Tract 69, King County, Washington</v>
      </c>
      <c r="AF85">
        <v>902888.83</v>
      </c>
    </row>
    <row r="86" spans="1:32" x14ac:dyDescent="0.25">
      <c r="A86" t="s">
        <v>1778</v>
      </c>
      <c r="B86">
        <v>53033008400</v>
      </c>
      <c r="C86" t="s">
        <v>1779</v>
      </c>
      <c r="D86">
        <v>3838</v>
      </c>
      <c r="E86">
        <v>3082</v>
      </c>
      <c r="F86">
        <v>756</v>
      </c>
      <c r="G86">
        <v>3838</v>
      </c>
      <c r="H86">
        <v>3082</v>
      </c>
      <c r="I86">
        <v>756</v>
      </c>
      <c r="J86">
        <v>2305</v>
      </c>
      <c r="K86">
        <v>242</v>
      </c>
      <c r="L86">
        <v>49</v>
      </c>
      <c r="M86">
        <v>48</v>
      </c>
      <c r="N86">
        <v>410</v>
      </c>
      <c r="O86">
        <v>29</v>
      </c>
      <c r="P86">
        <v>85</v>
      </c>
      <c r="Q86">
        <v>0</v>
      </c>
      <c r="R86">
        <v>67</v>
      </c>
      <c r="S86">
        <v>399</v>
      </c>
      <c r="T86">
        <v>0</v>
      </c>
      <c r="U86">
        <v>0</v>
      </c>
      <c r="V86">
        <v>54</v>
      </c>
      <c r="W86">
        <v>11</v>
      </c>
      <c r="X86">
        <v>112</v>
      </c>
      <c r="Y86">
        <v>27</v>
      </c>
      <c r="Z86">
        <f t="shared" si="2"/>
        <v>382616.32699999999</v>
      </c>
      <c r="AC86" t="s">
        <v>2608</v>
      </c>
      <c r="AD86" t="s">
        <v>2610</v>
      </c>
      <c r="AE86" t="str">
        <f t="shared" si="3"/>
        <v>Census Tract 68, King County, Washington</v>
      </c>
      <c r="AF86">
        <v>718104.83799999999</v>
      </c>
    </row>
    <row r="87" spans="1:32" x14ac:dyDescent="0.25">
      <c r="A87" t="s">
        <v>1780</v>
      </c>
      <c r="B87">
        <v>53033008500</v>
      </c>
      <c r="C87" t="s">
        <v>1781</v>
      </c>
      <c r="D87">
        <v>6025</v>
      </c>
      <c r="E87">
        <v>4981</v>
      </c>
      <c r="F87">
        <v>1044</v>
      </c>
      <c r="G87">
        <v>6025</v>
      </c>
      <c r="H87">
        <v>4981</v>
      </c>
      <c r="I87">
        <v>1044</v>
      </c>
      <c r="J87">
        <v>2912</v>
      </c>
      <c r="K87">
        <v>68</v>
      </c>
      <c r="L87">
        <v>69</v>
      </c>
      <c r="M87">
        <v>112</v>
      </c>
      <c r="N87">
        <v>1429</v>
      </c>
      <c r="O87">
        <v>326</v>
      </c>
      <c r="P87">
        <v>156</v>
      </c>
      <c r="Q87">
        <v>0</v>
      </c>
      <c r="R87">
        <v>225</v>
      </c>
      <c r="S87">
        <v>368</v>
      </c>
      <c r="T87">
        <v>0</v>
      </c>
      <c r="U87">
        <v>15</v>
      </c>
      <c r="V87">
        <v>89</v>
      </c>
      <c r="W87">
        <v>124</v>
      </c>
      <c r="X87">
        <v>101</v>
      </c>
      <c r="Y87">
        <v>31</v>
      </c>
      <c r="Z87">
        <f t="shared" si="2"/>
        <v>474214.022</v>
      </c>
      <c r="AC87" t="s">
        <v>2611</v>
      </c>
      <c r="AD87" t="s">
        <v>2613</v>
      </c>
      <c r="AE87" t="str">
        <f t="shared" si="3"/>
        <v>Census Tract 67, King County, Washington</v>
      </c>
      <c r="AF87">
        <v>1214170.183</v>
      </c>
    </row>
    <row r="88" spans="1:32" x14ac:dyDescent="0.25">
      <c r="A88" t="s">
        <v>1782</v>
      </c>
      <c r="B88">
        <v>53033008600</v>
      </c>
      <c r="C88" t="s">
        <v>1783</v>
      </c>
      <c r="D88">
        <v>4098</v>
      </c>
      <c r="E88">
        <v>3184</v>
      </c>
      <c r="F88">
        <v>914</v>
      </c>
      <c r="G88">
        <v>4098</v>
      </c>
      <c r="H88">
        <v>3184</v>
      </c>
      <c r="I88">
        <v>914</v>
      </c>
      <c r="J88">
        <v>2084</v>
      </c>
      <c r="K88">
        <v>161</v>
      </c>
      <c r="L88">
        <v>54</v>
      </c>
      <c r="M88">
        <v>92</v>
      </c>
      <c r="N88">
        <v>386</v>
      </c>
      <c r="O88">
        <v>95</v>
      </c>
      <c r="P88">
        <v>117</v>
      </c>
      <c r="Q88">
        <v>0</v>
      </c>
      <c r="R88">
        <v>228</v>
      </c>
      <c r="S88">
        <v>403</v>
      </c>
      <c r="T88">
        <v>0</v>
      </c>
      <c r="U88">
        <v>14</v>
      </c>
      <c r="V88">
        <v>101</v>
      </c>
      <c r="W88">
        <v>97</v>
      </c>
      <c r="X88">
        <v>214</v>
      </c>
      <c r="Y88">
        <v>52</v>
      </c>
      <c r="Z88">
        <f t="shared" si="2"/>
        <v>711358.777</v>
      </c>
      <c r="AC88" t="s">
        <v>2614</v>
      </c>
      <c r="AD88" t="s">
        <v>2616</v>
      </c>
      <c r="AE88" t="str">
        <f t="shared" si="3"/>
        <v>Census Tract 66, King County, Washington</v>
      </c>
      <c r="AF88">
        <v>1015324.775</v>
      </c>
    </row>
    <row r="89" spans="1:32" x14ac:dyDescent="0.25">
      <c r="A89" t="s">
        <v>1784</v>
      </c>
      <c r="B89">
        <v>53033008700</v>
      </c>
      <c r="C89" t="s">
        <v>1785</v>
      </c>
      <c r="D89">
        <v>3790</v>
      </c>
      <c r="E89">
        <v>3170</v>
      </c>
      <c r="F89">
        <v>620</v>
      </c>
      <c r="G89">
        <v>3790</v>
      </c>
      <c r="H89">
        <v>3170</v>
      </c>
      <c r="I89">
        <v>620</v>
      </c>
      <c r="J89">
        <v>1311</v>
      </c>
      <c r="K89">
        <v>58</v>
      </c>
      <c r="L89">
        <v>60</v>
      </c>
      <c r="M89">
        <v>52</v>
      </c>
      <c r="N89">
        <v>1286</v>
      </c>
      <c r="O89">
        <v>43</v>
      </c>
      <c r="P89">
        <v>144</v>
      </c>
      <c r="Q89">
        <v>0</v>
      </c>
      <c r="R89">
        <v>180</v>
      </c>
      <c r="S89">
        <v>189</v>
      </c>
      <c r="T89">
        <v>7</v>
      </c>
      <c r="U89">
        <v>5</v>
      </c>
      <c r="V89">
        <v>38</v>
      </c>
      <c r="W89">
        <v>120</v>
      </c>
      <c r="X89">
        <v>144</v>
      </c>
      <c r="Y89">
        <v>153</v>
      </c>
      <c r="Z89">
        <f t="shared" si="2"/>
        <v>732388.71499999997</v>
      </c>
      <c r="AC89" t="s">
        <v>2617</v>
      </c>
      <c r="AD89" t="s">
        <v>2619</v>
      </c>
      <c r="AE89" t="str">
        <f t="shared" si="3"/>
        <v>Census Tract 65, King County, Washington</v>
      </c>
      <c r="AF89">
        <v>1133539.8970000001</v>
      </c>
    </row>
    <row r="90" spans="1:32" x14ac:dyDescent="0.25">
      <c r="A90" t="s">
        <v>1786</v>
      </c>
      <c r="B90">
        <v>53033008800</v>
      </c>
      <c r="C90" t="s">
        <v>1787</v>
      </c>
      <c r="D90">
        <v>3506</v>
      </c>
      <c r="E90">
        <v>3075</v>
      </c>
      <c r="F90">
        <v>431</v>
      </c>
      <c r="G90">
        <v>3506</v>
      </c>
      <c r="H90">
        <v>3075</v>
      </c>
      <c r="I90">
        <v>431</v>
      </c>
      <c r="J90">
        <v>1119</v>
      </c>
      <c r="K90">
        <v>79</v>
      </c>
      <c r="L90">
        <v>28</v>
      </c>
      <c r="M90">
        <v>86</v>
      </c>
      <c r="N90">
        <v>1710</v>
      </c>
      <c r="O90">
        <v>51</v>
      </c>
      <c r="P90">
        <v>8</v>
      </c>
      <c r="Q90">
        <v>3</v>
      </c>
      <c r="R90">
        <v>44</v>
      </c>
      <c r="S90">
        <v>81</v>
      </c>
      <c r="T90">
        <v>0</v>
      </c>
      <c r="U90">
        <v>0</v>
      </c>
      <c r="V90">
        <v>59</v>
      </c>
      <c r="W90">
        <v>80</v>
      </c>
      <c r="X90">
        <v>107</v>
      </c>
      <c r="Y90">
        <v>51</v>
      </c>
      <c r="Z90">
        <f t="shared" si="2"/>
        <v>948580.94799999997</v>
      </c>
      <c r="AC90" t="s">
        <v>2620</v>
      </c>
      <c r="AD90" t="s">
        <v>2622</v>
      </c>
      <c r="AE90" t="str">
        <f t="shared" si="3"/>
        <v>Census Tract 64, King County, Washington</v>
      </c>
      <c r="AF90">
        <v>903650.33100000001</v>
      </c>
    </row>
    <row r="91" spans="1:32" x14ac:dyDescent="0.25">
      <c r="A91" t="s">
        <v>1788</v>
      </c>
      <c r="B91">
        <v>53033008900</v>
      </c>
      <c r="C91" t="s">
        <v>1789</v>
      </c>
      <c r="D91">
        <v>4545</v>
      </c>
      <c r="E91">
        <v>3946</v>
      </c>
      <c r="F91">
        <v>599</v>
      </c>
      <c r="G91">
        <v>4545</v>
      </c>
      <c r="H91">
        <v>3946</v>
      </c>
      <c r="I91">
        <v>599</v>
      </c>
      <c r="J91">
        <v>1771</v>
      </c>
      <c r="K91">
        <v>139</v>
      </c>
      <c r="L91">
        <v>22</v>
      </c>
      <c r="M91">
        <v>36</v>
      </c>
      <c r="N91">
        <v>1729</v>
      </c>
      <c r="O91">
        <v>89</v>
      </c>
      <c r="P91">
        <v>53</v>
      </c>
      <c r="Q91">
        <v>0</v>
      </c>
      <c r="R91">
        <v>76</v>
      </c>
      <c r="S91">
        <v>185</v>
      </c>
      <c r="T91">
        <v>23</v>
      </c>
      <c r="U91">
        <v>0</v>
      </c>
      <c r="V91">
        <v>69</v>
      </c>
      <c r="W91">
        <v>88</v>
      </c>
      <c r="X91">
        <v>203</v>
      </c>
      <c r="Y91">
        <v>62</v>
      </c>
      <c r="Z91">
        <f t="shared" si="2"/>
        <v>1267823.227</v>
      </c>
      <c r="AC91" t="s">
        <v>2623</v>
      </c>
      <c r="AD91" t="s">
        <v>2625</v>
      </c>
      <c r="AE91" t="str">
        <f t="shared" si="3"/>
        <v>Census Tract 63, King County, Washington</v>
      </c>
      <c r="AF91">
        <v>2321807.1039999998</v>
      </c>
    </row>
    <row r="92" spans="1:32" x14ac:dyDescent="0.25">
      <c r="A92" t="s">
        <v>1790</v>
      </c>
      <c r="B92">
        <v>53033009000</v>
      </c>
      <c r="C92" t="s">
        <v>1791</v>
      </c>
      <c r="D92">
        <v>2185</v>
      </c>
      <c r="E92">
        <v>1201</v>
      </c>
      <c r="F92">
        <v>984</v>
      </c>
      <c r="G92">
        <v>2185</v>
      </c>
      <c r="H92">
        <v>1201</v>
      </c>
      <c r="I92">
        <v>984</v>
      </c>
      <c r="J92">
        <v>217</v>
      </c>
      <c r="K92">
        <v>15</v>
      </c>
      <c r="L92">
        <v>67</v>
      </c>
      <c r="M92">
        <v>96</v>
      </c>
      <c r="N92">
        <v>515</v>
      </c>
      <c r="O92">
        <v>126</v>
      </c>
      <c r="P92">
        <v>3</v>
      </c>
      <c r="Q92">
        <v>7</v>
      </c>
      <c r="R92">
        <v>273</v>
      </c>
      <c r="S92">
        <v>638</v>
      </c>
      <c r="T92">
        <v>0</v>
      </c>
      <c r="U92">
        <v>7</v>
      </c>
      <c r="V92">
        <v>32</v>
      </c>
      <c r="W92">
        <v>62</v>
      </c>
      <c r="X92">
        <v>94</v>
      </c>
      <c r="Y92">
        <v>33</v>
      </c>
      <c r="Z92">
        <f t="shared" si="2"/>
        <v>820731.29299999995</v>
      </c>
      <c r="AC92" t="s">
        <v>2626</v>
      </c>
      <c r="AD92" t="s">
        <v>2628</v>
      </c>
      <c r="AE92" t="str">
        <f t="shared" si="3"/>
        <v>Census Tract 62, King County, Washington</v>
      </c>
      <c r="AF92">
        <v>2527641.2570000002</v>
      </c>
    </row>
    <row r="93" spans="1:32" x14ac:dyDescent="0.25">
      <c r="A93" t="s">
        <v>1792</v>
      </c>
      <c r="B93">
        <v>53033009100</v>
      </c>
      <c r="C93" t="s">
        <v>1793</v>
      </c>
      <c r="D93">
        <v>1952</v>
      </c>
      <c r="E93">
        <v>711</v>
      </c>
      <c r="F93">
        <v>1241</v>
      </c>
      <c r="G93">
        <v>1952</v>
      </c>
      <c r="H93">
        <v>711</v>
      </c>
      <c r="I93">
        <v>1241</v>
      </c>
      <c r="J93">
        <v>259</v>
      </c>
      <c r="K93">
        <v>10</v>
      </c>
      <c r="L93">
        <v>0</v>
      </c>
      <c r="M93">
        <v>0</v>
      </c>
      <c r="N93">
        <v>227</v>
      </c>
      <c r="O93">
        <v>187</v>
      </c>
      <c r="P93">
        <v>13</v>
      </c>
      <c r="Q93">
        <v>0</v>
      </c>
      <c r="R93">
        <v>181</v>
      </c>
      <c r="S93">
        <v>958</v>
      </c>
      <c r="T93">
        <v>0</v>
      </c>
      <c r="U93">
        <v>0</v>
      </c>
      <c r="V93">
        <v>6</v>
      </c>
      <c r="W93">
        <v>18</v>
      </c>
      <c r="X93">
        <v>25</v>
      </c>
      <c r="Y93">
        <v>68</v>
      </c>
      <c r="Z93">
        <f t="shared" si="2"/>
        <v>418832.28100000002</v>
      </c>
      <c r="AC93" t="s">
        <v>2629</v>
      </c>
      <c r="AD93" t="s">
        <v>2631</v>
      </c>
      <c r="AE93" t="str">
        <f t="shared" si="3"/>
        <v>Census Tract 61, King County, Washington</v>
      </c>
      <c r="AF93">
        <v>1106777.6270000001</v>
      </c>
    </row>
    <row r="94" spans="1:32" x14ac:dyDescent="0.25">
      <c r="A94" t="s">
        <v>1794</v>
      </c>
      <c r="B94">
        <v>53033009200</v>
      </c>
      <c r="C94" t="s">
        <v>1795</v>
      </c>
      <c r="D94">
        <v>1967</v>
      </c>
      <c r="E94">
        <v>1121</v>
      </c>
      <c r="F94">
        <v>846</v>
      </c>
      <c r="G94">
        <v>1967</v>
      </c>
      <c r="H94">
        <v>1121</v>
      </c>
      <c r="I94">
        <v>846</v>
      </c>
      <c r="J94">
        <v>771</v>
      </c>
      <c r="K94">
        <v>73</v>
      </c>
      <c r="L94">
        <v>26</v>
      </c>
      <c r="M94">
        <v>83</v>
      </c>
      <c r="N94">
        <v>153</v>
      </c>
      <c r="O94">
        <v>28</v>
      </c>
      <c r="P94">
        <v>65</v>
      </c>
      <c r="Q94">
        <v>10</v>
      </c>
      <c r="R94">
        <v>10</v>
      </c>
      <c r="S94">
        <v>548</v>
      </c>
      <c r="T94">
        <v>0</v>
      </c>
      <c r="U94">
        <v>0</v>
      </c>
      <c r="V94">
        <v>11</v>
      </c>
      <c r="W94">
        <v>25</v>
      </c>
      <c r="X94">
        <v>85</v>
      </c>
      <c r="Y94">
        <v>79</v>
      </c>
      <c r="Z94">
        <f t="shared" si="2"/>
        <v>305170.19099999999</v>
      </c>
      <c r="AC94" t="s">
        <v>2632</v>
      </c>
      <c r="AD94" t="s">
        <v>2634</v>
      </c>
      <c r="AE94" t="str">
        <f t="shared" si="3"/>
        <v>Census Tract 60, King County, Washington</v>
      </c>
      <c r="AF94">
        <v>1295262.5260000001</v>
      </c>
    </row>
    <row r="95" spans="1:32" x14ac:dyDescent="0.25">
      <c r="A95" t="s">
        <v>1796</v>
      </c>
      <c r="B95">
        <v>53033009300</v>
      </c>
      <c r="C95" t="s">
        <v>1797</v>
      </c>
      <c r="D95">
        <v>2562</v>
      </c>
      <c r="E95">
        <v>2000</v>
      </c>
      <c r="F95">
        <v>562</v>
      </c>
      <c r="G95">
        <v>2562</v>
      </c>
      <c r="H95">
        <v>2000</v>
      </c>
      <c r="I95">
        <v>562</v>
      </c>
      <c r="J95">
        <v>1084</v>
      </c>
      <c r="K95">
        <v>72</v>
      </c>
      <c r="L95">
        <v>55</v>
      </c>
      <c r="M95">
        <v>95</v>
      </c>
      <c r="N95">
        <v>283</v>
      </c>
      <c r="O95">
        <v>50</v>
      </c>
      <c r="P95">
        <v>64</v>
      </c>
      <c r="Q95">
        <v>0</v>
      </c>
      <c r="R95">
        <v>311</v>
      </c>
      <c r="S95">
        <v>268</v>
      </c>
      <c r="T95">
        <v>0</v>
      </c>
      <c r="U95">
        <v>0</v>
      </c>
      <c r="V95">
        <v>115</v>
      </c>
      <c r="W95">
        <v>27</v>
      </c>
      <c r="X95">
        <v>88</v>
      </c>
      <c r="Y95">
        <v>50</v>
      </c>
      <c r="Z95">
        <f t="shared" si="2"/>
        <v>9449275.4039999992</v>
      </c>
      <c r="AC95" t="s">
        <v>2644</v>
      </c>
      <c r="AD95" t="s">
        <v>2646</v>
      </c>
      <c r="AE95" t="str">
        <f t="shared" si="3"/>
        <v>Census Tract 58.01, King County, Washington</v>
      </c>
      <c r="AF95">
        <v>1808549.6240000001</v>
      </c>
    </row>
    <row r="96" spans="1:32" x14ac:dyDescent="0.25">
      <c r="A96" t="s">
        <v>1798</v>
      </c>
      <c r="B96">
        <v>53033009400</v>
      </c>
      <c r="C96" t="s">
        <v>1799</v>
      </c>
      <c r="D96">
        <v>5242</v>
      </c>
      <c r="E96">
        <v>2821</v>
      </c>
      <c r="F96">
        <v>2421</v>
      </c>
      <c r="G96">
        <v>5242</v>
      </c>
      <c r="H96">
        <v>2821</v>
      </c>
      <c r="I96">
        <v>2421</v>
      </c>
      <c r="J96">
        <v>909</v>
      </c>
      <c r="K96">
        <v>62</v>
      </c>
      <c r="L96">
        <v>87</v>
      </c>
      <c r="M96">
        <v>66</v>
      </c>
      <c r="N96">
        <v>592</v>
      </c>
      <c r="O96">
        <v>174</v>
      </c>
      <c r="P96">
        <v>88</v>
      </c>
      <c r="Q96">
        <v>6</v>
      </c>
      <c r="R96">
        <v>737</v>
      </c>
      <c r="S96">
        <v>1796</v>
      </c>
      <c r="T96">
        <v>13</v>
      </c>
      <c r="U96">
        <v>0</v>
      </c>
      <c r="V96">
        <v>216</v>
      </c>
      <c r="W96">
        <v>163</v>
      </c>
      <c r="X96">
        <v>179</v>
      </c>
      <c r="Y96">
        <v>154</v>
      </c>
      <c r="Z96">
        <f t="shared" si="2"/>
        <v>1722395.432</v>
      </c>
      <c r="AC96" t="s">
        <v>2647</v>
      </c>
      <c r="AD96" t="s">
        <v>2649</v>
      </c>
      <c r="AE96" t="str">
        <f t="shared" si="3"/>
        <v>Census Tract 57, King County, Washington</v>
      </c>
      <c r="AF96">
        <v>4973399.7120000003</v>
      </c>
    </row>
    <row r="97" spans="1:32" x14ac:dyDescent="0.25">
      <c r="A97" t="s">
        <v>1800</v>
      </c>
      <c r="B97">
        <v>53033009500</v>
      </c>
      <c r="C97" t="s">
        <v>1801</v>
      </c>
      <c r="D97">
        <v>5717</v>
      </c>
      <c r="E97">
        <v>4751</v>
      </c>
      <c r="F97">
        <v>966</v>
      </c>
      <c r="G97">
        <v>5717</v>
      </c>
      <c r="H97">
        <v>4751</v>
      </c>
      <c r="I97">
        <v>966</v>
      </c>
      <c r="J97">
        <v>2802</v>
      </c>
      <c r="K97">
        <v>141</v>
      </c>
      <c r="L97">
        <v>37</v>
      </c>
      <c r="M97">
        <v>47</v>
      </c>
      <c r="N97">
        <v>1308</v>
      </c>
      <c r="O97">
        <v>42</v>
      </c>
      <c r="P97">
        <v>73</v>
      </c>
      <c r="Q97">
        <v>0</v>
      </c>
      <c r="R97">
        <v>298</v>
      </c>
      <c r="S97">
        <v>707</v>
      </c>
      <c r="T97">
        <v>0</v>
      </c>
      <c r="U97">
        <v>0</v>
      </c>
      <c r="V97">
        <v>25</v>
      </c>
      <c r="W97">
        <v>0</v>
      </c>
      <c r="X97">
        <v>208</v>
      </c>
      <c r="Y97">
        <v>29</v>
      </c>
      <c r="Z97">
        <f t="shared" si="2"/>
        <v>2523815.2829999998</v>
      </c>
      <c r="AC97" t="s">
        <v>2650</v>
      </c>
      <c r="AD97" t="s">
        <v>2652</v>
      </c>
      <c r="AE97" t="str">
        <f t="shared" si="3"/>
        <v>Census Tract 56, King County, Washington</v>
      </c>
      <c r="AF97">
        <v>2978462.2429999998</v>
      </c>
    </row>
    <row r="98" spans="1:32" x14ac:dyDescent="0.25">
      <c r="A98" t="s">
        <v>1802</v>
      </c>
      <c r="B98">
        <v>53033009600</v>
      </c>
      <c r="C98" t="s">
        <v>1803</v>
      </c>
      <c r="D98">
        <v>4919</v>
      </c>
      <c r="E98">
        <v>4457</v>
      </c>
      <c r="F98">
        <v>462</v>
      </c>
      <c r="G98">
        <v>4919</v>
      </c>
      <c r="H98">
        <v>4457</v>
      </c>
      <c r="I98">
        <v>462</v>
      </c>
      <c r="J98">
        <v>4069</v>
      </c>
      <c r="K98">
        <v>339</v>
      </c>
      <c r="L98">
        <v>78</v>
      </c>
      <c r="M98">
        <v>20</v>
      </c>
      <c r="N98">
        <v>55</v>
      </c>
      <c r="O98">
        <v>0</v>
      </c>
      <c r="P98">
        <v>29</v>
      </c>
      <c r="Q98">
        <v>0</v>
      </c>
      <c r="R98">
        <v>100</v>
      </c>
      <c r="S98">
        <v>74</v>
      </c>
      <c r="T98">
        <v>14</v>
      </c>
      <c r="U98">
        <v>0</v>
      </c>
      <c r="V98">
        <v>21</v>
      </c>
      <c r="W98">
        <v>9</v>
      </c>
      <c r="X98">
        <v>91</v>
      </c>
      <c r="Y98">
        <v>20</v>
      </c>
      <c r="Z98">
        <f t="shared" si="2"/>
        <v>1777292.192</v>
      </c>
      <c r="AC98" t="s">
        <v>2653</v>
      </c>
      <c r="AD98" t="s">
        <v>2655</v>
      </c>
      <c r="AE98" t="str">
        <f t="shared" si="3"/>
        <v>Census Tract 54, King County, Washington</v>
      </c>
      <c r="AF98">
        <v>1173294.4720000001</v>
      </c>
    </row>
    <row r="99" spans="1:32" x14ac:dyDescent="0.25">
      <c r="A99" t="s">
        <v>1804</v>
      </c>
      <c r="B99">
        <v>53033009701</v>
      </c>
      <c r="C99" t="s">
        <v>1805</v>
      </c>
      <c r="D99">
        <v>5323</v>
      </c>
      <c r="E99">
        <v>4846</v>
      </c>
      <c r="F99">
        <v>477</v>
      </c>
      <c r="G99">
        <v>5323</v>
      </c>
      <c r="H99">
        <v>4846</v>
      </c>
      <c r="I99">
        <v>477</v>
      </c>
      <c r="J99">
        <v>4419</v>
      </c>
      <c r="K99">
        <v>264</v>
      </c>
      <c r="L99">
        <v>80</v>
      </c>
      <c r="M99">
        <v>4</v>
      </c>
      <c r="N99">
        <v>42</v>
      </c>
      <c r="O99">
        <v>5</v>
      </c>
      <c r="P99">
        <v>59</v>
      </c>
      <c r="Q99">
        <v>0</v>
      </c>
      <c r="R99">
        <v>90</v>
      </c>
      <c r="S99">
        <v>125</v>
      </c>
      <c r="T99">
        <v>0</v>
      </c>
      <c r="U99">
        <v>0</v>
      </c>
      <c r="V99">
        <v>39</v>
      </c>
      <c r="W99">
        <v>37</v>
      </c>
      <c r="X99">
        <v>117</v>
      </c>
      <c r="Y99">
        <v>42</v>
      </c>
      <c r="Z99">
        <f t="shared" si="2"/>
        <v>1757145.872</v>
      </c>
      <c r="AC99" t="s">
        <v>2656</v>
      </c>
      <c r="AD99" t="s">
        <v>2658</v>
      </c>
      <c r="AE99" t="str">
        <f t="shared" si="3"/>
        <v>Census Tract 53.02, King County, Washington</v>
      </c>
      <c r="AF99">
        <v>2405232.8909999998</v>
      </c>
    </row>
    <row r="100" spans="1:32" x14ac:dyDescent="0.25">
      <c r="A100" t="s">
        <v>1806</v>
      </c>
      <c r="B100">
        <v>53033009702</v>
      </c>
      <c r="C100" t="s">
        <v>1807</v>
      </c>
      <c r="D100">
        <v>5011</v>
      </c>
      <c r="E100">
        <v>4471</v>
      </c>
      <c r="F100">
        <v>540</v>
      </c>
      <c r="G100">
        <v>5011</v>
      </c>
      <c r="H100">
        <v>4471</v>
      </c>
      <c r="I100">
        <v>540</v>
      </c>
      <c r="J100">
        <v>3919</v>
      </c>
      <c r="K100">
        <v>312</v>
      </c>
      <c r="L100">
        <v>69</v>
      </c>
      <c r="M100">
        <v>72</v>
      </c>
      <c r="N100">
        <v>32</v>
      </c>
      <c r="O100">
        <v>0</v>
      </c>
      <c r="P100">
        <v>74</v>
      </c>
      <c r="Q100">
        <v>9</v>
      </c>
      <c r="R100">
        <v>84</v>
      </c>
      <c r="S100">
        <v>93</v>
      </c>
      <c r="T100">
        <v>0</v>
      </c>
      <c r="U100">
        <v>8</v>
      </c>
      <c r="V100">
        <v>10</v>
      </c>
      <c r="W100">
        <v>0</v>
      </c>
      <c r="X100">
        <v>283</v>
      </c>
      <c r="Y100">
        <v>46</v>
      </c>
      <c r="Z100">
        <f t="shared" si="2"/>
        <v>2219067.2319999998</v>
      </c>
      <c r="AC100" t="s">
        <v>2659</v>
      </c>
      <c r="AD100" t="s">
        <v>2661</v>
      </c>
      <c r="AE100" t="str">
        <f t="shared" si="3"/>
        <v>Census Tract 53.01, King County, Washington</v>
      </c>
      <c r="AF100">
        <v>543482.07700000005</v>
      </c>
    </row>
    <row r="101" spans="1:32" x14ac:dyDescent="0.25">
      <c r="A101" t="s">
        <v>1808</v>
      </c>
      <c r="B101">
        <v>53033009800</v>
      </c>
      <c r="C101" t="s">
        <v>1809</v>
      </c>
      <c r="D101">
        <v>5820</v>
      </c>
      <c r="E101">
        <v>5273</v>
      </c>
      <c r="F101">
        <v>547</v>
      </c>
      <c r="G101">
        <v>5820</v>
      </c>
      <c r="H101">
        <v>5273</v>
      </c>
      <c r="I101">
        <v>547</v>
      </c>
      <c r="J101">
        <v>4677</v>
      </c>
      <c r="K101">
        <v>308</v>
      </c>
      <c r="L101">
        <v>97</v>
      </c>
      <c r="M101">
        <v>24</v>
      </c>
      <c r="N101">
        <v>153</v>
      </c>
      <c r="O101">
        <v>42</v>
      </c>
      <c r="P101">
        <v>66</v>
      </c>
      <c r="Q101">
        <v>0</v>
      </c>
      <c r="R101">
        <v>114</v>
      </c>
      <c r="S101">
        <v>136</v>
      </c>
      <c r="T101">
        <v>0</v>
      </c>
      <c r="U101">
        <v>10</v>
      </c>
      <c r="V101">
        <v>65</v>
      </c>
      <c r="W101">
        <v>19</v>
      </c>
      <c r="X101">
        <v>101</v>
      </c>
      <c r="Y101">
        <v>8</v>
      </c>
      <c r="Z101">
        <f t="shared" si="2"/>
        <v>1930637.115</v>
      </c>
      <c r="AC101" t="s">
        <v>2662</v>
      </c>
      <c r="AD101" t="s">
        <v>2664</v>
      </c>
      <c r="AE101" t="str">
        <f t="shared" si="3"/>
        <v>Census Tract 52, King County, Washington</v>
      </c>
      <c r="AF101">
        <v>961971.79599999997</v>
      </c>
    </row>
    <row r="102" spans="1:32" x14ac:dyDescent="0.25">
      <c r="A102" t="s">
        <v>1810</v>
      </c>
      <c r="B102">
        <v>53033009900</v>
      </c>
      <c r="C102" t="s">
        <v>1811</v>
      </c>
      <c r="D102">
        <v>4338</v>
      </c>
      <c r="E102">
        <v>3705</v>
      </c>
      <c r="F102">
        <v>633</v>
      </c>
      <c r="G102">
        <v>4338</v>
      </c>
      <c r="H102">
        <v>3705</v>
      </c>
      <c r="I102">
        <v>633</v>
      </c>
      <c r="J102">
        <v>2825</v>
      </c>
      <c r="K102">
        <v>172</v>
      </c>
      <c r="L102">
        <v>67</v>
      </c>
      <c r="M102">
        <v>64</v>
      </c>
      <c r="N102">
        <v>316</v>
      </c>
      <c r="O102">
        <v>22</v>
      </c>
      <c r="P102">
        <v>57</v>
      </c>
      <c r="Q102">
        <v>0</v>
      </c>
      <c r="R102">
        <v>256</v>
      </c>
      <c r="S102">
        <v>235</v>
      </c>
      <c r="T102">
        <v>0</v>
      </c>
      <c r="U102">
        <v>0</v>
      </c>
      <c r="V102">
        <v>55</v>
      </c>
      <c r="W102">
        <v>140</v>
      </c>
      <c r="X102">
        <v>129</v>
      </c>
      <c r="Y102">
        <v>0</v>
      </c>
      <c r="Z102">
        <f t="shared" si="2"/>
        <v>6506275.5999999996</v>
      </c>
      <c r="AC102" t="s">
        <v>2665</v>
      </c>
      <c r="AD102" t="s">
        <v>2667</v>
      </c>
      <c r="AE102" t="str">
        <f t="shared" si="3"/>
        <v>Census Tract 51, King County, Washington</v>
      </c>
      <c r="AF102">
        <v>881712.23899999994</v>
      </c>
    </row>
    <row r="103" spans="1:32" x14ac:dyDescent="0.25">
      <c r="A103" t="s">
        <v>1812</v>
      </c>
      <c r="B103">
        <v>53033010000</v>
      </c>
      <c r="C103" t="s">
        <v>1813</v>
      </c>
      <c r="D103">
        <v>8139</v>
      </c>
      <c r="E103">
        <v>4685</v>
      </c>
      <c r="F103">
        <v>3454</v>
      </c>
      <c r="G103">
        <v>8139</v>
      </c>
      <c r="H103">
        <v>4685</v>
      </c>
      <c r="I103">
        <v>3454</v>
      </c>
      <c r="J103">
        <v>1741</v>
      </c>
      <c r="K103">
        <v>111</v>
      </c>
      <c r="L103">
        <v>161</v>
      </c>
      <c r="M103">
        <v>112</v>
      </c>
      <c r="N103">
        <v>909</v>
      </c>
      <c r="O103">
        <v>162</v>
      </c>
      <c r="P103">
        <v>51</v>
      </c>
      <c r="Q103">
        <v>135</v>
      </c>
      <c r="R103">
        <v>1066</v>
      </c>
      <c r="S103">
        <v>2493</v>
      </c>
      <c r="T103">
        <v>88</v>
      </c>
      <c r="U103">
        <v>42</v>
      </c>
      <c r="V103">
        <v>149</v>
      </c>
      <c r="W103">
        <v>154</v>
      </c>
      <c r="X103">
        <v>520</v>
      </c>
      <c r="Y103">
        <v>245</v>
      </c>
      <c r="Z103">
        <f t="shared" si="2"/>
        <v>3193901.5589999999</v>
      </c>
      <c r="AC103" t="s">
        <v>2668</v>
      </c>
      <c r="AD103" t="s">
        <v>2670</v>
      </c>
      <c r="AE103" t="str">
        <f t="shared" si="3"/>
        <v>Census Tract 50, King County, Washington</v>
      </c>
      <c r="AF103">
        <v>757382.46699999995</v>
      </c>
    </row>
    <row r="104" spans="1:32" x14ac:dyDescent="0.25">
      <c r="A104" t="s">
        <v>1814</v>
      </c>
      <c r="B104">
        <v>53033010100</v>
      </c>
      <c r="C104" t="s">
        <v>1815</v>
      </c>
      <c r="D104">
        <v>5943</v>
      </c>
      <c r="E104">
        <v>4312</v>
      </c>
      <c r="F104">
        <v>1631</v>
      </c>
      <c r="G104">
        <v>5943</v>
      </c>
      <c r="H104">
        <v>4312</v>
      </c>
      <c r="I104">
        <v>1631</v>
      </c>
      <c r="J104">
        <v>1974</v>
      </c>
      <c r="K104">
        <v>111</v>
      </c>
      <c r="L104">
        <v>82</v>
      </c>
      <c r="M104">
        <v>23</v>
      </c>
      <c r="N104">
        <v>1364</v>
      </c>
      <c r="O104">
        <v>266</v>
      </c>
      <c r="P104">
        <v>0</v>
      </c>
      <c r="Q104">
        <v>0</v>
      </c>
      <c r="R104">
        <v>397</v>
      </c>
      <c r="S104">
        <v>996</v>
      </c>
      <c r="T104">
        <v>15</v>
      </c>
      <c r="U104">
        <v>6</v>
      </c>
      <c r="V104">
        <v>123</v>
      </c>
      <c r="W104">
        <v>110</v>
      </c>
      <c r="X104">
        <v>357</v>
      </c>
      <c r="Y104">
        <v>119</v>
      </c>
      <c r="Z104">
        <f t="shared" si="2"/>
        <v>2482464.2779999999</v>
      </c>
      <c r="AC104" t="s">
        <v>2674</v>
      </c>
      <c r="AD104" t="s">
        <v>2676</v>
      </c>
      <c r="AE104" t="str">
        <f t="shared" si="3"/>
        <v>Census Tract 49, King County, Washington</v>
      </c>
      <c r="AF104">
        <v>1096632.0989999999</v>
      </c>
    </row>
    <row r="105" spans="1:32" x14ac:dyDescent="0.25">
      <c r="A105" t="s">
        <v>1816</v>
      </c>
      <c r="B105">
        <v>53033010200</v>
      </c>
      <c r="C105" t="s">
        <v>1817</v>
      </c>
      <c r="D105">
        <v>4870</v>
      </c>
      <c r="E105">
        <v>3922</v>
      </c>
      <c r="F105">
        <v>948</v>
      </c>
      <c r="G105">
        <v>4870</v>
      </c>
      <c r="H105">
        <v>3922</v>
      </c>
      <c r="I105">
        <v>948</v>
      </c>
      <c r="J105">
        <v>2275</v>
      </c>
      <c r="K105">
        <v>174</v>
      </c>
      <c r="L105">
        <v>52</v>
      </c>
      <c r="M105">
        <v>0</v>
      </c>
      <c r="N105">
        <v>821</v>
      </c>
      <c r="O105">
        <v>117</v>
      </c>
      <c r="P105">
        <v>7</v>
      </c>
      <c r="Q105">
        <v>0</v>
      </c>
      <c r="R105">
        <v>447</v>
      </c>
      <c r="S105">
        <v>621</v>
      </c>
      <c r="T105">
        <v>0</v>
      </c>
      <c r="U105">
        <v>0</v>
      </c>
      <c r="V105">
        <v>21</v>
      </c>
      <c r="W105">
        <v>0</v>
      </c>
      <c r="X105">
        <v>299</v>
      </c>
      <c r="Y105">
        <v>36</v>
      </c>
      <c r="Z105">
        <f t="shared" si="2"/>
        <v>2749743.26</v>
      </c>
      <c r="AC105" t="s">
        <v>2677</v>
      </c>
      <c r="AD105" t="s">
        <v>2679</v>
      </c>
      <c r="AE105" t="str">
        <f t="shared" si="3"/>
        <v>Census Tract 48, King County, Washington</v>
      </c>
      <c r="AF105">
        <v>1332369.4750000001</v>
      </c>
    </row>
    <row r="106" spans="1:32" x14ac:dyDescent="0.25">
      <c r="A106" t="s">
        <v>1818</v>
      </c>
      <c r="B106">
        <v>53033010300</v>
      </c>
      <c r="C106" t="s">
        <v>1819</v>
      </c>
      <c r="D106">
        <v>6178</v>
      </c>
      <c r="E106">
        <v>4078</v>
      </c>
      <c r="F106">
        <v>2100</v>
      </c>
      <c r="G106">
        <v>6178</v>
      </c>
      <c r="H106">
        <v>4078</v>
      </c>
      <c r="I106">
        <v>2100</v>
      </c>
      <c r="J106">
        <v>1249</v>
      </c>
      <c r="K106">
        <v>58</v>
      </c>
      <c r="L106">
        <v>48</v>
      </c>
      <c r="M106">
        <v>115</v>
      </c>
      <c r="N106">
        <v>1798</v>
      </c>
      <c r="O106">
        <v>172</v>
      </c>
      <c r="P106">
        <v>34</v>
      </c>
      <c r="Q106">
        <v>0</v>
      </c>
      <c r="R106">
        <v>574</v>
      </c>
      <c r="S106">
        <v>1088</v>
      </c>
      <c r="T106">
        <v>35</v>
      </c>
      <c r="U106">
        <v>118</v>
      </c>
      <c r="V106">
        <v>65</v>
      </c>
      <c r="W106">
        <v>258</v>
      </c>
      <c r="X106">
        <v>275</v>
      </c>
      <c r="Y106">
        <v>291</v>
      </c>
      <c r="Z106">
        <f t="shared" si="2"/>
        <v>1660241.7420000001</v>
      </c>
      <c r="AC106" t="s">
        <v>2680</v>
      </c>
      <c r="AD106" t="s">
        <v>2682</v>
      </c>
      <c r="AE106" t="str">
        <f t="shared" si="3"/>
        <v>Census Tract 47, King County, Washington</v>
      </c>
      <c r="AF106">
        <v>1985387.925</v>
      </c>
    </row>
    <row r="107" spans="1:32" x14ac:dyDescent="0.25">
      <c r="A107" t="s">
        <v>1820</v>
      </c>
      <c r="B107">
        <v>53033010400</v>
      </c>
      <c r="C107" t="s">
        <v>1821</v>
      </c>
      <c r="D107">
        <v>9002</v>
      </c>
      <c r="E107">
        <v>4938</v>
      </c>
      <c r="F107">
        <v>4064</v>
      </c>
      <c r="G107">
        <v>9002</v>
      </c>
      <c r="H107">
        <v>4938</v>
      </c>
      <c r="I107">
        <v>4064</v>
      </c>
      <c r="J107">
        <v>1578</v>
      </c>
      <c r="K107">
        <v>62</v>
      </c>
      <c r="L107">
        <v>6</v>
      </c>
      <c r="M107">
        <v>40</v>
      </c>
      <c r="N107">
        <v>1203</v>
      </c>
      <c r="O107">
        <v>72</v>
      </c>
      <c r="P107">
        <v>16</v>
      </c>
      <c r="Q107">
        <v>0</v>
      </c>
      <c r="R107">
        <v>1527</v>
      </c>
      <c r="S107">
        <v>3636</v>
      </c>
      <c r="T107">
        <v>97</v>
      </c>
      <c r="U107">
        <v>22</v>
      </c>
      <c r="V107">
        <v>137</v>
      </c>
      <c r="W107">
        <v>92</v>
      </c>
      <c r="X107">
        <v>374</v>
      </c>
      <c r="Y107">
        <v>140</v>
      </c>
      <c r="Z107">
        <f t="shared" si="2"/>
        <v>3415757.8480000002</v>
      </c>
      <c r="AC107" t="s">
        <v>2683</v>
      </c>
      <c r="AD107" t="s">
        <v>2685</v>
      </c>
      <c r="AE107" t="str">
        <f t="shared" si="3"/>
        <v>Census Tract 46, King County, Washington</v>
      </c>
      <c r="AF107">
        <v>1574150.358</v>
      </c>
    </row>
    <row r="108" spans="1:32" x14ac:dyDescent="0.25">
      <c r="A108" t="s">
        <v>1822</v>
      </c>
      <c r="B108">
        <v>53033010500</v>
      </c>
      <c r="C108" t="s">
        <v>1823</v>
      </c>
      <c r="D108">
        <v>5481</v>
      </c>
      <c r="E108">
        <v>4920</v>
      </c>
      <c r="F108">
        <v>561</v>
      </c>
      <c r="G108">
        <v>5481</v>
      </c>
      <c r="H108">
        <v>4920</v>
      </c>
      <c r="I108">
        <v>561</v>
      </c>
      <c r="J108">
        <v>4339</v>
      </c>
      <c r="K108">
        <v>228</v>
      </c>
      <c r="L108">
        <v>62</v>
      </c>
      <c r="M108">
        <v>11</v>
      </c>
      <c r="N108">
        <v>113</v>
      </c>
      <c r="O108">
        <v>34</v>
      </c>
      <c r="P108">
        <v>38</v>
      </c>
      <c r="Q108">
        <v>0</v>
      </c>
      <c r="R108">
        <v>72</v>
      </c>
      <c r="S108">
        <v>183</v>
      </c>
      <c r="T108">
        <v>15</v>
      </c>
      <c r="U108">
        <v>0</v>
      </c>
      <c r="V108">
        <v>98</v>
      </c>
      <c r="W108">
        <v>79</v>
      </c>
      <c r="X108">
        <v>183</v>
      </c>
      <c r="Y108">
        <v>26</v>
      </c>
      <c r="Z108">
        <f t="shared" si="2"/>
        <v>1717922.3259999999</v>
      </c>
      <c r="AC108" t="s">
        <v>2686</v>
      </c>
      <c r="AD108" t="s">
        <v>2688</v>
      </c>
      <c r="AE108" t="str">
        <f t="shared" si="3"/>
        <v>Census Tract 45, King County, Washington</v>
      </c>
      <c r="AF108">
        <v>670998.06999999995</v>
      </c>
    </row>
    <row r="109" spans="1:32" x14ac:dyDescent="0.25">
      <c r="A109" t="s">
        <v>1824</v>
      </c>
      <c r="B109">
        <v>53033010600</v>
      </c>
      <c r="C109" t="s">
        <v>1825</v>
      </c>
      <c r="D109">
        <v>7075</v>
      </c>
      <c r="E109">
        <v>6380</v>
      </c>
      <c r="F109">
        <v>695</v>
      </c>
      <c r="G109">
        <v>7075</v>
      </c>
      <c r="H109">
        <v>6380</v>
      </c>
      <c r="I109">
        <v>695</v>
      </c>
      <c r="J109">
        <v>5618</v>
      </c>
      <c r="K109">
        <v>390</v>
      </c>
      <c r="L109">
        <v>117</v>
      </c>
      <c r="M109">
        <v>51</v>
      </c>
      <c r="N109">
        <v>183</v>
      </c>
      <c r="O109">
        <v>21</v>
      </c>
      <c r="P109">
        <v>94</v>
      </c>
      <c r="Q109">
        <v>21</v>
      </c>
      <c r="R109">
        <v>94</v>
      </c>
      <c r="S109">
        <v>126</v>
      </c>
      <c r="T109">
        <v>0</v>
      </c>
      <c r="U109">
        <v>0</v>
      </c>
      <c r="V109">
        <v>52</v>
      </c>
      <c r="W109">
        <v>33</v>
      </c>
      <c r="X109">
        <v>222</v>
      </c>
      <c r="Y109">
        <v>53</v>
      </c>
      <c r="Z109">
        <f t="shared" si="2"/>
        <v>2515784.2540000002</v>
      </c>
      <c r="AC109" t="s">
        <v>2689</v>
      </c>
      <c r="AD109" t="s">
        <v>2691</v>
      </c>
      <c r="AE109" t="str">
        <f t="shared" si="3"/>
        <v>Census Tract 44, King County, Washington</v>
      </c>
      <c r="AF109">
        <v>989902.56900000002</v>
      </c>
    </row>
    <row r="110" spans="1:32" x14ac:dyDescent="0.25">
      <c r="A110" t="s">
        <v>1826</v>
      </c>
      <c r="B110">
        <v>53033010700</v>
      </c>
      <c r="C110" t="s">
        <v>1827</v>
      </c>
      <c r="D110">
        <v>6140</v>
      </c>
      <c r="E110">
        <v>4344</v>
      </c>
      <c r="F110">
        <v>1796</v>
      </c>
      <c r="G110">
        <v>6140</v>
      </c>
      <c r="H110">
        <v>4344</v>
      </c>
      <c r="I110">
        <v>1796</v>
      </c>
      <c r="J110">
        <v>1629</v>
      </c>
      <c r="K110">
        <v>130</v>
      </c>
      <c r="L110">
        <v>61</v>
      </c>
      <c r="M110">
        <v>11</v>
      </c>
      <c r="N110">
        <v>1153</v>
      </c>
      <c r="O110">
        <v>165</v>
      </c>
      <c r="P110">
        <v>268</v>
      </c>
      <c r="Q110">
        <v>47</v>
      </c>
      <c r="R110">
        <v>450</v>
      </c>
      <c r="S110">
        <v>1149</v>
      </c>
      <c r="T110">
        <v>118</v>
      </c>
      <c r="U110">
        <v>68</v>
      </c>
      <c r="V110">
        <v>261</v>
      </c>
      <c r="W110">
        <v>90</v>
      </c>
      <c r="X110">
        <v>404</v>
      </c>
      <c r="Y110">
        <v>136</v>
      </c>
      <c r="Z110">
        <f t="shared" si="2"/>
        <v>2237504.2480000001</v>
      </c>
      <c r="AC110" t="s">
        <v>3490</v>
      </c>
      <c r="AD110" t="s">
        <v>3492</v>
      </c>
      <c r="AE110" t="str">
        <f t="shared" si="3"/>
        <v>Census Tract 43, King County, Washington</v>
      </c>
      <c r="AF110">
        <v>1310074.1229999999</v>
      </c>
    </row>
    <row r="111" spans="1:32" x14ac:dyDescent="0.25">
      <c r="A111" t="s">
        <v>1828</v>
      </c>
      <c r="B111">
        <v>53033010800</v>
      </c>
      <c r="C111" t="s">
        <v>1829</v>
      </c>
      <c r="D111">
        <v>4408</v>
      </c>
      <c r="E111">
        <v>3019</v>
      </c>
      <c r="F111">
        <v>1389</v>
      </c>
      <c r="G111">
        <v>4408</v>
      </c>
      <c r="H111">
        <v>3019</v>
      </c>
      <c r="I111">
        <v>1389</v>
      </c>
      <c r="J111">
        <v>1876</v>
      </c>
      <c r="K111">
        <v>92</v>
      </c>
      <c r="L111">
        <v>55</v>
      </c>
      <c r="M111">
        <v>28</v>
      </c>
      <c r="N111">
        <v>317</v>
      </c>
      <c r="O111">
        <v>45</v>
      </c>
      <c r="P111">
        <v>73</v>
      </c>
      <c r="Q111">
        <v>0</v>
      </c>
      <c r="R111">
        <v>307</v>
      </c>
      <c r="S111">
        <v>1008</v>
      </c>
      <c r="T111">
        <v>50</v>
      </c>
      <c r="U111">
        <v>0</v>
      </c>
      <c r="V111">
        <v>145</v>
      </c>
      <c r="W111">
        <v>121</v>
      </c>
      <c r="X111">
        <v>196</v>
      </c>
      <c r="Y111">
        <v>95</v>
      </c>
      <c r="Z111">
        <f t="shared" si="2"/>
        <v>4057514.5649999999</v>
      </c>
      <c r="AC111" t="s">
        <v>2698</v>
      </c>
      <c r="AD111" t="s">
        <v>2700</v>
      </c>
      <c r="AE111" t="str">
        <f t="shared" si="3"/>
        <v>Census Tract 42, King County, Washington</v>
      </c>
      <c r="AF111">
        <v>2464003.8820000002</v>
      </c>
    </row>
    <row r="112" spans="1:32" x14ac:dyDescent="0.25">
      <c r="A112" t="s">
        <v>1830</v>
      </c>
      <c r="B112">
        <v>53033010900</v>
      </c>
      <c r="C112" t="s">
        <v>1831</v>
      </c>
      <c r="D112">
        <v>1091</v>
      </c>
      <c r="E112">
        <v>840</v>
      </c>
      <c r="F112">
        <v>251</v>
      </c>
      <c r="G112">
        <v>1091</v>
      </c>
      <c r="H112">
        <v>840</v>
      </c>
      <c r="I112">
        <v>251</v>
      </c>
      <c r="J112">
        <v>588</v>
      </c>
      <c r="K112">
        <v>30</v>
      </c>
      <c r="L112">
        <v>28</v>
      </c>
      <c r="M112">
        <v>30</v>
      </c>
      <c r="N112">
        <v>70</v>
      </c>
      <c r="O112">
        <v>17</v>
      </c>
      <c r="P112">
        <v>52</v>
      </c>
      <c r="Q112">
        <v>28</v>
      </c>
      <c r="R112">
        <v>33</v>
      </c>
      <c r="S112">
        <v>90</v>
      </c>
      <c r="T112">
        <v>0</v>
      </c>
      <c r="U112">
        <v>0</v>
      </c>
      <c r="V112">
        <v>27</v>
      </c>
      <c r="W112">
        <v>30</v>
      </c>
      <c r="X112">
        <v>42</v>
      </c>
      <c r="Y112">
        <v>26</v>
      </c>
      <c r="Z112">
        <f t="shared" si="2"/>
        <v>4790223.3109999998</v>
      </c>
      <c r="AC112" t="s">
        <v>2701</v>
      </c>
      <c r="AD112" t="s">
        <v>2703</v>
      </c>
      <c r="AE112" t="str">
        <f t="shared" si="3"/>
        <v>Census Tract 41, King County, Washington</v>
      </c>
      <c r="AF112">
        <v>3202027.6320000002</v>
      </c>
    </row>
    <row r="113" spans="1:32" x14ac:dyDescent="0.25">
      <c r="A113" t="s">
        <v>1832</v>
      </c>
      <c r="B113">
        <v>53033011000</v>
      </c>
      <c r="C113" t="s">
        <v>1833</v>
      </c>
      <c r="D113">
        <v>6260</v>
      </c>
      <c r="E113">
        <v>2790</v>
      </c>
      <c r="F113">
        <v>3470</v>
      </c>
      <c r="G113">
        <v>6260</v>
      </c>
      <c r="H113">
        <v>2790</v>
      </c>
      <c r="I113">
        <v>3470</v>
      </c>
      <c r="J113">
        <v>510</v>
      </c>
      <c r="K113">
        <v>58</v>
      </c>
      <c r="L113">
        <v>18</v>
      </c>
      <c r="M113">
        <v>81</v>
      </c>
      <c r="N113">
        <v>935</v>
      </c>
      <c r="O113">
        <v>473</v>
      </c>
      <c r="P113">
        <v>181</v>
      </c>
      <c r="Q113">
        <v>0</v>
      </c>
      <c r="R113">
        <v>840</v>
      </c>
      <c r="S113">
        <v>2372</v>
      </c>
      <c r="T113">
        <v>24</v>
      </c>
      <c r="U113">
        <v>95</v>
      </c>
      <c r="V113">
        <v>65</v>
      </c>
      <c r="W113">
        <v>135</v>
      </c>
      <c r="X113">
        <v>217</v>
      </c>
      <c r="Y113">
        <v>256</v>
      </c>
      <c r="Z113">
        <f t="shared" si="2"/>
        <v>2746891.3679999998</v>
      </c>
      <c r="AC113" t="s">
        <v>2704</v>
      </c>
      <c r="AD113" t="s">
        <v>2706</v>
      </c>
      <c r="AE113" t="str">
        <f t="shared" si="3"/>
        <v>Census Tract 40, King County, Washington</v>
      </c>
      <c r="AF113">
        <v>2471859.3330000001</v>
      </c>
    </row>
    <row r="114" spans="1:32" x14ac:dyDescent="0.25">
      <c r="A114" t="s">
        <v>1834</v>
      </c>
      <c r="B114">
        <v>53033011101</v>
      </c>
      <c r="C114" t="s">
        <v>1835</v>
      </c>
      <c r="D114">
        <v>4560</v>
      </c>
      <c r="E114">
        <v>2360</v>
      </c>
      <c r="F114">
        <v>2200</v>
      </c>
      <c r="G114">
        <v>4560</v>
      </c>
      <c r="H114">
        <v>2360</v>
      </c>
      <c r="I114">
        <v>2200</v>
      </c>
      <c r="J114">
        <v>441</v>
      </c>
      <c r="K114">
        <v>47</v>
      </c>
      <c r="L114">
        <v>46</v>
      </c>
      <c r="M114">
        <v>36</v>
      </c>
      <c r="N114">
        <v>1059</v>
      </c>
      <c r="O114">
        <v>171</v>
      </c>
      <c r="P114">
        <v>44</v>
      </c>
      <c r="Q114">
        <v>9</v>
      </c>
      <c r="R114">
        <v>508</v>
      </c>
      <c r="S114">
        <v>1617</v>
      </c>
      <c r="T114">
        <v>0</v>
      </c>
      <c r="U114">
        <v>12</v>
      </c>
      <c r="V114">
        <v>37</v>
      </c>
      <c r="W114">
        <v>95</v>
      </c>
      <c r="X114">
        <v>225</v>
      </c>
      <c r="Y114">
        <v>213</v>
      </c>
      <c r="Z114">
        <f t="shared" si="2"/>
        <v>1150364.17</v>
      </c>
      <c r="AC114" t="s">
        <v>2713</v>
      </c>
      <c r="AD114" t="s">
        <v>2715</v>
      </c>
      <c r="AE114" t="str">
        <f t="shared" si="3"/>
        <v>Census Tract 39, King County, Washington</v>
      </c>
      <c r="AF114">
        <v>973807.67200000002</v>
      </c>
    </row>
    <row r="115" spans="1:32" x14ac:dyDescent="0.25">
      <c r="A115" t="s">
        <v>1836</v>
      </c>
      <c r="B115">
        <v>53033011102</v>
      </c>
      <c r="C115" t="s">
        <v>1837</v>
      </c>
      <c r="D115">
        <v>4360</v>
      </c>
      <c r="E115">
        <v>2773</v>
      </c>
      <c r="F115">
        <v>1587</v>
      </c>
      <c r="G115">
        <v>4360</v>
      </c>
      <c r="H115">
        <v>2773</v>
      </c>
      <c r="I115">
        <v>1587</v>
      </c>
      <c r="J115">
        <v>1440</v>
      </c>
      <c r="K115">
        <v>118</v>
      </c>
      <c r="L115">
        <v>48</v>
      </c>
      <c r="M115">
        <v>105</v>
      </c>
      <c r="N115">
        <v>548</v>
      </c>
      <c r="O115">
        <v>61</v>
      </c>
      <c r="P115">
        <v>0</v>
      </c>
      <c r="Q115">
        <v>0</v>
      </c>
      <c r="R115">
        <v>454</v>
      </c>
      <c r="S115">
        <v>912</v>
      </c>
      <c r="T115">
        <v>100</v>
      </c>
      <c r="U115">
        <v>71</v>
      </c>
      <c r="V115">
        <v>87</v>
      </c>
      <c r="W115">
        <v>204</v>
      </c>
      <c r="X115">
        <v>96</v>
      </c>
      <c r="Y115">
        <v>116</v>
      </c>
      <c r="Z115">
        <f t="shared" si="2"/>
        <v>1298757.5330000001</v>
      </c>
      <c r="AC115" t="s">
        <v>2716</v>
      </c>
      <c r="AD115" t="s">
        <v>2718</v>
      </c>
      <c r="AE115" t="str">
        <f t="shared" si="3"/>
        <v>Census Tract 38, King County, Washington</v>
      </c>
      <c r="AF115">
        <v>624606.14199999999</v>
      </c>
    </row>
    <row r="116" spans="1:32" x14ac:dyDescent="0.25">
      <c r="A116" t="s">
        <v>1838</v>
      </c>
      <c r="B116">
        <v>53033011200</v>
      </c>
      <c r="C116" t="s">
        <v>1839</v>
      </c>
      <c r="D116">
        <v>3717</v>
      </c>
      <c r="E116">
        <v>2459</v>
      </c>
      <c r="F116">
        <v>1258</v>
      </c>
      <c r="G116">
        <v>3717</v>
      </c>
      <c r="H116">
        <v>2459</v>
      </c>
      <c r="I116">
        <v>1258</v>
      </c>
      <c r="J116">
        <v>1237</v>
      </c>
      <c r="K116">
        <v>17</v>
      </c>
      <c r="L116">
        <v>77</v>
      </c>
      <c r="M116">
        <v>285</v>
      </c>
      <c r="N116">
        <v>279</v>
      </c>
      <c r="O116">
        <v>0</v>
      </c>
      <c r="P116">
        <v>125</v>
      </c>
      <c r="Q116">
        <v>0</v>
      </c>
      <c r="R116">
        <v>127</v>
      </c>
      <c r="S116">
        <v>414</v>
      </c>
      <c r="T116">
        <v>49</v>
      </c>
      <c r="U116">
        <v>7</v>
      </c>
      <c r="V116">
        <v>388</v>
      </c>
      <c r="W116">
        <v>486</v>
      </c>
      <c r="X116">
        <v>177</v>
      </c>
      <c r="Y116">
        <v>49</v>
      </c>
      <c r="Z116">
        <f t="shared" si="2"/>
        <v>2738588.4789999998</v>
      </c>
      <c r="AC116" t="s">
        <v>2638</v>
      </c>
      <c r="AD116" t="s">
        <v>2640</v>
      </c>
      <c r="AE116" t="str">
        <f t="shared" si="3"/>
        <v>Census Tract 59, King County, Washington</v>
      </c>
      <c r="AF116">
        <v>1804803.649</v>
      </c>
    </row>
    <row r="117" spans="1:32" x14ac:dyDescent="0.25">
      <c r="A117" t="s">
        <v>1840</v>
      </c>
      <c r="B117">
        <v>53033011300</v>
      </c>
      <c r="C117" t="s">
        <v>1841</v>
      </c>
      <c r="D117">
        <v>5975</v>
      </c>
      <c r="E117">
        <v>4285</v>
      </c>
      <c r="F117">
        <v>1690</v>
      </c>
      <c r="G117">
        <v>5975</v>
      </c>
      <c r="H117">
        <v>4285</v>
      </c>
      <c r="I117">
        <v>1690</v>
      </c>
      <c r="J117">
        <v>2976</v>
      </c>
      <c r="K117">
        <v>137</v>
      </c>
      <c r="L117">
        <v>73</v>
      </c>
      <c r="M117">
        <v>84</v>
      </c>
      <c r="N117">
        <v>522</v>
      </c>
      <c r="O117">
        <v>47</v>
      </c>
      <c r="P117">
        <v>20</v>
      </c>
      <c r="Q117">
        <v>0</v>
      </c>
      <c r="R117">
        <v>297</v>
      </c>
      <c r="S117">
        <v>1090</v>
      </c>
      <c r="T117">
        <v>75</v>
      </c>
      <c r="U117">
        <v>37</v>
      </c>
      <c r="V117">
        <v>99</v>
      </c>
      <c r="W117">
        <v>213</v>
      </c>
      <c r="X117">
        <v>223</v>
      </c>
      <c r="Y117">
        <v>82</v>
      </c>
      <c r="Z117">
        <f t="shared" si="2"/>
        <v>3157558.2140000002</v>
      </c>
      <c r="AC117" t="s">
        <v>2641</v>
      </c>
      <c r="AD117" t="s">
        <v>2643</v>
      </c>
      <c r="AE117" t="str">
        <f t="shared" si="3"/>
        <v>Census Tract 58.02, King County, Washington</v>
      </c>
      <c r="AF117">
        <v>2844903.8730000001</v>
      </c>
    </row>
    <row r="118" spans="1:32" x14ac:dyDescent="0.25">
      <c r="A118" t="s">
        <v>1842</v>
      </c>
      <c r="B118">
        <v>53033011400</v>
      </c>
      <c r="C118" t="s">
        <v>1843</v>
      </c>
      <c r="D118">
        <v>7904</v>
      </c>
      <c r="E118">
        <v>5707</v>
      </c>
      <c r="F118">
        <v>2197</v>
      </c>
      <c r="G118">
        <v>7904</v>
      </c>
      <c r="H118">
        <v>5707</v>
      </c>
      <c r="I118">
        <v>2197</v>
      </c>
      <c r="J118">
        <v>3496</v>
      </c>
      <c r="K118">
        <v>302</v>
      </c>
      <c r="L118">
        <v>92</v>
      </c>
      <c r="M118">
        <v>70</v>
      </c>
      <c r="N118">
        <v>799</v>
      </c>
      <c r="O118">
        <v>136</v>
      </c>
      <c r="P118">
        <v>104</v>
      </c>
      <c r="Q118">
        <v>0</v>
      </c>
      <c r="R118">
        <v>386</v>
      </c>
      <c r="S118">
        <v>1218</v>
      </c>
      <c r="T118">
        <v>24</v>
      </c>
      <c r="U118">
        <v>0</v>
      </c>
      <c r="V118">
        <v>470</v>
      </c>
      <c r="W118">
        <v>433</v>
      </c>
      <c r="X118">
        <v>336</v>
      </c>
      <c r="Y118">
        <v>38</v>
      </c>
      <c r="Z118">
        <f t="shared" si="2"/>
        <v>2419338.1290000002</v>
      </c>
      <c r="AC118" t="s">
        <v>2719</v>
      </c>
      <c r="AD118" t="s">
        <v>2721</v>
      </c>
      <c r="AE118" t="str">
        <f t="shared" si="3"/>
        <v>Census Tract 36, King County, Washington</v>
      </c>
      <c r="AF118">
        <v>1196455.8589999999</v>
      </c>
    </row>
    <row r="119" spans="1:32" x14ac:dyDescent="0.25">
      <c r="A119" t="s">
        <v>1844</v>
      </c>
      <c r="B119">
        <v>53033011500</v>
      </c>
      <c r="C119" t="s">
        <v>1845</v>
      </c>
      <c r="D119">
        <v>4173</v>
      </c>
      <c r="E119">
        <v>3747</v>
      </c>
      <c r="F119">
        <v>426</v>
      </c>
      <c r="G119">
        <v>4173</v>
      </c>
      <c r="H119">
        <v>3747</v>
      </c>
      <c r="I119">
        <v>426</v>
      </c>
      <c r="J119">
        <v>3149</v>
      </c>
      <c r="K119">
        <v>145</v>
      </c>
      <c r="L119">
        <v>76</v>
      </c>
      <c r="M119">
        <v>11</v>
      </c>
      <c r="N119">
        <v>151</v>
      </c>
      <c r="O119">
        <v>6</v>
      </c>
      <c r="P119">
        <v>19</v>
      </c>
      <c r="Q119">
        <v>0</v>
      </c>
      <c r="R119">
        <v>125</v>
      </c>
      <c r="S119">
        <v>153</v>
      </c>
      <c r="T119">
        <v>0</v>
      </c>
      <c r="U119">
        <v>0</v>
      </c>
      <c r="V119">
        <v>60</v>
      </c>
      <c r="W119">
        <v>29</v>
      </c>
      <c r="X119">
        <v>167</v>
      </c>
      <c r="Y119">
        <v>82</v>
      </c>
      <c r="Z119">
        <f t="shared" si="2"/>
        <v>1538373.152</v>
      </c>
      <c r="AC119" t="s">
        <v>2722</v>
      </c>
      <c r="AD119" t="s">
        <v>2724</v>
      </c>
      <c r="AE119" t="str">
        <f t="shared" si="3"/>
        <v>Census Tract 35, King County, Washington</v>
      </c>
      <c r="AF119">
        <v>1284761.325</v>
      </c>
    </row>
    <row r="120" spans="1:32" x14ac:dyDescent="0.25">
      <c r="A120" t="s">
        <v>1846</v>
      </c>
      <c r="B120">
        <v>53033011600</v>
      </c>
      <c r="C120" t="s">
        <v>1847</v>
      </c>
      <c r="D120">
        <v>6111</v>
      </c>
      <c r="E120">
        <v>5548</v>
      </c>
      <c r="F120">
        <v>563</v>
      </c>
      <c r="G120">
        <v>6111</v>
      </c>
      <c r="H120">
        <v>5548</v>
      </c>
      <c r="I120">
        <v>563</v>
      </c>
      <c r="J120">
        <v>5075</v>
      </c>
      <c r="K120">
        <v>336</v>
      </c>
      <c r="L120">
        <v>102</v>
      </c>
      <c r="M120">
        <v>69</v>
      </c>
      <c r="N120">
        <v>30</v>
      </c>
      <c r="O120">
        <v>8</v>
      </c>
      <c r="P120">
        <v>39</v>
      </c>
      <c r="Q120">
        <v>0</v>
      </c>
      <c r="R120">
        <v>81</v>
      </c>
      <c r="S120">
        <v>117</v>
      </c>
      <c r="T120">
        <v>35</v>
      </c>
      <c r="U120">
        <v>0</v>
      </c>
      <c r="V120">
        <v>18</v>
      </c>
      <c r="W120">
        <v>17</v>
      </c>
      <c r="X120">
        <v>168</v>
      </c>
      <c r="Y120">
        <v>16</v>
      </c>
      <c r="Z120">
        <f t="shared" si="2"/>
        <v>3100957.5520000001</v>
      </c>
      <c r="AC120" t="s">
        <v>2725</v>
      </c>
      <c r="AD120" t="s">
        <v>2727</v>
      </c>
      <c r="AE120" t="str">
        <f t="shared" si="3"/>
        <v>Census Tract 34, King County, Washington</v>
      </c>
      <c r="AF120">
        <v>787151.99899999995</v>
      </c>
    </row>
    <row r="121" spans="1:32" x14ac:dyDescent="0.25">
      <c r="A121" t="s">
        <v>1848</v>
      </c>
      <c r="B121">
        <v>53033011700</v>
      </c>
      <c r="C121" t="s">
        <v>1849</v>
      </c>
      <c r="D121">
        <v>5192</v>
      </c>
      <c r="E121">
        <v>2969</v>
      </c>
      <c r="F121">
        <v>2223</v>
      </c>
      <c r="G121">
        <v>5192</v>
      </c>
      <c r="H121">
        <v>2969</v>
      </c>
      <c r="I121">
        <v>2223</v>
      </c>
      <c r="J121">
        <v>643</v>
      </c>
      <c r="K121">
        <v>44</v>
      </c>
      <c r="L121">
        <v>22</v>
      </c>
      <c r="M121">
        <v>77</v>
      </c>
      <c r="N121">
        <v>1233</v>
      </c>
      <c r="O121">
        <v>90</v>
      </c>
      <c r="P121">
        <v>4</v>
      </c>
      <c r="Q121">
        <v>0</v>
      </c>
      <c r="R121">
        <v>813</v>
      </c>
      <c r="S121">
        <v>1775</v>
      </c>
      <c r="T121">
        <v>0</v>
      </c>
      <c r="U121">
        <v>38</v>
      </c>
      <c r="V121">
        <v>74</v>
      </c>
      <c r="W121">
        <v>109</v>
      </c>
      <c r="X121">
        <v>180</v>
      </c>
      <c r="Y121">
        <v>90</v>
      </c>
      <c r="Z121">
        <f t="shared" si="2"/>
        <v>3531697.9309999999</v>
      </c>
      <c r="AC121" t="s">
        <v>2728</v>
      </c>
      <c r="AD121" t="s">
        <v>2730</v>
      </c>
      <c r="AE121" t="str">
        <f t="shared" si="3"/>
        <v>Census Tract 33, King County, Washington</v>
      </c>
      <c r="AF121">
        <v>1296370.827</v>
      </c>
    </row>
    <row r="122" spans="1:32" x14ac:dyDescent="0.25">
      <c r="A122" t="s">
        <v>1850</v>
      </c>
      <c r="B122">
        <v>53033011800</v>
      </c>
      <c r="C122" t="s">
        <v>1851</v>
      </c>
      <c r="D122">
        <v>7497</v>
      </c>
      <c r="E122">
        <v>5116</v>
      </c>
      <c r="F122">
        <v>2381</v>
      </c>
      <c r="G122">
        <v>7497</v>
      </c>
      <c r="H122">
        <v>5116</v>
      </c>
      <c r="I122">
        <v>2381</v>
      </c>
      <c r="J122">
        <v>1352</v>
      </c>
      <c r="K122">
        <v>92</v>
      </c>
      <c r="L122">
        <v>42</v>
      </c>
      <c r="M122">
        <v>89</v>
      </c>
      <c r="N122">
        <v>2346</v>
      </c>
      <c r="O122">
        <v>144</v>
      </c>
      <c r="P122">
        <v>98</v>
      </c>
      <c r="Q122">
        <v>0</v>
      </c>
      <c r="R122">
        <v>611</v>
      </c>
      <c r="S122">
        <v>1462</v>
      </c>
      <c r="T122">
        <v>73</v>
      </c>
      <c r="U122">
        <v>76</v>
      </c>
      <c r="V122">
        <v>97</v>
      </c>
      <c r="W122">
        <v>208</v>
      </c>
      <c r="X122">
        <v>497</v>
      </c>
      <c r="Y122">
        <v>310</v>
      </c>
      <c r="Z122">
        <f t="shared" si="2"/>
        <v>2299528.6529999999</v>
      </c>
      <c r="AC122" t="s">
        <v>2731</v>
      </c>
      <c r="AD122" t="s">
        <v>2733</v>
      </c>
      <c r="AE122" t="str">
        <f t="shared" si="3"/>
        <v>Census Tract 32, King County, Washington</v>
      </c>
      <c r="AF122">
        <v>2072998.2890000001</v>
      </c>
    </row>
    <row r="123" spans="1:32" x14ac:dyDescent="0.25">
      <c r="A123" t="s">
        <v>1852</v>
      </c>
      <c r="B123">
        <v>53033011900</v>
      </c>
      <c r="C123" t="s">
        <v>1853</v>
      </c>
      <c r="D123">
        <v>7161</v>
      </c>
      <c r="E123">
        <v>5542</v>
      </c>
      <c r="F123">
        <v>1619</v>
      </c>
      <c r="G123">
        <v>7161</v>
      </c>
      <c r="H123">
        <v>5542</v>
      </c>
      <c r="I123">
        <v>1619</v>
      </c>
      <c r="J123">
        <v>1917</v>
      </c>
      <c r="K123">
        <v>139</v>
      </c>
      <c r="L123">
        <v>13</v>
      </c>
      <c r="M123">
        <v>19</v>
      </c>
      <c r="N123">
        <v>2035</v>
      </c>
      <c r="O123">
        <v>141</v>
      </c>
      <c r="P123">
        <v>26</v>
      </c>
      <c r="Q123">
        <v>0</v>
      </c>
      <c r="R123">
        <v>910</v>
      </c>
      <c r="S123">
        <v>1262</v>
      </c>
      <c r="T123">
        <v>22</v>
      </c>
      <c r="U123">
        <v>22</v>
      </c>
      <c r="V123">
        <v>48</v>
      </c>
      <c r="W123">
        <v>0</v>
      </c>
      <c r="X123">
        <v>571</v>
      </c>
      <c r="Y123">
        <v>36</v>
      </c>
      <c r="Z123">
        <f t="shared" si="2"/>
        <v>3141142.1949999998</v>
      </c>
      <c r="AC123" t="s">
        <v>2734</v>
      </c>
      <c r="AD123" t="s">
        <v>2736</v>
      </c>
      <c r="AE123" t="str">
        <f t="shared" si="3"/>
        <v>Census Tract 31, King County, Washington</v>
      </c>
      <c r="AF123">
        <v>2126261.835</v>
      </c>
    </row>
    <row r="124" spans="1:32" x14ac:dyDescent="0.25">
      <c r="A124" t="s">
        <v>1854</v>
      </c>
      <c r="B124">
        <v>53033012000</v>
      </c>
      <c r="C124" t="s">
        <v>1855</v>
      </c>
      <c r="D124">
        <v>3401</v>
      </c>
      <c r="E124">
        <v>3016</v>
      </c>
      <c r="F124">
        <v>385</v>
      </c>
      <c r="G124">
        <v>3401</v>
      </c>
      <c r="H124">
        <v>3016</v>
      </c>
      <c r="I124">
        <v>385</v>
      </c>
      <c r="J124">
        <v>2578</v>
      </c>
      <c r="K124">
        <v>193</v>
      </c>
      <c r="L124">
        <v>70</v>
      </c>
      <c r="M124">
        <v>4</v>
      </c>
      <c r="N124">
        <v>63</v>
      </c>
      <c r="O124">
        <v>5</v>
      </c>
      <c r="P124">
        <v>21</v>
      </c>
      <c r="Q124">
        <v>0</v>
      </c>
      <c r="R124">
        <v>113</v>
      </c>
      <c r="S124">
        <v>132</v>
      </c>
      <c r="T124">
        <v>16</v>
      </c>
      <c r="U124">
        <v>10</v>
      </c>
      <c r="V124">
        <v>38</v>
      </c>
      <c r="W124">
        <v>35</v>
      </c>
      <c r="X124">
        <v>117</v>
      </c>
      <c r="Y124">
        <v>6</v>
      </c>
      <c r="Z124">
        <f t="shared" si="2"/>
        <v>1449701.226</v>
      </c>
      <c r="AC124" t="s">
        <v>2737</v>
      </c>
      <c r="AD124" t="s">
        <v>2739</v>
      </c>
      <c r="AE124" t="str">
        <f t="shared" si="3"/>
        <v>Census Tract 30, King County, Washington</v>
      </c>
      <c r="AF124">
        <v>1493252.781</v>
      </c>
    </row>
    <row r="125" spans="1:32" x14ac:dyDescent="0.25">
      <c r="A125" t="s">
        <v>1856</v>
      </c>
      <c r="B125">
        <v>53033012100</v>
      </c>
      <c r="C125" t="s">
        <v>1857</v>
      </c>
      <c r="D125">
        <v>2745</v>
      </c>
      <c r="E125">
        <v>2549</v>
      </c>
      <c r="F125">
        <v>196</v>
      </c>
      <c r="G125">
        <v>2745</v>
      </c>
      <c r="H125">
        <v>2549</v>
      </c>
      <c r="I125">
        <v>196</v>
      </c>
      <c r="J125">
        <v>2330</v>
      </c>
      <c r="K125">
        <v>141</v>
      </c>
      <c r="L125">
        <v>9</v>
      </c>
      <c r="M125">
        <v>0</v>
      </c>
      <c r="N125">
        <v>0</v>
      </c>
      <c r="O125">
        <v>0</v>
      </c>
      <c r="P125">
        <v>42</v>
      </c>
      <c r="Q125">
        <v>16</v>
      </c>
      <c r="R125">
        <v>67</v>
      </c>
      <c r="S125">
        <v>32</v>
      </c>
      <c r="T125">
        <v>0</v>
      </c>
      <c r="U125">
        <v>0</v>
      </c>
      <c r="V125">
        <v>17</v>
      </c>
      <c r="W125">
        <v>7</v>
      </c>
      <c r="X125">
        <v>84</v>
      </c>
      <c r="Y125">
        <v>0</v>
      </c>
      <c r="Z125">
        <f t="shared" si="2"/>
        <v>1706805.1229999999</v>
      </c>
      <c r="AC125" t="s">
        <v>2743</v>
      </c>
      <c r="AD125" t="s">
        <v>2745</v>
      </c>
      <c r="AE125" t="str">
        <f t="shared" si="3"/>
        <v>Census Tract 29, King County, Washington</v>
      </c>
      <c r="AF125">
        <v>986206.95499999996</v>
      </c>
    </row>
    <row r="126" spans="1:32" x14ac:dyDescent="0.25">
      <c r="A126" t="s">
        <v>1858</v>
      </c>
      <c r="B126">
        <v>53033020100</v>
      </c>
      <c r="C126" t="s">
        <v>1859</v>
      </c>
      <c r="D126">
        <v>3235</v>
      </c>
      <c r="E126">
        <v>2984</v>
      </c>
      <c r="F126">
        <v>251</v>
      </c>
      <c r="G126">
        <v>3235</v>
      </c>
      <c r="H126">
        <v>2984</v>
      </c>
      <c r="I126">
        <v>251</v>
      </c>
      <c r="J126">
        <v>2759</v>
      </c>
      <c r="K126">
        <v>157</v>
      </c>
      <c r="L126">
        <v>16</v>
      </c>
      <c r="M126">
        <v>5</v>
      </c>
      <c r="N126">
        <v>5</v>
      </c>
      <c r="O126">
        <v>0</v>
      </c>
      <c r="P126">
        <v>12</v>
      </c>
      <c r="Q126">
        <v>0</v>
      </c>
      <c r="R126">
        <v>67</v>
      </c>
      <c r="S126">
        <v>77</v>
      </c>
      <c r="T126">
        <v>0</v>
      </c>
      <c r="U126">
        <v>0</v>
      </c>
      <c r="V126">
        <v>18</v>
      </c>
      <c r="W126">
        <v>0</v>
      </c>
      <c r="X126">
        <v>107</v>
      </c>
      <c r="Y126">
        <v>12</v>
      </c>
      <c r="Z126" t="e">
        <f t="shared" si="2"/>
        <v>#N/A</v>
      </c>
    </row>
    <row r="127" spans="1:32" x14ac:dyDescent="0.25">
      <c r="A127" t="s">
        <v>1860</v>
      </c>
      <c r="B127">
        <v>53033020200</v>
      </c>
      <c r="C127" t="s">
        <v>1861</v>
      </c>
      <c r="D127">
        <v>5624</v>
      </c>
      <c r="E127">
        <v>4849</v>
      </c>
      <c r="F127">
        <v>775</v>
      </c>
      <c r="G127">
        <v>5624</v>
      </c>
      <c r="H127">
        <v>4849</v>
      </c>
      <c r="I127">
        <v>775</v>
      </c>
      <c r="J127">
        <v>4421</v>
      </c>
      <c r="K127">
        <v>273</v>
      </c>
      <c r="L127">
        <v>61</v>
      </c>
      <c r="M127">
        <v>83</v>
      </c>
      <c r="N127">
        <v>59</v>
      </c>
      <c r="O127">
        <v>54</v>
      </c>
      <c r="P127">
        <v>50</v>
      </c>
      <c r="Q127">
        <v>0</v>
      </c>
      <c r="R127">
        <v>98</v>
      </c>
      <c r="S127">
        <v>357</v>
      </c>
      <c r="T127">
        <v>11</v>
      </c>
      <c r="U127">
        <v>8</v>
      </c>
      <c r="V127">
        <v>9</v>
      </c>
      <c r="W127">
        <v>0</v>
      </c>
      <c r="X127">
        <v>140</v>
      </c>
      <c r="Y127">
        <v>0</v>
      </c>
      <c r="Z127" t="e">
        <f t="shared" si="2"/>
        <v>#N/A</v>
      </c>
    </row>
    <row r="128" spans="1:32" x14ac:dyDescent="0.25">
      <c r="A128" t="s">
        <v>1862</v>
      </c>
      <c r="B128">
        <v>53033020300</v>
      </c>
      <c r="C128" t="s">
        <v>1863</v>
      </c>
      <c r="D128">
        <v>6081</v>
      </c>
      <c r="E128">
        <v>4597</v>
      </c>
      <c r="F128">
        <v>1484</v>
      </c>
      <c r="G128">
        <v>6081</v>
      </c>
      <c r="H128">
        <v>4597</v>
      </c>
      <c r="I128">
        <v>1484</v>
      </c>
      <c r="J128">
        <v>3844</v>
      </c>
      <c r="K128">
        <v>388</v>
      </c>
      <c r="L128">
        <v>20</v>
      </c>
      <c r="M128">
        <v>38</v>
      </c>
      <c r="N128">
        <v>154</v>
      </c>
      <c r="O128">
        <v>62</v>
      </c>
      <c r="P128">
        <v>32</v>
      </c>
      <c r="Q128">
        <v>0</v>
      </c>
      <c r="R128">
        <v>246</v>
      </c>
      <c r="S128">
        <v>802</v>
      </c>
      <c r="T128">
        <v>0</v>
      </c>
      <c r="U128">
        <v>0</v>
      </c>
      <c r="V128">
        <v>91</v>
      </c>
      <c r="W128">
        <v>48</v>
      </c>
      <c r="X128">
        <v>210</v>
      </c>
      <c r="Y128">
        <v>146</v>
      </c>
      <c r="Z128" t="e">
        <f t="shared" si="2"/>
        <v>#N/A</v>
      </c>
    </row>
    <row r="129" spans="1:26" x14ac:dyDescent="0.25">
      <c r="A129" t="s">
        <v>1864</v>
      </c>
      <c r="B129">
        <v>53033020401</v>
      </c>
      <c r="C129" t="s">
        <v>1865</v>
      </c>
      <c r="D129">
        <v>3544</v>
      </c>
      <c r="E129">
        <v>3015</v>
      </c>
      <c r="F129">
        <v>529</v>
      </c>
      <c r="G129">
        <v>3544</v>
      </c>
      <c r="H129">
        <v>3015</v>
      </c>
      <c r="I129">
        <v>529</v>
      </c>
      <c r="J129">
        <v>2423</v>
      </c>
      <c r="K129">
        <v>216</v>
      </c>
      <c r="L129">
        <v>25</v>
      </c>
      <c r="M129">
        <v>12</v>
      </c>
      <c r="N129">
        <v>126</v>
      </c>
      <c r="O129">
        <v>32</v>
      </c>
      <c r="P129">
        <v>102</v>
      </c>
      <c r="Q129">
        <v>24</v>
      </c>
      <c r="R129">
        <v>94</v>
      </c>
      <c r="S129">
        <v>194</v>
      </c>
      <c r="T129">
        <v>0</v>
      </c>
      <c r="U129">
        <v>21</v>
      </c>
      <c r="V129">
        <v>62</v>
      </c>
      <c r="W129">
        <v>24</v>
      </c>
      <c r="X129">
        <v>183</v>
      </c>
      <c r="Y129">
        <v>6</v>
      </c>
      <c r="Z129" t="e">
        <f t="shared" si="2"/>
        <v>#N/A</v>
      </c>
    </row>
    <row r="130" spans="1:26" x14ac:dyDescent="0.25">
      <c r="A130" t="s">
        <v>1866</v>
      </c>
      <c r="B130">
        <v>53033020402</v>
      </c>
      <c r="C130" t="s">
        <v>1867</v>
      </c>
      <c r="D130">
        <v>5502</v>
      </c>
      <c r="E130">
        <v>4396</v>
      </c>
      <c r="F130">
        <v>1106</v>
      </c>
      <c r="G130">
        <v>5502</v>
      </c>
      <c r="H130">
        <v>4396</v>
      </c>
      <c r="I130">
        <v>1106</v>
      </c>
      <c r="J130">
        <v>3767</v>
      </c>
      <c r="K130">
        <v>416</v>
      </c>
      <c r="L130">
        <v>56</v>
      </c>
      <c r="M130">
        <v>8</v>
      </c>
      <c r="N130">
        <v>53</v>
      </c>
      <c r="O130">
        <v>18</v>
      </c>
      <c r="P130">
        <v>6</v>
      </c>
      <c r="Q130">
        <v>0</v>
      </c>
      <c r="R130">
        <v>228</v>
      </c>
      <c r="S130">
        <v>527</v>
      </c>
      <c r="T130">
        <v>5</v>
      </c>
      <c r="U130">
        <v>15</v>
      </c>
      <c r="V130">
        <v>49</v>
      </c>
      <c r="W130">
        <v>51</v>
      </c>
      <c r="X130">
        <v>232</v>
      </c>
      <c r="Y130">
        <v>71</v>
      </c>
      <c r="Z130" t="e">
        <f t="shared" si="2"/>
        <v>#N/A</v>
      </c>
    </row>
    <row r="131" spans="1:26" x14ac:dyDescent="0.25">
      <c r="A131" t="s">
        <v>1868</v>
      </c>
      <c r="B131">
        <v>53033020500</v>
      </c>
      <c r="C131" t="s">
        <v>1869</v>
      </c>
      <c r="D131">
        <v>6326</v>
      </c>
      <c r="E131">
        <v>5242</v>
      </c>
      <c r="F131">
        <v>1084</v>
      </c>
      <c r="G131">
        <v>6326</v>
      </c>
      <c r="H131">
        <v>5242</v>
      </c>
      <c r="I131">
        <v>1084</v>
      </c>
      <c r="J131">
        <v>4369</v>
      </c>
      <c r="K131">
        <v>273</v>
      </c>
      <c r="L131">
        <v>39</v>
      </c>
      <c r="M131">
        <v>0</v>
      </c>
      <c r="N131">
        <v>141</v>
      </c>
      <c r="O131">
        <v>55</v>
      </c>
      <c r="P131">
        <v>71</v>
      </c>
      <c r="Q131">
        <v>0</v>
      </c>
      <c r="R131">
        <v>170</v>
      </c>
      <c r="S131">
        <v>635</v>
      </c>
      <c r="T131">
        <v>0</v>
      </c>
      <c r="U131">
        <v>2</v>
      </c>
      <c r="V131">
        <v>49</v>
      </c>
      <c r="W131">
        <v>76</v>
      </c>
      <c r="X131">
        <v>403</v>
      </c>
      <c r="Y131">
        <v>43</v>
      </c>
      <c r="Z131" t="e">
        <f t="shared" ref="Z131:Z194" si="4">VLOOKUP(C131,$AE$2:$AF$125,2,FALSE)</f>
        <v>#N/A</v>
      </c>
    </row>
    <row r="132" spans="1:26" x14ac:dyDescent="0.25">
      <c r="A132" t="s">
        <v>1870</v>
      </c>
      <c r="B132">
        <v>53033020600</v>
      </c>
      <c r="C132" t="s">
        <v>1871</v>
      </c>
      <c r="D132">
        <v>3634</v>
      </c>
      <c r="E132">
        <v>2943</v>
      </c>
      <c r="F132">
        <v>691</v>
      </c>
      <c r="G132">
        <v>3634</v>
      </c>
      <c r="H132">
        <v>2943</v>
      </c>
      <c r="I132">
        <v>691</v>
      </c>
      <c r="J132">
        <v>2451</v>
      </c>
      <c r="K132">
        <v>94</v>
      </c>
      <c r="L132">
        <v>53</v>
      </c>
      <c r="M132">
        <v>6</v>
      </c>
      <c r="N132">
        <v>69</v>
      </c>
      <c r="O132">
        <v>0</v>
      </c>
      <c r="P132">
        <v>26</v>
      </c>
      <c r="Q132">
        <v>0</v>
      </c>
      <c r="R132">
        <v>149</v>
      </c>
      <c r="S132">
        <v>526</v>
      </c>
      <c r="T132">
        <v>7</v>
      </c>
      <c r="U132">
        <v>0</v>
      </c>
      <c r="V132">
        <v>5</v>
      </c>
      <c r="W132">
        <v>46</v>
      </c>
      <c r="X132">
        <v>183</v>
      </c>
      <c r="Y132">
        <v>19</v>
      </c>
      <c r="Z132" t="e">
        <f t="shared" si="4"/>
        <v>#N/A</v>
      </c>
    </row>
    <row r="133" spans="1:26" x14ac:dyDescent="0.25">
      <c r="A133" t="s">
        <v>1872</v>
      </c>
      <c r="B133">
        <v>53033020700</v>
      </c>
      <c r="C133" t="s">
        <v>1873</v>
      </c>
      <c r="D133">
        <v>3302</v>
      </c>
      <c r="E133">
        <v>2635</v>
      </c>
      <c r="F133">
        <v>667</v>
      </c>
      <c r="G133">
        <v>3302</v>
      </c>
      <c r="H133">
        <v>2635</v>
      </c>
      <c r="I133">
        <v>667</v>
      </c>
      <c r="J133">
        <v>2176</v>
      </c>
      <c r="K133">
        <v>193</v>
      </c>
      <c r="L133">
        <v>40</v>
      </c>
      <c r="M133">
        <v>10</v>
      </c>
      <c r="N133">
        <v>69</v>
      </c>
      <c r="O133">
        <v>35</v>
      </c>
      <c r="P133">
        <v>42</v>
      </c>
      <c r="Q133">
        <v>4</v>
      </c>
      <c r="R133">
        <v>78</v>
      </c>
      <c r="S133">
        <v>323</v>
      </c>
      <c r="T133">
        <v>0</v>
      </c>
      <c r="U133">
        <v>0</v>
      </c>
      <c r="V133">
        <v>48</v>
      </c>
      <c r="W133">
        <v>85</v>
      </c>
      <c r="X133">
        <v>182</v>
      </c>
      <c r="Y133">
        <v>17</v>
      </c>
      <c r="Z133" t="e">
        <f t="shared" si="4"/>
        <v>#N/A</v>
      </c>
    </row>
    <row r="134" spans="1:26" x14ac:dyDescent="0.25">
      <c r="A134" t="s">
        <v>1874</v>
      </c>
      <c r="B134">
        <v>53033020800</v>
      </c>
      <c r="C134" t="s">
        <v>1875</v>
      </c>
      <c r="D134">
        <v>4501</v>
      </c>
      <c r="E134">
        <v>3808</v>
      </c>
      <c r="F134">
        <v>693</v>
      </c>
      <c r="G134">
        <v>4501</v>
      </c>
      <c r="H134">
        <v>3808</v>
      </c>
      <c r="I134">
        <v>693</v>
      </c>
      <c r="J134">
        <v>3477</v>
      </c>
      <c r="K134">
        <v>482</v>
      </c>
      <c r="L134">
        <v>44</v>
      </c>
      <c r="M134">
        <v>4</v>
      </c>
      <c r="N134">
        <v>54</v>
      </c>
      <c r="O134">
        <v>0</v>
      </c>
      <c r="P134">
        <v>9</v>
      </c>
      <c r="Q134">
        <v>0</v>
      </c>
      <c r="R134">
        <v>45</v>
      </c>
      <c r="S134">
        <v>94</v>
      </c>
      <c r="T134">
        <v>9</v>
      </c>
      <c r="U134">
        <v>5</v>
      </c>
      <c r="V134">
        <v>13</v>
      </c>
      <c r="W134">
        <v>94</v>
      </c>
      <c r="X134">
        <v>157</v>
      </c>
      <c r="Y134">
        <v>14</v>
      </c>
      <c r="Z134" t="e">
        <f t="shared" si="4"/>
        <v>#N/A</v>
      </c>
    </row>
    <row r="135" spans="1:26" x14ac:dyDescent="0.25">
      <c r="A135" t="s">
        <v>1876</v>
      </c>
      <c r="B135">
        <v>53033020900</v>
      </c>
      <c r="C135" t="s">
        <v>1877</v>
      </c>
      <c r="D135">
        <v>3167</v>
      </c>
      <c r="E135">
        <v>2763</v>
      </c>
      <c r="F135">
        <v>404</v>
      </c>
      <c r="G135">
        <v>3167</v>
      </c>
      <c r="H135">
        <v>2763</v>
      </c>
      <c r="I135">
        <v>404</v>
      </c>
      <c r="J135">
        <v>2355</v>
      </c>
      <c r="K135">
        <v>103</v>
      </c>
      <c r="L135">
        <v>32</v>
      </c>
      <c r="M135">
        <v>6</v>
      </c>
      <c r="N135">
        <v>83</v>
      </c>
      <c r="O135">
        <v>0</v>
      </c>
      <c r="P135">
        <v>42</v>
      </c>
      <c r="Q135">
        <v>0</v>
      </c>
      <c r="R135">
        <v>134</v>
      </c>
      <c r="S135">
        <v>289</v>
      </c>
      <c r="T135">
        <v>0</v>
      </c>
      <c r="U135">
        <v>0</v>
      </c>
      <c r="V135">
        <v>14</v>
      </c>
      <c r="W135">
        <v>0</v>
      </c>
      <c r="X135">
        <v>103</v>
      </c>
      <c r="Y135">
        <v>6</v>
      </c>
      <c r="Z135" t="e">
        <f t="shared" si="4"/>
        <v>#N/A</v>
      </c>
    </row>
    <row r="136" spans="1:26" x14ac:dyDescent="0.25">
      <c r="A136" t="s">
        <v>1878</v>
      </c>
      <c r="B136">
        <v>53033021000</v>
      </c>
      <c r="C136" t="s">
        <v>1879</v>
      </c>
      <c r="D136">
        <v>5699</v>
      </c>
      <c r="E136">
        <v>4509</v>
      </c>
      <c r="F136">
        <v>1190</v>
      </c>
      <c r="G136">
        <v>5699</v>
      </c>
      <c r="H136">
        <v>4509</v>
      </c>
      <c r="I136">
        <v>1190</v>
      </c>
      <c r="J136">
        <v>3643</v>
      </c>
      <c r="K136">
        <v>203</v>
      </c>
      <c r="L136">
        <v>50</v>
      </c>
      <c r="M136">
        <v>0</v>
      </c>
      <c r="N136">
        <v>192</v>
      </c>
      <c r="O136">
        <v>19</v>
      </c>
      <c r="P136">
        <v>103</v>
      </c>
      <c r="Q136">
        <v>0</v>
      </c>
      <c r="R136">
        <v>289</v>
      </c>
      <c r="S136">
        <v>743</v>
      </c>
      <c r="T136">
        <v>15</v>
      </c>
      <c r="U136">
        <v>114</v>
      </c>
      <c r="V136">
        <v>40</v>
      </c>
      <c r="W136">
        <v>64</v>
      </c>
      <c r="X136">
        <v>177</v>
      </c>
      <c r="Y136">
        <v>47</v>
      </c>
      <c r="Z136" t="e">
        <f t="shared" si="4"/>
        <v>#N/A</v>
      </c>
    </row>
    <row r="137" spans="1:26" x14ac:dyDescent="0.25">
      <c r="A137" t="s">
        <v>1880</v>
      </c>
      <c r="B137">
        <v>53033021100</v>
      </c>
      <c r="C137" t="s">
        <v>1881</v>
      </c>
      <c r="D137">
        <v>4054</v>
      </c>
      <c r="E137">
        <v>3122</v>
      </c>
      <c r="F137">
        <v>932</v>
      </c>
      <c r="G137">
        <v>4054</v>
      </c>
      <c r="H137">
        <v>3122</v>
      </c>
      <c r="I137">
        <v>932</v>
      </c>
      <c r="J137">
        <v>2654</v>
      </c>
      <c r="K137">
        <v>233</v>
      </c>
      <c r="L137">
        <v>29</v>
      </c>
      <c r="M137">
        <v>23</v>
      </c>
      <c r="N137">
        <v>118</v>
      </c>
      <c r="O137">
        <v>76</v>
      </c>
      <c r="P137">
        <v>15</v>
      </c>
      <c r="Q137">
        <v>0</v>
      </c>
      <c r="R137">
        <v>145</v>
      </c>
      <c r="S137">
        <v>519</v>
      </c>
      <c r="T137">
        <v>0</v>
      </c>
      <c r="U137">
        <v>0</v>
      </c>
      <c r="V137">
        <v>49</v>
      </c>
      <c r="W137">
        <v>43</v>
      </c>
      <c r="X137">
        <v>112</v>
      </c>
      <c r="Y137">
        <v>38</v>
      </c>
      <c r="Z137" t="e">
        <f t="shared" si="4"/>
        <v>#N/A</v>
      </c>
    </row>
    <row r="138" spans="1:26" x14ac:dyDescent="0.25">
      <c r="A138" t="s">
        <v>1882</v>
      </c>
      <c r="B138">
        <v>53033021300</v>
      </c>
      <c r="C138" t="s">
        <v>1883</v>
      </c>
      <c r="D138">
        <v>4172</v>
      </c>
      <c r="E138">
        <v>3255</v>
      </c>
      <c r="F138">
        <v>917</v>
      </c>
      <c r="G138">
        <v>4172</v>
      </c>
      <c r="H138">
        <v>3255</v>
      </c>
      <c r="I138">
        <v>917</v>
      </c>
      <c r="J138">
        <v>2795</v>
      </c>
      <c r="K138">
        <v>407</v>
      </c>
      <c r="L138">
        <v>43</v>
      </c>
      <c r="M138">
        <v>14</v>
      </c>
      <c r="N138">
        <v>82</v>
      </c>
      <c r="O138">
        <v>40</v>
      </c>
      <c r="P138">
        <v>15</v>
      </c>
      <c r="Q138">
        <v>7</v>
      </c>
      <c r="R138">
        <v>115</v>
      </c>
      <c r="S138">
        <v>344</v>
      </c>
      <c r="T138">
        <v>23</v>
      </c>
      <c r="U138">
        <v>0</v>
      </c>
      <c r="V138">
        <v>37</v>
      </c>
      <c r="W138">
        <v>77</v>
      </c>
      <c r="X138">
        <v>145</v>
      </c>
      <c r="Y138">
        <v>28</v>
      </c>
      <c r="Z138" t="e">
        <f t="shared" si="4"/>
        <v>#N/A</v>
      </c>
    </row>
    <row r="139" spans="1:26" x14ac:dyDescent="0.25">
      <c r="A139" t="s">
        <v>1884</v>
      </c>
      <c r="B139">
        <v>53033021400</v>
      </c>
      <c r="C139" t="s">
        <v>1885</v>
      </c>
      <c r="D139">
        <v>3815</v>
      </c>
      <c r="E139">
        <v>3457</v>
      </c>
      <c r="F139">
        <v>358</v>
      </c>
      <c r="G139">
        <v>3815</v>
      </c>
      <c r="H139">
        <v>3457</v>
      </c>
      <c r="I139">
        <v>358</v>
      </c>
      <c r="J139">
        <v>3076</v>
      </c>
      <c r="K139">
        <v>180</v>
      </c>
      <c r="L139">
        <v>0</v>
      </c>
      <c r="M139">
        <v>0</v>
      </c>
      <c r="N139">
        <v>21</v>
      </c>
      <c r="O139">
        <v>17</v>
      </c>
      <c r="P139">
        <v>35</v>
      </c>
      <c r="Q139">
        <v>0</v>
      </c>
      <c r="R139">
        <v>99</v>
      </c>
      <c r="S139">
        <v>129</v>
      </c>
      <c r="T139">
        <v>0</v>
      </c>
      <c r="U139">
        <v>0</v>
      </c>
      <c r="V139">
        <v>84</v>
      </c>
      <c r="W139">
        <v>8</v>
      </c>
      <c r="X139">
        <v>142</v>
      </c>
      <c r="Y139">
        <v>24</v>
      </c>
      <c r="Z139" t="e">
        <f t="shared" si="4"/>
        <v>#N/A</v>
      </c>
    </row>
    <row r="140" spans="1:26" x14ac:dyDescent="0.25">
      <c r="A140" t="s">
        <v>1886</v>
      </c>
      <c r="B140">
        <v>53033021500</v>
      </c>
      <c r="C140" t="s">
        <v>1887</v>
      </c>
      <c r="D140">
        <v>4400</v>
      </c>
      <c r="E140">
        <v>3912</v>
      </c>
      <c r="F140">
        <v>488</v>
      </c>
      <c r="G140">
        <v>4400</v>
      </c>
      <c r="H140">
        <v>3912</v>
      </c>
      <c r="I140">
        <v>488</v>
      </c>
      <c r="J140">
        <v>3615</v>
      </c>
      <c r="K140">
        <v>219</v>
      </c>
      <c r="L140">
        <v>0</v>
      </c>
      <c r="M140">
        <v>0</v>
      </c>
      <c r="N140">
        <v>15</v>
      </c>
      <c r="O140">
        <v>0</v>
      </c>
      <c r="P140">
        <v>9</v>
      </c>
      <c r="Q140">
        <v>3</v>
      </c>
      <c r="R140">
        <v>149</v>
      </c>
      <c r="S140">
        <v>224</v>
      </c>
      <c r="T140">
        <v>21</v>
      </c>
      <c r="U140">
        <v>15</v>
      </c>
      <c r="V140">
        <v>7</v>
      </c>
      <c r="W140">
        <v>0</v>
      </c>
      <c r="X140">
        <v>96</v>
      </c>
      <c r="Y140">
        <v>27</v>
      </c>
      <c r="Z140" t="e">
        <f t="shared" si="4"/>
        <v>#N/A</v>
      </c>
    </row>
    <row r="141" spans="1:26" x14ac:dyDescent="0.25">
      <c r="A141" t="s">
        <v>1888</v>
      </c>
      <c r="B141">
        <v>53033021600</v>
      </c>
      <c r="C141" t="s">
        <v>1889</v>
      </c>
      <c r="D141">
        <v>4726</v>
      </c>
      <c r="E141">
        <v>4098</v>
      </c>
      <c r="F141">
        <v>628</v>
      </c>
      <c r="G141">
        <v>4726</v>
      </c>
      <c r="H141">
        <v>4098</v>
      </c>
      <c r="I141">
        <v>628</v>
      </c>
      <c r="J141">
        <v>3505</v>
      </c>
      <c r="K141">
        <v>317</v>
      </c>
      <c r="L141">
        <v>90</v>
      </c>
      <c r="M141">
        <v>16</v>
      </c>
      <c r="N141">
        <v>12</v>
      </c>
      <c r="O141">
        <v>8</v>
      </c>
      <c r="P141">
        <v>106</v>
      </c>
      <c r="Q141">
        <v>0</v>
      </c>
      <c r="R141">
        <v>202</v>
      </c>
      <c r="S141">
        <v>268</v>
      </c>
      <c r="T141">
        <v>19</v>
      </c>
      <c r="U141">
        <v>0</v>
      </c>
      <c r="V141">
        <v>28</v>
      </c>
      <c r="W141">
        <v>19</v>
      </c>
      <c r="X141">
        <v>136</v>
      </c>
      <c r="Y141">
        <v>0</v>
      </c>
      <c r="Z141" t="e">
        <f t="shared" si="4"/>
        <v>#N/A</v>
      </c>
    </row>
    <row r="142" spans="1:26" x14ac:dyDescent="0.25">
      <c r="A142" t="s">
        <v>1890</v>
      </c>
      <c r="B142">
        <v>53033021700</v>
      </c>
      <c r="C142" t="s">
        <v>1891</v>
      </c>
      <c r="D142">
        <v>5252</v>
      </c>
      <c r="E142">
        <v>4531</v>
      </c>
      <c r="F142">
        <v>721</v>
      </c>
      <c r="G142">
        <v>5252</v>
      </c>
      <c r="H142">
        <v>4531</v>
      </c>
      <c r="I142">
        <v>721</v>
      </c>
      <c r="J142">
        <v>3944</v>
      </c>
      <c r="K142">
        <v>417</v>
      </c>
      <c r="L142">
        <v>120</v>
      </c>
      <c r="M142">
        <v>54</v>
      </c>
      <c r="N142">
        <v>53</v>
      </c>
      <c r="O142">
        <v>4</v>
      </c>
      <c r="P142">
        <v>62</v>
      </c>
      <c r="Q142">
        <v>0</v>
      </c>
      <c r="R142">
        <v>90</v>
      </c>
      <c r="S142">
        <v>220</v>
      </c>
      <c r="T142">
        <v>6</v>
      </c>
      <c r="U142">
        <v>0</v>
      </c>
      <c r="V142">
        <v>123</v>
      </c>
      <c r="W142">
        <v>11</v>
      </c>
      <c r="X142">
        <v>133</v>
      </c>
      <c r="Y142">
        <v>15</v>
      </c>
      <c r="Z142" t="e">
        <f t="shared" si="4"/>
        <v>#N/A</v>
      </c>
    </row>
    <row r="143" spans="1:26" x14ac:dyDescent="0.25">
      <c r="A143" t="s">
        <v>1892</v>
      </c>
      <c r="B143">
        <v>53033021802</v>
      </c>
      <c r="C143" t="s">
        <v>1893</v>
      </c>
      <c r="D143">
        <v>4105</v>
      </c>
      <c r="E143">
        <v>3576</v>
      </c>
      <c r="F143">
        <v>529</v>
      </c>
      <c r="G143">
        <v>4105</v>
      </c>
      <c r="H143">
        <v>3576</v>
      </c>
      <c r="I143">
        <v>529</v>
      </c>
      <c r="J143">
        <v>3244</v>
      </c>
      <c r="K143">
        <v>214</v>
      </c>
      <c r="L143">
        <v>11</v>
      </c>
      <c r="M143">
        <v>23</v>
      </c>
      <c r="N143">
        <v>41</v>
      </c>
      <c r="O143">
        <v>0</v>
      </c>
      <c r="P143">
        <v>17</v>
      </c>
      <c r="Q143">
        <v>0</v>
      </c>
      <c r="R143">
        <v>84</v>
      </c>
      <c r="S143">
        <v>171</v>
      </c>
      <c r="T143">
        <v>7</v>
      </c>
      <c r="U143">
        <v>0</v>
      </c>
      <c r="V143">
        <v>62</v>
      </c>
      <c r="W143">
        <v>97</v>
      </c>
      <c r="X143">
        <v>110</v>
      </c>
      <c r="Y143">
        <v>24</v>
      </c>
      <c r="Z143" t="e">
        <f t="shared" si="4"/>
        <v>#N/A</v>
      </c>
    </row>
    <row r="144" spans="1:26" x14ac:dyDescent="0.25">
      <c r="A144" t="s">
        <v>1894</v>
      </c>
      <c r="B144">
        <v>53033021803</v>
      </c>
      <c r="C144" t="s">
        <v>1895</v>
      </c>
      <c r="D144">
        <v>4150</v>
      </c>
      <c r="E144">
        <v>3563</v>
      </c>
      <c r="F144">
        <v>587</v>
      </c>
      <c r="G144">
        <v>4150</v>
      </c>
      <c r="H144">
        <v>3563</v>
      </c>
      <c r="I144">
        <v>587</v>
      </c>
      <c r="J144">
        <v>3278</v>
      </c>
      <c r="K144">
        <v>218</v>
      </c>
      <c r="L144">
        <v>43</v>
      </c>
      <c r="M144">
        <v>116</v>
      </c>
      <c r="N144">
        <v>35</v>
      </c>
      <c r="O144">
        <v>0</v>
      </c>
      <c r="P144">
        <v>10</v>
      </c>
      <c r="Q144">
        <v>10</v>
      </c>
      <c r="R144">
        <v>77</v>
      </c>
      <c r="S144">
        <v>172</v>
      </c>
      <c r="T144">
        <v>8</v>
      </c>
      <c r="U144">
        <v>18</v>
      </c>
      <c r="V144">
        <v>43</v>
      </c>
      <c r="W144">
        <v>44</v>
      </c>
      <c r="X144">
        <v>69</v>
      </c>
      <c r="Y144">
        <v>9</v>
      </c>
      <c r="Z144" t="e">
        <f t="shared" si="4"/>
        <v>#N/A</v>
      </c>
    </row>
    <row r="145" spans="1:26" x14ac:dyDescent="0.25">
      <c r="A145" t="s">
        <v>1896</v>
      </c>
      <c r="B145">
        <v>53033021804</v>
      </c>
      <c r="C145" t="s">
        <v>1897</v>
      </c>
      <c r="D145">
        <v>4226</v>
      </c>
      <c r="E145">
        <v>3797</v>
      </c>
      <c r="F145">
        <v>429</v>
      </c>
      <c r="G145">
        <v>4226</v>
      </c>
      <c r="H145">
        <v>3797</v>
      </c>
      <c r="I145">
        <v>429</v>
      </c>
      <c r="J145">
        <v>3450</v>
      </c>
      <c r="K145">
        <v>164</v>
      </c>
      <c r="L145">
        <v>34</v>
      </c>
      <c r="M145">
        <v>71</v>
      </c>
      <c r="N145">
        <v>22</v>
      </c>
      <c r="O145">
        <v>15</v>
      </c>
      <c r="P145">
        <v>60</v>
      </c>
      <c r="Q145">
        <v>0</v>
      </c>
      <c r="R145">
        <v>57</v>
      </c>
      <c r="S145">
        <v>93</v>
      </c>
      <c r="T145">
        <v>0</v>
      </c>
      <c r="U145">
        <v>6</v>
      </c>
      <c r="V145">
        <v>83</v>
      </c>
      <c r="W145">
        <v>80</v>
      </c>
      <c r="X145">
        <v>91</v>
      </c>
      <c r="Y145">
        <v>0</v>
      </c>
      <c r="Z145" t="e">
        <f t="shared" si="4"/>
        <v>#N/A</v>
      </c>
    </row>
    <row r="146" spans="1:26" x14ac:dyDescent="0.25">
      <c r="A146" t="s">
        <v>1898</v>
      </c>
      <c r="B146">
        <v>53033021903</v>
      </c>
      <c r="C146" t="s">
        <v>1899</v>
      </c>
      <c r="D146">
        <v>5995</v>
      </c>
      <c r="E146">
        <v>5224</v>
      </c>
      <c r="F146">
        <v>771</v>
      </c>
      <c r="G146">
        <v>5995</v>
      </c>
      <c r="H146">
        <v>5224</v>
      </c>
      <c r="I146">
        <v>771</v>
      </c>
      <c r="J146">
        <v>4538</v>
      </c>
      <c r="K146">
        <v>324</v>
      </c>
      <c r="L146">
        <v>82</v>
      </c>
      <c r="M146">
        <v>11</v>
      </c>
      <c r="N146">
        <v>96</v>
      </c>
      <c r="O146">
        <v>0</v>
      </c>
      <c r="P146">
        <v>17</v>
      </c>
      <c r="Q146">
        <v>0</v>
      </c>
      <c r="R146">
        <v>86</v>
      </c>
      <c r="S146">
        <v>370</v>
      </c>
      <c r="T146">
        <v>65</v>
      </c>
      <c r="U146">
        <v>26</v>
      </c>
      <c r="V146">
        <v>159</v>
      </c>
      <c r="W146">
        <v>15</v>
      </c>
      <c r="X146">
        <v>181</v>
      </c>
      <c r="Y146">
        <v>25</v>
      </c>
      <c r="Z146" t="e">
        <f t="shared" si="4"/>
        <v>#N/A</v>
      </c>
    </row>
    <row r="147" spans="1:26" x14ac:dyDescent="0.25">
      <c r="A147" t="s">
        <v>1900</v>
      </c>
      <c r="B147">
        <v>53033021904</v>
      </c>
      <c r="C147" t="s">
        <v>1901</v>
      </c>
      <c r="D147">
        <v>4864</v>
      </c>
      <c r="E147">
        <v>3574</v>
      </c>
      <c r="F147">
        <v>1290</v>
      </c>
      <c r="G147">
        <v>4864</v>
      </c>
      <c r="H147">
        <v>3574</v>
      </c>
      <c r="I147">
        <v>1290</v>
      </c>
      <c r="J147">
        <v>3043</v>
      </c>
      <c r="K147">
        <v>329</v>
      </c>
      <c r="L147">
        <v>69</v>
      </c>
      <c r="M147">
        <v>127</v>
      </c>
      <c r="N147">
        <v>23</v>
      </c>
      <c r="O147">
        <v>7</v>
      </c>
      <c r="P147">
        <v>17</v>
      </c>
      <c r="Q147">
        <v>0</v>
      </c>
      <c r="R147">
        <v>236</v>
      </c>
      <c r="S147">
        <v>666</v>
      </c>
      <c r="T147">
        <v>0</v>
      </c>
      <c r="U147">
        <v>0</v>
      </c>
      <c r="V147">
        <v>23</v>
      </c>
      <c r="W147">
        <v>118</v>
      </c>
      <c r="X147">
        <v>163</v>
      </c>
      <c r="Y147">
        <v>43</v>
      </c>
      <c r="Z147" t="e">
        <f t="shared" si="4"/>
        <v>#N/A</v>
      </c>
    </row>
    <row r="148" spans="1:26" x14ac:dyDescent="0.25">
      <c r="A148" t="s">
        <v>1902</v>
      </c>
      <c r="B148">
        <v>53033021905</v>
      </c>
      <c r="C148" t="s">
        <v>1903</v>
      </c>
      <c r="D148">
        <v>4765</v>
      </c>
      <c r="E148">
        <v>4117</v>
      </c>
      <c r="F148">
        <v>648</v>
      </c>
      <c r="G148">
        <v>4765</v>
      </c>
      <c r="H148">
        <v>4117</v>
      </c>
      <c r="I148">
        <v>648</v>
      </c>
      <c r="J148">
        <v>3573</v>
      </c>
      <c r="K148">
        <v>354</v>
      </c>
      <c r="L148">
        <v>84</v>
      </c>
      <c r="M148">
        <v>48</v>
      </c>
      <c r="N148">
        <v>43</v>
      </c>
      <c r="O148">
        <v>15</v>
      </c>
      <c r="P148">
        <v>28</v>
      </c>
      <c r="Q148">
        <v>0</v>
      </c>
      <c r="R148">
        <v>148</v>
      </c>
      <c r="S148">
        <v>200</v>
      </c>
      <c r="T148">
        <v>0</v>
      </c>
      <c r="U148">
        <v>0</v>
      </c>
      <c r="V148">
        <v>13</v>
      </c>
      <c r="W148">
        <v>24</v>
      </c>
      <c r="X148">
        <v>228</v>
      </c>
      <c r="Y148">
        <v>7</v>
      </c>
      <c r="Z148" t="e">
        <f t="shared" si="4"/>
        <v>#N/A</v>
      </c>
    </row>
    <row r="149" spans="1:26" x14ac:dyDescent="0.25">
      <c r="A149" t="s">
        <v>1904</v>
      </c>
      <c r="B149">
        <v>53033021906</v>
      </c>
      <c r="C149" t="s">
        <v>1905</v>
      </c>
      <c r="D149">
        <v>3617</v>
      </c>
      <c r="E149">
        <v>2987</v>
      </c>
      <c r="F149">
        <v>630</v>
      </c>
      <c r="G149">
        <v>3617</v>
      </c>
      <c r="H149">
        <v>2987</v>
      </c>
      <c r="I149">
        <v>630</v>
      </c>
      <c r="J149">
        <v>2549</v>
      </c>
      <c r="K149">
        <v>247</v>
      </c>
      <c r="L149">
        <v>37</v>
      </c>
      <c r="M149">
        <v>30</v>
      </c>
      <c r="N149">
        <v>36</v>
      </c>
      <c r="O149">
        <v>0</v>
      </c>
      <c r="P149">
        <v>0</v>
      </c>
      <c r="Q149">
        <v>0</v>
      </c>
      <c r="R149">
        <v>207</v>
      </c>
      <c r="S149">
        <v>318</v>
      </c>
      <c r="T149">
        <v>0</v>
      </c>
      <c r="U149">
        <v>0</v>
      </c>
      <c r="V149">
        <v>9</v>
      </c>
      <c r="W149">
        <v>18</v>
      </c>
      <c r="X149">
        <v>149</v>
      </c>
      <c r="Y149">
        <v>17</v>
      </c>
      <c r="Z149" t="e">
        <f t="shared" si="4"/>
        <v>#N/A</v>
      </c>
    </row>
    <row r="150" spans="1:26" x14ac:dyDescent="0.25">
      <c r="A150" t="s">
        <v>1906</v>
      </c>
      <c r="B150">
        <v>53033022001</v>
      </c>
      <c r="C150" t="s">
        <v>1907</v>
      </c>
      <c r="D150">
        <v>3813</v>
      </c>
      <c r="E150">
        <v>3194</v>
      </c>
      <c r="F150">
        <v>619</v>
      </c>
      <c r="G150">
        <v>3813</v>
      </c>
      <c r="H150">
        <v>3194</v>
      </c>
      <c r="I150">
        <v>619</v>
      </c>
      <c r="J150">
        <v>2835</v>
      </c>
      <c r="K150">
        <v>301</v>
      </c>
      <c r="L150">
        <v>43</v>
      </c>
      <c r="M150">
        <v>112</v>
      </c>
      <c r="N150">
        <v>33</v>
      </c>
      <c r="O150">
        <v>0</v>
      </c>
      <c r="P150">
        <v>0</v>
      </c>
      <c r="Q150">
        <v>14</v>
      </c>
      <c r="R150">
        <v>135</v>
      </c>
      <c r="S150">
        <v>192</v>
      </c>
      <c r="T150">
        <v>5</v>
      </c>
      <c r="U150">
        <v>0</v>
      </c>
      <c r="V150">
        <v>35</v>
      </c>
      <c r="W150">
        <v>0</v>
      </c>
      <c r="X150">
        <v>108</v>
      </c>
      <c r="Y150">
        <v>0</v>
      </c>
      <c r="Z150" t="e">
        <f t="shared" si="4"/>
        <v>#N/A</v>
      </c>
    </row>
    <row r="151" spans="1:26" x14ac:dyDescent="0.25">
      <c r="A151" t="s">
        <v>1908</v>
      </c>
      <c r="B151">
        <v>53033022003</v>
      </c>
      <c r="C151" t="s">
        <v>1909</v>
      </c>
      <c r="D151">
        <v>5315</v>
      </c>
      <c r="E151">
        <v>4569</v>
      </c>
      <c r="F151">
        <v>746</v>
      </c>
      <c r="G151">
        <v>5315</v>
      </c>
      <c r="H151">
        <v>4569</v>
      </c>
      <c r="I151">
        <v>746</v>
      </c>
      <c r="J151">
        <v>3959</v>
      </c>
      <c r="K151">
        <v>299</v>
      </c>
      <c r="L151">
        <v>91</v>
      </c>
      <c r="M151">
        <v>37</v>
      </c>
      <c r="N151">
        <v>64</v>
      </c>
      <c r="O151">
        <v>0</v>
      </c>
      <c r="P151">
        <v>38</v>
      </c>
      <c r="Q151">
        <v>0</v>
      </c>
      <c r="R151">
        <v>161</v>
      </c>
      <c r="S151">
        <v>258</v>
      </c>
      <c r="T151">
        <v>0</v>
      </c>
      <c r="U151">
        <v>0</v>
      </c>
      <c r="V151">
        <v>41</v>
      </c>
      <c r="W151">
        <v>66</v>
      </c>
      <c r="X151">
        <v>215</v>
      </c>
      <c r="Y151">
        <v>86</v>
      </c>
      <c r="Z151" t="e">
        <f t="shared" si="4"/>
        <v>#N/A</v>
      </c>
    </row>
    <row r="152" spans="1:26" x14ac:dyDescent="0.25">
      <c r="A152" t="s">
        <v>1910</v>
      </c>
      <c r="B152">
        <v>53033022005</v>
      </c>
      <c r="C152" t="s">
        <v>1911</v>
      </c>
      <c r="D152">
        <v>4447</v>
      </c>
      <c r="E152">
        <v>3491</v>
      </c>
      <c r="F152">
        <v>956</v>
      </c>
      <c r="G152">
        <v>4447</v>
      </c>
      <c r="H152">
        <v>3491</v>
      </c>
      <c r="I152">
        <v>956</v>
      </c>
      <c r="J152">
        <v>3094</v>
      </c>
      <c r="K152">
        <v>332</v>
      </c>
      <c r="L152">
        <v>79</v>
      </c>
      <c r="M152">
        <v>59</v>
      </c>
      <c r="N152">
        <v>45</v>
      </c>
      <c r="O152">
        <v>0</v>
      </c>
      <c r="P152">
        <v>15</v>
      </c>
      <c r="Q152">
        <v>9</v>
      </c>
      <c r="R152">
        <v>92</v>
      </c>
      <c r="S152">
        <v>496</v>
      </c>
      <c r="T152">
        <v>0</v>
      </c>
      <c r="U152">
        <v>0</v>
      </c>
      <c r="V152">
        <v>38</v>
      </c>
      <c r="W152">
        <v>0</v>
      </c>
      <c r="X152">
        <v>128</v>
      </c>
      <c r="Y152">
        <v>60</v>
      </c>
      <c r="Z152" t="e">
        <f t="shared" si="4"/>
        <v>#N/A</v>
      </c>
    </row>
    <row r="153" spans="1:26" x14ac:dyDescent="0.25">
      <c r="A153" t="s">
        <v>1912</v>
      </c>
      <c r="B153">
        <v>53033022006</v>
      </c>
      <c r="C153" t="s">
        <v>1913</v>
      </c>
      <c r="D153">
        <v>3653</v>
      </c>
      <c r="E153">
        <v>3075</v>
      </c>
      <c r="F153">
        <v>578</v>
      </c>
      <c r="G153">
        <v>3653</v>
      </c>
      <c r="H153">
        <v>3075</v>
      </c>
      <c r="I153">
        <v>578</v>
      </c>
      <c r="J153">
        <v>2750</v>
      </c>
      <c r="K153">
        <v>199</v>
      </c>
      <c r="L153">
        <v>20</v>
      </c>
      <c r="M153">
        <v>72</v>
      </c>
      <c r="N153">
        <v>45</v>
      </c>
      <c r="O153">
        <v>10</v>
      </c>
      <c r="P153">
        <v>24</v>
      </c>
      <c r="Q153">
        <v>0</v>
      </c>
      <c r="R153">
        <v>117</v>
      </c>
      <c r="S153">
        <v>251</v>
      </c>
      <c r="T153">
        <v>6</v>
      </c>
      <c r="U153">
        <v>0</v>
      </c>
      <c r="V153">
        <v>0</v>
      </c>
      <c r="W153">
        <v>0</v>
      </c>
      <c r="X153">
        <v>113</v>
      </c>
      <c r="Y153">
        <v>46</v>
      </c>
      <c r="Z153" t="e">
        <f t="shared" si="4"/>
        <v>#N/A</v>
      </c>
    </row>
    <row r="154" spans="1:26" x14ac:dyDescent="0.25">
      <c r="A154" t="s">
        <v>1914</v>
      </c>
      <c r="B154">
        <v>53033022101</v>
      </c>
      <c r="C154" t="s">
        <v>1915</v>
      </c>
      <c r="D154">
        <v>4769</v>
      </c>
      <c r="E154">
        <v>4271</v>
      </c>
      <c r="F154">
        <v>498</v>
      </c>
      <c r="G154">
        <v>4769</v>
      </c>
      <c r="H154">
        <v>4271</v>
      </c>
      <c r="I154">
        <v>498</v>
      </c>
      <c r="J154">
        <v>3847</v>
      </c>
      <c r="K154">
        <v>265</v>
      </c>
      <c r="L154">
        <v>71</v>
      </c>
      <c r="M154">
        <v>24</v>
      </c>
      <c r="N154">
        <v>47</v>
      </c>
      <c r="O154">
        <v>11</v>
      </c>
      <c r="P154">
        <v>21</v>
      </c>
      <c r="Q154">
        <v>0</v>
      </c>
      <c r="R154">
        <v>104</v>
      </c>
      <c r="S154">
        <v>172</v>
      </c>
      <c r="T154">
        <v>0</v>
      </c>
      <c r="U154">
        <v>0</v>
      </c>
      <c r="V154">
        <v>16</v>
      </c>
      <c r="W154">
        <v>5</v>
      </c>
      <c r="X154">
        <v>165</v>
      </c>
      <c r="Y154">
        <v>21</v>
      </c>
      <c r="Z154" t="e">
        <f t="shared" si="4"/>
        <v>#N/A</v>
      </c>
    </row>
    <row r="155" spans="1:26" x14ac:dyDescent="0.25">
      <c r="A155" t="s">
        <v>1916</v>
      </c>
      <c r="B155">
        <v>53033022102</v>
      </c>
      <c r="C155" t="s">
        <v>1917</v>
      </c>
      <c r="D155">
        <v>5286</v>
      </c>
      <c r="E155">
        <v>4573</v>
      </c>
      <c r="F155">
        <v>713</v>
      </c>
      <c r="G155">
        <v>5286</v>
      </c>
      <c r="H155">
        <v>4573</v>
      </c>
      <c r="I155">
        <v>713</v>
      </c>
      <c r="J155">
        <v>4149</v>
      </c>
      <c r="K155">
        <v>397</v>
      </c>
      <c r="L155">
        <v>86</v>
      </c>
      <c r="M155">
        <v>23</v>
      </c>
      <c r="N155">
        <v>0</v>
      </c>
      <c r="O155">
        <v>0</v>
      </c>
      <c r="P155">
        <v>45</v>
      </c>
      <c r="Q155">
        <v>0</v>
      </c>
      <c r="R155">
        <v>100</v>
      </c>
      <c r="S155">
        <v>281</v>
      </c>
      <c r="T155">
        <v>77</v>
      </c>
      <c r="U155">
        <v>0</v>
      </c>
      <c r="V155">
        <v>0</v>
      </c>
      <c r="W155">
        <v>0</v>
      </c>
      <c r="X155">
        <v>116</v>
      </c>
      <c r="Y155">
        <v>12</v>
      </c>
      <c r="Z155" t="e">
        <f t="shared" si="4"/>
        <v>#N/A</v>
      </c>
    </row>
    <row r="156" spans="1:26" x14ac:dyDescent="0.25">
      <c r="A156" t="s">
        <v>1918</v>
      </c>
      <c r="B156">
        <v>53033022201</v>
      </c>
      <c r="C156" t="s">
        <v>1919</v>
      </c>
      <c r="D156">
        <v>4586</v>
      </c>
      <c r="E156">
        <v>4271</v>
      </c>
      <c r="F156">
        <v>315</v>
      </c>
      <c r="G156">
        <v>4586</v>
      </c>
      <c r="H156">
        <v>4271</v>
      </c>
      <c r="I156">
        <v>315</v>
      </c>
      <c r="J156">
        <v>3854</v>
      </c>
      <c r="K156">
        <v>182</v>
      </c>
      <c r="L156">
        <v>80</v>
      </c>
      <c r="M156">
        <v>9</v>
      </c>
      <c r="N156">
        <v>38</v>
      </c>
      <c r="O156">
        <v>5</v>
      </c>
      <c r="P156">
        <v>45</v>
      </c>
      <c r="Q156">
        <v>0</v>
      </c>
      <c r="R156">
        <v>53</v>
      </c>
      <c r="S156">
        <v>112</v>
      </c>
      <c r="T156">
        <v>9</v>
      </c>
      <c r="U156">
        <v>0</v>
      </c>
      <c r="V156">
        <v>40</v>
      </c>
      <c r="W156">
        <v>7</v>
      </c>
      <c r="X156">
        <v>152</v>
      </c>
      <c r="Y156">
        <v>0</v>
      </c>
      <c r="Z156" t="e">
        <f t="shared" si="4"/>
        <v>#N/A</v>
      </c>
    </row>
    <row r="157" spans="1:26" x14ac:dyDescent="0.25">
      <c r="A157" t="s">
        <v>1920</v>
      </c>
      <c r="B157">
        <v>53033022202</v>
      </c>
      <c r="C157" t="s">
        <v>1921</v>
      </c>
      <c r="D157">
        <v>6790</v>
      </c>
      <c r="E157">
        <v>5810</v>
      </c>
      <c r="F157">
        <v>980</v>
      </c>
      <c r="G157">
        <v>6790</v>
      </c>
      <c r="H157">
        <v>5810</v>
      </c>
      <c r="I157">
        <v>980</v>
      </c>
      <c r="J157">
        <v>5068</v>
      </c>
      <c r="K157">
        <v>508</v>
      </c>
      <c r="L157">
        <v>93</v>
      </c>
      <c r="M157">
        <v>50</v>
      </c>
      <c r="N157">
        <v>23</v>
      </c>
      <c r="O157">
        <v>9</v>
      </c>
      <c r="P157">
        <v>26</v>
      </c>
      <c r="Q157">
        <v>0</v>
      </c>
      <c r="R157">
        <v>231</v>
      </c>
      <c r="S157">
        <v>346</v>
      </c>
      <c r="T157">
        <v>0</v>
      </c>
      <c r="U157">
        <v>0</v>
      </c>
      <c r="V157">
        <v>88</v>
      </c>
      <c r="W157">
        <v>31</v>
      </c>
      <c r="X157">
        <v>281</v>
      </c>
      <c r="Y157">
        <v>36</v>
      </c>
      <c r="Z157" t="e">
        <f t="shared" si="4"/>
        <v>#N/A</v>
      </c>
    </row>
    <row r="158" spans="1:26" x14ac:dyDescent="0.25">
      <c r="A158" t="s">
        <v>1922</v>
      </c>
      <c r="B158">
        <v>53033022203</v>
      </c>
      <c r="C158" t="s">
        <v>1923</v>
      </c>
      <c r="D158">
        <v>4429</v>
      </c>
      <c r="E158">
        <v>3822</v>
      </c>
      <c r="F158">
        <v>607</v>
      </c>
      <c r="G158">
        <v>4429</v>
      </c>
      <c r="H158">
        <v>3822</v>
      </c>
      <c r="I158">
        <v>607</v>
      </c>
      <c r="J158">
        <v>3435</v>
      </c>
      <c r="K158">
        <v>288</v>
      </c>
      <c r="L158">
        <v>0</v>
      </c>
      <c r="M158">
        <v>0</v>
      </c>
      <c r="N158">
        <v>39</v>
      </c>
      <c r="O158">
        <v>0</v>
      </c>
      <c r="P158">
        <v>64</v>
      </c>
      <c r="Q158">
        <v>7</v>
      </c>
      <c r="R158">
        <v>119</v>
      </c>
      <c r="S158">
        <v>280</v>
      </c>
      <c r="T158">
        <v>0</v>
      </c>
      <c r="U158">
        <v>0</v>
      </c>
      <c r="V158">
        <v>27</v>
      </c>
      <c r="W158">
        <v>16</v>
      </c>
      <c r="X158">
        <v>138</v>
      </c>
      <c r="Y158">
        <v>16</v>
      </c>
      <c r="Z158" t="e">
        <f t="shared" si="4"/>
        <v>#N/A</v>
      </c>
    </row>
    <row r="159" spans="1:26" x14ac:dyDescent="0.25">
      <c r="A159" t="s">
        <v>1924</v>
      </c>
      <c r="B159">
        <v>53033022300</v>
      </c>
      <c r="C159" t="s">
        <v>1925</v>
      </c>
      <c r="D159">
        <v>2557</v>
      </c>
      <c r="E159">
        <v>2272</v>
      </c>
      <c r="F159">
        <v>285</v>
      </c>
      <c r="G159">
        <v>2557</v>
      </c>
      <c r="H159">
        <v>2272</v>
      </c>
      <c r="I159">
        <v>285</v>
      </c>
      <c r="J159">
        <v>2103</v>
      </c>
      <c r="K159">
        <v>200</v>
      </c>
      <c r="L159">
        <v>7</v>
      </c>
      <c r="M159">
        <v>0</v>
      </c>
      <c r="N159">
        <v>0</v>
      </c>
      <c r="O159">
        <v>0</v>
      </c>
      <c r="P159">
        <v>41</v>
      </c>
      <c r="Q159">
        <v>0</v>
      </c>
      <c r="R159">
        <v>6</v>
      </c>
      <c r="S159">
        <v>76</v>
      </c>
      <c r="T159">
        <v>0</v>
      </c>
      <c r="U159">
        <v>0</v>
      </c>
      <c r="V159">
        <v>9</v>
      </c>
      <c r="W159">
        <v>0</v>
      </c>
      <c r="X159">
        <v>106</v>
      </c>
      <c r="Y159">
        <v>9</v>
      </c>
      <c r="Z159" t="e">
        <f t="shared" si="4"/>
        <v>#N/A</v>
      </c>
    </row>
    <row r="160" spans="1:26" x14ac:dyDescent="0.25">
      <c r="A160" t="s">
        <v>1926</v>
      </c>
      <c r="B160">
        <v>53033022400</v>
      </c>
      <c r="C160" t="s">
        <v>1927</v>
      </c>
      <c r="D160">
        <v>7113</v>
      </c>
      <c r="E160">
        <v>6201</v>
      </c>
      <c r="F160">
        <v>912</v>
      </c>
      <c r="G160">
        <v>7113</v>
      </c>
      <c r="H160">
        <v>6201</v>
      </c>
      <c r="I160">
        <v>912</v>
      </c>
      <c r="J160">
        <v>5690</v>
      </c>
      <c r="K160">
        <v>572</v>
      </c>
      <c r="L160">
        <v>128</v>
      </c>
      <c r="M160">
        <v>9</v>
      </c>
      <c r="N160">
        <v>82</v>
      </c>
      <c r="O160">
        <v>0</v>
      </c>
      <c r="P160">
        <v>25</v>
      </c>
      <c r="Q160">
        <v>0</v>
      </c>
      <c r="R160">
        <v>91</v>
      </c>
      <c r="S160">
        <v>271</v>
      </c>
      <c r="T160">
        <v>14</v>
      </c>
      <c r="U160">
        <v>0</v>
      </c>
      <c r="V160">
        <v>34</v>
      </c>
      <c r="W160">
        <v>9</v>
      </c>
      <c r="X160">
        <v>137</v>
      </c>
      <c r="Y160">
        <v>51</v>
      </c>
      <c r="Z160" t="e">
        <f t="shared" si="4"/>
        <v>#N/A</v>
      </c>
    </row>
    <row r="161" spans="1:26" x14ac:dyDescent="0.25">
      <c r="A161" t="s">
        <v>1928</v>
      </c>
      <c r="B161">
        <v>53033022500</v>
      </c>
      <c r="C161" t="s">
        <v>1929</v>
      </c>
      <c r="D161">
        <v>6246</v>
      </c>
      <c r="E161">
        <v>5388</v>
      </c>
      <c r="F161">
        <v>858</v>
      </c>
      <c r="G161">
        <v>6246</v>
      </c>
      <c r="H161">
        <v>5388</v>
      </c>
      <c r="I161">
        <v>858</v>
      </c>
      <c r="J161">
        <v>4906</v>
      </c>
      <c r="K161">
        <v>575</v>
      </c>
      <c r="L161">
        <v>121</v>
      </c>
      <c r="M161">
        <v>37</v>
      </c>
      <c r="N161">
        <v>32</v>
      </c>
      <c r="O161">
        <v>7</v>
      </c>
      <c r="P161">
        <v>0</v>
      </c>
      <c r="Q161">
        <v>0</v>
      </c>
      <c r="R161">
        <v>185</v>
      </c>
      <c r="S161">
        <v>207</v>
      </c>
      <c r="T161">
        <v>0</v>
      </c>
      <c r="U161">
        <v>0</v>
      </c>
      <c r="V161">
        <v>24</v>
      </c>
      <c r="W161">
        <v>0</v>
      </c>
      <c r="X161">
        <v>120</v>
      </c>
      <c r="Y161">
        <v>32</v>
      </c>
      <c r="Z161" t="e">
        <f t="shared" si="4"/>
        <v>#N/A</v>
      </c>
    </row>
    <row r="162" spans="1:26" x14ac:dyDescent="0.25">
      <c r="A162" t="s">
        <v>1930</v>
      </c>
      <c r="B162">
        <v>53033022603</v>
      </c>
      <c r="C162" t="s">
        <v>1931</v>
      </c>
      <c r="D162">
        <v>4487</v>
      </c>
      <c r="E162">
        <v>3606</v>
      </c>
      <c r="F162">
        <v>881</v>
      </c>
      <c r="G162">
        <v>4487</v>
      </c>
      <c r="H162">
        <v>3606</v>
      </c>
      <c r="I162">
        <v>881</v>
      </c>
      <c r="J162">
        <v>3262</v>
      </c>
      <c r="K162">
        <v>284</v>
      </c>
      <c r="L162">
        <v>62</v>
      </c>
      <c r="M162">
        <v>13</v>
      </c>
      <c r="N162">
        <v>43</v>
      </c>
      <c r="O162">
        <v>0</v>
      </c>
      <c r="P162">
        <v>23</v>
      </c>
      <c r="Q162">
        <v>0</v>
      </c>
      <c r="R162">
        <v>100</v>
      </c>
      <c r="S162">
        <v>472</v>
      </c>
      <c r="T162">
        <v>0</v>
      </c>
      <c r="U162">
        <v>0</v>
      </c>
      <c r="V162">
        <v>24</v>
      </c>
      <c r="W162">
        <v>29</v>
      </c>
      <c r="X162">
        <v>92</v>
      </c>
      <c r="Y162">
        <v>83</v>
      </c>
      <c r="Z162" t="e">
        <f t="shared" si="4"/>
        <v>#N/A</v>
      </c>
    </row>
    <row r="163" spans="1:26" x14ac:dyDescent="0.25">
      <c r="A163" t="s">
        <v>1932</v>
      </c>
      <c r="B163">
        <v>53033022604</v>
      </c>
      <c r="C163" t="s">
        <v>1933</v>
      </c>
      <c r="D163">
        <v>3823</v>
      </c>
      <c r="E163">
        <v>3253</v>
      </c>
      <c r="F163">
        <v>570</v>
      </c>
      <c r="G163">
        <v>3823</v>
      </c>
      <c r="H163">
        <v>3253</v>
      </c>
      <c r="I163">
        <v>570</v>
      </c>
      <c r="J163">
        <v>2843</v>
      </c>
      <c r="K163">
        <v>258</v>
      </c>
      <c r="L163">
        <v>42</v>
      </c>
      <c r="M163">
        <v>40</v>
      </c>
      <c r="N163">
        <v>77</v>
      </c>
      <c r="O163">
        <v>0</v>
      </c>
      <c r="P163">
        <v>0</v>
      </c>
      <c r="Q163">
        <v>0</v>
      </c>
      <c r="R163">
        <v>52</v>
      </c>
      <c r="S163">
        <v>192</v>
      </c>
      <c r="T163">
        <v>8</v>
      </c>
      <c r="U163">
        <v>14</v>
      </c>
      <c r="V163">
        <v>88</v>
      </c>
      <c r="W163">
        <v>49</v>
      </c>
      <c r="X163">
        <v>143</v>
      </c>
      <c r="Y163">
        <v>17</v>
      </c>
      <c r="Z163" t="e">
        <f t="shared" si="4"/>
        <v>#N/A</v>
      </c>
    </row>
    <row r="164" spans="1:26" x14ac:dyDescent="0.25">
      <c r="A164" t="s">
        <v>1934</v>
      </c>
      <c r="B164">
        <v>53033022605</v>
      </c>
      <c r="C164" t="s">
        <v>1935</v>
      </c>
      <c r="D164">
        <v>5080</v>
      </c>
      <c r="E164">
        <v>3701</v>
      </c>
      <c r="F164">
        <v>1379</v>
      </c>
      <c r="G164">
        <v>5080</v>
      </c>
      <c r="H164">
        <v>3701</v>
      </c>
      <c r="I164">
        <v>1379</v>
      </c>
      <c r="J164">
        <v>3161</v>
      </c>
      <c r="K164">
        <v>368</v>
      </c>
      <c r="L164">
        <v>117</v>
      </c>
      <c r="M164">
        <v>185</v>
      </c>
      <c r="N164">
        <v>66</v>
      </c>
      <c r="O164">
        <v>25</v>
      </c>
      <c r="P164">
        <v>15</v>
      </c>
      <c r="Q164">
        <v>0</v>
      </c>
      <c r="R164">
        <v>152</v>
      </c>
      <c r="S164">
        <v>597</v>
      </c>
      <c r="T164">
        <v>19</v>
      </c>
      <c r="U164">
        <v>15</v>
      </c>
      <c r="V164">
        <v>53</v>
      </c>
      <c r="W164">
        <v>179</v>
      </c>
      <c r="X164">
        <v>118</v>
      </c>
      <c r="Y164">
        <v>10</v>
      </c>
      <c r="Z164" t="e">
        <f t="shared" si="4"/>
        <v>#N/A</v>
      </c>
    </row>
    <row r="165" spans="1:26" x14ac:dyDescent="0.25">
      <c r="A165" t="s">
        <v>1936</v>
      </c>
      <c r="B165">
        <v>53033022606</v>
      </c>
      <c r="C165" t="s">
        <v>1937</v>
      </c>
      <c r="D165">
        <v>5495</v>
      </c>
      <c r="E165">
        <v>4483</v>
      </c>
      <c r="F165">
        <v>1012</v>
      </c>
      <c r="G165">
        <v>5495</v>
      </c>
      <c r="H165">
        <v>4483</v>
      </c>
      <c r="I165">
        <v>1012</v>
      </c>
      <c r="J165">
        <v>4011</v>
      </c>
      <c r="K165">
        <v>403</v>
      </c>
      <c r="L165">
        <v>35</v>
      </c>
      <c r="M165">
        <v>70</v>
      </c>
      <c r="N165">
        <v>46</v>
      </c>
      <c r="O165">
        <v>0</v>
      </c>
      <c r="P165">
        <v>21</v>
      </c>
      <c r="Q165">
        <v>0</v>
      </c>
      <c r="R165">
        <v>168</v>
      </c>
      <c r="S165">
        <v>410</v>
      </c>
      <c r="T165">
        <v>0</v>
      </c>
      <c r="U165">
        <v>9</v>
      </c>
      <c r="V165">
        <v>0</v>
      </c>
      <c r="W165">
        <v>36</v>
      </c>
      <c r="X165">
        <v>202</v>
      </c>
      <c r="Y165">
        <v>84</v>
      </c>
      <c r="Z165" t="e">
        <f t="shared" si="4"/>
        <v>#N/A</v>
      </c>
    </row>
    <row r="166" spans="1:26" x14ac:dyDescent="0.25">
      <c r="A166" t="s">
        <v>1938</v>
      </c>
      <c r="B166">
        <v>53033022701</v>
      </c>
      <c r="C166" t="s">
        <v>1939</v>
      </c>
      <c r="D166">
        <v>2459</v>
      </c>
      <c r="E166">
        <v>2046</v>
      </c>
      <c r="F166">
        <v>413</v>
      </c>
      <c r="G166">
        <v>2459</v>
      </c>
      <c r="H166">
        <v>2046</v>
      </c>
      <c r="I166">
        <v>413</v>
      </c>
      <c r="J166">
        <v>1931</v>
      </c>
      <c r="K166">
        <v>280</v>
      </c>
      <c r="L166">
        <v>3</v>
      </c>
      <c r="M166">
        <v>0</v>
      </c>
      <c r="N166">
        <v>6</v>
      </c>
      <c r="O166">
        <v>7</v>
      </c>
      <c r="P166">
        <v>38</v>
      </c>
      <c r="Q166">
        <v>0</v>
      </c>
      <c r="R166">
        <v>42</v>
      </c>
      <c r="S166">
        <v>85</v>
      </c>
      <c r="T166">
        <v>0</v>
      </c>
      <c r="U166">
        <v>0</v>
      </c>
      <c r="V166">
        <v>11</v>
      </c>
      <c r="W166">
        <v>18</v>
      </c>
      <c r="X166">
        <v>15</v>
      </c>
      <c r="Y166">
        <v>23</v>
      </c>
      <c r="Z166" t="e">
        <f t="shared" si="4"/>
        <v>#N/A</v>
      </c>
    </row>
    <row r="167" spans="1:26" x14ac:dyDescent="0.25">
      <c r="A167" t="s">
        <v>1940</v>
      </c>
      <c r="B167">
        <v>53033022702</v>
      </c>
      <c r="C167" t="s">
        <v>1941</v>
      </c>
      <c r="D167">
        <v>3391</v>
      </c>
      <c r="E167">
        <v>2937</v>
      </c>
      <c r="F167">
        <v>454</v>
      </c>
      <c r="G167">
        <v>3391</v>
      </c>
      <c r="H167">
        <v>2937</v>
      </c>
      <c r="I167">
        <v>454</v>
      </c>
      <c r="J167">
        <v>2722</v>
      </c>
      <c r="K167">
        <v>330</v>
      </c>
      <c r="L167">
        <v>65</v>
      </c>
      <c r="M167">
        <v>0</v>
      </c>
      <c r="N167">
        <v>41</v>
      </c>
      <c r="O167">
        <v>0</v>
      </c>
      <c r="P167">
        <v>9</v>
      </c>
      <c r="Q167">
        <v>0</v>
      </c>
      <c r="R167">
        <v>41</v>
      </c>
      <c r="S167">
        <v>106</v>
      </c>
      <c r="T167">
        <v>0</v>
      </c>
      <c r="U167">
        <v>0</v>
      </c>
      <c r="V167">
        <v>15</v>
      </c>
      <c r="W167">
        <v>0</v>
      </c>
      <c r="X167">
        <v>44</v>
      </c>
      <c r="Y167">
        <v>18</v>
      </c>
      <c r="Z167" t="e">
        <f t="shared" si="4"/>
        <v>#N/A</v>
      </c>
    </row>
    <row r="168" spans="1:26" x14ac:dyDescent="0.25">
      <c r="A168" t="s">
        <v>1942</v>
      </c>
      <c r="B168">
        <v>53033022703</v>
      </c>
      <c r="C168" t="s">
        <v>1943</v>
      </c>
      <c r="D168">
        <v>2320</v>
      </c>
      <c r="E168">
        <v>1943</v>
      </c>
      <c r="F168">
        <v>377</v>
      </c>
      <c r="G168">
        <v>2320</v>
      </c>
      <c r="H168">
        <v>1943</v>
      </c>
      <c r="I168">
        <v>377</v>
      </c>
      <c r="J168">
        <v>1666</v>
      </c>
      <c r="K168">
        <v>191</v>
      </c>
      <c r="L168">
        <v>0</v>
      </c>
      <c r="M168">
        <v>0</v>
      </c>
      <c r="N168">
        <v>53</v>
      </c>
      <c r="O168">
        <v>6</v>
      </c>
      <c r="P168">
        <v>52</v>
      </c>
      <c r="Q168">
        <v>0</v>
      </c>
      <c r="R168">
        <v>97</v>
      </c>
      <c r="S168">
        <v>159</v>
      </c>
      <c r="T168">
        <v>0</v>
      </c>
      <c r="U168">
        <v>0</v>
      </c>
      <c r="V168">
        <v>22</v>
      </c>
      <c r="W168">
        <v>0</v>
      </c>
      <c r="X168">
        <v>53</v>
      </c>
      <c r="Y168">
        <v>21</v>
      </c>
      <c r="Z168" t="e">
        <f t="shared" si="4"/>
        <v>#N/A</v>
      </c>
    </row>
    <row r="169" spans="1:26" x14ac:dyDescent="0.25">
      <c r="A169" t="s">
        <v>1944</v>
      </c>
      <c r="B169">
        <v>53033022801</v>
      </c>
      <c r="C169" t="s">
        <v>1945</v>
      </c>
      <c r="D169">
        <v>7614</v>
      </c>
      <c r="E169">
        <v>4934</v>
      </c>
      <c r="F169">
        <v>2680</v>
      </c>
      <c r="G169">
        <v>7614</v>
      </c>
      <c r="H169">
        <v>4934</v>
      </c>
      <c r="I169">
        <v>2680</v>
      </c>
      <c r="J169">
        <v>3843</v>
      </c>
      <c r="K169">
        <v>820</v>
      </c>
      <c r="L169">
        <v>132</v>
      </c>
      <c r="M169">
        <v>174</v>
      </c>
      <c r="N169">
        <v>121</v>
      </c>
      <c r="O169">
        <v>21</v>
      </c>
      <c r="P169">
        <v>13</v>
      </c>
      <c r="Q169">
        <v>11</v>
      </c>
      <c r="R169">
        <v>377</v>
      </c>
      <c r="S169">
        <v>1280</v>
      </c>
      <c r="T169">
        <v>19</v>
      </c>
      <c r="U169">
        <v>18</v>
      </c>
      <c r="V169">
        <v>125</v>
      </c>
      <c r="W169">
        <v>248</v>
      </c>
      <c r="X169">
        <v>304</v>
      </c>
      <c r="Y169">
        <v>108</v>
      </c>
      <c r="Z169" t="e">
        <f t="shared" si="4"/>
        <v>#N/A</v>
      </c>
    </row>
    <row r="170" spans="1:26" x14ac:dyDescent="0.25">
      <c r="A170" t="s">
        <v>1946</v>
      </c>
      <c r="B170">
        <v>53033022802</v>
      </c>
      <c r="C170" t="s">
        <v>1947</v>
      </c>
      <c r="D170">
        <v>4384</v>
      </c>
      <c r="E170">
        <v>3233</v>
      </c>
      <c r="F170">
        <v>1151</v>
      </c>
      <c r="G170">
        <v>4384</v>
      </c>
      <c r="H170">
        <v>3233</v>
      </c>
      <c r="I170">
        <v>1151</v>
      </c>
      <c r="J170">
        <v>2840</v>
      </c>
      <c r="K170">
        <v>434</v>
      </c>
      <c r="L170">
        <v>16</v>
      </c>
      <c r="M170">
        <v>35</v>
      </c>
      <c r="N170">
        <v>31</v>
      </c>
      <c r="O170">
        <v>12</v>
      </c>
      <c r="P170">
        <v>17</v>
      </c>
      <c r="Q170">
        <v>0</v>
      </c>
      <c r="R170">
        <v>232</v>
      </c>
      <c r="S170">
        <v>513</v>
      </c>
      <c r="T170">
        <v>0</v>
      </c>
      <c r="U170">
        <v>0</v>
      </c>
      <c r="V170">
        <v>22</v>
      </c>
      <c r="W170">
        <v>84</v>
      </c>
      <c r="X170">
        <v>75</v>
      </c>
      <c r="Y170">
        <v>73</v>
      </c>
      <c r="Z170" t="e">
        <f t="shared" si="4"/>
        <v>#N/A</v>
      </c>
    </row>
    <row r="171" spans="1:26" x14ac:dyDescent="0.25">
      <c r="A171" t="s">
        <v>1948</v>
      </c>
      <c r="B171">
        <v>53033022803</v>
      </c>
      <c r="C171" t="s">
        <v>1949</v>
      </c>
      <c r="D171">
        <v>4164</v>
      </c>
      <c r="E171">
        <v>2933</v>
      </c>
      <c r="F171">
        <v>1231</v>
      </c>
      <c r="G171">
        <v>4164</v>
      </c>
      <c r="H171">
        <v>2933</v>
      </c>
      <c r="I171">
        <v>1231</v>
      </c>
      <c r="J171">
        <v>2397</v>
      </c>
      <c r="K171">
        <v>409</v>
      </c>
      <c r="L171">
        <v>35</v>
      </c>
      <c r="M171">
        <v>16</v>
      </c>
      <c r="N171">
        <v>19</v>
      </c>
      <c r="O171">
        <v>0</v>
      </c>
      <c r="P171">
        <v>31</v>
      </c>
      <c r="Q171">
        <v>0</v>
      </c>
      <c r="R171">
        <v>269</v>
      </c>
      <c r="S171">
        <v>770</v>
      </c>
      <c r="T171">
        <v>0</v>
      </c>
      <c r="U171">
        <v>0</v>
      </c>
      <c r="V171">
        <v>52</v>
      </c>
      <c r="W171">
        <v>21</v>
      </c>
      <c r="X171">
        <v>130</v>
      </c>
      <c r="Y171">
        <v>15</v>
      </c>
      <c r="Z171" t="e">
        <f t="shared" si="4"/>
        <v>#N/A</v>
      </c>
    </row>
    <row r="172" spans="1:26" x14ac:dyDescent="0.25">
      <c r="A172" t="s">
        <v>1950</v>
      </c>
      <c r="B172">
        <v>53033022901</v>
      </c>
      <c r="C172" t="s">
        <v>1951</v>
      </c>
      <c r="D172">
        <v>3033</v>
      </c>
      <c r="E172">
        <v>2140</v>
      </c>
      <c r="F172">
        <v>893</v>
      </c>
      <c r="G172">
        <v>3033</v>
      </c>
      <c r="H172">
        <v>2140</v>
      </c>
      <c r="I172">
        <v>893</v>
      </c>
      <c r="J172">
        <v>1760</v>
      </c>
      <c r="K172">
        <v>527</v>
      </c>
      <c r="L172">
        <v>24</v>
      </c>
      <c r="M172">
        <v>0</v>
      </c>
      <c r="N172">
        <v>40</v>
      </c>
      <c r="O172">
        <v>0</v>
      </c>
      <c r="P172">
        <v>62</v>
      </c>
      <c r="Q172">
        <v>0</v>
      </c>
      <c r="R172">
        <v>219</v>
      </c>
      <c r="S172">
        <v>338</v>
      </c>
      <c r="T172">
        <v>0</v>
      </c>
      <c r="U172">
        <v>0</v>
      </c>
      <c r="V172">
        <v>19</v>
      </c>
      <c r="W172">
        <v>12</v>
      </c>
      <c r="X172">
        <v>16</v>
      </c>
      <c r="Y172">
        <v>16</v>
      </c>
      <c r="Z172" t="e">
        <f t="shared" si="4"/>
        <v>#N/A</v>
      </c>
    </row>
    <row r="173" spans="1:26" x14ac:dyDescent="0.25">
      <c r="A173" t="s">
        <v>1952</v>
      </c>
      <c r="B173">
        <v>53033022902</v>
      </c>
      <c r="C173" t="s">
        <v>1953</v>
      </c>
      <c r="D173">
        <v>6018</v>
      </c>
      <c r="E173">
        <v>4737</v>
      </c>
      <c r="F173">
        <v>1281</v>
      </c>
      <c r="G173">
        <v>6018</v>
      </c>
      <c r="H173">
        <v>4737</v>
      </c>
      <c r="I173">
        <v>1281</v>
      </c>
      <c r="J173">
        <v>4330</v>
      </c>
      <c r="K173">
        <v>608</v>
      </c>
      <c r="L173">
        <v>43</v>
      </c>
      <c r="M173">
        <v>51</v>
      </c>
      <c r="N173">
        <v>32</v>
      </c>
      <c r="O173">
        <v>8</v>
      </c>
      <c r="P173">
        <v>0</v>
      </c>
      <c r="Q173">
        <v>0</v>
      </c>
      <c r="R173">
        <v>213</v>
      </c>
      <c r="S173">
        <v>598</v>
      </c>
      <c r="T173">
        <v>0</v>
      </c>
      <c r="U173">
        <v>0</v>
      </c>
      <c r="V173">
        <v>6</v>
      </c>
      <c r="W173">
        <v>0</v>
      </c>
      <c r="X173">
        <v>113</v>
      </c>
      <c r="Y173">
        <v>16</v>
      </c>
      <c r="Z173" t="e">
        <f t="shared" si="4"/>
        <v>#N/A</v>
      </c>
    </row>
    <row r="174" spans="1:26" x14ac:dyDescent="0.25">
      <c r="A174" t="s">
        <v>1954</v>
      </c>
      <c r="B174">
        <v>53033023000</v>
      </c>
      <c r="C174" t="s">
        <v>1955</v>
      </c>
      <c r="D174">
        <v>5123</v>
      </c>
      <c r="E174">
        <v>4017</v>
      </c>
      <c r="F174">
        <v>1106</v>
      </c>
      <c r="G174">
        <v>5123</v>
      </c>
      <c r="H174">
        <v>4017</v>
      </c>
      <c r="I174">
        <v>1106</v>
      </c>
      <c r="J174">
        <v>3560</v>
      </c>
      <c r="K174">
        <v>424</v>
      </c>
      <c r="L174">
        <v>50</v>
      </c>
      <c r="M174">
        <v>39</v>
      </c>
      <c r="N174">
        <v>38</v>
      </c>
      <c r="O174">
        <v>29</v>
      </c>
      <c r="P174">
        <v>36</v>
      </c>
      <c r="Q174">
        <v>0</v>
      </c>
      <c r="R174">
        <v>164</v>
      </c>
      <c r="S174">
        <v>463</v>
      </c>
      <c r="T174">
        <v>2</v>
      </c>
      <c r="U174">
        <v>33</v>
      </c>
      <c r="V174">
        <v>30</v>
      </c>
      <c r="W174">
        <v>38</v>
      </c>
      <c r="X174">
        <v>137</v>
      </c>
      <c r="Y174">
        <v>80</v>
      </c>
      <c r="Z174" t="e">
        <f t="shared" si="4"/>
        <v>#N/A</v>
      </c>
    </row>
    <row r="175" spans="1:26" x14ac:dyDescent="0.25">
      <c r="A175" t="s">
        <v>1956</v>
      </c>
      <c r="B175">
        <v>53033023100</v>
      </c>
      <c r="C175" t="s">
        <v>1957</v>
      </c>
      <c r="D175">
        <v>3685</v>
      </c>
      <c r="E175">
        <v>2883</v>
      </c>
      <c r="F175">
        <v>802</v>
      </c>
      <c r="G175">
        <v>3685</v>
      </c>
      <c r="H175">
        <v>2883</v>
      </c>
      <c r="I175">
        <v>802</v>
      </c>
      <c r="J175">
        <v>2667</v>
      </c>
      <c r="K175">
        <v>219</v>
      </c>
      <c r="L175">
        <v>28</v>
      </c>
      <c r="M175">
        <v>118</v>
      </c>
      <c r="N175">
        <v>31</v>
      </c>
      <c r="O175">
        <v>0</v>
      </c>
      <c r="P175">
        <v>6</v>
      </c>
      <c r="Q175">
        <v>0</v>
      </c>
      <c r="R175">
        <v>58</v>
      </c>
      <c r="S175">
        <v>290</v>
      </c>
      <c r="T175">
        <v>22</v>
      </c>
      <c r="U175">
        <v>15</v>
      </c>
      <c r="V175">
        <v>0</v>
      </c>
      <c r="W175">
        <v>148</v>
      </c>
      <c r="X175">
        <v>71</v>
      </c>
      <c r="Y175">
        <v>12</v>
      </c>
      <c r="Z175" t="e">
        <f t="shared" si="4"/>
        <v>#N/A</v>
      </c>
    </row>
    <row r="176" spans="1:26" x14ac:dyDescent="0.25">
      <c r="A176" t="s">
        <v>1958</v>
      </c>
      <c r="B176">
        <v>53033023201</v>
      </c>
      <c r="C176" t="s">
        <v>1959</v>
      </c>
      <c r="D176">
        <v>5477</v>
      </c>
      <c r="E176">
        <v>3030</v>
      </c>
      <c r="F176">
        <v>2447</v>
      </c>
      <c r="G176">
        <v>5477</v>
      </c>
      <c r="H176">
        <v>3030</v>
      </c>
      <c r="I176">
        <v>2447</v>
      </c>
      <c r="J176">
        <v>2292</v>
      </c>
      <c r="K176">
        <v>896</v>
      </c>
      <c r="L176">
        <v>111</v>
      </c>
      <c r="M176">
        <v>188</v>
      </c>
      <c r="N176">
        <v>152</v>
      </c>
      <c r="O176">
        <v>0</v>
      </c>
      <c r="P176">
        <v>98</v>
      </c>
      <c r="Q176">
        <v>17</v>
      </c>
      <c r="R176">
        <v>212</v>
      </c>
      <c r="S176">
        <v>1069</v>
      </c>
      <c r="T176">
        <v>0</v>
      </c>
      <c r="U176">
        <v>8</v>
      </c>
      <c r="V176">
        <v>43</v>
      </c>
      <c r="W176">
        <v>206</v>
      </c>
      <c r="X176">
        <v>122</v>
      </c>
      <c r="Y176">
        <v>63</v>
      </c>
      <c r="Z176" t="e">
        <f t="shared" si="4"/>
        <v>#N/A</v>
      </c>
    </row>
    <row r="177" spans="1:26" x14ac:dyDescent="0.25">
      <c r="A177" t="s">
        <v>1960</v>
      </c>
      <c r="B177">
        <v>53033023202</v>
      </c>
      <c r="C177" t="s">
        <v>1961</v>
      </c>
      <c r="D177">
        <v>3986</v>
      </c>
      <c r="E177">
        <v>2387</v>
      </c>
      <c r="F177">
        <v>1599</v>
      </c>
      <c r="G177">
        <v>3986</v>
      </c>
      <c r="H177">
        <v>2387</v>
      </c>
      <c r="I177">
        <v>1599</v>
      </c>
      <c r="J177">
        <v>1886</v>
      </c>
      <c r="K177">
        <v>356</v>
      </c>
      <c r="L177">
        <v>116</v>
      </c>
      <c r="M177">
        <v>170</v>
      </c>
      <c r="N177">
        <v>99</v>
      </c>
      <c r="O177">
        <v>34</v>
      </c>
      <c r="P177">
        <v>25</v>
      </c>
      <c r="Q177">
        <v>0</v>
      </c>
      <c r="R177">
        <v>103</v>
      </c>
      <c r="S177">
        <v>665</v>
      </c>
      <c r="T177">
        <v>0</v>
      </c>
      <c r="U177">
        <v>7</v>
      </c>
      <c r="V177">
        <v>88</v>
      </c>
      <c r="W177">
        <v>291</v>
      </c>
      <c r="X177">
        <v>70</v>
      </c>
      <c r="Y177">
        <v>76</v>
      </c>
      <c r="Z177" t="e">
        <f t="shared" si="4"/>
        <v>#N/A</v>
      </c>
    </row>
    <row r="178" spans="1:26" x14ac:dyDescent="0.25">
      <c r="A178" t="s">
        <v>1962</v>
      </c>
      <c r="B178">
        <v>53033023300</v>
      </c>
      <c r="C178" t="s">
        <v>1963</v>
      </c>
      <c r="D178">
        <v>6286</v>
      </c>
      <c r="E178">
        <v>4424</v>
      </c>
      <c r="F178">
        <v>1862</v>
      </c>
      <c r="G178">
        <v>6286</v>
      </c>
      <c r="H178">
        <v>4424</v>
      </c>
      <c r="I178">
        <v>1862</v>
      </c>
      <c r="J178">
        <v>3758</v>
      </c>
      <c r="K178">
        <v>736</v>
      </c>
      <c r="L178">
        <v>71</v>
      </c>
      <c r="M178">
        <v>110</v>
      </c>
      <c r="N178">
        <v>62</v>
      </c>
      <c r="O178">
        <v>0</v>
      </c>
      <c r="P178">
        <v>0</v>
      </c>
      <c r="Q178">
        <v>0</v>
      </c>
      <c r="R178">
        <v>321</v>
      </c>
      <c r="S178">
        <v>759</v>
      </c>
      <c r="T178">
        <v>0</v>
      </c>
      <c r="U178">
        <v>0</v>
      </c>
      <c r="V178">
        <v>42</v>
      </c>
      <c r="W178">
        <v>148</v>
      </c>
      <c r="X178">
        <v>170</v>
      </c>
      <c r="Y178">
        <v>109</v>
      </c>
      <c r="Z178" t="e">
        <f t="shared" si="4"/>
        <v>#N/A</v>
      </c>
    </row>
    <row r="179" spans="1:26" x14ac:dyDescent="0.25">
      <c r="A179" t="s">
        <v>1964</v>
      </c>
      <c r="B179">
        <v>53033023401</v>
      </c>
      <c r="C179" t="s">
        <v>1965</v>
      </c>
      <c r="D179">
        <v>3433</v>
      </c>
      <c r="E179">
        <v>2534</v>
      </c>
      <c r="F179">
        <v>899</v>
      </c>
      <c r="G179">
        <v>3433</v>
      </c>
      <c r="H179">
        <v>2534</v>
      </c>
      <c r="I179">
        <v>899</v>
      </c>
      <c r="J179">
        <v>2171</v>
      </c>
      <c r="K179">
        <v>322</v>
      </c>
      <c r="L179">
        <v>19</v>
      </c>
      <c r="M179">
        <v>19</v>
      </c>
      <c r="N179">
        <v>62</v>
      </c>
      <c r="O179">
        <v>44</v>
      </c>
      <c r="P179">
        <v>3</v>
      </c>
      <c r="Q179">
        <v>0</v>
      </c>
      <c r="R179">
        <v>164</v>
      </c>
      <c r="S179">
        <v>479</v>
      </c>
      <c r="T179">
        <v>0</v>
      </c>
      <c r="U179">
        <v>0</v>
      </c>
      <c r="V179">
        <v>30</v>
      </c>
      <c r="W179">
        <v>19</v>
      </c>
      <c r="X179">
        <v>85</v>
      </c>
      <c r="Y179">
        <v>16</v>
      </c>
      <c r="Z179" t="e">
        <f t="shared" si="4"/>
        <v>#N/A</v>
      </c>
    </row>
    <row r="180" spans="1:26" x14ac:dyDescent="0.25">
      <c r="A180" t="s">
        <v>1966</v>
      </c>
      <c r="B180">
        <v>53033023402</v>
      </c>
      <c r="C180" t="s">
        <v>1967</v>
      </c>
      <c r="D180">
        <v>7152</v>
      </c>
      <c r="E180">
        <v>6112</v>
      </c>
      <c r="F180">
        <v>1040</v>
      </c>
      <c r="G180">
        <v>7152</v>
      </c>
      <c r="H180">
        <v>6112</v>
      </c>
      <c r="I180">
        <v>1040</v>
      </c>
      <c r="J180">
        <v>5612</v>
      </c>
      <c r="K180">
        <v>464</v>
      </c>
      <c r="L180">
        <v>34</v>
      </c>
      <c r="M180">
        <v>29</v>
      </c>
      <c r="N180">
        <v>60</v>
      </c>
      <c r="O180">
        <v>41</v>
      </c>
      <c r="P180">
        <v>50</v>
      </c>
      <c r="Q180">
        <v>0</v>
      </c>
      <c r="R180">
        <v>219</v>
      </c>
      <c r="S180">
        <v>457</v>
      </c>
      <c r="T180">
        <v>9</v>
      </c>
      <c r="U180">
        <v>26</v>
      </c>
      <c r="V180">
        <v>6</v>
      </c>
      <c r="W180">
        <v>0</v>
      </c>
      <c r="X180">
        <v>122</v>
      </c>
      <c r="Y180">
        <v>23</v>
      </c>
      <c r="Z180" t="e">
        <f t="shared" si="4"/>
        <v>#N/A</v>
      </c>
    </row>
    <row r="181" spans="1:26" x14ac:dyDescent="0.25">
      <c r="A181" t="s">
        <v>1968</v>
      </c>
      <c r="B181">
        <v>53033023500</v>
      </c>
      <c r="C181" t="s">
        <v>1969</v>
      </c>
      <c r="D181">
        <v>3465</v>
      </c>
      <c r="E181">
        <v>2907</v>
      </c>
      <c r="F181">
        <v>558</v>
      </c>
      <c r="G181">
        <v>3465</v>
      </c>
      <c r="H181">
        <v>2907</v>
      </c>
      <c r="I181">
        <v>558</v>
      </c>
      <c r="J181">
        <v>2555</v>
      </c>
      <c r="K181">
        <v>214</v>
      </c>
      <c r="L181">
        <v>13</v>
      </c>
      <c r="M181">
        <v>12</v>
      </c>
      <c r="N181">
        <v>8</v>
      </c>
      <c r="O181">
        <v>0</v>
      </c>
      <c r="P181">
        <v>24</v>
      </c>
      <c r="Q181">
        <v>0</v>
      </c>
      <c r="R181">
        <v>180</v>
      </c>
      <c r="S181">
        <v>269</v>
      </c>
      <c r="T181">
        <v>0</v>
      </c>
      <c r="U181">
        <v>9</v>
      </c>
      <c r="V181">
        <v>27</v>
      </c>
      <c r="W181">
        <v>11</v>
      </c>
      <c r="X181">
        <v>100</v>
      </c>
      <c r="Y181">
        <v>43</v>
      </c>
      <c r="Z181" t="e">
        <f t="shared" si="4"/>
        <v>#N/A</v>
      </c>
    </row>
    <row r="182" spans="1:26" x14ac:dyDescent="0.25">
      <c r="A182" t="s">
        <v>1970</v>
      </c>
      <c r="B182">
        <v>53033023601</v>
      </c>
      <c r="C182" t="s">
        <v>1971</v>
      </c>
      <c r="D182">
        <v>3617</v>
      </c>
      <c r="E182">
        <v>2587</v>
      </c>
      <c r="F182">
        <v>1030</v>
      </c>
      <c r="G182">
        <v>3617</v>
      </c>
      <c r="H182">
        <v>2587</v>
      </c>
      <c r="I182">
        <v>1030</v>
      </c>
      <c r="J182">
        <v>2347</v>
      </c>
      <c r="K182">
        <v>414</v>
      </c>
      <c r="L182">
        <v>12</v>
      </c>
      <c r="M182">
        <v>26</v>
      </c>
      <c r="N182">
        <v>15</v>
      </c>
      <c r="O182">
        <v>30</v>
      </c>
      <c r="P182">
        <v>0</v>
      </c>
      <c r="Q182">
        <v>0</v>
      </c>
      <c r="R182">
        <v>87</v>
      </c>
      <c r="S182">
        <v>423</v>
      </c>
      <c r="T182">
        <v>0</v>
      </c>
      <c r="U182">
        <v>0</v>
      </c>
      <c r="V182">
        <v>44</v>
      </c>
      <c r="W182">
        <v>96</v>
      </c>
      <c r="X182">
        <v>82</v>
      </c>
      <c r="Y182">
        <v>41</v>
      </c>
      <c r="Z182" t="e">
        <f t="shared" si="4"/>
        <v>#N/A</v>
      </c>
    </row>
    <row r="183" spans="1:26" x14ac:dyDescent="0.25">
      <c r="A183" t="s">
        <v>1972</v>
      </c>
      <c r="B183">
        <v>53033023603</v>
      </c>
      <c r="C183" t="s">
        <v>1973</v>
      </c>
      <c r="D183">
        <v>5299</v>
      </c>
      <c r="E183">
        <v>3301</v>
      </c>
      <c r="F183">
        <v>1998</v>
      </c>
      <c r="G183">
        <v>5299</v>
      </c>
      <c r="H183">
        <v>3301</v>
      </c>
      <c r="I183">
        <v>1998</v>
      </c>
      <c r="J183">
        <v>2600</v>
      </c>
      <c r="K183">
        <v>270</v>
      </c>
      <c r="L183">
        <v>68</v>
      </c>
      <c r="M183">
        <v>24</v>
      </c>
      <c r="N183">
        <v>113</v>
      </c>
      <c r="O183">
        <v>86</v>
      </c>
      <c r="P183">
        <v>21</v>
      </c>
      <c r="Q183">
        <v>0</v>
      </c>
      <c r="R183">
        <v>233</v>
      </c>
      <c r="S183">
        <v>1145</v>
      </c>
      <c r="T183">
        <v>5</v>
      </c>
      <c r="U183">
        <v>0</v>
      </c>
      <c r="V183">
        <v>157</v>
      </c>
      <c r="W183">
        <v>354</v>
      </c>
      <c r="X183">
        <v>104</v>
      </c>
      <c r="Y183">
        <v>119</v>
      </c>
      <c r="Z183" t="e">
        <f t="shared" si="4"/>
        <v>#N/A</v>
      </c>
    </row>
    <row r="184" spans="1:26" x14ac:dyDescent="0.25">
      <c r="A184" t="s">
        <v>1974</v>
      </c>
      <c r="B184">
        <v>53033023604</v>
      </c>
      <c r="C184" t="s">
        <v>1975</v>
      </c>
      <c r="D184">
        <v>5783</v>
      </c>
      <c r="E184">
        <v>3846</v>
      </c>
      <c r="F184">
        <v>1937</v>
      </c>
      <c r="G184">
        <v>5783</v>
      </c>
      <c r="H184">
        <v>3846</v>
      </c>
      <c r="I184">
        <v>1937</v>
      </c>
      <c r="J184">
        <v>3175</v>
      </c>
      <c r="K184">
        <v>487</v>
      </c>
      <c r="L184">
        <v>95</v>
      </c>
      <c r="M184">
        <v>98</v>
      </c>
      <c r="N184">
        <v>148</v>
      </c>
      <c r="O184">
        <v>35</v>
      </c>
      <c r="P184">
        <v>64</v>
      </c>
      <c r="Q184">
        <v>0</v>
      </c>
      <c r="R184">
        <v>193</v>
      </c>
      <c r="S184">
        <v>850</v>
      </c>
      <c r="T184">
        <v>0</v>
      </c>
      <c r="U184">
        <v>32</v>
      </c>
      <c r="V184">
        <v>42</v>
      </c>
      <c r="W184">
        <v>271</v>
      </c>
      <c r="X184">
        <v>129</v>
      </c>
      <c r="Y184">
        <v>164</v>
      </c>
      <c r="Z184" t="e">
        <f t="shared" si="4"/>
        <v>#N/A</v>
      </c>
    </row>
    <row r="185" spans="1:26" x14ac:dyDescent="0.25">
      <c r="A185" t="s">
        <v>1976</v>
      </c>
      <c r="B185">
        <v>53033023700</v>
      </c>
      <c r="C185" t="s">
        <v>1977</v>
      </c>
      <c r="D185">
        <v>4033</v>
      </c>
      <c r="E185">
        <v>3246</v>
      </c>
      <c r="F185">
        <v>787</v>
      </c>
      <c r="G185">
        <v>4033</v>
      </c>
      <c r="H185">
        <v>3246</v>
      </c>
      <c r="I185">
        <v>787</v>
      </c>
      <c r="J185">
        <v>2882</v>
      </c>
      <c r="K185">
        <v>386</v>
      </c>
      <c r="L185">
        <v>17</v>
      </c>
      <c r="M185">
        <v>38</v>
      </c>
      <c r="N185">
        <v>115</v>
      </c>
      <c r="O185">
        <v>0</v>
      </c>
      <c r="P185">
        <v>0</v>
      </c>
      <c r="Q185">
        <v>0</v>
      </c>
      <c r="R185">
        <v>145</v>
      </c>
      <c r="S185">
        <v>324</v>
      </c>
      <c r="T185">
        <v>8</v>
      </c>
      <c r="U185">
        <v>0</v>
      </c>
      <c r="V185">
        <v>19</v>
      </c>
      <c r="W185">
        <v>17</v>
      </c>
      <c r="X185">
        <v>60</v>
      </c>
      <c r="Y185">
        <v>22</v>
      </c>
      <c r="Z185" t="e">
        <f t="shared" si="4"/>
        <v>#N/A</v>
      </c>
    </row>
    <row r="186" spans="1:26" x14ac:dyDescent="0.25">
      <c r="A186" t="s">
        <v>1978</v>
      </c>
      <c r="B186">
        <v>53033023801</v>
      </c>
      <c r="C186" t="s">
        <v>1979</v>
      </c>
      <c r="D186">
        <v>2453</v>
      </c>
      <c r="E186">
        <v>2107</v>
      </c>
      <c r="F186">
        <v>346</v>
      </c>
      <c r="G186">
        <v>2453</v>
      </c>
      <c r="H186">
        <v>2107</v>
      </c>
      <c r="I186">
        <v>346</v>
      </c>
      <c r="J186">
        <v>1825</v>
      </c>
      <c r="K186">
        <v>102</v>
      </c>
      <c r="L186">
        <v>84</v>
      </c>
      <c r="M186">
        <v>38</v>
      </c>
      <c r="N186">
        <v>42</v>
      </c>
      <c r="O186">
        <v>15</v>
      </c>
      <c r="P186">
        <v>36</v>
      </c>
      <c r="Q186">
        <v>0</v>
      </c>
      <c r="R186">
        <v>58</v>
      </c>
      <c r="S186">
        <v>153</v>
      </c>
      <c r="T186">
        <v>0</v>
      </c>
      <c r="U186">
        <v>0</v>
      </c>
      <c r="V186">
        <v>0</v>
      </c>
      <c r="W186">
        <v>12</v>
      </c>
      <c r="X186">
        <v>62</v>
      </c>
      <c r="Y186">
        <v>26</v>
      </c>
      <c r="Z186" t="e">
        <f t="shared" si="4"/>
        <v>#N/A</v>
      </c>
    </row>
    <row r="187" spans="1:26" x14ac:dyDescent="0.25">
      <c r="A187" t="s">
        <v>1980</v>
      </c>
      <c r="B187">
        <v>53033023802</v>
      </c>
      <c r="C187" t="s">
        <v>1981</v>
      </c>
      <c r="D187">
        <v>2618</v>
      </c>
      <c r="E187">
        <v>1948</v>
      </c>
      <c r="F187">
        <v>670</v>
      </c>
      <c r="G187">
        <v>2618</v>
      </c>
      <c r="H187">
        <v>1948</v>
      </c>
      <c r="I187">
        <v>670</v>
      </c>
      <c r="J187">
        <v>1770</v>
      </c>
      <c r="K187">
        <v>338</v>
      </c>
      <c r="L187">
        <v>29</v>
      </c>
      <c r="M187">
        <v>31</v>
      </c>
      <c r="N187">
        <v>25</v>
      </c>
      <c r="O187">
        <v>9</v>
      </c>
      <c r="P187">
        <v>10</v>
      </c>
      <c r="Q187">
        <v>0</v>
      </c>
      <c r="R187">
        <v>86</v>
      </c>
      <c r="S187">
        <v>239</v>
      </c>
      <c r="T187">
        <v>0</v>
      </c>
      <c r="U187">
        <v>19</v>
      </c>
      <c r="V187">
        <v>0</v>
      </c>
      <c r="W187">
        <v>11</v>
      </c>
      <c r="X187">
        <v>28</v>
      </c>
      <c r="Y187">
        <v>23</v>
      </c>
      <c r="Z187" t="e">
        <f t="shared" si="4"/>
        <v>#N/A</v>
      </c>
    </row>
    <row r="188" spans="1:26" x14ac:dyDescent="0.25">
      <c r="A188" t="s">
        <v>1982</v>
      </c>
      <c r="B188">
        <v>53033023900</v>
      </c>
      <c r="C188" t="s">
        <v>1983</v>
      </c>
      <c r="D188">
        <v>6474</v>
      </c>
      <c r="E188">
        <v>5423</v>
      </c>
      <c r="F188">
        <v>1051</v>
      </c>
      <c r="G188">
        <v>6474</v>
      </c>
      <c r="H188">
        <v>5423</v>
      </c>
      <c r="I188">
        <v>1051</v>
      </c>
      <c r="J188">
        <v>4969</v>
      </c>
      <c r="K188">
        <v>506</v>
      </c>
      <c r="L188">
        <v>31</v>
      </c>
      <c r="M188">
        <v>51</v>
      </c>
      <c r="N188">
        <v>97</v>
      </c>
      <c r="O188">
        <v>8</v>
      </c>
      <c r="P188">
        <v>58</v>
      </c>
      <c r="Q188">
        <v>0</v>
      </c>
      <c r="R188">
        <v>91</v>
      </c>
      <c r="S188">
        <v>424</v>
      </c>
      <c r="T188">
        <v>0</v>
      </c>
      <c r="U188">
        <v>0</v>
      </c>
      <c r="V188">
        <v>49</v>
      </c>
      <c r="W188">
        <v>55</v>
      </c>
      <c r="X188">
        <v>128</v>
      </c>
      <c r="Y188">
        <v>7</v>
      </c>
      <c r="Z188" t="e">
        <f t="shared" si="4"/>
        <v>#N/A</v>
      </c>
    </row>
    <row r="189" spans="1:26" x14ac:dyDescent="0.25">
      <c r="A189" t="s">
        <v>1984</v>
      </c>
      <c r="B189">
        <v>53033024000</v>
      </c>
      <c r="C189" t="s">
        <v>1985</v>
      </c>
      <c r="D189">
        <v>6915</v>
      </c>
      <c r="E189">
        <v>5525</v>
      </c>
      <c r="F189">
        <v>1390</v>
      </c>
      <c r="G189">
        <v>6915</v>
      </c>
      <c r="H189">
        <v>5525</v>
      </c>
      <c r="I189">
        <v>1390</v>
      </c>
      <c r="J189">
        <v>5002</v>
      </c>
      <c r="K189">
        <v>678</v>
      </c>
      <c r="L189">
        <v>66</v>
      </c>
      <c r="M189">
        <v>22</v>
      </c>
      <c r="N189">
        <v>27</v>
      </c>
      <c r="O189">
        <v>0</v>
      </c>
      <c r="P189">
        <v>30</v>
      </c>
      <c r="Q189">
        <v>0</v>
      </c>
      <c r="R189">
        <v>159</v>
      </c>
      <c r="S189">
        <v>584</v>
      </c>
      <c r="T189">
        <v>13</v>
      </c>
      <c r="U189">
        <v>0</v>
      </c>
      <c r="V189">
        <v>55</v>
      </c>
      <c r="W189">
        <v>95</v>
      </c>
      <c r="X189">
        <v>173</v>
      </c>
      <c r="Y189">
        <v>11</v>
      </c>
      <c r="Z189" t="e">
        <f t="shared" si="4"/>
        <v>#N/A</v>
      </c>
    </row>
    <row r="190" spans="1:26" x14ac:dyDescent="0.25">
      <c r="A190" t="s">
        <v>1986</v>
      </c>
      <c r="B190">
        <v>53033024100</v>
      </c>
      <c r="C190" t="s">
        <v>1987</v>
      </c>
      <c r="D190">
        <v>4341</v>
      </c>
      <c r="E190">
        <v>3838</v>
      </c>
      <c r="F190">
        <v>503</v>
      </c>
      <c r="G190">
        <v>4341</v>
      </c>
      <c r="H190">
        <v>3838</v>
      </c>
      <c r="I190">
        <v>503</v>
      </c>
      <c r="J190">
        <v>3624</v>
      </c>
      <c r="K190">
        <v>297</v>
      </c>
      <c r="L190">
        <v>34</v>
      </c>
      <c r="M190">
        <v>8</v>
      </c>
      <c r="N190">
        <v>6</v>
      </c>
      <c r="O190">
        <v>3</v>
      </c>
      <c r="P190">
        <v>0</v>
      </c>
      <c r="Q190">
        <v>0</v>
      </c>
      <c r="R190">
        <v>70</v>
      </c>
      <c r="S190">
        <v>175</v>
      </c>
      <c r="T190">
        <v>0</v>
      </c>
      <c r="U190">
        <v>0</v>
      </c>
      <c r="V190">
        <v>24</v>
      </c>
      <c r="W190">
        <v>7</v>
      </c>
      <c r="X190">
        <v>80</v>
      </c>
      <c r="Y190">
        <v>13</v>
      </c>
      <c r="Z190" t="e">
        <f t="shared" si="4"/>
        <v>#N/A</v>
      </c>
    </row>
    <row r="191" spans="1:26" x14ac:dyDescent="0.25">
      <c r="A191" t="s">
        <v>1988</v>
      </c>
      <c r="B191">
        <v>53033024200</v>
      </c>
      <c r="C191" t="s">
        <v>1989</v>
      </c>
      <c r="D191">
        <v>3001</v>
      </c>
      <c r="E191">
        <v>2696</v>
      </c>
      <c r="F191">
        <v>305</v>
      </c>
      <c r="G191">
        <v>3001</v>
      </c>
      <c r="H191">
        <v>2696</v>
      </c>
      <c r="I191">
        <v>305</v>
      </c>
      <c r="J191">
        <v>2549</v>
      </c>
      <c r="K191">
        <v>213</v>
      </c>
      <c r="L191">
        <v>74</v>
      </c>
      <c r="M191">
        <v>0</v>
      </c>
      <c r="N191">
        <v>3</v>
      </c>
      <c r="O191">
        <v>8</v>
      </c>
      <c r="P191">
        <v>0</v>
      </c>
      <c r="Q191">
        <v>0</v>
      </c>
      <c r="R191">
        <v>18</v>
      </c>
      <c r="S191">
        <v>79</v>
      </c>
      <c r="T191">
        <v>0</v>
      </c>
      <c r="U191">
        <v>0</v>
      </c>
      <c r="V191">
        <v>8</v>
      </c>
      <c r="W191">
        <v>5</v>
      </c>
      <c r="X191">
        <v>44</v>
      </c>
      <c r="Y191">
        <v>0</v>
      </c>
      <c r="Z191" t="e">
        <f t="shared" si="4"/>
        <v>#N/A</v>
      </c>
    </row>
    <row r="192" spans="1:26" x14ac:dyDescent="0.25">
      <c r="A192" t="s">
        <v>1990</v>
      </c>
      <c r="B192">
        <v>53033024300</v>
      </c>
      <c r="C192" t="s">
        <v>1991</v>
      </c>
      <c r="D192">
        <v>6477</v>
      </c>
      <c r="E192">
        <v>5387</v>
      </c>
      <c r="F192">
        <v>1090</v>
      </c>
      <c r="G192">
        <v>6477</v>
      </c>
      <c r="H192">
        <v>5387</v>
      </c>
      <c r="I192">
        <v>1090</v>
      </c>
      <c r="J192">
        <v>4676</v>
      </c>
      <c r="K192">
        <v>532</v>
      </c>
      <c r="L192">
        <v>56</v>
      </c>
      <c r="M192">
        <v>41</v>
      </c>
      <c r="N192">
        <v>112</v>
      </c>
      <c r="O192">
        <v>0</v>
      </c>
      <c r="P192">
        <v>0</v>
      </c>
      <c r="Q192">
        <v>0</v>
      </c>
      <c r="R192">
        <v>363</v>
      </c>
      <c r="S192">
        <v>479</v>
      </c>
      <c r="T192">
        <v>0</v>
      </c>
      <c r="U192">
        <v>0</v>
      </c>
      <c r="V192">
        <v>38</v>
      </c>
      <c r="W192">
        <v>32</v>
      </c>
      <c r="X192">
        <v>142</v>
      </c>
      <c r="Y192">
        <v>6</v>
      </c>
      <c r="Z192" t="e">
        <f t="shared" si="4"/>
        <v>#N/A</v>
      </c>
    </row>
    <row r="193" spans="1:26" x14ac:dyDescent="0.25">
      <c r="A193" t="s">
        <v>1992</v>
      </c>
      <c r="B193">
        <v>53033024400</v>
      </c>
      <c r="C193" t="s">
        <v>1993</v>
      </c>
      <c r="D193">
        <v>2528</v>
      </c>
      <c r="E193">
        <v>1989</v>
      </c>
      <c r="F193">
        <v>539</v>
      </c>
      <c r="G193">
        <v>2528</v>
      </c>
      <c r="H193">
        <v>1989</v>
      </c>
      <c r="I193">
        <v>539</v>
      </c>
      <c r="J193">
        <v>1802</v>
      </c>
      <c r="K193">
        <v>221</v>
      </c>
      <c r="L193">
        <v>8</v>
      </c>
      <c r="M193">
        <v>0</v>
      </c>
      <c r="N193">
        <v>32</v>
      </c>
      <c r="O193">
        <v>9</v>
      </c>
      <c r="P193">
        <v>4</v>
      </c>
      <c r="Q193">
        <v>0</v>
      </c>
      <c r="R193">
        <v>98</v>
      </c>
      <c r="S193">
        <v>292</v>
      </c>
      <c r="T193">
        <v>8</v>
      </c>
      <c r="U193">
        <v>10</v>
      </c>
      <c r="V193">
        <v>5</v>
      </c>
      <c r="W193">
        <v>0</v>
      </c>
      <c r="X193">
        <v>32</v>
      </c>
      <c r="Y193">
        <v>7</v>
      </c>
      <c r="Z193" t="e">
        <f t="shared" si="4"/>
        <v>#N/A</v>
      </c>
    </row>
    <row r="194" spans="1:26" x14ac:dyDescent="0.25">
      <c r="A194" t="s">
        <v>1994</v>
      </c>
      <c r="B194">
        <v>53033024500</v>
      </c>
      <c r="C194" t="s">
        <v>1995</v>
      </c>
      <c r="D194">
        <v>4790</v>
      </c>
      <c r="E194">
        <v>4103</v>
      </c>
      <c r="F194">
        <v>687</v>
      </c>
      <c r="G194">
        <v>4790</v>
      </c>
      <c r="H194">
        <v>4103</v>
      </c>
      <c r="I194">
        <v>687</v>
      </c>
      <c r="J194">
        <v>3604</v>
      </c>
      <c r="K194">
        <v>402</v>
      </c>
      <c r="L194">
        <v>39</v>
      </c>
      <c r="M194">
        <v>0</v>
      </c>
      <c r="N194">
        <v>24</v>
      </c>
      <c r="O194">
        <v>7</v>
      </c>
      <c r="P194">
        <v>35</v>
      </c>
      <c r="Q194">
        <v>0</v>
      </c>
      <c r="R194">
        <v>218</v>
      </c>
      <c r="S194">
        <v>269</v>
      </c>
      <c r="T194">
        <v>0</v>
      </c>
      <c r="U194">
        <v>0</v>
      </c>
      <c r="V194">
        <v>6</v>
      </c>
      <c r="W194">
        <v>5</v>
      </c>
      <c r="X194">
        <v>177</v>
      </c>
      <c r="Y194">
        <v>4</v>
      </c>
      <c r="Z194" t="e">
        <f t="shared" si="4"/>
        <v>#N/A</v>
      </c>
    </row>
    <row r="195" spans="1:26" x14ac:dyDescent="0.25">
      <c r="A195" t="s">
        <v>1996</v>
      </c>
      <c r="B195">
        <v>53033024601</v>
      </c>
      <c r="C195" t="s">
        <v>1997</v>
      </c>
      <c r="D195">
        <v>4498</v>
      </c>
      <c r="E195">
        <v>3874</v>
      </c>
      <c r="F195">
        <v>624</v>
      </c>
      <c r="G195">
        <v>4498</v>
      </c>
      <c r="H195">
        <v>3874</v>
      </c>
      <c r="I195">
        <v>624</v>
      </c>
      <c r="J195">
        <v>3482</v>
      </c>
      <c r="K195">
        <v>414</v>
      </c>
      <c r="L195">
        <v>65</v>
      </c>
      <c r="M195">
        <v>0</v>
      </c>
      <c r="N195">
        <v>6</v>
      </c>
      <c r="O195">
        <v>0</v>
      </c>
      <c r="P195">
        <v>0</v>
      </c>
      <c r="Q195">
        <v>0</v>
      </c>
      <c r="R195">
        <v>250</v>
      </c>
      <c r="S195">
        <v>204</v>
      </c>
      <c r="T195">
        <v>3</v>
      </c>
      <c r="U195">
        <v>6</v>
      </c>
      <c r="V195">
        <v>9</v>
      </c>
      <c r="W195">
        <v>0</v>
      </c>
      <c r="X195">
        <v>59</v>
      </c>
      <c r="Y195">
        <v>0</v>
      </c>
      <c r="Z195" t="e">
        <f t="shared" ref="Z195:Z258" si="5">VLOOKUP(C195,$AE$2:$AF$125,2,FALSE)</f>
        <v>#N/A</v>
      </c>
    </row>
    <row r="196" spans="1:26" x14ac:dyDescent="0.25">
      <c r="A196" t="s">
        <v>1998</v>
      </c>
      <c r="B196">
        <v>53033024602</v>
      </c>
      <c r="C196" t="s">
        <v>1999</v>
      </c>
      <c r="D196">
        <v>3743</v>
      </c>
      <c r="E196">
        <v>3402</v>
      </c>
      <c r="F196">
        <v>341</v>
      </c>
      <c r="G196">
        <v>3743</v>
      </c>
      <c r="H196">
        <v>3402</v>
      </c>
      <c r="I196">
        <v>341</v>
      </c>
      <c r="J196">
        <v>2977</v>
      </c>
      <c r="K196">
        <v>185</v>
      </c>
      <c r="L196">
        <v>18</v>
      </c>
      <c r="M196">
        <v>15</v>
      </c>
      <c r="N196">
        <v>99</v>
      </c>
      <c r="O196">
        <v>16</v>
      </c>
      <c r="P196">
        <v>0</v>
      </c>
      <c r="Q196">
        <v>0</v>
      </c>
      <c r="R196">
        <v>168</v>
      </c>
      <c r="S196">
        <v>95</v>
      </c>
      <c r="T196">
        <v>0</v>
      </c>
      <c r="U196">
        <v>0</v>
      </c>
      <c r="V196">
        <v>0</v>
      </c>
      <c r="W196">
        <v>0</v>
      </c>
      <c r="X196">
        <v>140</v>
      </c>
      <c r="Y196">
        <v>30</v>
      </c>
      <c r="Z196" t="e">
        <f t="shared" si="5"/>
        <v>#N/A</v>
      </c>
    </row>
    <row r="197" spans="1:26" x14ac:dyDescent="0.25">
      <c r="A197" t="s">
        <v>2000</v>
      </c>
      <c r="B197">
        <v>53033024701</v>
      </c>
      <c r="C197" t="s">
        <v>2001</v>
      </c>
      <c r="D197">
        <v>3495</v>
      </c>
      <c r="E197">
        <v>2818</v>
      </c>
      <c r="F197">
        <v>677</v>
      </c>
      <c r="G197">
        <v>3495</v>
      </c>
      <c r="H197">
        <v>2818</v>
      </c>
      <c r="I197">
        <v>677</v>
      </c>
      <c r="J197">
        <v>2530</v>
      </c>
      <c r="K197">
        <v>230</v>
      </c>
      <c r="L197">
        <v>30</v>
      </c>
      <c r="M197">
        <v>17</v>
      </c>
      <c r="N197">
        <v>21</v>
      </c>
      <c r="O197">
        <v>0</v>
      </c>
      <c r="P197">
        <v>9</v>
      </c>
      <c r="Q197">
        <v>0</v>
      </c>
      <c r="R197">
        <v>191</v>
      </c>
      <c r="S197">
        <v>390</v>
      </c>
      <c r="T197">
        <v>0</v>
      </c>
      <c r="U197">
        <v>0</v>
      </c>
      <c r="V197">
        <v>21</v>
      </c>
      <c r="W197">
        <v>16</v>
      </c>
      <c r="X197">
        <v>16</v>
      </c>
      <c r="Y197">
        <v>24</v>
      </c>
      <c r="Z197" t="e">
        <f t="shared" si="5"/>
        <v>#N/A</v>
      </c>
    </row>
    <row r="198" spans="1:26" x14ac:dyDescent="0.25">
      <c r="A198" t="s">
        <v>2002</v>
      </c>
      <c r="B198">
        <v>53033024702</v>
      </c>
      <c r="C198" t="s">
        <v>2003</v>
      </c>
      <c r="D198">
        <v>6065</v>
      </c>
      <c r="E198">
        <v>5009</v>
      </c>
      <c r="F198">
        <v>1056</v>
      </c>
      <c r="G198">
        <v>6065</v>
      </c>
      <c r="H198">
        <v>5009</v>
      </c>
      <c r="I198">
        <v>1056</v>
      </c>
      <c r="J198">
        <v>4113</v>
      </c>
      <c r="K198">
        <v>412</v>
      </c>
      <c r="L198">
        <v>8</v>
      </c>
      <c r="M198">
        <v>0</v>
      </c>
      <c r="N198">
        <v>161</v>
      </c>
      <c r="O198">
        <v>7</v>
      </c>
      <c r="P198">
        <v>39</v>
      </c>
      <c r="Q198">
        <v>0</v>
      </c>
      <c r="R198">
        <v>486</v>
      </c>
      <c r="S198">
        <v>533</v>
      </c>
      <c r="T198">
        <v>0</v>
      </c>
      <c r="U198">
        <v>7</v>
      </c>
      <c r="V198">
        <v>16</v>
      </c>
      <c r="W198">
        <v>64</v>
      </c>
      <c r="X198">
        <v>186</v>
      </c>
      <c r="Y198">
        <v>33</v>
      </c>
      <c r="Z198" t="e">
        <f t="shared" si="5"/>
        <v>#N/A</v>
      </c>
    </row>
    <row r="199" spans="1:26" x14ac:dyDescent="0.25">
      <c r="A199" t="s">
        <v>2004</v>
      </c>
      <c r="B199">
        <v>53033024800</v>
      </c>
      <c r="C199" t="s">
        <v>2005</v>
      </c>
      <c r="D199">
        <v>5314</v>
      </c>
      <c r="E199">
        <v>3981</v>
      </c>
      <c r="F199">
        <v>1333</v>
      </c>
      <c r="G199">
        <v>5314</v>
      </c>
      <c r="H199">
        <v>3981</v>
      </c>
      <c r="I199">
        <v>1333</v>
      </c>
      <c r="J199">
        <v>3310</v>
      </c>
      <c r="K199">
        <v>479</v>
      </c>
      <c r="L199">
        <v>79</v>
      </c>
      <c r="M199">
        <v>113</v>
      </c>
      <c r="N199">
        <v>100</v>
      </c>
      <c r="O199">
        <v>0</v>
      </c>
      <c r="P199">
        <v>15</v>
      </c>
      <c r="Q199">
        <v>0</v>
      </c>
      <c r="R199">
        <v>293</v>
      </c>
      <c r="S199">
        <v>711</v>
      </c>
      <c r="T199">
        <v>29</v>
      </c>
      <c r="U199">
        <v>11</v>
      </c>
      <c r="V199">
        <v>40</v>
      </c>
      <c r="W199">
        <v>19</v>
      </c>
      <c r="X199">
        <v>115</v>
      </c>
      <c r="Y199">
        <v>0</v>
      </c>
      <c r="Z199" t="e">
        <f t="shared" si="5"/>
        <v>#N/A</v>
      </c>
    </row>
    <row r="200" spans="1:26" x14ac:dyDescent="0.25">
      <c r="A200" t="s">
        <v>2006</v>
      </c>
      <c r="B200">
        <v>53033024901</v>
      </c>
      <c r="C200" t="s">
        <v>2007</v>
      </c>
      <c r="D200">
        <v>5011</v>
      </c>
      <c r="E200">
        <v>3849</v>
      </c>
      <c r="F200">
        <v>1162</v>
      </c>
      <c r="G200">
        <v>5011</v>
      </c>
      <c r="H200">
        <v>3849</v>
      </c>
      <c r="I200">
        <v>1162</v>
      </c>
      <c r="J200">
        <v>3185</v>
      </c>
      <c r="K200">
        <v>376</v>
      </c>
      <c r="L200">
        <v>16</v>
      </c>
      <c r="M200">
        <v>12</v>
      </c>
      <c r="N200">
        <v>41</v>
      </c>
      <c r="O200">
        <v>0</v>
      </c>
      <c r="P200">
        <v>16</v>
      </c>
      <c r="Q200">
        <v>6</v>
      </c>
      <c r="R200">
        <v>440</v>
      </c>
      <c r="S200">
        <v>698</v>
      </c>
      <c r="T200">
        <v>0</v>
      </c>
      <c r="U200">
        <v>8</v>
      </c>
      <c r="V200">
        <v>9</v>
      </c>
      <c r="W200">
        <v>0</v>
      </c>
      <c r="X200">
        <v>142</v>
      </c>
      <c r="Y200">
        <v>62</v>
      </c>
      <c r="Z200" t="e">
        <f t="shared" si="5"/>
        <v>#N/A</v>
      </c>
    </row>
    <row r="201" spans="1:26" x14ac:dyDescent="0.25">
      <c r="A201" t="s">
        <v>2008</v>
      </c>
      <c r="B201">
        <v>53033024902</v>
      </c>
      <c r="C201" t="s">
        <v>2009</v>
      </c>
      <c r="D201">
        <v>3586</v>
      </c>
      <c r="E201">
        <v>2875</v>
      </c>
      <c r="F201">
        <v>711</v>
      </c>
      <c r="G201">
        <v>3586</v>
      </c>
      <c r="H201">
        <v>2875</v>
      </c>
      <c r="I201">
        <v>711</v>
      </c>
      <c r="J201">
        <v>2522</v>
      </c>
      <c r="K201">
        <v>287</v>
      </c>
      <c r="L201">
        <v>22</v>
      </c>
      <c r="M201">
        <v>10</v>
      </c>
      <c r="N201">
        <v>34</v>
      </c>
      <c r="O201">
        <v>0</v>
      </c>
      <c r="P201">
        <v>0</v>
      </c>
      <c r="Q201">
        <v>9</v>
      </c>
      <c r="R201">
        <v>210</v>
      </c>
      <c r="S201">
        <v>352</v>
      </c>
      <c r="T201">
        <v>11</v>
      </c>
      <c r="U201">
        <v>4</v>
      </c>
      <c r="V201">
        <v>8</v>
      </c>
      <c r="W201">
        <v>10</v>
      </c>
      <c r="X201">
        <v>68</v>
      </c>
      <c r="Y201">
        <v>39</v>
      </c>
      <c r="Z201" t="e">
        <f t="shared" si="5"/>
        <v>#N/A</v>
      </c>
    </row>
    <row r="202" spans="1:26" x14ac:dyDescent="0.25">
      <c r="A202" t="s">
        <v>2010</v>
      </c>
      <c r="B202">
        <v>53033024903</v>
      </c>
      <c r="C202" t="s">
        <v>2011</v>
      </c>
      <c r="D202">
        <v>6649</v>
      </c>
      <c r="E202">
        <v>5042</v>
      </c>
      <c r="F202">
        <v>1607</v>
      </c>
      <c r="G202">
        <v>6649</v>
      </c>
      <c r="H202">
        <v>5042</v>
      </c>
      <c r="I202">
        <v>1607</v>
      </c>
      <c r="J202">
        <v>3994</v>
      </c>
      <c r="K202">
        <v>482</v>
      </c>
      <c r="L202">
        <v>32</v>
      </c>
      <c r="M202">
        <v>0</v>
      </c>
      <c r="N202">
        <v>76</v>
      </c>
      <c r="O202">
        <v>2</v>
      </c>
      <c r="P202">
        <v>7</v>
      </c>
      <c r="Q202">
        <v>0</v>
      </c>
      <c r="R202">
        <v>766</v>
      </c>
      <c r="S202">
        <v>1070</v>
      </c>
      <c r="T202">
        <v>0</v>
      </c>
      <c r="U202">
        <v>0</v>
      </c>
      <c r="V202">
        <v>27</v>
      </c>
      <c r="W202">
        <v>0</v>
      </c>
      <c r="X202">
        <v>140</v>
      </c>
      <c r="Y202">
        <v>53</v>
      </c>
      <c r="Z202" t="e">
        <f t="shared" si="5"/>
        <v>#N/A</v>
      </c>
    </row>
    <row r="203" spans="1:26" x14ac:dyDescent="0.25">
      <c r="A203" t="s">
        <v>2012</v>
      </c>
      <c r="B203">
        <v>53033025001</v>
      </c>
      <c r="C203" t="s">
        <v>2013</v>
      </c>
      <c r="D203">
        <v>4789</v>
      </c>
      <c r="E203">
        <v>3782</v>
      </c>
      <c r="F203">
        <v>1007</v>
      </c>
      <c r="G203">
        <v>4789</v>
      </c>
      <c r="H203">
        <v>3782</v>
      </c>
      <c r="I203">
        <v>1007</v>
      </c>
      <c r="J203">
        <v>3277</v>
      </c>
      <c r="K203">
        <v>390</v>
      </c>
      <c r="L203">
        <v>46</v>
      </c>
      <c r="M203">
        <v>33</v>
      </c>
      <c r="N203">
        <v>59</v>
      </c>
      <c r="O203">
        <v>0</v>
      </c>
      <c r="P203">
        <v>6</v>
      </c>
      <c r="Q203">
        <v>0</v>
      </c>
      <c r="R203">
        <v>310</v>
      </c>
      <c r="S203">
        <v>562</v>
      </c>
      <c r="T203">
        <v>0</v>
      </c>
      <c r="U203">
        <v>0</v>
      </c>
      <c r="V203">
        <v>26</v>
      </c>
      <c r="W203">
        <v>18</v>
      </c>
      <c r="X203">
        <v>58</v>
      </c>
      <c r="Y203">
        <v>4</v>
      </c>
      <c r="Z203" t="e">
        <f t="shared" si="5"/>
        <v>#N/A</v>
      </c>
    </row>
    <row r="204" spans="1:26" x14ac:dyDescent="0.25">
      <c r="A204" t="s">
        <v>2014</v>
      </c>
      <c r="B204">
        <v>53033025003</v>
      </c>
      <c r="C204" t="s">
        <v>2015</v>
      </c>
      <c r="D204">
        <v>6678</v>
      </c>
      <c r="E204">
        <v>5586</v>
      </c>
      <c r="F204">
        <v>1092</v>
      </c>
      <c r="G204">
        <v>6678</v>
      </c>
      <c r="H204">
        <v>5586</v>
      </c>
      <c r="I204">
        <v>1092</v>
      </c>
      <c r="J204">
        <v>4750</v>
      </c>
      <c r="K204">
        <v>371</v>
      </c>
      <c r="L204">
        <v>93</v>
      </c>
      <c r="M204">
        <v>39</v>
      </c>
      <c r="N204">
        <v>28</v>
      </c>
      <c r="O204">
        <v>0</v>
      </c>
      <c r="P204">
        <v>11</v>
      </c>
      <c r="Q204">
        <v>0</v>
      </c>
      <c r="R204">
        <v>438</v>
      </c>
      <c r="S204">
        <v>659</v>
      </c>
      <c r="T204">
        <v>0</v>
      </c>
      <c r="U204">
        <v>0</v>
      </c>
      <c r="V204">
        <v>36</v>
      </c>
      <c r="W204">
        <v>0</v>
      </c>
      <c r="X204">
        <v>230</v>
      </c>
      <c r="Y204">
        <v>23</v>
      </c>
      <c r="Z204" t="e">
        <f t="shared" si="5"/>
        <v>#N/A</v>
      </c>
    </row>
    <row r="205" spans="1:26" x14ac:dyDescent="0.25">
      <c r="A205" t="s">
        <v>2016</v>
      </c>
      <c r="B205">
        <v>53033025004</v>
      </c>
      <c r="C205" t="s">
        <v>2017</v>
      </c>
      <c r="D205">
        <v>4202</v>
      </c>
      <c r="E205">
        <v>3416</v>
      </c>
      <c r="F205">
        <v>786</v>
      </c>
      <c r="G205">
        <v>4202</v>
      </c>
      <c r="H205">
        <v>3416</v>
      </c>
      <c r="I205">
        <v>786</v>
      </c>
      <c r="J205">
        <v>2946</v>
      </c>
      <c r="K205">
        <v>226</v>
      </c>
      <c r="L205">
        <v>72</v>
      </c>
      <c r="M205">
        <v>44</v>
      </c>
      <c r="N205">
        <v>0</v>
      </c>
      <c r="O205">
        <v>0</v>
      </c>
      <c r="P205">
        <v>49</v>
      </c>
      <c r="Q205">
        <v>0</v>
      </c>
      <c r="R205">
        <v>163</v>
      </c>
      <c r="S205">
        <v>427</v>
      </c>
      <c r="T205">
        <v>0</v>
      </c>
      <c r="U205">
        <v>0</v>
      </c>
      <c r="V205">
        <v>35</v>
      </c>
      <c r="W205">
        <v>53</v>
      </c>
      <c r="X205">
        <v>151</v>
      </c>
      <c r="Y205">
        <v>36</v>
      </c>
      <c r="Z205" t="e">
        <f t="shared" si="5"/>
        <v>#N/A</v>
      </c>
    </row>
    <row r="206" spans="1:26" x14ac:dyDescent="0.25">
      <c r="A206" t="s">
        <v>2018</v>
      </c>
      <c r="B206">
        <v>53033025101</v>
      </c>
      <c r="C206" t="s">
        <v>2019</v>
      </c>
      <c r="D206">
        <v>5029</v>
      </c>
      <c r="E206">
        <v>3845</v>
      </c>
      <c r="F206">
        <v>1184</v>
      </c>
      <c r="G206">
        <v>5029</v>
      </c>
      <c r="H206">
        <v>3845</v>
      </c>
      <c r="I206">
        <v>1184</v>
      </c>
      <c r="J206">
        <v>3017</v>
      </c>
      <c r="K206">
        <v>292</v>
      </c>
      <c r="L206">
        <v>88</v>
      </c>
      <c r="M206">
        <v>130</v>
      </c>
      <c r="N206">
        <v>168</v>
      </c>
      <c r="O206">
        <v>59</v>
      </c>
      <c r="P206">
        <v>11</v>
      </c>
      <c r="Q206">
        <v>0</v>
      </c>
      <c r="R206">
        <v>330</v>
      </c>
      <c r="S206">
        <v>560</v>
      </c>
      <c r="T206">
        <v>0</v>
      </c>
      <c r="U206">
        <v>6</v>
      </c>
      <c r="V206">
        <v>77</v>
      </c>
      <c r="W206">
        <v>73</v>
      </c>
      <c r="X206">
        <v>154</v>
      </c>
      <c r="Y206">
        <v>64</v>
      </c>
      <c r="Z206" t="e">
        <f t="shared" si="5"/>
        <v>#N/A</v>
      </c>
    </row>
    <row r="207" spans="1:26" x14ac:dyDescent="0.25">
      <c r="A207" t="s">
        <v>2020</v>
      </c>
      <c r="B207">
        <v>53033025102</v>
      </c>
      <c r="C207" t="s">
        <v>2021</v>
      </c>
      <c r="D207">
        <v>4429</v>
      </c>
      <c r="E207">
        <v>3613</v>
      </c>
      <c r="F207">
        <v>816</v>
      </c>
      <c r="G207">
        <v>4429</v>
      </c>
      <c r="H207">
        <v>3613</v>
      </c>
      <c r="I207">
        <v>816</v>
      </c>
      <c r="J207">
        <v>3106</v>
      </c>
      <c r="K207">
        <v>260</v>
      </c>
      <c r="L207">
        <v>30</v>
      </c>
      <c r="M207">
        <v>71</v>
      </c>
      <c r="N207">
        <v>144</v>
      </c>
      <c r="O207">
        <v>16</v>
      </c>
      <c r="P207">
        <v>12</v>
      </c>
      <c r="Q207">
        <v>0</v>
      </c>
      <c r="R207">
        <v>203</v>
      </c>
      <c r="S207">
        <v>398</v>
      </c>
      <c r="T207">
        <v>0</v>
      </c>
      <c r="U207">
        <v>0</v>
      </c>
      <c r="V207">
        <v>12</v>
      </c>
      <c r="W207">
        <v>0</v>
      </c>
      <c r="X207">
        <v>106</v>
      </c>
      <c r="Y207">
        <v>71</v>
      </c>
      <c r="Z207" t="e">
        <f t="shared" si="5"/>
        <v>#N/A</v>
      </c>
    </row>
    <row r="208" spans="1:26" x14ac:dyDescent="0.25">
      <c r="A208" t="s">
        <v>2022</v>
      </c>
      <c r="B208">
        <v>53033025200</v>
      </c>
      <c r="C208" t="s">
        <v>2023</v>
      </c>
      <c r="D208">
        <v>6272</v>
      </c>
      <c r="E208">
        <v>5323</v>
      </c>
      <c r="F208">
        <v>949</v>
      </c>
      <c r="G208">
        <v>6272</v>
      </c>
      <c r="H208">
        <v>5323</v>
      </c>
      <c r="I208">
        <v>949</v>
      </c>
      <c r="J208">
        <v>4381</v>
      </c>
      <c r="K208">
        <v>261</v>
      </c>
      <c r="L208">
        <v>15</v>
      </c>
      <c r="M208">
        <v>76</v>
      </c>
      <c r="N208">
        <v>298</v>
      </c>
      <c r="O208">
        <v>0</v>
      </c>
      <c r="P208">
        <v>9</v>
      </c>
      <c r="Q208">
        <v>0</v>
      </c>
      <c r="R208">
        <v>187</v>
      </c>
      <c r="S208">
        <v>445</v>
      </c>
      <c r="T208">
        <v>70</v>
      </c>
      <c r="U208">
        <v>12</v>
      </c>
      <c r="V208">
        <v>102</v>
      </c>
      <c r="W208">
        <v>128</v>
      </c>
      <c r="X208">
        <v>261</v>
      </c>
      <c r="Y208">
        <v>27</v>
      </c>
      <c r="Z208" t="e">
        <f t="shared" si="5"/>
        <v>#N/A</v>
      </c>
    </row>
    <row r="209" spans="1:26" x14ac:dyDescent="0.25">
      <c r="A209" t="s">
        <v>2024</v>
      </c>
      <c r="B209">
        <v>53033025300</v>
      </c>
      <c r="C209" t="s">
        <v>2025</v>
      </c>
      <c r="D209">
        <v>6967</v>
      </c>
      <c r="E209">
        <v>6172</v>
      </c>
      <c r="F209">
        <v>795</v>
      </c>
      <c r="G209">
        <v>6967</v>
      </c>
      <c r="H209">
        <v>6172</v>
      </c>
      <c r="I209">
        <v>795</v>
      </c>
      <c r="J209">
        <v>5001</v>
      </c>
      <c r="K209">
        <v>195</v>
      </c>
      <c r="L209">
        <v>127</v>
      </c>
      <c r="M209">
        <v>97</v>
      </c>
      <c r="N209">
        <v>513</v>
      </c>
      <c r="O209">
        <v>10</v>
      </c>
      <c r="P209">
        <v>63</v>
      </c>
      <c r="Q209">
        <v>11</v>
      </c>
      <c r="R209">
        <v>122</v>
      </c>
      <c r="S209">
        <v>310</v>
      </c>
      <c r="T209">
        <v>27</v>
      </c>
      <c r="U209">
        <v>0</v>
      </c>
      <c r="V209">
        <v>64</v>
      </c>
      <c r="W209">
        <v>115</v>
      </c>
      <c r="X209">
        <v>255</v>
      </c>
      <c r="Y209">
        <v>57</v>
      </c>
      <c r="Z209" t="e">
        <f t="shared" si="5"/>
        <v>#N/A</v>
      </c>
    </row>
    <row r="210" spans="1:26" x14ac:dyDescent="0.25">
      <c r="A210" t="s">
        <v>2026</v>
      </c>
      <c r="B210">
        <v>53033025400</v>
      </c>
      <c r="C210" t="s">
        <v>2027</v>
      </c>
      <c r="D210">
        <v>6316</v>
      </c>
      <c r="E210">
        <v>4976</v>
      </c>
      <c r="F210">
        <v>1340</v>
      </c>
      <c r="G210">
        <v>6316</v>
      </c>
      <c r="H210">
        <v>4976</v>
      </c>
      <c r="I210">
        <v>1340</v>
      </c>
      <c r="J210">
        <v>3754</v>
      </c>
      <c r="K210">
        <v>352</v>
      </c>
      <c r="L210">
        <v>102</v>
      </c>
      <c r="M210">
        <v>100</v>
      </c>
      <c r="N210">
        <v>457</v>
      </c>
      <c r="O210">
        <v>90</v>
      </c>
      <c r="P210">
        <v>55</v>
      </c>
      <c r="Q210">
        <v>0</v>
      </c>
      <c r="R210">
        <v>168</v>
      </c>
      <c r="S210">
        <v>616</v>
      </c>
      <c r="T210">
        <v>0</v>
      </c>
      <c r="U210">
        <v>0</v>
      </c>
      <c r="V210">
        <v>219</v>
      </c>
      <c r="W210">
        <v>106</v>
      </c>
      <c r="X210">
        <v>221</v>
      </c>
      <c r="Y210">
        <v>76</v>
      </c>
      <c r="Z210" t="e">
        <f t="shared" si="5"/>
        <v>#N/A</v>
      </c>
    </row>
    <row r="211" spans="1:26" x14ac:dyDescent="0.25">
      <c r="A211" t="s">
        <v>2028</v>
      </c>
      <c r="B211">
        <v>53033025500</v>
      </c>
      <c r="C211" t="s">
        <v>2029</v>
      </c>
      <c r="D211">
        <v>4241</v>
      </c>
      <c r="E211">
        <v>3309</v>
      </c>
      <c r="F211">
        <v>932</v>
      </c>
      <c r="G211">
        <v>4241</v>
      </c>
      <c r="H211">
        <v>3309</v>
      </c>
      <c r="I211">
        <v>932</v>
      </c>
      <c r="J211">
        <v>2625</v>
      </c>
      <c r="K211">
        <v>191</v>
      </c>
      <c r="L211">
        <v>106</v>
      </c>
      <c r="M211">
        <v>56</v>
      </c>
      <c r="N211">
        <v>213</v>
      </c>
      <c r="O211">
        <v>9</v>
      </c>
      <c r="P211">
        <v>43</v>
      </c>
      <c r="Q211">
        <v>0</v>
      </c>
      <c r="R211">
        <v>72</v>
      </c>
      <c r="S211">
        <v>371</v>
      </c>
      <c r="T211">
        <v>12</v>
      </c>
      <c r="U211">
        <v>18</v>
      </c>
      <c r="V211">
        <v>43</v>
      </c>
      <c r="W211">
        <v>197</v>
      </c>
      <c r="X211">
        <v>195</v>
      </c>
      <c r="Y211">
        <v>90</v>
      </c>
      <c r="Z211" t="e">
        <f t="shared" si="5"/>
        <v>#N/A</v>
      </c>
    </row>
    <row r="212" spans="1:26" x14ac:dyDescent="0.25">
      <c r="A212" t="s">
        <v>2030</v>
      </c>
      <c r="B212">
        <v>53033025600</v>
      </c>
      <c r="C212" t="s">
        <v>2031</v>
      </c>
      <c r="D212">
        <v>6164</v>
      </c>
      <c r="E212">
        <v>5326</v>
      </c>
      <c r="F212">
        <v>838</v>
      </c>
      <c r="G212">
        <v>6164</v>
      </c>
      <c r="H212">
        <v>5326</v>
      </c>
      <c r="I212">
        <v>838</v>
      </c>
      <c r="J212">
        <v>4618</v>
      </c>
      <c r="K212">
        <v>247</v>
      </c>
      <c r="L212">
        <v>112</v>
      </c>
      <c r="M212">
        <v>69</v>
      </c>
      <c r="N212">
        <v>147</v>
      </c>
      <c r="O212">
        <v>16</v>
      </c>
      <c r="P212">
        <v>26</v>
      </c>
      <c r="Q212">
        <v>12</v>
      </c>
      <c r="R212">
        <v>149</v>
      </c>
      <c r="S212">
        <v>201</v>
      </c>
      <c r="T212">
        <v>5</v>
      </c>
      <c r="U212">
        <v>0</v>
      </c>
      <c r="V212">
        <v>42</v>
      </c>
      <c r="W212">
        <v>267</v>
      </c>
      <c r="X212">
        <v>227</v>
      </c>
      <c r="Y212">
        <v>26</v>
      </c>
      <c r="Z212" t="e">
        <f t="shared" si="5"/>
        <v>#N/A</v>
      </c>
    </row>
    <row r="213" spans="1:26" x14ac:dyDescent="0.25">
      <c r="A213" t="s">
        <v>2032</v>
      </c>
      <c r="B213">
        <v>53033025701</v>
      </c>
      <c r="C213" t="s">
        <v>2033</v>
      </c>
      <c r="D213">
        <v>5402</v>
      </c>
      <c r="E213">
        <v>3658</v>
      </c>
      <c r="F213">
        <v>1744</v>
      </c>
      <c r="G213">
        <v>5402</v>
      </c>
      <c r="H213">
        <v>3658</v>
      </c>
      <c r="I213">
        <v>1744</v>
      </c>
      <c r="J213">
        <v>2727</v>
      </c>
      <c r="K213">
        <v>819</v>
      </c>
      <c r="L213">
        <v>79</v>
      </c>
      <c r="M213">
        <v>20</v>
      </c>
      <c r="N213">
        <v>307</v>
      </c>
      <c r="O213">
        <v>98</v>
      </c>
      <c r="P213">
        <v>15</v>
      </c>
      <c r="Q213">
        <v>0</v>
      </c>
      <c r="R213">
        <v>254</v>
      </c>
      <c r="S213">
        <v>521</v>
      </c>
      <c r="T213">
        <v>0</v>
      </c>
      <c r="U213">
        <v>0</v>
      </c>
      <c r="V213">
        <v>92</v>
      </c>
      <c r="W213">
        <v>175</v>
      </c>
      <c r="X213">
        <v>184</v>
      </c>
      <c r="Y213">
        <v>111</v>
      </c>
      <c r="Z213" t="e">
        <f t="shared" si="5"/>
        <v>#N/A</v>
      </c>
    </row>
    <row r="214" spans="1:26" x14ac:dyDescent="0.25">
      <c r="A214" t="s">
        <v>2034</v>
      </c>
      <c r="B214">
        <v>53033025702</v>
      </c>
      <c r="C214" t="s">
        <v>2035</v>
      </c>
      <c r="D214">
        <v>3418</v>
      </c>
      <c r="E214">
        <v>2969</v>
      </c>
      <c r="F214">
        <v>449</v>
      </c>
      <c r="G214">
        <v>3418</v>
      </c>
      <c r="H214">
        <v>2969</v>
      </c>
      <c r="I214">
        <v>449</v>
      </c>
      <c r="J214">
        <v>2218</v>
      </c>
      <c r="K214">
        <v>71</v>
      </c>
      <c r="L214">
        <v>39</v>
      </c>
      <c r="M214">
        <v>27</v>
      </c>
      <c r="N214">
        <v>259</v>
      </c>
      <c r="O214">
        <v>0</v>
      </c>
      <c r="P214">
        <v>0</v>
      </c>
      <c r="Q214">
        <v>0</v>
      </c>
      <c r="R214">
        <v>257</v>
      </c>
      <c r="S214">
        <v>315</v>
      </c>
      <c r="T214">
        <v>0</v>
      </c>
      <c r="U214">
        <v>0</v>
      </c>
      <c r="V214">
        <v>43</v>
      </c>
      <c r="W214">
        <v>7</v>
      </c>
      <c r="X214">
        <v>153</v>
      </c>
      <c r="Y214">
        <v>29</v>
      </c>
      <c r="Z214" t="e">
        <f t="shared" si="5"/>
        <v>#N/A</v>
      </c>
    </row>
    <row r="215" spans="1:26" x14ac:dyDescent="0.25">
      <c r="A215" t="s">
        <v>2036</v>
      </c>
      <c r="B215">
        <v>53033025801</v>
      </c>
      <c r="C215" t="s">
        <v>2037</v>
      </c>
      <c r="D215">
        <v>7816</v>
      </c>
      <c r="E215">
        <v>6286</v>
      </c>
      <c r="F215">
        <v>1530</v>
      </c>
      <c r="G215">
        <v>7816</v>
      </c>
      <c r="H215">
        <v>6286</v>
      </c>
      <c r="I215">
        <v>1530</v>
      </c>
      <c r="J215">
        <v>4349</v>
      </c>
      <c r="K215">
        <v>392</v>
      </c>
      <c r="L215">
        <v>129</v>
      </c>
      <c r="M215">
        <v>4</v>
      </c>
      <c r="N215">
        <v>556</v>
      </c>
      <c r="O215">
        <v>96</v>
      </c>
      <c r="P215">
        <v>28</v>
      </c>
      <c r="Q215">
        <v>0</v>
      </c>
      <c r="R215">
        <v>518</v>
      </c>
      <c r="S215">
        <v>886</v>
      </c>
      <c r="T215">
        <v>0</v>
      </c>
      <c r="U215">
        <v>0</v>
      </c>
      <c r="V215">
        <v>254</v>
      </c>
      <c r="W215">
        <v>73</v>
      </c>
      <c r="X215">
        <v>452</v>
      </c>
      <c r="Y215">
        <v>79</v>
      </c>
      <c r="Z215" t="e">
        <f t="shared" si="5"/>
        <v>#N/A</v>
      </c>
    </row>
    <row r="216" spans="1:26" x14ac:dyDescent="0.25">
      <c r="A216" t="s">
        <v>2038</v>
      </c>
      <c r="B216">
        <v>53033025803</v>
      </c>
      <c r="C216" t="s">
        <v>2039</v>
      </c>
      <c r="D216">
        <v>4228</v>
      </c>
      <c r="E216">
        <v>3626</v>
      </c>
      <c r="F216">
        <v>602</v>
      </c>
      <c r="G216">
        <v>4228</v>
      </c>
      <c r="H216">
        <v>3626</v>
      </c>
      <c r="I216">
        <v>602</v>
      </c>
      <c r="J216">
        <v>2642</v>
      </c>
      <c r="K216">
        <v>160</v>
      </c>
      <c r="L216">
        <v>15</v>
      </c>
      <c r="M216">
        <v>17</v>
      </c>
      <c r="N216">
        <v>385</v>
      </c>
      <c r="O216">
        <v>25</v>
      </c>
      <c r="P216">
        <v>54</v>
      </c>
      <c r="Q216">
        <v>0</v>
      </c>
      <c r="R216">
        <v>130</v>
      </c>
      <c r="S216">
        <v>325</v>
      </c>
      <c r="T216">
        <v>88</v>
      </c>
      <c r="U216">
        <v>6</v>
      </c>
      <c r="V216">
        <v>139</v>
      </c>
      <c r="W216">
        <v>63</v>
      </c>
      <c r="X216">
        <v>173</v>
      </c>
      <c r="Y216">
        <v>6</v>
      </c>
      <c r="Z216" t="e">
        <f t="shared" si="5"/>
        <v>#N/A</v>
      </c>
    </row>
    <row r="217" spans="1:26" x14ac:dyDescent="0.25">
      <c r="A217" t="s">
        <v>2040</v>
      </c>
      <c r="B217">
        <v>53033025804</v>
      </c>
      <c r="C217" t="s">
        <v>2041</v>
      </c>
      <c r="D217">
        <v>3759</v>
      </c>
      <c r="E217">
        <v>3243</v>
      </c>
      <c r="F217">
        <v>516</v>
      </c>
      <c r="G217">
        <v>3759</v>
      </c>
      <c r="H217">
        <v>3243</v>
      </c>
      <c r="I217">
        <v>516</v>
      </c>
      <c r="J217">
        <v>2737</v>
      </c>
      <c r="K217">
        <v>145</v>
      </c>
      <c r="L217">
        <v>0</v>
      </c>
      <c r="M217">
        <v>6</v>
      </c>
      <c r="N217">
        <v>165</v>
      </c>
      <c r="O217">
        <v>10</v>
      </c>
      <c r="P217">
        <v>17</v>
      </c>
      <c r="Q217">
        <v>0</v>
      </c>
      <c r="R217">
        <v>102</v>
      </c>
      <c r="S217">
        <v>349</v>
      </c>
      <c r="T217">
        <v>0</v>
      </c>
      <c r="U217">
        <v>0</v>
      </c>
      <c r="V217">
        <v>46</v>
      </c>
      <c r="W217">
        <v>0</v>
      </c>
      <c r="X217">
        <v>176</v>
      </c>
      <c r="Y217">
        <v>6</v>
      </c>
      <c r="Z217" t="e">
        <f t="shared" si="5"/>
        <v>#N/A</v>
      </c>
    </row>
    <row r="218" spans="1:26" x14ac:dyDescent="0.25">
      <c r="A218" t="s">
        <v>2042</v>
      </c>
      <c r="B218">
        <v>53033026001</v>
      </c>
      <c r="C218" t="s">
        <v>2043</v>
      </c>
      <c r="D218">
        <v>5132</v>
      </c>
      <c r="E218">
        <v>4170</v>
      </c>
      <c r="F218">
        <v>962</v>
      </c>
      <c r="G218">
        <v>5132</v>
      </c>
      <c r="H218">
        <v>4170</v>
      </c>
      <c r="I218">
        <v>962</v>
      </c>
      <c r="J218">
        <v>2261</v>
      </c>
      <c r="K218">
        <v>148</v>
      </c>
      <c r="L218">
        <v>27</v>
      </c>
      <c r="M218">
        <v>5</v>
      </c>
      <c r="N218">
        <v>1061</v>
      </c>
      <c r="O218">
        <v>48</v>
      </c>
      <c r="P218">
        <v>40</v>
      </c>
      <c r="Q218">
        <v>0</v>
      </c>
      <c r="R218">
        <v>508</v>
      </c>
      <c r="S218">
        <v>622</v>
      </c>
      <c r="T218">
        <v>18</v>
      </c>
      <c r="U218">
        <v>13</v>
      </c>
      <c r="V218">
        <v>48</v>
      </c>
      <c r="W218">
        <v>122</v>
      </c>
      <c r="X218">
        <v>207</v>
      </c>
      <c r="Y218">
        <v>4</v>
      </c>
      <c r="Z218" t="e">
        <f t="shared" si="5"/>
        <v>#N/A</v>
      </c>
    </row>
    <row r="219" spans="1:26" x14ac:dyDescent="0.25">
      <c r="A219" t="s">
        <v>2044</v>
      </c>
      <c r="B219">
        <v>53033026002</v>
      </c>
      <c r="C219" t="s">
        <v>2045</v>
      </c>
      <c r="D219">
        <v>5812</v>
      </c>
      <c r="E219">
        <v>4574</v>
      </c>
      <c r="F219">
        <v>1238</v>
      </c>
      <c r="G219">
        <v>5812</v>
      </c>
      <c r="H219">
        <v>4574</v>
      </c>
      <c r="I219">
        <v>1238</v>
      </c>
      <c r="J219">
        <v>2471</v>
      </c>
      <c r="K219">
        <v>238</v>
      </c>
      <c r="L219">
        <v>63</v>
      </c>
      <c r="M219">
        <v>63</v>
      </c>
      <c r="N219">
        <v>1233</v>
      </c>
      <c r="O219">
        <v>99</v>
      </c>
      <c r="P219">
        <v>56</v>
      </c>
      <c r="Q219">
        <v>12</v>
      </c>
      <c r="R219">
        <v>365</v>
      </c>
      <c r="S219">
        <v>718</v>
      </c>
      <c r="T219">
        <v>10</v>
      </c>
      <c r="U219">
        <v>27</v>
      </c>
      <c r="V219">
        <v>119</v>
      </c>
      <c r="W219">
        <v>60</v>
      </c>
      <c r="X219">
        <v>257</v>
      </c>
      <c r="Y219">
        <v>21</v>
      </c>
      <c r="Z219" t="e">
        <f t="shared" si="5"/>
        <v>#N/A</v>
      </c>
    </row>
    <row r="220" spans="1:26" x14ac:dyDescent="0.25">
      <c r="A220" t="s">
        <v>2046</v>
      </c>
      <c r="B220">
        <v>53033026100</v>
      </c>
      <c r="C220" t="s">
        <v>2047</v>
      </c>
      <c r="D220">
        <v>6036</v>
      </c>
      <c r="E220">
        <v>4750</v>
      </c>
      <c r="F220">
        <v>1286</v>
      </c>
      <c r="G220">
        <v>6036</v>
      </c>
      <c r="H220">
        <v>4750</v>
      </c>
      <c r="I220">
        <v>1286</v>
      </c>
      <c r="J220">
        <v>2015</v>
      </c>
      <c r="K220">
        <v>114</v>
      </c>
      <c r="L220">
        <v>77</v>
      </c>
      <c r="M220">
        <v>20</v>
      </c>
      <c r="N220">
        <v>1860</v>
      </c>
      <c r="O220">
        <v>71</v>
      </c>
      <c r="P220">
        <v>14</v>
      </c>
      <c r="Q220">
        <v>7</v>
      </c>
      <c r="R220">
        <v>471</v>
      </c>
      <c r="S220">
        <v>853</v>
      </c>
      <c r="T220">
        <v>8</v>
      </c>
      <c r="U220">
        <v>95</v>
      </c>
      <c r="V220">
        <v>87</v>
      </c>
      <c r="W220">
        <v>76</v>
      </c>
      <c r="X220">
        <v>218</v>
      </c>
      <c r="Y220">
        <v>50</v>
      </c>
      <c r="Z220" t="e">
        <f t="shared" si="5"/>
        <v>#N/A</v>
      </c>
    </row>
    <row r="221" spans="1:26" x14ac:dyDescent="0.25">
      <c r="A221" t="s">
        <v>2048</v>
      </c>
      <c r="B221">
        <v>53033026200</v>
      </c>
      <c r="C221" t="s">
        <v>2049</v>
      </c>
      <c r="D221">
        <v>4938</v>
      </c>
      <c r="E221">
        <v>4057</v>
      </c>
      <c r="F221">
        <v>881</v>
      </c>
      <c r="G221">
        <v>4938</v>
      </c>
      <c r="H221">
        <v>4057</v>
      </c>
      <c r="I221">
        <v>881</v>
      </c>
      <c r="J221">
        <v>2613</v>
      </c>
      <c r="K221">
        <v>143</v>
      </c>
      <c r="L221">
        <v>153</v>
      </c>
      <c r="M221">
        <v>144</v>
      </c>
      <c r="N221">
        <v>625</v>
      </c>
      <c r="O221">
        <v>64</v>
      </c>
      <c r="P221">
        <v>13</v>
      </c>
      <c r="Q221">
        <v>24</v>
      </c>
      <c r="R221">
        <v>164</v>
      </c>
      <c r="S221">
        <v>347</v>
      </c>
      <c r="T221">
        <v>13</v>
      </c>
      <c r="U221">
        <v>0</v>
      </c>
      <c r="V221">
        <v>72</v>
      </c>
      <c r="W221">
        <v>86</v>
      </c>
      <c r="X221">
        <v>404</v>
      </c>
      <c r="Y221">
        <v>73</v>
      </c>
      <c r="Z221" t="e">
        <f t="shared" si="5"/>
        <v>#N/A</v>
      </c>
    </row>
    <row r="222" spans="1:26" x14ac:dyDescent="0.25">
      <c r="A222" t="s">
        <v>2050</v>
      </c>
      <c r="B222">
        <v>53033026300</v>
      </c>
      <c r="C222" t="s">
        <v>2051</v>
      </c>
      <c r="D222">
        <v>1244</v>
      </c>
      <c r="E222">
        <v>889</v>
      </c>
      <c r="F222">
        <v>355</v>
      </c>
      <c r="G222">
        <v>1244</v>
      </c>
      <c r="H222">
        <v>889</v>
      </c>
      <c r="I222">
        <v>355</v>
      </c>
      <c r="J222">
        <v>589</v>
      </c>
      <c r="K222">
        <v>105</v>
      </c>
      <c r="L222">
        <v>9</v>
      </c>
      <c r="M222">
        <v>0</v>
      </c>
      <c r="N222">
        <v>145</v>
      </c>
      <c r="O222">
        <v>0</v>
      </c>
      <c r="P222">
        <v>4</v>
      </c>
      <c r="Q222">
        <v>0</v>
      </c>
      <c r="R222">
        <v>65</v>
      </c>
      <c r="S222">
        <v>205</v>
      </c>
      <c r="T222">
        <v>15</v>
      </c>
      <c r="U222">
        <v>11</v>
      </c>
      <c r="V222">
        <v>18</v>
      </c>
      <c r="W222">
        <v>27</v>
      </c>
      <c r="X222">
        <v>44</v>
      </c>
      <c r="Y222">
        <v>7</v>
      </c>
      <c r="Z222" t="e">
        <f t="shared" si="5"/>
        <v>#N/A</v>
      </c>
    </row>
    <row r="223" spans="1:26" x14ac:dyDescent="0.25">
      <c r="A223" t="s">
        <v>2052</v>
      </c>
      <c r="B223">
        <v>53033026400</v>
      </c>
      <c r="C223" t="s">
        <v>2053</v>
      </c>
      <c r="D223">
        <v>5824</v>
      </c>
      <c r="E223">
        <v>4452</v>
      </c>
      <c r="F223">
        <v>1372</v>
      </c>
      <c r="G223">
        <v>5824</v>
      </c>
      <c r="H223">
        <v>4452</v>
      </c>
      <c r="I223">
        <v>1372</v>
      </c>
      <c r="J223">
        <v>2880</v>
      </c>
      <c r="K223">
        <v>174</v>
      </c>
      <c r="L223">
        <v>89</v>
      </c>
      <c r="M223">
        <v>269</v>
      </c>
      <c r="N223">
        <v>510</v>
      </c>
      <c r="O223">
        <v>67</v>
      </c>
      <c r="P223">
        <v>10</v>
      </c>
      <c r="Q223">
        <v>0</v>
      </c>
      <c r="R223">
        <v>275</v>
      </c>
      <c r="S223">
        <v>535</v>
      </c>
      <c r="T223">
        <v>46</v>
      </c>
      <c r="U223">
        <v>37</v>
      </c>
      <c r="V223">
        <v>332</v>
      </c>
      <c r="W223">
        <v>212</v>
      </c>
      <c r="X223">
        <v>310</v>
      </c>
      <c r="Y223">
        <v>78</v>
      </c>
      <c r="Z223" t="e">
        <f t="shared" si="5"/>
        <v>#N/A</v>
      </c>
    </row>
    <row r="224" spans="1:26" x14ac:dyDescent="0.25">
      <c r="A224" t="s">
        <v>2054</v>
      </c>
      <c r="B224">
        <v>53033026500</v>
      </c>
      <c r="C224" t="s">
        <v>2055</v>
      </c>
      <c r="D224">
        <v>2576</v>
      </c>
      <c r="E224">
        <v>1247</v>
      </c>
      <c r="F224">
        <v>1329</v>
      </c>
      <c r="G224">
        <v>2576</v>
      </c>
      <c r="H224">
        <v>1247</v>
      </c>
      <c r="I224">
        <v>1329</v>
      </c>
      <c r="J224">
        <v>620</v>
      </c>
      <c r="K224">
        <v>204</v>
      </c>
      <c r="L224">
        <v>58</v>
      </c>
      <c r="M224">
        <v>32</v>
      </c>
      <c r="N224">
        <v>131</v>
      </c>
      <c r="O224">
        <v>144</v>
      </c>
      <c r="P224">
        <v>60</v>
      </c>
      <c r="Q224">
        <v>0</v>
      </c>
      <c r="R224">
        <v>223</v>
      </c>
      <c r="S224">
        <v>766</v>
      </c>
      <c r="T224">
        <v>0</v>
      </c>
      <c r="U224">
        <v>0</v>
      </c>
      <c r="V224">
        <v>49</v>
      </c>
      <c r="W224">
        <v>32</v>
      </c>
      <c r="X224">
        <v>106</v>
      </c>
      <c r="Y224">
        <v>151</v>
      </c>
      <c r="Z224" t="e">
        <f t="shared" si="5"/>
        <v>#N/A</v>
      </c>
    </row>
    <row r="225" spans="1:26" x14ac:dyDescent="0.25">
      <c r="A225" t="s">
        <v>2056</v>
      </c>
      <c r="B225">
        <v>53033026600</v>
      </c>
      <c r="C225" t="s">
        <v>2057</v>
      </c>
      <c r="D225">
        <v>2187</v>
      </c>
      <c r="E225">
        <v>1618</v>
      </c>
      <c r="F225">
        <v>569</v>
      </c>
      <c r="G225">
        <v>2187</v>
      </c>
      <c r="H225">
        <v>1618</v>
      </c>
      <c r="I225">
        <v>569</v>
      </c>
      <c r="J225">
        <v>1123</v>
      </c>
      <c r="K225">
        <v>26</v>
      </c>
      <c r="L225">
        <v>51</v>
      </c>
      <c r="M225">
        <v>52</v>
      </c>
      <c r="N225">
        <v>121</v>
      </c>
      <c r="O225">
        <v>16</v>
      </c>
      <c r="P225">
        <v>59</v>
      </c>
      <c r="Q225">
        <v>0</v>
      </c>
      <c r="R225">
        <v>172</v>
      </c>
      <c r="S225">
        <v>416</v>
      </c>
      <c r="T225">
        <v>0</v>
      </c>
      <c r="U225">
        <v>0</v>
      </c>
      <c r="V225">
        <v>15</v>
      </c>
      <c r="W225">
        <v>54</v>
      </c>
      <c r="X225">
        <v>77</v>
      </c>
      <c r="Y225">
        <v>5</v>
      </c>
      <c r="Z225" t="e">
        <f t="shared" si="5"/>
        <v>#N/A</v>
      </c>
    </row>
    <row r="226" spans="1:26" x14ac:dyDescent="0.25">
      <c r="A226" t="s">
        <v>2058</v>
      </c>
      <c r="B226">
        <v>53033026700</v>
      </c>
      <c r="C226" t="s">
        <v>2059</v>
      </c>
      <c r="D226">
        <v>5611</v>
      </c>
      <c r="E226">
        <v>4636</v>
      </c>
      <c r="F226">
        <v>975</v>
      </c>
      <c r="G226">
        <v>5611</v>
      </c>
      <c r="H226">
        <v>4636</v>
      </c>
      <c r="I226">
        <v>975</v>
      </c>
      <c r="J226">
        <v>3597</v>
      </c>
      <c r="K226">
        <v>221</v>
      </c>
      <c r="L226">
        <v>148</v>
      </c>
      <c r="M226">
        <v>60</v>
      </c>
      <c r="N226">
        <v>224</v>
      </c>
      <c r="O226">
        <v>0</v>
      </c>
      <c r="P226">
        <v>6</v>
      </c>
      <c r="Q226">
        <v>0</v>
      </c>
      <c r="R226">
        <v>247</v>
      </c>
      <c r="S226">
        <v>344</v>
      </c>
      <c r="T226">
        <v>82</v>
      </c>
      <c r="U226">
        <v>79</v>
      </c>
      <c r="V226">
        <v>97</v>
      </c>
      <c r="W226">
        <v>222</v>
      </c>
      <c r="X226">
        <v>235</v>
      </c>
      <c r="Y226">
        <v>49</v>
      </c>
      <c r="Z226" t="e">
        <f t="shared" si="5"/>
        <v>#N/A</v>
      </c>
    </row>
    <row r="227" spans="1:26" x14ac:dyDescent="0.25">
      <c r="A227" t="s">
        <v>2060</v>
      </c>
      <c r="B227">
        <v>53033026801</v>
      </c>
      <c r="C227" t="s">
        <v>2061</v>
      </c>
      <c r="D227">
        <v>4961</v>
      </c>
      <c r="E227">
        <v>3498</v>
      </c>
      <c r="F227">
        <v>1463</v>
      </c>
      <c r="G227">
        <v>4961</v>
      </c>
      <c r="H227">
        <v>3498</v>
      </c>
      <c r="I227">
        <v>1463</v>
      </c>
      <c r="J227">
        <v>2176</v>
      </c>
      <c r="K227">
        <v>183</v>
      </c>
      <c r="L227">
        <v>170</v>
      </c>
      <c r="M227">
        <v>82</v>
      </c>
      <c r="N227">
        <v>413</v>
      </c>
      <c r="O227">
        <v>48</v>
      </c>
      <c r="P227">
        <v>69</v>
      </c>
      <c r="Q227">
        <v>0</v>
      </c>
      <c r="R227">
        <v>190</v>
      </c>
      <c r="S227">
        <v>737</v>
      </c>
      <c r="T227">
        <v>42</v>
      </c>
      <c r="U227">
        <v>74</v>
      </c>
      <c r="V227">
        <v>186</v>
      </c>
      <c r="W227">
        <v>294</v>
      </c>
      <c r="X227">
        <v>252</v>
      </c>
      <c r="Y227">
        <v>45</v>
      </c>
      <c r="Z227" t="e">
        <f t="shared" si="5"/>
        <v>#N/A</v>
      </c>
    </row>
    <row r="228" spans="1:26" x14ac:dyDescent="0.25">
      <c r="A228" t="s">
        <v>2062</v>
      </c>
      <c r="B228">
        <v>53033026802</v>
      </c>
      <c r="C228" t="s">
        <v>2063</v>
      </c>
      <c r="D228">
        <v>5117</v>
      </c>
      <c r="E228">
        <v>3533</v>
      </c>
      <c r="F228">
        <v>1584</v>
      </c>
      <c r="G228">
        <v>5117</v>
      </c>
      <c r="H228">
        <v>3533</v>
      </c>
      <c r="I228">
        <v>1584</v>
      </c>
      <c r="J228">
        <v>2372</v>
      </c>
      <c r="K228">
        <v>91</v>
      </c>
      <c r="L228">
        <v>53</v>
      </c>
      <c r="M228">
        <v>151</v>
      </c>
      <c r="N228">
        <v>285</v>
      </c>
      <c r="O228">
        <v>67</v>
      </c>
      <c r="P228">
        <v>87</v>
      </c>
      <c r="Q228">
        <v>8</v>
      </c>
      <c r="R228">
        <v>343</v>
      </c>
      <c r="S228">
        <v>858</v>
      </c>
      <c r="T228">
        <v>106</v>
      </c>
      <c r="U228">
        <v>76</v>
      </c>
      <c r="V228">
        <v>202</v>
      </c>
      <c r="W228">
        <v>291</v>
      </c>
      <c r="X228">
        <v>85</v>
      </c>
      <c r="Y228">
        <v>42</v>
      </c>
      <c r="Z228" t="e">
        <f t="shared" si="5"/>
        <v>#N/A</v>
      </c>
    </row>
    <row r="229" spans="1:26" x14ac:dyDescent="0.25">
      <c r="A229" t="s">
        <v>2064</v>
      </c>
      <c r="B229">
        <v>53033026900</v>
      </c>
      <c r="C229" t="s">
        <v>2065</v>
      </c>
      <c r="D229">
        <v>1492</v>
      </c>
      <c r="E229">
        <v>1207</v>
      </c>
      <c r="F229">
        <v>285</v>
      </c>
      <c r="G229">
        <v>1492</v>
      </c>
      <c r="H229">
        <v>1207</v>
      </c>
      <c r="I229">
        <v>285</v>
      </c>
      <c r="J229">
        <v>918</v>
      </c>
      <c r="K229">
        <v>56</v>
      </c>
      <c r="L229">
        <v>8</v>
      </c>
      <c r="M229">
        <v>0</v>
      </c>
      <c r="N229">
        <v>61</v>
      </c>
      <c r="O229">
        <v>9</v>
      </c>
      <c r="P229">
        <v>10</v>
      </c>
      <c r="Q229">
        <v>0</v>
      </c>
      <c r="R229">
        <v>84</v>
      </c>
      <c r="S229">
        <v>108</v>
      </c>
      <c r="T229">
        <v>0</v>
      </c>
      <c r="U229">
        <v>0</v>
      </c>
      <c r="V229">
        <v>66</v>
      </c>
      <c r="W229">
        <v>78</v>
      </c>
      <c r="X229">
        <v>60</v>
      </c>
      <c r="Y229">
        <v>34</v>
      </c>
      <c r="Z229" t="e">
        <f t="shared" si="5"/>
        <v>#N/A</v>
      </c>
    </row>
    <row r="230" spans="1:26" x14ac:dyDescent="0.25">
      <c r="A230" t="s">
        <v>2066</v>
      </c>
      <c r="B230">
        <v>53033027000</v>
      </c>
      <c r="C230" t="s">
        <v>2067</v>
      </c>
      <c r="D230">
        <v>3228</v>
      </c>
      <c r="E230">
        <v>2393</v>
      </c>
      <c r="F230">
        <v>835</v>
      </c>
      <c r="G230">
        <v>3228</v>
      </c>
      <c r="H230">
        <v>2393</v>
      </c>
      <c r="I230">
        <v>835</v>
      </c>
      <c r="J230">
        <v>1980</v>
      </c>
      <c r="K230">
        <v>99</v>
      </c>
      <c r="L230">
        <v>4</v>
      </c>
      <c r="M230">
        <v>88</v>
      </c>
      <c r="N230">
        <v>33</v>
      </c>
      <c r="O230">
        <v>13</v>
      </c>
      <c r="P230">
        <v>58</v>
      </c>
      <c r="Q230">
        <v>9</v>
      </c>
      <c r="R230">
        <v>88</v>
      </c>
      <c r="S230">
        <v>277</v>
      </c>
      <c r="T230">
        <v>5</v>
      </c>
      <c r="U230">
        <v>9</v>
      </c>
      <c r="V230">
        <v>61</v>
      </c>
      <c r="W230">
        <v>261</v>
      </c>
      <c r="X230">
        <v>164</v>
      </c>
      <c r="Y230">
        <v>79</v>
      </c>
      <c r="Z230" t="e">
        <f t="shared" si="5"/>
        <v>#N/A</v>
      </c>
    </row>
    <row r="231" spans="1:26" x14ac:dyDescent="0.25">
      <c r="A231" t="s">
        <v>2068</v>
      </c>
      <c r="B231">
        <v>53033027100</v>
      </c>
      <c r="C231" t="s">
        <v>2069</v>
      </c>
      <c r="D231">
        <v>2988</v>
      </c>
      <c r="E231">
        <v>2493</v>
      </c>
      <c r="F231">
        <v>495</v>
      </c>
      <c r="G231">
        <v>2988</v>
      </c>
      <c r="H231">
        <v>2493</v>
      </c>
      <c r="I231">
        <v>495</v>
      </c>
      <c r="J231">
        <v>1710</v>
      </c>
      <c r="K231">
        <v>100</v>
      </c>
      <c r="L231">
        <v>87</v>
      </c>
      <c r="M231">
        <v>0</v>
      </c>
      <c r="N231">
        <v>175</v>
      </c>
      <c r="O231">
        <v>70</v>
      </c>
      <c r="P231">
        <v>8</v>
      </c>
      <c r="Q231">
        <v>2</v>
      </c>
      <c r="R231">
        <v>130</v>
      </c>
      <c r="S231">
        <v>149</v>
      </c>
      <c r="T231">
        <v>27</v>
      </c>
      <c r="U231">
        <v>25</v>
      </c>
      <c r="V231">
        <v>181</v>
      </c>
      <c r="W231">
        <v>123</v>
      </c>
      <c r="X231">
        <v>175</v>
      </c>
      <c r="Y231">
        <v>26</v>
      </c>
      <c r="Z231" t="e">
        <f t="shared" si="5"/>
        <v>#N/A</v>
      </c>
    </row>
    <row r="232" spans="1:26" x14ac:dyDescent="0.25">
      <c r="A232" t="s">
        <v>2070</v>
      </c>
      <c r="B232">
        <v>53033027200</v>
      </c>
      <c r="C232" t="s">
        <v>2071</v>
      </c>
      <c r="D232">
        <v>2206</v>
      </c>
      <c r="E232">
        <v>1601</v>
      </c>
      <c r="F232">
        <v>605</v>
      </c>
      <c r="G232">
        <v>2206</v>
      </c>
      <c r="H232">
        <v>1601</v>
      </c>
      <c r="I232">
        <v>605</v>
      </c>
      <c r="J232">
        <v>1038</v>
      </c>
      <c r="K232">
        <v>200</v>
      </c>
      <c r="L232">
        <v>82</v>
      </c>
      <c r="M232">
        <v>16</v>
      </c>
      <c r="N232">
        <v>169</v>
      </c>
      <c r="O232">
        <v>107</v>
      </c>
      <c r="P232">
        <v>5</v>
      </c>
      <c r="Q232">
        <v>4</v>
      </c>
      <c r="R232">
        <v>78</v>
      </c>
      <c r="S232">
        <v>175</v>
      </c>
      <c r="T232">
        <v>65</v>
      </c>
      <c r="U232">
        <v>20</v>
      </c>
      <c r="V232">
        <v>55</v>
      </c>
      <c r="W232">
        <v>52</v>
      </c>
      <c r="X232">
        <v>109</v>
      </c>
      <c r="Y232">
        <v>31</v>
      </c>
      <c r="Z232" t="e">
        <f t="shared" si="5"/>
        <v>#N/A</v>
      </c>
    </row>
    <row r="233" spans="1:26" x14ac:dyDescent="0.25">
      <c r="A233" t="s">
        <v>2072</v>
      </c>
      <c r="B233">
        <v>53033027300</v>
      </c>
      <c r="C233" t="s">
        <v>2073</v>
      </c>
      <c r="D233">
        <v>5624</v>
      </c>
      <c r="E233">
        <v>3873</v>
      </c>
      <c r="F233">
        <v>1751</v>
      </c>
      <c r="G233">
        <v>5624</v>
      </c>
      <c r="H233">
        <v>3873</v>
      </c>
      <c r="I233">
        <v>1751</v>
      </c>
      <c r="J233">
        <v>2613</v>
      </c>
      <c r="K233">
        <v>425</v>
      </c>
      <c r="L233">
        <v>122</v>
      </c>
      <c r="M233">
        <v>155</v>
      </c>
      <c r="N233">
        <v>403</v>
      </c>
      <c r="O233">
        <v>94</v>
      </c>
      <c r="P233">
        <v>110</v>
      </c>
      <c r="Q233">
        <v>14</v>
      </c>
      <c r="R233">
        <v>165</v>
      </c>
      <c r="S233">
        <v>419</v>
      </c>
      <c r="T233">
        <v>41</v>
      </c>
      <c r="U233">
        <v>49</v>
      </c>
      <c r="V233">
        <v>179</v>
      </c>
      <c r="W233">
        <v>408</v>
      </c>
      <c r="X233">
        <v>240</v>
      </c>
      <c r="Y233">
        <v>187</v>
      </c>
      <c r="Z233" t="e">
        <f t="shared" si="5"/>
        <v>#N/A</v>
      </c>
    </row>
    <row r="234" spans="1:26" x14ac:dyDescent="0.25">
      <c r="A234" t="s">
        <v>2074</v>
      </c>
      <c r="B234">
        <v>53033027400</v>
      </c>
      <c r="C234" t="s">
        <v>2075</v>
      </c>
      <c r="D234">
        <v>4980</v>
      </c>
      <c r="E234">
        <v>4051</v>
      </c>
      <c r="F234">
        <v>929</v>
      </c>
      <c r="G234">
        <v>4980</v>
      </c>
      <c r="H234">
        <v>4051</v>
      </c>
      <c r="I234">
        <v>929</v>
      </c>
      <c r="J234">
        <v>3099</v>
      </c>
      <c r="K234">
        <v>183</v>
      </c>
      <c r="L234">
        <v>133</v>
      </c>
      <c r="M234">
        <v>77</v>
      </c>
      <c r="N234">
        <v>174</v>
      </c>
      <c r="O234">
        <v>9</v>
      </c>
      <c r="P234">
        <v>8</v>
      </c>
      <c r="Q234">
        <v>0</v>
      </c>
      <c r="R234">
        <v>251</v>
      </c>
      <c r="S234">
        <v>520</v>
      </c>
      <c r="T234">
        <v>22</v>
      </c>
      <c r="U234">
        <v>26</v>
      </c>
      <c r="V234">
        <v>177</v>
      </c>
      <c r="W234">
        <v>88</v>
      </c>
      <c r="X234">
        <v>187</v>
      </c>
      <c r="Y234">
        <v>26</v>
      </c>
      <c r="Z234" t="e">
        <f t="shared" si="5"/>
        <v>#N/A</v>
      </c>
    </row>
    <row r="235" spans="1:26" x14ac:dyDescent="0.25">
      <c r="A235" t="s">
        <v>2076</v>
      </c>
      <c r="B235">
        <v>53033027500</v>
      </c>
      <c r="C235" t="s">
        <v>2077</v>
      </c>
      <c r="D235">
        <v>4578</v>
      </c>
      <c r="E235">
        <v>3838</v>
      </c>
      <c r="F235">
        <v>740</v>
      </c>
      <c r="G235">
        <v>4578</v>
      </c>
      <c r="H235">
        <v>3838</v>
      </c>
      <c r="I235">
        <v>740</v>
      </c>
      <c r="J235">
        <v>3049</v>
      </c>
      <c r="K235">
        <v>202</v>
      </c>
      <c r="L235">
        <v>163</v>
      </c>
      <c r="M235">
        <v>22</v>
      </c>
      <c r="N235">
        <v>116</v>
      </c>
      <c r="O235">
        <v>30</v>
      </c>
      <c r="P235">
        <v>141</v>
      </c>
      <c r="Q235">
        <v>0</v>
      </c>
      <c r="R235">
        <v>56</v>
      </c>
      <c r="S235">
        <v>244</v>
      </c>
      <c r="T235">
        <v>0</v>
      </c>
      <c r="U235">
        <v>13</v>
      </c>
      <c r="V235">
        <v>60</v>
      </c>
      <c r="W235">
        <v>122</v>
      </c>
      <c r="X235">
        <v>253</v>
      </c>
      <c r="Y235">
        <v>107</v>
      </c>
      <c r="Z235" t="e">
        <f t="shared" si="5"/>
        <v>#N/A</v>
      </c>
    </row>
    <row r="236" spans="1:26" x14ac:dyDescent="0.25">
      <c r="A236" t="s">
        <v>2078</v>
      </c>
      <c r="B236">
        <v>53033027600</v>
      </c>
      <c r="C236" t="s">
        <v>2079</v>
      </c>
      <c r="D236">
        <v>4168</v>
      </c>
      <c r="E236">
        <v>3421</v>
      </c>
      <c r="F236">
        <v>747</v>
      </c>
      <c r="G236">
        <v>4168</v>
      </c>
      <c r="H236">
        <v>3421</v>
      </c>
      <c r="I236">
        <v>747</v>
      </c>
      <c r="J236">
        <v>2385</v>
      </c>
      <c r="K236">
        <v>182</v>
      </c>
      <c r="L236">
        <v>157</v>
      </c>
      <c r="M236">
        <v>165</v>
      </c>
      <c r="N236">
        <v>517</v>
      </c>
      <c r="O236">
        <v>58</v>
      </c>
      <c r="P236">
        <v>70</v>
      </c>
      <c r="Q236">
        <v>0</v>
      </c>
      <c r="R236">
        <v>61</v>
      </c>
      <c r="S236">
        <v>69</v>
      </c>
      <c r="T236">
        <v>5</v>
      </c>
      <c r="U236">
        <v>10</v>
      </c>
      <c r="V236">
        <v>148</v>
      </c>
      <c r="W236">
        <v>220</v>
      </c>
      <c r="X236">
        <v>78</v>
      </c>
      <c r="Y236">
        <v>43</v>
      </c>
      <c r="Z236" t="e">
        <f t="shared" si="5"/>
        <v>#N/A</v>
      </c>
    </row>
    <row r="237" spans="1:26" x14ac:dyDescent="0.25">
      <c r="A237" t="s">
        <v>2080</v>
      </c>
      <c r="B237">
        <v>53033027701</v>
      </c>
      <c r="C237" t="s">
        <v>2081</v>
      </c>
      <c r="D237">
        <v>5161</v>
      </c>
      <c r="E237">
        <v>4786</v>
      </c>
      <c r="F237">
        <v>375</v>
      </c>
      <c r="G237">
        <v>5161</v>
      </c>
      <c r="H237">
        <v>4786</v>
      </c>
      <c r="I237">
        <v>375</v>
      </c>
      <c r="J237">
        <v>4490</v>
      </c>
      <c r="K237">
        <v>235</v>
      </c>
      <c r="L237">
        <v>39</v>
      </c>
      <c r="M237">
        <v>7</v>
      </c>
      <c r="N237">
        <v>10</v>
      </c>
      <c r="O237">
        <v>0</v>
      </c>
      <c r="P237">
        <v>33</v>
      </c>
      <c r="Q237">
        <v>0</v>
      </c>
      <c r="R237">
        <v>18</v>
      </c>
      <c r="S237">
        <v>72</v>
      </c>
      <c r="T237">
        <v>8</v>
      </c>
      <c r="U237">
        <v>0</v>
      </c>
      <c r="V237">
        <v>6</v>
      </c>
      <c r="W237">
        <v>61</v>
      </c>
      <c r="X237">
        <v>182</v>
      </c>
      <c r="Y237">
        <v>0</v>
      </c>
      <c r="Z237" t="e">
        <f t="shared" si="5"/>
        <v>#N/A</v>
      </c>
    </row>
    <row r="238" spans="1:26" x14ac:dyDescent="0.25">
      <c r="A238" t="s">
        <v>2082</v>
      </c>
      <c r="B238">
        <v>53033027702</v>
      </c>
      <c r="C238" t="s">
        <v>2083</v>
      </c>
      <c r="D238">
        <v>4962</v>
      </c>
      <c r="E238">
        <v>4706</v>
      </c>
      <c r="F238">
        <v>256</v>
      </c>
      <c r="G238">
        <v>4962</v>
      </c>
      <c r="H238">
        <v>4706</v>
      </c>
      <c r="I238">
        <v>256</v>
      </c>
      <c r="J238">
        <v>4474</v>
      </c>
      <c r="K238">
        <v>155</v>
      </c>
      <c r="L238">
        <v>66</v>
      </c>
      <c r="M238">
        <v>4</v>
      </c>
      <c r="N238">
        <v>47</v>
      </c>
      <c r="O238">
        <v>22</v>
      </c>
      <c r="P238">
        <v>25</v>
      </c>
      <c r="Q238">
        <v>0</v>
      </c>
      <c r="R238">
        <v>8</v>
      </c>
      <c r="S238">
        <v>28</v>
      </c>
      <c r="T238">
        <v>0</v>
      </c>
      <c r="U238">
        <v>0</v>
      </c>
      <c r="V238">
        <v>36</v>
      </c>
      <c r="W238">
        <v>29</v>
      </c>
      <c r="X238">
        <v>50</v>
      </c>
      <c r="Y238">
        <v>18</v>
      </c>
      <c r="Z238" t="e">
        <f t="shared" si="5"/>
        <v>#N/A</v>
      </c>
    </row>
    <row r="239" spans="1:26" x14ac:dyDescent="0.25">
      <c r="A239" t="s">
        <v>2084</v>
      </c>
      <c r="B239">
        <v>53033027800</v>
      </c>
      <c r="C239" t="s">
        <v>2085</v>
      </c>
      <c r="D239">
        <v>3396</v>
      </c>
      <c r="E239">
        <v>3198</v>
      </c>
      <c r="F239">
        <v>198</v>
      </c>
      <c r="G239">
        <v>3396</v>
      </c>
      <c r="H239">
        <v>3198</v>
      </c>
      <c r="I239">
        <v>198</v>
      </c>
      <c r="J239">
        <v>3050</v>
      </c>
      <c r="K239">
        <v>112</v>
      </c>
      <c r="L239">
        <v>7</v>
      </c>
      <c r="M239">
        <v>0</v>
      </c>
      <c r="N239">
        <v>3</v>
      </c>
      <c r="O239">
        <v>0</v>
      </c>
      <c r="P239">
        <v>69</v>
      </c>
      <c r="Q239">
        <v>0</v>
      </c>
      <c r="R239">
        <v>13</v>
      </c>
      <c r="S239">
        <v>70</v>
      </c>
      <c r="T239">
        <v>5</v>
      </c>
      <c r="U239">
        <v>0</v>
      </c>
      <c r="V239">
        <v>10</v>
      </c>
      <c r="W239">
        <v>4</v>
      </c>
      <c r="X239">
        <v>41</v>
      </c>
      <c r="Y239">
        <v>12</v>
      </c>
      <c r="Z239" t="e">
        <f t="shared" si="5"/>
        <v>#N/A</v>
      </c>
    </row>
    <row r="240" spans="1:26" x14ac:dyDescent="0.25">
      <c r="A240" t="s">
        <v>2086</v>
      </c>
      <c r="B240">
        <v>53033027900</v>
      </c>
      <c r="C240" t="s">
        <v>2087</v>
      </c>
      <c r="D240">
        <v>6356</v>
      </c>
      <c r="E240">
        <v>5522</v>
      </c>
      <c r="F240">
        <v>834</v>
      </c>
      <c r="G240">
        <v>6356</v>
      </c>
      <c r="H240">
        <v>5522</v>
      </c>
      <c r="I240">
        <v>834</v>
      </c>
      <c r="J240">
        <v>4796</v>
      </c>
      <c r="K240">
        <v>309</v>
      </c>
      <c r="L240">
        <v>59</v>
      </c>
      <c r="M240">
        <v>53</v>
      </c>
      <c r="N240">
        <v>127</v>
      </c>
      <c r="O240">
        <v>24</v>
      </c>
      <c r="P240">
        <v>101</v>
      </c>
      <c r="Q240">
        <v>0</v>
      </c>
      <c r="R240">
        <v>45</v>
      </c>
      <c r="S240">
        <v>224</v>
      </c>
      <c r="T240">
        <v>29</v>
      </c>
      <c r="U240">
        <v>28</v>
      </c>
      <c r="V240">
        <v>119</v>
      </c>
      <c r="W240">
        <v>149</v>
      </c>
      <c r="X240">
        <v>246</v>
      </c>
      <c r="Y240">
        <v>47</v>
      </c>
      <c r="Z240" t="e">
        <f t="shared" si="5"/>
        <v>#N/A</v>
      </c>
    </row>
    <row r="241" spans="1:26" x14ac:dyDescent="0.25">
      <c r="A241" t="s">
        <v>2088</v>
      </c>
      <c r="B241">
        <v>53033028000</v>
      </c>
      <c r="C241" t="s">
        <v>2089</v>
      </c>
      <c r="D241">
        <v>3392</v>
      </c>
      <c r="E241">
        <v>2566</v>
      </c>
      <c r="F241">
        <v>826</v>
      </c>
      <c r="G241">
        <v>3392</v>
      </c>
      <c r="H241">
        <v>2566</v>
      </c>
      <c r="I241">
        <v>826</v>
      </c>
      <c r="J241">
        <v>1780</v>
      </c>
      <c r="K241">
        <v>150</v>
      </c>
      <c r="L241">
        <v>105</v>
      </c>
      <c r="M241">
        <v>114</v>
      </c>
      <c r="N241">
        <v>187</v>
      </c>
      <c r="O241">
        <v>41</v>
      </c>
      <c r="P241">
        <v>49</v>
      </c>
      <c r="Q241">
        <v>0</v>
      </c>
      <c r="R241">
        <v>116</v>
      </c>
      <c r="S241">
        <v>151</v>
      </c>
      <c r="T241">
        <v>27</v>
      </c>
      <c r="U241">
        <v>27</v>
      </c>
      <c r="V241">
        <v>154</v>
      </c>
      <c r="W241">
        <v>147</v>
      </c>
      <c r="X241">
        <v>148</v>
      </c>
      <c r="Y241">
        <v>196</v>
      </c>
      <c r="Z241" t="e">
        <f t="shared" si="5"/>
        <v>#N/A</v>
      </c>
    </row>
    <row r="242" spans="1:26" x14ac:dyDescent="0.25">
      <c r="A242" t="s">
        <v>2090</v>
      </c>
      <c r="B242">
        <v>53033028100</v>
      </c>
      <c r="C242" t="s">
        <v>2091</v>
      </c>
      <c r="D242">
        <v>2224</v>
      </c>
      <c r="E242">
        <v>1412</v>
      </c>
      <c r="F242">
        <v>812</v>
      </c>
      <c r="G242">
        <v>2224</v>
      </c>
      <c r="H242">
        <v>1412</v>
      </c>
      <c r="I242">
        <v>812</v>
      </c>
      <c r="J242">
        <v>751</v>
      </c>
      <c r="K242">
        <v>141</v>
      </c>
      <c r="L242">
        <v>109</v>
      </c>
      <c r="M242">
        <v>123</v>
      </c>
      <c r="N242">
        <v>200</v>
      </c>
      <c r="O242">
        <v>47</v>
      </c>
      <c r="P242">
        <v>6</v>
      </c>
      <c r="Q242">
        <v>8</v>
      </c>
      <c r="R242">
        <v>113</v>
      </c>
      <c r="S242">
        <v>235</v>
      </c>
      <c r="T242">
        <v>24</v>
      </c>
      <c r="U242">
        <v>112</v>
      </c>
      <c r="V242">
        <v>116</v>
      </c>
      <c r="W242">
        <v>142</v>
      </c>
      <c r="X242">
        <v>93</v>
      </c>
      <c r="Y242">
        <v>4</v>
      </c>
      <c r="Z242" t="e">
        <f t="shared" si="5"/>
        <v>#N/A</v>
      </c>
    </row>
    <row r="243" spans="1:26" x14ac:dyDescent="0.25">
      <c r="A243" t="s">
        <v>2092</v>
      </c>
      <c r="B243">
        <v>53033028200</v>
      </c>
      <c r="C243" t="s">
        <v>2093</v>
      </c>
      <c r="D243">
        <v>4362</v>
      </c>
      <c r="E243">
        <v>2982</v>
      </c>
      <c r="F243">
        <v>1380</v>
      </c>
      <c r="G243">
        <v>4362</v>
      </c>
      <c r="H243">
        <v>2982</v>
      </c>
      <c r="I243">
        <v>1380</v>
      </c>
      <c r="J243">
        <v>1814</v>
      </c>
      <c r="K243">
        <v>298</v>
      </c>
      <c r="L243">
        <v>68</v>
      </c>
      <c r="M243">
        <v>54</v>
      </c>
      <c r="N243">
        <v>577</v>
      </c>
      <c r="O243">
        <v>142</v>
      </c>
      <c r="P243">
        <v>90</v>
      </c>
      <c r="Q243">
        <v>0</v>
      </c>
      <c r="R243">
        <v>124</v>
      </c>
      <c r="S243">
        <v>357</v>
      </c>
      <c r="T243">
        <v>15</v>
      </c>
      <c r="U243">
        <v>131</v>
      </c>
      <c r="V243">
        <v>139</v>
      </c>
      <c r="W243">
        <v>380</v>
      </c>
      <c r="X243">
        <v>155</v>
      </c>
      <c r="Y243">
        <v>18</v>
      </c>
      <c r="Z243" t="e">
        <f t="shared" si="5"/>
        <v>#N/A</v>
      </c>
    </row>
    <row r="244" spans="1:26" x14ac:dyDescent="0.25">
      <c r="A244" t="s">
        <v>2094</v>
      </c>
      <c r="B244">
        <v>53033028300</v>
      </c>
      <c r="C244" t="s">
        <v>2095</v>
      </c>
      <c r="D244">
        <v>3175</v>
      </c>
      <c r="E244">
        <v>2721</v>
      </c>
      <c r="F244">
        <v>454</v>
      </c>
      <c r="G244">
        <v>3175</v>
      </c>
      <c r="H244">
        <v>2721</v>
      </c>
      <c r="I244">
        <v>454</v>
      </c>
      <c r="J244">
        <v>2307</v>
      </c>
      <c r="K244">
        <v>60</v>
      </c>
      <c r="L244">
        <v>33</v>
      </c>
      <c r="M244">
        <v>9</v>
      </c>
      <c r="N244">
        <v>105</v>
      </c>
      <c r="O244">
        <v>30</v>
      </c>
      <c r="P244">
        <v>30</v>
      </c>
      <c r="Q244">
        <v>0</v>
      </c>
      <c r="R244">
        <v>76</v>
      </c>
      <c r="S244">
        <v>289</v>
      </c>
      <c r="T244">
        <v>8</v>
      </c>
      <c r="U244">
        <v>0</v>
      </c>
      <c r="V244">
        <v>34</v>
      </c>
      <c r="W244">
        <v>35</v>
      </c>
      <c r="X244">
        <v>128</v>
      </c>
      <c r="Y244">
        <v>31</v>
      </c>
      <c r="Z244" t="e">
        <f t="shared" si="5"/>
        <v>#N/A</v>
      </c>
    </row>
    <row r="245" spans="1:26" x14ac:dyDescent="0.25">
      <c r="A245" t="s">
        <v>2096</v>
      </c>
      <c r="B245">
        <v>53033028402</v>
      </c>
      <c r="C245" t="s">
        <v>2097</v>
      </c>
      <c r="D245">
        <v>4628</v>
      </c>
      <c r="E245">
        <v>3439</v>
      </c>
      <c r="F245">
        <v>1189</v>
      </c>
      <c r="G245">
        <v>4628</v>
      </c>
      <c r="H245">
        <v>3439</v>
      </c>
      <c r="I245">
        <v>1189</v>
      </c>
      <c r="J245">
        <v>2355</v>
      </c>
      <c r="K245">
        <v>153</v>
      </c>
      <c r="L245">
        <v>131</v>
      </c>
      <c r="M245">
        <v>78</v>
      </c>
      <c r="N245">
        <v>273</v>
      </c>
      <c r="O245">
        <v>191</v>
      </c>
      <c r="P245">
        <v>28</v>
      </c>
      <c r="Q245">
        <v>16</v>
      </c>
      <c r="R245">
        <v>110</v>
      </c>
      <c r="S245">
        <v>442</v>
      </c>
      <c r="T245">
        <v>73</v>
      </c>
      <c r="U245">
        <v>76</v>
      </c>
      <c r="V245">
        <v>194</v>
      </c>
      <c r="W245">
        <v>149</v>
      </c>
      <c r="X245">
        <v>275</v>
      </c>
      <c r="Y245">
        <v>84</v>
      </c>
      <c r="Z245" t="e">
        <f t="shared" si="5"/>
        <v>#N/A</v>
      </c>
    </row>
    <row r="246" spans="1:26" x14ac:dyDescent="0.25">
      <c r="A246" t="s">
        <v>2098</v>
      </c>
      <c r="B246">
        <v>53033028403</v>
      </c>
      <c r="C246" t="s">
        <v>2099</v>
      </c>
      <c r="D246">
        <v>4852</v>
      </c>
      <c r="E246">
        <v>3408</v>
      </c>
      <c r="F246">
        <v>1444</v>
      </c>
      <c r="G246">
        <v>4852</v>
      </c>
      <c r="H246">
        <v>3408</v>
      </c>
      <c r="I246">
        <v>1444</v>
      </c>
      <c r="J246">
        <v>2604</v>
      </c>
      <c r="K246">
        <v>250</v>
      </c>
      <c r="L246">
        <v>116</v>
      </c>
      <c r="M246">
        <v>79</v>
      </c>
      <c r="N246">
        <v>224</v>
      </c>
      <c r="O246">
        <v>230</v>
      </c>
      <c r="P246">
        <v>26</v>
      </c>
      <c r="Q246">
        <v>0</v>
      </c>
      <c r="R246">
        <v>111</v>
      </c>
      <c r="S246">
        <v>447</v>
      </c>
      <c r="T246">
        <v>36</v>
      </c>
      <c r="U246">
        <v>38</v>
      </c>
      <c r="V246">
        <v>132</v>
      </c>
      <c r="W246">
        <v>300</v>
      </c>
      <c r="X246">
        <v>159</v>
      </c>
      <c r="Y246">
        <v>100</v>
      </c>
      <c r="Z246" t="e">
        <f t="shared" si="5"/>
        <v>#N/A</v>
      </c>
    </row>
    <row r="247" spans="1:26" x14ac:dyDescent="0.25">
      <c r="A247" t="s">
        <v>2100</v>
      </c>
      <c r="B247">
        <v>53033028500</v>
      </c>
      <c r="C247" t="s">
        <v>2101</v>
      </c>
      <c r="D247">
        <v>3587</v>
      </c>
      <c r="E247">
        <v>2974</v>
      </c>
      <c r="F247">
        <v>613</v>
      </c>
      <c r="G247">
        <v>3587</v>
      </c>
      <c r="H247">
        <v>2974</v>
      </c>
      <c r="I247">
        <v>613</v>
      </c>
      <c r="J247">
        <v>2446</v>
      </c>
      <c r="K247">
        <v>139</v>
      </c>
      <c r="L247">
        <v>83</v>
      </c>
      <c r="M247">
        <v>14</v>
      </c>
      <c r="N247">
        <v>146</v>
      </c>
      <c r="O247">
        <v>31</v>
      </c>
      <c r="P247">
        <v>7</v>
      </c>
      <c r="Q247">
        <v>0</v>
      </c>
      <c r="R247">
        <v>144</v>
      </c>
      <c r="S247">
        <v>266</v>
      </c>
      <c r="T247">
        <v>0</v>
      </c>
      <c r="U247">
        <v>0</v>
      </c>
      <c r="V247">
        <v>65</v>
      </c>
      <c r="W247">
        <v>123</v>
      </c>
      <c r="X247">
        <v>83</v>
      </c>
      <c r="Y247">
        <v>40</v>
      </c>
      <c r="Z247" t="e">
        <f t="shared" si="5"/>
        <v>#N/A</v>
      </c>
    </row>
    <row r="248" spans="1:26" x14ac:dyDescent="0.25">
      <c r="A248" t="s">
        <v>2102</v>
      </c>
      <c r="B248">
        <v>53033028600</v>
      </c>
      <c r="C248" t="s">
        <v>2103</v>
      </c>
      <c r="D248">
        <v>6298</v>
      </c>
      <c r="E248">
        <v>5555</v>
      </c>
      <c r="F248">
        <v>743</v>
      </c>
      <c r="G248">
        <v>6298</v>
      </c>
      <c r="H248">
        <v>5555</v>
      </c>
      <c r="I248">
        <v>743</v>
      </c>
      <c r="J248">
        <v>5053</v>
      </c>
      <c r="K248">
        <v>453</v>
      </c>
      <c r="L248">
        <v>79</v>
      </c>
      <c r="M248">
        <v>6</v>
      </c>
      <c r="N248">
        <v>53</v>
      </c>
      <c r="O248">
        <v>0</v>
      </c>
      <c r="P248">
        <v>19</v>
      </c>
      <c r="Q248">
        <v>0</v>
      </c>
      <c r="R248">
        <v>121</v>
      </c>
      <c r="S248">
        <v>265</v>
      </c>
      <c r="T248">
        <v>16</v>
      </c>
      <c r="U248">
        <v>0</v>
      </c>
      <c r="V248">
        <v>77</v>
      </c>
      <c r="W248">
        <v>0</v>
      </c>
      <c r="X248">
        <v>137</v>
      </c>
      <c r="Y248">
        <v>19</v>
      </c>
      <c r="Z248" t="e">
        <f t="shared" si="5"/>
        <v>#N/A</v>
      </c>
    </row>
    <row r="249" spans="1:26" x14ac:dyDescent="0.25">
      <c r="A249" t="s">
        <v>2104</v>
      </c>
      <c r="B249">
        <v>53033028700</v>
      </c>
      <c r="C249" t="s">
        <v>2105</v>
      </c>
      <c r="D249">
        <v>5075</v>
      </c>
      <c r="E249">
        <v>4688</v>
      </c>
      <c r="F249">
        <v>387</v>
      </c>
      <c r="G249">
        <v>5075</v>
      </c>
      <c r="H249">
        <v>4688</v>
      </c>
      <c r="I249">
        <v>387</v>
      </c>
      <c r="J249">
        <v>3993</v>
      </c>
      <c r="K249">
        <v>155</v>
      </c>
      <c r="L249">
        <v>92</v>
      </c>
      <c r="M249">
        <v>14</v>
      </c>
      <c r="N249">
        <v>192</v>
      </c>
      <c r="O249">
        <v>18</v>
      </c>
      <c r="P249">
        <v>81</v>
      </c>
      <c r="Q249">
        <v>6</v>
      </c>
      <c r="R249">
        <v>124</v>
      </c>
      <c r="S249">
        <v>163</v>
      </c>
      <c r="T249">
        <v>9</v>
      </c>
      <c r="U249">
        <v>0</v>
      </c>
      <c r="V249">
        <v>29</v>
      </c>
      <c r="W249">
        <v>8</v>
      </c>
      <c r="X249">
        <v>168</v>
      </c>
      <c r="Y249">
        <v>23</v>
      </c>
      <c r="Z249" t="e">
        <f t="shared" si="5"/>
        <v>#N/A</v>
      </c>
    </row>
    <row r="250" spans="1:26" x14ac:dyDescent="0.25">
      <c r="A250" t="s">
        <v>2106</v>
      </c>
      <c r="B250">
        <v>53033028801</v>
      </c>
      <c r="C250" t="s">
        <v>2107</v>
      </c>
      <c r="D250">
        <v>3693</v>
      </c>
      <c r="E250">
        <v>3034</v>
      </c>
      <c r="F250">
        <v>659</v>
      </c>
      <c r="G250">
        <v>3693</v>
      </c>
      <c r="H250">
        <v>3034</v>
      </c>
      <c r="I250">
        <v>659</v>
      </c>
      <c r="J250">
        <v>2203</v>
      </c>
      <c r="K250">
        <v>108</v>
      </c>
      <c r="L250">
        <v>130</v>
      </c>
      <c r="M250">
        <v>241</v>
      </c>
      <c r="N250">
        <v>177</v>
      </c>
      <c r="O250">
        <v>26</v>
      </c>
      <c r="P250">
        <v>59</v>
      </c>
      <c r="Q250">
        <v>4</v>
      </c>
      <c r="R250">
        <v>193</v>
      </c>
      <c r="S250">
        <v>95</v>
      </c>
      <c r="T250">
        <v>0</v>
      </c>
      <c r="U250">
        <v>15</v>
      </c>
      <c r="V250">
        <v>109</v>
      </c>
      <c r="W250">
        <v>123</v>
      </c>
      <c r="X250">
        <v>163</v>
      </c>
      <c r="Y250">
        <v>47</v>
      </c>
      <c r="Z250" t="e">
        <f t="shared" si="5"/>
        <v>#N/A</v>
      </c>
    </row>
    <row r="251" spans="1:26" x14ac:dyDescent="0.25">
      <c r="A251" t="s">
        <v>2108</v>
      </c>
      <c r="B251">
        <v>53033028802</v>
      </c>
      <c r="C251" t="s">
        <v>2109</v>
      </c>
      <c r="D251">
        <v>5997</v>
      </c>
      <c r="E251">
        <v>4481</v>
      </c>
      <c r="F251">
        <v>1516</v>
      </c>
      <c r="G251">
        <v>5997</v>
      </c>
      <c r="H251">
        <v>4481</v>
      </c>
      <c r="I251">
        <v>1516</v>
      </c>
      <c r="J251">
        <v>2997</v>
      </c>
      <c r="K251">
        <v>157</v>
      </c>
      <c r="L251">
        <v>186</v>
      </c>
      <c r="M251">
        <v>188</v>
      </c>
      <c r="N251">
        <v>595</v>
      </c>
      <c r="O251">
        <v>247</v>
      </c>
      <c r="P251">
        <v>81</v>
      </c>
      <c r="Q251">
        <v>0</v>
      </c>
      <c r="R251">
        <v>140</v>
      </c>
      <c r="S251">
        <v>428</v>
      </c>
      <c r="T251">
        <v>59</v>
      </c>
      <c r="U251">
        <v>120</v>
      </c>
      <c r="V251">
        <v>69</v>
      </c>
      <c r="W251">
        <v>313</v>
      </c>
      <c r="X251">
        <v>354</v>
      </c>
      <c r="Y251">
        <v>63</v>
      </c>
      <c r="Z251" t="e">
        <f t="shared" si="5"/>
        <v>#N/A</v>
      </c>
    </row>
    <row r="252" spans="1:26" x14ac:dyDescent="0.25">
      <c r="A252" t="s">
        <v>2110</v>
      </c>
      <c r="B252">
        <v>53033028901</v>
      </c>
      <c r="C252" t="s">
        <v>2111</v>
      </c>
      <c r="D252">
        <v>3638</v>
      </c>
      <c r="E252">
        <v>3277</v>
      </c>
      <c r="F252">
        <v>361</v>
      </c>
      <c r="G252">
        <v>3638</v>
      </c>
      <c r="H252">
        <v>3277</v>
      </c>
      <c r="I252">
        <v>361</v>
      </c>
      <c r="J252">
        <v>2835</v>
      </c>
      <c r="K252">
        <v>167</v>
      </c>
      <c r="L252">
        <v>49</v>
      </c>
      <c r="M252">
        <v>6</v>
      </c>
      <c r="N252">
        <v>44</v>
      </c>
      <c r="O252">
        <v>9</v>
      </c>
      <c r="P252">
        <v>29</v>
      </c>
      <c r="Q252">
        <v>0</v>
      </c>
      <c r="R252">
        <v>102</v>
      </c>
      <c r="S252">
        <v>117</v>
      </c>
      <c r="T252">
        <v>14</v>
      </c>
      <c r="U252">
        <v>25</v>
      </c>
      <c r="V252">
        <v>55</v>
      </c>
      <c r="W252">
        <v>31</v>
      </c>
      <c r="X252">
        <v>149</v>
      </c>
      <c r="Y252">
        <v>6</v>
      </c>
      <c r="Z252" t="e">
        <f t="shared" si="5"/>
        <v>#N/A</v>
      </c>
    </row>
    <row r="253" spans="1:26" x14ac:dyDescent="0.25">
      <c r="A253" t="s">
        <v>2112</v>
      </c>
      <c r="B253">
        <v>53033028902</v>
      </c>
      <c r="C253" t="s">
        <v>2113</v>
      </c>
      <c r="D253">
        <v>6453</v>
      </c>
      <c r="E253">
        <v>5024</v>
      </c>
      <c r="F253">
        <v>1429</v>
      </c>
      <c r="G253">
        <v>6453</v>
      </c>
      <c r="H253">
        <v>5024</v>
      </c>
      <c r="I253">
        <v>1429</v>
      </c>
      <c r="J253">
        <v>3268</v>
      </c>
      <c r="K253">
        <v>153</v>
      </c>
      <c r="L253">
        <v>160</v>
      </c>
      <c r="M253">
        <v>90</v>
      </c>
      <c r="N253">
        <v>955</v>
      </c>
      <c r="O253">
        <v>37</v>
      </c>
      <c r="P253">
        <v>22</v>
      </c>
      <c r="Q253">
        <v>23</v>
      </c>
      <c r="R253">
        <v>199</v>
      </c>
      <c r="S253">
        <v>517</v>
      </c>
      <c r="T253">
        <v>75</v>
      </c>
      <c r="U253">
        <v>213</v>
      </c>
      <c r="V253">
        <v>107</v>
      </c>
      <c r="W253">
        <v>351</v>
      </c>
      <c r="X253">
        <v>238</v>
      </c>
      <c r="Y253">
        <v>45</v>
      </c>
      <c r="Z253" t="e">
        <f t="shared" si="5"/>
        <v>#N/A</v>
      </c>
    </row>
    <row r="254" spans="1:26" x14ac:dyDescent="0.25">
      <c r="A254" t="s">
        <v>2114</v>
      </c>
      <c r="B254">
        <v>53033029001</v>
      </c>
      <c r="C254" t="s">
        <v>2115</v>
      </c>
      <c r="D254">
        <v>4610</v>
      </c>
      <c r="E254">
        <v>4214</v>
      </c>
      <c r="F254">
        <v>396</v>
      </c>
      <c r="G254">
        <v>4610</v>
      </c>
      <c r="H254">
        <v>4214</v>
      </c>
      <c r="I254">
        <v>396</v>
      </c>
      <c r="J254">
        <v>3484</v>
      </c>
      <c r="K254">
        <v>135</v>
      </c>
      <c r="L254">
        <v>52</v>
      </c>
      <c r="M254">
        <v>6</v>
      </c>
      <c r="N254">
        <v>262</v>
      </c>
      <c r="O254">
        <v>8</v>
      </c>
      <c r="P254">
        <v>7</v>
      </c>
      <c r="Q254">
        <v>0</v>
      </c>
      <c r="R254">
        <v>142</v>
      </c>
      <c r="S254">
        <v>199</v>
      </c>
      <c r="T254">
        <v>0</v>
      </c>
      <c r="U254">
        <v>11</v>
      </c>
      <c r="V254">
        <v>32</v>
      </c>
      <c r="W254">
        <v>28</v>
      </c>
      <c r="X254">
        <v>235</v>
      </c>
      <c r="Y254">
        <v>9</v>
      </c>
      <c r="Z254" t="e">
        <f t="shared" si="5"/>
        <v>#N/A</v>
      </c>
    </row>
    <row r="255" spans="1:26" x14ac:dyDescent="0.25">
      <c r="A255" t="s">
        <v>2116</v>
      </c>
      <c r="B255">
        <v>53033029003</v>
      </c>
      <c r="C255" t="s">
        <v>2117</v>
      </c>
      <c r="D255">
        <v>5240</v>
      </c>
      <c r="E255">
        <v>4198</v>
      </c>
      <c r="F255">
        <v>1042</v>
      </c>
      <c r="G255">
        <v>5240</v>
      </c>
      <c r="H255">
        <v>4198</v>
      </c>
      <c r="I255">
        <v>1042</v>
      </c>
      <c r="J255">
        <v>3245</v>
      </c>
      <c r="K255">
        <v>172</v>
      </c>
      <c r="L255">
        <v>94</v>
      </c>
      <c r="M255">
        <v>12</v>
      </c>
      <c r="N255">
        <v>302</v>
      </c>
      <c r="O255">
        <v>118</v>
      </c>
      <c r="P255">
        <v>25</v>
      </c>
      <c r="Q255">
        <v>0</v>
      </c>
      <c r="R255">
        <v>229</v>
      </c>
      <c r="S255">
        <v>555</v>
      </c>
      <c r="T255">
        <v>29</v>
      </c>
      <c r="U255">
        <v>14</v>
      </c>
      <c r="V255">
        <v>70</v>
      </c>
      <c r="W255">
        <v>132</v>
      </c>
      <c r="X255">
        <v>204</v>
      </c>
      <c r="Y255">
        <v>39</v>
      </c>
      <c r="Z255" t="e">
        <f t="shared" si="5"/>
        <v>#N/A</v>
      </c>
    </row>
    <row r="256" spans="1:26" x14ac:dyDescent="0.25">
      <c r="A256" t="s">
        <v>2118</v>
      </c>
      <c r="B256">
        <v>53033029004</v>
      </c>
      <c r="C256" t="s">
        <v>2119</v>
      </c>
      <c r="D256">
        <v>3442</v>
      </c>
      <c r="E256">
        <v>2676</v>
      </c>
      <c r="F256">
        <v>766</v>
      </c>
      <c r="G256">
        <v>3442</v>
      </c>
      <c r="H256">
        <v>2676</v>
      </c>
      <c r="I256">
        <v>766</v>
      </c>
      <c r="J256">
        <v>1466</v>
      </c>
      <c r="K256">
        <v>92</v>
      </c>
      <c r="L256">
        <v>79</v>
      </c>
      <c r="M256">
        <v>38</v>
      </c>
      <c r="N256">
        <v>674</v>
      </c>
      <c r="O256">
        <v>0</v>
      </c>
      <c r="P256">
        <v>12</v>
      </c>
      <c r="Q256">
        <v>18</v>
      </c>
      <c r="R256">
        <v>135</v>
      </c>
      <c r="S256">
        <v>294</v>
      </c>
      <c r="T256">
        <v>0</v>
      </c>
      <c r="U256">
        <v>9</v>
      </c>
      <c r="V256">
        <v>116</v>
      </c>
      <c r="W256">
        <v>293</v>
      </c>
      <c r="X256">
        <v>194</v>
      </c>
      <c r="Y256">
        <v>22</v>
      </c>
      <c r="Z256" t="e">
        <f t="shared" si="5"/>
        <v>#N/A</v>
      </c>
    </row>
    <row r="257" spans="1:26" x14ac:dyDescent="0.25">
      <c r="A257" t="s">
        <v>2120</v>
      </c>
      <c r="B257">
        <v>53033029100</v>
      </c>
      <c r="C257" t="s">
        <v>2121</v>
      </c>
      <c r="D257">
        <v>4926</v>
      </c>
      <c r="E257">
        <v>4231</v>
      </c>
      <c r="F257">
        <v>695</v>
      </c>
      <c r="G257">
        <v>4926</v>
      </c>
      <c r="H257">
        <v>4231</v>
      </c>
      <c r="I257">
        <v>695</v>
      </c>
      <c r="J257">
        <v>3502</v>
      </c>
      <c r="K257">
        <v>134</v>
      </c>
      <c r="L257">
        <v>108</v>
      </c>
      <c r="M257">
        <v>31</v>
      </c>
      <c r="N257">
        <v>164</v>
      </c>
      <c r="O257">
        <v>91</v>
      </c>
      <c r="P257">
        <v>37</v>
      </c>
      <c r="Q257">
        <v>0</v>
      </c>
      <c r="R257">
        <v>101</v>
      </c>
      <c r="S257">
        <v>274</v>
      </c>
      <c r="T257">
        <v>50</v>
      </c>
      <c r="U257">
        <v>10</v>
      </c>
      <c r="V257">
        <v>78</v>
      </c>
      <c r="W257">
        <v>121</v>
      </c>
      <c r="X257">
        <v>191</v>
      </c>
      <c r="Y257">
        <v>34</v>
      </c>
      <c r="Z257" t="e">
        <f t="shared" si="5"/>
        <v>#N/A</v>
      </c>
    </row>
    <row r="258" spans="1:26" x14ac:dyDescent="0.25">
      <c r="A258" t="s">
        <v>2122</v>
      </c>
      <c r="B258">
        <v>53033029201</v>
      </c>
      <c r="C258" t="s">
        <v>2123</v>
      </c>
      <c r="D258">
        <v>8751</v>
      </c>
      <c r="E258">
        <v>7212</v>
      </c>
      <c r="F258">
        <v>1539</v>
      </c>
      <c r="G258">
        <v>8751</v>
      </c>
      <c r="H258">
        <v>7212</v>
      </c>
      <c r="I258">
        <v>1539</v>
      </c>
      <c r="J258">
        <v>5485</v>
      </c>
      <c r="K258">
        <v>299</v>
      </c>
      <c r="L258">
        <v>199</v>
      </c>
      <c r="M258">
        <v>268</v>
      </c>
      <c r="N258">
        <v>633</v>
      </c>
      <c r="O258">
        <v>97</v>
      </c>
      <c r="P258">
        <v>36</v>
      </c>
      <c r="Q258">
        <v>0</v>
      </c>
      <c r="R258">
        <v>199</v>
      </c>
      <c r="S258">
        <v>347</v>
      </c>
      <c r="T258">
        <v>11</v>
      </c>
      <c r="U258">
        <v>0</v>
      </c>
      <c r="V258">
        <v>250</v>
      </c>
      <c r="W258">
        <v>474</v>
      </c>
      <c r="X258">
        <v>399</v>
      </c>
      <c r="Y258">
        <v>54</v>
      </c>
      <c r="Z258" t="e">
        <f t="shared" si="5"/>
        <v>#N/A</v>
      </c>
    </row>
    <row r="259" spans="1:26" x14ac:dyDescent="0.25">
      <c r="A259" t="s">
        <v>2124</v>
      </c>
      <c r="B259">
        <v>53033029203</v>
      </c>
      <c r="C259" t="s">
        <v>2125</v>
      </c>
      <c r="D259">
        <v>2628</v>
      </c>
      <c r="E259">
        <v>2222</v>
      </c>
      <c r="F259">
        <v>406</v>
      </c>
      <c r="G259">
        <v>2628</v>
      </c>
      <c r="H259">
        <v>2222</v>
      </c>
      <c r="I259">
        <v>406</v>
      </c>
      <c r="J259">
        <v>1445</v>
      </c>
      <c r="K259">
        <v>112</v>
      </c>
      <c r="L259">
        <v>73</v>
      </c>
      <c r="M259">
        <v>37</v>
      </c>
      <c r="N259">
        <v>311</v>
      </c>
      <c r="O259">
        <v>0</v>
      </c>
      <c r="P259">
        <v>0</v>
      </c>
      <c r="Q259">
        <v>0</v>
      </c>
      <c r="R259">
        <v>95</v>
      </c>
      <c r="S259">
        <v>156</v>
      </c>
      <c r="T259">
        <v>0</v>
      </c>
      <c r="U259">
        <v>0</v>
      </c>
      <c r="V259">
        <v>91</v>
      </c>
      <c r="W259">
        <v>52</v>
      </c>
      <c r="X259">
        <v>207</v>
      </c>
      <c r="Y259">
        <v>49</v>
      </c>
      <c r="Z259" t="e">
        <f t="shared" ref="Z259:Z322" si="6">VLOOKUP(C259,$AE$2:$AF$125,2,FALSE)</f>
        <v>#N/A</v>
      </c>
    </row>
    <row r="260" spans="1:26" x14ac:dyDescent="0.25">
      <c r="A260" t="s">
        <v>2126</v>
      </c>
      <c r="B260">
        <v>53033029204</v>
      </c>
      <c r="C260" t="s">
        <v>2127</v>
      </c>
      <c r="D260">
        <v>5195</v>
      </c>
      <c r="E260">
        <v>4396</v>
      </c>
      <c r="F260">
        <v>799</v>
      </c>
      <c r="G260">
        <v>5195</v>
      </c>
      <c r="H260">
        <v>4396</v>
      </c>
      <c r="I260">
        <v>799</v>
      </c>
      <c r="J260">
        <v>3486</v>
      </c>
      <c r="K260">
        <v>144</v>
      </c>
      <c r="L260">
        <v>69</v>
      </c>
      <c r="M260">
        <v>8</v>
      </c>
      <c r="N260">
        <v>326</v>
      </c>
      <c r="O260">
        <v>17</v>
      </c>
      <c r="P260">
        <v>35</v>
      </c>
      <c r="Q260">
        <v>0</v>
      </c>
      <c r="R260">
        <v>183</v>
      </c>
      <c r="S260">
        <v>303</v>
      </c>
      <c r="T260">
        <v>33</v>
      </c>
      <c r="U260">
        <v>0</v>
      </c>
      <c r="V260">
        <v>93</v>
      </c>
      <c r="W260">
        <v>236</v>
      </c>
      <c r="X260">
        <v>171</v>
      </c>
      <c r="Y260">
        <v>91</v>
      </c>
      <c r="Z260" t="e">
        <f t="shared" si="6"/>
        <v>#N/A</v>
      </c>
    </row>
    <row r="261" spans="1:26" x14ac:dyDescent="0.25">
      <c r="A261" t="s">
        <v>2128</v>
      </c>
      <c r="B261">
        <v>53033029303</v>
      </c>
      <c r="C261" t="s">
        <v>2129</v>
      </c>
      <c r="D261">
        <v>5413</v>
      </c>
      <c r="E261">
        <v>4316</v>
      </c>
      <c r="F261">
        <v>1097</v>
      </c>
      <c r="G261">
        <v>5413</v>
      </c>
      <c r="H261">
        <v>4316</v>
      </c>
      <c r="I261">
        <v>1097</v>
      </c>
      <c r="J261">
        <v>2985</v>
      </c>
      <c r="K261">
        <v>310</v>
      </c>
      <c r="L261">
        <v>26</v>
      </c>
      <c r="M261">
        <v>11</v>
      </c>
      <c r="N261">
        <v>420</v>
      </c>
      <c r="O261">
        <v>52</v>
      </c>
      <c r="P261">
        <v>34</v>
      </c>
      <c r="Q261">
        <v>0</v>
      </c>
      <c r="R261">
        <v>507</v>
      </c>
      <c r="S261">
        <v>550</v>
      </c>
      <c r="T261">
        <v>0</v>
      </c>
      <c r="U261">
        <v>18</v>
      </c>
      <c r="V261">
        <v>131</v>
      </c>
      <c r="W261">
        <v>61</v>
      </c>
      <c r="X261">
        <v>213</v>
      </c>
      <c r="Y261">
        <v>95</v>
      </c>
      <c r="Z261" t="e">
        <f t="shared" si="6"/>
        <v>#N/A</v>
      </c>
    </row>
    <row r="262" spans="1:26" x14ac:dyDescent="0.25">
      <c r="A262" t="s">
        <v>2130</v>
      </c>
      <c r="B262">
        <v>53033029304</v>
      </c>
      <c r="C262" t="s">
        <v>2131</v>
      </c>
      <c r="D262">
        <v>4567</v>
      </c>
      <c r="E262">
        <v>3940</v>
      </c>
      <c r="F262">
        <v>627</v>
      </c>
      <c r="G262">
        <v>4567</v>
      </c>
      <c r="H262">
        <v>3940</v>
      </c>
      <c r="I262">
        <v>627</v>
      </c>
      <c r="J262">
        <v>3345</v>
      </c>
      <c r="K262">
        <v>158</v>
      </c>
      <c r="L262">
        <v>50</v>
      </c>
      <c r="M262">
        <v>9</v>
      </c>
      <c r="N262">
        <v>171</v>
      </c>
      <c r="O262">
        <v>27</v>
      </c>
      <c r="P262">
        <v>57</v>
      </c>
      <c r="Q262">
        <v>0</v>
      </c>
      <c r="R262">
        <v>182</v>
      </c>
      <c r="S262">
        <v>433</v>
      </c>
      <c r="T262">
        <v>0</v>
      </c>
      <c r="U262">
        <v>0</v>
      </c>
      <c r="V262">
        <v>0</v>
      </c>
      <c r="W262">
        <v>0</v>
      </c>
      <c r="X262">
        <v>135</v>
      </c>
      <c r="Y262">
        <v>0</v>
      </c>
      <c r="Z262" t="e">
        <f t="shared" si="6"/>
        <v>#N/A</v>
      </c>
    </row>
    <row r="263" spans="1:26" x14ac:dyDescent="0.25">
      <c r="A263" t="s">
        <v>2132</v>
      </c>
      <c r="B263">
        <v>53033029305</v>
      </c>
      <c r="C263" t="s">
        <v>2133</v>
      </c>
      <c r="D263">
        <v>3701</v>
      </c>
      <c r="E263">
        <v>2866</v>
      </c>
      <c r="F263">
        <v>835</v>
      </c>
      <c r="G263">
        <v>3701</v>
      </c>
      <c r="H263">
        <v>2866</v>
      </c>
      <c r="I263">
        <v>835</v>
      </c>
      <c r="J263">
        <v>2217</v>
      </c>
      <c r="K263">
        <v>312</v>
      </c>
      <c r="L263">
        <v>31</v>
      </c>
      <c r="M263">
        <v>0</v>
      </c>
      <c r="N263">
        <v>164</v>
      </c>
      <c r="O263">
        <v>0</v>
      </c>
      <c r="P263">
        <v>15</v>
      </c>
      <c r="Q263">
        <v>0</v>
      </c>
      <c r="R263">
        <v>193</v>
      </c>
      <c r="S263">
        <v>323</v>
      </c>
      <c r="T263">
        <v>13</v>
      </c>
      <c r="U263">
        <v>16</v>
      </c>
      <c r="V263">
        <v>31</v>
      </c>
      <c r="W263">
        <v>28</v>
      </c>
      <c r="X263">
        <v>202</v>
      </c>
      <c r="Y263">
        <v>156</v>
      </c>
      <c r="Z263" t="e">
        <f t="shared" si="6"/>
        <v>#N/A</v>
      </c>
    </row>
    <row r="264" spans="1:26" x14ac:dyDescent="0.25">
      <c r="A264" t="s">
        <v>2134</v>
      </c>
      <c r="B264">
        <v>53033029306</v>
      </c>
      <c r="C264" t="s">
        <v>2135</v>
      </c>
      <c r="D264">
        <v>2691</v>
      </c>
      <c r="E264">
        <v>2218</v>
      </c>
      <c r="F264">
        <v>473</v>
      </c>
      <c r="G264">
        <v>2691</v>
      </c>
      <c r="H264">
        <v>2218</v>
      </c>
      <c r="I264">
        <v>473</v>
      </c>
      <c r="J264">
        <v>1865</v>
      </c>
      <c r="K264">
        <v>68</v>
      </c>
      <c r="L264">
        <v>29</v>
      </c>
      <c r="M264">
        <v>0</v>
      </c>
      <c r="N264">
        <v>72</v>
      </c>
      <c r="O264">
        <v>0</v>
      </c>
      <c r="P264">
        <v>0</v>
      </c>
      <c r="Q264">
        <v>0</v>
      </c>
      <c r="R264">
        <v>133</v>
      </c>
      <c r="S264">
        <v>397</v>
      </c>
      <c r="T264">
        <v>11</v>
      </c>
      <c r="U264">
        <v>0</v>
      </c>
      <c r="V264">
        <v>0</v>
      </c>
      <c r="W264">
        <v>0</v>
      </c>
      <c r="X264">
        <v>108</v>
      </c>
      <c r="Y264">
        <v>8</v>
      </c>
      <c r="Z264" t="e">
        <f t="shared" si="6"/>
        <v>#N/A</v>
      </c>
    </row>
    <row r="265" spans="1:26" x14ac:dyDescent="0.25">
      <c r="A265" t="s">
        <v>2136</v>
      </c>
      <c r="B265">
        <v>53033029307</v>
      </c>
      <c r="C265" t="s">
        <v>2137</v>
      </c>
      <c r="D265">
        <v>4064</v>
      </c>
      <c r="E265">
        <v>3640</v>
      </c>
      <c r="F265">
        <v>424</v>
      </c>
      <c r="G265">
        <v>4064</v>
      </c>
      <c r="H265">
        <v>3640</v>
      </c>
      <c r="I265">
        <v>424</v>
      </c>
      <c r="J265">
        <v>2965</v>
      </c>
      <c r="K265">
        <v>86</v>
      </c>
      <c r="L265">
        <v>78</v>
      </c>
      <c r="M265">
        <v>25</v>
      </c>
      <c r="N265">
        <v>101</v>
      </c>
      <c r="O265">
        <v>0</v>
      </c>
      <c r="P265">
        <v>17</v>
      </c>
      <c r="Q265">
        <v>0</v>
      </c>
      <c r="R265">
        <v>253</v>
      </c>
      <c r="S265">
        <v>268</v>
      </c>
      <c r="T265">
        <v>0</v>
      </c>
      <c r="U265">
        <v>11</v>
      </c>
      <c r="V265">
        <v>22</v>
      </c>
      <c r="W265">
        <v>14</v>
      </c>
      <c r="X265">
        <v>204</v>
      </c>
      <c r="Y265">
        <v>20</v>
      </c>
      <c r="Z265" t="e">
        <f t="shared" si="6"/>
        <v>#N/A</v>
      </c>
    </row>
    <row r="266" spans="1:26" x14ac:dyDescent="0.25">
      <c r="A266" t="s">
        <v>2138</v>
      </c>
      <c r="B266">
        <v>53033029403</v>
      </c>
      <c r="C266" t="s">
        <v>2139</v>
      </c>
      <c r="D266">
        <v>5179</v>
      </c>
      <c r="E266">
        <v>4046</v>
      </c>
      <c r="F266">
        <v>1133</v>
      </c>
      <c r="G266">
        <v>5179</v>
      </c>
      <c r="H266">
        <v>4046</v>
      </c>
      <c r="I266">
        <v>1133</v>
      </c>
      <c r="J266">
        <v>2989</v>
      </c>
      <c r="K266">
        <v>239</v>
      </c>
      <c r="L266">
        <v>32</v>
      </c>
      <c r="M266">
        <v>30</v>
      </c>
      <c r="N266">
        <v>362</v>
      </c>
      <c r="O266">
        <v>38</v>
      </c>
      <c r="P266">
        <v>39</v>
      </c>
      <c r="Q266">
        <v>0</v>
      </c>
      <c r="R266">
        <v>357</v>
      </c>
      <c r="S266">
        <v>746</v>
      </c>
      <c r="T266">
        <v>0</v>
      </c>
      <c r="U266">
        <v>0</v>
      </c>
      <c r="V266">
        <v>28</v>
      </c>
      <c r="W266">
        <v>47</v>
      </c>
      <c r="X266">
        <v>239</v>
      </c>
      <c r="Y266">
        <v>33</v>
      </c>
      <c r="Z266" t="e">
        <f t="shared" si="6"/>
        <v>#N/A</v>
      </c>
    </row>
    <row r="267" spans="1:26" x14ac:dyDescent="0.25">
      <c r="A267" t="s">
        <v>2140</v>
      </c>
      <c r="B267">
        <v>53033029405</v>
      </c>
      <c r="C267" t="s">
        <v>2141</v>
      </c>
      <c r="D267">
        <v>5688</v>
      </c>
      <c r="E267">
        <v>4875</v>
      </c>
      <c r="F267">
        <v>813</v>
      </c>
      <c r="G267">
        <v>5688</v>
      </c>
      <c r="H267">
        <v>4875</v>
      </c>
      <c r="I267">
        <v>813</v>
      </c>
      <c r="J267">
        <v>3973</v>
      </c>
      <c r="K267">
        <v>109</v>
      </c>
      <c r="L267">
        <v>108</v>
      </c>
      <c r="M267">
        <v>16</v>
      </c>
      <c r="N267">
        <v>238</v>
      </c>
      <c r="O267">
        <v>27</v>
      </c>
      <c r="P267">
        <v>0</v>
      </c>
      <c r="Q267">
        <v>0</v>
      </c>
      <c r="R267">
        <v>151</v>
      </c>
      <c r="S267">
        <v>520</v>
      </c>
      <c r="T267">
        <v>0</v>
      </c>
      <c r="U267">
        <v>0</v>
      </c>
      <c r="V267">
        <v>32</v>
      </c>
      <c r="W267">
        <v>10</v>
      </c>
      <c r="X267">
        <v>373</v>
      </c>
      <c r="Y267">
        <v>131</v>
      </c>
      <c r="Z267" t="e">
        <f t="shared" si="6"/>
        <v>#N/A</v>
      </c>
    </row>
    <row r="268" spans="1:26" x14ac:dyDescent="0.25">
      <c r="A268" t="s">
        <v>2142</v>
      </c>
      <c r="B268">
        <v>53033029406</v>
      </c>
      <c r="C268" t="s">
        <v>2143</v>
      </c>
      <c r="D268">
        <v>3855</v>
      </c>
      <c r="E268">
        <v>3405</v>
      </c>
      <c r="F268">
        <v>450</v>
      </c>
      <c r="G268">
        <v>3855</v>
      </c>
      <c r="H268">
        <v>3405</v>
      </c>
      <c r="I268">
        <v>450</v>
      </c>
      <c r="J268">
        <v>2855</v>
      </c>
      <c r="K268">
        <v>100</v>
      </c>
      <c r="L268">
        <v>89</v>
      </c>
      <c r="M268">
        <v>33</v>
      </c>
      <c r="N268">
        <v>76</v>
      </c>
      <c r="O268">
        <v>65</v>
      </c>
      <c r="P268">
        <v>0</v>
      </c>
      <c r="Q268">
        <v>0</v>
      </c>
      <c r="R268">
        <v>154</v>
      </c>
      <c r="S268">
        <v>237</v>
      </c>
      <c r="T268">
        <v>72</v>
      </c>
      <c r="U268">
        <v>0</v>
      </c>
      <c r="V268">
        <v>0</v>
      </c>
      <c r="W268">
        <v>7</v>
      </c>
      <c r="X268">
        <v>159</v>
      </c>
      <c r="Y268">
        <v>8</v>
      </c>
      <c r="Z268" t="e">
        <f t="shared" si="6"/>
        <v>#N/A</v>
      </c>
    </row>
    <row r="269" spans="1:26" x14ac:dyDescent="0.25">
      <c r="A269" t="s">
        <v>2144</v>
      </c>
      <c r="B269">
        <v>53033029407</v>
      </c>
      <c r="C269" t="s">
        <v>2145</v>
      </c>
      <c r="D269">
        <v>4410</v>
      </c>
      <c r="E269">
        <v>3185</v>
      </c>
      <c r="F269">
        <v>1225</v>
      </c>
      <c r="G269">
        <v>4410</v>
      </c>
      <c r="H269">
        <v>3185</v>
      </c>
      <c r="I269">
        <v>1225</v>
      </c>
      <c r="J269">
        <v>2437</v>
      </c>
      <c r="K269">
        <v>494</v>
      </c>
      <c r="L269">
        <v>134</v>
      </c>
      <c r="M269">
        <v>36</v>
      </c>
      <c r="N269">
        <v>285</v>
      </c>
      <c r="O269">
        <v>43</v>
      </c>
      <c r="P269">
        <v>25</v>
      </c>
      <c r="Q269">
        <v>0</v>
      </c>
      <c r="R269">
        <v>104</v>
      </c>
      <c r="S269">
        <v>417</v>
      </c>
      <c r="T269">
        <v>22</v>
      </c>
      <c r="U269">
        <v>120</v>
      </c>
      <c r="V269">
        <v>50</v>
      </c>
      <c r="W269">
        <v>61</v>
      </c>
      <c r="X269">
        <v>128</v>
      </c>
      <c r="Y269">
        <v>54</v>
      </c>
      <c r="Z269" t="e">
        <f t="shared" si="6"/>
        <v>#N/A</v>
      </c>
    </row>
    <row r="270" spans="1:26" x14ac:dyDescent="0.25">
      <c r="A270" t="s">
        <v>2146</v>
      </c>
      <c r="B270">
        <v>53033029408</v>
      </c>
      <c r="C270" t="s">
        <v>2147</v>
      </c>
      <c r="D270">
        <v>4157</v>
      </c>
      <c r="E270">
        <v>3048</v>
      </c>
      <c r="F270">
        <v>1109</v>
      </c>
      <c r="G270">
        <v>4157</v>
      </c>
      <c r="H270">
        <v>3048</v>
      </c>
      <c r="I270">
        <v>1109</v>
      </c>
      <c r="J270">
        <v>2215</v>
      </c>
      <c r="K270">
        <v>321</v>
      </c>
      <c r="L270">
        <v>82</v>
      </c>
      <c r="M270">
        <v>35</v>
      </c>
      <c r="N270">
        <v>291</v>
      </c>
      <c r="O270">
        <v>57</v>
      </c>
      <c r="P270">
        <v>0</v>
      </c>
      <c r="Q270">
        <v>0</v>
      </c>
      <c r="R270">
        <v>167</v>
      </c>
      <c r="S270">
        <v>453</v>
      </c>
      <c r="T270">
        <v>42</v>
      </c>
      <c r="U270">
        <v>38</v>
      </c>
      <c r="V270">
        <v>108</v>
      </c>
      <c r="W270">
        <v>68</v>
      </c>
      <c r="X270">
        <v>143</v>
      </c>
      <c r="Y270">
        <v>137</v>
      </c>
      <c r="Z270" t="e">
        <f t="shared" si="6"/>
        <v>#N/A</v>
      </c>
    </row>
    <row r="271" spans="1:26" x14ac:dyDescent="0.25">
      <c r="A271" t="s">
        <v>2148</v>
      </c>
      <c r="B271">
        <v>53033029502</v>
      </c>
      <c r="C271" t="s">
        <v>2149</v>
      </c>
      <c r="D271">
        <v>5572</v>
      </c>
      <c r="E271">
        <v>4835</v>
      </c>
      <c r="F271">
        <v>737</v>
      </c>
      <c r="G271">
        <v>5572</v>
      </c>
      <c r="H271">
        <v>4835</v>
      </c>
      <c r="I271">
        <v>737</v>
      </c>
      <c r="J271">
        <v>3825</v>
      </c>
      <c r="K271">
        <v>258</v>
      </c>
      <c r="L271">
        <v>77</v>
      </c>
      <c r="M271">
        <v>30</v>
      </c>
      <c r="N271">
        <v>269</v>
      </c>
      <c r="O271">
        <v>0</v>
      </c>
      <c r="P271">
        <v>6</v>
      </c>
      <c r="Q271">
        <v>0</v>
      </c>
      <c r="R271">
        <v>300</v>
      </c>
      <c r="S271">
        <v>393</v>
      </c>
      <c r="T271">
        <v>40</v>
      </c>
      <c r="U271">
        <v>4</v>
      </c>
      <c r="V271">
        <v>44</v>
      </c>
      <c r="W271">
        <v>0</v>
      </c>
      <c r="X271">
        <v>274</v>
      </c>
      <c r="Y271">
        <v>52</v>
      </c>
      <c r="Z271" t="e">
        <f t="shared" si="6"/>
        <v>#N/A</v>
      </c>
    </row>
    <row r="272" spans="1:26" x14ac:dyDescent="0.25">
      <c r="A272" t="s">
        <v>2150</v>
      </c>
      <c r="B272">
        <v>53033029503</v>
      </c>
      <c r="C272" t="s">
        <v>2151</v>
      </c>
      <c r="D272">
        <v>7146</v>
      </c>
      <c r="E272">
        <v>5193</v>
      </c>
      <c r="F272">
        <v>1953</v>
      </c>
      <c r="G272">
        <v>7146</v>
      </c>
      <c r="H272">
        <v>5193</v>
      </c>
      <c r="I272">
        <v>1953</v>
      </c>
      <c r="J272">
        <v>3317</v>
      </c>
      <c r="K272">
        <v>736</v>
      </c>
      <c r="L272">
        <v>102</v>
      </c>
      <c r="M272">
        <v>277</v>
      </c>
      <c r="N272">
        <v>888</v>
      </c>
      <c r="O272">
        <v>28</v>
      </c>
      <c r="P272">
        <v>132</v>
      </c>
      <c r="Q272">
        <v>30</v>
      </c>
      <c r="R272">
        <v>179</v>
      </c>
      <c r="S272">
        <v>520</v>
      </c>
      <c r="T272">
        <v>0</v>
      </c>
      <c r="U272">
        <v>0</v>
      </c>
      <c r="V272">
        <v>247</v>
      </c>
      <c r="W272">
        <v>311</v>
      </c>
      <c r="X272">
        <v>328</v>
      </c>
      <c r="Y272">
        <v>51</v>
      </c>
      <c r="Z272" t="e">
        <f t="shared" si="6"/>
        <v>#N/A</v>
      </c>
    </row>
    <row r="273" spans="1:26" x14ac:dyDescent="0.25">
      <c r="A273" t="s">
        <v>2152</v>
      </c>
      <c r="B273">
        <v>53033029504</v>
      </c>
      <c r="C273" t="s">
        <v>2153</v>
      </c>
      <c r="D273">
        <v>4484</v>
      </c>
      <c r="E273">
        <v>3929</v>
      </c>
      <c r="F273">
        <v>555</v>
      </c>
      <c r="G273">
        <v>4484</v>
      </c>
      <c r="H273">
        <v>3929</v>
      </c>
      <c r="I273">
        <v>555</v>
      </c>
      <c r="J273">
        <v>2746</v>
      </c>
      <c r="K273">
        <v>162</v>
      </c>
      <c r="L273">
        <v>59</v>
      </c>
      <c r="M273">
        <v>54</v>
      </c>
      <c r="N273">
        <v>359</v>
      </c>
      <c r="O273">
        <v>41</v>
      </c>
      <c r="P273">
        <v>146</v>
      </c>
      <c r="Q273">
        <v>7</v>
      </c>
      <c r="R273">
        <v>201</v>
      </c>
      <c r="S273">
        <v>223</v>
      </c>
      <c r="T273">
        <v>0</v>
      </c>
      <c r="U273">
        <v>7</v>
      </c>
      <c r="V273">
        <v>61</v>
      </c>
      <c r="W273">
        <v>32</v>
      </c>
      <c r="X273">
        <v>357</v>
      </c>
      <c r="Y273">
        <v>29</v>
      </c>
      <c r="Z273" t="e">
        <f t="shared" si="6"/>
        <v>#N/A</v>
      </c>
    </row>
    <row r="274" spans="1:26" x14ac:dyDescent="0.25">
      <c r="A274" t="s">
        <v>2154</v>
      </c>
      <c r="B274">
        <v>53033029601</v>
      </c>
      <c r="C274" t="s">
        <v>2155</v>
      </c>
      <c r="D274">
        <v>6933</v>
      </c>
      <c r="E274">
        <v>4730</v>
      </c>
      <c r="F274">
        <v>2203</v>
      </c>
      <c r="G274">
        <v>6933</v>
      </c>
      <c r="H274">
        <v>4730</v>
      </c>
      <c r="I274">
        <v>2203</v>
      </c>
      <c r="J274">
        <v>3406</v>
      </c>
      <c r="K274">
        <v>881</v>
      </c>
      <c r="L274">
        <v>102</v>
      </c>
      <c r="M274">
        <v>43</v>
      </c>
      <c r="N274">
        <v>376</v>
      </c>
      <c r="O274">
        <v>255</v>
      </c>
      <c r="P274">
        <v>76</v>
      </c>
      <c r="Q274">
        <v>0</v>
      </c>
      <c r="R274">
        <v>284</v>
      </c>
      <c r="S274">
        <v>793</v>
      </c>
      <c r="T274">
        <v>0</v>
      </c>
      <c r="U274">
        <v>0</v>
      </c>
      <c r="V274">
        <v>152</v>
      </c>
      <c r="W274">
        <v>0</v>
      </c>
      <c r="X274">
        <v>334</v>
      </c>
      <c r="Y274">
        <v>231</v>
      </c>
      <c r="Z274" t="e">
        <f t="shared" si="6"/>
        <v>#N/A</v>
      </c>
    </row>
    <row r="275" spans="1:26" x14ac:dyDescent="0.25">
      <c r="A275" t="s">
        <v>2156</v>
      </c>
      <c r="B275">
        <v>53033029602</v>
      </c>
      <c r="C275" t="s">
        <v>2157</v>
      </c>
      <c r="D275">
        <v>3003</v>
      </c>
      <c r="E275">
        <v>2624</v>
      </c>
      <c r="F275">
        <v>379</v>
      </c>
      <c r="G275">
        <v>3003</v>
      </c>
      <c r="H275">
        <v>2624</v>
      </c>
      <c r="I275">
        <v>379</v>
      </c>
      <c r="J275">
        <v>2425</v>
      </c>
      <c r="K275">
        <v>233</v>
      </c>
      <c r="L275">
        <v>7</v>
      </c>
      <c r="M275">
        <v>6</v>
      </c>
      <c r="N275">
        <v>52</v>
      </c>
      <c r="O275">
        <v>0</v>
      </c>
      <c r="P275">
        <v>0</v>
      </c>
      <c r="Q275">
        <v>0</v>
      </c>
      <c r="R275">
        <v>91</v>
      </c>
      <c r="S275">
        <v>105</v>
      </c>
      <c r="T275">
        <v>0</v>
      </c>
      <c r="U275">
        <v>0</v>
      </c>
      <c r="V275">
        <v>0</v>
      </c>
      <c r="W275">
        <v>0</v>
      </c>
      <c r="X275">
        <v>49</v>
      </c>
      <c r="Y275">
        <v>35</v>
      </c>
      <c r="Z275" t="e">
        <f t="shared" si="6"/>
        <v>#N/A</v>
      </c>
    </row>
    <row r="276" spans="1:26" x14ac:dyDescent="0.25">
      <c r="A276" t="s">
        <v>2158</v>
      </c>
      <c r="B276">
        <v>53033029700</v>
      </c>
      <c r="C276" t="s">
        <v>2159</v>
      </c>
      <c r="D276">
        <v>6173</v>
      </c>
      <c r="E276">
        <v>5602</v>
      </c>
      <c r="F276">
        <v>571</v>
      </c>
      <c r="G276">
        <v>6173</v>
      </c>
      <c r="H276">
        <v>5602</v>
      </c>
      <c r="I276">
        <v>571</v>
      </c>
      <c r="J276">
        <v>4702</v>
      </c>
      <c r="K276">
        <v>183</v>
      </c>
      <c r="L276">
        <v>47</v>
      </c>
      <c r="M276">
        <v>8</v>
      </c>
      <c r="N276">
        <v>399</v>
      </c>
      <c r="O276">
        <v>27</v>
      </c>
      <c r="P276">
        <v>163</v>
      </c>
      <c r="Q276">
        <v>0</v>
      </c>
      <c r="R276">
        <v>59</v>
      </c>
      <c r="S276">
        <v>203</v>
      </c>
      <c r="T276">
        <v>0</v>
      </c>
      <c r="U276">
        <v>9</v>
      </c>
      <c r="V276">
        <v>76</v>
      </c>
      <c r="W276">
        <v>108</v>
      </c>
      <c r="X276">
        <v>156</v>
      </c>
      <c r="Y276">
        <v>33</v>
      </c>
      <c r="Z276" t="e">
        <f t="shared" si="6"/>
        <v>#N/A</v>
      </c>
    </row>
    <row r="277" spans="1:26" x14ac:dyDescent="0.25">
      <c r="A277" t="s">
        <v>2160</v>
      </c>
      <c r="B277">
        <v>53033029801</v>
      </c>
      <c r="C277" t="s">
        <v>2161</v>
      </c>
      <c r="D277">
        <v>7556</v>
      </c>
      <c r="E277">
        <v>6570</v>
      </c>
      <c r="F277">
        <v>986</v>
      </c>
      <c r="G277">
        <v>7556</v>
      </c>
      <c r="H277">
        <v>6570</v>
      </c>
      <c r="I277">
        <v>986</v>
      </c>
      <c r="J277">
        <v>5274</v>
      </c>
      <c r="K277">
        <v>316</v>
      </c>
      <c r="L277">
        <v>149</v>
      </c>
      <c r="M277">
        <v>93</v>
      </c>
      <c r="N277">
        <v>372</v>
      </c>
      <c r="O277">
        <v>73</v>
      </c>
      <c r="P277">
        <v>48</v>
      </c>
      <c r="Q277">
        <v>6</v>
      </c>
      <c r="R277">
        <v>198</v>
      </c>
      <c r="S277">
        <v>356</v>
      </c>
      <c r="T277">
        <v>9</v>
      </c>
      <c r="U277">
        <v>21</v>
      </c>
      <c r="V277">
        <v>120</v>
      </c>
      <c r="W277">
        <v>80</v>
      </c>
      <c r="X277">
        <v>400</v>
      </c>
      <c r="Y277">
        <v>41</v>
      </c>
      <c r="Z277" t="e">
        <f t="shared" si="6"/>
        <v>#N/A</v>
      </c>
    </row>
    <row r="278" spans="1:26" x14ac:dyDescent="0.25">
      <c r="A278" t="s">
        <v>2162</v>
      </c>
      <c r="B278">
        <v>53033029802</v>
      </c>
      <c r="C278" t="s">
        <v>2163</v>
      </c>
      <c r="D278">
        <v>7049</v>
      </c>
      <c r="E278">
        <v>6219</v>
      </c>
      <c r="F278">
        <v>830</v>
      </c>
      <c r="G278">
        <v>7049</v>
      </c>
      <c r="H278">
        <v>6219</v>
      </c>
      <c r="I278">
        <v>830</v>
      </c>
      <c r="J278">
        <v>5293</v>
      </c>
      <c r="K278">
        <v>307</v>
      </c>
      <c r="L278">
        <v>129</v>
      </c>
      <c r="M278">
        <v>11</v>
      </c>
      <c r="N278">
        <v>251</v>
      </c>
      <c r="O278">
        <v>47</v>
      </c>
      <c r="P278">
        <v>26</v>
      </c>
      <c r="Q278">
        <v>0</v>
      </c>
      <c r="R278">
        <v>174</v>
      </c>
      <c r="S278">
        <v>300</v>
      </c>
      <c r="T278">
        <v>72</v>
      </c>
      <c r="U278">
        <v>37</v>
      </c>
      <c r="V278">
        <v>86</v>
      </c>
      <c r="W278">
        <v>73</v>
      </c>
      <c r="X278">
        <v>188</v>
      </c>
      <c r="Y278">
        <v>55</v>
      </c>
      <c r="Z278" t="e">
        <f t="shared" si="6"/>
        <v>#N/A</v>
      </c>
    </row>
    <row r="279" spans="1:26" x14ac:dyDescent="0.25">
      <c r="A279" t="s">
        <v>2164</v>
      </c>
      <c r="B279">
        <v>53033029901</v>
      </c>
      <c r="C279" t="s">
        <v>2165</v>
      </c>
      <c r="D279">
        <v>4676</v>
      </c>
      <c r="E279">
        <v>3783</v>
      </c>
      <c r="F279">
        <v>893</v>
      </c>
      <c r="G279">
        <v>4676</v>
      </c>
      <c r="H279">
        <v>3783</v>
      </c>
      <c r="I279">
        <v>893</v>
      </c>
      <c r="J279">
        <v>3137</v>
      </c>
      <c r="K279">
        <v>544</v>
      </c>
      <c r="L279">
        <v>102</v>
      </c>
      <c r="M279">
        <v>33</v>
      </c>
      <c r="N279">
        <v>201</v>
      </c>
      <c r="O279">
        <v>0</v>
      </c>
      <c r="P279">
        <v>27</v>
      </c>
      <c r="Q279">
        <v>0</v>
      </c>
      <c r="R279">
        <v>66</v>
      </c>
      <c r="S279">
        <v>298</v>
      </c>
      <c r="T279">
        <v>0</v>
      </c>
      <c r="U279">
        <v>0</v>
      </c>
      <c r="V279">
        <v>56</v>
      </c>
      <c r="W279">
        <v>7</v>
      </c>
      <c r="X279">
        <v>194</v>
      </c>
      <c r="Y279">
        <v>11</v>
      </c>
      <c r="Z279" t="e">
        <f t="shared" si="6"/>
        <v>#N/A</v>
      </c>
    </row>
    <row r="280" spans="1:26" x14ac:dyDescent="0.25">
      <c r="A280" t="s">
        <v>2166</v>
      </c>
      <c r="B280">
        <v>53033029902</v>
      </c>
      <c r="C280" t="s">
        <v>2167</v>
      </c>
      <c r="D280">
        <v>3826</v>
      </c>
      <c r="E280">
        <v>3461</v>
      </c>
      <c r="F280">
        <v>365</v>
      </c>
      <c r="G280">
        <v>3826</v>
      </c>
      <c r="H280">
        <v>3461</v>
      </c>
      <c r="I280">
        <v>365</v>
      </c>
      <c r="J280">
        <v>2981</v>
      </c>
      <c r="K280">
        <v>188</v>
      </c>
      <c r="L280">
        <v>14</v>
      </c>
      <c r="M280">
        <v>0</v>
      </c>
      <c r="N280">
        <v>122</v>
      </c>
      <c r="O280">
        <v>0</v>
      </c>
      <c r="P280">
        <v>83</v>
      </c>
      <c r="Q280">
        <v>0</v>
      </c>
      <c r="R280">
        <v>64</v>
      </c>
      <c r="S280">
        <v>109</v>
      </c>
      <c r="T280">
        <v>0</v>
      </c>
      <c r="U280">
        <v>0</v>
      </c>
      <c r="V280">
        <v>31</v>
      </c>
      <c r="W280">
        <v>18</v>
      </c>
      <c r="X280">
        <v>166</v>
      </c>
      <c r="Y280">
        <v>50</v>
      </c>
      <c r="Z280" t="e">
        <f t="shared" si="6"/>
        <v>#N/A</v>
      </c>
    </row>
    <row r="281" spans="1:26" x14ac:dyDescent="0.25">
      <c r="A281" t="s">
        <v>2168</v>
      </c>
      <c r="B281">
        <v>53033030002</v>
      </c>
      <c r="C281" t="s">
        <v>2169</v>
      </c>
      <c r="D281">
        <v>8504</v>
      </c>
      <c r="E281">
        <v>6758</v>
      </c>
      <c r="F281">
        <v>1746</v>
      </c>
      <c r="G281">
        <v>8504</v>
      </c>
      <c r="H281">
        <v>6758</v>
      </c>
      <c r="I281">
        <v>1746</v>
      </c>
      <c r="J281">
        <v>4896</v>
      </c>
      <c r="K281">
        <v>661</v>
      </c>
      <c r="L281">
        <v>189</v>
      </c>
      <c r="M281">
        <v>136</v>
      </c>
      <c r="N281">
        <v>513</v>
      </c>
      <c r="O281">
        <v>52</v>
      </c>
      <c r="P281">
        <v>127</v>
      </c>
      <c r="Q281">
        <v>7</v>
      </c>
      <c r="R281">
        <v>195</v>
      </c>
      <c r="S281">
        <v>623</v>
      </c>
      <c r="T281">
        <v>72</v>
      </c>
      <c r="U281">
        <v>28</v>
      </c>
      <c r="V281">
        <v>274</v>
      </c>
      <c r="W281">
        <v>209</v>
      </c>
      <c r="X281">
        <v>492</v>
      </c>
      <c r="Y281">
        <v>30</v>
      </c>
      <c r="Z281" t="e">
        <f t="shared" si="6"/>
        <v>#N/A</v>
      </c>
    </row>
    <row r="282" spans="1:26" x14ac:dyDescent="0.25">
      <c r="A282" t="s">
        <v>2170</v>
      </c>
      <c r="B282">
        <v>53033030003</v>
      </c>
      <c r="C282" t="s">
        <v>2171</v>
      </c>
      <c r="D282">
        <v>5363</v>
      </c>
      <c r="E282">
        <v>4557</v>
      </c>
      <c r="F282">
        <v>806</v>
      </c>
      <c r="G282">
        <v>5363</v>
      </c>
      <c r="H282">
        <v>4557</v>
      </c>
      <c r="I282">
        <v>806</v>
      </c>
      <c r="J282">
        <v>3633</v>
      </c>
      <c r="K282">
        <v>259</v>
      </c>
      <c r="L282">
        <v>115</v>
      </c>
      <c r="M282">
        <v>115</v>
      </c>
      <c r="N282">
        <v>365</v>
      </c>
      <c r="O282">
        <v>33</v>
      </c>
      <c r="P282">
        <v>44</v>
      </c>
      <c r="Q282">
        <v>5</v>
      </c>
      <c r="R282">
        <v>144</v>
      </c>
      <c r="S282">
        <v>264</v>
      </c>
      <c r="T282">
        <v>24</v>
      </c>
      <c r="U282">
        <v>0</v>
      </c>
      <c r="V282">
        <v>33</v>
      </c>
      <c r="W282">
        <v>30</v>
      </c>
      <c r="X282">
        <v>199</v>
      </c>
      <c r="Y282">
        <v>100</v>
      </c>
      <c r="Z282" t="e">
        <f t="shared" si="6"/>
        <v>#N/A</v>
      </c>
    </row>
    <row r="283" spans="1:26" x14ac:dyDescent="0.25">
      <c r="A283" t="s">
        <v>2172</v>
      </c>
      <c r="B283">
        <v>53033030004</v>
      </c>
      <c r="C283" t="s">
        <v>2173</v>
      </c>
      <c r="D283">
        <v>7680</v>
      </c>
      <c r="E283">
        <v>5476</v>
      </c>
      <c r="F283">
        <v>2204</v>
      </c>
      <c r="G283">
        <v>7680</v>
      </c>
      <c r="H283">
        <v>5476</v>
      </c>
      <c r="I283">
        <v>2204</v>
      </c>
      <c r="J283">
        <v>3275</v>
      </c>
      <c r="K283">
        <v>399</v>
      </c>
      <c r="L283">
        <v>152</v>
      </c>
      <c r="M283">
        <v>153</v>
      </c>
      <c r="N283">
        <v>842</v>
      </c>
      <c r="O283">
        <v>148</v>
      </c>
      <c r="P283">
        <v>56</v>
      </c>
      <c r="Q283">
        <v>0</v>
      </c>
      <c r="R283">
        <v>183</v>
      </c>
      <c r="S283">
        <v>718</v>
      </c>
      <c r="T283">
        <v>76</v>
      </c>
      <c r="U283">
        <v>70</v>
      </c>
      <c r="V283">
        <v>368</v>
      </c>
      <c r="W283">
        <v>548</v>
      </c>
      <c r="X283">
        <v>524</v>
      </c>
      <c r="Y283">
        <v>168</v>
      </c>
      <c r="Z283" t="e">
        <f t="shared" si="6"/>
        <v>#N/A</v>
      </c>
    </row>
    <row r="284" spans="1:26" x14ac:dyDescent="0.25">
      <c r="A284" t="s">
        <v>2174</v>
      </c>
      <c r="B284">
        <v>53033030100</v>
      </c>
      <c r="C284" t="s">
        <v>2175</v>
      </c>
      <c r="D284">
        <v>7485</v>
      </c>
      <c r="E284">
        <v>6636</v>
      </c>
      <c r="F284">
        <v>849</v>
      </c>
      <c r="G284">
        <v>7485</v>
      </c>
      <c r="H284">
        <v>6636</v>
      </c>
      <c r="I284">
        <v>849</v>
      </c>
      <c r="J284">
        <v>5582</v>
      </c>
      <c r="K284">
        <v>282</v>
      </c>
      <c r="L284">
        <v>124</v>
      </c>
      <c r="M284">
        <v>55</v>
      </c>
      <c r="N284">
        <v>299</v>
      </c>
      <c r="O284">
        <v>0</v>
      </c>
      <c r="P284">
        <v>61</v>
      </c>
      <c r="Q284">
        <v>0</v>
      </c>
      <c r="R284">
        <v>176</v>
      </c>
      <c r="S284">
        <v>285</v>
      </c>
      <c r="T284">
        <v>15</v>
      </c>
      <c r="U284">
        <v>4</v>
      </c>
      <c r="V284">
        <v>72</v>
      </c>
      <c r="W284">
        <v>158</v>
      </c>
      <c r="X284">
        <v>307</v>
      </c>
      <c r="Y284">
        <v>65</v>
      </c>
      <c r="Z284" t="e">
        <f t="shared" si="6"/>
        <v>#N/A</v>
      </c>
    </row>
    <row r="285" spans="1:26" x14ac:dyDescent="0.25">
      <c r="A285" t="s">
        <v>2176</v>
      </c>
      <c r="B285">
        <v>53033030201</v>
      </c>
      <c r="C285" t="s">
        <v>2177</v>
      </c>
      <c r="D285">
        <v>5133</v>
      </c>
      <c r="E285">
        <v>4299</v>
      </c>
      <c r="F285">
        <v>834</v>
      </c>
      <c r="G285">
        <v>5133</v>
      </c>
      <c r="H285">
        <v>4299</v>
      </c>
      <c r="I285">
        <v>834</v>
      </c>
      <c r="J285">
        <v>3268</v>
      </c>
      <c r="K285">
        <v>283</v>
      </c>
      <c r="L285">
        <v>163</v>
      </c>
      <c r="M285">
        <v>57</v>
      </c>
      <c r="N285">
        <v>283</v>
      </c>
      <c r="O285">
        <v>38</v>
      </c>
      <c r="P285">
        <v>93</v>
      </c>
      <c r="Q285">
        <v>0</v>
      </c>
      <c r="R285">
        <v>179</v>
      </c>
      <c r="S285">
        <v>327</v>
      </c>
      <c r="T285">
        <v>16</v>
      </c>
      <c r="U285">
        <v>9</v>
      </c>
      <c r="V285">
        <v>88</v>
      </c>
      <c r="W285">
        <v>72</v>
      </c>
      <c r="X285">
        <v>209</v>
      </c>
      <c r="Y285">
        <v>48</v>
      </c>
      <c r="Z285" t="e">
        <f t="shared" si="6"/>
        <v>#N/A</v>
      </c>
    </row>
    <row r="286" spans="1:26" x14ac:dyDescent="0.25">
      <c r="A286" t="s">
        <v>2178</v>
      </c>
      <c r="B286">
        <v>53033030202</v>
      </c>
      <c r="C286" t="s">
        <v>2179</v>
      </c>
      <c r="D286">
        <v>6514</v>
      </c>
      <c r="E286">
        <v>5426</v>
      </c>
      <c r="F286">
        <v>1088</v>
      </c>
      <c r="G286">
        <v>6514</v>
      </c>
      <c r="H286">
        <v>5426</v>
      </c>
      <c r="I286">
        <v>1088</v>
      </c>
      <c r="J286">
        <v>4256</v>
      </c>
      <c r="K286">
        <v>193</v>
      </c>
      <c r="L286">
        <v>23</v>
      </c>
      <c r="M286">
        <v>35</v>
      </c>
      <c r="N286">
        <v>508</v>
      </c>
      <c r="O286">
        <v>48</v>
      </c>
      <c r="P286">
        <v>68</v>
      </c>
      <c r="Q286">
        <v>0</v>
      </c>
      <c r="R286">
        <v>177</v>
      </c>
      <c r="S286">
        <v>564</v>
      </c>
      <c r="T286">
        <v>57</v>
      </c>
      <c r="U286">
        <v>42</v>
      </c>
      <c r="V286">
        <v>160</v>
      </c>
      <c r="W286">
        <v>47</v>
      </c>
      <c r="X286">
        <v>177</v>
      </c>
      <c r="Y286">
        <v>159</v>
      </c>
      <c r="Z286" t="e">
        <f t="shared" si="6"/>
        <v>#N/A</v>
      </c>
    </row>
    <row r="287" spans="1:26" x14ac:dyDescent="0.25">
      <c r="A287" t="s">
        <v>2180</v>
      </c>
      <c r="B287">
        <v>53033030303</v>
      </c>
      <c r="C287" t="s">
        <v>2181</v>
      </c>
      <c r="D287">
        <v>7054</v>
      </c>
      <c r="E287">
        <v>5724</v>
      </c>
      <c r="F287">
        <v>1330</v>
      </c>
      <c r="G287">
        <v>7054</v>
      </c>
      <c r="H287">
        <v>5724</v>
      </c>
      <c r="I287">
        <v>1330</v>
      </c>
      <c r="J287">
        <v>4130</v>
      </c>
      <c r="K287">
        <v>345</v>
      </c>
      <c r="L287">
        <v>154</v>
      </c>
      <c r="M287">
        <v>85</v>
      </c>
      <c r="N287">
        <v>693</v>
      </c>
      <c r="O287">
        <v>10</v>
      </c>
      <c r="P287">
        <v>29</v>
      </c>
      <c r="Q287">
        <v>9</v>
      </c>
      <c r="R287">
        <v>204</v>
      </c>
      <c r="S287">
        <v>682</v>
      </c>
      <c r="T287">
        <v>72</v>
      </c>
      <c r="U287">
        <v>47</v>
      </c>
      <c r="V287">
        <v>135</v>
      </c>
      <c r="W287">
        <v>99</v>
      </c>
      <c r="X287">
        <v>307</v>
      </c>
      <c r="Y287">
        <v>53</v>
      </c>
      <c r="Z287" t="e">
        <f t="shared" si="6"/>
        <v>#N/A</v>
      </c>
    </row>
    <row r="288" spans="1:26" x14ac:dyDescent="0.25">
      <c r="A288" t="s">
        <v>2182</v>
      </c>
      <c r="B288">
        <v>53033030304</v>
      </c>
      <c r="C288" t="s">
        <v>2183</v>
      </c>
      <c r="D288">
        <v>2497</v>
      </c>
      <c r="E288">
        <v>2265</v>
      </c>
      <c r="F288">
        <v>232</v>
      </c>
      <c r="G288">
        <v>2497</v>
      </c>
      <c r="H288">
        <v>2265</v>
      </c>
      <c r="I288">
        <v>232</v>
      </c>
      <c r="J288">
        <v>1937</v>
      </c>
      <c r="K288">
        <v>55</v>
      </c>
      <c r="L288">
        <v>96</v>
      </c>
      <c r="M288">
        <v>0</v>
      </c>
      <c r="N288">
        <v>105</v>
      </c>
      <c r="O288">
        <v>0</v>
      </c>
      <c r="P288">
        <v>19</v>
      </c>
      <c r="Q288">
        <v>0</v>
      </c>
      <c r="R288">
        <v>30</v>
      </c>
      <c r="S288">
        <v>99</v>
      </c>
      <c r="T288">
        <v>0</v>
      </c>
      <c r="U288">
        <v>4</v>
      </c>
      <c r="V288">
        <v>15</v>
      </c>
      <c r="W288">
        <v>0</v>
      </c>
      <c r="X288">
        <v>63</v>
      </c>
      <c r="Y288">
        <v>74</v>
      </c>
      <c r="Z288" t="e">
        <f t="shared" si="6"/>
        <v>#N/A</v>
      </c>
    </row>
    <row r="289" spans="1:26" x14ac:dyDescent="0.25">
      <c r="A289" t="s">
        <v>2184</v>
      </c>
      <c r="B289">
        <v>53033030305</v>
      </c>
      <c r="C289" t="s">
        <v>2185</v>
      </c>
      <c r="D289">
        <v>4735</v>
      </c>
      <c r="E289">
        <v>4241</v>
      </c>
      <c r="F289">
        <v>494</v>
      </c>
      <c r="G289">
        <v>4735</v>
      </c>
      <c r="H289">
        <v>4241</v>
      </c>
      <c r="I289">
        <v>494</v>
      </c>
      <c r="J289">
        <v>3475</v>
      </c>
      <c r="K289">
        <v>201</v>
      </c>
      <c r="L289">
        <v>82</v>
      </c>
      <c r="M289">
        <v>0</v>
      </c>
      <c r="N289">
        <v>286</v>
      </c>
      <c r="O289">
        <v>0</v>
      </c>
      <c r="P289">
        <v>6</v>
      </c>
      <c r="Q289">
        <v>0</v>
      </c>
      <c r="R289">
        <v>77</v>
      </c>
      <c r="S289">
        <v>202</v>
      </c>
      <c r="T289">
        <v>26</v>
      </c>
      <c r="U289">
        <v>28</v>
      </c>
      <c r="V289">
        <v>77</v>
      </c>
      <c r="W289">
        <v>24</v>
      </c>
      <c r="X289">
        <v>212</v>
      </c>
      <c r="Y289">
        <v>39</v>
      </c>
      <c r="Z289" t="e">
        <f t="shared" si="6"/>
        <v>#N/A</v>
      </c>
    </row>
    <row r="290" spans="1:26" x14ac:dyDescent="0.25">
      <c r="A290" t="s">
        <v>2186</v>
      </c>
      <c r="B290">
        <v>53033030306</v>
      </c>
      <c r="C290" t="s">
        <v>2187</v>
      </c>
      <c r="D290">
        <v>5804</v>
      </c>
      <c r="E290">
        <v>4877</v>
      </c>
      <c r="F290">
        <v>927</v>
      </c>
      <c r="G290">
        <v>5804</v>
      </c>
      <c r="H290">
        <v>4877</v>
      </c>
      <c r="I290">
        <v>927</v>
      </c>
      <c r="J290">
        <v>3863</v>
      </c>
      <c r="K290">
        <v>375</v>
      </c>
      <c r="L290">
        <v>99</v>
      </c>
      <c r="M290">
        <v>27</v>
      </c>
      <c r="N290">
        <v>329</v>
      </c>
      <c r="O290">
        <v>36</v>
      </c>
      <c r="P290">
        <v>14</v>
      </c>
      <c r="Q290">
        <v>0</v>
      </c>
      <c r="R290">
        <v>219</v>
      </c>
      <c r="S290">
        <v>412</v>
      </c>
      <c r="T290">
        <v>0</v>
      </c>
      <c r="U290">
        <v>0</v>
      </c>
      <c r="V290">
        <v>61</v>
      </c>
      <c r="W290">
        <v>52</v>
      </c>
      <c r="X290">
        <v>292</v>
      </c>
      <c r="Y290">
        <v>25</v>
      </c>
      <c r="Z290" t="e">
        <f t="shared" si="6"/>
        <v>#N/A</v>
      </c>
    </row>
    <row r="291" spans="1:26" x14ac:dyDescent="0.25">
      <c r="A291" t="s">
        <v>2188</v>
      </c>
      <c r="B291">
        <v>53033030308</v>
      </c>
      <c r="C291" t="s">
        <v>2189</v>
      </c>
      <c r="D291">
        <v>6703</v>
      </c>
      <c r="E291">
        <v>5138</v>
      </c>
      <c r="F291">
        <v>1565</v>
      </c>
      <c r="G291">
        <v>6703</v>
      </c>
      <c r="H291">
        <v>5138</v>
      </c>
      <c r="I291">
        <v>1565</v>
      </c>
      <c r="J291">
        <v>3516</v>
      </c>
      <c r="K291">
        <v>372</v>
      </c>
      <c r="L291">
        <v>76</v>
      </c>
      <c r="M291">
        <v>35</v>
      </c>
      <c r="N291">
        <v>444</v>
      </c>
      <c r="O291">
        <v>24</v>
      </c>
      <c r="P291">
        <v>56</v>
      </c>
      <c r="Q291">
        <v>0</v>
      </c>
      <c r="R291">
        <v>473</v>
      </c>
      <c r="S291">
        <v>940</v>
      </c>
      <c r="T291">
        <v>48</v>
      </c>
      <c r="U291">
        <v>59</v>
      </c>
      <c r="V291">
        <v>128</v>
      </c>
      <c r="W291">
        <v>79</v>
      </c>
      <c r="X291">
        <v>397</v>
      </c>
      <c r="Y291">
        <v>56</v>
      </c>
      <c r="Z291" t="e">
        <f t="shared" si="6"/>
        <v>#N/A</v>
      </c>
    </row>
    <row r="292" spans="1:26" x14ac:dyDescent="0.25">
      <c r="A292" t="s">
        <v>2190</v>
      </c>
      <c r="B292">
        <v>53033030309</v>
      </c>
      <c r="C292" t="s">
        <v>2191</v>
      </c>
      <c r="D292">
        <v>5692</v>
      </c>
      <c r="E292">
        <v>4351</v>
      </c>
      <c r="F292">
        <v>1341</v>
      </c>
      <c r="G292">
        <v>5692</v>
      </c>
      <c r="H292">
        <v>4351</v>
      </c>
      <c r="I292">
        <v>1341</v>
      </c>
      <c r="J292">
        <v>3033</v>
      </c>
      <c r="K292">
        <v>378</v>
      </c>
      <c r="L292">
        <v>86</v>
      </c>
      <c r="M292">
        <v>35</v>
      </c>
      <c r="N292">
        <v>428</v>
      </c>
      <c r="O292">
        <v>92</v>
      </c>
      <c r="P292">
        <v>19</v>
      </c>
      <c r="Q292">
        <v>0</v>
      </c>
      <c r="R292">
        <v>300</v>
      </c>
      <c r="S292">
        <v>735</v>
      </c>
      <c r="T292">
        <v>25</v>
      </c>
      <c r="U292">
        <v>0</v>
      </c>
      <c r="V292">
        <v>96</v>
      </c>
      <c r="W292">
        <v>56</v>
      </c>
      <c r="X292">
        <v>364</v>
      </c>
      <c r="Y292">
        <v>45</v>
      </c>
      <c r="Z292" t="e">
        <f t="shared" si="6"/>
        <v>#N/A</v>
      </c>
    </row>
    <row r="293" spans="1:26" x14ac:dyDescent="0.25">
      <c r="A293" t="s">
        <v>2192</v>
      </c>
      <c r="B293">
        <v>53033030310</v>
      </c>
      <c r="C293" t="s">
        <v>2193</v>
      </c>
      <c r="D293">
        <v>5051</v>
      </c>
      <c r="E293">
        <v>3756</v>
      </c>
      <c r="F293">
        <v>1295</v>
      </c>
      <c r="G293">
        <v>5051</v>
      </c>
      <c r="H293">
        <v>3756</v>
      </c>
      <c r="I293">
        <v>1295</v>
      </c>
      <c r="J293">
        <v>2761</v>
      </c>
      <c r="K293">
        <v>287</v>
      </c>
      <c r="L293">
        <v>90</v>
      </c>
      <c r="M293">
        <v>12</v>
      </c>
      <c r="N293">
        <v>199</v>
      </c>
      <c r="O293">
        <v>14</v>
      </c>
      <c r="P293">
        <v>7</v>
      </c>
      <c r="Q293">
        <v>0</v>
      </c>
      <c r="R293">
        <v>431</v>
      </c>
      <c r="S293">
        <v>916</v>
      </c>
      <c r="T293">
        <v>0</v>
      </c>
      <c r="U293">
        <v>0</v>
      </c>
      <c r="V293">
        <v>30</v>
      </c>
      <c r="W293">
        <v>40</v>
      </c>
      <c r="X293">
        <v>238</v>
      </c>
      <c r="Y293">
        <v>26</v>
      </c>
      <c r="Z293" t="e">
        <f t="shared" si="6"/>
        <v>#N/A</v>
      </c>
    </row>
    <row r="294" spans="1:26" x14ac:dyDescent="0.25">
      <c r="A294" t="s">
        <v>2194</v>
      </c>
      <c r="B294">
        <v>53033030311</v>
      </c>
      <c r="C294" t="s">
        <v>2195</v>
      </c>
      <c r="D294">
        <v>5107</v>
      </c>
      <c r="E294">
        <v>4339</v>
      </c>
      <c r="F294">
        <v>768</v>
      </c>
      <c r="G294">
        <v>5107</v>
      </c>
      <c r="H294">
        <v>4339</v>
      </c>
      <c r="I294">
        <v>768</v>
      </c>
      <c r="J294">
        <v>3319</v>
      </c>
      <c r="K294">
        <v>238</v>
      </c>
      <c r="L294">
        <v>109</v>
      </c>
      <c r="M294">
        <v>85</v>
      </c>
      <c r="N294">
        <v>363</v>
      </c>
      <c r="O294">
        <v>21</v>
      </c>
      <c r="P294">
        <v>53</v>
      </c>
      <c r="Q294">
        <v>12</v>
      </c>
      <c r="R294">
        <v>124</v>
      </c>
      <c r="S294">
        <v>218</v>
      </c>
      <c r="T294">
        <v>73</v>
      </c>
      <c r="U294">
        <v>0</v>
      </c>
      <c r="V294">
        <v>103</v>
      </c>
      <c r="W294">
        <v>7</v>
      </c>
      <c r="X294">
        <v>195</v>
      </c>
      <c r="Y294">
        <v>187</v>
      </c>
      <c r="Z294" t="e">
        <f t="shared" si="6"/>
        <v>#N/A</v>
      </c>
    </row>
    <row r="295" spans="1:26" x14ac:dyDescent="0.25">
      <c r="A295" t="s">
        <v>2196</v>
      </c>
      <c r="B295">
        <v>53033030312</v>
      </c>
      <c r="C295" t="s">
        <v>2197</v>
      </c>
      <c r="D295">
        <v>5040</v>
      </c>
      <c r="E295">
        <v>4104</v>
      </c>
      <c r="F295">
        <v>936</v>
      </c>
      <c r="G295">
        <v>5040</v>
      </c>
      <c r="H295">
        <v>4104</v>
      </c>
      <c r="I295">
        <v>936</v>
      </c>
      <c r="J295">
        <v>3067</v>
      </c>
      <c r="K295">
        <v>309</v>
      </c>
      <c r="L295">
        <v>44</v>
      </c>
      <c r="M295">
        <v>0</v>
      </c>
      <c r="N295">
        <v>355</v>
      </c>
      <c r="O295">
        <v>44</v>
      </c>
      <c r="P295">
        <v>52</v>
      </c>
      <c r="Q295">
        <v>13</v>
      </c>
      <c r="R295">
        <v>206</v>
      </c>
      <c r="S295">
        <v>336</v>
      </c>
      <c r="T295">
        <v>10</v>
      </c>
      <c r="U295">
        <v>114</v>
      </c>
      <c r="V295">
        <v>83</v>
      </c>
      <c r="W295">
        <v>0</v>
      </c>
      <c r="X295">
        <v>287</v>
      </c>
      <c r="Y295">
        <v>120</v>
      </c>
      <c r="Z295" t="e">
        <f t="shared" si="6"/>
        <v>#N/A</v>
      </c>
    </row>
    <row r="296" spans="1:26" x14ac:dyDescent="0.25">
      <c r="A296" t="s">
        <v>2198</v>
      </c>
      <c r="B296">
        <v>53033030401</v>
      </c>
      <c r="C296" t="s">
        <v>2199</v>
      </c>
      <c r="D296">
        <v>5613</v>
      </c>
      <c r="E296">
        <v>5207</v>
      </c>
      <c r="F296">
        <v>406</v>
      </c>
      <c r="G296">
        <v>5613</v>
      </c>
      <c r="H296">
        <v>5207</v>
      </c>
      <c r="I296">
        <v>406</v>
      </c>
      <c r="J296">
        <v>4482</v>
      </c>
      <c r="K296">
        <v>218</v>
      </c>
      <c r="L296">
        <v>83</v>
      </c>
      <c r="M296">
        <v>0</v>
      </c>
      <c r="N296">
        <v>191</v>
      </c>
      <c r="O296">
        <v>22</v>
      </c>
      <c r="P296">
        <v>40</v>
      </c>
      <c r="Q296">
        <v>43</v>
      </c>
      <c r="R296">
        <v>84</v>
      </c>
      <c r="S296">
        <v>38</v>
      </c>
      <c r="T296">
        <v>29</v>
      </c>
      <c r="U296">
        <v>21</v>
      </c>
      <c r="V296">
        <v>85</v>
      </c>
      <c r="W296">
        <v>18</v>
      </c>
      <c r="X296">
        <v>213</v>
      </c>
      <c r="Y296">
        <v>46</v>
      </c>
      <c r="Z296" t="e">
        <f t="shared" si="6"/>
        <v>#N/A</v>
      </c>
    </row>
    <row r="297" spans="1:26" x14ac:dyDescent="0.25">
      <c r="A297" t="s">
        <v>2200</v>
      </c>
      <c r="B297">
        <v>53033030403</v>
      </c>
      <c r="C297" t="s">
        <v>2201</v>
      </c>
      <c r="D297">
        <v>4279</v>
      </c>
      <c r="E297">
        <v>3747</v>
      </c>
      <c r="F297">
        <v>532</v>
      </c>
      <c r="G297">
        <v>4279</v>
      </c>
      <c r="H297">
        <v>3747</v>
      </c>
      <c r="I297">
        <v>532</v>
      </c>
      <c r="J297">
        <v>3085</v>
      </c>
      <c r="K297">
        <v>188</v>
      </c>
      <c r="L297">
        <v>104</v>
      </c>
      <c r="M297">
        <v>0</v>
      </c>
      <c r="N297">
        <v>186</v>
      </c>
      <c r="O297">
        <v>0</v>
      </c>
      <c r="P297">
        <v>35</v>
      </c>
      <c r="Q297">
        <v>0</v>
      </c>
      <c r="R297">
        <v>191</v>
      </c>
      <c r="S297">
        <v>313</v>
      </c>
      <c r="T297">
        <v>0</v>
      </c>
      <c r="U297">
        <v>0</v>
      </c>
      <c r="V297">
        <v>44</v>
      </c>
      <c r="W297">
        <v>0</v>
      </c>
      <c r="X297">
        <v>102</v>
      </c>
      <c r="Y297">
        <v>31</v>
      </c>
      <c r="Z297" t="e">
        <f t="shared" si="6"/>
        <v>#N/A</v>
      </c>
    </row>
    <row r="298" spans="1:26" x14ac:dyDescent="0.25">
      <c r="A298" t="s">
        <v>2202</v>
      </c>
      <c r="B298">
        <v>53033030404</v>
      </c>
      <c r="C298" t="s">
        <v>2203</v>
      </c>
      <c r="D298">
        <v>3145</v>
      </c>
      <c r="E298">
        <v>2937</v>
      </c>
      <c r="F298">
        <v>208</v>
      </c>
      <c r="G298">
        <v>3145</v>
      </c>
      <c r="H298">
        <v>2937</v>
      </c>
      <c r="I298">
        <v>208</v>
      </c>
      <c r="J298">
        <v>2773</v>
      </c>
      <c r="K298">
        <v>104</v>
      </c>
      <c r="L298">
        <v>8</v>
      </c>
      <c r="M298">
        <v>0</v>
      </c>
      <c r="N298">
        <v>61</v>
      </c>
      <c r="O298">
        <v>0</v>
      </c>
      <c r="P298">
        <v>8</v>
      </c>
      <c r="Q298">
        <v>0</v>
      </c>
      <c r="R298">
        <v>28</v>
      </c>
      <c r="S298">
        <v>98</v>
      </c>
      <c r="T298">
        <v>9</v>
      </c>
      <c r="U298">
        <v>6</v>
      </c>
      <c r="V298">
        <v>9</v>
      </c>
      <c r="W298">
        <v>0</v>
      </c>
      <c r="X298">
        <v>41</v>
      </c>
      <c r="Y298">
        <v>0</v>
      </c>
      <c r="Z298" t="e">
        <f t="shared" si="6"/>
        <v>#N/A</v>
      </c>
    </row>
    <row r="299" spans="1:26" x14ac:dyDescent="0.25">
      <c r="A299" t="s">
        <v>2204</v>
      </c>
      <c r="B299">
        <v>53033030501</v>
      </c>
      <c r="C299" t="s">
        <v>2205</v>
      </c>
      <c r="D299">
        <v>1913</v>
      </c>
      <c r="E299">
        <v>1652</v>
      </c>
      <c r="F299">
        <v>261</v>
      </c>
      <c r="G299">
        <v>1913</v>
      </c>
      <c r="H299">
        <v>1652</v>
      </c>
      <c r="I299">
        <v>261</v>
      </c>
      <c r="J299">
        <v>1464</v>
      </c>
      <c r="K299">
        <v>218</v>
      </c>
      <c r="L299">
        <v>45</v>
      </c>
      <c r="M299">
        <v>21</v>
      </c>
      <c r="N299">
        <v>27</v>
      </c>
      <c r="O299">
        <v>0</v>
      </c>
      <c r="P299">
        <v>41</v>
      </c>
      <c r="Q299">
        <v>0</v>
      </c>
      <c r="R299">
        <v>0</v>
      </c>
      <c r="S299">
        <v>22</v>
      </c>
      <c r="T299">
        <v>4</v>
      </c>
      <c r="U299">
        <v>0</v>
      </c>
      <c r="V299">
        <v>30</v>
      </c>
      <c r="W299">
        <v>0</v>
      </c>
      <c r="X299">
        <v>41</v>
      </c>
      <c r="Y299">
        <v>0</v>
      </c>
      <c r="Z299" t="e">
        <f t="shared" si="6"/>
        <v>#N/A</v>
      </c>
    </row>
    <row r="300" spans="1:26" x14ac:dyDescent="0.25">
      <c r="A300" t="s">
        <v>2206</v>
      </c>
      <c r="B300">
        <v>53033030503</v>
      </c>
      <c r="C300" t="s">
        <v>2207</v>
      </c>
      <c r="D300">
        <v>3904</v>
      </c>
      <c r="E300">
        <v>3442</v>
      </c>
      <c r="F300">
        <v>462</v>
      </c>
      <c r="G300">
        <v>3904</v>
      </c>
      <c r="H300">
        <v>3442</v>
      </c>
      <c r="I300">
        <v>462</v>
      </c>
      <c r="J300">
        <v>2928</v>
      </c>
      <c r="K300">
        <v>183</v>
      </c>
      <c r="L300">
        <v>32</v>
      </c>
      <c r="M300">
        <v>44</v>
      </c>
      <c r="N300">
        <v>58</v>
      </c>
      <c r="O300">
        <v>32</v>
      </c>
      <c r="P300">
        <v>0</v>
      </c>
      <c r="Q300">
        <v>0</v>
      </c>
      <c r="R300">
        <v>99</v>
      </c>
      <c r="S300">
        <v>121</v>
      </c>
      <c r="T300">
        <v>0</v>
      </c>
      <c r="U300">
        <v>0</v>
      </c>
      <c r="V300">
        <v>142</v>
      </c>
      <c r="W300">
        <v>48</v>
      </c>
      <c r="X300">
        <v>183</v>
      </c>
      <c r="Y300">
        <v>34</v>
      </c>
      <c r="Z300" t="e">
        <f t="shared" si="6"/>
        <v>#N/A</v>
      </c>
    </row>
    <row r="301" spans="1:26" x14ac:dyDescent="0.25">
      <c r="A301" t="s">
        <v>2208</v>
      </c>
      <c r="B301">
        <v>53033030504</v>
      </c>
      <c r="C301" t="s">
        <v>2209</v>
      </c>
      <c r="D301">
        <v>4657</v>
      </c>
      <c r="E301">
        <v>3785</v>
      </c>
      <c r="F301">
        <v>872</v>
      </c>
      <c r="G301">
        <v>4657</v>
      </c>
      <c r="H301">
        <v>3785</v>
      </c>
      <c r="I301">
        <v>872</v>
      </c>
      <c r="J301">
        <v>3284</v>
      </c>
      <c r="K301">
        <v>327</v>
      </c>
      <c r="L301">
        <v>36</v>
      </c>
      <c r="M301">
        <v>57</v>
      </c>
      <c r="N301">
        <v>132</v>
      </c>
      <c r="O301">
        <v>54</v>
      </c>
      <c r="P301">
        <v>69</v>
      </c>
      <c r="Q301">
        <v>0</v>
      </c>
      <c r="R301">
        <v>64</v>
      </c>
      <c r="S301">
        <v>210</v>
      </c>
      <c r="T301">
        <v>0</v>
      </c>
      <c r="U301">
        <v>0</v>
      </c>
      <c r="V301">
        <v>132</v>
      </c>
      <c r="W301">
        <v>168</v>
      </c>
      <c r="X301">
        <v>68</v>
      </c>
      <c r="Y301">
        <v>56</v>
      </c>
      <c r="Z301" t="e">
        <f t="shared" si="6"/>
        <v>#N/A</v>
      </c>
    </row>
    <row r="302" spans="1:26" x14ac:dyDescent="0.25">
      <c r="A302" t="s">
        <v>2210</v>
      </c>
      <c r="B302">
        <v>53033030600</v>
      </c>
      <c r="C302" t="s">
        <v>2211</v>
      </c>
      <c r="D302">
        <v>5075</v>
      </c>
      <c r="E302">
        <v>4553</v>
      </c>
      <c r="F302">
        <v>522</v>
      </c>
      <c r="G302">
        <v>5075</v>
      </c>
      <c r="H302">
        <v>4553</v>
      </c>
      <c r="I302">
        <v>522</v>
      </c>
      <c r="J302">
        <v>3982</v>
      </c>
      <c r="K302">
        <v>178</v>
      </c>
      <c r="L302">
        <v>153</v>
      </c>
      <c r="M302">
        <v>53</v>
      </c>
      <c r="N302">
        <v>19</v>
      </c>
      <c r="O302">
        <v>0</v>
      </c>
      <c r="P302">
        <v>83</v>
      </c>
      <c r="Q302">
        <v>23</v>
      </c>
      <c r="R302">
        <v>52</v>
      </c>
      <c r="S302">
        <v>121</v>
      </c>
      <c r="T302">
        <v>0</v>
      </c>
      <c r="U302">
        <v>0</v>
      </c>
      <c r="V302">
        <v>50</v>
      </c>
      <c r="W302">
        <v>80</v>
      </c>
      <c r="X302">
        <v>214</v>
      </c>
      <c r="Y302">
        <v>67</v>
      </c>
      <c r="Z302" t="e">
        <f t="shared" si="6"/>
        <v>#N/A</v>
      </c>
    </row>
    <row r="303" spans="1:26" x14ac:dyDescent="0.25">
      <c r="A303" t="s">
        <v>2212</v>
      </c>
      <c r="B303">
        <v>53033030700</v>
      </c>
      <c r="C303" t="s">
        <v>2213</v>
      </c>
      <c r="D303">
        <v>3845</v>
      </c>
      <c r="E303">
        <v>3150</v>
      </c>
      <c r="F303">
        <v>695</v>
      </c>
      <c r="G303">
        <v>3845</v>
      </c>
      <c r="H303">
        <v>3150</v>
      </c>
      <c r="I303">
        <v>695</v>
      </c>
      <c r="J303">
        <v>2629</v>
      </c>
      <c r="K303">
        <v>381</v>
      </c>
      <c r="L303">
        <v>72</v>
      </c>
      <c r="M303">
        <v>27</v>
      </c>
      <c r="N303">
        <v>40</v>
      </c>
      <c r="O303">
        <v>43</v>
      </c>
      <c r="P303">
        <v>103</v>
      </c>
      <c r="Q303">
        <v>0</v>
      </c>
      <c r="R303">
        <v>56</v>
      </c>
      <c r="S303">
        <v>61</v>
      </c>
      <c r="T303">
        <v>0</v>
      </c>
      <c r="U303">
        <v>0</v>
      </c>
      <c r="V303">
        <v>51</v>
      </c>
      <c r="W303">
        <v>86</v>
      </c>
      <c r="X303">
        <v>199</v>
      </c>
      <c r="Y303">
        <v>97</v>
      </c>
      <c r="Z303" t="e">
        <f t="shared" si="6"/>
        <v>#N/A</v>
      </c>
    </row>
    <row r="304" spans="1:26" x14ac:dyDescent="0.25">
      <c r="A304" t="s">
        <v>2214</v>
      </c>
      <c r="B304">
        <v>53033030801</v>
      </c>
      <c r="C304" t="s">
        <v>2215</v>
      </c>
      <c r="D304">
        <v>5958</v>
      </c>
      <c r="E304">
        <v>5225</v>
      </c>
      <c r="F304">
        <v>733</v>
      </c>
      <c r="G304">
        <v>5958</v>
      </c>
      <c r="H304">
        <v>5225</v>
      </c>
      <c r="I304">
        <v>733</v>
      </c>
      <c r="J304">
        <v>4200</v>
      </c>
      <c r="K304">
        <v>354</v>
      </c>
      <c r="L304">
        <v>232</v>
      </c>
      <c r="M304">
        <v>47</v>
      </c>
      <c r="N304">
        <v>272</v>
      </c>
      <c r="O304">
        <v>0</v>
      </c>
      <c r="P304">
        <v>149</v>
      </c>
      <c r="Q304">
        <v>0</v>
      </c>
      <c r="R304">
        <v>39</v>
      </c>
      <c r="S304">
        <v>80</v>
      </c>
      <c r="T304">
        <v>20</v>
      </c>
      <c r="U304">
        <v>0</v>
      </c>
      <c r="V304">
        <v>52</v>
      </c>
      <c r="W304">
        <v>220</v>
      </c>
      <c r="X304">
        <v>261</v>
      </c>
      <c r="Y304">
        <v>32</v>
      </c>
      <c r="Z304" t="e">
        <f t="shared" si="6"/>
        <v>#N/A</v>
      </c>
    </row>
    <row r="305" spans="1:26" x14ac:dyDescent="0.25">
      <c r="A305" t="s">
        <v>2216</v>
      </c>
      <c r="B305">
        <v>53033030802</v>
      </c>
      <c r="C305" t="s">
        <v>2217</v>
      </c>
      <c r="D305">
        <v>3699</v>
      </c>
      <c r="E305">
        <v>3298</v>
      </c>
      <c r="F305">
        <v>401</v>
      </c>
      <c r="G305">
        <v>3699</v>
      </c>
      <c r="H305">
        <v>3298</v>
      </c>
      <c r="I305">
        <v>401</v>
      </c>
      <c r="J305">
        <v>2860</v>
      </c>
      <c r="K305">
        <v>112</v>
      </c>
      <c r="L305">
        <v>35</v>
      </c>
      <c r="M305">
        <v>0</v>
      </c>
      <c r="N305">
        <v>76</v>
      </c>
      <c r="O305">
        <v>0</v>
      </c>
      <c r="P305">
        <v>73</v>
      </c>
      <c r="Q305">
        <v>0</v>
      </c>
      <c r="R305">
        <v>40</v>
      </c>
      <c r="S305">
        <v>55</v>
      </c>
      <c r="T305">
        <v>0</v>
      </c>
      <c r="U305">
        <v>0</v>
      </c>
      <c r="V305">
        <v>119</v>
      </c>
      <c r="W305">
        <v>168</v>
      </c>
      <c r="X305">
        <v>95</v>
      </c>
      <c r="Y305">
        <v>66</v>
      </c>
      <c r="Z305" t="e">
        <f t="shared" si="6"/>
        <v>#N/A</v>
      </c>
    </row>
    <row r="306" spans="1:26" x14ac:dyDescent="0.25">
      <c r="A306" t="s">
        <v>2218</v>
      </c>
      <c r="B306">
        <v>53033030901</v>
      </c>
      <c r="C306" t="s">
        <v>2219</v>
      </c>
      <c r="D306">
        <v>2940</v>
      </c>
      <c r="E306">
        <v>2603</v>
      </c>
      <c r="F306">
        <v>337</v>
      </c>
      <c r="G306">
        <v>2940</v>
      </c>
      <c r="H306">
        <v>2603</v>
      </c>
      <c r="I306">
        <v>337</v>
      </c>
      <c r="J306">
        <v>2284</v>
      </c>
      <c r="K306">
        <v>95</v>
      </c>
      <c r="L306">
        <v>75</v>
      </c>
      <c r="M306">
        <v>46</v>
      </c>
      <c r="N306">
        <v>46</v>
      </c>
      <c r="O306">
        <v>0</v>
      </c>
      <c r="P306">
        <v>35</v>
      </c>
      <c r="Q306">
        <v>0</v>
      </c>
      <c r="R306">
        <v>53</v>
      </c>
      <c r="S306">
        <v>135</v>
      </c>
      <c r="T306">
        <v>7</v>
      </c>
      <c r="U306">
        <v>0</v>
      </c>
      <c r="V306">
        <v>6</v>
      </c>
      <c r="W306">
        <v>38</v>
      </c>
      <c r="X306">
        <v>97</v>
      </c>
      <c r="Y306">
        <v>23</v>
      </c>
      <c r="Z306" t="e">
        <f t="shared" si="6"/>
        <v>#N/A</v>
      </c>
    </row>
    <row r="307" spans="1:26" x14ac:dyDescent="0.25">
      <c r="A307" t="s">
        <v>2220</v>
      </c>
      <c r="B307">
        <v>53033030902</v>
      </c>
      <c r="C307" t="s">
        <v>2221</v>
      </c>
      <c r="D307">
        <v>4651</v>
      </c>
      <c r="E307">
        <v>4278</v>
      </c>
      <c r="F307">
        <v>373</v>
      </c>
      <c r="G307">
        <v>4651</v>
      </c>
      <c r="H307">
        <v>4278</v>
      </c>
      <c r="I307">
        <v>373</v>
      </c>
      <c r="J307">
        <v>3673</v>
      </c>
      <c r="K307">
        <v>148</v>
      </c>
      <c r="L307">
        <v>88</v>
      </c>
      <c r="M307">
        <v>24</v>
      </c>
      <c r="N307">
        <v>58</v>
      </c>
      <c r="O307">
        <v>0</v>
      </c>
      <c r="P307">
        <v>123</v>
      </c>
      <c r="Q307">
        <v>0</v>
      </c>
      <c r="R307">
        <v>30</v>
      </c>
      <c r="S307">
        <v>164</v>
      </c>
      <c r="T307">
        <v>0</v>
      </c>
      <c r="U307">
        <v>0</v>
      </c>
      <c r="V307">
        <v>97</v>
      </c>
      <c r="W307">
        <v>23</v>
      </c>
      <c r="X307">
        <v>209</v>
      </c>
      <c r="Y307">
        <v>14</v>
      </c>
      <c r="Z307" t="e">
        <f t="shared" si="6"/>
        <v>#N/A</v>
      </c>
    </row>
    <row r="308" spans="1:26" x14ac:dyDescent="0.25">
      <c r="A308" t="s">
        <v>2222</v>
      </c>
      <c r="B308">
        <v>53033031000</v>
      </c>
      <c r="C308" t="s">
        <v>2223</v>
      </c>
      <c r="D308">
        <v>3084</v>
      </c>
      <c r="E308">
        <v>2758</v>
      </c>
      <c r="F308">
        <v>326</v>
      </c>
      <c r="G308">
        <v>3084</v>
      </c>
      <c r="H308">
        <v>2758</v>
      </c>
      <c r="I308">
        <v>326</v>
      </c>
      <c r="J308">
        <v>2342</v>
      </c>
      <c r="K308">
        <v>143</v>
      </c>
      <c r="L308">
        <v>74</v>
      </c>
      <c r="M308">
        <v>16</v>
      </c>
      <c r="N308">
        <v>91</v>
      </c>
      <c r="O308">
        <v>7</v>
      </c>
      <c r="P308">
        <v>0</v>
      </c>
      <c r="Q308">
        <v>0</v>
      </c>
      <c r="R308">
        <v>91</v>
      </c>
      <c r="S308">
        <v>128</v>
      </c>
      <c r="T308">
        <v>0</v>
      </c>
      <c r="U308">
        <v>0</v>
      </c>
      <c r="V308">
        <v>6</v>
      </c>
      <c r="W308">
        <v>15</v>
      </c>
      <c r="X308">
        <v>154</v>
      </c>
      <c r="Y308">
        <v>17</v>
      </c>
      <c r="Z308" t="e">
        <f t="shared" si="6"/>
        <v>#N/A</v>
      </c>
    </row>
    <row r="309" spans="1:26" x14ac:dyDescent="0.25">
      <c r="A309" t="s">
        <v>2224</v>
      </c>
      <c r="B309">
        <v>53033031100</v>
      </c>
      <c r="C309" t="s">
        <v>2225</v>
      </c>
      <c r="D309">
        <v>6657</v>
      </c>
      <c r="E309">
        <v>6085</v>
      </c>
      <c r="F309">
        <v>572</v>
      </c>
      <c r="G309">
        <v>6657</v>
      </c>
      <c r="H309">
        <v>6085</v>
      </c>
      <c r="I309">
        <v>572</v>
      </c>
      <c r="J309">
        <v>5071</v>
      </c>
      <c r="K309">
        <v>206</v>
      </c>
      <c r="L309">
        <v>96</v>
      </c>
      <c r="M309">
        <v>25</v>
      </c>
      <c r="N309">
        <v>130</v>
      </c>
      <c r="O309">
        <v>28</v>
      </c>
      <c r="P309">
        <v>296</v>
      </c>
      <c r="Q309">
        <v>9</v>
      </c>
      <c r="R309">
        <v>75</v>
      </c>
      <c r="S309">
        <v>144</v>
      </c>
      <c r="T309">
        <v>13</v>
      </c>
      <c r="U309">
        <v>0</v>
      </c>
      <c r="V309">
        <v>139</v>
      </c>
      <c r="W309">
        <v>90</v>
      </c>
      <c r="X309">
        <v>265</v>
      </c>
      <c r="Y309">
        <v>70</v>
      </c>
      <c r="Z309" t="e">
        <f t="shared" si="6"/>
        <v>#N/A</v>
      </c>
    </row>
    <row r="310" spans="1:26" x14ac:dyDescent="0.25">
      <c r="A310" t="s">
        <v>2226</v>
      </c>
      <c r="B310">
        <v>53033031202</v>
      </c>
      <c r="C310" t="s">
        <v>2227</v>
      </c>
      <c r="D310">
        <v>6040</v>
      </c>
      <c r="E310">
        <v>5673</v>
      </c>
      <c r="F310">
        <v>367</v>
      </c>
      <c r="G310">
        <v>6040</v>
      </c>
      <c r="H310">
        <v>5673</v>
      </c>
      <c r="I310">
        <v>367</v>
      </c>
      <c r="J310">
        <v>4519</v>
      </c>
      <c r="K310">
        <v>148</v>
      </c>
      <c r="L310">
        <v>25</v>
      </c>
      <c r="M310">
        <v>43</v>
      </c>
      <c r="N310">
        <v>12</v>
      </c>
      <c r="O310">
        <v>22</v>
      </c>
      <c r="P310">
        <v>867</v>
      </c>
      <c r="Q310">
        <v>2</v>
      </c>
      <c r="R310">
        <v>27</v>
      </c>
      <c r="S310">
        <v>55</v>
      </c>
      <c r="T310">
        <v>31</v>
      </c>
      <c r="U310">
        <v>21</v>
      </c>
      <c r="V310">
        <v>76</v>
      </c>
      <c r="W310">
        <v>44</v>
      </c>
      <c r="X310">
        <v>116</v>
      </c>
      <c r="Y310">
        <v>32</v>
      </c>
      <c r="Z310" t="e">
        <f t="shared" si="6"/>
        <v>#N/A</v>
      </c>
    </row>
    <row r="311" spans="1:26" x14ac:dyDescent="0.25">
      <c r="A311" t="s">
        <v>2228</v>
      </c>
      <c r="B311">
        <v>53033031204</v>
      </c>
      <c r="C311" t="s">
        <v>2229</v>
      </c>
      <c r="D311">
        <v>5812</v>
      </c>
      <c r="E311">
        <v>5525</v>
      </c>
      <c r="F311">
        <v>287</v>
      </c>
      <c r="G311">
        <v>5812</v>
      </c>
      <c r="H311">
        <v>5525</v>
      </c>
      <c r="I311">
        <v>287</v>
      </c>
      <c r="J311">
        <v>5153</v>
      </c>
      <c r="K311">
        <v>138</v>
      </c>
      <c r="L311">
        <v>6</v>
      </c>
      <c r="M311">
        <v>13</v>
      </c>
      <c r="N311">
        <v>32</v>
      </c>
      <c r="O311">
        <v>0</v>
      </c>
      <c r="P311">
        <v>22</v>
      </c>
      <c r="Q311">
        <v>9</v>
      </c>
      <c r="R311">
        <v>80</v>
      </c>
      <c r="S311">
        <v>88</v>
      </c>
      <c r="T311">
        <v>0</v>
      </c>
      <c r="U311">
        <v>0</v>
      </c>
      <c r="V311">
        <v>29</v>
      </c>
      <c r="W311">
        <v>0</v>
      </c>
      <c r="X311">
        <v>203</v>
      </c>
      <c r="Y311">
        <v>39</v>
      </c>
      <c r="Z311" t="e">
        <f t="shared" si="6"/>
        <v>#N/A</v>
      </c>
    </row>
    <row r="312" spans="1:26" x14ac:dyDescent="0.25">
      <c r="A312" t="s">
        <v>2230</v>
      </c>
      <c r="B312">
        <v>53033031205</v>
      </c>
      <c r="C312" t="s">
        <v>2231</v>
      </c>
      <c r="D312">
        <v>3893</v>
      </c>
      <c r="E312">
        <v>3476</v>
      </c>
      <c r="F312">
        <v>417</v>
      </c>
      <c r="G312">
        <v>3893</v>
      </c>
      <c r="H312">
        <v>3476</v>
      </c>
      <c r="I312">
        <v>417</v>
      </c>
      <c r="J312">
        <v>3091</v>
      </c>
      <c r="K312">
        <v>146</v>
      </c>
      <c r="L312">
        <v>40</v>
      </c>
      <c r="M312">
        <v>0</v>
      </c>
      <c r="N312">
        <v>78</v>
      </c>
      <c r="O312">
        <v>6</v>
      </c>
      <c r="P312">
        <v>46</v>
      </c>
      <c r="Q312">
        <v>0</v>
      </c>
      <c r="R312">
        <v>63</v>
      </c>
      <c r="S312">
        <v>125</v>
      </c>
      <c r="T312">
        <v>0</v>
      </c>
      <c r="U312">
        <v>0</v>
      </c>
      <c r="V312">
        <v>0</v>
      </c>
      <c r="W312">
        <v>0</v>
      </c>
      <c r="X312">
        <v>158</v>
      </c>
      <c r="Y312">
        <v>140</v>
      </c>
      <c r="Z312" t="e">
        <f t="shared" si="6"/>
        <v>#N/A</v>
      </c>
    </row>
    <row r="313" spans="1:26" x14ac:dyDescent="0.25">
      <c r="A313" t="s">
        <v>2232</v>
      </c>
      <c r="B313">
        <v>53033031206</v>
      </c>
      <c r="C313" t="s">
        <v>2233</v>
      </c>
      <c r="D313">
        <v>4363</v>
      </c>
      <c r="E313">
        <v>3982</v>
      </c>
      <c r="F313">
        <v>381</v>
      </c>
      <c r="G313">
        <v>4363</v>
      </c>
      <c r="H313">
        <v>3982</v>
      </c>
      <c r="I313">
        <v>381</v>
      </c>
      <c r="J313">
        <v>3421</v>
      </c>
      <c r="K313">
        <v>78</v>
      </c>
      <c r="L313">
        <v>155</v>
      </c>
      <c r="M313">
        <v>32</v>
      </c>
      <c r="N313">
        <v>57</v>
      </c>
      <c r="O313">
        <v>0</v>
      </c>
      <c r="P313">
        <v>0</v>
      </c>
      <c r="Q313">
        <v>0</v>
      </c>
      <c r="R313">
        <v>45</v>
      </c>
      <c r="S313">
        <v>173</v>
      </c>
      <c r="T313">
        <v>0</v>
      </c>
      <c r="U313">
        <v>0</v>
      </c>
      <c r="V313">
        <v>63</v>
      </c>
      <c r="W313">
        <v>71</v>
      </c>
      <c r="X313">
        <v>241</v>
      </c>
      <c r="Y313">
        <v>27</v>
      </c>
      <c r="Z313" t="e">
        <f t="shared" si="6"/>
        <v>#N/A</v>
      </c>
    </row>
    <row r="314" spans="1:26" x14ac:dyDescent="0.25">
      <c r="A314" t="s">
        <v>2234</v>
      </c>
      <c r="B314">
        <v>53033031301</v>
      </c>
      <c r="C314" t="s">
        <v>2235</v>
      </c>
      <c r="D314">
        <v>2659</v>
      </c>
      <c r="E314">
        <v>2454</v>
      </c>
      <c r="F314">
        <v>205</v>
      </c>
      <c r="G314">
        <v>2659</v>
      </c>
      <c r="H314">
        <v>2454</v>
      </c>
      <c r="I314">
        <v>205</v>
      </c>
      <c r="J314">
        <v>2253</v>
      </c>
      <c r="K314">
        <v>96</v>
      </c>
      <c r="L314">
        <v>64</v>
      </c>
      <c r="M314">
        <v>29</v>
      </c>
      <c r="N314">
        <v>21</v>
      </c>
      <c r="O314">
        <v>0</v>
      </c>
      <c r="P314">
        <v>9</v>
      </c>
      <c r="Q314">
        <v>0</v>
      </c>
      <c r="R314">
        <v>11</v>
      </c>
      <c r="S314">
        <v>37</v>
      </c>
      <c r="T314">
        <v>0</v>
      </c>
      <c r="U314">
        <v>0</v>
      </c>
      <c r="V314">
        <v>53</v>
      </c>
      <c r="W314">
        <v>43</v>
      </c>
      <c r="X314">
        <v>43</v>
      </c>
      <c r="Y314">
        <v>0</v>
      </c>
      <c r="Z314" t="e">
        <f t="shared" si="6"/>
        <v>#N/A</v>
      </c>
    </row>
    <row r="315" spans="1:26" x14ac:dyDescent="0.25">
      <c r="A315" t="s">
        <v>2236</v>
      </c>
      <c r="B315">
        <v>53033031302</v>
      </c>
      <c r="C315" t="s">
        <v>2237</v>
      </c>
      <c r="D315">
        <v>4553</v>
      </c>
      <c r="E315">
        <v>4368</v>
      </c>
      <c r="F315">
        <v>185</v>
      </c>
      <c r="G315">
        <v>4553</v>
      </c>
      <c r="H315">
        <v>4368</v>
      </c>
      <c r="I315">
        <v>185</v>
      </c>
      <c r="J315">
        <v>4050</v>
      </c>
      <c r="K315">
        <v>98</v>
      </c>
      <c r="L315">
        <v>115</v>
      </c>
      <c r="M315">
        <v>0</v>
      </c>
      <c r="N315">
        <v>32</v>
      </c>
      <c r="O315">
        <v>0</v>
      </c>
      <c r="P315">
        <v>54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17</v>
      </c>
      <c r="W315">
        <v>87</v>
      </c>
      <c r="X315">
        <v>100</v>
      </c>
      <c r="Y315">
        <v>0</v>
      </c>
      <c r="Z315" t="e">
        <f t="shared" si="6"/>
        <v>#N/A</v>
      </c>
    </row>
    <row r="316" spans="1:26" x14ac:dyDescent="0.25">
      <c r="A316" t="s">
        <v>2238</v>
      </c>
      <c r="B316">
        <v>53033031400</v>
      </c>
      <c r="C316" t="s">
        <v>2239</v>
      </c>
      <c r="D316">
        <v>6185</v>
      </c>
      <c r="E316">
        <v>5949</v>
      </c>
      <c r="F316">
        <v>236</v>
      </c>
      <c r="G316">
        <v>6185</v>
      </c>
      <c r="H316">
        <v>5949</v>
      </c>
      <c r="I316">
        <v>236</v>
      </c>
      <c r="J316">
        <v>5494</v>
      </c>
      <c r="K316">
        <v>172</v>
      </c>
      <c r="L316">
        <v>105</v>
      </c>
      <c r="M316">
        <v>13</v>
      </c>
      <c r="N316">
        <v>53</v>
      </c>
      <c r="O316">
        <v>0</v>
      </c>
      <c r="P316">
        <v>37</v>
      </c>
      <c r="Q316">
        <v>0</v>
      </c>
      <c r="R316">
        <v>38</v>
      </c>
      <c r="S316">
        <v>8</v>
      </c>
      <c r="T316">
        <v>0</v>
      </c>
      <c r="U316">
        <v>0</v>
      </c>
      <c r="V316">
        <v>30</v>
      </c>
      <c r="W316">
        <v>30</v>
      </c>
      <c r="X316">
        <v>192</v>
      </c>
      <c r="Y316">
        <v>13</v>
      </c>
      <c r="Z316" t="e">
        <f t="shared" si="6"/>
        <v>#N/A</v>
      </c>
    </row>
    <row r="317" spans="1:26" x14ac:dyDescent="0.25">
      <c r="A317" t="s">
        <v>2240</v>
      </c>
      <c r="B317">
        <v>53033031501</v>
      </c>
      <c r="C317" t="s">
        <v>2241</v>
      </c>
      <c r="D317">
        <v>3225</v>
      </c>
      <c r="E317">
        <v>3102</v>
      </c>
      <c r="F317">
        <v>123</v>
      </c>
      <c r="G317">
        <v>3225</v>
      </c>
      <c r="H317">
        <v>3102</v>
      </c>
      <c r="I317">
        <v>123</v>
      </c>
      <c r="J317">
        <v>3047</v>
      </c>
      <c r="K317">
        <v>56</v>
      </c>
      <c r="L317">
        <v>0</v>
      </c>
      <c r="M317">
        <v>14</v>
      </c>
      <c r="N317">
        <v>7</v>
      </c>
      <c r="O317">
        <v>10</v>
      </c>
      <c r="P317">
        <v>30</v>
      </c>
      <c r="Q317">
        <v>8</v>
      </c>
      <c r="R317">
        <v>0</v>
      </c>
      <c r="S317">
        <v>29</v>
      </c>
      <c r="T317">
        <v>0</v>
      </c>
      <c r="U317">
        <v>0</v>
      </c>
      <c r="V317">
        <v>18</v>
      </c>
      <c r="W317">
        <v>6</v>
      </c>
      <c r="X317">
        <v>0</v>
      </c>
      <c r="Y317">
        <v>0</v>
      </c>
      <c r="Z317" t="e">
        <f t="shared" si="6"/>
        <v>#N/A</v>
      </c>
    </row>
    <row r="318" spans="1:26" x14ac:dyDescent="0.25">
      <c r="A318" t="s">
        <v>2242</v>
      </c>
      <c r="B318">
        <v>53033031502</v>
      </c>
      <c r="C318" t="s">
        <v>2243</v>
      </c>
      <c r="D318">
        <v>4034</v>
      </c>
      <c r="E318">
        <v>3865</v>
      </c>
      <c r="F318">
        <v>169</v>
      </c>
      <c r="G318">
        <v>4034</v>
      </c>
      <c r="H318">
        <v>3865</v>
      </c>
      <c r="I318">
        <v>169</v>
      </c>
      <c r="J318">
        <v>3584</v>
      </c>
      <c r="K318">
        <v>110</v>
      </c>
      <c r="L318">
        <v>52</v>
      </c>
      <c r="M318">
        <v>0</v>
      </c>
      <c r="N318">
        <v>17</v>
      </c>
      <c r="O318">
        <v>0</v>
      </c>
      <c r="P318">
        <v>41</v>
      </c>
      <c r="Q318">
        <v>0</v>
      </c>
      <c r="R318">
        <v>19</v>
      </c>
      <c r="S318">
        <v>22</v>
      </c>
      <c r="T318">
        <v>0</v>
      </c>
      <c r="U318">
        <v>7</v>
      </c>
      <c r="V318">
        <v>27</v>
      </c>
      <c r="W318">
        <v>6</v>
      </c>
      <c r="X318">
        <v>125</v>
      </c>
      <c r="Y318">
        <v>24</v>
      </c>
      <c r="Z318" t="e">
        <f t="shared" si="6"/>
        <v>#N/A</v>
      </c>
    </row>
    <row r="319" spans="1:26" x14ac:dyDescent="0.25">
      <c r="A319" t="s">
        <v>2244</v>
      </c>
      <c r="B319">
        <v>53033031601</v>
      </c>
      <c r="C319" t="s">
        <v>2245</v>
      </c>
      <c r="D319">
        <v>4353</v>
      </c>
      <c r="E319">
        <v>4240</v>
      </c>
      <c r="F319">
        <v>113</v>
      </c>
      <c r="G319">
        <v>4353</v>
      </c>
      <c r="H319">
        <v>4240</v>
      </c>
      <c r="I319">
        <v>113</v>
      </c>
      <c r="J319">
        <v>3951</v>
      </c>
      <c r="K319">
        <v>39</v>
      </c>
      <c r="L319">
        <v>69</v>
      </c>
      <c r="M319">
        <v>34</v>
      </c>
      <c r="N319">
        <v>68</v>
      </c>
      <c r="O319">
        <v>0</v>
      </c>
      <c r="P319">
        <v>7</v>
      </c>
      <c r="Q319">
        <v>0</v>
      </c>
      <c r="R319">
        <v>19</v>
      </c>
      <c r="S319">
        <v>6</v>
      </c>
      <c r="T319">
        <v>0</v>
      </c>
      <c r="U319">
        <v>0</v>
      </c>
      <c r="V319">
        <v>28</v>
      </c>
      <c r="W319">
        <v>14</v>
      </c>
      <c r="X319">
        <v>98</v>
      </c>
      <c r="Y319">
        <v>20</v>
      </c>
      <c r="Z319" t="e">
        <f t="shared" si="6"/>
        <v>#N/A</v>
      </c>
    </row>
    <row r="320" spans="1:26" x14ac:dyDescent="0.25">
      <c r="A320" t="s">
        <v>2246</v>
      </c>
      <c r="B320">
        <v>53033031602</v>
      </c>
      <c r="C320" t="s">
        <v>2247</v>
      </c>
      <c r="D320">
        <v>5553</v>
      </c>
      <c r="E320">
        <v>5281</v>
      </c>
      <c r="F320">
        <v>272</v>
      </c>
      <c r="G320">
        <v>5553</v>
      </c>
      <c r="H320">
        <v>5281</v>
      </c>
      <c r="I320">
        <v>272</v>
      </c>
      <c r="J320">
        <v>4837</v>
      </c>
      <c r="K320">
        <v>195</v>
      </c>
      <c r="L320">
        <v>89</v>
      </c>
      <c r="M320">
        <v>5</v>
      </c>
      <c r="N320">
        <v>0</v>
      </c>
      <c r="O320">
        <v>0</v>
      </c>
      <c r="P320">
        <v>49</v>
      </c>
      <c r="Q320">
        <v>0</v>
      </c>
      <c r="R320">
        <v>32</v>
      </c>
      <c r="S320">
        <v>63</v>
      </c>
      <c r="T320">
        <v>0</v>
      </c>
      <c r="U320">
        <v>6</v>
      </c>
      <c r="V320">
        <v>47</v>
      </c>
      <c r="W320">
        <v>0</v>
      </c>
      <c r="X320">
        <v>227</v>
      </c>
      <c r="Y320">
        <v>3</v>
      </c>
      <c r="Z320" t="e">
        <f t="shared" si="6"/>
        <v>#N/A</v>
      </c>
    </row>
    <row r="321" spans="1:26" x14ac:dyDescent="0.25">
      <c r="A321" t="s">
        <v>2248</v>
      </c>
      <c r="B321">
        <v>53033031603</v>
      </c>
      <c r="C321" t="s">
        <v>2249</v>
      </c>
      <c r="D321">
        <v>3352</v>
      </c>
      <c r="E321">
        <v>3167</v>
      </c>
      <c r="F321">
        <v>185</v>
      </c>
      <c r="G321">
        <v>3352</v>
      </c>
      <c r="H321">
        <v>3167</v>
      </c>
      <c r="I321">
        <v>185</v>
      </c>
      <c r="J321">
        <v>2820</v>
      </c>
      <c r="K321">
        <v>78</v>
      </c>
      <c r="L321">
        <v>111</v>
      </c>
      <c r="M321">
        <v>67</v>
      </c>
      <c r="N321">
        <v>0</v>
      </c>
      <c r="O321">
        <v>0</v>
      </c>
      <c r="P321">
        <v>117</v>
      </c>
      <c r="Q321">
        <v>8</v>
      </c>
      <c r="R321">
        <v>27</v>
      </c>
      <c r="S321">
        <v>32</v>
      </c>
      <c r="T321">
        <v>0</v>
      </c>
      <c r="U321">
        <v>0</v>
      </c>
      <c r="V321">
        <v>48</v>
      </c>
      <c r="W321">
        <v>0</v>
      </c>
      <c r="X321">
        <v>44</v>
      </c>
      <c r="Y321">
        <v>0</v>
      </c>
      <c r="Z321" t="e">
        <f t="shared" si="6"/>
        <v>#N/A</v>
      </c>
    </row>
    <row r="322" spans="1:26" x14ac:dyDescent="0.25">
      <c r="A322" t="s">
        <v>2250</v>
      </c>
      <c r="B322">
        <v>53033031702</v>
      </c>
      <c r="C322" t="s">
        <v>2251</v>
      </c>
      <c r="D322">
        <v>6307</v>
      </c>
      <c r="E322">
        <v>5835</v>
      </c>
      <c r="F322">
        <v>472</v>
      </c>
      <c r="G322">
        <v>6307</v>
      </c>
      <c r="H322">
        <v>5835</v>
      </c>
      <c r="I322">
        <v>472</v>
      </c>
      <c r="J322">
        <v>5224</v>
      </c>
      <c r="K322">
        <v>336</v>
      </c>
      <c r="L322">
        <v>131</v>
      </c>
      <c r="M322">
        <v>9</v>
      </c>
      <c r="N322">
        <v>66</v>
      </c>
      <c r="O322">
        <v>0</v>
      </c>
      <c r="P322">
        <v>9</v>
      </c>
      <c r="Q322">
        <v>8</v>
      </c>
      <c r="R322">
        <v>78</v>
      </c>
      <c r="S322">
        <v>73</v>
      </c>
      <c r="T322">
        <v>0</v>
      </c>
      <c r="U322">
        <v>0</v>
      </c>
      <c r="V322">
        <v>77</v>
      </c>
      <c r="W322">
        <v>28</v>
      </c>
      <c r="X322">
        <v>250</v>
      </c>
      <c r="Y322">
        <v>18</v>
      </c>
      <c r="Z322" t="e">
        <f t="shared" si="6"/>
        <v>#N/A</v>
      </c>
    </row>
    <row r="323" spans="1:26" x14ac:dyDescent="0.25">
      <c r="A323" t="s">
        <v>2252</v>
      </c>
      <c r="B323">
        <v>53033031703</v>
      </c>
      <c r="C323" t="s">
        <v>2253</v>
      </c>
      <c r="D323">
        <v>6678</v>
      </c>
      <c r="E323">
        <v>6134</v>
      </c>
      <c r="F323">
        <v>544</v>
      </c>
      <c r="G323">
        <v>6678</v>
      </c>
      <c r="H323">
        <v>6134</v>
      </c>
      <c r="I323">
        <v>544</v>
      </c>
      <c r="J323">
        <v>5352</v>
      </c>
      <c r="K323">
        <v>241</v>
      </c>
      <c r="L323">
        <v>98</v>
      </c>
      <c r="M323">
        <v>0</v>
      </c>
      <c r="N323">
        <v>135</v>
      </c>
      <c r="O323">
        <v>29</v>
      </c>
      <c r="P323">
        <v>0</v>
      </c>
      <c r="Q323">
        <v>0</v>
      </c>
      <c r="R323">
        <v>206</v>
      </c>
      <c r="S323">
        <v>196</v>
      </c>
      <c r="T323">
        <v>20</v>
      </c>
      <c r="U323">
        <v>0</v>
      </c>
      <c r="V323">
        <v>68</v>
      </c>
      <c r="W323">
        <v>39</v>
      </c>
      <c r="X323">
        <v>255</v>
      </c>
      <c r="Y323">
        <v>39</v>
      </c>
      <c r="Z323" t="e">
        <f t="shared" ref="Z323:Z374" si="7">VLOOKUP(C323,$AE$2:$AF$125,2,FALSE)</f>
        <v>#N/A</v>
      </c>
    </row>
    <row r="324" spans="1:26" x14ac:dyDescent="0.25">
      <c r="A324" t="s">
        <v>2254</v>
      </c>
      <c r="B324">
        <v>53033031704</v>
      </c>
      <c r="C324" t="s">
        <v>2255</v>
      </c>
      <c r="D324">
        <v>3903</v>
      </c>
      <c r="E324">
        <v>3480</v>
      </c>
      <c r="F324">
        <v>423</v>
      </c>
      <c r="G324">
        <v>3903</v>
      </c>
      <c r="H324">
        <v>3480</v>
      </c>
      <c r="I324">
        <v>423</v>
      </c>
      <c r="J324">
        <v>2956</v>
      </c>
      <c r="K324">
        <v>212</v>
      </c>
      <c r="L324">
        <v>9</v>
      </c>
      <c r="M324">
        <v>0</v>
      </c>
      <c r="N324">
        <v>172</v>
      </c>
      <c r="O324">
        <v>0</v>
      </c>
      <c r="P324">
        <v>0</v>
      </c>
      <c r="Q324">
        <v>0</v>
      </c>
      <c r="R324">
        <v>125</v>
      </c>
      <c r="S324">
        <v>211</v>
      </c>
      <c r="T324">
        <v>12</v>
      </c>
      <c r="U324">
        <v>0</v>
      </c>
      <c r="V324">
        <v>57</v>
      </c>
      <c r="W324">
        <v>0</v>
      </c>
      <c r="X324">
        <v>149</v>
      </c>
      <c r="Y324">
        <v>0</v>
      </c>
      <c r="Z324" t="e">
        <f t="shared" si="7"/>
        <v>#N/A</v>
      </c>
    </row>
    <row r="325" spans="1:26" x14ac:dyDescent="0.25">
      <c r="A325" t="s">
        <v>2256</v>
      </c>
      <c r="B325">
        <v>53033031800</v>
      </c>
      <c r="C325" t="s">
        <v>2257</v>
      </c>
      <c r="D325">
        <v>3943</v>
      </c>
      <c r="E325">
        <v>3623</v>
      </c>
      <c r="F325">
        <v>320</v>
      </c>
      <c r="G325">
        <v>3943</v>
      </c>
      <c r="H325">
        <v>3623</v>
      </c>
      <c r="I325">
        <v>320</v>
      </c>
      <c r="J325">
        <v>3306</v>
      </c>
      <c r="K325">
        <v>227</v>
      </c>
      <c r="L325">
        <v>52</v>
      </c>
      <c r="M325">
        <v>0</v>
      </c>
      <c r="N325">
        <v>99</v>
      </c>
      <c r="O325">
        <v>13</v>
      </c>
      <c r="P325">
        <v>8</v>
      </c>
      <c r="Q325">
        <v>0</v>
      </c>
      <c r="R325">
        <v>55</v>
      </c>
      <c r="S325">
        <v>55</v>
      </c>
      <c r="T325">
        <v>11</v>
      </c>
      <c r="U325">
        <v>11</v>
      </c>
      <c r="V325">
        <v>0</v>
      </c>
      <c r="W325">
        <v>7</v>
      </c>
      <c r="X325">
        <v>92</v>
      </c>
      <c r="Y325">
        <v>7</v>
      </c>
      <c r="Z325" t="e">
        <f t="shared" si="7"/>
        <v>#N/A</v>
      </c>
    </row>
    <row r="326" spans="1:26" x14ac:dyDescent="0.25">
      <c r="A326" t="s">
        <v>2258</v>
      </c>
      <c r="B326">
        <v>53033031903</v>
      </c>
      <c r="C326" t="s">
        <v>2259</v>
      </c>
      <c r="D326">
        <v>6003</v>
      </c>
      <c r="E326">
        <v>5652</v>
      </c>
      <c r="F326">
        <v>351</v>
      </c>
      <c r="G326">
        <v>6003</v>
      </c>
      <c r="H326">
        <v>5652</v>
      </c>
      <c r="I326">
        <v>351</v>
      </c>
      <c r="J326">
        <v>5083</v>
      </c>
      <c r="K326">
        <v>216</v>
      </c>
      <c r="L326">
        <v>55</v>
      </c>
      <c r="M326">
        <v>90</v>
      </c>
      <c r="N326">
        <v>186</v>
      </c>
      <c r="O326">
        <v>13</v>
      </c>
      <c r="P326">
        <v>162</v>
      </c>
      <c r="Q326">
        <v>0</v>
      </c>
      <c r="R326">
        <v>6</v>
      </c>
      <c r="S326">
        <v>16</v>
      </c>
      <c r="T326">
        <v>0</v>
      </c>
      <c r="U326">
        <v>0</v>
      </c>
      <c r="V326">
        <v>65</v>
      </c>
      <c r="W326">
        <v>11</v>
      </c>
      <c r="X326">
        <v>95</v>
      </c>
      <c r="Y326">
        <v>5</v>
      </c>
      <c r="Z326" t="e">
        <f t="shared" si="7"/>
        <v>#N/A</v>
      </c>
    </row>
    <row r="327" spans="1:26" x14ac:dyDescent="0.25">
      <c r="A327" t="s">
        <v>2260</v>
      </c>
      <c r="B327">
        <v>53033031904</v>
      </c>
      <c r="C327" t="s">
        <v>2261</v>
      </c>
      <c r="D327">
        <v>3524</v>
      </c>
      <c r="E327">
        <v>3367</v>
      </c>
      <c r="F327">
        <v>157</v>
      </c>
      <c r="G327">
        <v>3524</v>
      </c>
      <c r="H327">
        <v>3367</v>
      </c>
      <c r="I327">
        <v>157</v>
      </c>
      <c r="J327">
        <v>3132</v>
      </c>
      <c r="K327">
        <v>95</v>
      </c>
      <c r="L327">
        <v>73</v>
      </c>
      <c r="M327">
        <v>0</v>
      </c>
      <c r="N327">
        <v>59</v>
      </c>
      <c r="O327">
        <v>30</v>
      </c>
      <c r="P327">
        <v>6</v>
      </c>
      <c r="Q327">
        <v>0</v>
      </c>
      <c r="R327">
        <v>32</v>
      </c>
      <c r="S327">
        <v>25</v>
      </c>
      <c r="T327">
        <v>7</v>
      </c>
      <c r="U327">
        <v>0</v>
      </c>
      <c r="V327">
        <v>19</v>
      </c>
      <c r="W327">
        <v>7</v>
      </c>
      <c r="X327">
        <v>39</v>
      </c>
      <c r="Y327">
        <v>0</v>
      </c>
      <c r="Z327" t="e">
        <f t="shared" si="7"/>
        <v>#N/A</v>
      </c>
    </row>
    <row r="328" spans="1:26" x14ac:dyDescent="0.25">
      <c r="A328" t="s">
        <v>2262</v>
      </c>
      <c r="B328">
        <v>53033031906</v>
      </c>
      <c r="C328" t="s">
        <v>2263</v>
      </c>
      <c r="D328">
        <v>2670</v>
      </c>
      <c r="E328">
        <v>2522</v>
      </c>
      <c r="F328">
        <v>148</v>
      </c>
      <c r="G328">
        <v>2670</v>
      </c>
      <c r="H328">
        <v>2522</v>
      </c>
      <c r="I328">
        <v>148</v>
      </c>
      <c r="J328">
        <v>2254</v>
      </c>
      <c r="K328">
        <v>41</v>
      </c>
      <c r="L328">
        <v>41</v>
      </c>
      <c r="M328">
        <v>8</v>
      </c>
      <c r="N328">
        <v>23</v>
      </c>
      <c r="O328">
        <v>0</v>
      </c>
      <c r="P328">
        <v>32</v>
      </c>
      <c r="Q328">
        <v>0</v>
      </c>
      <c r="R328">
        <v>65</v>
      </c>
      <c r="S328">
        <v>97</v>
      </c>
      <c r="T328">
        <v>0</v>
      </c>
      <c r="U328">
        <v>0</v>
      </c>
      <c r="V328">
        <v>0</v>
      </c>
      <c r="W328">
        <v>2</v>
      </c>
      <c r="X328">
        <v>107</v>
      </c>
      <c r="Y328">
        <v>0</v>
      </c>
      <c r="Z328" t="e">
        <f t="shared" si="7"/>
        <v>#N/A</v>
      </c>
    </row>
    <row r="329" spans="1:26" x14ac:dyDescent="0.25">
      <c r="A329" t="s">
        <v>2264</v>
      </c>
      <c r="B329">
        <v>53033031907</v>
      </c>
      <c r="C329" t="s">
        <v>2265</v>
      </c>
      <c r="D329">
        <v>5686</v>
      </c>
      <c r="E329">
        <v>4769</v>
      </c>
      <c r="F329">
        <v>917</v>
      </c>
      <c r="G329">
        <v>5686</v>
      </c>
      <c r="H329">
        <v>4769</v>
      </c>
      <c r="I329">
        <v>917</v>
      </c>
      <c r="J329">
        <v>3829</v>
      </c>
      <c r="K329">
        <v>240</v>
      </c>
      <c r="L329">
        <v>73</v>
      </c>
      <c r="M329">
        <v>17</v>
      </c>
      <c r="N329">
        <v>204</v>
      </c>
      <c r="O329">
        <v>39</v>
      </c>
      <c r="P329">
        <v>21</v>
      </c>
      <c r="Q329">
        <v>11</v>
      </c>
      <c r="R329">
        <v>422</v>
      </c>
      <c r="S329">
        <v>521</v>
      </c>
      <c r="T329">
        <v>17</v>
      </c>
      <c r="U329">
        <v>8</v>
      </c>
      <c r="V329">
        <v>28</v>
      </c>
      <c r="W329">
        <v>65</v>
      </c>
      <c r="X329">
        <v>175</v>
      </c>
      <c r="Y329">
        <v>16</v>
      </c>
      <c r="Z329" t="e">
        <f t="shared" si="7"/>
        <v>#N/A</v>
      </c>
    </row>
    <row r="330" spans="1:26" x14ac:dyDescent="0.25">
      <c r="A330" t="s">
        <v>2266</v>
      </c>
      <c r="B330">
        <v>53033031908</v>
      </c>
      <c r="C330" t="s">
        <v>2267</v>
      </c>
      <c r="D330">
        <v>4419</v>
      </c>
      <c r="E330">
        <v>3854</v>
      </c>
      <c r="F330">
        <v>565</v>
      </c>
      <c r="G330">
        <v>4419</v>
      </c>
      <c r="H330">
        <v>3854</v>
      </c>
      <c r="I330">
        <v>565</v>
      </c>
      <c r="J330">
        <v>3035</v>
      </c>
      <c r="K330">
        <v>212</v>
      </c>
      <c r="L330">
        <v>91</v>
      </c>
      <c r="M330">
        <v>9</v>
      </c>
      <c r="N330">
        <v>203</v>
      </c>
      <c r="O330">
        <v>40</v>
      </c>
      <c r="P330">
        <v>0</v>
      </c>
      <c r="Q330">
        <v>0</v>
      </c>
      <c r="R330">
        <v>106</v>
      </c>
      <c r="S330">
        <v>267</v>
      </c>
      <c r="T330">
        <v>0</v>
      </c>
      <c r="U330">
        <v>0</v>
      </c>
      <c r="V330">
        <v>49</v>
      </c>
      <c r="W330">
        <v>31</v>
      </c>
      <c r="X330">
        <v>370</v>
      </c>
      <c r="Y330">
        <v>6</v>
      </c>
      <c r="Z330" t="e">
        <f t="shared" si="7"/>
        <v>#N/A</v>
      </c>
    </row>
    <row r="331" spans="1:26" x14ac:dyDescent="0.25">
      <c r="A331" t="s">
        <v>2268</v>
      </c>
      <c r="B331">
        <v>53033031909</v>
      </c>
      <c r="C331" t="s">
        <v>2269</v>
      </c>
      <c r="D331">
        <v>2764</v>
      </c>
      <c r="E331">
        <v>2404</v>
      </c>
      <c r="F331">
        <v>360</v>
      </c>
      <c r="G331">
        <v>2764</v>
      </c>
      <c r="H331">
        <v>2404</v>
      </c>
      <c r="I331">
        <v>360</v>
      </c>
      <c r="J331">
        <v>2043</v>
      </c>
      <c r="K331">
        <v>113</v>
      </c>
      <c r="L331">
        <v>20</v>
      </c>
      <c r="M331">
        <v>0</v>
      </c>
      <c r="N331">
        <v>82</v>
      </c>
      <c r="O331">
        <v>0</v>
      </c>
      <c r="P331">
        <v>0</v>
      </c>
      <c r="Q331">
        <v>0</v>
      </c>
      <c r="R331">
        <v>125</v>
      </c>
      <c r="S331">
        <v>209</v>
      </c>
      <c r="T331">
        <v>7</v>
      </c>
      <c r="U331">
        <v>0</v>
      </c>
      <c r="V331">
        <v>0</v>
      </c>
      <c r="W331">
        <v>8</v>
      </c>
      <c r="X331">
        <v>127</v>
      </c>
      <c r="Y331">
        <v>30</v>
      </c>
      <c r="Z331" t="e">
        <f t="shared" si="7"/>
        <v>#N/A</v>
      </c>
    </row>
    <row r="332" spans="1:26" x14ac:dyDescent="0.25">
      <c r="A332" t="s">
        <v>2270</v>
      </c>
      <c r="B332">
        <v>53033032002</v>
      </c>
      <c r="C332" t="s">
        <v>2271</v>
      </c>
      <c r="D332">
        <v>3038</v>
      </c>
      <c r="E332">
        <v>2854</v>
      </c>
      <c r="F332">
        <v>184</v>
      </c>
      <c r="G332">
        <v>3038</v>
      </c>
      <c r="H332">
        <v>2854</v>
      </c>
      <c r="I332">
        <v>184</v>
      </c>
      <c r="J332">
        <v>2674</v>
      </c>
      <c r="K332">
        <v>70</v>
      </c>
      <c r="L332">
        <v>11</v>
      </c>
      <c r="M332">
        <v>0</v>
      </c>
      <c r="N332">
        <v>21</v>
      </c>
      <c r="O332">
        <v>5</v>
      </c>
      <c r="P332">
        <v>24</v>
      </c>
      <c r="Q332">
        <v>0</v>
      </c>
      <c r="R332">
        <v>15</v>
      </c>
      <c r="S332">
        <v>84</v>
      </c>
      <c r="T332">
        <v>0</v>
      </c>
      <c r="U332">
        <v>0</v>
      </c>
      <c r="V332">
        <v>33</v>
      </c>
      <c r="W332">
        <v>6</v>
      </c>
      <c r="X332">
        <v>76</v>
      </c>
      <c r="Y332">
        <v>19</v>
      </c>
      <c r="Z332" t="e">
        <f t="shared" si="7"/>
        <v>#N/A</v>
      </c>
    </row>
    <row r="333" spans="1:26" x14ac:dyDescent="0.25">
      <c r="A333" t="s">
        <v>2272</v>
      </c>
      <c r="B333">
        <v>53033032003</v>
      </c>
      <c r="C333" t="s">
        <v>2273</v>
      </c>
      <c r="D333">
        <v>4669</v>
      </c>
      <c r="E333">
        <v>4427</v>
      </c>
      <c r="F333">
        <v>242</v>
      </c>
      <c r="G333">
        <v>4669</v>
      </c>
      <c r="H333">
        <v>4427</v>
      </c>
      <c r="I333">
        <v>242</v>
      </c>
      <c r="J333">
        <v>4191</v>
      </c>
      <c r="K333">
        <v>152</v>
      </c>
      <c r="L333">
        <v>65</v>
      </c>
      <c r="M333">
        <v>17</v>
      </c>
      <c r="N333">
        <v>9</v>
      </c>
      <c r="O333">
        <v>0</v>
      </c>
      <c r="P333">
        <v>26</v>
      </c>
      <c r="Q333">
        <v>3</v>
      </c>
      <c r="R333">
        <v>18</v>
      </c>
      <c r="S333">
        <v>11</v>
      </c>
      <c r="T333">
        <v>0</v>
      </c>
      <c r="U333">
        <v>47</v>
      </c>
      <c r="V333">
        <v>6</v>
      </c>
      <c r="W333">
        <v>3</v>
      </c>
      <c r="X333">
        <v>112</v>
      </c>
      <c r="Y333">
        <v>9</v>
      </c>
      <c r="Z333" t="e">
        <f t="shared" si="7"/>
        <v>#N/A</v>
      </c>
    </row>
    <row r="334" spans="1:26" x14ac:dyDescent="0.25">
      <c r="A334" t="s">
        <v>2274</v>
      </c>
      <c r="B334">
        <v>53033032005</v>
      </c>
      <c r="C334" t="s">
        <v>2275</v>
      </c>
      <c r="D334">
        <v>7100</v>
      </c>
      <c r="E334">
        <v>6621</v>
      </c>
      <c r="F334">
        <v>479</v>
      </c>
      <c r="G334">
        <v>7100</v>
      </c>
      <c r="H334">
        <v>6621</v>
      </c>
      <c r="I334">
        <v>479</v>
      </c>
      <c r="J334">
        <v>5717</v>
      </c>
      <c r="K334">
        <v>257</v>
      </c>
      <c r="L334">
        <v>100</v>
      </c>
      <c r="M334">
        <v>0</v>
      </c>
      <c r="N334">
        <v>244</v>
      </c>
      <c r="O334">
        <v>7</v>
      </c>
      <c r="P334">
        <v>45</v>
      </c>
      <c r="Q334">
        <v>0</v>
      </c>
      <c r="R334">
        <v>54</v>
      </c>
      <c r="S334">
        <v>111</v>
      </c>
      <c r="T334">
        <v>30</v>
      </c>
      <c r="U334">
        <v>28</v>
      </c>
      <c r="V334">
        <v>173</v>
      </c>
      <c r="W334">
        <v>49</v>
      </c>
      <c r="X334">
        <v>258</v>
      </c>
      <c r="Y334">
        <v>27</v>
      </c>
      <c r="Z334" t="e">
        <f t="shared" si="7"/>
        <v>#N/A</v>
      </c>
    </row>
    <row r="335" spans="1:26" x14ac:dyDescent="0.25">
      <c r="A335" t="s">
        <v>2276</v>
      </c>
      <c r="B335">
        <v>53033032006</v>
      </c>
      <c r="C335" t="s">
        <v>2277</v>
      </c>
      <c r="D335">
        <v>4097</v>
      </c>
      <c r="E335">
        <v>3909</v>
      </c>
      <c r="F335">
        <v>188</v>
      </c>
      <c r="G335">
        <v>4097</v>
      </c>
      <c r="H335">
        <v>3909</v>
      </c>
      <c r="I335">
        <v>188</v>
      </c>
      <c r="J335">
        <v>3539</v>
      </c>
      <c r="K335">
        <v>116</v>
      </c>
      <c r="L335">
        <v>38</v>
      </c>
      <c r="M335">
        <v>17</v>
      </c>
      <c r="N335">
        <v>15</v>
      </c>
      <c r="O335">
        <v>0</v>
      </c>
      <c r="P335">
        <v>11</v>
      </c>
      <c r="Q335">
        <v>0</v>
      </c>
      <c r="R335">
        <v>154</v>
      </c>
      <c r="S335">
        <v>43</v>
      </c>
      <c r="T335">
        <v>0</v>
      </c>
      <c r="U335">
        <v>0</v>
      </c>
      <c r="V335">
        <v>45</v>
      </c>
      <c r="W335">
        <v>0</v>
      </c>
      <c r="X335">
        <v>107</v>
      </c>
      <c r="Y335">
        <v>12</v>
      </c>
      <c r="Z335" t="e">
        <f t="shared" si="7"/>
        <v>#N/A</v>
      </c>
    </row>
    <row r="336" spans="1:26" x14ac:dyDescent="0.25">
      <c r="A336" t="s">
        <v>2278</v>
      </c>
      <c r="B336">
        <v>53033032007</v>
      </c>
      <c r="C336" t="s">
        <v>2279</v>
      </c>
      <c r="D336">
        <v>3206</v>
      </c>
      <c r="E336">
        <v>2976</v>
      </c>
      <c r="F336">
        <v>230</v>
      </c>
      <c r="G336">
        <v>3206</v>
      </c>
      <c r="H336">
        <v>2976</v>
      </c>
      <c r="I336">
        <v>230</v>
      </c>
      <c r="J336">
        <v>2640</v>
      </c>
      <c r="K336">
        <v>142</v>
      </c>
      <c r="L336">
        <v>12</v>
      </c>
      <c r="M336">
        <v>0</v>
      </c>
      <c r="N336">
        <v>18</v>
      </c>
      <c r="O336">
        <v>0</v>
      </c>
      <c r="P336">
        <v>24</v>
      </c>
      <c r="Q336">
        <v>0</v>
      </c>
      <c r="R336">
        <v>171</v>
      </c>
      <c r="S336">
        <v>64</v>
      </c>
      <c r="T336">
        <v>7</v>
      </c>
      <c r="U336">
        <v>7</v>
      </c>
      <c r="V336">
        <v>35</v>
      </c>
      <c r="W336">
        <v>14</v>
      </c>
      <c r="X336">
        <v>69</v>
      </c>
      <c r="Y336">
        <v>3</v>
      </c>
      <c r="Z336" t="e">
        <f t="shared" si="7"/>
        <v>#N/A</v>
      </c>
    </row>
    <row r="337" spans="1:26" x14ac:dyDescent="0.25">
      <c r="A337" t="s">
        <v>2280</v>
      </c>
      <c r="B337">
        <v>53033032008</v>
      </c>
      <c r="C337" t="s">
        <v>2281</v>
      </c>
      <c r="D337">
        <v>4148</v>
      </c>
      <c r="E337">
        <v>3971</v>
      </c>
      <c r="F337">
        <v>177</v>
      </c>
      <c r="G337">
        <v>4148</v>
      </c>
      <c r="H337">
        <v>3971</v>
      </c>
      <c r="I337">
        <v>177</v>
      </c>
      <c r="J337">
        <v>3688</v>
      </c>
      <c r="K337">
        <v>100</v>
      </c>
      <c r="L337">
        <v>64</v>
      </c>
      <c r="M337">
        <v>0</v>
      </c>
      <c r="N337">
        <v>26</v>
      </c>
      <c r="O337">
        <v>12</v>
      </c>
      <c r="P337">
        <v>24</v>
      </c>
      <c r="Q337">
        <v>0</v>
      </c>
      <c r="R337">
        <v>37</v>
      </c>
      <c r="S337">
        <v>28</v>
      </c>
      <c r="T337">
        <v>0</v>
      </c>
      <c r="U337">
        <v>0</v>
      </c>
      <c r="V337">
        <v>64</v>
      </c>
      <c r="W337">
        <v>21</v>
      </c>
      <c r="X337">
        <v>68</v>
      </c>
      <c r="Y337">
        <v>16</v>
      </c>
      <c r="Z337" t="e">
        <f t="shared" si="7"/>
        <v>#N/A</v>
      </c>
    </row>
    <row r="338" spans="1:26" x14ac:dyDescent="0.25">
      <c r="A338" t="s">
        <v>2282</v>
      </c>
      <c r="B338">
        <v>53033032009</v>
      </c>
      <c r="C338" t="s">
        <v>2283</v>
      </c>
      <c r="D338">
        <v>5592</v>
      </c>
      <c r="E338">
        <v>5302</v>
      </c>
      <c r="F338">
        <v>290</v>
      </c>
      <c r="G338">
        <v>5592</v>
      </c>
      <c r="H338">
        <v>5302</v>
      </c>
      <c r="I338">
        <v>290</v>
      </c>
      <c r="J338">
        <v>4935</v>
      </c>
      <c r="K338">
        <v>148</v>
      </c>
      <c r="L338">
        <v>66</v>
      </c>
      <c r="M338">
        <v>23</v>
      </c>
      <c r="N338">
        <v>60</v>
      </c>
      <c r="O338">
        <v>0</v>
      </c>
      <c r="P338">
        <v>11</v>
      </c>
      <c r="Q338">
        <v>23</v>
      </c>
      <c r="R338">
        <v>54</v>
      </c>
      <c r="S338">
        <v>80</v>
      </c>
      <c r="T338">
        <v>12</v>
      </c>
      <c r="U338">
        <v>8</v>
      </c>
      <c r="V338">
        <v>24</v>
      </c>
      <c r="W338">
        <v>8</v>
      </c>
      <c r="X338">
        <v>140</v>
      </c>
      <c r="Y338">
        <v>0</v>
      </c>
      <c r="Z338" t="e">
        <f t="shared" si="7"/>
        <v>#N/A</v>
      </c>
    </row>
    <row r="339" spans="1:26" x14ac:dyDescent="0.25">
      <c r="A339" t="s">
        <v>2284</v>
      </c>
      <c r="B339">
        <v>53033032102</v>
      </c>
      <c r="C339" t="s">
        <v>2285</v>
      </c>
      <c r="D339">
        <v>4566</v>
      </c>
      <c r="E339">
        <v>4291</v>
      </c>
      <c r="F339">
        <v>275</v>
      </c>
      <c r="G339">
        <v>4566</v>
      </c>
      <c r="H339">
        <v>4291</v>
      </c>
      <c r="I339">
        <v>275</v>
      </c>
      <c r="J339">
        <v>3998</v>
      </c>
      <c r="K339">
        <v>234</v>
      </c>
      <c r="L339">
        <v>27</v>
      </c>
      <c r="M339">
        <v>10</v>
      </c>
      <c r="N339">
        <v>50</v>
      </c>
      <c r="O339">
        <v>0</v>
      </c>
      <c r="P339">
        <v>26</v>
      </c>
      <c r="Q339">
        <v>0</v>
      </c>
      <c r="R339">
        <v>28</v>
      </c>
      <c r="S339">
        <v>23</v>
      </c>
      <c r="T339">
        <v>5</v>
      </c>
      <c r="U339">
        <v>8</v>
      </c>
      <c r="V339">
        <v>27</v>
      </c>
      <c r="W339">
        <v>0</v>
      </c>
      <c r="X339">
        <v>130</v>
      </c>
      <c r="Y339">
        <v>0</v>
      </c>
      <c r="Z339" t="e">
        <f t="shared" si="7"/>
        <v>#N/A</v>
      </c>
    </row>
    <row r="340" spans="1:26" x14ac:dyDescent="0.25">
      <c r="A340" t="s">
        <v>2286</v>
      </c>
      <c r="B340">
        <v>53033032103</v>
      </c>
      <c r="C340" t="s">
        <v>2287</v>
      </c>
      <c r="D340">
        <v>4452</v>
      </c>
      <c r="E340">
        <v>3841</v>
      </c>
      <c r="F340">
        <v>611</v>
      </c>
      <c r="G340">
        <v>4452</v>
      </c>
      <c r="H340">
        <v>3841</v>
      </c>
      <c r="I340">
        <v>611</v>
      </c>
      <c r="J340">
        <v>3571</v>
      </c>
      <c r="K340">
        <v>212</v>
      </c>
      <c r="L340">
        <v>34</v>
      </c>
      <c r="M340">
        <v>162</v>
      </c>
      <c r="N340">
        <v>5</v>
      </c>
      <c r="O340">
        <v>7</v>
      </c>
      <c r="P340">
        <v>70</v>
      </c>
      <c r="Q340">
        <v>0</v>
      </c>
      <c r="R340">
        <v>57</v>
      </c>
      <c r="S340">
        <v>159</v>
      </c>
      <c r="T340">
        <v>0</v>
      </c>
      <c r="U340">
        <v>0</v>
      </c>
      <c r="V340">
        <v>9</v>
      </c>
      <c r="W340">
        <v>47</v>
      </c>
      <c r="X340">
        <v>95</v>
      </c>
      <c r="Y340">
        <v>24</v>
      </c>
      <c r="Z340" t="e">
        <f t="shared" si="7"/>
        <v>#N/A</v>
      </c>
    </row>
    <row r="341" spans="1:26" x14ac:dyDescent="0.25">
      <c r="A341" t="s">
        <v>2288</v>
      </c>
      <c r="B341">
        <v>53033032104</v>
      </c>
      <c r="C341" t="s">
        <v>2289</v>
      </c>
      <c r="D341">
        <v>5981</v>
      </c>
      <c r="E341">
        <v>5456</v>
      </c>
      <c r="F341">
        <v>525</v>
      </c>
      <c r="G341">
        <v>5981</v>
      </c>
      <c r="H341">
        <v>5456</v>
      </c>
      <c r="I341">
        <v>525</v>
      </c>
      <c r="J341">
        <v>5109</v>
      </c>
      <c r="K341">
        <v>261</v>
      </c>
      <c r="L341">
        <v>93</v>
      </c>
      <c r="M341">
        <v>83</v>
      </c>
      <c r="N341">
        <v>4</v>
      </c>
      <c r="O341">
        <v>8</v>
      </c>
      <c r="P341">
        <v>14</v>
      </c>
      <c r="Q341">
        <v>0</v>
      </c>
      <c r="R341">
        <v>76</v>
      </c>
      <c r="S341">
        <v>123</v>
      </c>
      <c r="T341">
        <v>0</v>
      </c>
      <c r="U341">
        <v>0</v>
      </c>
      <c r="V341">
        <v>0</v>
      </c>
      <c r="W341">
        <v>50</v>
      </c>
      <c r="X341">
        <v>160</v>
      </c>
      <c r="Y341">
        <v>0</v>
      </c>
      <c r="Z341" t="e">
        <f t="shared" si="7"/>
        <v>#N/A</v>
      </c>
    </row>
    <row r="342" spans="1:26" x14ac:dyDescent="0.25">
      <c r="A342" t="s">
        <v>2290</v>
      </c>
      <c r="B342">
        <v>53033032203</v>
      </c>
      <c r="C342" t="s">
        <v>2291</v>
      </c>
      <c r="D342">
        <v>5104</v>
      </c>
      <c r="E342">
        <v>4721</v>
      </c>
      <c r="F342">
        <v>383</v>
      </c>
      <c r="G342">
        <v>5104</v>
      </c>
      <c r="H342">
        <v>4721</v>
      </c>
      <c r="I342">
        <v>383</v>
      </c>
      <c r="J342">
        <v>4358</v>
      </c>
      <c r="K342">
        <v>234</v>
      </c>
      <c r="L342">
        <v>52</v>
      </c>
      <c r="M342">
        <v>0</v>
      </c>
      <c r="N342">
        <v>19</v>
      </c>
      <c r="O342">
        <v>0</v>
      </c>
      <c r="P342">
        <v>77</v>
      </c>
      <c r="Q342">
        <v>0</v>
      </c>
      <c r="R342">
        <v>85</v>
      </c>
      <c r="S342">
        <v>82</v>
      </c>
      <c r="T342">
        <v>14</v>
      </c>
      <c r="U342">
        <v>0</v>
      </c>
      <c r="V342">
        <v>30</v>
      </c>
      <c r="W342">
        <v>16</v>
      </c>
      <c r="X342">
        <v>86</v>
      </c>
      <c r="Y342">
        <v>51</v>
      </c>
      <c r="Z342" t="e">
        <f t="shared" si="7"/>
        <v>#N/A</v>
      </c>
    </row>
    <row r="343" spans="1:26" x14ac:dyDescent="0.25">
      <c r="A343" t="s">
        <v>2292</v>
      </c>
      <c r="B343">
        <v>53033032207</v>
      </c>
      <c r="C343" t="s">
        <v>2293</v>
      </c>
      <c r="D343">
        <v>2869</v>
      </c>
      <c r="E343">
        <v>2664</v>
      </c>
      <c r="F343">
        <v>205</v>
      </c>
      <c r="G343">
        <v>2869</v>
      </c>
      <c r="H343">
        <v>2664</v>
      </c>
      <c r="I343">
        <v>205</v>
      </c>
      <c r="J343">
        <v>2520</v>
      </c>
      <c r="K343">
        <v>87</v>
      </c>
      <c r="L343">
        <v>0</v>
      </c>
      <c r="M343">
        <v>0</v>
      </c>
      <c r="N343">
        <v>19</v>
      </c>
      <c r="O343">
        <v>0</v>
      </c>
      <c r="P343">
        <v>0</v>
      </c>
      <c r="Q343">
        <v>0</v>
      </c>
      <c r="R343">
        <v>97</v>
      </c>
      <c r="S343">
        <v>88</v>
      </c>
      <c r="T343">
        <v>0</v>
      </c>
      <c r="U343">
        <v>20</v>
      </c>
      <c r="V343">
        <v>0</v>
      </c>
      <c r="W343">
        <v>10</v>
      </c>
      <c r="X343">
        <v>28</v>
      </c>
      <c r="Y343">
        <v>0</v>
      </c>
      <c r="Z343" t="e">
        <f t="shared" si="7"/>
        <v>#N/A</v>
      </c>
    </row>
    <row r="344" spans="1:26" x14ac:dyDescent="0.25">
      <c r="A344" t="s">
        <v>2294</v>
      </c>
      <c r="B344">
        <v>53033032208</v>
      </c>
      <c r="C344" t="s">
        <v>2295</v>
      </c>
      <c r="D344">
        <v>4356</v>
      </c>
      <c r="E344">
        <v>3906</v>
      </c>
      <c r="F344">
        <v>450</v>
      </c>
      <c r="G344">
        <v>4356</v>
      </c>
      <c r="H344">
        <v>3906</v>
      </c>
      <c r="I344">
        <v>450</v>
      </c>
      <c r="J344">
        <v>3573</v>
      </c>
      <c r="K344">
        <v>284</v>
      </c>
      <c r="L344">
        <v>26</v>
      </c>
      <c r="M344">
        <v>16</v>
      </c>
      <c r="N344">
        <v>26</v>
      </c>
      <c r="O344">
        <v>0</v>
      </c>
      <c r="P344">
        <v>21</v>
      </c>
      <c r="Q344">
        <v>0</v>
      </c>
      <c r="R344">
        <v>185</v>
      </c>
      <c r="S344">
        <v>127</v>
      </c>
      <c r="T344">
        <v>0</v>
      </c>
      <c r="U344">
        <v>0</v>
      </c>
      <c r="V344">
        <v>0</v>
      </c>
      <c r="W344">
        <v>0</v>
      </c>
      <c r="X344">
        <v>75</v>
      </c>
      <c r="Y344">
        <v>23</v>
      </c>
      <c r="Z344" t="e">
        <f t="shared" si="7"/>
        <v>#N/A</v>
      </c>
    </row>
    <row r="345" spans="1:26" x14ac:dyDescent="0.25">
      <c r="A345" t="s">
        <v>2296</v>
      </c>
      <c r="B345">
        <v>53033032209</v>
      </c>
      <c r="C345" t="s">
        <v>2297</v>
      </c>
      <c r="D345">
        <v>7872</v>
      </c>
      <c r="E345">
        <v>6900</v>
      </c>
      <c r="F345">
        <v>972</v>
      </c>
      <c r="G345">
        <v>7872</v>
      </c>
      <c r="H345">
        <v>6900</v>
      </c>
      <c r="I345">
        <v>972</v>
      </c>
      <c r="J345">
        <v>6153</v>
      </c>
      <c r="K345">
        <v>418</v>
      </c>
      <c r="L345">
        <v>165</v>
      </c>
      <c r="M345">
        <v>41</v>
      </c>
      <c r="N345">
        <v>46</v>
      </c>
      <c r="O345">
        <v>10</v>
      </c>
      <c r="P345">
        <v>30</v>
      </c>
      <c r="Q345">
        <v>0</v>
      </c>
      <c r="R345">
        <v>177</v>
      </c>
      <c r="S345">
        <v>413</v>
      </c>
      <c r="T345">
        <v>13</v>
      </c>
      <c r="U345">
        <v>0</v>
      </c>
      <c r="V345">
        <v>66</v>
      </c>
      <c r="W345">
        <v>21</v>
      </c>
      <c r="X345">
        <v>250</v>
      </c>
      <c r="Y345">
        <v>69</v>
      </c>
      <c r="Z345" t="e">
        <f t="shared" si="7"/>
        <v>#N/A</v>
      </c>
    </row>
    <row r="346" spans="1:26" x14ac:dyDescent="0.25">
      <c r="A346" t="s">
        <v>2298</v>
      </c>
      <c r="B346">
        <v>53033032210</v>
      </c>
      <c r="C346" t="s">
        <v>2299</v>
      </c>
      <c r="D346">
        <v>2059</v>
      </c>
      <c r="E346">
        <v>1923</v>
      </c>
      <c r="F346">
        <v>136</v>
      </c>
      <c r="G346">
        <v>2059</v>
      </c>
      <c r="H346">
        <v>1923</v>
      </c>
      <c r="I346">
        <v>136</v>
      </c>
      <c r="J346">
        <v>1833</v>
      </c>
      <c r="K346">
        <v>92</v>
      </c>
      <c r="L346">
        <v>29</v>
      </c>
      <c r="M346">
        <v>0</v>
      </c>
      <c r="N346">
        <v>0</v>
      </c>
      <c r="O346">
        <v>0</v>
      </c>
      <c r="P346">
        <v>11</v>
      </c>
      <c r="Q346">
        <v>0</v>
      </c>
      <c r="R346">
        <v>0</v>
      </c>
      <c r="S346">
        <v>44</v>
      </c>
      <c r="T346">
        <v>0</v>
      </c>
      <c r="U346">
        <v>0</v>
      </c>
      <c r="V346">
        <v>9</v>
      </c>
      <c r="W346">
        <v>0</v>
      </c>
      <c r="X346">
        <v>41</v>
      </c>
      <c r="Y346">
        <v>0</v>
      </c>
      <c r="Z346" t="e">
        <f t="shared" si="7"/>
        <v>#N/A</v>
      </c>
    </row>
    <row r="347" spans="1:26" x14ac:dyDescent="0.25">
      <c r="A347" t="s">
        <v>2300</v>
      </c>
      <c r="B347">
        <v>53033032211</v>
      </c>
      <c r="C347" t="s">
        <v>2301</v>
      </c>
      <c r="D347">
        <v>5002</v>
      </c>
      <c r="E347">
        <v>4184</v>
      </c>
      <c r="F347">
        <v>818</v>
      </c>
      <c r="G347">
        <v>5002</v>
      </c>
      <c r="H347">
        <v>4184</v>
      </c>
      <c r="I347">
        <v>818</v>
      </c>
      <c r="J347">
        <v>3617</v>
      </c>
      <c r="K347">
        <v>259</v>
      </c>
      <c r="L347">
        <v>56</v>
      </c>
      <c r="M347">
        <v>8</v>
      </c>
      <c r="N347">
        <v>29</v>
      </c>
      <c r="O347">
        <v>0</v>
      </c>
      <c r="P347">
        <v>0</v>
      </c>
      <c r="Q347">
        <v>0</v>
      </c>
      <c r="R347">
        <v>258</v>
      </c>
      <c r="S347">
        <v>529</v>
      </c>
      <c r="T347">
        <v>0</v>
      </c>
      <c r="U347">
        <v>0</v>
      </c>
      <c r="V347">
        <v>68</v>
      </c>
      <c r="W347">
        <v>16</v>
      </c>
      <c r="X347">
        <v>156</v>
      </c>
      <c r="Y347">
        <v>6</v>
      </c>
      <c r="Z347" t="e">
        <f t="shared" si="7"/>
        <v>#N/A</v>
      </c>
    </row>
    <row r="348" spans="1:26" x14ac:dyDescent="0.25">
      <c r="A348" t="s">
        <v>2302</v>
      </c>
      <c r="B348">
        <v>53033032212</v>
      </c>
      <c r="C348" t="s">
        <v>2303</v>
      </c>
      <c r="D348">
        <v>7976</v>
      </c>
      <c r="E348">
        <v>6641</v>
      </c>
      <c r="F348">
        <v>1335</v>
      </c>
      <c r="G348">
        <v>7976</v>
      </c>
      <c r="H348">
        <v>6641</v>
      </c>
      <c r="I348">
        <v>1335</v>
      </c>
      <c r="J348">
        <v>5658</v>
      </c>
      <c r="K348">
        <v>429</v>
      </c>
      <c r="L348">
        <v>77</v>
      </c>
      <c r="M348">
        <v>51</v>
      </c>
      <c r="N348">
        <v>64</v>
      </c>
      <c r="O348">
        <v>12</v>
      </c>
      <c r="P348">
        <v>41</v>
      </c>
      <c r="Q348">
        <v>0</v>
      </c>
      <c r="R348">
        <v>476</v>
      </c>
      <c r="S348">
        <v>735</v>
      </c>
      <c r="T348">
        <v>26</v>
      </c>
      <c r="U348">
        <v>0</v>
      </c>
      <c r="V348">
        <v>46</v>
      </c>
      <c r="W348">
        <v>0</v>
      </c>
      <c r="X348">
        <v>253</v>
      </c>
      <c r="Y348">
        <v>108</v>
      </c>
      <c r="Z348" t="e">
        <f t="shared" si="7"/>
        <v>#N/A</v>
      </c>
    </row>
    <row r="349" spans="1:26" x14ac:dyDescent="0.25">
      <c r="A349" t="s">
        <v>2304</v>
      </c>
      <c r="B349">
        <v>53033032307</v>
      </c>
      <c r="C349" t="s">
        <v>2305</v>
      </c>
      <c r="D349">
        <v>6771</v>
      </c>
      <c r="E349">
        <v>6334</v>
      </c>
      <c r="F349">
        <v>437</v>
      </c>
      <c r="G349">
        <v>6771</v>
      </c>
      <c r="H349">
        <v>6334</v>
      </c>
      <c r="I349">
        <v>437</v>
      </c>
      <c r="J349">
        <v>5762</v>
      </c>
      <c r="K349">
        <v>276</v>
      </c>
      <c r="L349">
        <v>84</v>
      </c>
      <c r="M349">
        <v>0</v>
      </c>
      <c r="N349">
        <v>61</v>
      </c>
      <c r="O349">
        <v>0</v>
      </c>
      <c r="P349">
        <v>48</v>
      </c>
      <c r="Q349">
        <v>0</v>
      </c>
      <c r="R349">
        <v>182</v>
      </c>
      <c r="S349">
        <v>145</v>
      </c>
      <c r="T349">
        <v>0</v>
      </c>
      <c r="U349">
        <v>0</v>
      </c>
      <c r="V349">
        <v>79</v>
      </c>
      <c r="W349">
        <v>0</v>
      </c>
      <c r="X349">
        <v>118</v>
      </c>
      <c r="Y349">
        <v>16</v>
      </c>
      <c r="Z349" t="e">
        <f t="shared" si="7"/>
        <v>#N/A</v>
      </c>
    </row>
    <row r="350" spans="1:26" x14ac:dyDescent="0.25">
      <c r="A350" t="s">
        <v>2306</v>
      </c>
      <c r="B350">
        <v>53033032309</v>
      </c>
      <c r="C350" t="s">
        <v>2307</v>
      </c>
      <c r="D350">
        <v>3642</v>
      </c>
      <c r="E350">
        <v>2889</v>
      </c>
      <c r="F350">
        <v>753</v>
      </c>
      <c r="G350">
        <v>3642</v>
      </c>
      <c r="H350">
        <v>2889</v>
      </c>
      <c r="I350">
        <v>753</v>
      </c>
      <c r="J350">
        <v>2531</v>
      </c>
      <c r="K350">
        <v>372</v>
      </c>
      <c r="L350">
        <v>26</v>
      </c>
      <c r="M350">
        <v>60</v>
      </c>
      <c r="N350">
        <v>56</v>
      </c>
      <c r="O350">
        <v>0</v>
      </c>
      <c r="P350">
        <v>9</v>
      </c>
      <c r="Q350">
        <v>0</v>
      </c>
      <c r="R350">
        <v>55</v>
      </c>
      <c r="S350">
        <v>233</v>
      </c>
      <c r="T350">
        <v>0</v>
      </c>
      <c r="U350">
        <v>0</v>
      </c>
      <c r="V350">
        <v>28</v>
      </c>
      <c r="W350">
        <v>74</v>
      </c>
      <c r="X350">
        <v>184</v>
      </c>
      <c r="Y350">
        <v>14</v>
      </c>
      <c r="Z350" t="e">
        <f t="shared" si="7"/>
        <v>#N/A</v>
      </c>
    </row>
    <row r="351" spans="1:26" x14ac:dyDescent="0.25">
      <c r="A351" t="s">
        <v>2308</v>
      </c>
      <c r="B351">
        <v>53033032311</v>
      </c>
      <c r="C351" t="s">
        <v>2309</v>
      </c>
      <c r="D351">
        <v>6130</v>
      </c>
      <c r="E351">
        <v>5668</v>
      </c>
      <c r="F351">
        <v>462</v>
      </c>
      <c r="G351">
        <v>6130</v>
      </c>
      <c r="H351">
        <v>5668</v>
      </c>
      <c r="I351">
        <v>462</v>
      </c>
      <c r="J351">
        <v>5275</v>
      </c>
      <c r="K351">
        <v>203</v>
      </c>
      <c r="L351">
        <v>98</v>
      </c>
      <c r="M351">
        <v>34</v>
      </c>
      <c r="N351">
        <v>23</v>
      </c>
      <c r="O351">
        <v>8</v>
      </c>
      <c r="P351">
        <v>7</v>
      </c>
      <c r="Q351">
        <v>0</v>
      </c>
      <c r="R351">
        <v>85</v>
      </c>
      <c r="S351">
        <v>178</v>
      </c>
      <c r="T351">
        <v>17</v>
      </c>
      <c r="U351">
        <v>0</v>
      </c>
      <c r="V351">
        <v>69</v>
      </c>
      <c r="W351">
        <v>13</v>
      </c>
      <c r="X351">
        <v>94</v>
      </c>
      <c r="Y351">
        <v>26</v>
      </c>
      <c r="Z351" t="e">
        <f t="shared" si="7"/>
        <v>#N/A</v>
      </c>
    </row>
    <row r="352" spans="1:26" x14ac:dyDescent="0.25">
      <c r="A352" t="s">
        <v>2310</v>
      </c>
      <c r="B352">
        <v>53033032312</v>
      </c>
      <c r="C352" t="s">
        <v>2311</v>
      </c>
      <c r="D352">
        <v>5135</v>
      </c>
      <c r="E352">
        <v>4541</v>
      </c>
      <c r="F352">
        <v>594</v>
      </c>
      <c r="G352">
        <v>5135</v>
      </c>
      <c r="H352">
        <v>4541</v>
      </c>
      <c r="I352">
        <v>594</v>
      </c>
      <c r="J352">
        <v>4130</v>
      </c>
      <c r="K352">
        <v>299</v>
      </c>
      <c r="L352">
        <v>78</v>
      </c>
      <c r="M352">
        <v>0</v>
      </c>
      <c r="N352">
        <v>79</v>
      </c>
      <c r="O352">
        <v>12</v>
      </c>
      <c r="P352">
        <v>7</v>
      </c>
      <c r="Q352">
        <v>0</v>
      </c>
      <c r="R352">
        <v>105</v>
      </c>
      <c r="S352">
        <v>171</v>
      </c>
      <c r="T352">
        <v>0</v>
      </c>
      <c r="U352">
        <v>0</v>
      </c>
      <c r="V352">
        <v>0</v>
      </c>
      <c r="W352">
        <v>100</v>
      </c>
      <c r="X352">
        <v>142</v>
      </c>
      <c r="Y352">
        <v>12</v>
      </c>
      <c r="Z352" t="e">
        <f t="shared" si="7"/>
        <v>#N/A</v>
      </c>
    </row>
    <row r="353" spans="1:26" x14ac:dyDescent="0.25">
      <c r="A353" t="s">
        <v>2312</v>
      </c>
      <c r="B353">
        <v>53033032313</v>
      </c>
      <c r="C353" t="s">
        <v>2313</v>
      </c>
      <c r="D353">
        <v>3709</v>
      </c>
      <c r="E353">
        <v>2909</v>
      </c>
      <c r="F353">
        <v>800</v>
      </c>
      <c r="G353">
        <v>3709</v>
      </c>
      <c r="H353">
        <v>2909</v>
      </c>
      <c r="I353">
        <v>800</v>
      </c>
      <c r="J353">
        <v>2485</v>
      </c>
      <c r="K353">
        <v>194</v>
      </c>
      <c r="L353">
        <v>57</v>
      </c>
      <c r="M353">
        <v>88</v>
      </c>
      <c r="N353">
        <v>29</v>
      </c>
      <c r="O353">
        <v>0</v>
      </c>
      <c r="P353">
        <v>47</v>
      </c>
      <c r="Q353">
        <v>14</v>
      </c>
      <c r="R353">
        <v>72</v>
      </c>
      <c r="S353">
        <v>307</v>
      </c>
      <c r="T353">
        <v>86</v>
      </c>
      <c r="U353">
        <v>0</v>
      </c>
      <c r="V353">
        <v>61</v>
      </c>
      <c r="W353">
        <v>187</v>
      </c>
      <c r="X353">
        <v>72</v>
      </c>
      <c r="Y353">
        <v>10</v>
      </c>
      <c r="Z353" t="e">
        <f t="shared" si="7"/>
        <v>#N/A</v>
      </c>
    </row>
    <row r="354" spans="1:26" x14ac:dyDescent="0.25">
      <c r="A354" t="s">
        <v>2314</v>
      </c>
      <c r="B354">
        <v>53033032314</v>
      </c>
      <c r="C354" t="s">
        <v>2315</v>
      </c>
      <c r="D354">
        <v>4634</v>
      </c>
      <c r="E354">
        <v>4155</v>
      </c>
      <c r="F354">
        <v>479</v>
      </c>
      <c r="G354">
        <v>4634</v>
      </c>
      <c r="H354">
        <v>4155</v>
      </c>
      <c r="I354">
        <v>479</v>
      </c>
      <c r="J354">
        <v>3920</v>
      </c>
      <c r="K354">
        <v>287</v>
      </c>
      <c r="L354">
        <v>26</v>
      </c>
      <c r="M354">
        <v>49</v>
      </c>
      <c r="N354">
        <v>0</v>
      </c>
      <c r="O354">
        <v>0</v>
      </c>
      <c r="P354">
        <v>0</v>
      </c>
      <c r="Q354">
        <v>0</v>
      </c>
      <c r="R354">
        <v>78</v>
      </c>
      <c r="S354">
        <v>112</v>
      </c>
      <c r="T354">
        <v>0</v>
      </c>
      <c r="U354">
        <v>0</v>
      </c>
      <c r="V354">
        <v>42</v>
      </c>
      <c r="W354">
        <v>8</v>
      </c>
      <c r="X354">
        <v>89</v>
      </c>
      <c r="Y354">
        <v>23</v>
      </c>
      <c r="Z354" t="e">
        <f t="shared" si="7"/>
        <v>#N/A</v>
      </c>
    </row>
    <row r="355" spans="1:26" x14ac:dyDescent="0.25">
      <c r="A355" t="s">
        <v>2316</v>
      </c>
      <c r="B355">
        <v>53033032315</v>
      </c>
      <c r="C355" t="s">
        <v>2317</v>
      </c>
      <c r="D355">
        <v>5016</v>
      </c>
      <c r="E355">
        <v>4509</v>
      </c>
      <c r="F355">
        <v>507</v>
      </c>
      <c r="G355">
        <v>5016</v>
      </c>
      <c r="H355">
        <v>4509</v>
      </c>
      <c r="I355">
        <v>507</v>
      </c>
      <c r="J355">
        <v>4190</v>
      </c>
      <c r="K355">
        <v>398</v>
      </c>
      <c r="L355">
        <v>20</v>
      </c>
      <c r="M355">
        <v>0</v>
      </c>
      <c r="N355">
        <v>71</v>
      </c>
      <c r="O355">
        <v>0</v>
      </c>
      <c r="P355">
        <v>8</v>
      </c>
      <c r="Q355">
        <v>0</v>
      </c>
      <c r="R355">
        <v>66</v>
      </c>
      <c r="S355">
        <v>101</v>
      </c>
      <c r="T355">
        <v>0</v>
      </c>
      <c r="U355">
        <v>0</v>
      </c>
      <c r="V355">
        <v>28</v>
      </c>
      <c r="W355">
        <v>8</v>
      </c>
      <c r="X355">
        <v>126</v>
      </c>
      <c r="Y355">
        <v>0</v>
      </c>
      <c r="Z355" t="e">
        <f t="shared" si="7"/>
        <v>#N/A</v>
      </c>
    </row>
    <row r="356" spans="1:26" x14ac:dyDescent="0.25">
      <c r="A356" t="s">
        <v>2318</v>
      </c>
      <c r="B356">
        <v>53033032316</v>
      </c>
      <c r="C356" t="s">
        <v>2319</v>
      </c>
      <c r="D356">
        <v>4220</v>
      </c>
      <c r="E356">
        <v>3615</v>
      </c>
      <c r="F356">
        <v>605</v>
      </c>
      <c r="G356">
        <v>4220</v>
      </c>
      <c r="H356">
        <v>3615</v>
      </c>
      <c r="I356">
        <v>605</v>
      </c>
      <c r="J356">
        <v>3358</v>
      </c>
      <c r="K356">
        <v>255</v>
      </c>
      <c r="L356">
        <v>61</v>
      </c>
      <c r="M356">
        <v>14</v>
      </c>
      <c r="N356">
        <v>16</v>
      </c>
      <c r="O356">
        <v>0</v>
      </c>
      <c r="P356">
        <v>15</v>
      </c>
      <c r="Q356">
        <v>10</v>
      </c>
      <c r="R356">
        <v>90</v>
      </c>
      <c r="S356">
        <v>253</v>
      </c>
      <c r="T356">
        <v>11</v>
      </c>
      <c r="U356">
        <v>0</v>
      </c>
      <c r="V356">
        <v>12</v>
      </c>
      <c r="W356">
        <v>0</v>
      </c>
      <c r="X356">
        <v>52</v>
      </c>
      <c r="Y356">
        <v>73</v>
      </c>
      <c r="Z356" t="e">
        <f t="shared" si="7"/>
        <v>#N/A</v>
      </c>
    </row>
    <row r="357" spans="1:26" x14ac:dyDescent="0.25">
      <c r="A357" t="s">
        <v>2320</v>
      </c>
      <c r="B357">
        <v>53033032317</v>
      </c>
      <c r="C357" t="s">
        <v>2321</v>
      </c>
      <c r="D357">
        <v>6324</v>
      </c>
      <c r="E357">
        <v>5738</v>
      </c>
      <c r="F357">
        <v>586</v>
      </c>
      <c r="G357">
        <v>6324</v>
      </c>
      <c r="H357">
        <v>5738</v>
      </c>
      <c r="I357">
        <v>586</v>
      </c>
      <c r="J357">
        <v>5194</v>
      </c>
      <c r="K357">
        <v>414</v>
      </c>
      <c r="L357">
        <v>119</v>
      </c>
      <c r="M357">
        <v>0</v>
      </c>
      <c r="N357">
        <v>48</v>
      </c>
      <c r="O357">
        <v>11</v>
      </c>
      <c r="P357">
        <v>0</v>
      </c>
      <c r="Q357">
        <v>0</v>
      </c>
      <c r="R357">
        <v>82</v>
      </c>
      <c r="S357">
        <v>142</v>
      </c>
      <c r="T357">
        <v>0</v>
      </c>
      <c r="U357">
        <v>0</v>
      </c>
      <c r="V357">
        <v>23</v>
      </c>
      <c r="W357">
        <v>5</v>
      </c>
      <c r="X357">
        <v>272</v>
      </c>
      <c r="Y357">
        <v>14</v>
      </c>
      <c r="Z357" t="e">
        <f t="shared" si="7"/>
        <v>#N/A</v>
      </c>
    </row>
    <row r="358" spans="1:26" x14ac:dyDescent="0.25">
      <c r="A358" t="s">
        <v>2322</v>
      </c>
      <c r="B358">
        <v>53033032318</v>
      </c>
      <c r="C358" t="s">
        <v>2323</v>
      </c>
      <c r="D358">
        <v>4828</v>
      </c>
      <c r="E358">
        <v>4199</v>
      </c>
      <c r="F358">
        <v>629</v>
      </c>
      <c r="G358">
        <v>4828</v>
      </c>
      <c r="H358">
        <v>4199</v>
      </c>
      <c r="I358">
        <v>629</v>
      </c>
      <c r="J358">
        <v>3775</v>
      </c>
      <c r="K358">
        <v>269</v>
      </c>
      <c r="L358">
        <v>18</v>
      </c>
      <c r="M358">
        <v>0</v>
      </c>
      <c r="N358">
        <v>38</v>
      </c>
      <c r="O358">
        <v>0</v>
      </c>
      <c r="P358">
        <v>13</v>
      </c>
      <c r="Q358">
        <v>0</v>
      </c>
      <c r="R358">
        <v>145</v>
      </c>
      <c r="S358">
        <v>360</v>
      </c>
      <c r="T358">
        <v>0</v>
      </c>
      <c r="U358">
        <v>0</v>
      </c>
      <c r="V358">
        <v>35</v>
      </c>
      <c r="W358">
        <v>0</v>
      </c>
      <c r="X358">
        <v>175</v>
      </c>
      <c r="Y358">
        <v>0</v>
      </c>
      <c r="Z358" t="e">
        <f t="shared" si="7"/>
        <v>#N/A</v>
      </c>
    </row>
    <row r="359" spans="1:26" x14ac:dyDescent="0.25">
      <c r="A359" t="s">
        <v>2324</v>
      </c>
      <c r="B359">
        <v>53033032319</v>
      </c>
      <c r="C359" t="s">
        <v>2325</v>
      </c>
      <c r="D359">
        <v>4529</v>
      </c>
      <c r="E359">
        <v>3812</v>
      </c>
      <c r="F359">
        <v>717</v>
      </c>
      <c r="G359">
        <v>4529</v>
      </c>
      <c r="H359">
        <v>3812</v>
      </c>
      <c r="I359">
        <v>717</v>
      </c>
      <c r="J359">
        <v>3381</v>
      </c>
      <c r="K359">
        <v>173</v>
      </c>
      <c r="L359">
        <v>92</v>
      </c>
      <c r="M359">
        <v>139</v>
      </c>
      <c r="N359">
        <v>11</v>
      </c>
      <c r="O359">
        <v>0</v>
      </c>
      <c r="P359">
        <v>62</v>
      </c>
      <c r="Q359">
        <v>0</v>
      </c>
      <c r="R359">
        <v>88</v>
      </c>
      <c r="S359">
        <v>90</v>
      </c>
      <c r="T359">
        <v>7</v>
      </c>
      <c r="U359">
        <v>0</v>
      </c>
      <c r="V359">
        <v>62</v>
      </c>
      <c r="W359">
        <v>239</v>
      </c>
      <c r="X359">
        <v>109</v>
      </c>
      <c r="Y359">
        <v>76</v>
      </c>
      <c r="Z359" t="e">
        <f t="shared" si="7"/>
        <v>#N/A</v>
      </c>
    </row>
    <row r="360" spans="1:26" x14ac:dyDescent="0.25">
      <c r="A360" t="s">
        <v>2326</v>
      </c>
      <c r="B360">
        <v>53033032320</v>
      </c>
      <c r="C360" t="s">
        <v>2327</v>
      </c>
      <c r="D360">
        <v>4074</v>
      </c>
      <c r="E360">
        <v>3796</v>
      </c>
      <c r="F360">
        <v>278</v>
      </c>
      <c r="G360">
        <v>4074</v>
      </c>
      <c r="H360">
        <v>3796</v>
      </c>
      <c r="I360">
        <v>278</v>
      </c>
      <c r="J360">
        <v>3403</v>
      </c>
      <c r="K360">
        <v>219</v>
      </c>
      <c r="L360">
        <v>13</v>
      </c>
      <c r="M360">
        <v>11</v>
      </c>
      <c r="N360">
        <v>46</v>
      </c>
      <c r="O360">
        <v>5</v>
      </c>
      <c r="P360">
        <v>0</v>
      </c>
      <c r="Q360">
        <v>0</v>
      </c>
      <c r="R360">
        <v>104</v>
      </c>
      <c r="S360">
        <v>7</v>
      </c>
      <c r="T360">
        <v>0</v>
      </c>
      <c r="U360">
        <v>0</v>
      </c>
      <c r="V360">
        <v>62</v>
      </c>
      <c r="W360">
        <v>25</v>
      </c>
      <c r="X360">
        <v>168</v>
      </c>
      <c r="Y360">
        <v>11</v>
      </c>
      <c r="Z360" t="e">
        <f t="shared" si="7"/>
        <v>#N/A</v>
      </c>
    </row>
    <row r="361" spans="1:26" x14ac:dyDescent="0.25">
      <c r="A361" t="s">
        <v>2328</v>
      </c>
      <c r="B361">
        <v>53033032321</v>
      </c>
      <c r="C361" t="s">
        <v>2329</v>
      </c>
      <c r="D361">
        <v>3166</v>
      </c>
      <c r="E361">
        <v>2916</v>
      </c>
      <c r="F361">
        <v>250</v>
      </c>
      <c r="G361">
        <v>3166</v>
      </c>
      <c r="H361">
        <v>2916</v>
      </c>
      <c r="I361">
        <v>250</v>
      </c>
      <c r="J361">
        <v>2745</v>
      </c>
      <c r="K361">
        <v>171</v>
      </c>
      <c r="L361">
        <v>36</v>
      </c>
      <c r="M361">
        <v>0</v>
      </c>
      <c r="N361">
        <v>0</v>
      </c>
      <c r="O361">
        <v>0</v>
      </c>
      <c r="P361">
        <v>17</v>
      </c>
      <c r="Q361">
        <v>0</v>
      </c>
      <c r="R361">
        <v>39</v>
      </c>
      <c r="S361">
        <v>67</v>
      </c>
      <c r="T361">
        <v>0</v>
      </c>
      <c r="U361">
        <v>0</v>
      </c>
      <c r="V361">
        <v>13</v>
      </c>
      <c r="W361">
        <v>12</v>
      </c>
      <c r="X361">
        <v>66</v>
      </c>
      <c r="Y361">
        <v>0</v>
      </c>
      <c r="Z361" t="e">
        <f t="shared" si="7"/>
        <v>#N/A</v>
      </c>
    </row>
    <row r="362" spans="1:26" x14ac:dyDescent="0.25">
      <c r="A362" t="s">
        <v>2330</v>
      </c>
      <c r="B362">
        <v>53033032322</v>
      </c>
      <c r="C362" t="s">
        <v>2331</v>
      </c>
      <c r="D362">
        <v>3644</v>
      </c>
      <c r="E362">
        <v>3189</v>
      </c>
      <c r="F362">
        <v>455</v>
      </c>
      <c r="G362">
        <v>3644</v>
      </c>
      <c r="H362">
        <v>3189</v>
      </c>
      <c r="I362">
        <v>455</v>
      </c>
      <c r="J362">
        <v>2954</v>
      </c>
      <c r="K362">
        <v>251</v>
      </c>
      <c r="L362">
        <v>0</v>
      </c>
      <c r="M362">
        <v>0</v>
      </c>
      <c r="N362">
        <v>26</v>
      </c>
      <c r="O362">
        <v>0</v>
      </c>
      <c r="P362">
        <v>11</v>
      </c>
      <c r="Q362">
        <v>0</v>
      </c>
      <c r="R362">
        <v>84</v>
      </c>
      <c r="S362">
        <v>143</v>
      </c>
      <c r="T362">
        <v>0</v>
      </c>
      <c r="U362">
        <v>0</v>
      </c>
      <c r="V362">
        <v>0</v>
      </c>
      <c r="W362">
        <v>12</v>
      </c>
      <c r="X362">
        <v>114</v>
      </c>
      <c r="Y362">
        <v>49</v>
      </c>
      <c r="Z362" t="e">
        <f t="shared" si="7"/>
        <v>#N/A</v>
      </c>
    </row>
    <row r="363" spans="1:26" x14ac:dyDescent="0.25">
      <c r="A363" t="s">
        <v>2332</v>
      </c>
      <c r="B363">
        <v>53033032323</v>
      </c>
      <c r="C363" t="s">
        <v>2333</v>
      </c>
      <c r="D363">
        <v>5086</v>
      </c>
      <c r="E363">
        <v>4279</v>
      </c>
      <c r="F363">
        <v>807</v>
      </c>
      <c r="G363">
        <v>5086</v>
      </c>
      <c r="H363">
        <v>4279</v>
      </c>
      <c r="I363">
        <v>807</v>
      </c>
      <c r="J363">
        <v>3705</v>
      </c>
      <c r="K363">
        <v>373</v>
      </c>
      <c r="L363">
        <v>26</v>
      </c>
      <c r="M363">
        <v>58</v>
      </c>
      <c r="N363">
        <v>78</v>
      </c>
      <c r="O363">
        <v>12</v>
      </c>
      <c r="P363">
        <v>43</v>
      </c>
      <c r="Q363">
        <v>0</v>
      </c>
      <c r="R363">
        <v>196</v>
      </c>
      <c r="S363">
        <v>345</v>
      </c>
      <c r="T363">
        <v>0</v>
      </c>
      <c r="U363">
        <v>0</v>
      </c>
      <c r="V363">
        <v>48</v>
      </c>
      <c r="W363">
        <v>12</v>
      </c>
      <c r="X363">
        <v>183</v>
      </c>
      <c r="Y363">
        <v>7</v>
      </c>
      <c r="Z363" t="e">
        <f t="shared" si="7"/>
        <v>#N/A</v>
      </c>
    </row>
    <row r="364" spans="1:26" x14ac:dyDescent="0.25">
      <c r="A364" t="s">
        <v>2334</v>
      </c>
      <c r="B364">
        <v>53033032324</v>
      </c>
      <c r="C364" t="s">
        <v>2335</v>
      </c>
      <c r="D364">
        <v>4853</v>
      </c>
      <c r="E364">
        <v>4124</v>
      </c>
      <c r="F364">
        <v>729</v>
      </c>
      <c r="G364">
        <v>4853</v>
      </c>
      <c r="H364">
        <v>4124</v>
      </c>
      <c r="I364">
        <v>729</v>
      </c>
      <c r="J364">
        <v>3706</v>
      </c>
      <c r="K364">
        <v>266</v>
      </c>
      <c r="L364">
        <v>130</v>
      </c>
      <c r="M364">
        <v>89</v>
      </c>
      <c r="N364">
        <v>71</v>
      </c>
      <c r="O364">
        <v>0</v>
      </c>
      <c r="P364">
        <v>5</v>
      </c>
      <c r="Q364">
        <v>0</v>
      </c>
      <c r="R364">
        <v>93</v>
      </c>
      <c r="S364">
        <v>256</v>
      </c>
      <c r="T364">
        <v>0</v>
      </c>
      <c r="U364">
        <v>0</v>
      </c>
      <c r="V364">
        <v>30</v>
      </c>
      <c r="W364">
        <v>84</v>
      </c>
      <c r="X364">
        <v>89</v>
      </c>
      <c r="Y364">
        <v>34</v>
      </c>
      <c r="Z364" t="e">
        <f t="shared" si="7"/>
        <v>#N/A</v>
      </c>
    </row>
    <row r="365" spans="1:26" x14ac:dyDescent="0.25">
      <c r="A365" t="s">
        <v>2336</v>
      </c>
      <c r="B365">
        <v>53033032325</v>
      </c>
      <c r="C365" t="s">
        <v>2337</v>
      </c>
      <c r="D365">
        <v>5358</v>
      </c>
      <c r="E365">
        <v>4124</v>
      </c>
      <c r="F365">
        <v>1234</v>
      </c>
      <c r="G365">
        <v>5358</v>
      </c>
      <c r="H365">
        <v>4124</v>
      </c>
      <c r="I365">
        <v>1234</v>
      </c>
      <c r="J365">
        <v>3522</v>
      </c>
      <c r="K365">
        <v>506</v>
      </c>
      <c r="L365">
        <v>40</v>
      </c>
      <c r="M365">
        <v>146</v>
      </c>
      <c r="N365">
        <v>105</v>
      </c>
      <c r="O365">
        <v>0</v>
      </c>
      <c r="P365">
        <v>17</v>
      </c>
      <c r="Q365">
        <v>0</v>
      </c>
      <c r="R365">
        <v>217</v>
      </c>
      <c r="S365">
        <v>506</v>
      </c>
      <c r="T365">
        <v>0</v>
      </c>
      <c r="U365">
        <v>6</v>
      </c>
      <c r="V365">
        <v>48</v>
      </c>
      <c r="W365">
        <v>36</v>
      </c>
      <c r="X365">
        <v>175</v>
      </c>
      <c r="Y365">
        <v>34</v>
      </c>
      <c r="Z365" t="e">
        <f t="shared" si="7"/>
        <v>#N/A</v>
      </c>
    </row>
    <row r="366" spans="1:26" x14ac:dyDescent="0.25">
      <c r="A366" t="s">
        <v>2338</v>
      </c>
      <c r="B366">
        <v>53033032401</v>
      </c>
      <c r="C366" t="s">
        <v>2339</v>
      </c>
      <c r="D366">
        <v>4689</v>
      </c>
      <c r="E366">
        <v>4438</v>
      </c>
      <c r="F366">
        <v>251</v>
      </c>
      <c r="G366">
        <v>4689</v>
      </c>
      <c r="H366">
        <v>4438</v>
      </c>
      <c r="I366">
        <v>251</v>
      </c>
      <c r="J366">
        <v>4136</v>
      </c>
      <c r="K366">
        <v>163</v>
      </c>
      <c r="L366">
        <v>52</v>
      </c>
      <c r="M366">
        <v>8</v>
      </c>
      <c r="N366">
        <v>62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29</v>
      </c>
      <c r="V366">
        <v>33</v>
      </c>
      <c r="W366">
        <v>23</v>
      </c>
      <c r="X366">
        <v>155</v>
      </c>
      <c r="Y366">
        <v>28</v>
      </c>
      <c r="Z366" t="e">
        <f t="shared" si="7"/>
        <v>#N/A</v>
      </c>
    </row>
    <row r="367" spans="1:26" x14ac:dyDescent="0.25">
      <c r="A367" t="s">
        <v>2340</v>
      </c>
      <c r="B367">
        <v>53033032402</v>
      </c>
      <c r="C367" t="s">
        <v>2341</v>
      </c>
      <c r="D367">
        <v>4982</v>
      </c>
      <c r="E367">
        <v>4736</v>
      </c>
      <c r="F367">
        <v>246</v>
      </c>
      <c r="G367">
        <v>4982</v>
      </c>
      <c r="H367">
        <v>4736</v>
      </c>
      <c r="I367">
        <v>246</v>
      </c>
      <c r="J367">
        <v>4420</v>
      </c>
      <c r="K367">
        <v>151</v>
      </c>
      <c r="L367">
        <v>52</v>
      </c>
      <c r="M367">
        <v>0</v>
      </c>
      <c r="N367">
        <v>76</v>
      </c>
      <c r="O367">
        <v>0</v>
      </c>
      <c r="P367">
        <v>65</v>
      </c>
      <c r="Q367">
        <v>0</v>
      </c>
      <c r="R367">
        <v>57</v>
      </c>
      <c r="S367">
        <v>39</v>
      </c>
      <c r="T367">
        <v>0</v>
      </c>
      <c r="U367">
        <v>0</v>
      </c>
      <c r="V367">
        <v>18</v>
      </c>
      <c r="W367">
        <v>56</v>
      </c>
      <c r="X367">
        <v>48</v>
      </c>
      <c r="Y367">
        <v>0</v>
      </c>
      <c r="Z367" t="e">
        <f t="shared" si="7"/>
        <v>#N/A</v>
      </c>
    </row>
    <row r="368" spans="1:26" x14ac:dyDescent="0.25">
      <c r="A368" t="s">
        <v>2342</v>
      </c>
      <c r="B368">
        <v>53033032500</v>
      </c>
      <c r="C368" t="s">
        <v>2343</v>
      </c>
      <c r="D368">
        <v>4903</v>
      </c>
      <c r="E368">
        <v>4620</v>
      </c>
      <c r="F368">
        <v>283</v>
      </c>
      <c r="G368">
        <v>4903</v>
      </c>
      <c r="H368">
        <v>4620</v>
      </c>
      <c r="I368">
        <v>283</v>
      </c>
      <c r="J368">
        <v>4276</v>
      </c>
      <c r="K368">
        <v>148</v>
      </c>
      <c r="L368">
        <v>65</v>
      </c>
      <c r="M368">
        <v>34</v>
      </c>
      <c r="N368">
        <v>8</v>
      </c>
      <c r="O368">
        <v>3</v>
      </c>
      <c r="P368">
        <v>51</v>
      </c>
      <c r="Q368">
        <v>1</v>
      </c>
      <c r="R368">
        <v>42</v>
      </c>
      <c r="S368">
        <v>43</v>
      </c>
      <c r="T368">
        <v>0</v>
      </c>
      <c r="U368">
        <v>0</v>
      </c>
      <c r="V368">
        <v>29</v>
      </c>
      <c r="W368">
        <v>19</v>
      </c>
      <c r="X368">
        <v>149</v>
      </c>
      <c r="Y368">
        <v>35</v>
      </c>
      <c r="Z368" t="e">
        <f t="shared" si="7"/>
        <v>#N/A</v>
      </c>
    </row>
    <row r="369" spans="1:26" x14ac:dyDescent="0.25">
      <c r="A369" t="s">
        <v>2344</v>
      </c>
      <c r="B369">
        <v>53033032601</v>
      </c>
      <c r="C369" t="s">
        <v>2345</v>
      </c>
      <c r="D369">
        <v>2690</v>
      </c>
      <c r="E369">
        <v>2546</v>
      </c>
      <c r="F369">
        <v>144</v>
      </c>
      <c r="G369">
        <v>2690</v>
      </c>
      <c r="H369">
        <v>2546</v>
      </c>
      <c r="I369">
        <v>144</v>
      </c>
      <c r="J369">
        <v>2381</v>
      </c>
      <c r="K369">
        <v>72</v>
      </c>
      <c r="L369">
        <v>34</v>
      </c>
      <c r="M369">
        <v>35</v>
      </c>
      <c r="N369">
        <v>25</v>
      </c>
      <c r="O369">
        <v>6</v>
      </c>
      <c r="P369">
        <v>19</v>
      </c>
      <c r="Q369">
        <v>0</v>
      </c>
      <c r="R369">
        <v>8</v>
      </c>
      <c r="S369">
        <v>17</v>
      </c>
      <c r="T369">
        <v>0</v>
      </c>
      <c r="U369">
        <v>0</v>
      </c>
      <c r="V369">
        <v>13</v>
      </c>
      <c r="W369">
        <v>14</v>
      </c>
      <c r="X369">
        <v>66</v>
      </c>
      <c r="Y369">
        <v>0</v>
      </c>
      <c r="Z369" t="e">
        <f t="shared" si="7"/>
        <v>#N/A</v>
      </c>
    </row>
    <row r="370" spans="1:26" x14ac:dyDescent="0.25">
      <c r="A370" t="s">
        <v>2346</v>
      </c>
      <c r="B370">
        <v>53033032602</v>
      </c>
      <c r="C370" t="s">
        <v>2347</v>
      </c>
      <c r="D370">
        <v>2587</v>
      </c>
      <c r="E370">
        <v>2466</v>
      </c>
      <c r="F370">
        <v>121</v>
      </c>
      <c r="G370">
        <v>2587</v>
      </c>
      <c r="H370">
        <v>2466</v>
      </c>
      <c r="I370">
        <v>121</v>
      </c>
      <c r="J370">
        <v>2189</v>
      </c>
      <c r="K370">
        <v>84</v>
      </c>
      <c r="L370">
        <v>78</v>
      </c>
      <c r="M370">
        <v>0</v>
      </c>
      <c r="N370">
        <v>37</v>
      </c>
      <c r="O370">
        <v>0</v>
      </c>
      <c r="P370">
        <v>43</v>
      </c>
      <c r="Q370">
        <v>0</v>
      </c>
      <c r="R370">
        <v>40</v>
      </c>
      <c r="S370">
        <v>25</v>
      </c>
      <c r="T370">
        <v>7</v>
      </c>
      <c r="U370">
        <v>0</v>
      </c>
      <c r="V370">
        <v>17</v>
      </c>
      <c r="W370">
        <v>5</v>
      </c>
      <c r="X370">
        <v>55</v>
      </c>
      <c r="Y370">
        <v>7</v>
      </c>
      <c r="Z370" t="e">
        <f t="shared" si="7"/>
        <v>#N/A</v>
      </c>
    </row>
    <row r="371" spans="1:26" x14ac:dyDescent="0.25">
      <c r="A371" t="s">
        <v>2348</v>
      </c>
      <c r="B371">
        <v>53033032702</v>
      </c>
      <c r="C371" t="s">
        <v>2349</v>
      </c>
      <c r="D371">
        <v>6325</v>
      </c>
      <c r="E371">
        <v>5905</v>
      </c>
      <c r="F371">
        <v>420</v>
      </c>
      <c r="G371">
        <v>6325</v>
      </c>
      <c r="H371">
        <v>5905</v>
      </c>
      <c r="I371">
        <v>420</v>
      </c>
      <c r="J371">
        <v>5597</v>
      </c>
      <c r="K371">
        <v>270</v>
      </c>
      <c r="L371">
        <v>74</v>
      </c>
      <c r="M371">
        <v>29</v>
      </c>
      <c r="N371">
        <v>27</v>
      </c>
      <c r="O371">
        <v>0</v>
      </c>
      <c r="P371">
        <v>23</v>
      </c>
      <c r="Q371">
        <v>0</v>
      </c>
      <c r="R371">
        <v>20</v>
      </c>
      <c r="S371">
        <v>80</v>
      </c>
      <c r="T371">
        <v>0</v>
      </c>
      <c r="U371">
        <v>0</v>
      </c>
      <c r="V371">
        <v>52</v>
      </c>
      <c r="W371">
        <v>32</v>
      </c>
      <c r="X371">
        <v>112</v>
      </c>
      <c r="Y371">
        <v>9</v>
      </c>
      <c r="Z371" t="e">
        <f t="shared" si="7"/>
        <v>#N/A</v>
      </c>
    </row>
    <row r="372" spans="1:26" x14ac:dyDescent="0.25">
      <c r="A372" t="s">
        <v>2350</v>
      </c>
      <c r="B372">
        <v>53033032703</v>
      </c>
      <c r="C372" t="s">
        <v>2351</v>
      </c>
      <c r="D372">
        <v>1926</v>
      </c>
      <c r="E372">
        <v>1802</v>
      </c>
      <c r="F372">
        <v>124</v>
      </c>
      <c r="G372">
        <v>1926</v>
      </c>
      <c r="H372">
        <v>1802</v>
      </c>
      <c r="I372">
        <v>124</v>
      </c>
      <c r="J372">
        <v>1655</v>
      </c>
      <c r="K372">
        <v>58</v>
      </c>
      <c r="L372">
        <v>4</v>
      </c>
      <c r="M372">
        <v>0</v>
      </c>
      <c r="N372">
        <v>0</v>
      </c>
      <c r="O372">
        <v>0</v>
      </c>
      <c r="P372">
        <v>55</v>
      </c>
      <c r="Q372">
        <v>0</v>
      </c>
      <c r="R372">
        <v>12</v>
      </c>
      <c r="S372">
        <v>46</v>
      </c>
      <c r="T372">
        <v>10</v>
      </c>
      <c r="U372">
        <v>3</v>
      </c>
      <c r="V372">
        <v>6</v>
      </c>
      <c r="W372">
        <v>17</v>
      </c>
      <c r="X372">
        <v>60</v>
      </c>
      <c r="Y372">
        <v>0</v>
      </c>
      <c r="Z372" t="e">
        <f t="shared" si="7"/>
        <v>#N/A</v>
      </c>
    </row>
    <row r="373" spans="1:26" x14ac:dyDescent="0.25">
      <c r="A373" t="s">
        <v>2352</v>
      </c>
      <c r="B373">
        <v>53033032704</v>
      </c>
      <c r="C373" t="s">
        <v>2353</v>
      </c>
      <c r="D373">
        <v>6095</v>
      </c>
      <c r="E373">
        <v>5735</v>
      </c>
      <c r="F373">
        <v>360</v>
      </c>
      <c r="G373">
        <v>6095</v>
      </c>
      <c r="H373">
        <v>5735</v>
      </c>
      <c r="I373">
        <v>360</v>
      </c>
      <c r="J373">
        <v>5374</v>
      </c>
      <c r="K373">
        <v>211</v>
      </c>
      <c r="L373">
        <v>30</v>
      </c>
      <c r="M373">
        <v>27</v>
      </c>
      <c r="N373">
        <v>37</v>
      </c>
      <c r="O373">
        <v>9</v>
      </c>
      <c r="P373">
        <v>70</v>
      </c>
      <c r="Q373">
        <v>0</v>
      </c>
      <c r="R373">
        <v>38</v>
      </c>
      <c r="S373">
        <v>67</v>
      </c>
      <c r="T373">
        <v>0</v>
      </c>
      <c r="U373">
        <v>0</v>
      </c>
      <c r="V373">
        <v>78</v>
      </c>
      <c r="W373">
        <v>27</v>
      </c>
      <c r="X373">
        <v>108</v>
      </c>
      <c r="Y373">
        <v>19</v>
      </c>
      <c r="Z373" t="e">
        <f t="shared" si="7"/>
        <v>#N/A</v>
      </c>
    </row>
    <row r="374" spans="1:26" x14ac:dyDescent="0.25">
      <c r="A374" t="s">
        <v>2354</v>
      </c>
      <c r="B374">
        <v>53033032800</v>
      </c>
      <c r="C374" t="s">
        <v>2355</v>
      </c>
      <c r="D374">
        <v>2696</v>
      </c>
      <c r="E374">
        <v>2586</v>
      </c>
      <c r="F374">
        <v>110</v>
      </c>
      <c r="G374">
        <v>2696</v>
      </c>
      <c r="H374">
        <v>2586</v>
      </c>
      <c r="I374">
        <v>110</v>
      </c>
      <c r="J374">
        <v>2412</v>
      </c>
      <c r="K374">
        <v>88</v>
      </c>
      <c r="L374">
        <v>21</v>
      </c>
      <c r="M374">
        <v>0</v>
      </c>
      <c r="N374">
        <v>2</v>
      </c>
      <c r="O374">
        <v>0</v>
      </c>
      <c r="P374">
        <v>32</v>
      </c>
      <c r="Q374">
        <v>0</v>
      </c>
      <c r="R374">
        <v>0</v>
      </c>
      <c r="S374">
        <v>4</v>
      </c>
      <c r="T374">
        <v>0</v>
      </c>
      <c r="U374">
        <v>0</v>
      </c>
      <c r="V374">
        <v>0</v>
      </c>
      <c r="W374">
        <v>16</v>
      </c>
      <c r="X374">
        <v>119</v>
      </c>
      <c r="Y374">
        <v>2</v>
      </c>
      <c r="Z374" t="e">
        <f t="shared" si="7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A7A2-6CDE-4FF6-AFBB-0A4E9C4A0A43}">
  <dimension ref="A1:BS502"/>
  <sheetViews>
    <sheetView topLeftCell="BE85" workbookViewId="0">
      <selection activeCell="AZ3" sqref="AZ3:BS3"/>
    </sheetView>
  </sheetViews>
  <sheetFormatPr defaultRowHeight="15" x14ac:dyDescent="0.25"/>
  <cols>
    <col min="3" max="3" width="10.7109375" bestFit="1" customWidth="1"/>
    <col min="6" max="6" width="18.5703125" customWidth="1"/>
    <col min="27" max="27" width="19.28515625" customWidth="1"/>
    <col min="28" max="28" width="22.7109375" customWidth="1"/>
    <col min="52" max="52" width="22.7109375" bestFit="1" customWidth="1"/>
    <col min="53" max="53" width="18.28515625" bestFit="1" customWidth="1"/>
    <col min="54" max="54" width="14.85546875" bestFit="1" customWidth="1"/>
    <col min="55" max="55" width="14.42578125" bestFit="1" customWidth="1"/>
    <col min="56" max="56" width="13.28515625" bestFit="1" customWidth="1"/>
    <col min="57" max="57" width="12.7109375" bestFit="1" customWidth="1"/>
    <col min="58" max="58" width="13.140625" bestFit="1" customWidth="1"/>
    <col min="59" max="59" width="12.5703125" bestFit="1" customWidth="1"/>
    <col min="60" max="60" width="12.28515625" bestFit="1" customWidth="1"/>
    <col min="61" max="67" width="12" bestFit="1" customWidth="1"/>
    <col min="68" max="68" width="12.140625" bestFit="1" customWidth="1"/>
    <col min="69" max="71" width="12" bestFit="1" customWidth="1"/>
  </cols>
  <sheetData>
    <row r="1" spans="1:71" x14ac:dyDescent="0.25">
      <c r="AC1">
        <v>2</v>
      </c>
      <c r="AD1">
        <v>3</v>
      </c>
      <c r="AE1">
        <v>4</v>
      </c>
      <c r="AF1">
        <v>5</v>
      </c>
      <c r="AG1">
        <v>6</v>
      </c>
      <c r="AH1">
        <v>7</v>
      </c>
      <c r="AI1">
        <v>8</v>
      </c>
      <c r="AJ1">
        <v>9</v>
      </c>
      <c r="AK1">
        <v>10</v>
      </c>
      <c r="AL1">
        <v>11</v>
      </c>
      <c r="AM1">
        <v>12</v>
      </c>
      <c r="AN1">
        <v>13</v>
      </c>
      <c r="AO1">
        <v>14</v>
      </c>
      <c r="AP1">
        <v>15</v>
      </c>
      <c r="AQ1">
        <v>16</v>
      </c>
      <c r="AR1">
        <v>17</v>
      </c>
      <c r="AS1">
        <v>18</v>
      </c>
      <c r="AT1">
        <v>19</v>
      </c>
      <c r="AU1">
        <v>20</v>
      </c>
      <c r="AV1">
        <v>21</v>
      </c>
      <c r="AW1">
        <v>22</v>
      </c>
      <c r="AX1">
        <v>23</v>
      </c>
    </row>
    <row r="2" spans="1:71" x14ac:dyDescent="0.25">
      <c r="A2" t="s">
        <v>3341</v>
      </c>
      <c r="B2" t="s">
        <v>3342</v>
      </c>
      <c r="C2" t="s">
        <v>3343</v>
      </c>
      <c r="D2" t="s">
        <v>3344</v>
      </c>
      <c r="E2" t="s">
        <v>3345</v>
      </c>
      <c r="F2" t="s">
        <v>3346</v>
      </c>
      <c r="G2" t="s">
        <v>3347</v>
      </c>
      <c r="H2" t="s">
        <v>3348</v>
      </c>
      <c r="I2" t="s">
        <v>3349</v>
      </c>
      <c r="J2" t="s">
        <v>3350</v>
      </c>
      <c r="K2" t="s">
        <v>3351</v>
      </c>
      <c r="L2" t="s">
        <v>3352</v>
      </c>
      <c r="M2" t="s">
        <v>2905</v>
      </c>
      <c r="N2" t="s">
        <v>2906</v>
      </c>
      <c r="O2" t="s">
        <v>2908</v>
      </c>
      <c r="P2" t="s">
        <v>2909</v>
      </c>
      <c r="Q2" t="s">
        <v>2910</v>
      </c>
      <c r="R2" t="s">
        <v>2911</v>
      </c>
      <c r="S2" t="s">
        <v>3353</v>
      </c>
      <c r="T2" t="s">
        <v>2913</v>
      </c>
      <c r="U2" t="s">
        <v>2914</v>
      </c>
      <c r="V2" t="s">
        <v>2915</v>
      </c>
      <c r="W2" t="s">
        <v>2916</v>
      </c>
      <c r="X2" t="s">
        <v>2893</v>
      </c>
      <c r="Y2" t="s">
        <v>3318</v>
      </c>
      <c r="Z2" t="s">
        <v>3507</v>
      </c>
      <c r="AA2" t="s">
        <v>2907</v>
      </c>
      <c r="AB2" t="s">
        <v>3508</v>
      </c>
      <c r="AC2" t="s">
        <v>226</v>
      </c>
      <c r="AD2" t="s">
        <v>227</v>
      </c>
      <c r="AE2" t="s">
        <v>228</v>
      </c>
      <c r="AF2" t="s">
        <v>229</v>
      </c>
      <c r="AG2" t="s">
        <v>230</v>
      </c>
      <c r="AH2" t="s">
        <v>231</v>
      </c>
      <c r="AI2" t="s">
        <v>232</v>
      </c>
      <c r="AJ2" t="s">
        <v>233</v>
      </c>
      <c r="AK2" t="s">
        <v>234</v>
      </c>
      <c r="AL2" t="s">
        <v>235</v>
      </c>
      <c r="AM2" t="s">
        <v>236</v>
      </c>
      <c r="AN2" t="s">
        <v>237</v>
      </c>
      <c r="AO2" t="s">
        <v>238</v>
      </c>
      <c r="AP2" t="s">
        <v>239</v>
      </c>
      <c r="AQ2" t="s">
        <v>240</v>
      </c>
      <c r="AR2" t="s">
        <v>241</v>
      </c>
      <c r="AS2" t="s">
        <v>242</v>
      </c>
      <c r="AT2" t="s">
        <v>243</v>
      </c>
      <c r="AU2" t="s">
        <v>244</v>
      </c>
      <c r="AV2" t="s">
        <v>245</v>
      </c>
      <c r="AW2" t="s">
        <v>246</v>
      </c>
      <c r="AX2" t="s">
        <v>247</v>
      </c>
      <c r="AZ2" s="1" t="s">
        <v>3319</v>
      </c>
      <c r="BA2" t="s">
        <v>3324</v>
      </c>
      <c r="BB2" t="s">
        <v>3322</v>
      </c>
      <c r="BC2" t="s">
        <v>3323</v>
      </c>
      <c r="BD2" t="s">
        <v>3325</v>
      </c>
      <c r="BE2" t="s">
        <v>3326</v>
      </c>
      <c r="BF2" t="s">
        <v>3327</v>
      </c>
      <c r="BG2" t="s">
        <v>3328</v>
      </c>
      <c r="BH2" t="s">
        <v>3329</v>
      </c>
      <c r="BI2" t="s">
        <v>3330</v>
      </c>
      <c r="BJ2" t="s">
        <v>3331</v>
      </c>
      <c r="BK2" t="s">
        <v>3332</v>
      </c>
      <c r="BL2" t="s">
        <v>3333</v>
      </c>
      <c r="BM2" t="s">
        <v>3334</v>
      </c>
      <c r="BN2" t="s">
        <v>3335</v>
      </c>
      <c r="BO2" t="s">
        <v>3336</v>
      </c>
      <c r="BP2" t="s">
        <v>3337</v>
      </c>
      <c r="BQ2" t="s">
        <v>3338</v>
      </c>
      <c r="BR2" t="s">
        <v>3339</v>
      </c>
      <c r="BS2" t="s">
        <v>3340</v>
      </c>
    </row>
    <row r="3" spans="1:71" x14ac:dyDescent="0.25">
      <c r="A3" t="s">
        <v>2917</v>
      </c>
      <c r="B3" t="s">
        <v>2918</v>
      </c>
      <c r="C3" t="s">
        <v>3140</v>
      </c>
      <c r="D3" t="s">
        <v>2746</v>
      </c>
      <c r="E3" t="s">
        <v>2747</v>
      </c>
      <c r="F3" t="s">
        <v>2748</v>
      </c>
      <c r="G3" t="s">
        <v>2920</v>
      </c>
      <c r="H3" t="s">
        <v>2921</v>
      </c>
      <c r="I3">
        <v>983387</v>
      </c>
      <c r="J3">
        <v>0</v>
      </c>
      <c r="K3" t="s">
        <v>3354</v>
      </c>
      <c r="L3" t="s">
        <v>3355</v>
      </c>
      <c r="M3">
        <v>31</v>
      </c>
      <c r="N3">
        <v>27120.785</v>
      </c>
      <c r="O3" t="s">
        <v>122</v>
      </c>
      <c r="P3">
        <v>6</v>
      </c>
      <c r="Q3">
        <v>9</v>
      </c>
      <c r="R3">
        <v>95</v>
      </c>
      <c r="S3">
        <v>32123118</v>
      </c>
      <c r="T3">
        <v>33</v>
      </c>
      <c r="U3">
        <v>126</v>
      </c>
      <c r="V3">
        <v>27120.785937968081</v>
      </c>
      <c r="W3">
        <v>32123117.878249042</v>
      </c>
      <c r="X3">
        <v>325037.174</v>
      </c>
      <c r="Y3">
        <f>VLOOKUP(AB3,'2000 Seattle Tracts'!$C$2:$Z$374,24,FALSE)</f>
        <v>983389.18299999996</v>
      </c>
      <c r="Z3">
        <f>X3/Y3</f>
        <v>0.33052750591420732</v>
      </c>
      <c r="AA3" t="s">
        <v>121</v>
      </c>
      <c r="AB3" t="str">
        <f>_xlfn.CONCAT(F3, ", King County, Washington")</f>
        <v>Census Tract 28, King County, Washington</v>
      </c>
      <c r="AC3" s="3">
        <f>VLOOKUP($AB3,'2000 Seattle Tracts'!$C$2:$Y$374,AC$1,FALSE)*$Z3</f>
        <v>1398.7924050289255</v>
      </c>
      <c r="AD3" s="3">
        <f>VLOOKUP($AB3,'2000 Seattle Tracts'!$C$2:$Y$374,AD$1,FALSE)*$Z3</f>
        <v>1261.2929625686152</v>
      </c>
      <c r="AE3" s="3">
        <f>VLOOKUP($AB3,'2000 Seattle Tracts'!$C$2:$Y$374,AE$1,FALSE)*$Z3</f>
        <v>137.49944246031023</v>
      </c>
      <c r="AF3" s="3">
        <f>VLOOKUP($AB3,'2000 Seattle Tracts'!$C$2:$Y$374,AF$1,FALSE)*$Z3</f>
        <v>1398.7924050289255</v>
      </c>
      <c r="AG3" s="3">
        <f>VLOOKUP($AB3,'2000 Seattle Tracts'!$C$2:$Y$374,AG$1,FALSE)*$Z3</f>
        <v>1261.2929625686152</v>
      </c>
      <c r="AH3" s="3">
        <f>VLOOKUP($AB3,'2000 Seattle Tracts'!$C$2:$Y$374,AH$1,FALSE)*$Z3</f>
        <v>137.49944246031023</v>
      </c>
      <c r="AI3" s="3">
        <f>VLOOKUP($AB3,'2000 Seattle Tracts'!$C$2:$Y$374,AI$1,FALSE)*$Z3</f>
        <v>1148.2525555459563</v>
      </c>
      <c r="AJ3" s="3">
        <f>VLOOKUP($AB3,'2000 Seattle Tracts'!$C$2:$Y$374,AJ$1,FALSE)*$Z3</f>
        <v>60.486533582299941</v>
      </c>
      <c r="AK3" s="3">
        <f>VLOOKUP($AB3,'2000 Seattle Tracts'!$C$2:$Y$374,AK$1,FALSE)*$Z3</f>
        <v>28.755893014536039</v>
      </c>
      <c r="AL3" s="3">
        <f>VLOOKUP($AB3,'2000 Seattle Tracts'!$C$2:$Y$374,AL$1,FALSE)*$Z3</f>
        <v>12.890572730654085</v>
      </c>
      <c r="AM3" s="3">
        <f>VLOOKUP($AB3,'2000 Seattle Tracts'!$C$2:$Y$374,AM$1,FALSE)*$Z3</f>
        <v>22.806397908080307</v>
      </c>
      <c r="AN3" s="3">
        <f>VLOOKUP($AB3,'2000 Seattle Tracts'!$C$2:$Y$374,AN$1,FALSE)*$Z3</f>
        <v>2.6442200473136586</v>
      </c>
      <c r="AO3" s="3">
        <f>VLOOKUP($AB3,'2000 Seattle Tracts'!$C$2:$Y$374,AO$1,FALSE)*$Z3</f>
        <v>3.3052750591420734</v>
      </c>
      <c r="AP3" s="3">
        <f>VLOOKUP($AB3,'2000 Seattle Tracts'!$C$2:$Y$374,AP$1,FALSE)*$Z3</f>
        <v>0</v>
      </c>
      <c r="AQ3" s="3">
        <f>VLOOKUP($AB3,'2000 Seattle Tracts'!$C$2:$Y$374,AQ$1,FALSE)*$Z3</f>
        <v>23.136925413994511</v>
      </c>
      <c r="AR3" s="3">
        <f>VLOOKUP($AB3,'2000 Seattle Tracts'!$C$2:$Y$374,AR$1,FALSE)*$Z3</f>
        <v>57.511786029072077</v>
      </c>
      <c r="AS3" s="3">
        <f>VLOOKUP($AB3,'2000 Seattle Tracts'!$C$2:$Y$374,AS$1,FALSE)*$Z3</f>
        <v>0</v>
      </c>
      <c r="AT3" s="3">
        <f>VLOOKUP($AB3,'2000 Seattle Tracts'!$C$2:$Y$374,AT$1,FALSE)*$Z3</f>
        <v>0</v>
      </c>
      <c r="AU3" s="3">
        <f>VLOOKUP($AB3,'2000 Seattle Tracts'!$C$2:$Y$374,AU$1,FALSE)*$Z3</f>
        <v>2.3136925413994511</v>
      </c>
      <c r="AV3" s="3">
        <f>VLOOKUP($AB3,'2000 Seattle Tracts'!$C$2:$Y$374,AV$1,FALSE)*$Z3</f>
        <v>0</v>
      </c>
      <c r="AW3" s="3">
        <f>VLOOKUP($AB3,'2000 Seattle Tracts'!$C$2:$Y$374,AW$1,FALSE)*$Z3</f>
        <v>32.722223085506528</v>
      </c>
      <c r="AX3" s="3">
        <f>VLOOKUP($AB3,'2000 Seattle Tracts'!$C$2:$Y$374,AX$1,FALSE)*$Z3</f>
        <v>3.9663300709704878</v>
      </c>
      <c r="AZ3" s="2" t="s">
        <v>172</v>
      </c>
      <c r="BA3">
        <v>4971.5863295175623</v>
      </c>
      <c r="BB3">
        <v>4475.7169456574238</v>
      </c>
      <c r="BC3">
        <v>495.8693838601381</v>
      </c>
      <c r="BD3">
        <v>3914.0233843725118</v>
      </c>
      <c r="BE3">
        <v>273.49554731351606</v>
      </c>
      <c r="BF3">
        <v>74.602986363403744</v>
      </c>
      <c r="BG3">
        <v>4.0041155730471223</v>
      </c>
      <c r="BH3">
        <v>62.424294346413269</v>
      </c>
      <c r="BI3">
        <v>4.9619377847321076</v>
      </c>
      <c r="BJ3">
        <v>45.313467424292334</v>
      </c>
      <c r="BK3">
        <v>9.3325507835378119</v>
      </c>
      <c r="BL3">
        <v>151.00115485922305</v>
      </c>
      <c r="BM3">
        <v>149.46361628497991</v>
      </c>
      <c r="BN3">
        <v>15.859271932112458</v>
      </c>
      <c r="BO3">
        <v>9.8982672240631739</v>
      </c>
      <c r="BP3">
        <v>47.567817870012654</v>
      </c>
      <c r="BQ3">
        <v>38.762702963142857</v>
      </c>
      <c r="BR3">
        <v>164.9245684894548</v>
      </c>
      <c r="BS3">
        <v>5.9506459331189889</v>
      </c>
    </row>
    <row r="4" spans="1:71" x14ac:dyDescent="0.25">
      <c r="A4" t="s">
        <v>2917</v>
      </c>
      <c r="B4" t="s">
        <v>2918</v>
      </c>
      <c r="C4" t="s">
        <v>3140</v>
      </c>
      <c r="D4" t="s">
        <v>2746</v>
      </c>
      <c r="E4" t="s">
        <v>2747</v>
      </c>
      <c r="F4" t="s">
        <v>2748</v>
      </c>
      <c r="G4" t="s">
        <v>2920</v>
      </c>
      <c r="H4" t="s">
        <v>2921</v>
      </c>
      <c r="I4">
        <v>983387</v>
      </c>
      <c r="J4">
        <v>0</v>
      </c>
      <c r="K4" t="s">
        <v>3354</v>
      </c>
      <c r="L4" t="s">
        <v>3355</v>
      </c>
      <c r="M4">
        <v>34</v>
      </c>
      <c r="N4">
        <v>25387.706999999999</v>
      </c>
      <c r="O4" t="s">
        <v>122</v>
      </c>
      <c r="P4">
        <v>6</v>
      </c>
      <c r="Q4">
        <v>9</v>
      </c>
      <c r="R4">
        <v>24</v>
      </c>
      <c r="S4">
        <v>37314628</v>
      </c>
      <c r="T4">
        <v>36</v>
      </c>
      <c r="U4">
        <v>123</v>
      </c>
      <c r="V4">
        <v>25387.707496248549</v>
      </c>
      <c r="W4">
        <v>37314629.789188273</v>
      </c>
      <c r="X4">
        <v>2364.1239999999998</v>
      </c>
      <c r="Y4">
        <f>VLOOKUP(AB4,'2000 Seattle Tracts'!$C$2:$Z$374,24,FALSE)</f>
        <v>983389.18299999996</v>
      </c>
      <c r="Z4">
        <f t="shared" ref="Z4:Z67" si="0">X4/Y4</f>
        <v>2.4040573568114994E-3</v>
      </c>
      <c r="AA4" t="s">
        <v>125</v>
      </c>
      <c r="AB4" t="str">
        <f t="shared" ref="AB4:AB67" si="1">_xlfn.CONCAT(F4, ", King County, Washington")</f>
        <v>Census Tract 28, King County, Washington</v>
      </c>
      <c r="AC4" s="3">
        <f>VLOOKUP($AB4,'2000 Seattle Tracts'!$C$2:$Y$374,AC$1,FALSE)*$Z4</f>
        <v>10.173970734026266</v>
      </c>
      <c r="AD4" s="3">
        <f>VLOOKUP($AB4,'2000 Seattle Tracts'!$C$2:$Y$374,AD$1,FALSE)*$Z4</f>
        <v>9.1738828735926816</v>
      </c>
      <c r="AE4" s="3">
        <f>VLOOKUP($AB4,'2000 Seattle Tracts'!$C$2:$Y$374,AE$1,FALSE)*$Z4</f>
        <v>1.0000878604335837</v>
      </c>
      <c r="AF4" s="3">
        <f>VLOOKUP($AB4,'2000 Seattle Tracts'!$C$2:$Y$374,AF$1,FALSE)*$Z4</f>
        <v>10.173970734026266</v>
      </c>
      <c r="AG4" s="3">
        <f>VLOOKUP($AB4,'2000 Seattle Tracts'!$C$2:$Y$374,AG$1,FALSE)*$Z4</f>
        <v>9.1738828735926816</v>
      </c>
      <c r="AH4" s="3">
        <f>VLOOKUP($AB4,'2000 Seattle Tracts'!$C$2:$Y$374,AH$1,FALSE)*$Z4</f>
        <v>1.0000878604335837</v>
      </c>
      <c r="AI4" s="3">
        <f>VLOOKUP($AB4,'2000 Seattle Tracts'!$C$2:$Y$374,AI$1,FALSE)*$Z4</f>
        <v>8.3516952575631489</v>
      </c>
      <c r="AJ4" s="3">
        <f>VLOOKUP($AB4,'2000 Seattle Tracts'!$C$2:$Y$374,AJ$1,FALSE)*$Z4</f>
        <v>0.43994249629650439</v>
      </c>
      <c r="AK4" s="3">
        <f>VLOOKUP($AB4,'2000 Seattle Tracts'!$C$2:$Y$374,AK$1,FALSE)*$Z4</f>
        <v>0.20915299004260046</v>
      </c>
      <c r="AL4" s="3">
        <f>VLOOKUP($AB4,'2000 Seattle Tracts'!$C$2:$Y$374,AL$1,FALSE)*$Z4</f>
        <v>9.3758236915648482E-2</v>
      </c>
      <c r="AM4" s="3">
        <f>VLOOKUP($AB4,'2000 Seattle Tracts'!$C$2:$Y$374,AM$1,FALSE)*$Z4</f>
        <v>0.16587995761999347</v>
      </c>
      <c r="AN4" s="3">
        <f>VLOOKUP($AB4,'2000 Seattle Tracts'!$C$2:$Y$374,AN$1,FALSE)*$Z4</f>
        <v>1.9232458854491995E-2</v>
      </c>
      <c r="AO4" s="3">
        <f>VLOOKUP($AB4,'2000 Seattle Tracts'!$C$2:$Y$374,AO$1,FALSE)*$Z4</f>
        <v>2.4040573568114995E-2</v>
      </c>
      <c r="AP4" s="3">
        <f>VLOOKUP($AB4,'2000 Seattle Tracts'!$C$2:$Y$374,AP$1,FALSE)*$Z4</f>
        <v>0</v>
      </c>
      <c r="AQ4" s="3">
        <f>VLOOKUP($AB4,'2000 Seattle Tracts'!$C$2:$Y$374,AQ$1,FALSE)*$Z4</f>
        <v>0.16828401497680495</v>
      </c>
      <c r="AR4" s="3">
        <f>VLOOKUP($AB4,'2000 Seattle Tracts'!$C$2:$Y$374,AR$1,FALSE)*$Z4</f>
        <v>0.41830598008520092</v>
      </c>
      <c r="AS4" s="3">
        <f>VLOOKUP($AB4,'2000 Seattle Tracts'!$C$2:$Y$374,AS$1,FALSE)*$Z4</f>
        <v>0</v>
      </c>
      <c r="AT4" s="3">
        <f>VLOOKUP($AB4,'2000 Seattle Tracts'!$C$2:$Y$374,AT$1,FALSE)*$Z4</f>
        <v>0</v>
      </c>
      <c r="AU4" s="3">
        <f>VLOOKUP($AB4,'2000 Seattle Tracts'!$C$2:$Y$374,AU$1,FALSE)*$Z4</f>
        <v>1.6828401497680497E-2</v>
      </c>
      <c r="AV4" s="3">
        <f>VLOOKUP($AB4,'2000 Seattle Tracts'!$C$2:$Y$374,AV$1,FALSE)*$Z4</f>
        <v>0</v>
      </c>
      <c r="AW4" s="3">
        <f>VLOOKUP($AB4,'2000 Seattle Tracts'!$C$2:$Y$374,AW$1,FALSE)*$Z4</f>
        <v>0.23800167832433844</v>
      </c>
      <c r="AX4" s="3">
        <f>VLOOKUP($AB4,'2000 Seattle Tracts'!$C$2:$Y$374,AX$1,FALSE)*$Z4</f>
        <v>2.8848688281737991E-2</v>
      </c>
      <c r="AZ4" s="2" t="s">
        <v>213</v>
      </c>
      <c r="BA4">
        <v>7303.871317916437</v>
      </c>
      <c r="BB4">
        <v>5790.9452391545765</v>
      </c>
      <c r="BC4">
        <v>1512.92607876186</v>
      </c>
      <c r="BD4">
        <v>4933.8525291754304</v>
      </c>
      <c r="BE4">
        <v>465.68190549163512</v>
      </c>
      <c r="BF4">
        <v>83.861889209700777</v>
      </c>
      <c r="BG4">
        <v>92.40489269463292</v>
      </c>
      <c r="BH4">
        <v>100.1147860607734</v>
      </c>
      <c r="BI4">
        <v>163.28115200625027</v>
      </c>
      <c r="BJ4">
        <v>54.005528368116615</v>
      </c>
      <c r="BK4">
        <v>6.3101878748640259E-4</v>
      </c>
      <c r="BL4">
        <v>209.15145515730188</v>
      </c>
      <c r="BM4">
        <v>606.63540845443868</v>
      </c>
      <c r="BN4">
        <v>13.652383285602717</v>
      </c>
      <c r="BO4">
        <v>1.8256419757880618</v>
      </c>
      <c r="BP4">
        <v>125.66662581175811</v>
      </c>
      <c r="BQ4">
        <v>94.106811654394335</v>
      </c>
      <c r="BR4">
        <v>270.64004208589239</v>
      </c>
      <c r="BS4">
        <v>88.989635465933048</v>
      </c>
    </row>
    <row r="5" spans="1:71" x14ac:dyDescent="0.25">
      <c r="A5" t="s">
        <v>2917</v>
      </c>
      <c r="B5" t="s">
        <v>2918</v>
      </c>
      <c r="C5" t="s">
        <v>3140</v>
      </c>
      <c r="D5" t="s">
        <v>2746</v>
      </c>
      <c r="E5" t="s">
        <v>2747</v>
      </c>
      <c r="F5" t="s">
        <v>2748</v>
      </c>
      <c r="G5" t="s">
        <v>2920</v>
      </c>
      <c r="H5" t="s">
        <v>2921</v>
      </c>
      <c r="I5">
        <v>983387</v>
      </c>
      <c r="J5">
        <v>0</v>
      </c>
      <c r="K5" t="s">
        <v>3354</v>
      </c>
      <c r="L5" t="s">
        <v>3355</v>
      </c>
      <c r="M5">
        <v>118</v>
      </c>
      <c r="N5">
        <v>26501.526999999998</v>
      </c>
      <c r="O5" t="s">
        <v>122</v>
      </c>
      <c r="P5">
        <v>1</v>
      </c>
      <c r="Q5">
        <v>2</v>
      </c>
      <c r="R5">
        <v>19</v>
      </c>
      <c r="S5">
        <v>42044564</v>
      </c>
      <c r="T5">
        <v>120</v>
      </c>
      <c r="U5">
        <v>115</v>
      </c>
      <c r="V5">
        <v>26501.526591104928</v>
      </c>
      <c r="W5">
        <v>42044563.673184253</v>
      </c>
      <c r="X5">
        <v>655987.88399999996</v>
      </c>
      <c r="Y5">
        <f>VLOOKUP(AB5,'2000 Seattle Tracts'!$C$2:$Z$374,24,FALSE)</f>
        <v>983389.18299999996</v>
      </c>
      <c r="Z5">
        <f t="shared" si="0"/>
        <v>0.66706843571208974</v>
      </c>
      <c r="AA5" t="s">
        <v>221</v>
      </c>
      <c r="AB5" t="str">
        <f t="shared" si="1"/>
        <v>Census Tract 28, King County, Washington</v>
      </c>
      <c r="AC5" s="3">
        <f>VLOOKUP($AB5,'2000 Seattle Tracts'!$C$2:$Y$374,AC$1,FALSE)*$Z5</f>
        <v>2823.0336199335638</v>
      </c>
      <c r="AD5" s="3">
        <f>VLOOKUP($AB5,'2000 Seattle Tracts'!$C$2:$Y$374,AD$1,FALSE)*$Z5</f>
        <v>2545.5331506773346</v>
      </c>
      <c r="AE5" s="3">
        <f>VLOOKUP($AB5,'2000 Seattle Tracts'!$C$2:$Y$374,AE$1,FALSE)*$Z5</f>
        <v>277.50046925622934</v>
      </c>
      <c r="AF5" s="3">
        <f>VLOOKUP($AB5,'2000 Seattle Tracts'!$C$2:$Y$374,AF$1,FALSE)*$Z5</f>
        <v>2823.0336199335638</v>
      </c>
      <c r="AG5" s="3">
        <f>VLOOKUP($AB5,'2000 Seattle Tracts'!$C$2:$Y$374,AG$1,FALSE)*$Z5</f>
        <v>2545.5331506773346</v>
      </c>
      <c r="AH5" s="3">
        <f>VLOOKUP($AB5,'2000 Seattle Tracts'!$C$2:$Y$374,AH$1,FALSE)*$Z5</f>
        <v>277.50046925622934</v>
      </c>
      <c r="AI5" s="3">
        <f>VLOOKUP($AB5,'2000 Seattle Tracts'!$C$2:$Y$374,AI$1,FALSE)*$Z5</f>
        <v>2317.3957456637995</v>
      </c>
      <c r="AJ5" s="3">
        <f>VLOOKUP($AB5,'2000 Seattle Tracts'!$C$2:$Y$374,AJ$1,FALSE)*$Z5</f>
        <v>122.07352373531242</v>
      </c>
      <c r="AK5" s="3">
        <f>VLOOKUP($AB5,'2000 Seattle Tracts'!$C$2:$Y$374,AK$1,FALSE)*$Z5</f>
        <v>58.034953906951806</v>
      </c>
      <c r="AL5" s="3">
        <f>VLOOKUP($AB5,'2000 Seattle Tracts'!$C$2:$Y$374,AL$1,FALSE)*$Z5</f>
        <v>26.015668992771499</v>
      </c>
      <c r="AM5" s="3">
        <f>VLOOKUP($AB5,'2000 Seattle Tracts'!$C$2:$Y$374,AM$1,FALSE)*$Z5</f>
        <v>46.027722064134188</v>
      </c>
      <c r="AN5" s="3">
        <f>VLOOKUP($AB5,'2000 Seattle Tracts'!$C$2:$Y$374,AN$1,FALSE)*$Z5</f>
        <v>5.3365474856967179</v>
      </c>
      <c r="AO5" s="3">
        <f>VLOOKUP($AB5,'2000 Seattle Tracts'!$C$2:$Y$374,AO$1,FALSE)*$Z5</f>
        <v>6.6706843571208978</v>
      </c>
      <c r="AP5" s="3">
        <f>VLOOKUP($AB5,'2000 Seattle Tracts'!$C$2:$Y$374,AP$1,FALSE)*$Z5</f>
        <v>0</v>
      </c>
      <c r="AQ5" s="3">
        <f>VLOOKUP($AB5,'2000 Seattle Tracts'!$C$2:$Y$374,AQ$1,FALSE)*$Z5</f>
        <v>46.694790499846285</v>
      </c>
      <c r="AR5" s="3">
        <f>VLOOKUP($AB5,'2000 Seattle Tracts'!$C$2:$Y$374,AR$1,FALSE)*$Z5</f>
        <v>116.06990781390361</v>
      </c>
      <c r="AS5" s="3">
        <f>VLOOKUP($AB5,'2000 Seattle Tracts'!$C$2:$Y$374,AS$1,FALSE)*$Z5</f>
        <v>0</v>
      </c>
      <c r="AT5" s="3">
        <f>VLOOKUP($AB5,'2000 Seattle Tracts'!$C$2:$Y$374,AT$1,FALSE)*$Z5</f>
        <v>0</v>
      </c>
      <c r="AU5" s="3">
        <f>VLOOKUP($AB5,'2000 Seattle Tracts'!$C$2:$Y$374,AU$1,FALSE)*$Z5</f>
        <v>4.6694790499846279</v>
      </c>
      <c r="AV5" s="3">
        <f>VLOOKUP($AB5,'2000 Seattle Tracts'!$C$2:$Y$374,AV$1,FALSE)*$Z5</f>
        <v>0</v>
      </c>
      <c r="AW5" s="3">
        <f>VLOOKUP($AB5,'2000 Seattle Tracts'!$C$2:$Y$374,AW$1,FALSE)*$Z5</f>
        <v>66.039775135496882</v>
      </c>
      <c r="AX5" s="3">
        <f>VLOOKUP($AB5,'2000 Seattle Tracts'!$C$2:$Y$374,AX$1,FALSE)*$Z5</f>
        <v>8.0048212285450759</v>
      </c>
      <c r="AZ5" s="2" t="s">
        <v>212</v>
      </c>
      <c r="BA5">
        <v>7735.0776443389213</v>
      </c>
      <c r="BB5">
        <v>6537.8940904377014</v>
      </c>
      <c r="BC5">
        <v>1197.1835539012195</v>
      </c>
      <c r="BD5">
        <v>5763.1496403704296</v>
      </c>
      <c r="BE5">
        <v>453.24906873269015</v>
      </c>
      <c r="BF5">
        <v>98.004539118790731</v>
      </c>
      <c r="BG5">
        <v>83.027867656728702</v>
      </c>
      <c r="BH5">
        <v>95.94265845698547</v>
      </c>
      <c r="BI5">
        <v>84.795566022213919</v>
      </c>
      <c r="BJ5">
        <v>46.559486643572818</v>
      </c>
      <c r="BK5">
        <v>4.4178706111515203E-8</v>
      </c>
      <c r="BL5">
        <v>157.77816714030848</v>
      </c>
      <c r="BM5">
        <v>468.14815513477129</v>
      </c>
      <c r="BN5">
        <v>13.786278600546011</v>
      </c>
      <c r="BO5">
        <v>3.7479985366306483</v>
      </c>
      <c r="BP5">
        <v>115.02234093211746</v>
      </c>
      <c r="BQ5">
        <v>59.831662176990818</v>
      </c>
      <c r="BR5">
        <v>247.65097917495029</v>
      </c>
      <c r="BS5">
        <v>44.383235597015059</v>
      </c>
    </row>
    <row r="6" spans="1:71" x14ac:dyDescent="0.25">
      <c r="A6" t="s">
        <v>2917</v>
      </c>
      <c r="B6" t="s">
        <v>2918</v>
      </c>
      <c r="C6" t="s">
        <v>3227</v>
      </c>
      <c r="D6" t="s">
        <v>2749</v>
      </c>
      <c r="E6" t="s">
        <v>2750</v>
      </c>
      <c r="F6" t="s">
        <v>2751</v>
      </c>
      <c r="G6" t="s">
        <v>2920</v>
      </c>
      <c r="H6" t="s">
        <v>2921</v>
      </c>
      <c r="I6">
        <v>1593775</v>
      </c>
      <c r="J6">
        <v>0</v>
      </c>
      <c r="K6" t="s">
        <v>3356</v>
      </c>
      <c r="L6" t="s">
        <v>3357</v>
      </c>
      <c r="M6">
        <v>31</v>
      </c>
      <c r="N6">
        <v>27120.785</v>
      </c>
      <c r="O6" t="s">
        <v>122</v>
      </c>
      <c r="P6">
        <v>6</v>
      </c>
      <c r="Q6">
        <v>9</v>
      </c>
      <c r="R6">
        <v>95</v>
      </c>
      <c r="S6">
        <v>32123118</v>
      </c>
      <c r="T6">
        <v>33</v>
      </c>
      <c r="U6">
        <v>126</v>
      </c>
      <c r="V6">
        <v>27120.785937968081</v>
      </c>
      <c r="W6">
        <v>32123117.878249042</v>
      </c>
      <c r="X6">
        <v>5.6130000000000004</v>
      </c>
      <c r="Y6">
        <f>VLOOKUP(AB6,'2000 Seattle Tracts'!$C$2:$Z$374,24,FALSE)</f>
        <v>1593773.5220000001</v>
      </c>
      <c r="Z6">
        <f t="shared" si="0"/>
        <v>3.5218303745919555E-6</v>
      </c>
      <c r="AA6" t="s">
        <v>121</v>
      </c>
      <c r="AB6" t="str">
        <f t="shared" si="1"/>
        <v>Census Tract 27, King County, Washington</v>
      </c>
      <c r="AC6" s="3">
        <f>VLOOKUP($AB6,'2000 Seattle Tracts'!$C$2:$Y$374,AC$1,FALSE)*$Z6</f>
        <v>1.7408407541608037E-2</v>
      </c>
      <c r="AD6" s="3">
        <f>VLOOKUP($AB6,'2000 Seattle Tracts'!$C$2:$Y$374,AD$1,FALSE)*$Z6</f>
        <v>1.5858802176787576E-2</v>
      </c>
      <c r="AE6" s="3">
        <f>VLOOKUP($AB6,'2000 Seattle Tracts'!$C$2:$Y$374,AE$1,FALSE)*$Z6</f>
        <v>1.5496053648204604E-3</v>
      </c>
      <c r="AF6" s="3">
        <f>VLOOKUP($AB6,'2000 Seattle Tracts'!$C$2:$Y$374,AF$1,FALSE)*$Z6</f>
        <v>1.7408407541608037E-2</v>
      </c>
      <c r="AG6" s="3">
        <f>VLOOKUP($AB6,'2000 Seattle Tracts'!$C$2:$Y$374,AG$1,FALSE)*$Z6</f>
        <v>1.5858802176787576E-2</v>
      </c>
      <c r="AH6" s="3">
        <f>VLOOKUP($AB6,'2000 Seattle Tracts'!$C$2:$Y$374,AH$1,FALSE)*$Z6</f>
        <v>1.5496053648204604E-3</v>
      </c>
      <c r="AI6" s="3">
        <f>VLOOKUP($AB6,'2000 Seattle Tracts'!$C$2:$Y$374,AI$1,FALSE)*$Z6</f>
        <v>1.410140881986619E-2</v>
      </c>
      <c r="AJ6" s="3">
        <f>VLOOKUP($AB6,'2000 Seattle Tracts'!$C$2:$Y$374,AJ$1,FALSE)*$Z6</f>
        <v>8.3467379877829348E-4</v>
      </c>
      <c r="AK6" s="3">
        <f>VLOOKUP($AB6,'2000 Seattle Tracts'!$C$2:$Y$374,AK$1,FALSE)*$Z6</f>
        <v>6.6914777117247157E-5</v>
      </c>
      <c r="AL6" s="3">
        <f>VLOOKUP($AB6,'2000 Seattle Tracts'!$C$2:$Y$374,AL$1,FALSE)*$Z6</f>
        <v>0</v>
      </c>
      <c r="AM6" s="3">
        <f>VLOOKUP($AB6,'2000 Seattle Tracts'!$C$2:$Y$374,AM$1,FALSE)*$Z6</f>
        <v>2.5004995659602886E-4</v>
      </c>
      <c r="AN6" s="3">
        <f>VLOOKUP($AB6,'2000 Seattle Tracts'!$C$2:$Y$374,AN$1,FALSE)*$Z6</f>
        <v>0</v>
      </c>
      <c r="AO6" s="3">
        <f>VLOOKUP($AB6,'2000 Seattle Tracts'!$C$2:$Y$374,AO$1,FALSE)*$Z6</f>
        <v>3.2753022483705184E-4</v>
      </c>
      <c r="AP6" s="3">
        <f>VLOOKUP($AB6,'2000 Seattle Tracts'!$C$2:$Y$374,AP$1,FALSE)*$Z6</f>
        <v>0</v>
      </c>
      <c r="AQ6" s="3">
        <f>VLOOKUP($AB6,'2000 Seattle Tracts'!$C$2:$Y$374,AQ$1,FALSE)*$Z6</f>
        <v>4.3670696644940247E-4</v>
      </c>
      <c r="AR6" s="3">
        <f>VLOOKUP($AB6,'2000 Seattle Tracts'!$C$2:$Y$374,AR$1,FALSE)*$Z6</f>
        <v>5.2827455618879328E-4</v>
      </c>
      <c r="AS6" s="3">
        <f>VLOOKUP($AB6,'2000 Seattle Tracts'!$C$2:$Y$374,AS$1,FALSE)*$Z6</f>
        <v>0</v>
      </c>
      <c r="AT6" s="3">
        <f>VLOOKUP($AB6,'2000 Seattle Tracts'!$C$2:$Y$374,AT$1,FALSE)*$Z6</f>
        <v>0</v>
      </c>
      <c r="AU6" s="3">
        <f>VLOOKUP($AB6,'2000 Seattle Tracts'!$C$2:$Y$374,AU$1,FALSE)*$Z6</f>
        <v>7.395843786643106E-5</v>
      </c>
      <c r="AV6" s="3">
        <f>VLOOKUP($AB6,'2000 Seattle Tracts'!$C$2:$Y$374,AV$1,FALSE)*$Z6</f>
        <v>1.2326406311071844E-4</v>
      </c>
      <c r="AW6" s="3">
        <f>VLOOKUP($AB6,'2000 Seattle Tracts'!$C$2:$Y$374,AW$1,FALSE)*$Z6</f>
        <v>6.0223299405522438E-4</v>
      </c>
      <c r="AX6" s="3">
        <f>VLOOKUP($AB6,'2000 Seattle Tracts'!$C$2:$Y$374,AX$1,FALSE)*$Z6</f>
        <v>6.3392946742655198E-5</v>
      </c>
      <c r="AZ6" s="2" t="s">
        <v>129</v>
      </c>
      <c r="BA6">
        <v>4151.7986179900327</v>
      </c>
      <c r="BB6">
        <v>3570.7134787487685</v>
      </c>
      <c r="BC6">
        <v>581.08513924126441</v>
      </c>
      <c r="BD6">
        <v>3132.8890801436878</v>
      </c>
      <c r="BE6">
        <v>287.57088474280937</v>
      </c>
      <c r="BF6">
        <v>59.832884381055607</v>
      </c>
      <c r="BG6">
        <v>32.69348675562162</v>
      </c>
      <c r="BH6">
        <v>80.818740671070117</v>
      </c>
      <c r="BI6">
        <v>14.534013524290778</v>
      </c>
      <c r="BJ6">
        <v>8.5126470455775767</v>
      </c>
      <c r="BK6">
        <v>0</v>
      </c>
      <c r="BL6">
        <v>112.71795227490514</v>
      </c>
      <c r="BM6">
        <v>176.08909371860199</v>
      </c>
      <c r="BN6">
        <v>24.360786658858032</v>
      </c>
      <c r="BO6">
        <v>8.5713878984870853</v>
      </c>
      <c r="BP6">
        <v>19.402462537107738</v>
      </c>
      <c r="BQ6">
        <v>6.1836618901353599</v>
      </c>
      <c r="BR6">
        <v>132.17892503650594</v>
      </c>
      <c r="BS6">
        <v>55.442610711318196</v>
      </c>
    </row>
    <row r="7" spans="1:71" x14ac:dyDescent="0.25">
      <c r="A7" t="s">
        <v>2917</v>
      </c>
      <c r="B7" t="s">
        <v>2918</v>
      </c>
      <c r="C7" t="s">
        <v>3227</v>
      </c>
      <c r="D7" t="s">
        <v>2749</v>
      </c>
      <c r="E7" t="s">
        <v>2750</v>
      </c>
      <c r="F7" t="s">
        <v>2751</v>
      </c>
      <c r="G7" t="s">
        <v>2920</v>
      </c>
      <c r="H7" t="s">
        <v>2921</v>
      </c>
      <c r="I7">
        <v>1593775</v>
      </c>
      <c r="J7">
        <v>0</v>
      </c>
      <c r="K7" t="s">
        <v>3356</v>
      </c>
      <c r="L7" t="s">
        <v>3357</v>
      </c>
      <c r="M7">
        <v>34</v>
      </c>
      <c r="N7">
        <v>25387.706999999999</v>
      </c>
      <c r="O7" t="s">
        <v>122</v>
      </c>
      <c r="P7">
        <v>6</v>
      </c>
      <c r="Q7">
        <v>9</v>
      </c>
      <c r="R7">
        <v>24</v>
      </c>
      <c r="S7">
        <v>37314628</v>
      </c>
      <c r="T7">
        <v>36</v>
      </c>
      <c r="U7">
        <v>123</v>
      </c>
      <c r="V7">
        <v>25387.707496248549</v>
      </c>
      <c r="W7">
        <v>37314629.789188273</v>
      </c>
      <c r="X7">
        <v>1085590.696</v>
      </c>
      <c r="Y7">
        <f>VLOOKUP(AB7,'2000 Seattle Tracts'!$C$2:$Z$374,24,FALSE)</f>
        <v>1593773.5220000001</v>
      </c>
      <c r="Z7">
        <f t="shared" si="0"/>
        <v>0.6811448935590988</v>
      </c>
      <c r="AA7" t="s">
        <v>125</v>
      </c>
      <c r="AB7" t="str">
        <f t="shared" si="1"/>
        <v>Census Tract 27, King County, Washington</v>
      </c>
      <c r="AC7" s="3">
        <f>VLOOKUP($AB7,'2000 Seattle Tracts'!$C$2:$Y$374,AC$1,FALSE)*$Z7</f>
        <v>3366.8992088626255</v>
      </c>
      <c r="AD7" s="3">
        <f>VLOOKUP($AB7,'2000 Seattle Tracts'!$C$2:$Y$374,AD$1,FALSE)*$Z7</f>
        <v>3067.195455696622</v>
      </c>
      <c r="AE7" s="3">
        <f>VLOOKUP($AB7,'2000 Seattle Tracts'!$C$2:$Y$374,AE$1,FALSE)*$Z7</f>
        <v>299.70375316600348</v>
      </c>
      <c r="AF7" s="3">
        <f>VLOOKUP($AB7,'2000 Seattle Tracts'!$C$2:$Y$374,AF$1,FALSE)*$Z7</f>
        <v>3366.8992088626255</v>
      </c>
      <c r="AG7" s="3">
        <f>VLOOKUP($AB7,'2000 Seattle Tracts'!$C$2:$Y$374,AG$1,FALSE)*$Z7</f>
        <v>3067.195455696622</v>
      </c>
      <c r="AH7" s="3">
        <f>VLOOKUP($AB7,'2000 Seattle Tracts'!$C$2:$Y$374,AH$1,FALSE)*$Z7</f>
        <v>299.70375316600348</v>
      </c>
      <c r="AI7" s="3">
        <f>VLOOKUP($AB7,'2000 Seattle Tracts'!$C$2:$Y$374,AI$1,FALSE)*$Z7</f>
        <v>2727.3041538106318</v>
      </c>
      <c r="AJ7" s="3">
        <f>VLOOKUP($AB7,'2000 Seattle Tracts'!$C$2:$Y$374,AJ$1,FALSE)*$Z7</f>
        <v>161.43133977350641</v>
      </c>
      <c r="AK7" s="3">
        <f>VLOOKUP($AB7,'2000 Seattle Tracts'!$C$2:$Y$374,AK$1,FALSE)*$Z7</f>
        <v>12.941752977622878</v>
      </c>
      <c r="AL7" s="3">
        <f>VLOOKUP($AB7,'2000 Seattle Tracts'!$C$2:$Y$374,AL$1,FALSE)*$Z7</f>
        <v>0</v>
      </c>
      <c r="AM7" s="3">
        <f>VLOOKUP($AB7,'2000 Seattle Tracts'!$C$2:$Y$374,AM$1,FALSE)*$Z7</f>
        <v>48.361287442696018</v>
      </c>
      <c r="AN7" s="3">
        <f>VLOOKUP($AB7,'2000 Seattle Tracts'!$C$2:$Y$374,AN$1,FALSE)*$Z7</f>
        <v>0</v>
      </c>
      <c r="AO7" s="3">
        <f>VLOOKUP($AB7,'2000 Seattle Tracts'!$C$2:$Y$374,AO$1,FALSE)*$Z7</f>
        <v>63.346475100996187</v>
      </c>
      <c r="AP7" s="3">
        <f>VLOOKUP($AB7,'2000 Seattle Tracts'!$C$2:$Y$374,AP$1,FALSE)*$Z7</f>
        <v>0</v>
      </c>
      <c r="AQ7" s="3">
        <f>VLOOKUP($AB7,'2000 Seattle Tracts'!$C$2:$Y$374,AQ$1,FALSE)*$Z7</f>
        <v>84.461966801328245</v>
      </c>
      <c r="AR7" s="3">
        <f>VLOOKUP($AB7,'2000 Seattle Tracts'!$C$2:$Y$374,AR$1,FALSE)*$Z7</f>
        <v>102.17173403386482</v>
      </c>
      <c r="AS7" s="3">
        <f>VLOOKUP($AB7,'2000 Seattle Tracts'!$C$2:$Y$374,AS$1,FALSE)*$Z7</f>
        <v>0</v>
      </c>
      <c r="AT7" s="3">
        <f>VLOOKUP($AB7,'2000 Seattle Tracts'!$C$2:$Y$374,AT$1,FALSE)*$Z7</f>
        <v>0</v>
      </c>
      <c r="AU7" s="3">
        <f>VLOOKUP($AB7,'2000 Seattle Tracts'!$C$2:$Y$374,AU$1,FALSE)*$Z7</f>
        <v>14.304042764741075</v>
      </c>
      <c r="AV7" s="3">
        <f>VLOOKUP($AB7,'2000 Seattle Tracts'!$C$2:$Y$374,AV$1,FALSE)*$Z7</f>
        <v>23.840071274568459</v>
      </c>
      <c r="AW7" s="3">
        <f>VLOOKUP($AB7,'2000 Seattle Tracts'!$C$2:$Y$374,AW$1,FALSE)*$Z7</f>
        <v>116.47577679860589</v>
      </c>
      <c r="AX7" s="3">
        <f>VLOOKUP($AB7,'2000 Seattle Tracts'!$C$2:$Y$374,AX$1,FALSE)*$Z7</f>
        <v>12.260608084063778</v>
      </c>
      <c r="AZ7" s="2" t="s">
        <v>211</v>
      </c>
      <c r="BA7">
        <v>5446.0556505148243</v>
      </c>
      <c r="BB7">
        <v>4144.2658920972299</v>
      </c>
      <c r="BC7">
        <v>1301.7897584175946</v>
      </c>
      <c r="BD7">
        <v>3110.5131135376391</v>
      </c>
      <c r="BE7">
        <v>320.3094099962654</v>
      </c>
      <c r="BF7">
        <v>140.13951150852003</v>
      </c>
      <c r="BG7">
        <v>37.280271804555099</v>
      </c>
      <c r="BH7">
        <v>314.83758011079641</v>
      </c>
      <c r="BI7">
        <v>183.54563295389858</v>
      </c>
      <c r="BJ7">
        <v>72.699764315468713</v>
      </c>
      <c r="BK7">
        <v>0.84316898454662148</v>
      </c>
      <c r="BL7">
        <v>142.89859714665954</v>
      </c>
      <c r="BM7">
        <v>495.66206570143777</v>
      </c>
      <c r="BN7">
        <v>49.587285803290705</v>
      </c>
      <c r="BO7">
        <v>27.486320361087472</v>
      </c>
      <c r="BP7">
        <v>84.605789431195731</v>
      </c>
      <c r="BQ7">
        <v>183.25538020892614</v>
      </c>
      <c r="BR7">
        <v>228.98425024365946</v>
      </c>
      <c r="BS7">
        <v>53.40750840687766</v>
      </c>
    </row>
    <row r="8" spans="1:71" x14ac:dyDescent="0.25">
      <c r="A8" t="s">
        <v>2917</v>
      </c>
      <c r="B8" t="s">
        <v>2918</v>
      </c>
      <c r="C8" t="s">
        <v>3227</v>
      </c>
      <c r="D8" t="s">
        <v>2749</v>
      </c>
      <c r="E8" t="s">
        <v>2750</v>
      </c>
      <c r="F8" t="s">
        <v>2751</v>
      </c>
      <c r="G8" t="s">
        <v>2920</v>
      </c>
      <c r="H8" t="s">
        <v>2921</v>
      </c>
      <c r="I8">
        <v>1593775</v>
      </c>
      <c r="J8">
        <v>0</v>
      </c>
      <c r="K8" t="s">
        <v>3356</v>
      </c>
      <c r="L8" t="s">
        <v>3357</v>
      </c>
      <c r="M8">
        <v>41</v>
      </c>
      <c r="N8">
        <v>22865.453000000001</v>
      </c>
      <c r="O8" t="s">
        <v>122</v>
      </c>
      <c r="P8">
        <v>4</v>
      </c>
      <c r="Q8">
        <v>5</v>
      </c>
      <c r="R8">
        <v>95</v>
      </c>
      <c r="S8">
        <v>21491312</v>
      </c>
      <c r="T8">
        <v>43</v>
      </c>
      <c r="U8">
        <v>124</v>
      </c>
      <c r="V8">
        <v>22865.452635921651</v>
      </c>
      <c r="W8">
        <v>21491312.22830575</v>
      </c>
      <c r="X8">
        <v>499417.95799999998</v>
      </c>
      <c r="Y8">
        <f>VLOOKUP(AB8,'2000 Seattle Tracts'!$C$2:$Z$374,24,FALSE)</f>
        <v>1593773.5220000001</v>
      </c>
      <c r="Z8">
        <f t="shared" si="0"/>
        <v>0.313355662587046</v>
      </c>
      <c r="AA8" t="s">
        <v>132</v>
      </c>
      <c r="AB8" t="str">
        <f t="shared" si="1"/>
        <v>Census Tract 27, King County, Washington</v>
      </c>
      <c r="AC8" s="3">
        <f>VLOOKUP($AB8,'2000 Seattle Tracts'!$C$2:$Y$374,AC$1,FALSE)*$Z8</f>
        <v>1548.9170401677684</v>
      </c>
      <c r="AD8" s="3">
        <f>VLOOKUP($AB8,'2000 Seattle Tracts'!$C$2:$Y$374,AD$1,FALSE)*$Z8</f>
        <v>1411.040548629468</v>
      </c>
      <c r="AE8" s="3">
        <f>VLOOKUP($AB8,'2000 Seattle Tracts'!$C$2:$Y$374,AE$1,FALSE)*$Z8</f>
        <v>137.87649153830023</v>
      </c>
      <c r="AF8" s="3">
        <f>VLOOKUP($AB8,'2000 Seattle Tracts'!$C$2:$Y$374,AF$1,FALSE)*$Z8</f>
        <v>1548.9170401677684</v>
      </c>
      <c r="AG8" s="3">
        <f>VLOOKUP($AB8,'2000 Seattle Tracts'!$C$2:$Y$374,AG$1,FALSE)*$Z8</f>
        <v>1411.040548629468</v>
      </c>
      <c r="AH8" s="3">
        <f>VLOOKUP($AB8,'2000 Seattle Tracts'!$C$2:$Y$374,AH$1,FALSE)*$Z8</f>
        <v>137.87649153830023</v>
      </c>
      <c r="AI8" s="3">
        <f>VLOOKUP($AB8,'2000 Seattle Tracts'!$C$2:$Y$374,AI$1,FALSE)*$Z8</f>
        <v>1254.6760729985322</v>
      </c>
      <c r="AJ8" s="3">
        <f>VLOOKUP($AB8,'2000 Seattle Tracts'!$C$2:$Y$374,AJ$1,FALSE)*$Z8</f>
        <v>74.265292033129896</v>
      </c>
      <c r="AK8" s="3">
        <f>VLOOKUP($AB8,'2000 Seattle Tracts'!$C$2:$Y$374,AK$1,FALSE)*$Z8</f>
        <v>5.9537575891538737</v>
      </c>
      <c r="AL8" s="3">
        <f>VLOOKUP($AB8,'2000 Seattle Tracts'!$C$2:$Y$374,AL$1,FALSE)*$Z8</f>
        <v>0</v>
      </c>
      <c r="AM8" s="3">
        <f>VLOOKUP($AB8,'2000 Seattle Tracts'!$C$2:$Y$374,AM$1,FALSE)*$Z8</f>
        <v>22.248252043680267</v>
      </c>
      <c r="AN8" s="3">
        <f>VLOOKUP($AB8,'2000 Seattle Tracts'!$C$2:$Y$374,AN$1,FALSE)*$Z8</f>
        <v>0</v>
      </c>
      <c r="AO8" s="3">
        <f>VLOOKUP($AB8,'2000 Seattle Tracts'!$C$2:$Y$374,AO$1,FALSE)*$Z8</f>
        <v>29.142076620595279</v>
      </c>
      <c r="AP8" s="3">
        <f>VLOOKUP($AB8,'2000 Seattle Tracts'!$C$2:$Y$374,AP$1,FALSE)*$Z8</f>
        <v>0</v>
      </c>
      <c r="AQ8" s="3">
        <f>VLOOKUP($AB8,'2000 Seattle Tracts'!$C$2:$Y$374,AQ$1,FALSE)*$Z8</f>
        <v>38.856102160793704</v>
      </c>
      <c r="AR8" s="3">
        <f>VLOOKUP($AB8,'2000 Seattle Tracts'!$C$2:$Y$374,AR$1,FALSE)*$Z8</f>
        <v>47.003349388056897</v>
      </c>
      <c r="AS8" s="3">
        <f>VLOOKUP($AB8,'2000 Seattle Tracts'!$C$2:$Y$374,AS$1,FALSE)*$Z8</f>
        <v>0</v>
      </c>
      <c r="AT8" s="3">
        <f>VLOOKUP($AB8,'2000 Seattle Tracts'!$C$2:$Y$374,AT$1,FALSE)*$Z8</f>
        <v>0</v>
      </c>
      <c r="AU8" s="3">
        <f>VLOOKUP($AB8,'2000 Seattle Tracts'!$C$2:$Y$374,AU$1,FALSE)*$Z8</f>
        <v>6.580468914327966</v>
      </c>
      <c r="AV8" s="3">
        <f>VLOOKUP($AB8,'2000 Seattle Tracts'!$C$2:$Y$374,AV$1,FALSE)*$Z8</f>
        <v>10.967448190546611</v>
      </c>
      <c r="AW8" s="3">
        <f>VLOOKUP($AB8,'2000 Seattle Tracts'!$C$2:$Y$374,AW$1,FALSE)*$Z8</f>
        <v>53.583818302384863</v>
      </c>
      <c r="AX8" s="3">
        <f>VLOOKUP($AB8,'2000 Seattle Tracts'!$C$2:$Y$374,AX$1,FALSE)*$Z8</f>
        <v>5.6404019265668284</v>
      </c>
      <c r="AZ8" s="2" t="s">
        <v>220</v>
      </c>
      <c r="BA8">
        <v>3755.3527312222886</v>
      </c>
      <c r="BB8">
        <v>3160.2864873224444</v>
      </c>
      <c r="BC8">
        <v>595.06624389984438</v>
      </c>
      <c r="BD8">
        <v>2728.9002429778775</v>
      </c>
      <c r="BE8">
        <v>216.01006832736556</v>
      </c>
      <c r="BF8">
        <v>45.02442057954768</v>
      </c>
      <c r="BG8">
        <v>34.024224244246838</v>
      </c>
      <c r="BH8">
        <v>81.856733604483551</v>
      </c>
      <c r="BI8">
        <v>24.006090627210938</v>
      </c>
      <c r="BJ8">
        <v>24.003637616923449</v>
      </c>
      <c r="BK8">
        <v>3.4903050489817904</v>
      </c>
      <c r="BL8">
        <v>100.52576077203653</v>
      </c>
      <c r="BM8">
        <v>257.67907033928475</v>
      </c>
      <c r="BN8">
        <v>7.8202581071629567</v>
      </c>
      <c r="BO8">
        <v>5.4624232333575149</v>
      </c>
      <c r="BP8">
        <v>28.682609953687574</v>
      </c>
      <c r="BQ8">
        <v>20.975899057451421</v>
      </c>
      <c r="BR8">
        <v>143.47282371072495</v>
      </c>
      <c r="BS8">
        <v>33.41816302194546</v>
      </c>
    </row>
    <row r="9" spans="1:71" x14ac:dyDescent="0.25">
      <c r="A9" t="s">
        <v>2917</v>
      </c>
      <c r="B9" t="s">
        <v>2918</v>
      </c>
      <c r="C9" t="s">
        <v>3227</v>
      </c>
      <c r="D9" t="s">
        <v>2749</v>
      </c>
      <c r="E9" t="s">
        <v>2750</v>
      </c>
      <c r="F9" t="s">
        <v>2751</v>
      </c>
      <c r="G9" t="s">
        <v>2920</v>
      </c>
      <c r="H9" t="s">
        <v>2921</v>
      </c>
      <c r="I9">
        <v>1593775</v>
      </c>
      <c r="J9">
        <v>0</v>
      </c>
      <c r="K9" t="s">
        <v>3356</v>
      </c>
      <c r="L9" t="s">
        <v>3357</v>
      </c>
      <c r="M9">
        <v>115</v>
      </c>
      <c r="N9">
        <v>20132.898000000001</v>
      </c>
      <c r="O9" t="s">
        <v>215</v>
      </c>
      <c r="P9">
        <v>2</v>
      </c>
      <c r="Q9">
        <v>10</v>
      </c>
      <c r="R9">
        <v>9</v>
      </c>
      <c r="S9">
        <v>21704706</v>
      </c>
      <c r="T9">
        <v>117</v>
      </c>
      <c r="U9">
        <v>110</v>
      </c>
      <c r="V9">
        <v>20132.89824583329</v>
      </c>
      <c r="W9">
        <v>21704706.261455789</v>
      </c>
      <c r="X9">
        <v>4103.4520000000002</v>
      </c>
      <c r="Y9">
        <f>VLOOKUP(AB9,'2000 Seattle Tracts'!$C$2:$Z$374,24,FALSE)</f>
        <v>1593773.5220000001</v>
      </c>
      <c r="Z9">
        <f t="shared" si="0"/>
        <v>2.5746769809870135E-3</v>
      </c>
      <c r="AA9" t="s">
        <v>218</v>
      </c>
      <c r="AB9" t="str">
        <f t="shared" si="1"/>
        <v>Census Tract 27, King County, Washington</v>
      </c>
      <c r="AC9" s="3">
        <f>VLOOKUP($AB9,'2000 Seattle Tracts'!$C$2:$Y$374,AC$1,FALSE)*$Z9</f>
        <v>12.726628317018807</v>
      </c>
      <c r="AD9" s="3">
        <f>VLOOKUP($AB9,'2000 Seattle Tracts'!$C$2:$Y$374,AD$1,FALSE)*$Z9</f>
        <v>11.593770445384521</v>
      </c>
      <c r="AE9" s="3">
        <f>VLOOKUP($AB9,'2000 Seattle Tracts'!$C$2:$Y$374,AE$1,FALSE)*$Z9</f>
        <v>1.1328578716342859</v>
      </c>
      <c r="AF9" s="3">
        <f>VLOOKUP($AB9,'2000 Seattle Tracts'!$C$2:$Y$374,AF$1,FALSE)*$Z9</f>
        <v>12.726628317018807</v>
      </c>
      <c r="AG9" s="3">
        <f>VLOOKUP($AB9,'2000 Seattle Tracts'!$C$2:$Y$374,AG$1,FALSE)*$Z9</f>
        <v>11.593770445384521</v>
      </c>
      <c r="AH9" s="3">
        <f>VLOOKUP($AB9,'2000 Seattle Tracts'!$C$2:$Y$374,AH$1,FALSE)*$Z9</f>
        <v>1.1328578716342859</v>
      </c>
      <c r="AI9" s="3">
        <f>VLOOKUP($AB9,'2000 Seattle Tracts'!$C$2:$Y$374,AI$1,FALSE)*$Z9</f>
        <v>10.309006631872002</v>
      </c>
      <c r="AJ9" s="3">
        <f>VLOOKUP($AB9,'2000 Seattle Tracts'!$C$2:$Y$374,AJ$1,FALSE)*$Z9</f>
        <v>0.61019844449392224</v>
      </c>
      <c r="AK9" s="3">
        <f>VLOOKUP($AB9,'2000 Seattle Tracts'!$C$2:$Y$374,AK$1,FALSE)*$Z9</f>
        <v>4.8918862638753259E-2</v>
      </c>
      <c r="AL9" s="3">
        <f>VLOOKUP($AB9,'2000 Seattle Tracts'!$C$2:$Y$374,AL$1,FALSE)*$Z9</f>
        <v>0</v>
      </c>
      <c r="AM9" s="3">
        <f>VLOOKUP($AB9,'2000 Seattle Tracts'!$C$2:$Y$374,AM$1,FALSE)*$Z9</f>
        <v>0.18280206565007795</v>
      </c>
      <c r="AN9" s="3">
        <f>VLOOKUP($AB9,'2000 Seattle Tracts'!$C$2:$Y$374,AN$1,FALSE)*$Z9</f>
        <v>0</v>
      </c>
      <c r="AO9" s="3">
        <f>VLOOKUP($AB9,'2000 Seattle Tracts'!$C$2:$Y$374,AO$1,FALSE)*$Z9</f>
        <v>0.23944495923179226</v>
      </c>
      <c r="AP9" s="3">
        <f>VLOOKUP($AB9,'2000 Seattle Tracts'!$C$2:$Y$374,AP$1,FALSE)*$Z9</f>
        <v>0</v>
      </c>
      <c r="AQ9" s="3">
        <f>VLOOKUP($AB9,'2000 Seattle Tracts'!$C$2:$Y$374,AQ$1,FALSE)*$Z9</f>
        <v>0.31925994564238969</v>
      </c>
      <c r="AR9" s="3">
        <f>VLOOKUP($AB9,'2000 Seattle Tracts'!$C$2:$Y$374,AR$1,FALSE)*$Z9</f>
        <v>0.38620154714805205</v>
      </c>
      <c r="AS9" s="3">
        <f>VLOOKUP($AB9,'2000 Seattle Tracts'!$C$2:$Y$374,AS$1,FALSE)*$Z9</f>
        <v>0</v>
      </c>
      <c r="AT9" s="3">
        <f>VLOOKUP($AB9,'2000 Seattle Tracts'!$C$2:$Y$374,AT$1,FALSE)*$Z9</f>
        <v>0</v>
      </c>
      <c r="AU9" s="3">
        <f>VLOOKUP($AB9,'2000 Seattle Tracts'!$C$2:$Y$374,AU$1,FALSE)*$Z9</f>
        <v>5.4068216600727283E-2</v>
      </c>
      <c r="AV9" s="3">
        <f>VLOOKUP($AB9,'2000 Seattle Tracts'!$C$2:$Y$374,AV$1,FALSE)*$Z9</f>
        <v>9.0113694334545469E-2</v>
      </c>
      <c r="AW9" s="3">
        <f>VLOOKUP($AB9,'2000 Seattle Tracts'!$C$2:$Y$374,AW$1,FALSE)*$Z9</f>
        <v>0.4402697637487793</v>
      </c>
      <c r="AX9" s="3">
        <f>VLOOKUP($AB9,'2000 Seattle Tracts'!$C$2:$Y$374,AX$1,FALSE)*$Z9</f>
        <v>4.634418565776624E-2</v>
      </c>
      <c r="AZ9" s="2" t="s">
        <v>177</v>
      </c>
      <c r="BA9">
        <v>6071.5066744789601</v>
      </c>
      <c r="BB9">
        <v>5529.3682140082819</v>
      </c>
      <c r="BC9">
        <v>542.13846047067682</v>
      </c>
      <c r="BD9">
        <v>5017.4153083579313</v>
      </c>
      <c r="BE9">
        <v>318.1397308813979</v>
      </c>
      <c r="BF9">
        <v>87.095734897770313</v>
      </c>
      <c r="BG9">
        <v>50.479085480088827</v>
      </c>
      <c r="BH9">
        <v>42.588517422733219</v>
      </c>
      <c r="BI9">
        <v>6.5404878640852786</v>
      </c>
      <c r="BJ9">
        <v>47.816409036356383</v>
      </c>
      <c r="BK9">
        <v>6.6175185015542057</v>
      </c>
      <c r="BL9">
        <v>103.29279812743985</v>
      </c>
      <c r="BM9">
        <v>118.35833910268053</v>
      </c>
      <c r="BN9">
        <v>24.950828428817861</v>
      </c>
      <c r="BO9">
        <v>8.1653617915889098E-2</v>
      </c>
      <c r="BP9">
        <v>28.370827030413601</v>
      </c>
      <c r="BQ9">
        <v>19.23110547253761</v>
      </c>
      <c r="BR9">
        <v>177.83779070681959</v>
      </c>
      <c r="BS9">
        <v>22.690539550416602</v>
      </c>
    </row>
    <row r="10" spans="1:71" x14ac:dyDescent="0.25">
      <c r="A10" t="s">
        <v>2917</v>
      </c>
      <c r="B10" t="s">
        <v>2918</v>
      </c>
      <c r="C10" t="s">
        <v>3227</v>
      </c>
      <c r="D10" t="s">
        <v>2749</v>
      </c>
      <c r="E10" t="s">
        <v>2750</v>
      </c>
      <c r="F10" t="s">
        <v>2751</v>
      </c>
      <c r="G10" t="s">
        <v>2920</v>
      </c>
      <c r="H10" t="s">
        <v>2921</v>
      </c>
      <c r="I10">
        <v>1593775</v>
      </c>
      <c r="J10">
        <v>0</v>
      </c>
      <c r="K10" t="s">
        <v>3356</v>
      </c>
      <c r="L10" t="s">
        <v>3357</v>
      </c>
      <c r="M10">
        <v>116</v>
      </c>
      <c r="N10">
        <v>25503.057000000001</v>
      </c>
      <c r="O10" t="s">
        <v>215</v>
      </c>
      <c r="P10">
        <v>2</v>
      </c>
      <c r="Q10">
        <v>10</v>
      </c>
      <c r="R10">
        <v>94</v>
      </c>
      <c r="S10">
        <v>34380472</v>
      </c>
      <c r="T10">
        <v>118</v>
      </c>
      <c r="U10">
        <v>112</v>
      </c>
      <c r="V10">
        <v>25503.057408269069</v>
      </c>
      <c r="W10">
        <v>34380470.782561153</v>
      </c>
      <c r="X10">
        <v>4538.6180000000004</v>
      </c>
      <c r="Y10">
        <f>VLOOKUP(AB10,'2000 Seattle Tracts'!$C$2:$Z$374,24,FALSE)</f>
        <v>1593773.5220000001</v>
      </c>
      <c r="Z10">
        <f t="shared" si="0"/>
        <v>2.8477182845305167E-3</v>
      </c>
      <c r="AA10" t="s">
        <v>219</v>
      </c>
      <c r="AB10" t="str">
        <f t="shared" si="1"/>
        <v>Census Tract 27, King County, Washington</v>
      </c>
      <c r="AC10" s="3">
        <f>VLOOKUP($AB10,'2000 Seattle Tracts'!$C$2:$Y$374,AC$1,FALSE)*$Z10</f>
        <v>14.076271480434345</v>
      </c>
      <c r="AD10" s="3">
        <f>VLOOKUP($AB10,'2000 Seattle Tracts'!$C$2:$Y$374,AD$1,FALSE)*$Z10</f>
        <v>12.823275435240916</v>
      </c>
      <c r="AE10" s="3">
        <f>VLOOKUP($AB10,'2000 Seattle Tracts'!$C$2:$Y$374,AE$1,FALSE)*$Z10</f>
        <v>1.2529960451934274</v>
      </c>
      <c r="AF10" s="3">
        <f>VLOOKUP($AB10,'2000 Seattle Tracts'!$C$2:$Y$374,AF$1,FALSE)*$Z10</f>
        <v>14.076271480434345</v>
      </c>
      <c r="AG10" s="3">
        <f>VLOOKUP($AB10,'2000 Seattle Tracts'!$C$2:$Y$374,AG$1,FALSE)*$Z10</f>
        <v>12.823275435240916</v>
      </c>
      <c r="AH10" s="3">
        <f>VLOOKUP($AB10,'2000 Seattle Tracts'!$C$2:$Y$374,AH$1,FALSE)*$Z10</f>
        <v>1.2529960451934274</v>
      </c>
      <c r="AI10" s="3">
        <f>VLOOKUP($AB10,'2000 Seattle Tracts'!$C$2:$Y$374,AI$1,FALSE)*$Z10</f>
        <v>11.402264011260188</v>
      </c>
      <c r="AJ10" s="3">
        <f>VLOOKUP($AB10,'2000 Seattle Tracts'!$C$2:$Y$374,AJ$1,FALSE)*$Z10</f>
        <v>0.67490923343373244</v>
      </c>
      <c r="AK10" s="3">
        <f>VLOOKUP($AB10,'2000 Seattle Tracts'!$C$2:$Y$374,AK$1,FALSE)*$Z10</f>
        <v>5.4106647406079816E-2</v>
      </c>
      <c r="AL10" s="3">
        <f>VLOOKUP($AB10,'2000 Seattle Tracts'!$C$2:$Y$374,AL$1,FALSE)*$Z10</f>
        <v>0</v>
      </c>
      <c r="AM10" s="3">
        <f>VLOOKUP($AB10,'2000 Seattle Tracts'!$C$2:$Y$374,AM$1,FALSE)*$Z10</f>
        <v>0.20218799820166669</v>
      </c>
      <c r="AN10" s="3">
        <f>VLOOKUP($AB10,'2000 Seattle Tracts'!$C$2:$Y$374,AN$1,FALSE)*$Z10</f>
        <v>0</v>
      </c>
      <c r="AO10" s="3">
        <f>VLOOKUP($AB10,'2000 Seattle Tracts'!$C$2:$Y$374,AO$1,FALSE)*$Z10</f>
        <v>0.26483780046133804</v>
      </c>
      <c r="AP10" s="3">
        <f>VLOOKUP($AB10,'2000 Seattle Tracts'!$C$2:$Y$374,AP$1,FALSE)*$Z10</f>
        <v>0</v>
      </c>
      <c r="AQ10" s="3">
        <f>VLOOKUP($AB10,'2000 Seattle Tracts'!$C$2:$Y$374,AQ$1,FALSE)*$Z10</f>
        <v>0.35311706728178405</v>
      </c>
      <c r="AR10" s="3">
        <f>VLOOKUP($AB10,'2000 Seattle Tracts'!$C$2:$Y$374,AR$1,FALSE)*$Z10</f>
        <v>0.42715774267957751</v>
      </c>
      <c r="AS10" s="3">
        <f>VLOOKUP($AB10,'2000 Seattle Tracts'!$C$2:$Y$374,AS$1,FALSE)*$Z10</f>
        <v>0</v>
      </c>
      <c r="AT10" s="3">
        <f>VLOOKUP($AB10,'2000 Seattle Tracts'!$C$2:$Y$374,AT$1,FALSE)*$Z10</f>
        <v>0</v>
      </c>
      <c r="AU10" s="3">
        <f>VLOOKUP($AB10,'2000 Seattle Tracts'!$C$2:$Y$374,AU$1,FALSE)*$Z10</f>
        <v>5.9802083975140849E-2</v>
      </c>
      <c r="AV10" s="3">
        <f>VLOOKUP($AB10,'2000 Seattle Tracts'!$C$2:$Y$374,AV$1,FALSE)*$Z10</f>
        <v>9.9670139958568091E-2</v>
      </c>
      <c r="AW10" s="3">
        <f>VLOOKUP($AB10,'2000 Seattle Tracts'!$C$2:$Y$374,AW$1,FALSE)*$Z10</f>
        <v>0.48695982665471838</v>
      </c>
      <c r="AX10" s="3">
        <f>VLOOKUP($AB10,'2000 Seattle Tracts'!$C$2:$Y$374,AX$1,FALSE)*$Z10</f>
        <v>5.12589291215493E-2</v>
      </c>
      <c r="AZ10" s="2" t="s">
        <v>166</v>
      </c>
      <c r="BA10">
        <v>1263.7946154617334</v>
      </c>
      <c r="BB10">
        <v>916.8621058082731</v>
      </c>
      <c r="BC10">
        <v>346.93250965346067</v>
      </c>
      <c r="BD10">
        <v>587.48031875415472</v>
      </c>
      <c r="BE10">
        <v>30.745691537871615</v>
      </c>
      <c r="BF10">
        <v>27.67295744092047</v>
      </c>
      <c r="BG10">
        <v>31.802791854743983</v>
      </c>
      <c r="BH10">
        <v>108.57877878400357</v>
      </c>
      <c r="BI10">
        <v>26.304803433585391</v>
      </c>
      <c r="BJ10">
        <v>53.178986190309466</v>
      </c>
      <c r="BK10">
        <v>26.907854349089241</v>
      </c>
      <c r="BL10">
        <v>63.043338874087873</v>
      </c>
      <c r="BM10">
        <v>164.14343133172599</v>
      </c>
      <c r="BN10">
        <v>0.44242650907513642</v>
      </c>
      <c r="BO10">
        <v>2.4033265869933311</v>
      </c>
      <c r="BP10">
        <v>28.618955999933636</v>
      </c>
      <c r="BQ10">
        <v>33.376597237800496</v>
      </c>
      <c r="BR10">
        <v>47.846343255788128</v>
      </c>
      <c r="BS10">
        <v>31.248013321650575</v>
      </c>
    </row>
    <row r="11" spans="1:71" x14ac:dyDescent="0.25">
      <c r="A11" t="s">
        <v>2917</v>
      </c>
      <c r="B11" t="s">
        <v>2918</v>
      </c>
      <c r="C11" t="s">
        <v>3227</v>
      </c>
      <c r="D11" t="s">
        <v>2749</v>
      </c>
      <c r="E11" t="s">
        <v>2750</v>
      </c>
      <c r="F11" t="s">
        <v>2751</v>
      </c>
      <c r="G11" t="s">
        <v>2920</v>
      </c>
      <c r="H11" t="s">
        <v>2921</v>
      </c>
      <c r="I11">
        <v>1593775</v>
      </c>
      <c r="J11">
        <v>0</v>
      </c>
      <c r="K11" t="s">
        <v>3356</v>
      </c>
      <c r="L11" t="s">
        <v>3357</v>
      </c>
      <c r="M11">
        <v>118</v>
      </c>
      <c r="N11">
        <v>26501.526999999998</v>
      </c>
      <c r="O11" t="s">
        <v>122</v>
      </c>
      <c r="P11">
        <v>1</v>
      </c>
      <c r="Q11">
        <v>2</v>
      </c>
      <c r="R11">
        <v>19</v>
      </c>
      <c r="S11">
        <v>42044564</v>
      </c>
      <c r="T11">
        <v>120</v>
      </c>
      <c r="U11">
        <v>115</v>
      </c>
      <c r="V11">
        <v>26501.526591104928</v>
      </c>
      <c r="W11">
        <v>42044563.673184253</v>
      </c>
      <c r="X11">
        <v>117.185</v>
      </c>
      <c r="Y11">
        <f>VLOOKUP(AB11,'2000 Seattle Tracts'!$C$2:$Z$374,24,FALSE)</f>
        <v>1593773.5220000001</v>
      </c>
      <c r="Z11">
        <f t="shared" si="0"/>
        <v>7.3526757963042632E-5</v>
      </c>
      <c r="AA11" t="s">
        <v>221</v>
      </c>
      <c r="AB11" t="str">
        <f t="shared" si="1"/>
        <v>Census Tract 27, King County, Washington</v>
      </c>
      <c r="AC11" s="3">
        <f>VLOOKUP($AB11,'2000 Seattle Tracts'!$C$2:$Y$374,AC$1,FALSE)*$Z11</f>
        <v>0.36344276461131975</v>
      </c>
      <c r="AD11" s="3">
        <f>VLOOKUP($AB11,'2000 Seattle Tracts'!$C$2:$Y$374,AD$1,FALSE)*$Z11</f>
        <v>0.33109099110758095</v>
      </c>
      <c r="AE11" s="3">
        <f>VLOOKUP($AB11,'2000 Seattle Tracts'!$C$2:$Y$374,AE$1,FALSE)*$Z11</f>
        <v>3.2351773503738759E-2</v>
      </c>
      <c r="AF11" s="3">
        <f>VLOOKUP($AB11,'2000 Seattle Tracts'!$C$2:$Y$374,AF$1,FALSE)*$Z11</f>
        <v>0.36344276461131975</v>
      </c>
      <c r="AG11" s="3">
        <f>VLOOKUP($AB11,'2000 Seattle Tracts'!$C$2:$Y$374,AG$1,FALSE)*$Z11</f>
        <v>0.33109099110758095</v>
      </c>
      <c r="AH11" s="3">
        <f>VLOOKUP($AB11,'2000 Seattle Tracts'!$C$2:$Y$374,AH$1,FALSE)*$Z11</f>
        <v>3.2351773503738759E-2</v>
      </c>
      <c r="AI11" s="3">
        <f>VLOOKUP($AB11,'2000 Seattle Tracts'!$C$2:$Y$374,AI$1,FALSE)*$Z11</f>
        <v>0.2944011388840227</v>
      </c>
      <c r="AJ11" s="3">
        <f>VLOOKUP($AB11,'2000 Seattle Tracts'!$C$2:$Y$374,AJ$1,FALSE)*$Z11</f>
        <v>1.7425841637241105E-2</v>
      </c>
      <c r="AK11" s="3">
        <f>VLOOKUP($AB11,'2000 Seattle Tracts'!$C$2:$Y$374,AK$1,FALSE)*$Z11</f>
        <v>1.39700840129781E-3</v>
      </c>
      <c r="AL11" s="3">
        <f>VLOOKUP($AB11,'2000 Seattle Tracts'!$C$2:$Y$374,AL$1,FALSE)*$Z11</f>
        <v>0</v>
      </c>
      <c r="AM11" s="3">
        <f>VLOOKUP($AB11,'2000 Seattle Tracts'!$C$2:$Y$374,AM$1,FALSE)*$Z11</f>
        <v>5.2203998153760268E-3</v>
      </c>
      <c r="AN11" s="3">
        <f>VLOOKUP($AB11,'2000 Seattle Tracts'!$C$2:$Y$374,AN$1,FALSE)*$Z11</f>
        <v>0</v>
      </c>
      <c r="AO11" s="3">
        <f>VLOOKUP($AB11,'2000 Seattle Tracts'!$C$2:$Y$374,AO$1,FALSE)*$Z11</f>
        <v>6.837988490562965E-3</v>
      </c>
      <c r="AP11" s="3">
        <f>VLOOKUP($AB11,'2000 Seattle Tracts'!$C$2:$Y$374,AP$1,FALSE)*$Z11</f>
        <v>0</v>
      </c>
      <c r="AQ11" s="3">
        <f>VLOOKUP($AB11,'2000 Seattle Tracts'!$C$2:$Y$374,AQ$1,FALSE)*$Z11</f>
        <v>9.1173179874172866E-3</v>
      </c>
      <c r="AR11" s="3">
        <f>VLOOKUP($AB11,'2000 Seattle Tracts'!$C$2:$Y$374,AR$1,FALSE)*$Z11</f>
        <v>1.1029013694456394E-2</v>
      </c>
      <c r="AS11" s="3">
        <f>VLOOKUP($AB11,'2000 Seattle Tracts'!$C$2:$Y$374,AS$1,FALSE)*$Z11</f>
        <v>0</v>
      </c>
      <c r="AT11" s="3">
        <f>VLOOKUP($AB11,'2000 Seattle Tracts'!$C$2:$Y$374,AT$1,FALSE)*$Z11</f>
        <v>0</v>
      </c>
      <c r="AU11" s="3">
        <f>VLOOKUP($AB11,'2000 Seattle Tracts'!$C$2:$Y$374,AU$1,FALSE)*$Z11</f>
        <v>1.5440619172238954E-3</v>
      </c>
      <c r="AV11" s="3">
        <f>VLOOKUP($AB11,'2000 Seattle Tracts'!$C$2:$Y$374,AV$1,FALSE)*$Z11</f>
        <v>2.5734365287064919E-3</v>
      </c>
      <c r="AW11" s="3">
        <f>VLOOKUP($AB11,'2000 Seattle Tracts'!$C$2:$Y$374,AW$1,FALSE)*$Z11</f>
        <v>1.2573075611680289E-2</v>
      </c>
      <c r="AX11" s="3">
        <f>VLOOKUP($AB11,'2000 Seattle Tracts'!$C$2:$Y$374,AX$1,FALSE)*$Z11</f>
        <v>1.3234816433347675E-3</v>
      </c>
      <c r="AZ11" s="2" t="s">
        <v>125</v>
      </c>
      <c r="BA11">
        <v>7879.782006558552</v>
      </c>
      <c r="BB11">
        <v>7005.637778514727</v>
      </c>
      <c r="BC11">
        <v>874.1442280438265</v>
      </c>
      <c r="BD11">
        <v>6256.570872788564</v>
      </c>
      <c r="BE11">
        <v>461.59260549008985</v>
      </c>
      <c r="BF11">
        <v>64.233536222801945</v>
      </c>
      <c r="BG11">
        <v>19.627072745148805</v>
      </c>
      <c r="BH11">
        <v>95.918239928225688</v>
      </c>
      <c r="BI11">
        <v>7.0618027088052579E-2</v>
      </c>
      <c r="BJ11">
        <v>63.408194008612256</v>
      </c>
      <c r="BK11">
        <v>1.925892648846131</v>
      </c>
      <c r="BL11">
        <v>225.06398402422016</v>
      </c>
      <c r="BM11">
        <v>297.61950473301073</v>
      </c>
      <c r="BN11">
        <v>4.1841288360492497</v>
      </c>
      <c r="BO11">
        <v>1.9263906834313154</v>
      </c>
      <c r="BP11">
        <v>22.485613071763165</v>
      </c>
      <c r="BQ11">
        <v>26.420420507208341</v>
      </c>
      <c r="BR11">
        <v>273.77320963449012</v>
      </c>
      <c r="BS11">
        <v>64.96172320900331</v>
      </c>
    </row>
    <row r="12" spans="1:71" x14ac:dyDescent="0.25">
      <c r="A12" t="s">
        <v>2917</v>
      </c>
      <c r="B12" t="s">
        <v>2918</v>
      </c>
      <c r="C12" t="s">
        <v>3305</v>
      </c>
      <c r="D12" t="s">
        <v>2752</v>
      </c>
      <c r="E12" t="s">
        <v>2753</v>
      </c>
      <c r="F12" t="s">
        <v>2754</v>
      </c>
      <c r="G12" t="s">
        <v>2920</v>
      </c>
      <c r="H12" t="s">
        <v>2921</v>
      </c>
      <c r="I12">
        <v>1216657</v>
      </c>
      <c r="J12">
        <v>28175</v>
      </c>
      <c r="K12" t="s">
        <v>3306</v>
      </c>
      <c r="L12" t="s">
        <v>3307</v>
      </c>
      <c r="M12">
        <v>36</v>
      </c>
      <c r="N12">
        <v>30993.599999999999</v>
      </c>
      <c r="O12" t="s">
        <v>122</v>
      </c>
      <c r="P12">
        <v>4</v>
      </c>
      <c r="Q12">
        <v>5</v>
      </c>
      <c r="R12">
        <v>81</v>
      </c>
      <c r="S12">
        <v>37020968</v>
      </c>
      <c r="T12">
        <v>38</v>
      </c>
      <c r="U12">
        <v>125</v>
      </c>
      <c r="V12">
        <v>30993.600213945359</v>
      </c>
      <c r="W12">
        <v>37020968.872468568</v>
      </c>
      <c r="X12">
        <v>318637.12099999998</v>
      </c>
      <c r="Y12">
        <f>VLOOKUP(AB12,'2000 Seattle Tracts'!$C$2:$Z$374,24,FALSE)</f>
        <v>1211642.7150000001</v>
      </c>
      <c r="Z12">
        <f t="shared" si="0"/>
        <v>0.26297943862106243</v>
      </c>
      <c r="AA12" t="s">
        <v>127</v>
      </c>
      <c r="AB12" t="str">
        <f t="shared" si="1"/>
        <v>Census Tract 26, King County, Washington</v>
      </c>
      <c r="AC12" s="3">
        <f>VLOOKUP($AB12,'2000 Seattle Tracts'!$C$2:$Y$374,AC$1,FALSE)*$Z12</f>
        <v>1189.1930214444444</v>
      </c>
      <c r="AD12" s="3">
        <f>VLOOKUP($AB12,'2000 Seattle Tracts'!$C$2:$Y$374,AD$1,FALSE)*$Z12</f>
        <v>1077.4267600304927</v>
      </c>
      <c r="AE12" s="3">
        <f>VLOOKUP($AB12,'2000 Seattle Tracts'!$C$2:$Y$374,AE$1,FALSE)*$Z12</f>
        <v>111.76626141395154</v>
      </c>
      <c r="AF12" s="3">
        <f>VLOOKUP($AB12,'2000 Seattle Tracts'!$C$2:$Y$374,AF$1,FALSE)*$Z12</f>
        <v>1189.1930214444444</v>
      </c>
      <c r="AG12" s="3">
        <f>VLOOKUP($AB12,'2000 Seattle Tracts'!$C$2:$Y$374,AG$1,FALSE)*$Z12</f>
        <v>1077.4267600304927</v>
      </c>
      <c r="AH12" s="3">
        <f>VLOOKUP($AB12,'2000 Seattle Tracts'!$C$2:$Y$374,AH$1,FALSE)*$Z12</f>
        <v>111.76626141395154</v>
      </c>
      <c r="AI12" s="3">
        <f>VLOOKUP($AB12,'2000 Seattle Tracts'!$C$2:$Y$374,AI$1,FALSE)*$Z12</f>
        <v>960.9268687213621</v>
      </c>
      <c r="AJ12" s="3">
        <f>VLOOKUP($AB12,'2000 Seattle Tracts'!$C$2:$Y$374,AJ$1,FALSE)*$Z12</f>
        <v>57.855476496633734</v>
      </c>
      <c r="AK12" s="3">
        <f>VLOOKUP($AB12,'2000 Seattle Tracts'!$C$2:$Y$374,AK$1,FALSE)*$Z12</f>
        <v>17.619622387611184</v>
      </c>
      <c r="AL12" s="3">
        <f>VLOOKUP($AB12,'2000 Seattle Tracts'!$C$2:$Y$374,AL$1,FALSE)*$Z12</f>
        <v>3.6817121406948741</v>
      </c>
      <c r="AM12" s="3">
        <f>VLOOKUP($AB12,'2000 Seattle Tracts'!$C$2:$Y$374,AM$1,FALSE)*$Z12</f>
        <v>9.2042803517371858</v>
      </c>
      <c r="AN12" s="3">
        <f>VLOOKUP($AB12,'2000 Seattle Tracts'!$C$2:$Y$374,AN$1,FALSE)*$Z12</f>
        <v>1.5778766317263746</v>
      </c>
      <c r="AO12" s="3">
        <f>VLOOKUP($AB12,'2000 Seattle Tracts'!$C$2:$Y$374,AO$1,FALSE)*$Z12</f>
        <v>11.045136422084623</v>
      </c>
      <c r="AP12" s="3">
        <f>VLOOKUP($AB12,'2000 Seattle Tracts'!$C$2:$Y$374,AP$1,FALSE)*$Z12</f>
        <v>0</v>
      </c>
      <c r="AQ12" s="3">
        <f>VLOOKUP($AB12,'2000 Seattle Tracts'!$C$2:$Y$374,AQ$1,FALSE)*$Z12</f>
        <v>28.401779371074742</v>
      </c>
      <c r="AR12" s="3">
        <f>VLOOKUP($AB12,'2000 Seattle Tracts'!$C$2:$Y$374,AR$1,FALSE)*$Z12</f>
        <v>37.869039161432994</v>
      </c>
      <c r="AS12" s="3">
        <f>VLOOKUP($AB12,'2000 Seattle Tracts'!$C$2:$Y$374,AS$1,FALSE)*$Z12</f>
        <v>9.7302392289793094</v>
      </c>
      <c r="AT12" s="3">
        <f>VLOOKUP($AB12,'2000 Seattle Tracts'!$C$2:$Y$374,AT$1,FALSE)*$Z12</f>
        <v>1.840856070347437</v>
      </c>
      <c r="AU12" s="3">
        <f>VLOOKUP($AB12,'2000 Seattle Tracts'!$C$2:$Y$374,AU$1,FALSE)*$Z12</f>
        <v>3.6817121406948741</v>
      </c>
      <c r="AV12" s="3">
        <f>VLOOKUP($AB12,'2000 Seattle Tracts'!$C$2:$Y$374,AV$1,FALSE)*$Z12</f>
        <v>2.3668149475895621</v>
      </c>
      <c r="AW12" s="3">
        <f>VLOOKUP($AB12,'2000 Seattle Tracts'!$C$2:$Y$374,AW$1,FALSE)*$Z12</f>
        <v>36.817121406948743</v>
      </c>
      <c r="AX12" s="3">
        <f>VLOOKUP($AB12,'2000 Seattle Tracts'!$C$2:$Y$374,AX$1,FALSE)*$Z12</f>
        <v>6.5744859655265611</v>
      </c>
      <c r="AZ12" s="2" t="s">
        <v>221</v>
      </c>
      <c r="BA12">
        <v>14363.646899068674</v>
      </c>
      <c r="BB12">
        <v>12016.336512070618</v>
      </c>
      <c r="BC12">
        <v>2347.3103869980509</v>
      </c>
      <c r="BD12">
        <v>10337.479851326978</v>
      </c>
      <c r="BE12">
        <v>725.3615880939542</v>
      </c>
      <c r="BF12">
        <v>218.90092537436681</v>
      </c>
      <c r="BG12">
        <v>164.83864840749951</v>
      </c>
      <c r="BH12">
        <v>273.07494589386465</v>
      </c>
      <c r="BI12">
        <v>125.26433188435718</v>
      </c>
      <c r="BJ12">
        <v>103.26673191882624</v>
      </c>
      <c r="BK12">
        <v>14.235164050310283</v>
      </c>
      <c r="BL12">
        <v>356.6475092256876</v>
      </c>
      <c r="BM12">
        <v>1042.2208262118861</v>
      </c>
      <c r="BN12">
        <v>10.670920110338153</v>
      </c>
      <c r="BO12">
        <v>13.883154711698742</v>
      </c>
      <c r="BP12">
        <v>104.06160874065267</v>
      </c>
      <c r="BQ12">
        <v>111.47691988591666</v>
      </c>
      <c r="BR12">
        <v>612.23401947990669</v>
      </c>
      <c r="BS12">
        <v>150.02975375242806</v>
      </c>
    </row>
    <row r="13" spans="1:71" x14ac:dyDescent="0.25">
      <c r="A13" t="s">
        <v>2917</v>
      </c>
      <c r="B13" t="s">
        <v>2918</v>
      </c>
      <c r="C13" t="s">
        <v>3305</v>
      </c>
      <c r="D13" t="s">
        <v>2752</v>
      </c>
      <c r="E13" t="s">
        <v>2753</v>
      </c>
      <c r="F13" t="s">
        <v>2754</v>
      </c>
      <c r="G13" t="s">
        <v>2920</v>
      </c>
      <c r="H13" t="s">
        <v>2921</v>
      </c>
      <c r="I13">
        <v>1216657</v>
      </c>
      <c r="J13">
        <v>28175</v>
      </c>
      <c r="K13" t="s">
        <v>3306</v>
      </c>
      <c r="L13" t="s">
        <v>3307</v>
      </c>
      <c r="M13">
        <v>41</v>
      </c>
      <c r="N13">
        <v>22865.453000000001</v>
      </c>
      <c r="O13" t="s">
        <v>122</v>
      </c>
      <c r="P13">
        <v>4</v>
      </c>
      <c r="Q13">
        <v>5</v>
      </c>
      <c r="R13">
        <v>95</v>
      </c>
      <c r="S13">
        <v>21491312</v>
      </c>
      <c r="T13">
        <v>43</v>
      </c>
      <c r="U13">
        <v>124</v>
      </c>
      <c r="V13">
        <v>22865.452635921651</v>
      </c>
      <c r="W13">
        <v>21491312.22830575</v>
      </c>
      <c r="X13">
        <v>893004.31200000003</v>
      </c>
      <c r="Y13">
        <f>VLOOKUP(AB13,'2000 Seattle Tracts'!$C$2:$Z$374,24,FALSE)</f>
        <v>1211642.7150000001</v>
      </c>
      <c r="Z13">
        <f t="shared" si="0"/>
        <v>0.73701950331125454</v>
      </c>
      <c r="AA13" t="s">
        <v>132</v>
      </c>
      <c r="AB13" t="str">
        <f t="shared" si="1"/>
        <v>Census Tract 26, King County, Washington</v>
      </c>
      <c r="AC13" s="3">
        <f>VLOOKUP($AB13,'2000 Seattle Tracts'!$C$2:$Y$374,AC$1,FALSE)*$Z13</f>
        <v>3332.8021939734931</v>
      </c>
      <c r="AD13" s="3">
        <f>VLOOKUP($AB13,'2000 Seattle Tracts'!$C$2:$Y$374,AD$1,FALSE)*$Z13</f>
        <v>3019.5689050662099</v>
      </c>
      <c r="AE13" s="3">
        <f>VLOOKUP($AB13,'2000 Seattle Tracts'!$C$2:$Y$374,AE$1,FALSE)*$Z13</f>
        <v>313.23328890728317</v>
      </c>
      <c r="AF13" s="3">
        <f>VLOOKUP($AB13,'2000 Seattle Tracts'!$C$2:$Y$374,AF$1,FALSE)*$Z13</f>
        <v>3332.8021939734931</v>
      </c>
      <c r="AG13" s="3">
        <f>VLOOKUP($AB13,'2000 Seattle Tracts'!$C$2:$Y$374,AG$1,FALSE)*$Z13</f>
        <v>3019.5689050662099</v>
      </c>
      <c r="AH13" s="3">
        <f>VLOOKUP($AB13,'2000 Seattle Tracts'!$C$2:$Y$374,AH$1,FALSE)*$Z13</f>
        <v>313.23328890728317</v>
      </c>
      <c r="AI13" s="3">
        <f>VLOOKUP($AB13,'2000 Seattle Tracts'!$C$2:$Y$374,AI$1,FALSE)*$Z13</f>
        <v>2693.0692650993242</v>
      </c>
      <c r="AJ13" s="3">
        <f>VLOOKUP($AB13,'2000 Seattle Tracts'!$C$2:$Y$374,AJ$1,FALSE)*$Z13</f>
        <v>162.14429072847599</v>
      </c>
      <c r="AK13" s="3">
        <f>VLOOKUP($AB13,'2000 Seattle Tracts'!$C$2:$Y$374,AK$1,FALSE)*$Z13</f>
        <v>49.380306721854055</v>
      </c>
      <c r="AL13" s="3">
        <f>VLOOKUP($AB13,'2000 Seattle Tracts'!$C$2:$Y$374,AL$1,FALSE)*$Z13</f>
        <v>10.318273046357564</v>
      </c>
      <c r="AM13" s="3">
        <f>VLOOKUP($AB13,'2000 Seattle Tracts'!$C$2:$Y$374,AM$1,FALSE)*$Z13</f>
        <v>25.795682615893909</v>
      </c>
      <c r="AN13" s="3">
        <f>VLOOKUP($AB13,'2000 Seattle Tracts'!$C$2:$Y$374,AN$1,FALSE)*$Z13</f>
        <v>4.4221170198675273</v>
      </c>
      <c r="AO13" s="3">
        <f>VLOOKUP($AB13,'2000 Seattle Tracts'!$C$2:$Y$374,AO$1,FALSE)*$Z13</f>
        <v>30.95481913907269</v>
      </c>
      <c r="AP13" s="3">
        <f>VLOOKUP($AB13,'2000 Seattle Tracts'!$C$2:$Y$374,AP$1,FALSE)*$Z13</f>
        <v>0</v>
      </c>
      <c r="AQ13" s="3">
        <f>VLOOKUP($AB13,'2000 Seattle Tracts'!$C$2:$Y$374,AQ$1,FALSE)*$Z13</f>
        <v>79.598106357615492</v>
      </c>
      <c r="AR13" s="3">
        <f>VLOOKUP($AB13,'2000 Seattle Tracts'!$C$2:$Y$374,AR$1,FALSE)*$Z13</f>
        <v>106.13080847682065</v>
      </c>
      <c r="AS13" s="3">
        <f>VLOOKUP($AB13,'2000 Seattle Tracts'!$C$2:$Y$374,AS$1,FALSE)*$Z13</f>
        <v>27.269721622516418</v>
      </c>
      <c r="AT13" s="3">
        <f>VLOOKUP($AB13,'2000 Seattle Tracts'!$C$2:$Y$374,AT$1,FALSE)*$Z13</f>
        <v>5.1591365231787822</v>
      </c>
      <c r="AU13" s="3">
        <f>VLOOKUP($AB13,'2000 Seattle Tracts'!$C$2:$Y$374,AU$1,FALSE)*$Z13</f>
        <v>10.318273046357564</v>
      </c>
      <c r="AV13" s="3">
        <f>VLOOKUP($AB13,'2000 Seattle Tracts'!$C$2:$Y$374,AV$1,FALSE)*$Z13</f>
        <v>6.6331755298012904</v>
      </c>
      <c r="AW13" s="3">
        <f>VLOOKUP($AB13,'2000 Seattle Tracts'!$C$2:$Y$374,AW$1,FALSE)*$Z13</f>
        <v>103.18273046357564</v>
      </c>
      <c r="AX13" s="3">
        <f>VLOOKUP($AB13,'2000 Seattle Tracts'!$C$2:$Y$374,AX$1,FALSE)*$Z13</f>
        <v>18.425487582781365</v>
      </c>
      <c r="AZ13" s="2" t="s">
        <v>214</v>
      </c>
      <c r="BA13">
        <v>8921.7194904112621</v>
      </c>
      <c r="BB13">
        <v>6689.2770876706218</v>
      </c>
      <c r="BC13">
        <v>2232.4424027406421</v>
      </c>
      <c r="BD13">
        <v>5359.5665257473238</v>
      </c>
      <c r="BE13">
        <v>461.91560537856759</v>
      </c>
      <c r="BF13">
        <v>146.34777830127621</v>
      </c>
      <c r="BG13">
        <v>174.22781307197315</v>
      </c>
      <c r="BH13">
        <v>329.80601079389783</v>
      </c>
      <c r="BI13">
        <v>70.401523739865908</v>
      </c>
      <c r="BJ13">
        <v>44.639841223708672</v>
      </c>
      <c r="BK13">
        <v>21.742839049908515</v>
      </c>
      <c r="BL13">
        <v>324.66846823089287</v>
      </c>
      <c r="BM13">
        <v>1199.0512057028948</v>
      </c>
      <c r="BN13">
        <v>7.3671469148707809</v>
      </c>
      <c r="BO13">
        <v>0</v>
      </c>
      <c r="BP13">
        <v>65.907368537952664</v>
      </c>
      <c r="BQ13">
        <v>63.081679254860717</v>
      </c>
      <c r="BR13">
        <v>410.97394792069821</v>
      </c>
      <c r="BS13">
        <v>242.02173654257172</v>
      </c>
    </row>
    <row r="14" spans="1:71" x14ac:dyDescent="0.25">
      <c r="A14" t="s">
        <v>2917</v>
      </c>
      <c r="B14" t="s">
        <v>2918</v>
      </c>
      <c r="C14" t="s">
        <v>3305</v>
      </c>
      <c r="D14" t="s">
        <v>2752</v>
      </c>
      <c r="E14" t="s">
        <v>2753</v>
      </c>
      <c r="F14" t="s">
        <v>2754</v>
      </c>
      <c r="G14" t="s">
        <v>2920</v>
      </c>
      <c r="H14" t="s">
        <v>2921</v>
      </c>
      <c r="I14">
        <v>1216657</v>
      </c>
      <c r="J14">
        <v>28175</v>
      </c>
      <c r="K14" t="s">
        <v>3306</v>
      </c>
      <c r="L14" t="s">
        <v>3307</v>
      </c>
      <c r="M14">
        <v>116</v>
      </c>
      <c r="N14">
        <v>25503.057000000001</v>
      </c>
      <c r="O14" t="s">
        <v>215</v>
      </c>
      <c r="P14">
        <v>2</v>
      </c>
      <c r="Q14">
        <v>10</v>
      </c>
      <c r="R14">
        <v>94</v>
      </c>
      <c r="S14">
        <v>34380472</v>
      </c>
      <c r="T14">
        <v>118</v>
      </c>
      <c r="U14">
        <v>112</v>
      </c>
      <c r="V14">
        <v>25503.057408269069</v>
      </c>
      <c r="W14">
        <v>34380470.782561153</v>
      </c>
      <c r="X14">
        <v>1.282</v>
      </c>
      <c r="Y14">
        <f>VLOOKUP(AB14,'2000 Seattle Tracts'!$C$2:$Z$374,24,FALSE)</f>
        <v>1211642.7150000001</v>
      </c>
      <c r="Z14">
        <f t="shared" si="0"/>
        <v>1.0580676829307721E-6</v>
      </c>
      <c r="AA14" t="s">
        <v>219</v>
      </c>
      <c r="AB14" t="str">
        <f t="shared" si="1"/>
        <v>Census Tract 26, King County, Washington</v>
      </c>
      <c r="AC14" s="3">
        <f>VLOOKUP($AB14,'2000 Seattle Tracts'!$C$2:$Y$374,AC$1,FALSE)*$Z14</f>
        <v>4.7845820622129508E-3</v>
      </c>
      <c r="AD14" s="3">
        <f>VLOOKUP($AB14,'2000 Seattle Tracts'!$C$2:$Y$374,AD$1,FALSE)*$Z14</f>
        <v>4.3349032969673728E-3</v>
      </c>
      <c r="AE14" s="3">
        <f>VLOOKUP($AB14,'2000 Seattle Tracts'!$C$2:$Y$374,AE$1,FALSE)*$Z14</f>
        <v>4.4967876524557813E-4</v>
      </c>
      <c r="AF14" s="3">
        <f>VLOOKUP($AB14,'2000 Seattle Tracts'!$C$2:$Y$374,AF$1,FALSE)*$Z14</f>
        <v>4.7845820622129508E-3</v>
      </c>
      <c r="AG14" s="3">
        <f>VLOOKUP($AB14,'2000 Seattle Tracts'!$C$2:$Y$374,AG$1,FALSE)*$Z14</f>
        <v>4.3349032969673728E-3</v>
      </c>
      <c r="AH14" s="3">
        <f>VLOOKUP($AB14,'2000 Seattle Tracts'!$C$2:$Y$374,AH$1,FALSE)*$Z14</f>
        <v>4.4967876524557813E-4</v>
      </c>
      <c r="AI14" s="3">
        <f>VLOOKUP($AB14,'2000 Seattle Tracts'!$C$2:$Y$374,AI$1,FALSE)*$Z14</f>
        <v>3.8661793134290409E-3</v>
      </c>
      <c r="AJ14" s="3">
        <f>VLOOKUP($AB14,'2000 Seattle Tracts'!$C$2:$Y$374,AJ$1,FALSE)*$Z14</f>
        <v>2.3277489024476985E-4</v>
      </c>
      <c r="AK14" s="3">
        <f>VLOOKUP($AB14,'2000 Seattle Tracts'!$C$2:$Y$374,AK$1,FALSE)*$Z14</f>
        <v>7.0890534756361731E-5</v>
      </c>
      <c r="AL14" s="3">
        <f>VLOOKUP($AB14,'2000 Seattle Tracts'!$C$2:$Y$374,AL$1,FALSE)*$Z14</f>
        <v>1.4812947561030809E-5</v>
      </c>
      <c r="AM14" s="3">
        <f>VLOOKUP($AB14,'2000 Seattle Tracts'!$C$2:$Y$374,AM$1,FALSE)*$Z14</f>
        <v>3.7032368902577025E-5</v>
      </c>
      <c r="AN14" s="3">
        <f>VLOOKUP($AB14,'2000 Seattle Tracts'!$C$2:$Y$374,AN$1,FALSE)*$Z14</f>
        <v>6.3484060975846328E-6</v>
      </c>
      <c r="AO14" s="3">
        <f>VLOOKUP($AB14,'2000 Seattle Tracts'!$C$2:$Y$374,AO$1,FALSE)*$Z14</f>
        <v>4.4438842683092424E-5</v>
      </c>
      <c r="AP14" s="3">
        <f>VLOOKUP($AB14,'2000 Seattle Tracts'!$C$2:$Y$374,AP$1,FALSE)*$Z14</f>
        <v>0</v>
      </c>
      <c r="AQ14" s="3">
        <f>VLOOKUP($AB14,'2000 Seattle Tracts'!$C$2:$Y$374,AQ$1,FALSE)*$Z14</f>
        <v>1.1427130975652339E-4</v>
      </c>
      <c r="AR14" s="3">
        <f>VLOOKUP($AB14,'2000 Seattle Tracts'!$C$2:$Y$374,AR$1,FALSE)*$Z14</f>
        <v>1.5236174634203117E-4</v>
      </c>
      <c r="AS14" s="3">
        <f>VLOOKUP($AB14,'2000 Seattle Tracts'!$C$2:$Y$374,AS$1,FALSE)*$Z14</f>
        <v>3.9148504268438569E-5</v>
      </c>
      <c r="AT14" s="3">
        <f>VLOOKUP($AB14,'2000 Seattle Tracts'!$C$2:$Y$374,AT$1,FALSE)*$Z14</f>
        <v>7.4064737805154046E-6</v>
      </c>
      <c r="AU14" s="3">
        <f>VLOOKUP($AB14,'2000 Seattle Tracts'!$C$2:$Y$374,AU$1,FALSE)*$Z14</f>
        <v>1.4812947561030809E-5</v>
      </c>
      <c r="AV14" s="3">
        <f>VLOOKUP($AB14,'2000 Seattle Tracts'!$C$2:$Y$374,AV$1,FALSE)*$Z14</f>
        <v>9.5226091463769483E-6</v>
      </c>
      <c r="AW14" s="3">
        <f>VLOOKUP($AB14,'2000 Seattle Tracts'!$C$2:$Y$374,AW$1,FALSE)*$Z14</f>
        <v>1.481294756103081E-4</v>
      </c>
      <c r="AX14" s="3">
        <f>VLOOKUP($AB14,'2000 Seattle Tracts'!$C$2:$Y$374,AX$1,FALSE)*$Z14</f>
        <v>2.6451692073269303E-5</v>
      </c>
      <c r="AZ14" s="2" t="s">
        <v>194</v>
      </c>
      <c r="BA14">
        <v>5937.02039838161</v>
      </c>
      <c r="BB14">
        <v>4244.3352674255093</v>
      </c>
      <c r="BC14">
        <v>1692.6851309561014</v>
      </c>
      <c r="BD14">
        <v>1688.9394442049606</v>
      </c>
      <c r="BE14">
        <v>129.02055268333748</v>
      </c>
      <c r="BF14">
        <v>60.883606512477748</v>
      </c>
      <c r="BG14">
        <v>10.891458022334803</v>
      </c>
      <c r="BH14">
        <v>1079.4711612518374</v>
      </c>
      <c r="BI14">
        <v>153.6478316032792</v>
      </c>
      <c r="BJ14">
        <v>250.05022763078898</v>
      </c>
      <c r="BK14">
        <v>43.664720448143989</v>
      </c>
      <c r="BL14">
        <v>424.94118710862523</v>
      </c>
      <c r="BM14">
        <v>1076.1288173080372</v>
      </c>
      <c r="BN14">
        <v>109.60471156096429</v>
      </c>
      <c r="BO14">
        <v>63.149630659382773</v>
      </c>
      <c r="BP14">
        <v>245.90494143865564</v>
      </c>
      <c r="BQ14">
        <v>85.409527576481779</v>
      </c>
      <c r="BR14">
        <v>384.53998771719961</v>
      </c>
      <c r="BS14">
        <v>130.77259265510418</v>
      </c>
    </row>
    <row r="15" spans="1:71" x14ac:dyDescent="0.25">
      <c r="A15" t="s">
        <v>2917</v>
      </c>
      <c r="B15" t="s">
        <v>2918</v>
      </c>
      <c r="C15" t="s">
        <v>2927</v>
      </c>
      <c r="D15" t="s">
        <v>2755</v>
      </c>
      <c r="E15" t="s">
        <v>2756</v>
      </c>
      <c r="F15" t="s">
        <v>2757</v>
      </c>
      <c r="G15" t="s">
        <v>2920</v>
      </c>
      <c r="H15" t="s">
        <v>2921</v>
      </c>
      <c r="I15">
        <v>984333</v>
      </c>
      <c r="J15">
        <v>0</v>
      </c>
      <c r="K15" t="s">
        <v>2928</v>
      </c>
      <c r="L15" t="s">
        <v>2929</v>
      </c>
      <c r="M15">
        <v>36</v>
      </c>
      <c r="N15">
        <v>30993.599999999999</v>
      </c>
      <c r="O15" t="s">
        <v>122</v>
      </c>
      <c r="P15">
        <v>4</v>
      </c>
      <c r="Q15">
        <v>5</v>
      </c>
      <c r="R15">
        <v>81</v>
      </c>
      <c r="S15">
        <v>37020968</v>
      </c>
      <c r="T15">
        <v>38</v>
      </c>
      <c r="U15">
        <v>125</v>
      </c>
      <c r="V15">
        <v>30993.600213945359</v>
      </c>
      <c r="W15">
        <v>37020968.872468568</v>
      </c>
      <c r="X15">
        <v>702529.66399999999</v>
      </c>
      <c r="Y15">
        <f>VLOOKUP(AB15,'2000 Seattle Tracts'!$C$2:$Z$374,24,FALSE)</f>
        <v>984333.93599999999</v>
      </c>
      <c r="Z15">
        <f t="shared" si="0"/>
        <v>0.71371070152761651</v>
      </c>
      <c r="AA15" t="s">
        <v>127</v>
      </c>
      <c r="AB15" t="str">
        <f t="shared" si="1"/>
        <v>Census Tract 25, King County, Washington</v>
      </c>
      <c r="AC15" s="3">
        <f>VLOOKUP($AB15,'2000 Seattle Tracts'!$C$2:$Y$374,AC$1,FALSE)*$Z15</f>
        <v>1813.5388925816735</v>
      </c>
      <c r="AD15" s="3">
        <f>VLOOKUP($AB15,'2000 Seattle Tracts'!$C$2:$Y$374,AD$1,FALSE)*$Z15</f>
        <v>1560.1715935393697</v>
      </c>
      <c r="AE15" s="3">
        <f>VLOOKUP($AB15,'2000 Seattle Tracts'!$C$2:$Y$374,AE$1,FALSE)*$Z15</f>
        <v>253.36729904230387</v>
      </c>
      <c r="AF15" s="3">
        <f>VLOOKUP($AB15,'2000 Seattle Tracts'!$C$2:$Y$374,AF$1,FALSE)*$Z15</f>
        <v>1813.5388925816735</v>
      </c>
      <c r="AG15" s="3">
        <f>VLOOKUP($AB15,'2000 Seattle Tracts'!$C$2:$Y$374,AG$1,FALSE)*$Z15</f>
        <v>1560.1715935393697</v>
      </c>
      <c r="AH15" s="3">
        <f>VLOOKUP($AB15,'2000 Seattle Tracts'!$C$2:$Y$374,AH$1,FALSE)*$Z15</f>
        <v>253.36729904230387</v>
      </c>
      <c r="AI15" s="3">
        <f>VLOOKUP($AB15,'2000 Seattle Tracts'!$C$2:$Y$374,AI$1,FALSE)*$Z15</f>
        <v>1369.610836231496</v>
      </c>
      <c r="AJ15" s="3">
        <f>VLOOKUP($AB15,'2000 Seattle Tracts'!$C$2:$Y$374,AJ$1,FALSE)*$Z15</f>
        <v>133.4639011856643</v>
      </c>
      <c r="AK15" s="3">
        <f>VLOOKUP($AB15,'2000 Seattle Tracts'!$C$2:$Y$374,AK$1,FALSE)*$Z15</f>
        <v>18.556478239718029</v>
      </c>
      <c r="AL15" s="3">
        <f>VLOOKUP($AB15,'2000 Seattle Tracts'!$C$2:$Y$374,AL$1,FALSE)*$Z15</f>
        <v>0</v>
      </c>
      <c r="AM15" s="3">
        <f>VLOOKUP($AB15,'2000 Seattle Tracts'!$C$2:$Y$374,AM$1,FALSE)*$Z15</f>
        <v>22.125031747356111</v>
      </c>
      <c r="AN15" s="3">
        <f>VLOOKUP($AB15,'2000 Seattle Tracts'!$C$2:$Y$374,AN$1,FALSE)*$Z15</f>
        <v>3.5685535076380823</v>
      </c>
      <c r="AO15" s="3">
        <f>VLOOKUP($AB15,'2000 Seattle Tracts'!$C$2:$Y$374,AO$1,FALSE)*$Z15</f>
        <v>14.274214030552329</v>
      </c>
      <c r="AP15" s="3">
        <f>VLOOKUP($AB15,'2000 Seattle Tracts'!$C$2:$Y$374,AP$1,FALSE)*$Z15</f>
        <v>0</v>
      </c>
      <c r="AQ15" s="3">
        <f>VLOOKUP($AB15,'2000 Seattle Tracts'!$C$2:$Y$374,AQ$1,FALSE)*$Z15</f>
        <v>41.395220688601761</v>
      </c>
      <c r="AR15" s="3">
        <f>VLOOKUP($AB15,'2000 Seattle Tracts'!$C$2:$Y$374,AR$1,FALSE)*$Z15</f>
        <v>71.371070152761646</v>
      </c>
      <c r="AS15" s="3">
        <f>VLOOKUP($AB15,'2000 Seattle Tracts'!$C$2:$Y$374,AS$1,FALSE)*$Z15</f>
        <v>10.705660522914247</v>
      </c>
      <c r="AT15" s="3">
        <f>VLOOKUP($AB15,'2000 Seattle Tracts'!$C$2:$Y$374,AT$1,FALSE)*$Z15</f>
        <v>5.7096856122209321</v>
      </c>
      <c r="AU15" s="3">
        <f>VLOOKUP($AB15,'2000 Seattle Tracts'!$C$2:$Y$374,AU$1,FALSE)*$Z15</f>
        <v>33.544402971797979</v>
      </c>
      <c r="AV15" s="3">
        <f>VLOOKUP($AB15,'2000 Seattle Tracts'!$C$2:$Y$374,AV$1,FALSE)*$Z15</f>
        <v>24.979874553466576</v>
      </c>
      <c r="AW15" s="3">
        <f>VLOOKUP($AB15,'2000 Seattle Tracts'!$C$2:$Y$374,AW$1,FALSE)*$Z15</f>
        <v>49.959749106933153</v>
      </c>
      <c r="AX15" s="3">
        <f>VLOOKUP($AB15,'2000 Seattle Tracts'!$C$2:$Y$374,AX$1,FALSE)*$Z15</f>
        <v>14.274214030552329</v>
      </c>
      <c r="AZ15" s="2" t="s">
        <v>190</v>
      </c>
      <c r="BA15">
        <v>5968.1709245815755</v>
      </c>
      <c r="BB15">
        <v>4277.6945327923258</v>
      </c>
      <c r="BC15">
        <v>1690.4763917892492</v>
      </c>
      <c r="BD15">
        <v>2965.5095057798676</v>
      </c>
      <c r="BE15">
        <v>136.09071086862494</v>
      </c>
      <c r="BF15">
        <v>73.264904717941889</v>
      </c>
      <c r="BG15">
        <v>86.429532574833985</v>
      </c>
      <c r="BH15">
        <v>520.84078619735476</v>
      </c>
      <c r="BI15">
        <v>46.638558445045646</v>
      </c>
      <c r="BJ15">
        <v>21.275521324940041</v>
      </c>
      <c r="BK15">
        <v>0</v>
      </c>
      <c r="BL15">
        <v>296.10914569272444</v>
      </c>
      <c r="BM15">
        <v>1086.0326833068129</v>
      </c>
      <c r="BN15">
        <v>74.930853245057534</v>
      </c>
      <c r="BO15">
        <v>36.75263634677512</v>
      </c>
      <c r="BP15">
        <v>102.56519056870745</v>
      </c>
      <c r="BQ15">
        <v>216.61881215096383</v>
      </c>
      <c r="BR15">
        <v>223.19862526573201</v>
      </c>
      <c r="BS15">
        <v>81.913458096192898</v>
      </c>
    </row>
    <row r="16" spans="1:71" x14ac:dyDescent="0.25">
      <c r="A16" t="s">
        <v>2917</v>
      </c>
      <c r="B16" t="s">
        <v>2918</v>
      </c>
      <c r="C16" t="s">
        <v>2927</v>
      </c>
      <c r="D16" t="s">
        <v>2755</v>
      </c>
      <c r="E16" t="s">
        <v>2756</v>
      </c>
      <c r="F16" t="s">
        <v>2757</v>
      </c>
      <c r="G16" t="s">
        <v>2920</v>
      </c>
      <c r="H16" t="s">
        <v>2921</v>
      </c>
      <c r="I16">
        <v>984333</v>
      </c>
      <c r="J16">
        <v>0</v>
      </c>
      <c r="K16" t="s">
        <v>2928</v>
      </c>
      <c r="L16" t="s">
        <v>2929</v>
      </c>
      <c r="M16">
        <v>41</v>
      </c>
      <c r="N16">
        <v>22865.453000000001</v>
      </c>
      <c r="O16" t="s">
        <v>122</v>
      </c>
      <c r="P16">
        <v>4</v>
      </c>
      <c r="Q16">
        <v>5</v>
      </c>
      <c r="R16">
        <v>95</v>
      </c>
      <c r="S16">
        <v>21491312</v>
      </c>
      <c r="T16">
        <v>43</v>
      </c>
      <c r="U16">
        <v>124</v>
      </c>
      <c r="V16">
        <v>22865.452635921651</v>
      </c>
      <c r="W16">
        <v>21491312.22830575</v>
      </c>
      <c r="X16">
        <v>52.500999999999998</v>
      </c>
      <c r="Y16">
        <f>VLOOKUP(AB16,'2000 Seattle Tracts'!$C$2:$Z$374,24,FALSE)</f>
        <v>984333.93599999999</v>
      </c>
      <c r="Z16">
        <f t="shared" si="0"/>
        <v>5.3336574184718549E-5</v>
      </c>
      <c r="AA16" t="s">
        <v>132</v>
      </c>
      <c r="AB16" t="str">
        <f t="shared" si="1"/>
        <v>Census Tract 25, King County, Washington</v>
      </c>
      <c r="AC16" s="3">
        <f>VLOOKUP($AB16,'2000 Seattle Tracts'!$C$2:$Y$374,AC$1,FALSE)*$Z16</f>
        <v>0.13552823500336983</v>
      </c>
      <c r="AD16" s="3">
        <f>VLOOKUP($AB16,'2000 Seattle Tracts'!$C$2:$Y$374,AD$1,FALSE)*$Z16</f>
        <v>0.11659375116779475</v>
      </c>
      <c r="AE16" s="3">
        <f>VLOOKUP($AB16,'2000 Seattle Tracts'!$C$2:$Y$374,AE$1,FALSE)*$Z16</f>
        <v>1.8934483835575083E-2</v>
      </c>
      <c r="AF16" s="3">
        <f>VLOOKUP($AB16,'2000 Seattle Tracts'!$C$2:$Y$374,AF$1,FALSE)*$Z16</f>
        <v>0.13552823500336983</v>
      </c>
      <c r="AG16" s="3">
        <f>VLOOKUP($AB16,'2000 Seattle Tracts'!$C$2:$Y$374,AG$1,FALSE)*$Z16</f>
        <v>0.11659375116779475</v>
      </c>
      <c r="AH16" s="3">
        <f>VLOOKUP($AB16,'2000 Seattle Tracts'!$C$2:$Y$374,AH$1,FALSE)*$Z16</f>
        <v>1.8934483835575083E-2</v>
      </c>
      <c r="AI16" s="3">
        <f>VLOOKUP($AB16,'2000 Seattle Tracts'!$C$2:$Y$374,AI$1,FALSE)*$Z16</f>
        <v>0.10235288586047489</v>
      </c>
      <c r="AJ16" s="3">
        <f>VLOOKUP($AB16,'2000 Seattle Tracts'!$C$2:$Y$374,AJ$1,FALSE)*$Z16</f>
        <v>9.9739393725423679E-3</v>
      </c>
      <c r="AK16" s="3">
        <f>VLOOKUP($AB16,'2000 Seattle Tracts'!$C$2:$Y$374,AK$1,FALSE)*$Z16</f>
        <v>1.3867509288026823E-3</v>
      </c>
      <c r="AL16" s="3">
        <f>VLOOKUP($AB16,'2000 Seattle Tracts'!$C$2:$Y$374,AL$1,FALSE)*$Z16</f>
        <v>0</v>
      </c>
      <c r="AM16" s="3">
        <f>VLOOKUP($AB16,'2000 Seattle Tracts'!$C$2:$Y$374,AM$1,FALSE)*$Z16</f>
        <v>1.6534337997262749E-3</v>
      </c>
      <c r="AN16" s="3">
        <f>VLOOKUP($AB16,'2000 Seattle Tracts'!$C$2:$Y$374,AN$1,FALSE)*$Z16</f>
        <v>2.6668287092359276E-4</v>
      </c>
      <c r="AO16" s="3">
        <f>VLOOKUP($AB16,'2000 Seattle Tracts'!$C$2:$Y$374,AO$1,FALSE)*$Z16</f>
        <v>1.066731483694371E-3</v>
      </c>
      <c r="AP16" s="3">
        <f>VLOOKUP($AB16,'2000 Seattle Tracts'!$C$2:$Y$374,AP$1,FALSE)*$Z16</f>
        <v>0</v>
      </c>
      <c r="AQ16" s="3">
        <f>VLOOKUP($AB16,'2000 Seattle Tracts'!$C$2:$Y$374,AQ$1,FALSE)*$Z16</f>
        <v>3.0935213027136759E-3</v>
      </c>
      <c r="AR16" s="3">
        <f>VLOOKUP($AB16,'2000 Seattle Tracts'!$C$2:$Y$374,AR$1,FALSE)*$Z16</f>
        <v>5.3336574184718547E-3</v>
      </c>
      <c r="AS16" s="3">
        <f>VLOOKUP($AB16,'2000 Seattle Tracts'!$C$2:$Y$374,AS$1,FALSE)*$Z16</f>
        <v>8.0004861277077827E-4</v>
      </c>
      <c r="AT16" s="3">
        <f>VLOOKUP($AB16,'2000 Seattle Tracts'!$C$2:$Y$374,AT$1,FALSE)*$Z16</f>
        <v>4.2669259347774839E-4</v>
      </c>
      <c r="AU16" s="3">
        <f>VLOOKUP($AB16,'2000 Seattle Tracts'!$C$2:$Y$374,AU$1,FALSE)*$Z16</f>
        <v>2.5068189866817719E-3</v>
      </c>
      <c r="AV16" s="3">
        <f>VLOOKUP($AB16,'2000 Seattle Tracts'!$C$2:$Y$374,AV$1,FALSE)*$Z16</f>
        <v>1.8667800964651492E-3</v>
      </c>
      <c r="AW16" s="3">
        <f>VLOOKUP($AB16,'2000 Seattle Tracts'!$C$2:$Y$374,AW$1,FALSE)*$Z16</f>
        <v>3.7335601929302984E-3</v>
      </c>
      <c r="AX16" s="3">
        <f>VLOOKUP($AB16,'2000 Seattle Tracts'!$C$2:$Y$374,AX$1,FALSE)*$Z16</f>
        <v>1.066731483694371E-3</v>
      </c>
      <c r="AZ16" s="2" t="s">
        <v>165</v>
      </c>
      <c r="BA16">
        <v>3966.824158453147</v>
      </c>
      <c r="BB16">
        <v>3110.7047012363892</v>
      </c>
      <c r="BC16">
        <v>856.11945721675772</v>
      </c>
      <c r="BD16">
        <v>1960.3104322503684</v>
      </c>
      <c r="BE16">
        <v>122.25345246347734</v>
      </c>
      <c r="BF16">
        <v>71.603506573454851</v>
      </c>
      <c r="BG16">
        <v>97.273871746145701</v>
      </c>
      <c r="BH16">
        <v>357.72613519852246</v>
      </c>
      <c r="BI16">
        <v>53.138304431137897</v>
      </c>
      <c r="BJ16">
        <v>79.144382409522379</v>
      </c>
      <c r="BK16">
        <v>0.88706689106586423</v>
      </c>
      <c r="BL16">
        <v>364.23351732991506</v>
      </c>
      <c r="BM16">
        <v>448.18517659466841</v>
      </c>
      <c r="BN16">
        <v>9.0256495512632195</v>
      </c>
      <c r="BO16">
        <v>4.2740171472425301E-2</v>
      </c>
      <c r="BP16">
        <v>131.13066653555472</v>
      </c>
      <c r="BQ16">
        <v>76.936858366609655</v>
      </c>
      <c r="BR16">
        <v>137.53041138778832</v>
      </c>
      <c r="BS16">
        <v>57.401986552180553</v>
      </c>
    </row>
    <row r="17" spans="1:71" x14ac:dyDescent="0.25">
      <c r="A17" t="s">
        <v>2917</v>
      </c>
      <c r="B17" t="s">
        <v>2918</v>
      </c>
      <c r="C17" t="s">
        <v>2927</v>
      </c>
      <c r="D17" t="s">
        <v>2755</v>
      </c>
      <c r="E17" t="s">
        <v>2756</v>
      </c>
      <c r="F17" t="s">
        <v>2757</v>
      </c>
      <c r="G17" t="s">
        <v>2920</v>
      </c>
      <c r="H17" t="s">
        <v>2921</v>
      </c>
      <c r="I17">
        <v>984333</v>
      </c>
      <c r="J17">
        <v>0</v>
      </c>
      <c r="K17" t="s">
        <v>2928</v>
      </c>
      <c r="L17" t="s">
        <v>2929</v>
      </c>
      <c r="M17">
        <v>96</v>
      </c>
      <c r="N17">
        <v>23840.219000000001</v>
      </c>
      <c r="O17" t="s">
        <v>122</v>
      </c>
      <c r="P17">
        <v>4</v>
      </c>
      <c r="Q17">
        <v>5</v>
      </c>
      <c r="R17">
        <v>23</v>
      </c>
      <c r="S17">
        <v>30599714</v>
      </c>
      <c r="T17">
        <v>98</v>
      </c>
      <c r="U17">
        <v>117</v>
      </c>
      <c r="V17">
        <v>23840.218727432399</v>
      </c>
      <c r="W17">
        <v>30599713.626058389</v>
      </c>
      <c r="X17">
        <v>281751.77399999998</v>
      </c>
      <c r="Y17">
        <f>VLOOKUP(AB17,'2000 Seattle Tracts'!$C$2:$Z$374,24,FALSE)</f>
        <v>984333.93599999999</v>
      </c>
      <c r="Z17">
        <f t="shared" si="0"/>
        <v>0.28623596494594489</v>
      </c>
      <c r="AA17" t="s">
        <v>199</v>
      </c>
      <c r="AB17" t="str">
        <f t="shared" si="1"/>
        <v>Census Tract 25, King County, Washington</v>
      </c>
      <c r="AC17" s="3">
        <f>VLOOKUP($AB17,'2000 Seattle Tracts'!$C$2:$Y$374,AC$1,FALSE)*$Z17</f>
        <v>727.32558692764599</v>
      </c>
      <c r="AD17" s="3">
        <f>VLOOKUP($AB17,'2000 Seattle Tracts'!$C$2:$Y$374,AD$1,FALSE)*$Z17</f>
        <v>625.71181937183553</v>
      </c>
      <c r="AE17" s="3">
        <f>VLOOKUP($AB17,'2000 Seattle Tracts'!$C$2:$Y$374,AE$1,FALSE)*$Z17</f>
        <v>101.61376755581044</v>
      </c>
      <c r="AF17" s="3">
        <f>VLOOKUP($AB17,'2000 Seattle Tracts'!$C$2:$Y$374,AF$1,FALSE)*$Z17</f>
        <v>727.32558692764599</v>
      </c>
      <c r="AG17" s="3">
        <f>VLOOKUP($AB17,'2000 Seattle Tracts'!$C$2:$Y$374,AG$1,FALSE)*$Z17</f>
        <v>625.71181937183553</v>
      </c>
      <c r="AH17" s="3">
        <f>VLOOKUP($AB17,'2000 Seattle Tracts'!$C$2:$Y$374,AH$1,FALSE)*$Z17</f>
        <v>101.61376755581044</v>
      </c>
      <c r="AI17" s="3">
        <f>VLOOKUP($AB17,'2000 Seattle Tracts'!$C$2:$Y$374,AI$1,FALSE)*$Z17</f>
        <v>549.28681673126823</v>
      </c>
      <c r="AJ17" s="3">
        <f>VLOOKUP($AB17,'2000 Seattle Tracts'!$C$2:$Y$374,AJ$1,FALSE)*$Z17</f>
        <v>53.526125444891697</v>
      </c>
      <c r="AK17" s="3">
        <f>VLOOKUP($AB17,'2000 Seattle Tracts'!$C$2:$Y$374,AK$1,FALSE)*$Z17</f>
        <v>7.4421350885945667</v>
      </c>
      <c r="AL17" s="3">
        <f>VLOOKUP($AB17,'2000 Seattle Tracts'!$C$2:$Y$374,AL$1,FALSE)*$Z17</f>
        <v>0</v>
      </c>
      <c r="AM17" s="3">
        <f>VLOOKUP($AB17,'2000 Seattle Tracts'!$C$2:$Y$374,AM$1,FALSE)*$Z17</f>
        <v>8.8733149133242915</v>
      </c>
      <c r="AN17" s="3">
        <f>VLOOKUP($AB17,'2000 Seattle Tracts'!$C$2:$Y$374,AN$1,FALSE)*$Z17</f>
        <v>1.4311798247297245</v>
      </c>
      <c r="AO17" s="3">
        <f>VLOOKUP($AB17,'2000 Seattle Tracts'!$C$2:$Y$374,AO$1,FALSE)*$Z17</f>
        <v>5.724719298918898</v>
      </c>
      <c r="AP17" s="3">
        <f>VLOOKUP($AB17,'2000 Seattle Tracts'!$C$2:$Y$374,AP$1,FALSE)*$Z17</f>
        <v>0</v>
      </c>
      <c r="AQ17" s="3">
        <f>VLOOKUP($AB17,'2000 Seattle Tracts'!$C$2:$Y$374,AQ$1,FALSE)*$Z17</f>
        <v>16.601685966864803</v>
      </c>
      <c r="AR17" s="3">
        <f>VLOOKUP($AB17,'2000 Seattle Tracts'!$C$2:$Y$374,AR$1,FALSE)*$Z17</f>
        <v>28.623596494594487</v>
      </c>
      <c r="AS17" s="3">
        <f>VLOOKUP($AB17,'2000 Seattle Tracts'!$C$2:$Y$374,AS$1,FALSE)*$Z17</f>
        <v>4.2935394741891733</v>
      </c>
      <c r="AT17" s="3">
        <f>VLOOKUP($AB17,'2000 Seattle Tracts'!$C$2:$Y$374,AT$1,FALSE)*$Z17</f>
        <v>2.2898877195675591</v>
      </c>
      <c r="AU17" s="3">
        <f>VLOOKUP($AB17,'2000 Seattle Tracts'!$C$2:$Y$374,AU$1,FALSE)*$Z17</f>
        <v>13.453090352459411</v>
      </c>
      <c r="AV17" s="3">
        <f>VLOOKUP($AB17,'2000 Seattle Tracts'!$C$2:$Y$374,AV$1,FALSE)*$Z17</f>
        <v>10.018258773108071</v>
      </c>
      <c r="AW17" s="3">
        <f>VLOOKUP($AB17,'2000 Seattle Tracts'!$C$2:$Y$374,AW$1,FALSE)*$Z17</f>
        <v>20.036517546216142</v>
      </c>
      <c r="AX17" s="3">
        <f>VLOOKUP($AB17,'2000 Seattle Tracts'!$C$2:$Y$374,AX$1,FALSE)*$Z17</f>
        <v>5.724719298918898</v>
      </c>
      <c r="AZ17" s="2" t="s">
        <v>116</v>
      </c>
      <c r="BA17">
        <v>6601.9073284339165</v>
      </c>
      <c r="BB17">
        <v>5975.2226164451658</v>
      </c>
      <c r="BC17">
        <v>626.68471198875068</v>
      </c>
      <c r="BD17">
        <v>5375.1332018898529</v>
      </c>
      <c r="BE17">
        <v>398.11753823165628</v>
      </c>
      <c r="BF17">
        <v>117.12928122242757</v>
      </c>
      <c r="BG17">
        <v>47.416211053358595</v>
      </c>
      <c r="BH17">
        <v>44.150149659685169</v>
      </c>
      <c r="BI17">
        <v>10.835624163910142</v>
      </c>
      <c r="BJ17">
        <v>90.416616100123505</v>
      </c>
      <c r="BK17">
        <v>1.7616425635594775</v>
      </c>
      <c r="BL17">
        <v>94.338281028303541</v>
      </c>
      <c r="BM17">
        <v>120.00088571738173</v>
      </c>
      <c r="BN17">
        <v>9.0923744155203003</v>
      </c>
      <c r="BO17">
        <v>12.057760277415952</v>
      </c>
      <c r="BP17">
        <v>69.158234450175129</v>
      </c>
      <c r="BQ17">
        <v>3.5894905006353874</v>
      </c>
      <c r="BR17">
        <v>175.80447767907759</v>
      </c>
      <c r="BS17">
        <v>32.905559480833197</v>
      </c>
    </row>
    <row r="18" spans="1:71" x14ac:dyDescent="0.25">
      <c r="A18" t="s">
        <v>2917</v>
      </c>
      <c r="B18" t="s">
        <v>2918</v>
      </c>
      <c r="C18" t="s">
        <v>3302</v>
      </c>
      <c r="D18" t="s">
        <v>2758</v>
      </c>
      <c r="E18" t="s">
        <v>2759</v>
      </c>
      <c r="F18" t="s">
        <v>2760</v>
      </c>
      <c r="G18" t="s">
        <v>2920</v>
      </c>
      <c r="H18" t="s">
        <v>2921</v>
      </c>
      <c r="I18">
        <v>978103</v>
      </c>
      <c r="J18">
        <v>0</v>
      </c>
      <c r="K18" t="s">
        <v>3358</v>
      </c>
      <c r="L18" t="s">
        <v>3359</v>
      </c>
      <c r="M18">
        <v>35</v>
      </c>
      <c r="N18">
        <v>22657.039000000001</v>
      </c>
      <c r="O18" t="s">
        <v>122</v>
      </c>
      <c r="P18">
        <v>4</v>
      </c>
      <c r="Q18">
        <v>5</v>
      </c>
      <c r="R18">
        <v>94</v>
      </c>
      <c r="S18">
        <v>25612980</v>
      </c>
      <c r="T18">
        <v>37</v>
      </c>
      <c r="U18">
        <v>119</v>
      </c>
      <c r="V18">
        <v>22657.0394732799</v>
      </c>
      <c r="W18">
        <v>25612979.943988901</v>
      </c>
      <c r="X18">
        <v>719.23900000000003</v>
      </c>
      <c r="Y18">
        <f>VLOOKUP(AB18,'2000 Seattle Tracts'!$C$2:$Z$374,24,FALSE)</f>
        <v>978104.31700000004</v>
      </c>
      <c r="Z18">
        <f t="shared" si="0"/>
        <v>7.3533976642288967E-4</v>
      </c>
      <c r="AA18" t="s">
        <v>126</v>
      </c>
      <c r="AB18" t="str">
        <f t="shared" si="1"/>
        <v>Census Tract 24, King County, Washington</v>
      </c>
      <c r="AC18" s="3">
        <f>VLOOKUP($AB18,'2000 Seattle Tracts'!$C$2:$Y$374,AC$1,FALSE)*$Z18</f>
        <v>2.0795408594439322</v>
      </c>
      <c r="AD18" s="3">
        <f>VLOOKUP($AB18,'2000 Seattle Tracts'!$C$2:$Y$374,AD$1,FALSE)*$Z18</f>
        <v>1.7383432078237111</v>
      </c>
      <c r="AE18" s="3">
        <f>VLOOKUP($AB18,'2000 Seattle Tracts'!$C$2:$Y$374,AE$1,FALSE)*$Z18</f>
        <v>0.34119765162022081</v>
      </c>
      <c r="AF18" s="3">
        <f>VLOOKUP($AB18,'2000 Seattle Tracts'!$C$2:$Y$374,AF$1,FALSE)*$Z18</f>
        <v>2.0795408594439322</v>
      </c>
      <c r="AG18" s="3">
        <f>VLOOKUP($AB18,'2000 Seattle Tracts'!$C$2:$Y$374,AG$1,FALSE)*$Z18</f>
        <v>1.7383432078237111</v>
      </c>
      <c r="AH18" s="3">
        <f>VLOOKUP($AB18,'2000 Seattle Tracts'!$C$2:$Y$374,AH$1,FALSE)*$Z18</f>
        <v>0.34119765162022081</v>
      </c>
      <c r="AI18" s="3">
        <f>VLOOKUP($AB18,'2000 Seattle Tracts'!$C$2:$Y$374,AI$1,FALSE)*$Z18</f>
        <v>1.5758331194442525</v>
      </c>
      <c r="AJ18" s="3">
        <f>VLOOKUP($AB18,'2000 Seattle Tracts'!$C$2:$Y$374,AJ$1,FALSE)*$Z18</f>
        <v>0.1279491193575828</v>
      </c>
      <c r="AK18" s="3">
        <f>VLOOKUP($AB18,'2000 Seattle Tracts'!$C$2:$Y$374,AK$1,FALSE)*$Z18</f>
        <v>1.3236115795612013E-2</v>
      </c>
      <c r="AL18" s="3">
        <f>VLOOKUP($AB18,'2000 Seattle Tracts'!$C$2:$Y$374,AL$1,FALSE)*$Z18</f>
        <v>1.1765436262766235E-2</v>
      </c>
      <c r="AM18" s="3">
        <f>VLOOKUP($AB18,'2000 Seattle Tracts'!$C$2:$Y$374,AM$1,FALSE)*$Z18</f>
        <v>1.9118833926995132E-2</v>
      </c>
      <c r="AN18" s="3">
        <f>VLOOKUP($AB18,'2000 Seattle Tracts'!$C$2:$Y$374,AN$1,FALSE)*$Z18</f>
        <v>2.6472231591224027E-2</v>
      </c>
      <c r="AO18" s="3">
        <f>VLOOKUP($AB18,'2000 Seattle Tracts'!$C$2:$Y$374,AO$1,FALSE)*$Z18</f>
        <v>8.8240771970746756E-3</v>
      </c>
      <c r="AP18" s="3">
        <f>VLOOKUP($AB18,'2000 Seattle Tracts'!$C$2:$Y$374,AP$1,FALSE)*$Z18</f>
        <v>0</v>
      </c>
      <c r="AQ18" s="3">
        <f>VLOOKUP($AB18,'2000 Seattle Tracts'!$C$2:$Y$374,AQ$1,FALSE)*$Z18</f>
        <v>2.7207571357646919E-2</v>
      </c>
      <c r="AR18" s="3">
        <f>VLOOKUP($AB18,'2000 Seattle Tracts'!$C$2:$Y$374,AR$1,FALSE)*$Z18</f>
        <v>0.14853863281742372</v>
      </c>
      <c r="AS18" s="3">
        <f>VLOOKUP($AB18,'2000 Seattle Tracts'!$C$2:$Y$374,AS$1,FALSE)*$Z18</f>
        <v>0</v>
      </c>
      <c r="AT18" s="3">
        <f>VLOOKUP($AB18,'2000 Seattle Tracts'!$C$2:$Y$374,AT$1,FALSE)*$Z18</f>
        <v>0</v>
      </c>
      <c r="AU18" s="3">
        <f>VLOOKUP($AB18,'2000 Seattle Tracts'!$C$2:$Y$374,AU$1,FALSE)*$Z18</f>
        <v>8.8240771970746756E-3</v>
      </c>
      <c r="AV18" s="3">
        <f>VLOOKUP($AB18,'2000 Seattle Tracts'!$C$2:$Y$374,AV$1,FALSE)*$Z18</f>
        <v>0</v>
      </c>
      <c r="AW18" s="3">
        <f>VLOOKUP($AB18,'2000 Seattle Tracts'!$C$2:$Y$374,AW$1,FALSE)*$Z18</f>
        <v>8.5299412905055202E-2</v>
      </c>
      <c r="AX18" s="3">
        <f>VLOOKUP($AB18,'2000 Seattle Tracts'!$C$2:$Y$374,AX$1,FALSE)*$Z18</f>
        <v>2.6472231591224027E-2</v>
      </c>
      <c r="AZ18" s="2" t="s">
        <v>219</v>
      </c>
      <c r="BA18">
        <v>8575.3148017731419</v>
      </c>
      <c r="BB18">
        <v>6881.8293310227837</v>
      </c>
      <c r="BC18">
        <v>1693.4854707503603</v>
      </c>
      <c r="BD18">
        <v>5800.3218563248965</v>
      </c>
      <c r="BE18">
        <v>531.22916565644039</v>
      </c>
      <c r="BF18">
        <v>97.726893853625768</v>
      </c>
      <c r="BG18">
        <v>47.68508312969913</v>
      </c>
      <c r="BH18">
        <v>225.0829620590921</v>
      </c>
      <c r="BI18">
        <v>130.38052640229535</v>
      </c>
      <c r="BJ18">
        <v>40.303749079625355</v>
      </c>
      <c r="BK18">
        <v>4.6710631907120872</v>
      </c>
      <c r="BL18">
        <v>231.96153548372936</v>
      </c>
      <c r="BM18">
        <v>745.192615139488</v>
      </c>
      <c r="BN18">
        <v>13.974986864755326</v>
      </c>
      <c r="BO18">
        <v>3.3556162443575442E-3</v>
      </c>
      <c r="BP18">
        <v>114.91213559364283</v>
      </c>
      <c r="BQ18">
        <v>67.778193811069329</v>
      </c>
      <c r="BR18">
        <v>357.54521176341729</v>
      </c>
      <c r="BS18">
        <v>166.54546780441137</v>
      </c>
    </row>
    <row r="19" spans="1:71" x14ac:dyDescent="0.25">
      <c r="A19" t="s">
        <v>2917</v>
      </c>
      <c r="B19" t="s">
        <v>2918</v>
      </c>
      <c r="C19" t="s">
        <v>3302</v>
      </c>
      <c r="D19" t="s">
        <v>2758</v>
      </c>
      <c r="E19" t="s">
        <v>2759</v>
      </c>
      <c r="F19" t="s">
        <v>2760</v>
      </c>
      <c r="G19" t="s">
        <v>2920</v>
      </c>
      <c r="H19" t="s">
        <v>2921</v>
      </c>
      <c r="I19">
        <v>978103</v>
      </c>
      <c r="J19">
        <v>0</v>
      </c>
      <c r="K19" t="s">
        <v>3358</v>
      </c>
      <c r="L19" t="s">
        <v>3359</v>
      </c>
      <c r="M19">
        <v>36</v>
      </c>
      <c r="N19">
        <v>30993.599999999999</v>
      </c>
      <c r="O19" t="s">
        <v>122</v>
      </c>
      <c r="P19">
        <v>4</v>
      </c>
      <c r="Q19">
        <v>5</v>
      </c>
      <c r="R19">
        <v>81</v>
      </c>
      <c r="S19">
        <v>37020968</v>
      </c>
      <c r="T19">
        <v>38</v>
      </c>
      <c r="U19">
        <v>125</v>
      </c>
      <c r="V19">
        <v>30993.600213945359</v>
      </c>
      <c r="W19">
        <v>37020968.872468568</v>
      </c>
      <c r="X19">
        <v>41</v>
      </c>
      <c r="Y19">
        <f>VLOOKUP(AB19,'2000 Seattle Tracts'!$C$2:$Z$374,24,FALSE)</f>
        <v>978104.31700000004</v>
      </c>
      <c r="Z19">
        <f t="shared" si="0"/>
        <v>4.1917819283073463E-5</v>
      </c>
      <c r="AA19" t="s">
        <v>127</v>
      </c>
      <c r="AB19" t="str">
        <f t="shared" si="1"/>
        <v>Census Tract 24, King County, Washington</v>
      </c>
      <c r="AC19" s="3">
        <f>VLOOKUP($AB19,'2000 Seattle Tracts'!$C$2:$Y$374,AC$1,FALSE)*$Z19</f>
        <v>0.11854359293253175</v>
      </c>
      <c r="AD19" s="3">
        <f>VLOOKUP($AB19,'2000 Seattle Tracts'!$C$2:$Y$374,AD$1,FALSE)*$Z19</f>
        <v>9.9093724785185661E-2</v>
      </c>
      <c r="AE19" s="3">
        <f>VLOOKUP($AB19,'2000 Seattle Tracts'!$C$2:$Y$374,AE$1,FALSE)*$Z19</f>
        <v>1.9449868147346085E-2</v>
      </c>
      <c r="AF19" s="3">
        <f>VLOOKUP($AB19,'2000 Seattle Tracts'!$C$2:$Y$374,AF$1,FALSE)*$Z19</f>
        <v>0.11854359293253175</v>
      </c>
      <c r="AG19" s="3">
        <f>VLOOKUP($AB19,'2000 Seattle Tracts'!$C$2:$Y$374,AG$1,FALSE)*$Z19</f>
        <v>9.9093724785185661E-2</v>
      </c>
      <c r="AH19" s="3">
        <f>VLOOKUP($AB19,'2000 Seattle Tracts'!$C$2:$Y$374,AH$1,FALSE)*$Z19</f>
        <v>1.9449868147346085E-2</v>
      </c>
      <c r="AI19" s="3">
        <f>VLOOKUP($AB19,'2000 Seattle Tracts'!$C$2:$Y$374,AI$1,FALSE)*$Z19</f>
        <v>8.9829886723626434E-2</v>
      </c>
      <c r="AJ19" s="3">
        <f>VLOOKUP($AB19,'2000 Seattle Tracts'!$C$2:$Y$374,AJ$1,FALSE)*$Z19</f>
        <v>7.2937005552547824E-3</v>
      </c>
      <c r="AK19" s="3">
        <f>VLOOKUP($AB19,'2000 Seattle Tracts'!$C$2:$Y$374,AK$1,FALSE)*$Z19</f>
        <v>7.545207470953223E-4</v>
      </c>
      <c r="AL19" s="3">
        <f>VLOOKUP($AB19,'2000 Seattle Tracts'!$C$2:$Y$374,AL$1,FALSE)*$Z19</f>
        <v>6.7068510852917541E-4</v>
      </c>
      <c r="AM19" s="3">
        <f>VLOOKUP($AB19,'2000 Seattle Tracts'!$C$2:$Y$374,AM$1,FALSE)*$Z19</f>
        <v>1.0898633013599101E-3</v>
      </c>
      <c r="AN19" s="3">
        <f>VLOOKUP($AB19,'2000 Seattle Tracts'!$C$2:$Y$374,AN$1,FALSE)*$Z19</f>
        <v>1.5090414941906446E-3</v>
      </c>
      <c r="AO19" s="3">
        <f>VLOOKUP($AB19,'2000 Seattle Tracts'!$C$2:$Y$374,AO$1,FALSE)*$Z19</f>
        <v>5.0301383139688153E-4</v>
      </c>
      <c r="AP19" s="3">
        <f>VLOOKUP($AB19,'2000 Seattle Tracts'!$C$2:$Y$374,AP$1,FALSE)*$Z19</f>
        <v>0</v>
      </c>
      <c r="AQ19" s="3">
        <f>VLOOKUP($AB19,'2000 Seattle Tracts'!$C$2:$Y$374,AQ$1,FALSE)*$Z19</f>
        <v>1.5509593134737181E-3</v>
      </c>
      <c r="AR19" s="3">
        <f>VLOOKUP($AB19,'2000 Seattle Tracts'!$C$2:$Y$374,AR$1,FALSE)*$Z19</f>
        <v>8.4673994951808395E-3</v>
      </c>
      <c r="AS19" s="3">
        <f>VLOOKUP($AB19,'2000 Seattle Tracts'!$C$2:$Y$374,AS$1,FALSE)*$Z19</f>
        <v>0</v>
      </c>
      <c r="AT19" s="3">
        <f>VLOOKUP($AB19,'2000 Seattle Tracts'!$C$2:$Y$374,AT$1,FALSE)*$Z19</f>
        <v>0</v>
      </c>
      <c r="AU19" s="3">
        <f>VLOOKUP($AB19,'2000 Seattle Tracts'!$C$2:$Y$374,AU$1,FALSE)*$Z19</f>
        <v>5.0301383139688153E-4</v>
      </c>
      <c r="AV19" s="3">
        <f>VLOOKUP($AB19,'2000 Seattle Tracts'!$C$2:$Y$374,AV$1,FALSE)*$Z19</f>
        <v>0</v>
      </c>
      <c r="AW19" s="3">
        <f>VLOOKUP($AB19,'2000 Seattle Tracts'!$C$2:$Y$374,AW$1,FALSE)*$Z19</f>
        <v>4.8624670368365213E-3</v>
      </c>
      <c r="AX19" s="3">
        <f>VLOOKUP($AB19,'2000 Seattle Tracts'!$C$2:$Y$374,AX$1,FALSE)*$Z19</f>
        <v>1.5090414941906446E-3</v>
      </c>
      <c r="AZ19" s="2" t="s">
        <v>208</v>
      </c>
      <c r="BA19">
        <v>6046.1289045600388</v>
      </c>
      <c r="BB19">
        <v>5120.092609694294</v>
      </c>
      <c r="BC19">
        <v>926.03629486574437</v>
      </c>
      <c r="BD19">
        <v>4544.0216123948521</v>
      </c>
      <c r="BE19">
        <v>414.58363034048625</v>
      </c>
      <c r="BF19">
        <v>72.286598067358895</v>
      </c>
      <c r="BG19">
        <v>18.465694853739151</v>
      </c>
      <c r="BH19">
        <v>82.728537113247398</v>
      </c>
      <c r="BI19">
        <v>13.338183677111978</v>
      </c>
      <c r="BJ19">
        <v>31.118128584347009</v>
      </c>
      <c r="BK19">
        <v>4.0065803097734998</v>
      </c>
      <c r="BL19">
        <v>207.72375095494365</v>
      </c>
      <c r="BM19">
        <v>379.6480943341482</v>
      </c>
      <c r="BN19">
        <v>1.3095792884080376E-3</v>
      </c>
      <c r="BO19">
        <v>0</v>
      </c>
      <c r="BP19">
        <v>54.367823380490982</v>
      </c>
      <c r="BQ19">
        <v>51.812270699017589</v>
      </c>
      <c r="BR19">
        <v>127.84484961976457</v>
      </c>
      <c r="BS19">
        <v>44.181840651467645</v>
      </c>
    </row>
    <row r="20" spans="1:71" x14ac:dyDescent="0.25">
      <c r="A20" t="s">
        <v>2917</v>
      </c>
      <c r="B20" t="s">
        <v>2918</v>
      </c>
      <c r="C20" t="s">
        <v>3302</v>
      </c>
      <c r="D20" t="s">
        <v>2758</v>
      </c>
      <c r="E20" t="s">
        <v>2759</v>
      </c>
      <c r="F20" t="s">
        <v>2760</v>
      </c>
      <c r="G20" t="s">
        <v>2920</v>
      </c>
      <c r="H20" t="s">
        <v>2921</v>
      </c>
      <c r="I20">
        <v>978103</v>
      </c>
      <c r="J20">
        <v>0</v>
      </c>
      <c r="K20" t="s">
        <v>3358</v>
      </c>
      <c r="L20" t="s">
        <v>3359</v>
      </c>
      <c r="M20">
        <v>38</v>
      </c>
      <c r="N20">
        <v>20928.002</v>
      </c>
      <c r="O20" t="s">
        <v>122</v>
      </c>
      <c r="P20">
        <v>4</v>
      </c>
      <c r="Q20">
        <v>5</v>
      </c>
      <c r="R20">
        <v>24</v>
      </c>
      <c r="S20">
        <v>15485078</v>
      </c>
      <c r="T20">
        <v>40</v>
      </c>
      <c r="U20">
        <v>128</v>
      </c>
      <c r="V20">
        <v>20928.00172430617</v>
      </c>
      <c r="W20">
        <v>15485078.03322144</v>
      </c>
      <c r="X20">
        <v>30.963999999999999</v>
      </c>
      <c r="Y20">
        <f>VLOOKUP(AB20,'2000 Seattle Tracts'!$C$2:$Z$374,24,FALSE)</f>
        <v>978104.31700000004</v>
      </c>
      <c r="Z20">
        <f t="shared" si="0"/>
        <v>3.1657155031246018E-5</v>
      </c>
      <c r="AA20" t="s">
        <v>129</v>
      </c>
      <c r="AB20" t="str">
        <f t="shared" si="1"/>
        <v>Census Tract 24, King County, Washington</v>
      </c>
      <c r="AC20" s="3">
        <f>VLOOKUP($AB20,'2000 Seattle Tracts'!$C$2:$Y$374,AC$1,FALSE)*$Z20</f>
        <v>8.9526434428363735E-2</v>
      </c>
      <c r="AD20" s="3">
        <f>VLOOKUP($AB20,'2000 Seattle Tracts'!$C$2:$Y$374,AD$1,FALSE)*$Z20</f>
        <v>7.4837514493865581E-2</v>
      </c>
      <c r="AE20" s="3">
        <f>VLOOKUP($AB20,'2000 Seattle Tracts'!$C$2:$Y$374,AE$1,FALSE)*$Z20</f>
        <v>1.4688919934498152E-2</v>
      </c>
      <c r="AF20" s="3">
        <f>VLOOKUP($AB20,'2000 Seattle Tracts'!$C$2:$Y$374,AF$1,FALSE)*$Z20</f>
        <v>8.9526434428363735E-2</v>
      </c>
      <c r="AG20" s="3">
        <f>VLOOKUP($AB20,'2000 Seattle Tracts'!$C$2:$Y$374,AG$1,FALSE)*$Z20</f>
        <v>7.4837514493865581E-2</v>
      </c>
      <c r="AH20" s="3">
        <f>VLOOKUP($AB20,'2000 Seattle Tracts'!$C$2:$Y$374,AH$1,FALSE)*$Z20</f>
        <v>1.4688919934498152E-2</v>
      </c>
      <c r="AI20" s="3">
        <f>VLOOKUP($AB20,'2000 Seattle Tracts'!$C$2:$Y$374,AI$1,FALSE)*$Z20</f>
        <v>6.7841283231960217E-2</v>
      </c>
      <c r="AJ20" s="3">
        <f>VLOOKUP($AB20,'2000 Seattle Tracts'!$C$2:$Y$374,AJ$1,FALSE)*$Z20</f>
        <v>5.5083449754368069E-3</v>
      </c>
      <c r="AK20" s="3">
        <f>VLOOKUP($AB20,'2000 Seattle Tracts'!$C$2:$Y$374,AK$1,FALSE)*$Z20</f>
        <v>5.6982879056242833E-4</v>
      </c>
      <c r="AL20" s="3">
        <f>VLOOKUP($AB20,'2000 Seattle Tracts'!$C$2:$Y$374,AL$1,FALSE)*$Z20</f>
        <v>5.0651448049993629E-4</v>
      </c>
      <c r="AM20" s="3">
        <f>VLOOKUP($AB20,'2000 Seattle Tracts'!$C$2:$Y$374,AM$1,FALSE)*$Z20</f>
        <v>8.2308603081239647E-4</v>
      </c>
      <c r="AN20" s="3">
        <f>VLOOKUP($AB20,'2000 Seattle Tracts'!$C$2:$Y$374,AN$1,FALSE)*$Z20</f>
        <v>1.1396575811248567E-3</v>
      </c>
      <c r="AO20" s="3">
        <f>VLOOKUP($AB20,'2000 Seattle Tracts'!$C$2:$Y$374,AO$1,FALSE)*$Z20</f>
        <v>3.7988586037495222E-4</v>
      </c>
      <c r="AP20" s="3">
        <f>VLOOKUP($AB20,'2000 Seattle Tracts'!$C$2:$Y$374,AP$1,FALSE)*$Z20</f>
        <v>0</v>
      </c>
      <c r="AQ20" s="3">
        <f>VLOOKUP($AB20,'2000 Seattle Tracts'!$C$2:$Y$374,AQ$1,FALSE)*$Z20</f>
        <v>1.1713147361561028E-3</v>
      </c>
      <c r="AR20" s="3">
        <f>VLOOKUP($AB20,'2000 Seattle Tracts'!$C$2:$Y$374,AR$1,FALSE)*$Z20</f>
        <v>6.3947453163116959E-3</v>
      </c>
      <c r="AS20" s="3">
        <f>VLOOKUP($AB20,'2000 Seattle Tracts'!$C$2:$Y$374,AS$1,FALSE)*$Z20</f>
        <v>0</v>
      </c>
      <c r="AT20" s="3">
        <f>VLOOKUP($AB20,'2000 Seattle Tracts'!$C$2:$Y$374,AT$1,FALSE)*$Z20</f>
        <v>0</v>
      </c>
      <c r="AU20" s="3">
        <f>VLOOKUP($AB20,'2000 Seattle Tracts'!$C$2:$Y$374,AU$1,FALSE)*$Z20</f>
        <v>3.7988586037495222E-4</v>
      </c>
      <c r="AV20" s="3">
        <f>VLOOKUP($AB20,'2000 Seattle Tracts'!$C$2:$Y$374,AV$1,FALSE)*$Z20</f>
        <v>0</v>
      </c>
      <c r="AW20" s="3">
        <f>VLOOKUP($AB20,'2000 Seattle Tracts'!$C$2:$Y$374,AW$1,FALSE)*$Z20</f>
        <v>3.6722299836245381E-3</v>
      </c>
      <c r="AX20" s="3">
        <f>VLOOKUP($AB20,'2000 Seattle Tracts'!$C$2:$Y$374,AX$1,FALSE)*$Z20</f>
        <v>1.1396575811248567E-3</v>
      </c>
      <c r="AZ20" s="2" t="s">
        <v>209</v>
      </c>
      <c r="BA20">
        <v>3536.1458389014733</v>
      </c>
      <c r="BB20">
        <v>2940.4268050177202</v>
      </c>
      <c r="BC20">
        <v>595.7190338837529</v>
      </c>
      <c r="BD20">
        <v>2406.2667954496469</v>
      </c>
      <c r="BE20">
        <v>160.47167953572804</v>
      </c>
      <c r="BF20">
        <v>73.163694477961386</v>
      </c>
      <c r="BG20">
        <v>5.5921397623483031</v>
      </c>
      <c r="BH20">
        <v>110.21425559876516</v>
      </c>
      <c r="BI20">
        <v>21.746492364085846</v>
      </c>
      <c r="BJ20">
        <v>32.72554085762517</v>
      </c>
      <c r="BK20">
        <v>1.1891825789680432</v>
      </c>
      <c r="BL20">
        <v>115.13589188795565</v>
      </c>
      <c r="BM20">
        <v>333.17913824747041</v>
      </c>
      <c r="BN20">
        <v>1.0211783664462786</v>
      </c>
      <c r="BO20">
        <v>3.5920223663164792E-3</v>
      </c>
      <c r="BP20">
        <v>52.54274707189127</v>
      </c>
      <c r="BQ20">
        <v>37.345476258764677</v>
      </c>
      <c r="BR20">
        <v>149.35670130742844</v>
      </c>
      <c r="BS20">
        <v>36.191333114021219</v>
      </c>
    </row>
    <row r="21" spans="1:71" x14ac:dyDescent="0.25">
      <c r="A21" t="s">
        <v>2917</v>
      </c>
      <c r="B21" t="s">
        <v>2918</v>
      </c>
      <c r="C21" t="s">
        <v>3302</v>
      </c>
      <c r="D21" t="s">
        <v>2758</v>
      </c>
      <c r="E21" t="s">
        <v>2759</v>
      </c>
      <c r="F21" t="s">
        <v>2760</v>
      </c>
      <c r="G21" t="s">
        <v>2920</v>
      </c>
      <c r="H21" t="s">
        <v>2921</v>
      </c>
      <c r="I21">
        <v>978103</v>
      </c>
      <c r="J21">
        <v>0</v>
      </c>
      <c r="K21" t="s">
        <v>3358</v>
      </c>
      <c r="L21" t="s">
        <v>3359</v>
      </c>
      <c r="M21">
        <v>96</v>
      </c>
      <c r="N21">
        <v>23840.219000000001</v>
      </c>
      <c r="O21" t="s">
        <v>122</v>
      </c>
      <c r="P21">
        <v>4</v>
      </c>
      <c r="Q21">
        <v>5</v>
      </c>
      <c r="R21">
        <v>23</v>
      </c>
      <c r="S21">
        <v>30599714</v>
      </c>
      <c r="T21">
        <v>98</v>
      </c>
      <c r="U21">
        <v>117</v>
      </c>
      <c r="V21">
        <v>23840.218727432399</v>
      </c>
      <c r="W21">
        <v>30599713.626058389</v>
      </c>
      <c r="X21">
        <v>977313.11300000001</v>
      </c>
      <c r="Y21">
        <f>VLOOKUP(AB21,'2000 Seattle Tracts'!$C$2:$Z$374,24,FALSE)</f>
        <v>978104.31700000004</v>
      </c>
      <c r="Z21">
        <f t="shared" si="0"/>
        <v>0.99919108423687697</v>
      </c>
      <c r="AA21" t="s">
        <v>199</v>
      </c>
      <c r="AB21" t="str">
        <f t="shared" si="1"/>
        <v>Census Tract 24, King County, Washington</v>
      </c>
      <c r="AC21" s="3">
        <f>VLOOKUP($AB21,'2000 Seattle Tracts'!$C$2:$Y$374,AC$1,FALSE)*$Z21</f>
        <v>2825.7123862218882</v>
      </c>
      <c r="AD21" s="3">
        <f>VLOOKUP($AB21,'2000 Seattle Tracts'!$C$2:$Y$374,AD$1,FALSE)*$Z21</f>
        <v>2362.0877231359773</v>
      </c>
      <c r="AE21" s="3">
        <f>VLOOKUP($AB21,'2000 Seattle Tracts'!$C$2:$Y$374,AE$1,FALSE)*$Z21</f>
        <v>463.62466308591092</v>
      </c>
      <c r="AF21" s="3">
        <f>VLOOKUP($AB21,'2000 Seattle Tracts'!$C$2:$Y$374,AF$1,FALSE)*$Z21</f>
        <v>2825.7123862218882</v>
      </c>
      <c r="AG21" s="3">
        <f>VLOOKUP($AB21,'2000 Seattle Tracts'!$C$2:$Y$374,AG$1,FALSE)*$Z21</f>
        <v>2362.0877231359773</v>
      </c>
      <c r="AH21" s="3">
        <f>VLOOKUP($AB21,'2000 Seattle Tracts'!$C$2:$Y$374,AH$1,FALSE)*$Z21</f>
        <v>463.62466308591092</v>
      </c>
      <c r="AI21" s="3">
        <f>VLOOKUP($AB21,'2000 Seattle Tracts'!$C$2:$Y$374,AI$1,FALSE)*$Z21</f>
        <v>2141.2664935196271</v>
      </c>
      <c r="AJ21" s="3">
        <f>VLOOKUP($AB21,'2000 Seattle Tracts'!$C$2:$Y$374,AJ$1,FALSE)*$Z21</f>
        <v>173.8592486572166</v>
      </c>
      <c r="AK21" s="3">
        <f>VLOOKUP($AB21,'2000 Seattle Tracts'!$C$2:$Y$374,AK$1,FALSE)*$Z21</f>
        <v>17.985439516263785</v>
      </c>
      <c r="AL21" s="3">
        <f>VLOOKUP($AB21,'2000 Seattle Tracts'!$C$2:$Y$374,AL$1,FALSE)*$Z21</f>
        <v>15.987057347790032</v>
      </c>
      <c r="AM21" s="3">
        <f>VLOOKUP($AB21,'2000 Seattle Tracts'!$C$2:$Y$374,AM$1,FALSE)*$Z21</f>
        <v>25.978968190158803</v>
      </c>
      <c r="AN21" s="3">
        <f>VLOOKUP($AB21,'2000 Seattle Tracts'!$C$2:$Y$374,AN$1,FALSE)*$Z21</f>
        <v>35.97087903252757</v>
      </c>
      <c r="AO21" s="3">
        <f>VLOOKUP($AB21,'2000 Seattle Tracts'!$C$2:$Y$374,AO$1,FALSE)*$Z21</f>
        <v>11.990293010842525</v>
      </c>
      <c r="AP21" s="3">
        <f>VLOOKUP($AB21,'2000 Seattle Tracts'!$C$2:$Y$374,AP$1,FALSE)*$Z21</f>
        <v>0</v>
      </c>
      <c r="AQ21" s="3">
        <f>VLOOKUP($AB21,'2000 Seattle Tracts'!$C$2:$Y$374,AQ$1,FALSE)*$Z21</f>
        <v>36.970070116764447</v>
      </c>
      <c r="AR21" s="3">
        <f>VLOOKUP($AB21,'2000 Seattle Tracts'!$C$2:$Y$374,AR$1,FALSE)*$Z21</f>
        <v>201.83659901584915</v>
      </c>
      <c r="AS21" s="3">
        <f>VLOOKUP($AB21,'2000 Seattle Tracts'!$C$2:$Y$374,AS$1,FALSE)*$Z21</f>
        <v>0</v>
      </c>
      <c r="AT21" s="3">
        <f>VLOOKUP($AB21,'2000 Seattle Tracts'!$C$2:$Y$374,AT$1,FALSE)*$Z21</f>
        <v>0</v>
      </c>
      <c r="AU21" s="3">
        <f>VLOOKUP($AB21,'2000 Seattle Tracts'!$C$2:$Y$374,AU$1,FALSE)*$Z21</f>
        <v>11.990293010842525</v>
      </c>
      <c r="AV21" s="3">
        <f>VLOOKUP($AB21,'2000 Seattle Tracts'!$C$2:$Y$374,AV$1,FALSE)*$Z21</f>
        <v>0</v>
      </c>
      <c r="AW21" s="3">
        <f>VLOOKUP($AB21,'2000 Seattle Tracts'!$C$2:$Y$374,AW$1,FALSE)*$Z21</f>
        <v>115.90616577147773</v>
      </c>
      <c r="AX21" s="3">
        <f>VLOOKUP($AB21,'2000 Seattle Tracts'!$C$2:$Y$374,AX$1,FALSE)*$Z21</f>
        <v>35.97087903252757</v>
      </c>
      <c r="AZ21" s="2" t="s">
        <v>180</v>
      </c>
      <c r="BA21">
        <v>11285.678539365541</v>
      </c>
      <c r="BB21">
        <v>6087.0252623847473</v>
      </c>
      <c r="BC21">
        <v>5198.6532769807964</v>
      </c>
      <c r="BD21">
        <v>1898.6463004755333</v>
      </c>
      <c r="BE21">
        <v>89.452282558269061</v>
      </c>
      <c r="BF21">
        <v>27.731069047586534</v>
      </c>
      <c r="BG21">
        <v>74.929608694186513</v>
      </c>
      <c r="BH21">
        <v>1514.4928845431568</v>
      </c>
      <c r="BI21">
        <v>204.95842078521838</v>
      </c>
      <c r="BJ21">
        <v>68.740955446437667</v>
      </c>
      <c r="BK21">
        <v>11.776962966259793</v>
      </c>
      <c r="BL21">
        <v>1824.2290844220943</v>
      </c>
      <c r="BM21">
        <v>4403.5687717745195</v>
      </c>
      <c r="BN21">
        <v>109.20125259686971</v>
      </c>
      <c r="BO21">
        <v>48.864167554226427</v>
      </c>
      <c r="BP21">
        <v>170.95055377105302</v>
      </c>
      <c r="BQ21">
        <v>139.27220137891885</v>
      </c>
      <c r="BR21">
        <v>473.03316208201483</v>
      </c>
      <c r="BS21">
        <v>225.83086126919727</v>
      </c>
    </row>
    <row r="22" spans="1:71" x14ac:dyDescent="0.25">
      <c r="A22" t="s">
        <v>2917</v>
      </c>
      <c r="B22" t="s">
        <v>2918</v>
      </c>
      <c r="C22" t="s">
        <v>3137</v>
      </c>
      <c r="D22" t="s">
        <v>2761</v>
      </c>
      <c r="E22" t="s">
        <v>2762</v>
      </c>
      <c r="F22" t="s">
        <v>2763</v>
      </c>
      <c r="G22" t="s">
        <v>2920</v>
      </c>
      <c r="H22" t="s">
        <v>2921</v>
      </c>
      <c r="I22">
        <v>2767963</v>
      </c>
      <c r="J22">
        <v>1488647</v>
      </c>
      <c r="K22" t="s">
        <v>3360</v>
      </c>
      <c r="L22" t="s">
        <v>3361</v>
      </c>
      <c r="M22">
        <v>1</v>
      </c>
      <c r="N22">
        <v>617.84300000000007</v>
      </c>
      <c r="P22">
        <v>0</v>
      </c>
      <c r="Q22">
        <v>0</v>
      </c>
      <c r="R22">
        <v>0</v>
      </c>
      <c r="S22">
        <v>3588.4430000000002</v>
      </c>
      <c r="T22">
        <v>2</v>
      </c>
      <c r="U22">
        <v>0</v>
      </c>
      <c r="V22">
        <v>617.8426138070929</v>
      </c>
      <c r="W22">
        <v>3588.4423845993092</v>
      </c>
      <c r="X22">
        <v>54.902999999999999</v>
      </c>
      <c r="Y22">
        <f>VLOOKUP(AB22,'2000 Seattle Tracts'!$C$2:$Z$374,24,FALSE)</f>
        <v>2769392.3089999999</v>
      </c>
      <c r="Z22">
        <f t="shared" si="0"/>
        <v>1.9824926869904153E-5</v>
      </c>
      <c r="AA22" t="s">
        <v>115</v>
      </c>
      <c r="AB22" t="str">
        <f t="shared" si="1"/>
        <v>Census Tract 22, King County, Washington</v>
      </c>
      <c r="AC22" s="3">
        <f>VLOOKUP($AB22,'2000 Seattle Tracts'!$C$2:$Y$374,AC$1,FALSE)*$Z22</f>
        <v>0.10697530539000281</v>
      </c>
      <c r="AD22" s="3">
        <f>VLOOKUP($AB22,'2000 Seattle Tracts'!$C$2:$Y$374,AD$1,FALSE)*$Z22</f>
        <v>8.9212170914568692E-2</v>
      </c>
      <c r="AE22" s="3">
        <f>VLOOKUP($AB22,'2000 Seattle Tracts'!$C$2:$Y$374,AE$1,FALSE)*$Z22</f>
        <v>1.7763134475434122E-2</v>
      </c>
      <c r="AF22" s="3">
        <f>VLOOKUP($AB22,'2000 Seattle Tracts'!$C$2:$Y$374,AF$1,FALSE)*$Z22</f>
        <v>0.10697530539000281</v>
      </c>
      <c r="AG22" s="3">
        <f>VLOOKUP($AB22,'2000 Seattle Tracts'!$C$2:$Y$374,AG$1,FALSE)*$Z22</f>
        <v>8.9212170914568692E-2</v>
      </c>
      <c r="AH22" s="3">
        <f>VLOOKUP($AB22,'2000 Seattle Tracts'!$C$2:$Y$374,AH$1,FALSE)*$Z22</f>
        <v>1.7763134475434122E-2</v>
      </c>
      <c r="AI22" s="3">
        <f>VLOOKUP($AB22,'2000 Seattle Tracts'!$C$2:$Y$374,AI$1,FALSE)*$Z22</f>
        <v>7.9755680797624406E-2</v>
      </c>
      <c r="AJ22" s="3">
        <f>VLOOKUP($AB22,'2000 Seattle Tracts'!$C$2:$Y$374,AJ$1,FALSE)*$Z22</f>
        <v>6.8395997701169329E-3</v>
      </c>
      <c r="AK22" s="3">
        <f>VLOOKUP($AB22,'2000 Seattle Tracts'!$C$2:$Y$374,AK$1,FALSE)*$Z22</f>
        <v>1.5859941495923323E-3</v>
      </c>
      <c r="AL22" s="3">
        <f>VLOOKUP($AB22,'2000 Seattle Tracts'!$C$2:$Y$374,AL$1,FALSE)*$Z22</f>
        <v>7.1369736731654947E-4</v>
      </c>
      <c r="AM22" s="3">
        <f>VLOOKUP($AB22,'2000 Seattle Tracts'!$C$2:$Y$374,AM$1,FALSE)*$Z22</f>
        <v>1.1894956121942491E-4</v>
      </c>
      <c r="AN22" s="3">
        <f>VLOOKUP($AB22,'2000 Seattle Tracts'!$C$2:$Y$374,AN$1,FALSE)*$Z22</f>
        <v>1.3877448808932908E-4</v>
      </c>
      <c r="AO22" s="3">
        <f>VLOOKUP($AB22,'2000 Seattle Tracts'!$C$2:$Y$374,AO$1,FALSE)*$Z22</f>
        <v>1.3877448808932908E-4</v>
      </c>
      <c r="AP22" s="3">
        <f>VLOOKUP($AB22,'2000 Seattle Tracts'!$C$2:$Y$374,AP$1,FALSE)*$Z22</f>
        <v>1.9824926869904154E-4</v>
      </c>
      <c r="AQ22" s="3">
        <f>VLOOKUP($AB22,'2000 Seattle Tracts'!$C$2:$Y$374,AQ$1,FALSE)*$Z22</f>
        <v>3.3305877141438975E-3</v>
      </c>
      <c r="AR22" s="3">
        <f>VLOOKUP($AB22,'2000 Seattle Tracts'!$C$2:$Y$374,AR$1,FALSE)*$Z22</f>
        <v>8.0489203091810863E-3</v>
      </c>
      <c r="AS22" s="3">
        <f>VLOOKUP($AB22,'2000 Seattle Tracts'!$C$2:$Y$374,AS$1,FALSE)*$Z22</f>
        <v>0</v>
      </c>
      <c r="AT22" s="3">
        <f>VLOOKUP($AB22,'2000 Seattle Tracts'!$C$2:$Y$374,AT$1,FALSE)*$Z22</f>
        <v>0</v>
      </c>
      <c r="AU22" s="3">
        <f>VLOOKUP($AB22,'2000 Seattle Tracts'!$C$2:$Y$374,AU$1,FALSE)*$Z22</f>
        <v>8.9212170914568689E-4</v>
      </c>
      <c r="AV22" s="3">
        <f>VLOOKUP($AB22,'2000 Seattle Tracts'!$C$2:$Y$374,AV$1,FALSE)*$Z22</f>
        <v>8.9212170914568689E-4</v>
      </c>
      <c r="AW22" s="3">
        <f>VLOOKUP($AB22,'2000 Seattle Tracts'!$C$2:$Y$374,AW$1,FALSE)*$Z22</f>
        <v>3.3900624947536102E-3</v>
      </c>
      <c r="AX22" s="3">
        <f>VLOOKUP($AB22,'2000 Seattle Tracts'!$C$2:$Y$374,AX$1,FALSE)*$Z22</f>
        <v>9.3177156288549523E-4</v>
      </c>
      <c r="AZ22" s="2" t="s">
        <v>217</v>
      </c>
      <c r="BA22">
        <v>5962.3526642380866</v>
      </c>
      <c r="BB22">
        <v>5156.915948454036</v>
      </c>
      <c r="BC22">
        <v>805.43671578405088</v>
      </c>
      <c r="BD22">
        <v>4716.1558519485625</v>
      </c>
      <c r="BE22">
        <v>545.52392551661558</v>
      </c>
      <c r="BF22">
        <v>88.594514815823231</v>
      </c>
      <c r="BG22">
        <v>26.772524233068975</v>
      </c>
      <c r="BH22">
        <v>65.229418100481155</v>
      </c>
      <c r="BI22">
        <v>8.6747135534064164</v>
      </c>
      <c r="BJ22">
        <v>9.3459278975636195</v>
      </c>
      <c r="BK22">
        <v>0</v>
      </c>
      <c r="BL22">
        <v>110.99898142798122</v>
      </c>
      <c r="BM22">
        <v>187.58857729578401</v>
      </c>
      <c r="BN22">
        <v>6.0952738614916955</v>
      </c>
      <c r="BO22">
        <v>2.2360953770584064</v>
      </c>
      <c r="BP22">
        <v>16.636581744071705</v>
      </c>
      <c r="BQ22">
        <v>12.709455071223305</v>
      </c>
      <c r="BR22">
        <v>143.85939865806097</v>
      </c>
      <c r="BS22">
        <v>21.931424736894211</v>
      </c>
    </row>
    <row r="23" spans="1:71" x14ac:dyDescent="0.25">
      <c r="A23" t="s">
        <v>2917</v>
      </c>
      <c r="B23" t="s">
        <v>2918</v>
      </c>
      <c r="C23" t="s">
        <v>3137</v>
      </c>
      <c r="D23" t="s">
        <v>2761</v>
      </c>
      <c r="E23" t="s">
        <v>2762</v>
      </c>
      <c r="F23" t="s">
        <v>2763</v>
      </c>
      <c r="G23" t="s">
        <v>2920</v>
      </c>
      <c r="H23" t="s">
        <v>2921</v>
      </c>
      <c r="I23">
        <v>2767963</v>
      </c>
      <c r="J23">
        <v>1488647</v>
      </c>
      <c r="K23" t="s">
        <v>3360</v>
      </c>
      <c r="L23" t="s">
        <v>3361</v>
      </c>
      <c r="M23">
        <v>35</v>
      </c>
      <c r="N23">
        <v>22657.039000000001</v>
      </c>
      <c r="O23" t="s">
        <v>122</v>
      </c>
      <c r="P23">
        <v>4</v>
      </c>
      <c r="Q23">
        <v>5</v>
      </c>
      <c r="R23">
        <v>94</v>
      </c>
      <c r="S23">
        <v>25612980</v>
      </c>
      <c r="T23">
        <v>37</v>
      </c>
      <c r="U23">
        <v>119</v>
      </c>
      <c r="V23">
        <v>22657.0394732799</v>
      </c>
      <c r="W23">
        <v>25612979.943988901</v>
      </c>
      <c r="X23">
        <v>1026948.246</v>
      </c>
      <c r="Y23">
        <f>VLOOKUP(AB23,'2000 Seattle Tracts'!$C$2:$Z$374,24,FALSE)</f>
        <v>2769392.3089999999</v>
      </c>
      <c r="Z23">
        <f t="shared" si="0"/>
        <v>0.37082079077876146</v>
      </c>
      <c r="AA23" t="s">
        <v>126</v>
      </c>
      <c r="AB23" t="str">
        <f t="shared" si="1"/>
        <v>Census Tract 22, King County, Washington</v>
      </c>
      <c r="AC23" s="3">
        <f>VLOOKUP($AB23,'2000 Seattle Tracts'!$C$2:$Y$374,AC$1,FALSE)*$Z23</f>
        <v>2000.9489870421969</v>
      </c>
      <c r="AD23" s="3">
        <f>VLOOKUP($AB23,'2000 Seattle Tracts'!$C$2:$Y$374,AD$1,FALSE)*$Z23</f>
        <v>1668.6935585044266</v>
      </c>
      <c r="AE23" s="3">
        <f>VLOOKUP($AB23,'2000 Seattle Tracts'!$C$2:$Y$374,AE$1,FALSE)*$Z23</f>
        <v>332.25542853777029</v>
      </c>
      <c r="AF23" s="3">
        <f>VLOOKUP($AB23,'2000 Seattle Tracts'!$C$2:$Y$374,AF$1,FALSE)*$Z23</f>
        <v>2000.9489870421969</v>
      </c>
      <c r="AG23" s="3">
        <f>VLOOKUP($AB23,'2000 Seattle Tracts'!$C$2:$Y$374,AG$1,FALSE)*$Z23</f>
        <v>1668.6935585044266</v>
      </c>
      <c r="AH23" s="3">
        <f>VLOOKUP($AB23,'2000 Seattle Tracts'!$C$2:$Y$374,AH$1,FALSE)*$Z23</f>
        <v>332.25542853777029</v>
      </c>
      <c r="AI23" s="3">
        <f>VLOOKUP($AB23,'2000 Seattle Tracts'!$C$2:$Y$374,AI$1,FALSE)*$Z23</f>
        <v>1491.8120413029574</v>
      </c>
      <c r="AJ23" s="3">
        <f>VLOOKUP($AB23,'2000 Seattle Tracts'!$C$2:$Y$374,AJ$1,FALSE)*$Z23</f>
        <v>127.9331728186727</v>
      </c>
      <c r="AK23" s="3">
        <f>VLOOKUP($AB23,'2000 Seattle Tracts'!$C$2:$Y$374,AK$1,FALSE)*$Z23</f>
        <v>29.665663262300917</v>
      </c>
      <c r="AL23" s="3">
        <f>VLOOKUP($AB23,'2000 Seattle Tracts'!$C$2:$Y$374,AL$1,FALSE)*$Z23</f>
        <v>13.349548468035412</v>
      </c>
      <c r="AM23" s="3">
        <f>VLOOKUP($AB23,'2000 Seattle Tracts'!$C$2:$Y$374,AM$1,FALSE)*$Z23</f>
        <v>2.2249247446725686</v>
      </c>
      <c r="AN23" s="3">
        <f>VLOOKUP($AB23,'2000 Seattle Tracts'!$C$2:$Y$374,AN$1,FALSE)*$Z23</f>
        <v>2.5957455354513304</v>
      </c>
      <c r="AO23" s="3">
        <f>VLOOKUP($AB23,'2000 Seattle Tracts'!$C$2:$Y$374,AO$1,FALSE)*$Z23</f>
        <v>2.5957455354513304</v>
      </c>
      <c r="AP23" s="3">
        <f>VLOOKUP($AB23,'2000 Seattle Tracts'!$C$2:$Y$374,AP$1,FALSE)*$Z23</f>
        <v>3.7082079077876147</v>
      </c>
      <c r="AQ23" s="3">
        <f>VLOOKUP($AB23,'2000 Seattle Tracts'!$C$2:$Y$374,AQ$1,FALSE)*$Z23</f>
        <v>62.297892850831921</v>
      </c>
      <c r="AR23" s="3">
        <f>VLOOKUP($AB23,'2000 Seattle Tracts'!$C$2:$Y$374,AR$1,FALSE)*$Z23</f>
        <v>150.55324105617714</v>
      </c>
      <c r="AS23" s="3">
        <f>VLOOKUP($AB23,'2000 Seattle Tracts'!$C$2:$Y$374,AS$1,FALSE)*$Z23</f>
        <v>0</v>
      </c>
      <c r="AT23" s="3">
        <f>VLOOKUP($AB23,'2000 Seattle Tracts'!$C$2:$Y$374,AT$1,FALSE)*$Z23</f>
        <v>0</v>
      </c>
      <c r="AU23" s="3">
        <f>VLOOKUP($AB23,'2000 Seattle Tracts'!$C$2:$Y$374,AU$1,FALSE)*$Z23</f>
        <v>16.686935585044264</v>
      </c>
      <c r="AV23" s="3">
        <f>VLOOKUP($AB23,'2000 Seattle Tracts'!$C$2:$Y$374,AV$1,FALSE)*$Z23</f>
        <v>16.686935585044264</v>
      </c>
      <c r="AW23" s="3">
        <f>VLOOKUP($AB23,'2000 Seattle Tracts'!$C$2:$Y$374,AW$1,FALSE)*$Z23</f>
        <v>63.41035522316821</v>
      </c>
      <c r="AX23" s="3">
        <f>VLOOKUP($AB23,'2000 Seattle Tracts'!$C$2:$Y$374,AX$1,FALSE)*$Z23</f>
        <v>17.428577166601787</v>
      </c>
      <c r="AZ23" s="2" t="s">
        <v>218</v>
      </c>
      <c r="BA23">
        <v>6750.4113774339748</v>
      </c>
      <c r="BB23">
        <v>5138.0321079278301</v>
      </c>
      <c r="BC23">
        <v>1612.3792695061452</v>
      </c>
      <c r="BD23">
        <v>4147.1983814690557</v>
      </c>
      <c r="BE23">
        <v>481.23663333023677</v>
      </c>
      <c r="BF23">
        <v>106.7152809954963</v>
      </c>
      <c r="BG23">
        <v>79.017518125515323</v>
      </c>
      <c r="BH23">
        <v>169.808461373272</v>
      </c>
      <c r="BI23">
        <v>150.18276176291823</v>
      </c>
      <c r="BJ23">
        <v>55.090435176529816</v>
      </c>
      <c r="BK23">
        <v>3.4291963966605943</v>
      </c>
      <c r="BL23">
        <v>240.44745184734035</v>
      </c>
      <c r="BM23">
        <v>665.45218161371167</v>
      </c>
      <c r="BN23">
        <v>16.548138217376842</v>
      </c>
      <c r="BO23">
        <v>5.8911336272895287</v>
      </c>
      <c r="BP23">
        <v>89.412481130715548</v>
      </c>
      <c r="BQ23">
        <v>106.83892243630001</v>
      </c>
      <c r="BR23">
        <v>312.8114777180437</v>
      </c>
      <c r="BS23">
        <v>120.33092221351305</v>
      </c>
    </row>
    <row r="24" spans="1:71" x14ac:dyDescent="0.25">
      <c r="A24" t="s">
        <v>2917</v>
      </c>
      <c r="B24" t="s">
        <v>2918</v>
      </c>
      <c r="C24" t="s">
        <v>3137</v>
      </c>
      <c r="D24" t="s">
        <v>2761</v>
      </c>
      <c r="E24" t="s">
        <v>2762</v>
      </c>
      <c r="F24" t="s">
        <v>2763</v>
      </c>
      <c r="G24" t="s">
        <v>2920</v>
      </c>
      <c r="H24" t="s">
        <v>2921</v>
      </c>
      <c r="I24">
        <v>2767963</v>
      </c>
      <c r="J24">
        <v>1488647</v>
      </c>
      <c r="K24" t="s">
        <v>3360</v>
      </c>
      <c r="L24" t="s">
        <v>3361</v>
      </c>
      <c r="M24">
        <v>37</v>
      </c>
      <c r="N24">
        <v>21396.695</v>
      </c>
      <c r="O24" t="s">
        <v>122</v>
      </c>
      <c r="P24">
        <v>4</v>
      </c>
      <c r="Q24">
        <v>5</v>
      </c>
      <c r="R24">
        <v>19</v>
      </c>
      <c r="S24">
        <v>19249858</v>
      </c>
      <c r="T24">
        <v>39</v>
      </c>
      <c r="U24">
        <v>196</v>
      </c>
      <c r="V24">
        <v>21396.695800864782</v>
      </c>
      <c r="W24">
        <v>19249857.13974366</v>
      </c>
      <c r="X24">
        <v>902.16200000000003</v>
      </c>
      <c r="Y24">
        <f>VLOOKUP(AB24,'2000 Seattle Tracts'!$C$2:$Z$374,24,FALSE)</f>
        <v>2769392.3089999999</v>
      </c>
      <c r="Z24">
        <f t="shared" si="0"/>
        <v>3.2576171930143107E-4</v>
      </c>
      <c r="AA24" t="s">
        <v>128</v>
      </c>
      <c r="AB24" t="str">
        <f t="shared" si="1"/>
        <v>Census Tract 22, King County, Washington</v>
      </c>
      <c r="AC24" s="3">
        <f>VLOOKUP($AB24,'2000 Seattle Tracts'!$C$2:$Y$374,AC$1,FALSE)*$Z24</f>
        <v>1.757810237350522</v>
      </c>
      <c r="AD24" s="3">
        <f>VLOOKUP($AB24,'2000 Seattle Tracts'!$C$2:$Y$374,AD$1,FALSE)*$Z24</f>
        <v>1.4659277368564398</v>
      </c>
      <c r="AE24" s="3">
        <f>VLOOKUP($AB24,'2000 Seattle Tracts'!$C$2:$Y$374,AE$1,FALSE)*$Z24</f>
        <v>0.29188250049408226</v>
      </c>
      <c r="AF24" s="3">
        <f>VLOOKUP($AB24,'2000 Seattle Tracts'!$C$2:$Y$374,AF$1,FALSE)*$Z24</f>
        <v>1.757810237350522</v>
      </c>
      <c r="AG24" s="3">
        <f>VLOOKUP($AB24,'2000 Seattle Tracts'!$C$2:$Y$374,AG$1,FALSE)*$Z24</f>
        <v>1.4659277368564398</v>
      </c>
      <c r="AH24" s="3">
        <f>VLOOKUP($AB24,'2000 Seattle Tracts'!$C$2:$Y$374,AH$1,FALSE)*$Z24</f>
        <v>0.29188250049408226</v>
      </c>
      <c r="AI24" s="3">
        <f>VLOOKUP($AB24,'2000 Seattle Tracts'!$C$2:$Y$374,AI$1,FALSE)*$Z24</f>
        <v>1.3105393967496572</v>
      </c>
      <c r="AJ24" s="3">
        <f>VLOOKUP($AB24,'2000 Seattle Tracts'!$C$2:$Y$374,AJ$1,FALSE)*$Z24</f>
        <v>0.11238779315899372</v>
      </c>
      <c r="AK24" s="3">
        <f>VLOOKUP($AB24,'2000 Seattle Tracts'!$C$2:$Y$374,AK$1,FALSE)*$Z24</f>
        <v>2.6060937544114485E-2</v>
      </c>
      <c r="AL24" s="3">
        <f>VLOOKUP($AB24,'2000 Seattle Tracts'!$C$2:$Y$374,AL$1,FALSE)*$Z24</f>
        <v>1.1727421894851518E-2</v>
      </c>
      <c r="AM24" s="3">
        <f>VLOOKUP($AB24,'2000 Seattle Tracts'!$C$2:$Y$374,AM$1,FALSE)*$Z24</f>
        <v>1.9545703158085864E-3</v>
      </c>
      <c r="AN24" s="3">
        <f>VLOOKUP($AB24,'2000 Seattle Tracts'!$C$2:$Y$374,AN$1,FALSE)*$Z24</f>
        <v>2.2803320351100177E-3</v>
      </c>
      <c r="AO24" s="3">
        <f>VLOOKUP($AB24,'2000 Seattle Tracts'!$C$2:$Y$374,AO$1,FALSE)*$Z24</f>
        <v>2.2803320351100177E-3</v>
      </c>
      <c r="AP24" s="3">
        <f>VLOOKUP($AB24,'2000 Seattle Tracts'!$C$2:$Y$374,AP$1,FALSE)*$Z24</f>
        <v>3.2576171930143107E-3</v>
      </c>
      <c r="AQ24" s="3">
        <f>VLOOKUP($AB24,'2000 Seattle Tracts'!$C$2:$Y$374,AQ$1,FALSE)*$Z24</f>
        <v>5.4727968842640418E-2</v>
      </c>
      <c r="AR24" s="3">
        <f>VLOOKUP($AB24,'2000 Seattle Tracts'!$C$2:$Y$374,AR$1,FALSE)*$Z24</f>
        <v>0.132259258036381</v>
      </c>
      <c r="AS24" s="3">
        <f>VLOOKUP($AB24,'2000 Seattle Tracts'!$C$2:$Y$374,AS$1,FALSE)*$Z24</f>
        <v>0</v>
      </c>
      <c r="AT24" s="3">
        <f>VLOOKUP($AB24,'2000 Seattle Tracts'!$C$2:$Y$374,AT$1,FALSE)*$Z24</f>
        <v>0</v>
      </c>
      <c r="AU24" s="3">
        <f>VLOOKUP($AB24,'2000 Seattle Tracts'!$C$2:$Y$374,AU$1,FALSE)*$Z24</f>
        <v>1.4659277368564398E-2</v>
      </c>
      <c r="AV24" s="3">
        <f>VLOOKUP($AB24,'2000 Seattle Tracts'!$C$2:$Y$374,AV$1,FALSE)*$Z24</f>
        <v>1.4659277368564398E-2</v>
      </c>
      <c r="AW24" s="3">
        <f>VLOOKUP($AB24,'2000 Seattle Tracts'!$C$2:$Y$374,AW$1,FALSE)*$Z24</f>
        <v>5.5705254000544713E-2</v>
      </c>
      <c r="AX24" s="3">
        <f>VLOOKUP($AB24,'2000 Seattle Tracts'!$C$2:$Y$374,AX$1,FALSE)*$Z24</f>
        <v>1.531080080716726E-2</v>
      </c>
      <c r="AZ24" s="2" t="s">
        <v>192</v>
      </c>
      <c r="BA24">
        <v>1951.1038063000083</v>
      </c>
      <c r="BB24">
        <v>1613.516701397871</v>
      </c>
      <c r="BC24">
        <v>337.58710490213736</v>
      </c>
      <c r="BD24">
        <v>1199.3971540737425</v>
      </c>
      <c r="BE24">
        <v>71.461123226396623</v>
      </c>
      <c r="BF24">
        <v>29.161194944195614</v>
      </c>
      <c r="BG24">
        <v>26.03950655437594</v>
      </c>
      <c r="BH24">
        <v>142.23595221169433</v>
      </c>
      <c r="BI24">
        <v>11.619680111776193</v>
      </c>
      <c r="BJ24">
        <v>26.842276008521566</v>
      </c>
      <c r="BK24">
        <v>4.6296035903660097E-2</v>
      </c>
      <c r="BL24">
        <v>118.24788487815181</v>
      </c>
      <c r="BM24">
        <v>160.26755961206055</v>
      </c>
      <c r="BN24">
        <v>3.6346552304815178</v>
      </c>
      <c r="BO24">
        <v>6.6981498754231622E-2</v>
      </c>
      <c r="BP24">
        <v>31.190344240325746</v>
      </c>
      <c r="BQ24">
        <v>61.269607323323982</v>
      </c>
      <c r="BR24">
        <v>62.807239810757999</v>
      </c>
      <c r="BS24">
        <v>6.8163505395462058</v>
      </c>
    </row>
    <row r="25" spans="1:71" x14ac:dyDescent="0.25">
      <c r="A25" t="s">
        <v>2917</v>
      </c>
      <c r="B25" t="s">
        <v>2918</v>
      </c>
      <c r="C25" t="s">
        <v>3137</v>
      </c>
      <c r="D25" t="s">
        <v>2761</v>
      </c>
      <c r="E25" t="s">
        <v>2762</v>
      </c>
      <c r="F25" t="s">
        <v>2763</v>
      </c>
      <c r="G25" t="s">
        <v>2920</v>
      </c>
      <c r="H25" t="s">
        <v>2921</v>
      </c>
      <c r="I25">
        <v>2767963</v>
      </c>
      <c r="J25">
        <v>1488647</v>
      </c>
      <c r="K25" t="s">
        <v>3360</v>
      </c>
      <c r="L25" t="s">
        <v>3361</v>
      </c>
      <c r="M25">
        <v>96</v>
      </c>
      <c r="N25">
        <v>23840.219000000001</v>
      </c>
      <c r="O25" t="s">
        <v>122</v>
      </c>
      <c r="P25">
        <v>4</v>
      </c>
      <c r="Q25">
        <v>5</v>
      </c>
      <c r="R25">
        <v>23</v>
      </c>
      <c r="S25">
        <v>30599714</v>
      </c>
      <c r="T25">
        <v>98</v>
      </c>
      <c r="U25">
        <v>117</v>
      </c>
      <c r="V25">
        <v>23840.218727432399</v>
      </c>
      <c r="W25">
        <v>30599713.626058389</v>
      </c>
      <c r="X25">
        <v>626785.17000000004</v>
      </c>
      <c r="Y25">
        <f>VLOOKUP(AB25,'2000 Seattle Tracts'!$C$2:$Z$374,24,FALSE)</f>
        <v>2769392.3089999999</v>
      </c>
      <c r="Z25">
        <f t="shared" si="0"/>
        <v>0.22632588671639878</v>
      </c>
      <c r="AA25" t="s">
        <v>199</v>
      </c>
      <c r="AB25" t="str">
        <f t="shared" si="1"/>
        <v>Census Tract 22, King County, Washington</v>
      </c>
      <c r="AC25" s="3">
        <f>VLOOKUP($AB25,'2000 Seattle Tracts'!$C$2:$Y$374,AC$1,FALSE)*$Z25</f>
        <v>1221.2544847216877</v>
      </c>
      <c r="AD25" s="3">
        <f>VLOOKUP($AB25,'2000 Seattle Tracts'!$C$2:$Y$374,AD$1,FALSE)*$Z25</f>
        <v>1018.4664902237945</v>
      </c>
      <c r="AE25" s="3">
        <f>VLOOKUP($AB25,'2000 Seattle Tracts'!$C$2:$Y$374,AE$1,FALSE)*$Z25</f>
        <v>202.78799449789329</v>
      </c>
      <c r="AF25" s="3">
        <f>VLOOKUP($AB25,'2000 Seattle Tracts'!$C$2:$Y$374,AF$1,FALSE)*$Z25</f>
        <v>1221.2544847216877</v>
      </c>
      <c r="AG25" s="3">
        <f>VLOOKUP($AB25,'2000 Seattle Tracts'!$C$2:$Y$374,AG$1,FALSE)*$Z25</f>
        <v>1018.4664902237945</v>
      </c>
      <c r="AH25" s="3">
        <f>VLOOKUP($AB25,'2000 Seattle Tracts'!$C$2:$Y$374,AH$1,FALSE)*$Z25</f>
        <v>202.78799449789329</v>
      </c>
      <c r="AI25" s="3">
        <f>VLOOKUP($AB25,'2000 Seattle Tracts'!$C$2:$Y$374,AI$1,FALSE)*$Z25</f>
        <v>910.50904226007231</v>
      </c>
      <c r="AJ25" s="3">
        <f>VLOOKUP($AB25,'2000 Seattle Tracts'!$C$2:$Y$374,AJ$1,FALSE)*$Z25</f>
        <v>78.082430917157581</v>
      </c>
      <c r="AK25" s="3">
        <f>VLOOKUP($AB25,'2000 Seattle Tracts'!$C$2:$Y$374,AK$1,FALSE)*$Z25</f>
        <v>18.106070937311902</v>
      </c>
      <c r="AL25" s="3">
        <f>VLOOKUP($AB25,'2000 Seattle Tracts'!$C$2:$Y$374,AL$1,FALSE)*$Z25</f>
        <v>8.1477319217903563</v>
      </c>
      <c r="AM25" s="3">
        <f>VLOOKUP($AB25,'2000 Seattle Tracts'!$C$2:$Y$374,AM$1,FALSE)*$Z25</f>
        <v>1.3579553202983927</v>
      </c>
      <c r="AN25" s="3">
        <f>VLOOKUP($AB25,'2000 Seattle Tracts'!$C$2:$Y$374,AN$1,FALSE)*$Z25</f>
        <v>1.5842812070147914</v>
      </c>
      <c r="AO25" s="3">
        <f>VLOOKUP($AB25,'2000 Seattle Tracts'!$C$2:$Y$374,AO$1,FALSE)*$Z25</f>
        <v>1.5842812070147914</v>
      </c>
      <c r="AP25" s="3">
        <f>VLOOKUP($AB25,'2000 Seattle Tracts'!$C$2:$Y$374,AP$1,FALSE)*$Z25</f>
        <v>2.2632588671639877</v>
      </c>
      <c r="AQ25" s="3">
        <f>VLOOKUP($AB25,'2000 Seattle Tracts'!$C$2:$Y$374,AQ$1,FALSE)*$Z25</f>
        <v>38.022748968354996</v>
      </c>
      <c r="AR25" s="3">
        <f>VLOOKUP($AB25,'2000 Seattle Tracts'!$C$2:$Y$374,AR$1,FALSE)*$Z25</f>
        <v>91.888310006857907</v>
      </c>
      <c r="AS25" s="3">
        <f>VLOOKUP($AB25,'2000 Seattle Tracts'!$C$2:$Y$374,AS$1,FALSE)*$Z25</f>
        <v>0</v>
      </c>
      <c r="AT25" s="3">
        <f>VLOOKUP($AB25,'2000 Seattle Tracts'!$C$2:$Y$374,AT$1,FALSE)*$Z25</f>
        <v>0</v>
      </c>
      <c r="AU25" s="3">
        <f>VLOOKUP($AB25,'2000 Seattle Tracts'!$C$2:$Y$374,AU$1,FALSE)*$Z25</f>
        <v>10.184664902237945</v>
      </c>
      <c r="AV25" s="3">
        <f>VLOOKUP($AB25,'2000 Seattle Tracts'!$C$2:$Y$374,AV$1,FALSE)*$Z25</f>
        <v>10.184664902237945</v>
      </c>
      <c r="AW25" s="3">
        <f>VLOOKUP($AB25,'2000 Seattle Tracts'!$C$2:$Y$374,AW$1,FALSE)*$Z25</f>
        <v>38.70172662850419</v>
      </c>
      <c r="AX25" s="3">
        <f>VLOOKUP($AB25,'2000 Seattle Tracts'!$C$2:$Y$374,AX$1,FALSE)*$Z25</f>
        <v>10.637316675670743</v>
      </c>
      <c r="AZ25" s="2" t="s">
        <v>210</v>
      </c>
      <c r="BA25">
        <v>5690.1309433728075</v>
      </c>
      <c r="BB25">
        <v>4376.4368062316007</v>
      </c>
      <c r="BC25">
        <v>1313.6941371412067</v>
      </c>
      <c r="BD25">
        <v>3449.280061271762</v>
      </c>
      <c r="BE25">
        <v>354.59069894556688</v>
      </c>
      <c r="BF25">
        <v>82.568073611976388</v>
      </c>
      <c r="BG25">
        <v>34.085891051714981</v>
      </c>
      <c r="BH25">
        <v>240.86278882284958</v>
      </c>
      <c r="BI25">
        <v>106.37290396863237</v>
      </c>
      <c r="BJ25">
        <v>44.880737583431284</v>
      </c>
      <c r="BK25">
        <v>2.3816890024749467E-3</v>
      </c>
      <c r="BL25">
        <v>249.21467355929533</v>
      </c>
      <c r="BM25">
        <v>614.8001682710501</v>
      </c>
      <c r="BN25">
        <v>14.916009536746332</v>
      </c>
      <c r="BO25">
        <v>12.582479319926726</v>
      </c>
      <c r="BP25">
        <v>60.487422498325557</v>
      </c>
      <c r="BQ25">
        <v>85.342358565347666</v>
      </c>
      <c r="BR25">
        <v>234.22703934721414</v>
      </c>
      <c r="BS25">
        <v>105.9172553299654</v>
      </c>
    </row>
    <row r="26" spans="1:71" x14ac:dyDescent="0.25">
      <c r="A26" t="s">
        <v>2917</v>
      </c>
      <c r="B26" t="s">
        <v>2918</v>
      </c>
      <c r="C26" t="s">
        <v>3137</v>
      </c>
      <c r="D26" t="s">
        <v>2761</v>
      </c>
      <c r="E26" t="s">
        <v>2762</v>
      </c>
      <c r="F26" t="s">
        <v>2763</v>
      </c>
      <c r="G26" t="s">
        <v>2920</v>
      </c>
      <c r="H26" t="s">
        <v>2921</v>
      </c>
      <c r="I26">
        <v>2767963</v>
      </c>
      <c r="J26">
        <v>1488647</v>
      </c>
      <c r="K26" t="s">
        <v>3360</v>
      </c>
      <c r="L26" t="s">
        <v>3361</v>
      </c>
      <c r="M26">
        <v>103</v>
      </c>
      <c r="N26">
        <v>31987.734</v>
      </c>
      <c r="O26" t="s">
        <v>207</v>
      </c>
      <c r="P26">
        <v>3</v>
      </c>
      <c r="Q26">
        <v>3</v>
      </c>
      <c r="R26">
        <v>95</v>
      </c>
      <c r="S26">
        <v>30977390</v>
      </c>
      <c r="T26">
        <v>105</v>
      </c>
      <c r="U26">
        <v>107</v>
      </c>
      <c r="V26">
        <v>31987.735324847999</v>
      </c>
      <c r="W26">
        <v>30977390.242551979</v>
      </c>
      <c r="X26">
        <v>1109156.1499999999</v>
      </c>
      <c r="Y26">
        <f>VLOOKUP(AB26,'2000 Seattle Tracts'!$C$2:$Z$374,24,FALSE)</f>
        <v>2769392.3089999999</v>
      </c>
      <c r="Z26">
        <f t="shared" si="0"/>
        <v>0.40050524672703564</v>
      </c>
      <c r="AA26" t="s">
        <v>208</v>
      </c>
      <c r="AB26" t="str">
        <f t="shared" si="1"/>
        <v>Census Tract 22, King County, Washington</v>
      </c>
      <c r="AC26" s="3">
        <f>VLOOKUP($AB26,'2000 Seattle Tracts'!$C$2:$Y$374,AC$1,FALSE)*$Z26</f>
        <v>2161.1263113390842</v>
      </c>
      <c r="AD26" s="3">
        <f>VLOOKUP($AB26,'2000 Seattle Tracts'!$C$2:$Y$374,AD$1,FALSE)*$Z26</f>
        <v>1802.2736102716603</v>
      </c>
      <c r="AE26" s="3">
        <f>VLOOKUP($AB26,'2000 Seattle Tracts'!$C$2:$Y$374,AE$1,FALSE)*$Z26</f>
        <v>358.85270106742394</v>
      </c>
      <c r="AF26" s="3">
        <f>VLOOKUP($AB26,'2000 Seattle Tracts'!$C$2:$Y$374,AF$1,FALSE)*$Z26</f>
        <v>2161.1263113390842</v>
      </c>
      <c r="AG26" s="3">
        <f>VLOOKUP($AB26,'2000 Seattle Tracts'!$C$2:$Y$374,AG$1,FALSE)*$Z26</f>
        <v>1802.2736102716603</v>
      </c>
      <c r="AH26" s="3">
        <f>VLOOKUP($AB26,'2000 Seattle Tracts'!$C$2:$Y$374,AH$1,FALSE)*$Z26</f>
        <v>358.85270106742394</v>
      </c>
      <c r="AI26" s="3">
        <f>VLOOKUP($AB26,'2000 Seattle Tracts'!$C$2:$Y$374,AI$1,FALSE)*$Z26</f>
        <v>1611.2326075828644</v>
      </c>
      <c r="AJ26" s="3">
        <f>VLOOKUP($AB26,'2000 Seattle Tracts'!$C$2:$Y$374,AJ$1,FALSE)*$Z26</f>
        <v>138.1743101208273</v>
      </c>
      <c r="AK26" s="3">
        <f>VLOOKUP($AB26,'2000 Seattle Tracts'!$C$2:$Y$374,AK$1,FALSE)*$Z26</f>
        <v>32.040419738162853</v>
      </c>
      <c r="AL26" s="3">
        <f>VLOOKUP($AB26,'2000 Seattle Tracts'!$C$2:$Y$374,AL$1,FALSE)*$Z26</f>
        <v>14.418188882173283</v>
      </c>
      <c r="AM26" s="3">
        <f>VLOOKUP($AB26,'2000 Seattle Tracts'!$C$2:$Y$374,AM$1,FALSE)*$Z26</f>
        <v>2.4030314803622139</v>
      </c>
      <c r="AN26" s="3">
        <f>VLOOKUP($AB26,'2000 Seattle Tracts'!$C$2:$Y$374,AN$1,FALSE)*$Z26</f>
        <v>2.8035367270892495</v>
      </c>
      <c r="AO26" s="3">
        <f>VLOOKUP($AB26,'2000 Seattle Tracts'!$C$2:$Y$374,AO$1,FALSE)*$Z26</f>
        <v>2.8035367270892495</v>
      </c>
      <c r="AP26" s="3">
        <f>VLOOKUP($AB26,'2000 Seattle Tracts'!$C$2:$Y$374,AP$1,FALSE)*$Z26</f>
        <v>4.0050524672703567</v>
      </c>
      <c r="AQ26" s="3">
        <f>VLOOKUP($AB26,'2000 Seattle Tracts'!$C$2:$Y$374,AQ$1,FALSE)*$Z26</f>
        <v>67.284881450141981</v>
      </c>
      <c r="AR26" s="3">
        <f>VLOOKUP($AB26,'2000 Seattle Tracts'!$C$2:$Y$374,AR$1,FALSE)*$Z26</f>
        <v>162.60513017117646</v>
      </c>
      <c r="AS26" s="3">
        <f>VLOOKUP($AB26,'2000 Seattle Tracts'!$C$2:$Y$374,AS$1,FALSE)*$Z26</f>
        <v>0</v>
      </c>
      <c r="AT26" s="3">
        <f>VLOOKUP($AB26,'2000 Seattle Tracts'!$C$2:$Y$374,AT$1,FALSE)*$Z26</f>
        <v>0</v>
      </c>
      <c r="AU26" s="3">
        <f>VLOOKUP($AB26,'2000 Seattle Tracts'!$C$2:$Y$374,AU$1,FALSE)*$Z26</f>
        <v>18.022736102716603</v>
      </c>
      <c r="AV26" s="3">
        <f>VLOOKUP($AB26,'2000 Seattle Tracts'!$C$2:$Y$374,AV$1,FALSE)*$Z26</f>
        <v>18.022736102716603</v>
      </c>
      <c r="AW26" s="3">
        <f>VLOOKUP($AB26,'2000 Seattle Tracts'!$C$2:$Y$374,AW$1,FALSE)*$Z26</f>
        <v>68.486397190323089</v>
      </c>
      <c r="AX26" s="3">
        <f>VLOOKUP($AB26,'2000 Seattle Tracts'!$C$2:$Y$374,AX$1,FALSE)*$Z26</f>
        <v>18.823746596170675</v>
      </c>
      <c r="AZ26" s="2" t="s">
        <v>115</v>
      </c>
      <c r="BA26">
        <v>186.31298315199621</v>
      </c>
      <c r="BB26">
        <v>160.74870958687546</v>
      </c>
      <c r="BC26">
        <v>25.564273565120764</v>
      </c>
      <c r="BD26">
        <v>141.79657047853883</v>
      </c>
      <c r="BE26">
        <v>11.718355682286054</v>
      </c>
      <c r="BF26">
        <v>2.1980421000110923</v>
      </c>
      <c r="BG26">
        <v>0.74471343728408801</v>
      </c>
      <c r="BH26">
        <v>3.7737160121740296</v>
      </c>
      <c r="BI26">
        <v>0.80407486019201413</v>
      </c>
      <c r="BJ26">
        <v>0.74034999351201902</v>
      </c>
      <c r="BK26">
        <v>0.10767646020091433</v>
      </c>
      <c r="BL26">
        <v>6.1368153021611977</v>
      </c>
      <c r="BM26">
        <v>10.193437863572752</v>
      </c>
      <c r="BN26">
        <v>2.0521505527142304E-2</v>
      </c>
      <c r="BO26">
        <v>8.1877504571495507E-2</v>
      </c>
      <c r="BP26">
        <v>0.56062334681930026</v>
      </c>
      <c r="BQ26">
        <v>0.61593204050538619</v>
      </c>
      <c r="BR26">
        <v>5.522070848131869</v>
      </c>
      <c r="BS26">
        <v>1.2982057165080503</v>
      </c>
    </row>
    <row r="27" spans="1:71" x14ac:dyDescent="0.25">
      <c r="A27" t="s">
        <v>2917</v>
      </c>
      <c r="B27" t="s">
        <v>2918</v>
      </c>
      <c r="C27" t="s">
        <v>3137</v>
      </c>
      <c r="D27" t="s">
        <v>2761</v>
      </c>
      <c r="E27" t="s">
        <v>2762</v>
      </c>
      <c r="F27" t="s">
        <v>2763</v>
      </c>
      <c r="G27" t="s">
        <v>2920</v>
      </c>
      <c r="H27" t="s">
        <v>2921</v>
      </c>
      <c r="I27">
        <v>2767963</v>
      </c>
      <c r="J27">
        <v>1488647</v>
      </c>
      <c r="K27" t="s">
        <v>3360</v>
      </c>
      <c r="L27" t="s">
        <v>3361</v>
      </c>
      <c r="M27">
        <v>104</v>
      </c>
      <c r="N27">
        <v>18770.280999999999</v>
      </c>
      <c r="O27" t="s">
        <v>207</v>
      </c>
      <c r="P27">
        <v>3</v>
      </c>
      <c r="Q27">
        <v>3</v>
      </c>
      <c r="R27">
        <v>24</v>
      </c>
      <c r="S27">
        <v>17034848</v>
      </c>
      <c r="T27">
        <v>106</v>
      </c>
      <c r="U27">
        <v>108</v>
      </c>
      <c r="V27">
        <v>18770.28203242151</v>
      </c>
      <c r="W27">
        <v>17034848.779124379</v>
      </c>
      <c r="X27">
        <v>307.95999999999998</v>
      </c>
      <c r="Y27">
        <f>VLOOKUP(AB27,'2000 Seattle Tracts'!$C$2:$Z$374,24,FALSE)</f>
        <v>2769392.3089999999</v>
      </c>
      <c r="Z27">
        <f t="shared" si="0"/>
        <v>1.1120129098329204E-4</v>
      </c>
      <c r="AA27" t="s">
        <v>209</v>
      </c>
      <c r="AB27" t="str">
        <f t="shared" si="1"/>
        <v>Census Tract 22, King County, Washington</v>
      </c>
      <c r="AC27" s="3">
        <f>VLOOKUP($AB27,'2000 Seattle Tracts'!$C$2:$Y$374,AC$1,FALSE)*$Z27</f>
        <v>0.60004216614584382</v>
      </c>
      <c r="AD27" s="3">
        <f>VLOOKUP($AB27,'2000 Seattle Tracts'!$C$2:$Y$374,AD$1,FALSE)*$Z27</f>
        <v>0.50040580942481416</v>
      </c>
      <c r="AE27" s="3">
        <f>VLOOKUP($AB27,'2000 Seattle Tracts'!$C$2:$Y$374,AE$1,FALSE)*$Z27</f>
        <v>9.9636356721029662E-2</v>
      </c>
      <c r="AF27" s="3">
        <f>VLOOKUP($AB27,'2000 Seattle Tracts'!$C$2:$Y$374,AF$1,FALSE)*$Z27</f>
        <v>0.60004216614584382</v>
      </c>
      <c r="AG27" s="3">
        <f>VLOOKUP($AB27,'2000 Seattle Tracts'!$C$2:$Y$374,AG$1,FALSE)*$Z27</f>
        <v>0.50040580942481416</v>
      </c>
      <c r="AH27" s="3">
        <f>VLOOKUP($AB27,'2000 Seattle Tracts'!$C$2:$Y$374,AH$1,FALSE)*$Z27</f>
        <v>9.9636356721029662E-2</v>
      </c>
      <c r="AI27" s="3">
        <f>VLOOKUP($AB27,'2000 Seattle Tracts'!$C$2:$Y$374,AI$1,FALSE)*$Z27</f>
        <v>0.44736279362578385</v>
      </c>
      <c r="AJ27" s="3">
        <f>VLOOKUP($AB27,'2000 Seattle Tracts'!$C$2:$Y$374,AJ$1,FALSE)*$Z27</f>
        <v>3.8364445389235752E-2</v>
      </c>
      <c r="AK27" s="3">
        <f>VLOOKUP($AB27,'2000 Seattle Tracts'!$C$2:$Y$374,AK$1,FALSE)*$Z27</f>
        <v>8.8961032786633622E-3</v>
      </c>
      <c r="AL27" s="3">
        <f>VLOOKUP($AB27,'2000 Seattle Tracts'!$C$2:$Y$374,AL$1,FALSE)*$Z27</f>
        <v>4.0032464753985133E-3</v>
      </c>
      <c r="AM27" s="3">
        <f>VLOOKUP($AB27,'2000 Seattle Tracts'!$C$2:$Y$374,AM$1,FALSE)*$Z27</f>
        <v>6.6720774589975218E-4</v>
      </c>
      <c r="AN27" s="3">
        <f>VLOOKUP($AB27,'2000 Seattle Tracts'!$C$2:$Y$374,AN$1,FALSE)*$Z27</f>
        <v>7.7840903688304423E-4</v>
      </c>
      <c r="AO27" s="3">
        <f>VLOOKUP($AB27,'2000 Seattle Tracts'!$C$2:$Y$374,AO$1,FALSE)*$Z27</f>
        <v>7.7840903688304423E-4</v>
      </c>
      <c r="AP27" s="3">
        <f>VLOOKUP($AB27,'2000 Seattle Tracts'!$C$2:$Y$374,AP$1,FALSE)*$Z27</f>
        <v>1.1120129098329203E-3</v>
      </c>
      <c r="AQ27" s="3">
        <f>VLOOKUP($AB27,'2000 Seattle Tracts'!$C$2:$Y$374,AQ$1,FALSE)*$Z27</f>
        <v>1.8681816885193062E-2</v>
      </c>
      <c r="AR27" s="3">
        <f>VLOOKUP($AB27,'2000 Seattle Tracts'!$C$2:$Y$374,AR$1,FALSE)*$Z27</f>
        <v>4.5147724139216569E-2</v>
      </c>
      <c r="AS27" s="3">
        <f>VLOOKUP($AB27,'2000 Seattle Tracts'!$C$2:$Y$374,AS$1,FALSE)*$Z27</f>
        <v>0</v>
      </c>
      <c r="AT27" s="3">
        <f>VLOOKUP($AB27,'2000 Seattle Tracts'!$C$2:$Y$374,AT$1,FALSE)*$Z27</f>
        <v>0</v>
      </c>
      <c r="AU27" s="3">
        <f>VLOOKUP($AB27,'2000 Seattle Tracts'!$C$2:$Y$374,AU$1,FALSE)*$Z27</f>
        <v>5.0040580942481419E-3</v>
      </c>
      <c r="AV27" s="3">
        <f>VLOOKUP($AB27,'2000 Seattle Tracts'!$C$2:$Y$374,AV$1,FALSE)*$Z27</f>
        <v>5.0040580942481419E-3</v>
      </c>
      <c r="AW27" s="3">
        <f>VLOOKUP($AB27,'2000 Seattle Tracts'!$C$2:$Y$374,AW$1,FALSE)*$Z27</f>
        <v>1.9015420758142939E-2</v>
      </c>
      <c r="AX27" s="3">
        <f>VLOOKUP($AB27,'2000 Seattle Tracts'!$C$2:$Y$374,AX$1,FALSE)*$Z27</f>
        <v>5.2264606762147253E-3</v>
      </c>
      <c r="AZ27" s="2" t="s">
        <v>121</v>
      </c>
      <c r="BA27">
        <v>9593.2306078720976</v>
      </c>
      <c r="BB27">
        <v>8754.6243996015291</v>
      </c>
      <c r="BC27">
        <v>838.60620827056709</v>
      </c>
      <c r="BD27">
        <v>7944.8894293921039</v>
      </c>
      <c r="BE27">
        <v>518.33511759258158</v>
      </c>
      <c r="BF27">
        <v>120.35619674418201</v>
      </c>
      <c r="BG27">
        <v>44.689618857567019</v>
      </c>
      <c r="BH27">
        <v>88.462440960278514</v>
      </c>
      <c r="BI27">
        <v>28.849923225818621</v>
      </c>
      <c r="BJ27">
        <v>42.957606472570255</v>
      </c>
      <c r="BK27">
        <v>5.7282444349197492</v>
      </c>
      <c r="BL27">
        <v>158.20127796169692</v>
      </c>
      <c r="BM27">
        <v>186.10037154119928</v>
      </c>
      <c r="BN27">
        <v>3.5414701358971312</v>
      </c>
      <c r="BO27">
        <v>1.6366897197447683</v>
      </c>
      <c r="BP27">
        <v>58.081238867244792</v>
      </c>
      <c r="BQ27">
        <v>13.149654269348989</v>
      </c>
      <c r="BR27">
        <v>338.1347390675561</v>
      </c>
      <c r="BS27">
        <v>40.116588629387074</v>
      </c>
    </row>
    <row r="28" spans="1:71" x14ac:dyDescent="0.25">
      <c r="A28" t="s">
        <v>2917</v>
      </c>
      <c r="B28" t="s">
        <v>2918</v>
      </c>
      <c r="C28" t="s">
        <v>3299</v>
      </c>
      <c r="D28" t="s">
        <v>2764</v>
      </c>
      <c r="E28" t="s">
        <v>2765</v>
      </c>
      <c r="F28" t="s">
        <v>2766</v>
      </c>
      <c r="G28" t="s">
        <v>2920</v>
      </c>
      <c r="H28" t="s">
        <v>2921</v>
      </c>
      <c r="I28">
        <v>1365467</v>
      </c>
      <c r="J28">
        <v>0</v>
      </c>
      <c r="K28" t="s">
        <v>3300</v>
      </c>
      <c r="L28" t="s">
        <v>3301</v>
      </c>
      <c r="M28">
        <v>36</v>
      </c>
      <c r="N28">
        <v>30993.599999999999</v>
      </c>
      <c r="O28" t="s">
        <v>122</v>
      </c>
      <c r="P28">
        <v>4</v>
      </c>
      <c r="Q28">
        <v>5</v>
      </c>
      <c r="R28">
        <v>81</v>
      </c>
      <c r="S28">
        <v>37020968</v>
      </c>
      <c r="T28">
        <v>38</v>
      </c>
      <c r="U28">
        <v>125</v>
      </c>
      <c r="V28">
        <v>30993.600213945359</v>
      </c>
      <c r="W28">
        <v>37020968.872468568</v>
      </c>
      <c r="X28">
        <v>196.61699999999999</v>
      </c>
      <c r="Y28">
        <f>VLOOKUP(AB28,'2000 Seattle Tracts'!$C$2:$Z$374,24,FALSE)</f>
        <v>1365463.0220000001</v>
      </c>
      <c r="Z28">
        <f t="shared" si="0"/>
        <v>1.4399291436835408E-4</v>
      </c>
      <c r="AA28" t="s">
        <v>127</v>
      </c>
      <c r="AB28" t="str">
        <f t="shared" si="1"/>
        <v>Census Tract 21, King County, Washington</v>
      </c>
      <c r="AC28" s="3">
        <f>VLOOKUP($AB28,'2000 Seattle Tracts'!$C$2:$Y$374,AC$1,FALSE)*$Z28</f>
        <v>0.52370222955770374</v>
      </c>
      <c r="AD28" s="3">
        <f>VLOOKUP($AB28,'2000 Seattle Tracts'!$C$2:$Y$374,AD$1,FALSE)*$Z28</f>
        <v>0.44911389991489636</v>
      </c>
      <c r="AE28" s="3">
        <f>VLOOKUP($AB28,'2000 Seattle Tracts'!$C$2:$Y$374,AE$1,FALSE)*$Z28</f>
        <v>7.4588329642807413E-2</v>
      </c>
      <c r="AF28" s="3">
        <f>VLOOKUP($AB28,'2000 Seattle Tracts'!$C$2:$Y$374,AF$1,FALSE)*$Z28</f>
        <v>0.52370222955770374</v>
      </c>
      <c r="AG28" s="3">
        <f>VLOOKUP($AB28,'2000 Seattle Tracts'!$C$2:$Y$374,AG$1,FALSE)*$Z28</f>
        <v>0.44911389991489636</v>
      </c>
      <c r="AH28" s="3">
        <f>VLOOKUP($AB28,'2000 Seattle Tracts'!$C$2:$Y$374,AH$1,FALSE)*$Z28</f>
        <v>7.4588329642807413E-2</v>
      </c>
      <c r="AI28" s="3">
        <f>VLOOKUP($AB28,'2000 Seattle Tracts'!$C$2:$Y$374,AI$1,FALSE)*$Z28</f>
        <v>0.39857238697160408</v>
      </c>
      <c r="AJ28" s="3">
        <f>VLOOKUP($AB28,'2000 Seattle Tracts'!$C$2:$Y$374,AJ$1,FALSE)*$Z28</f>
        <v>2.6494696243777149E-2</v>
      </c>
      <c r="AK28" s="3">
        <f>VLOOKUP($AB28,'2000 Seattle Tracts'!$C$2:$Y$374,AK$1,FALSE)*$Z28</f>
        <v>8.4955819477328907E-3</v>
      </c>
      <c r="AL28" s="3">
        <f>VLOOKUP($AB28,'2000 Seattle Tracts'!$C$2:$Y$374,AL$1,FALSE)*$Z28</f>
        <v>1.871907886788603E-3</v>
      </c>
      <c r="AM28" s="3">
        <f>VLOOKUP($AB28,'2000 Seattle Tracts'!$C$2:$Y$374,AM$1,FALSE)*$Z28</f>
        <v>1.1519433149468326E-2</v>
      </c>
      <c r="AN28" s="3">
        <f>VLOOKUP($AB28,'2000 Seattle Tracts'!$C$2:$Y$374,AN$1,FALSE)*$Z28</f>
        <v>4.1757945166822682E-3</v>
      </c>
      <c r="AO28" s="3">
        <f>VLOOKUP($AB28,'2000 Seattle Tracts'!$C$2:$Y$374,AO$1,FALSE)*$Z28</f>
        <v>1.5839220580518949E-3</v>
      </c>
      <c r="AP28" s="3">
        <f>VLOOKUP($AB28,'2000 Seattle Tracts'!$C$2:$Y$374,AP$1,FALSE)*$Z28</f>
        <v>0</v>
      </c>
      <c r="AQ28" s="3">
        <f>VLOOKUP($AB28,'2000 Seattle Tracts'!$C$2:$Y$374,AQ$1,FALSE)*$Z28</f>
        <v>1.3247348121888575E-2</v>
      </c>
      <c r="AR28" s="3">
        <f>VLOOKUP($AB28,'2000 Seattle Tracts'!$C$2:$Y$374,AR$1,FALSE)*$Z28</f>
        <v>3.4990278191510044E-2</v>
      </c>
      <c r="AS28" s="3">
        <f>VLOOKUP($AB28,'2000 Seattle Tracts'!$C$2:$Y$374,AS$1,FALSE)*$Z28</f>
        <v>0</v>
      </c>
      <c r="AT28" s="3">
        <f>VLOOKUP($AB28,'2000 Seattle Tracts'!$C$2:$Y$374,AT$1,FALSE)*$Z28</f>
        <v>0</v>
      </c>
      <c r="AU28" s="3">
        <f>VLOOKUP($AB28,'2000 Seattle Tracts'!$C$2:$Y$374,AU$1,FALSE)*$Z28</f>
        <v>7.1996457184177035E-4</v>
      </c>
      <c r="AV28" s="3">
        <f>VLOOKUP($AB28,'2000 Seattle Tracts'!$C$2:$Y$374,AV$1,FALSE)*$Z28</f>
        <v>1.727914972420249E-3</v>
      </c>
      <c r="AW28" s="3">
        <f>VLOOKUP($AB28,'2000 Seattle Tracts'!$C$2:$Y$374,AW$1,FALSE)*$Z28</f>
        <v>1.4975263094308824E-2</v>
      </c>
      <c r="AX28" s="3">
        <f>VLOOKUP($AB28,'2000 Seattle Tracts'!$C$2:$Y$374,AX$1,FALSE)*$Z28</f>
        <v>5.3277378316291006E-3</v>
      </c>
      <c r="AZ28" s="2" t="s">
        <v>216</v>
      </c>
      <c r="BA28">
        <v>6435.0800714462948</v>
      </c>
      <c r="BB28">
        <v>4781.8868388723276</v>
      </c>
      <c r="BC28">
        <v>1653.193232573967</v>
      </c>
      <c r="BD28">
        <v>3867.0640505597421</v>
      </c>
      <c r="BE28">
        <v>386.21247808367355</v>
      </c>
      <c r="BF28">
        <v>78.058554050372194</v>
      </c>
      <c r="BG28">
        <v>78.215481247210363</v>
      </c>
      <c r="BH28">
        <v>222.01020021235291</v>
      </c>
      <c r="BI28">
        <v>108.37584041449375</v>
      </c>
      <c r="BJ28">
        <v>41.094491572351714</v>
      </c>
      <c r="BK28">
        <v>6.1020004608728264</v>
      </c>
      <c r="BL28">
        <v>266.99973054102759</v>
      </c>
      <c r="BM28">
        <v>826.86336262853115</v>
      </c>
      <c r="BN28">
        <v>1.5274511675704934</v>
      </c>
      <c r="BO28">
        <v>2.8069775407166588</v>
      </c>
      <c r="BP28">
        <v>60.283163133714623</v>
      </c>
      <c r="BQ28">
        <v>57.025186409803304</v>
      </c>
      <c r="BR28">
        <v>244.84919763519599</v>
      </c>
      <c r="BS28">
        <v>187.59190578866531</v>
      </c>
    </row>
    <row r="29" spans="1:71" x14ac:dyDescent="0.25">
      <c r="A29" t="s">
        <v>2917</v>
      </c>
      <c r="B29" t="s">
        <v>2918</v>
      </c>
      <c r="C29" t="s">
        <v>3299</v>
      </c>
      <c r="D29" t="s">
        <v>2764</v>
      </c>
      <c r="E29" t="s">
        <v>2765</v>
      </c>
      <c r="F29" t="s">
        <v>2766</v>
      </c>
      <c r="G29" t="s">
        <v>2920</v>
      </c>
      <c r="H29" t="s">
        <v>2921</v>
      </c>
      <c r="I29">
        <v>1365467</v>
      </c>
      <c r="J29">
        <v>0</v>
      </c>
      <c r="K29" t="s">
        <v>3300</v>
      </c>
      <c r="L29" t="s">
        <v>3301</v>
      </c>
      <c r="M29">
        <v>41</v>
      </c>
      <c r="N29">
        <v>22865.453000000001</v>
      </c>
      <c r="O29" t="s">
        <v>122</v>
      </c>
      <c r="P29">
        <v>4</v>
      </c>
      <c r="Q29">
        <v>5</v>
      </c>
      <c r="R29">
        <v>95</v>
      </c>
      <c r="S29">
        <v>21491312</v>
      </c>
      <c r="T29">
        <v>43</v>
      </c>
      <c r="U29">
        <v>124</v>
      </c>
      <c r="V29">
        <v>22865.452635921651</v>
      </c>
      <c r="W29">
        <v>21491312.22830575</v>
      </c>
      <c r="X29">
        <v>9.92</v>
      </c>
      <c r="Y29">
        <f>VLOOKUP(AB29,'2000 Seattle Tracts'!$C$2:$Z$374,24,FALSE)</f>
        <v>1365463.0220000001</v>
      </c>
      <c r="Z29">
        <f t="shared" si="0"/>
        <v>7.2649349269598886E-6</v>
      </c>
      <c r="AA29" t="s">
        <v>132</v>
      </c>
      <c r="AB29" t="str">
        <f t="shared" si="1"/>
        <v>Census Tract 21, King County, Washington</v>
      </c>
      <c r="AC29" s="3">
        <f>VLOOKUP($AB29,'2000 Seattle Tracts'!$C$2:$Y$374,AC$1,FALSE)*$Z29</f>
        <v>2.6422568329353115E-2</v>
      </c>
      <c r="AD29" s="3">
        <f>VLOOKUP($AB29,'2000 Seattle Tracts'!$C$2:$Y$374,AD$1,FALSE)*$Z29</f>
        <v>2.2659332037187892E-2</v>
      </c>
      <c r="AE29" s="3">
        <f>VLOOKUP($AB29,'2000 Seattle Tracts'!$C$2:$Y$374,AE$1,FALSE)*$Z29</f>
        <v>3.7632362921652222E-3</v>
      </c>
      <c r="AF29" s="3">
        <f>VLOOKUP($AB29,'2000 Seattle Tracts'!$C$2:$Y$374,AF$1,FALSE)*$Z29</f>
        <v>2.6422568329353115E-2</v>
      </c>
      <c r="AG29" s="3">
        <f>VLOOKUP($AB29,'2000 Seattle Tracts'!$C$2:$Y$374,AG$1,FALSE)*$Z29</f>
        <v>2.2659332037187892E-2</v>
      </c>
      <c r="AH29" s="3">
        <f>VLOOKUP($AB29,'2000 Seattle Tracts'!$C$2:$Y$374,AH$1,FALSE)*$Z29</f>
        <v>3.7632362921652222E-3</v>
      </c>
      <c r="AI29" s="3">
        <f>VLOOKUP($AB29,'2000 Seattle Tracts'!$C$2:$Y$374,AI$1,FALSE)*$Z29</f>
        <v>2.0109339877824973E-2</v>
      </c>
      <c r="AJ29" s="3">
        <f>VLOOKUP($AB29,'2000 Seattle Tracts'!$C$2:$Y$374,AJ$1,FALSE)*$Z29</f>
        <v>1.3367480265606196E-3</v>
      </c>
      <c r="AK29" s="3">
        <f>VLOOKUP($AB29,'2000 Seattle Tracts'!$C$2:$Y$374,AK$1,FALSE)*$Z29</f>
        <v>4.2863116069063344E-4</v>
      </c>
      <c r="AL29" s="3">
        <f>VLOOKUP($AB29,'2000 Seattle Tracts'!$C$2:$Y$374,AL$1,FALSE)*$Z29</f>
        <v>9.4444154050478556E-5</v>
      </c>
      <c r="AM29" s="3">
        <f>VLOOKUP($AB29,'2000 Seattle Tracts'!$C$2:$Y$374,AM$1,FALSE)*$Z29</f>
        <v>5.8119479415679105E-4</v>
      </c>
      <c r="AN29" s="3">
        <f>VLOOKUP($AB29,'2000 Seattle Tracts'!$C$2:$Y$374,AN$1,FALSE)*$Z29</f>
        <v>2.1068311288183677E-4</v>
      </c>
      <c r="AO29" s="3">
        <f>VLOOKUP($AB29,'2000 Seattle Tracts'!$C$2:$Y$374,AO$1,FALSE)*$Z29</f>
        <v>7.9914284196558777E-5</v>
      </c>
      <c r="AP29" s="3">
        <f>VLOOKUP($AB29,'2000 Seattle Tracts'!$C$2:$Y$374,AP$1,FALSE)*$Z29</f>
        <v>0</v>
      </c>
      <c r="AQ29" s="3">
        <f>VLOOKUP($AB29,'2000 Seattle Tracts'!$C$2:$Y$374,AQ$1,FALSE)*$Z29</f>
        <v>6.683740132803098E-4</v>
      </c>
      <c r="AR29" s="3">
        <f>VLOOKUP($AB29,'2000 Seattle Tracts'!$C$2:$Y$374,AR$1,FALSE)*$Z29</f>
        <v>1.765379187251253E-3</v>
      </c>
      <c r="AS29" s="3">
        <f>VLOOKUP($AB29,'2000 Seattle Tracts'!$C$2:$Y$374,AS$1,FALSE)*$Z29</f>
        <v>0</v>
      </c>
      <c r="AT29" s="3">
        <f>VLOOKUP($AB29,'2000 Seattle Tracts'!$C$2:$Y$374,AT$1,FALSE)*$Z29</f>
        <v>0</v>
      </c>
      <c r="AU29" s="3">
        <f>VLOOKUP($AB29,'2000 Seattle Tracts'!$C$2:$Y$374,AU$1,FALSE)*$Z29</f>
        <v>3.632467463479944E-5</v>
      </c>
      <c r="AV29" s="3">
        <f>VLOOKUP($AB29,'2000 Seattle Tracts'!$C$2:$Y$374,AV$1,FALSE)*$Z29</f>
        <v>8.717921912351866E-5</v>
      </c>
      <c r="AW29" s="3">
        <f>VLOOKUP($AB29,'2000 Seattle Tracts'!$C$2:$Y$374,AW$1,FALSE)*$Z29</f>
        <v>7.5555323240382845E-4</v>
      </c>
      <c r="AX29" s="3">
        <f>VLOOKUP($AB29,'2000 Seattle Tracts'!$C$2:$Y$374,AX$1,FALSE)*$Z29</f>
        <v>2.6880259229751589E-4</v>
      </c>
      <c r="AZ29" s="2" t="s">
        <v>186</v>
      </c>
      <c r="BA29">
        <v>7147.9461774291121</v>
      </c>
      <c r="BB29">
        <v>5061.2926861540645</v>
      </c>
      <c r="BC29">
        <v>2086.6534912750476</v>
      </c>
      <c r="BD29">
        <v>1518.936087699768</v>
      </c>
      <c r="BE29">
        <v>107.4166718572872</v>
      </c>
      <c r="BF29">
        <v>25.826729325935375</v>
      </c>
      <c r="BG29">
        <v>57.251644970534656</v>
      </c>
      <c r="BH29">
        <v>2056.2641466645177</v>
      </c>
      <c r="BI29">
        <v>136.82339872405254</v>
      </c>
      <c r="BJ29">
        <v>48.067241137674884</v>
      </c>
      <c r="BK29">
        <v>0</v>
      </c>
      <c r="BL29">
        <v>819.08967370418441</v>
      </c>
      <c r="BM29">
        <v>1494.7451318881153</v>
      </c>
      <c r="BN29">
        <v>36.397752243152638</v>
      </c>
      <c r="BO29">
        <v>45.632025610388922</v>
      </c>
      <c r="BP29">
        <v>73.04426954765583</v>
      </c>
      <c r="BQ29">
        <v>97.772830473537482</v>
      </c>
      <c r="BR29">
        <v>483.66678583117618</v>
      </c>
      <c r="BS29">
        <v>147.01178775113135</v>
      </c>
    </row>
    <row r="30" spans="1:71" x14ac:dyDescent="0.25">
      <c r="A30" t="s">
        <v>2917</v>
      </c>
      <c r="B30" t="s">
        <v>2918</v>
      </c>
      <c r="C30" t="s">
        <v>3299</v>
      </c>
      <c r="D30" t="s">
        <v>2764</v>
      </c>
      <c r="E30" t="s">
        <v>2765</v>
      </c>
      <c r="F30" t="s">
        <v>2766</v>
      </c>
      <c r="G30" t="s">
        <v>2920</v>
      </c>
      <c r="H30" t="s">
        <v>2921</v>
      </c>
      <c r="I30">
        <v>1365467</v>
      </c>
      <c r="J30">
        <v>0</v>
      </c>
      <c r="K30" t="s">
        <v>3300</v>
      </c>
      <c r="L30" t="s">
        <v>3301</v>
      </c>
      <c r="M30">
        <v>96</v>
      </c>
      <c r="N30">
        <v>23840.219000000001</v>
      </c>
      <c r="O30" t="s">
        <v>122</v>
      </c>
      <c r="P30">
        <v>4</v>
      </c>
      <c r="Q30">
        <v>5</v>
      </c>
      <c r="R30">
        <v>23</v>
      </c>
      <c r="S30">
        <v>30599714</v>
      </c>
      <c r="T30">
        <v>98</v>
      </c>
      <c r="U30">
        <v>117</v>
      </c>
      <c r="V30">
        <v>23840.218727432399</v>
      </c>
      <c r="W30">
        <v>30599713.626058389</v>
      </c>
      <c r="X30">
        <v>956641.21100000001</v>
      </c>
      <c r="Y30">
        <f>VLOOKUP(AB30,'2000 Seattle Tracts'!$C$2:$Z$374,24,FALSE)</f>
        <v>1365463.0220000001</v>
      </c>
      <c r="Z30">
        <f t="shared" si="0"/>
        <v>0.70059840185111943</v>
      </c>
      <c r="AA30" t="s">
        <v>199</v>
      </c>
      <c r="AB30" t="str">
        <f t="shared" si="1"/>
        <v>Census Tract 21, King County, Washington</v>
      </c>
      <c r="AC30" s="3">
        <f>VLOOKUP($AB30,'2000 Seattle Tracts'!$C$2:$Y$374,AC$1,FALSE)*$Z30</f>
        <v>2548.0763875325215</v>
      </c>
      <c r="AD30" s="3">
        <f>VLOOKUP($AB30,'2000 Seattle Tracts'!$C$2:$Y$374,AD$1,FALSE)*$Z30</f>
        <v>2185.1664153736415</v>
      </c>
      <c r="AE30" s="3">
        <f>VLOOKUP($AB30,'2000 Seattle Tracts'!$C$2:$Y$374,AE$1,FALSE)*$Z30</f>
        <v>362.90997215887984</v>
      </c>
      <c r="AF30" s="3">
        <f>VLOOKUP($AB30,'2000 Seattle Tracts'!$C$2:$Y$374,AF$1,FALSE)*$Z30</f>
        <v>2548.0763875325215</v>
      </c>
      <c r="AG30" s="3">
        <f>VLOOKUP($AB30,'2000 Seattle Tracts'!$C$2:$Y$374,AG$1,FALSE)*$Z30</f>
        <v>2185.1664153736415</v>
      </c>
      <c r="AH30" s="3">
        <f>VLOOKUP($AB30,'2000 Seattle Tracts'!$C$2:$Y$374,AH$1,FALSE)*$Z30</f>
        <v>362.90997215887984</v>
      </c>
      <c r="AI30" s="3">
        <f>VLOOKUP($AB30,'2000 Seattle Tracts'!$C$2:$Y$374,AI$1,FALSE)*$Z30</f>
        <v>1939.2563763238986</v>
      </c>
      <c r="AJ30" s="3">
        <f>VLOOKUP($AB30,'2000 Seattle Tracts'!$C$2:$Y$374,AJ$1,FALSE)*$Z30</f>
        <v>128.91010594060597</v>
      </c>
      <c r="AK30" s="3">
        <f>VLOOKUP($AB30,'2000 Seattle Tracts'!$C$2:$Y$374,AK$1,FALSE)*$Z30</f>
        <v>41.335305709216044</v>
      </c>
      <c r="AL30" s="3">
        <f>VLOOKUP($AB30,'2000 Seattle Tracts'!$C$2:$Y$374,AL$1,FALSE)*$Z30</f>
        <v>9.1077792240645525</v>
      </c>
      <c r="AM30" s="3">
        <f>VLOOKUP($AB30,'2000 Seattle Tracts'!$C$2:$Y$374,AM$1,FALSE)*$Z30</f>
        <v>56.047872148089553</v>
      </c>
      <c r="AN30" s="3">
        <f>VLOOKUP($AB30,'2000 Seattle Tracts'!$C$2:$Y$374,AN$1,FALSE)*$Z30</f>
        <v>20.317353653682463</v>
      </c>
      <c r="AO30" s="3">
        <f>VLOOKUP($AB30,'2000 Seattle Tracts'!$C$2:$Y$374,AO$1,FALSE)*$Z30</f>
        <v>7.7065824203623139</v>
      </c>
      <c r="AP30" s="3">
        <f>VLOOKUP($AB30,'2000 Seattle Tracts'!$C$2:$Y$374,AP$1,FALSE)*$Z30</f>
        <v>0</v>
      </c>
      <c r="AQ30" s="3">
        <f>VLOOKUP($AB30,'2000 Seattle Tracts'!$C$2:$Y$374,AQ$1,FALSE)*$Z30</f>
        <v>64.455052970302987</v>
      </c>
      <c r="AR30" s="3">
        <f>VLOOKUP($AB30,'2000 Seattle Tracts'!$C$2:$Y$374,AR$1,FALSE)*$Z30</f>
        <v>170.24541164982202</v>
      </c>
      <c r="AS30" s="3">
        <f>VLOOKUP($AB30,'2000 Seattle Tracts'!$C$2:$Y$374,AS$1,FALSE)*$Z30</f>
        <v>0</v>
      </c>
      <c r="AT30" s="3">
        <f>VLOOKUP($AB30,'2000 Seattle Tracts'!$C$2:$Y$374,AT$1,FALSE)*$Z30</f>
        <v>0</v>
      </c>
      <c r="AU30" s="3">
        <f>VLOOKUP($AB30,'2000 Seattle Tracts'!$C$2:$Y$374,AU$1,FALSE)*$Z30</f>
        <v>3.5029920092555971</v>
      </c>
      <c r="AV30" s="3">
        <f>VLOOKUP($AB30,'2000 Seattle Tracts'!$C$2:$Y$374,AV$1,FALSE)*$Z30</f>
        <v>8.4071808222134337</v>
      </c>
      <c r="AW30" s="3">
        <f>VLOOKUP($AB30,'2000 Seattle Tracts'!$C$2:$Y$374,AW$1,FALSE)*$Z30</f>
        <v>72.86223379251642</v>
      </c>
      <c r="AX30" s="3">
        <f>VLOOKUP($AB30,'2000 Seattle Tracts'!$C$2:$Y$374,AX$1,FALSE)*$Z30</f>
        <v>25.922140868491418</v>
      </c>
      <c r="AZ30" s="2" t="s">
        <v>187</v>
      </c>
      <c r="BA30">
        <v>3674.8476798153997</v>
      </c>
      <c r="BB30">
        <v>2844.0170145980933</v>
      </c>
      <c r="BC30">
        <v>830.83066521730655</v>
      </c>
      <c r="BD30">
        <v>983.75687783914555</v>
      </c>
      <c r="BE30">
        <v>71.33135420951551</v>
      </c>
      <c r="BF30">
        <v>6.6712777318251915</v>
      </c>
      <c r="BG30">
        <v>9.7503289926675869</v>
      </c>
      <c r="BH30">
        <v>1044.3115526357126</v>
      </c>
      <c r="BI30">
        <v>72.357704629796302</v>
      </c>
      <c r="BJ30">
        <v>13.342555463650383</v>
      </c>
      <c r="BK30">
        <v>0</v>
      </c>
      <c r="BL30">
        <v>466.98944122776339</v>
      </c>
      <c r="BM30">
        <v>647.62711519718403</v>
      </c>
      <c r="BN30">
        <v>11.289854623088786</v>
      </c>
      <c r="BO30">
        <v>11.289854623088786</v>
      </c>
      <c r="BP30">
        <v>24.632410086739171</v>
      </c>
      <c r="BQ30">
        <v>0</v>
      </c>
      <c r="BR30">
        <v>293.02304499016805</v>
      </c>
      <c r="BS30">
        <v>18.474307565054378</v>
      </c>
    </row>
    <row r="31" spans="1:71" x14ac:dyDescent="0.25">
      <c r="A31" t="s">
        <v>2917</v>
      </c>
      <c r="B31" t="s">
        <v>2918</v>
      </c>
      <c r="C31" t="s">
        <v>3299</v>
      </c>
      <c r="D31" t="s">
        <v>2764</v>
      </c>
      <c r="E31" t="s">
        <v>2765</v>
      </c>
      <c r="F31" t="s">
        <v>2766</v>
      </c>
      <c r="G31" t="s">
        <v>2920</v>
      </c>
      <c r="H31" t="s">
        <v>2921</v>
      </c>
      <c r="I31">
        <v>1365467</v>
      </c>
      <c r="J31">
        <v>0</v>
      </c>
      <c r="K31" t="s">
        <v>3300</v>
      </c>
      <c r="L31" t="s">
        <v>3301</v>
      </c>
      <c r="M31">
        <v>104</v>
      </c>
      <c r="N31">
        <v>18770.280999999999</v>
      </c>
      <c r="O31" t="s">
        <v>207</v>
      </c>
      <c r="P31">
        <v>3</v>
      </c>
      <c r="Q31">
        <v>3</v>
      </c>
      <c r="R31">
        <v>24</v>
      </c>
      <c r="S31">
        <v>17034848</v>
      </c>
      <c r="T31">
        <v>106</v>
      </c>
      <c r="U31">
        <v>108</v>
      </c>
      <c r="V31">
        <v>18770.28203242151</v>
      </c>
      <c r="W31">
        <v>17034848.779124379</v>
      </c>
      <c r="X31">
        <v>408454.54</v>
      </c>
      <c r="Y31">
        <f>VLOOKUP(AB31,'2000 Seattle Tracts'!$C$2:$Z$374,24,FALSE)</f>
        <v>1365463.0220000001</v>
      </c>
      <c r="Z31">
        <f t="shared" si="0"/>
        <v>0.2991326263831991</v>
      </c>
      <c r="AA31" t="s">
        <v>209</v>
      </c>
      <c r="AB31" t="str">
        <f t="shared" si="1"/>
        <v>Census Tract 21, King County, Washington</v>
      </c>
      <c r="AC31" s="3">
        <f>VLOOKUP($AB31,'2000 Seattle Tracts'!$C$2:$Y$374,AC$1,FALSE)*$Z31</f>
        <v>1087.9453621556952</v>
      </c>
      <c r="AD31" s="3">
        <f>VLOOKUP($AB31,'2000 Seattle Tracts'!$C$2:$Y$374,AD$1,FALSE)*$Z31</f>
        <v>932.99466168919798</v>
      </c>
      <c r="AE31" s="3">
        <f>VLOOKUP($AB31,'2000 Seattle Tracts'!$C$2:$Y$374,AE$1,FALSE)*$Z31</f>
        <v>154.95070046649712</v>
      </c>
      <c r="AF31" s="3">
        <f>VLOOKUP($AB31,'2000 Seattle Tracts'!$C$2:$Y$374,AF$1,FALSE)*$Z31</f>
        <v>1087.9453621556952</v>
      </c>
      <c r="AG31" s="3">
        <f>VLOOKUP($AB31,'2000 Seattle Tracts'!$C$2:$Y$374,AG$1,FALSE)*$Z31</f>
        <v>932.99466168919798</v>
      </c>
      <c r="AH31" s="3">
        <f>VLOOKUP($AB31,'2000 Seattle Tracts'!$C$2:$Y$374,AH$1,FALSE)*$Z31</f>
        <v>154.95070046649712</v>
      </c>
      <c r="AI31" s="3">
        <f>VLOOKUP($AB31,'2000 Seattle Tracts'!$C$2:$Y$374,AI$1,FALSE)*$Z31</f>
        <v>827.99910982869505</v>
      </c>
      <c r="AJ31" s="3">
        <f>VLOOKUP($AB31,'2000 Seattle Tracts'!$C$2:$Y$374,AJ$1,FALSE)*$Z31</f>
        <v>55.040403254508632</v>
      </c>
      <c r="AK31" s="3">
        <f>VLOOKUP($AB31,'2000 Seattle Tracts'!$C$2:$Y$374,AK$1,FALSE)*$Z31</f>
        <v>17.648824956608745</v>
      </c>
      <c r="AL31" s="3">
        <f>VLOOKUP($AB31,'2000 Seattle Tracts'!$C$2:$Y$374,AL$1,FALSE)*$Z31</f>
        <v>3.8887241429815882</v>
      </c>
      <c r="AM31" s="3">
        <f>VLOOKUP($AB31,'2000 Seattle Tracts'!$C$2:$Y$374,AM$1,FALSE)*$Z31</f>
        <v>23.930610110655927</v>
      </c>
      <c r="AN31" s="3">
        <f>VLOOKUP($AB31,'2000 Seattle Tracts'!$C$2:$Y$374,AN$1,FALSE)*$Z31</f>
        <v>8.6748461651127737</v>
      </c>
      <c r="AO31" s="3">
        <f>VLOOKUP($AB31,'2000 Seattle Tracts'!$C$2:$Y$374,AO$1,FALSE)*$Z31</f>
        <v>3.2904588902151901</v>
      </c>
      <c r="AP31" s="3">
        <f>VLOOKUP($AB31,'2000 Seattle Tracts'!$C$2:$Y$374,AP$1,FALSE)*$Z31</f>
        <v>0</v>
      </c>
      <c r="AQ31" s="3">
        <f>VLOOKUP($AB31,'2000 Seattle Tracts'!$C$2:$Y$374,AQ$1,FALSE)*$Z31</f>
        <v>27.520201627254316</v>
      </c>
      <c r="AR31" s="3">
        <f>VLOOKUP($AB31,'2000 Seattle Tracts'!$C$2:$Y$374,AR$1,FALSE)*$Z31</f>
        <v>72.689228211117381</v>
      </c>
      <c r="AS31" s="3">
        <f>VLOOKUP($AB31,'2000 Seattle Tracts'!$C$2:$Y$374,AS$1,FALSE)*$Z31</f>
        <v>0</v>
      </c>
      <c r="AT31" s="3">
        <f>VLOOKUP($AB31,'2000 Seattle Tracts'!$C$2:$Y$374,AT$1,FALSE)*$Z31</f>
        <v>0</v>
      </c>
      <c r="AU31" s="3">
        <f>VLOOKUP($AB31,'2000 Seattle Tracts'!$C$2:$Y$374,AU$1,FALSE)*$Z31</f>
        <v>1.4956631319159954</v>
      </c>
      <c r="AV31" s="3">
        <f>VLOOKUP($AB31,'2000 Seattle Tracts'!$C$2:$Y$374,AV$1,FALSE)*$Z31</f>
        <v>3.5895915165983894</v>
      </c>
      <c r="AW31" s="3">
        <f>VLOOKUP($AB31,'2000 Seattle Tracts'!$C$2:$Y$374,AW$1,FALSE)*$Z31</f>
        <v>31.109793143852706</v>
      </c>
      <c r="AX31" s="3">
        <f>VLOOKUP($AB31,'2000 Seattle Tracts'!$C$2:$Y$374,AX$1,FALSE)*$Z31</f>
        <v>11.067907176178366</v>
      </c>
      <c r="AZ31" s="2" t="s">
        <v>127</v>
      </c>
      <c r="BA31">
        <v>12474.548211182175</v>
      </c>
      <c r="BB31">
        <v>10588.83334246053</v>
      </c>
      <c r="BC31">
        <v>1885.7148687216427</v>
      </c>
      <c r="BD31">
        <v>9234.0274288007404</v>
      </c>
      <c r="BE31">
        <v>915.36208361594777</v>
      </c>
      <c r="BF31">
        <v>142.58591145027984</v>
      </c>
      <c r="BG31">
        <v>70.50337446812496</v>
      </c>
      <c r="BH31">
        <v>208.90979817882197</v>
      </c>
      <c r="BI31">
        <v>23.007171086515267</v>
      </c>
      <c r="BJ31">
        <v>35.214471548730835</v>
      </c>
      <c r="BK31">
        <v>1.4097728385005692E-3</v>
      </c>
      <c r="BL31">
        <v>421.4737881870625</v>
      </c>
      <c r="BM31">
        <v>694.30181623123144</v>
      </c>
      <c r="BN31">
        <v>34.764345440600465</v>
      </c>
      <c r="BO31">
        <v>12.593001051125047</v>
      </c>
      <c r="BP31">
        <v>139.36342249164323</v>
      </c>
      <c r="BQ31">
        <v>64.623559331740552</v>
      </c>
      <c r="BR31">
        <v>372.49417636265156</v>
      </c>
      <c r="BS31">
        <v>105.32245316411945</v>
      </c>
    </row>
    <row r="32" spans="1:71" x14ac:dyDescent="0.25">
      <c r="A32" t="s">
        <v>2917</v>
      </c>
      <c r="B32" t="s">
        <v>2918</v>
      </c>
      <c r="C32" t="s">
        <v>3299</v>
      </c>
      <c r="D32" t="s">
        <v>2764</v>
      </c>
      <c r="E32" t="s">
        <v>2765</v>
      </c>
      <c r="F32" t="s">
        <v>2766</v>
      </c>
      <c r="G32" t="s">
        <v>2920</v>
      </c>
      <c r="H32" t="s">
        <v>2921</v>
      </c>
      <c r="I32">
        <v>1365467</v>
      </c>
      <c r="J32">
        <v>0</v>
      </c>
      <c r="K32" t="s">
        <v>3300</v>
      </c>
      <c r="L32" t="s">
        <v>3301</v>
      </c>
      <c r="M32">
        <v>116</v>
      </c>
      <c r="N32">
        <v>25503.057000000001</v>
      </c>
      <c r="O32" t="s">
        <v>215</v>
      </c>
      <c r="P32">
        <v>2</v>
      </c>
      <c r="Q32">
        <v>10</v>
      </c>
      <c r="R32">
        <v>94</v>
      </c>
      <c r="S32">
        <v>34380472</v>
      </c>
      <c r="T32">
        <v>118</v>
      </c>
      <c r="U32">
        <v>112</v>
      </c>
      <c r="V32">
        <v>25503.057408269069</v>
      </c>
      <c r="W32">
        <v>34380470.782561153</v>
      </c>
      <c r="X32">
        <v>160.73400000000001</v>
      </c>
      <c r="Y32">
        <f>VLOOKUP(AB32,'2000 Seattle Tracts'!$C$2:$Z$374,24,FALSE)</f>
        <v>1365463.0220000001</v>
      </c>
      <c r="Z32">
        <f t="shared" si="0"/>
        <v>1.1771391638608576E-4</v>
      </c>
      <c r="AA32" t="s">
        <v>219</v>
      </c>
      <c r="AB32" t="str">
        <f t="shared" si="1"/>
        <v>Census Tract 21, King County, Washington</v>
      </c>
      <c r="AC32" s="3">
        <f>VLOOKUP($AB32,'2000 Seattle Tracts'!$C$2:$Y$374,AC$1,FALSE)*$Z32</f>
        <v>0.42812551389619391</v>
      </c>
      <c r="AD32" s="3">
        <f>VLOOKUP($AB32,'2000 Seattle Tracts'!$C$2:$Y$374,AD$1,FALSE)*$Z32</f>
        <v>0.3671497052082015</v>
      </c>
      <c r="AE32" s="3">
        <f>VLOOKUP($AB32,'2000 Seattle Tracts'!$C$2:$Y$374,AE$1,FALSE)*$Z32</f>
        <v>6.0975808687992426E-2</v>
      </c>
      <c r="AF32" s="3">
        <f>VLOOKUP($AB32,'2000 Seattle Tracts'!$C$2:$Y$374,AF$1,FALSE)*$Z32</f>
        <v>0.42812551389619391</v>
      </c>
      <c r="AG32" s="3">
        <f>VLOOKUP($AB32,'2000 Seattle Tracts'!$C$2:$Y$374,AG$1,FALSE)*$Z32</f>
        <v>0.3671497052082015</v>
      </c>
      <c r="AH32" s="3">
        <f>VLOOKUP($AB32,'2000 Seattle Tracts'!$C$2:$Y$374,AH$1,FALSE)*$Z32</f>
        <v>6.0975808687992426E-2</v>
      </c>
      <c r="AI32" s="3">
        <f>VLOOKUP($AB32,'2000 Seattle Tracts'!$C$2:$Y$374,AI$1,FALSE)*$Z32</f>
        <v>0.32583212055668542</v>
      </c>
      <c r="AJ32" s="3">
        <f>VLOOKUP($AB32,'2000 Seattle Tracts'!$C$2:$Y$374,AJ$1,FALSE)*$Z32</f>
        <v>2.1659360615039782E-2</v>
      </c>
      <c r="AK32" s="3">
        <f>VLOOKUP($AB32,'2000 Seattle Tracts'!$C$2:$Y$374,AK$1,FALSE)*$Z32</f>
        <v>6.94512106677906E-3</v>
      </c>
      <c r="AL32" s="3">
        <f>VLOOKUP($AB32,'2000 Seattle Tracts'!$C$2:$Y$374,AL$1,FALSE)*$Z32</f>
        <v>1.5302809130191149E-3</v>
      </c>
      <c r="AM32" s="3">
        <f>VLOOKUP($AB32,'2000 Seattle Tracts'!$C$2:$Y$374,AM$1,FALSE)*$Z32</f>
        <v>9.4171133108868609E-3</v>
      </c>
      <c r="AN32" s="3">
        <f>VLOOKUP($AB32,'2000 Seattle Tracts'!$C$2:$Y$374,AN$1,FALSE)*$Z32</f>
        <v>3.4137035751964874E-3</v>
      </c>
      <c r="AO32" s="3">
        <f>VLOOKUP($AB32,'2000 Seattle Tracts'!$C$2:$Y$374,AO$1,FALSE)*$Z32</f>
        <v>1.2948530802469433E-3</v>
      </c>
      <c r="AP32" s="3">
        <f>VLOOKUP($AB32,'2000 Seattle Tracts'!$C$2:$Y$374,AP$1,FALSE)*$Z32</f>
        <v>0</v>
      </c>
      <c r="AQ32" s="3">
        <f>VLOOKUP($AB32,'2000 Seattle Tracts'!$C$2:$Y$374,AQ$1,FALSE)*$Z32</f>
        <v>1.0829680307519891E-2</v>
      </c>
      <c r="AR32" s="3">
        <f>VLOOKUP($AB32,'2000 Seattle Tracts'!$C$2:$Y$374,AR$1,FALSE)*$Z32</f>
        <v>2.8604481681818842E-2</v>
      </c>
      <c r="AS32" s="3">
        <f>VLOOKUP($AB32,'2000 Seattle Tracts'!$C$2:$Y$374,AS$1,FALSE)*$Z32</f>
        <v>0</v>
      </c>
      <c r="AT32" s="3">
        <f>VLOOKUP($AB32,'2000 Seattle Tracts'!$C$2:$Y$374,AT$1,FALSE)*$Z32</f>
        <v>0</v>
      </c>
      <c r="AU32" s="3">
        <f>VLOOKUP($AB32,'2000 Seattle Tracts'!$C$2:$Y$374,AU$1,FALSE)*$Z32</f>
        <v>5.8856958193042881E-4</v>
      </c>
      <c r="AV32" s="3">
        <f>VLOOKUP($AB32,'2000 Seattle Tracts'!$C$2:$Y$374,AV$1,FALSE)*$Z32</f>
        <v>1.4125669966330292E-3</v>
      </c>
      <c r="AW32" s="3">
        <f>VLOOKUP($AB32,'2000 Seattle Tracts'!$C$2:$Y$374,AW$1,FALSE)*$Z32</f>
        <v>1.2242247304152919E-2</v>
      </c>
      <c r="AX32" s="3">
        <f>VLOOKUP($AB32,'2000 Seattle Tracts'!$C$2:$Y$374,AX$1,FALSE)*$Z32</f>
        <v>4.3554149062851729E-3</v>
      </c>
      <c r="AZ32" s="2" t="s">
        <v>193</v>
      </c>
      <c r="BA32">
        <v>3394.0015229848482</v>
      </c>
      <c r="BB32">
        <v>2329.4945299859401</v>
      </c>
      <c r="BC32">
        <v>1064.5069929989072</v>
      </c>
      <c r="BD32">
        <v>1430.6951464996175</v>
      </c>
      <c r="BE32">
        <v>71.218978552662222</v>
      </c>
      <c r="BF32">
        <v>42.114058762818139</v>
      </c>
      <c r="BG32">
        <v>21.211991480589617</v>
      </c>
      <c r="BH32">
        <v>256.58491989512999</v>
      </c>
      <c r="BI32">
        <v>36.382795188710865</v>
      </c>
      <c r="BJ32">
        <v>59.00875972982778</v>
      </c>
      <c r="BK32">
        <v>0.81436971198098917</v>
      </c>
      <c r="BL32">
        <v>236.49019282129072</v>
      </c>
      <c r="BM32">
        <v>768.85575609233433</v>
      </c>
      <c r="BN32">
        <v>39.13839187235989</v>
      </c>
      <c r="BO32">
        <v>1.1856397294063343</v>
      </c>
      <c r="BP32">
        <v>112.50278042902134</v>
      </c>
      <c r="BQ32">
        <v>92.019735578794766</v>
      </c>
      <c r="BR32">
        <v>152.96027997587501</v>
      </c>
      <c r="BS32">
        <v>72.817726664428264</v>
      </c>
    </row>
    <row r="33" spans="1:71" x14ac:dyDescent="0.25">
      <c r="A33" t="s">
        <v>2917</v>
      </c>
      <c r="B33" t="s">
        <v>2918</v>
      </c>
      <c r="C33" t="s">
        <v>3296</v>
      </c>
      <c r="D33" t="s">
        <v>2767</v>
      </c>
      <c r="E33" t="s">
        <v>2768</v>
      </c>
      <c r="F33" t="s">
        <v>2769</v>
      </c>
      <c r="G33" t="s">
        <v>2920</v>
      </c>
      <c r="H33" t="s">
        <v>2921</v>
      </c>
      <c r="I33">
        <v>1103292</v>
      </c>
      <c r="J33">
        <v>28680</v>
      </c>
      <c r="K33" t="s">
        <v>3297</v>
      </c>
      <c r="L33" t="s">
        <v>3298</v>
      </c>
      <c r="M33">
        <v>41</v>
      </c>
      <c r="N33">
        <v>22865.453000000001</v>
      </c>
      <c r="O33" t="s">
        <v>122</v>
      </c>
      <c r="P33">
        <v>4</v>
      </c>
      <c r="Q33">
        <v>5</v>
      </c>
      <c r="R33">
        <v>95</v>
      </c>
      <c r="S33">
        <v>21491312</v>
      </c>
      <c r="T33">
        <v>43</v>
      </c>
      <c r="U33">
        <v>124</v>
      </c>
      <c r="V33">
        <v>22865.452635921651</v>
      </c>
      <c r="W33">
        <v>21491312.22830575</v>
      </c>
      <c r="X33">
        <v>51727.593999999997</v>
      </c>
      <c r="Y33">
        <f>VLOOKUP(AB33,'2000 Seattle Tracts'!$C$2:$Z$374,24,FALSE)</f>
        <v>1099740.1470000001</v>
      </c>
      <c r="Z33">
        <f t="shared" si="0"/>
        <v>4.7036196815319127E-2</v>
      </c>
      <c r="AA33" t="s">
        <v>132</v>
      </c>
      <c r="AB33" t="str">
        <f t="shared" si="1"/>
        <v>Census Tract 20, King County, Washington</v>
      </c>
      <c r="AC33" s="3">
        <f>VLOOKUP($AB33,'2000 Seattle Tracts'!$C$2:$Y$374,AC$1,FALSE)*$Z33</f>
        <v>146.56478927653441</v>
      </c>
      <c r="AD33" s="3">
        <f>VLOOKUP($AB33,'2000 Seattle Tracts'!$C$2:$Y$374,AD$1,FALSE)*$Z33</f>
        <v>130.05508419435739</v>
      </c>
      <c r="AE33" s="3">
        <f>VLOOKUP($AB33,'2000 Seattle Tracts'!$C$2:$Y$374,AE$1,FALSE)*$Z33</f>
        <v>16.509705082177014</v>
      </c>
      <c r="AF33" s="3">
        <f>VLOOKUP($AB33,'2000 Seattle Tracts'!$C$2:$Y$374,AF$1,FALSE)*$Z33</f>
        <v>146.56478927653441</v>
      </c>
      <c r="AG33" s="3">
        <f>VLOOKUP($AB33,'2000 Seattle Tracts'!$C$2:$Y$374,AG$1,FALSE)*$Z33</f>
        <v>130.05508419435739</v>
      </c>
      <c r="AH33" s="3">
        <f>VLOOKUP($AB33,'2000 Seattle Tracts'!$C$2:$Y$374,AH$1,FALSE)*$Z33</f>
        <v>16.509705082177014</v>
      </c>
      <c r="AI33" s="3">
        <f>VLOOKUP($AB33,'2000 Seattle Tracts'!$C$2:$Y$374,AI$1,FALSE)*$Z33</f>
        <v>112.51058278224335</v>
      </c>
      <c r="AJ33" s="3">
        <f>VLOOKUP($AB33,'2000 Seattle Tracts'!$C$2:$Y$374,AJ$1,FALSE)*$Z33</f>
        <v>7.0554295222978691</v>
      </c>
      <c r="AK33" s="3">
        <f>VLOOKUP($AB33,'2000 Seattle Tracts'!$C$2:$Y$374,AK$1,FALSE)*$Z33</f>
        <v>0.84665154267574427</v>
      </c>
      <c r="AL33" s="3">
        <f>VLOOKUP($AB33,'2000 Seattle Tracts'!$C$2:$Y$374,AL$1,FALSE)*$Z33</f>
        <v>0.51739816496851043</v>
      </c>
      <c r="AM33" s="3">
        <f>VLOOKUP($AB33,'2000 Seattle Tracts'!$C$2:$Y$374,AM$1,FALSE)*$Z33</f>
        <v>3.9040043356714875</v>
      </c>
      <c r="AN33" s="3">
        <f>VLOOKUP($AB33,'2000 Seattle Tracts'!$C$2:$Y$374,AN$1,FALSE)*$Z33</f>
        <v>0.75257914904510603</v>
      </c>
      <c r="AO33" s="3">
        <f>VLOOKUP($AB33,'2000 Seattle Tracts'!$C$2:$Y$374,AO$1,FALSE)*$Z33</f>
        <v>0</v>
      </c>
      <c r="AP33" s="3">
        <f>VLOOKUP($AB33,'2000 Seattle Tracts'!$C$2:$Y$374,AP$1,FALSE)*$Z33</f>
        <v>0.23518098407659563</v>
      </c>
      <c r="AQ33" s="3">
        <f>VLOOKUP($AB33,'2000 Seattle Tracts'!$C$2:$Y$374,AQ$1,FALSE)*$Z33</f>
        <v>1.4110859044595738</v>
      </c>
      <c r="AR33" s="3">
        <f>VLOOKUP($AB33,'2000 Seattle Tracts'!$C$2:$Y$374,AR$1,FALSE)*$Z33</f>
        <v>6.3498865700680822</v>
      </c>
      <c r="AS33" s="3">
        <f>VLOOKUP($AB33,'2000 Seattle Tracts'!$C$2:$Y$374,AS$1,FALSE)*$Z33</f>
        <v>0.42332577133787214</v>
      </c>
      <c r="AT33" s="3">
        <f>VLOOKUP($AB33,'2000 Seattle Tracts'!$C$2:$Y$374,AT$1,FALSE)*$Z33</f>
        <v>0</v>
      </c>
      <c r="AU33" s="3">
        <f>VLOOKUP($AB33,'2000 Seattle Tracts'!$C$2:$Y$374,AU$1,FALSE)*$Z33</f>
        <v>2.3988460375812757</v>
      </c>
      <c r="AV33" s="3">
        <f>VLOOKUP($AB33,'2000 Seattle Tracts'!$C$2:$Y$374,AV$1,FALSE)*$Z33</f>
        <v>0.89368773949106339</v>
      </c>
      <c r="AW33" s="3">
        <f>VLOOKUP($AB33,'2000 Seattle Tracts'!$C$2:$Y$374,AW$1,FALSE)*$Z33</f>
        <v>8.560587820388081</v>
      </c>
      <c r="AX33" s="3">
        <f>VLOOKUP($AB33,'2000 Seattle Tracts'!$C$2:$Y$374,AX$1,FALSE)*$Z33</f>
        <v>0.70554295222978691</v>
      </c>
      <c r="AZ33" s="2" t="s">
        <v>132</v>
      </c>
      <c r="BA33">
        <v>7435.2928767021804</v>
      </c>
      <c r="BB33">
        <v>6591.7277877996421</v>
      </c>
      <c r="BC33">
        <v>843.56508890253895</v>
      </c>
      <c r="BD33">
        <v>5839.710956648777</v>
      </c>
      <c r="BE33">
        <v>402.23539084126924</v>
      </c>
      <c r="BF33">
        <v>82.238342298822161</v>
      </c>
      <c r="BG33">
        <v>25.032633160540968</v>
      </c>
      <c r="BH33">
        <v>76.89908684678683</v>
      </c>
      <c r="BI33">
        <v>5.175201147494489</v>
      </c>
      <c r="BJ33">
        <v>63.042582295086184</v>
      </c>
      <c r="BK33">
        <v>0.23518098407659563</v>
      </c>
      <c r="BL33">
        <v>207.798304700822</v>
      </c>
      <c r="BM33">
        <v>325.27899562532059</v>
      </c>
      <c r="BN33">
        <v>27.69517381791858</v>
      </c>
      <c r="BO33">
        <v>5.15956321577226</v>
      </c>
      <c r="BP33">
        <v>33.434519954128795</v>
      </c>
      <c r="BQ33">
        <v>24.580204570107249</v>
      </c>
      <c r="BR33">
        <v>260.90882123730012</v>
      </c>
      <c r="BS33">
        <v>55.867919357957533</v>
      </c>
    </row>
    <row r="34" spans="1:71" x14ac:dyDescent="0.25">
      <c r="A34" t="s">
        <v>2917</v>
      </c>
      <c r="B34" t="s">
        <v>2918</v>
      </c>
      <c r="C34" t="s">
        <v>3296</v>
      </c>
      <c r="D34" t="s">
        <v>2767</v>
      </c>
      <c r="E34" t="s">
        <v>2768</v>
      </c>
      <c r="F34" t="s">
        <v>2769</v>
      </c>
      <c r="G34" t="s">
        <v>2920</v>
      </c>
      <c r="H34" t="s">
        <v>2921</v>
      </c>
      <c r="I34">
        <v>1103292</v>
      </c>
      <c r="J34">
        <v>28680</v>
      </c>
      <c r="K34" t="s">
        <v>3297</v>
      </c>
      <c r="L34" t="s">
        <v>3298</v>
      </c>
      <c r="M34">
        <v>96</v>
      </c>
      <c r="N34">
        <v>23840.219000000001</v>
      </c>
      <c r="O34" t="s">
        <v>122</v>
      </c>
      <c r="P34">
        <v>4</v>
      </c>
      <c r="Q34">
        <v>5</v>
      </c>
      <c r="R34">
        <v>23</v>
      </c>
      <c r="S34">
        <v>30599714</v>
      </c>
      <c r="T34">
        <v>98</v>
      </c>
      <c r="U34">
        <v>117</v>
      </c>
      <c r="V34">
        <v>23840.218727432399</v>
      </c>
      <c r="W34">
        <v>30599713.626058389</v>
      </c>
      <c r="X34">
        <v>331.80799999999999</v>
      </c>
      <c r="Y34">
        <f>VLOOKUP(AB34,'2000 Seattle Tracts'!$C$2:$Z$374,24,FALSE)</f>
        <v>1099740.1470000001</v>
      </c>
      <c r="Z34">
        <f t="shared" si="0"/>
        <v>3.0171491047693827E-4</v>
      </c>
      <c r="AA34" t="s">
        <v>199</v>
      </c>
      <c r="AB34" t="str">
        <f t="shared" si="1"/>
        <v>Census Tract 20, King County, Washington</v>
      </c>
      <c r="AC34" s="3">
        <f>VLOOKUP($AB34,'2000 Seattle Tracts'!$C$2:$Y$374,AC$1,FALSE)*$Z34</f>
        <v>0.94014366104613967</v>
      </c>
      <c r="AD34" s="3">
        <f>VLOOKUP($AB34,'2000 Seattle Tracts'!$C$2:$Y$374,AD$1,FALSE)*$Z34</f>
        <v>0.83424172746873437</v>
      </c>
      <c r="AE34" s="3">
        <f>VLOOKUP($AB34,'2000 Seattle Tracts'!$C$2:$Y$374,AE$1,FALSE)*$Z34</f>
        <v>0.10590193357740534</v>
      </c>
      <c r="AF34" s="3">
        <f>VLOOKUP($AB34,'2000 Seattle Tracts'!$C$2:$Y$374,AF$1,FALSE)*$Z34</f>
        <v>0.94014366104613967</v>
      </c>
      <c r="AG34" s="3">
        <f>VLOOKUP($AB34,'2000 Seattle Tracts'!$C$2:$Y$374,AG$1,FALSE)*$Z34</f>
        <v>0.83424172746873437</v>
      </c>
      <c r="AH34" s="3">
        <f>VLOOKUP($AB34,'2000 Seattle Tracts'!$C$2:$Y$374,AH$1,FALSE)*$Z34</f>
        <v>0.10590193357740534</v>
      </c>
      <c r="AI34" s="3">
        <f>VLOOKUP($AB34,'2000 Seattle Tracts'!$C$2:$Y$374,AI$1,FALSE)*$Z34</f>
        <v>0.72170206586083629</v>
      </c>
      <c r="AJ34" s="3">
        <f>VLOOKUP($AB34,'2000 Seattle Tracts'!$C$2:$Y$374,AJ$1,FALSE)*$Z34</f>
        <v>4.5257236571540738E-2</v>
      </c>
      <c r="AK34" s="3">
        <f>VLOOKUP($AB34,'2000 Seattle Tracts'!$C$2:$Y$374,AK$1,FALSE)*$Z34</f>
        <v>5.4308683885848892E-3</v>
      </c>
      <c r="AL34" s="3">
        <f>VLOOKUP($AB34,'2000 Seattle Tracts'!$C$2:$Y$374,AL$1,FALSE)*$Z34</f>
        <v>3.3188640152463211E-3</v>
      </c>
      <c r="AM34" s="3">
        <f>VLOOKUP($AB34,'2000 Seattle Tracts'!$C$2:$Y$374,AM$1,FALSE)*$Z34</f>
        <v>2.5042337569585876E-2</v>
      </c>
      <c r="AN34" s="3">
        <f>VLOOKUP($AB34,'2000 Seattle Tracts'!$C$2:$Y$374,AN$1,FALSE)*$Z34</f>
        <v>4.8274385676310124E-3</v>
      </c>
      <c r="AO34" s="3">
        <f>VLOOKUP($AB34,'2000 Seattle Tracts'!$C$2:$Y$374,AO$1,FALSE)*$Z34</f>
        <v>0</v>
      </c>
      <c r="AP34" s="3">
        <f>VLOOKUP($AB34,'2000 Seattle Tracts'!$C$2:$Y$374,AP$1,FALSE)*$Z34</f>
        <v>1.5085745523846913E-3</v>
      </c>
      <c r="AQ34" s="3">
        <f>VLOOKUP($AB34,'2000 Seattle Tracts'!$C$2:$Y$374,AQ$1,FALSE)*$Z34</f>
        <v>9.0514473143081479E-3</v>
      </c>
      <c r="AR34" s="3">
        <f>VLOOKUP($AB34,'2000 Seattle Tracts'!$C$2:$Y$374,AR$1,FALSE)*$Z34</f>
        <v>4.0731512914386668E-2</v>
      </c>
      <c r="AS34" s="3">
        <f>VLOOKUP($AB34,'2000 Seattle Tracts'!$C$2:$Y$374,AS$1,FALSE)*$Z34</f>
        <v>2.7154341942924446E-3</v>
      </c>
      <c r="AT34" s="3">
        <f>VLOOKUP($AB34,'2000 Seattle Tracts'!$C$2:$Y$374,AT$1,FALSE)*$Z34</f>
        <v>0</v>
      </c>
      <c r="AU34" s="3">
        <f>VLOOKUP($AB34,'2000 Seattle Tracts'!$C$2:$Y$374,AU$1,FALSE)*$Z34</f>
        <v>1.5387460434323852E-2</v>
      </c>
      <c r="AV34" s="3">
        <f>VLOOKUP($AB34,'2000 Seattle Tracts'!$C$2:$Y$374,AV$1,FALSE)*$Z34</f>
        <v>5.7325832990618268E-3</v>
      </c>
      <c r="AW34" s="3">
        <f>VLOOKUP($AB34,'2000 Seattle Tracts'!$C$2:$Y$374,AW$1,FALSE)*$Z34</f>
        <v>5.4912113706802768E-2</v>
      </c>
      <c r="AX34" s="3">
        <f>VLOOKUP($AB34,'2000 Seattle Tracts'!$C$2:$Y$374,AX$1,FALSE)*$Z34</f>
        <v>4.5257236571540739E-3</v>
      </c>
      <c r="AZ34" s="2" t="s">
        <v>196</v>
      </c>
      <c r="BA34">
        <v>5157.7659036995701</v>
      </c>
      <c r="BB34">
        <v>4132.8101610223621</v>
      </c>
      <c r="BC34">
        <v>1024.9557426772071</v>
      </c>
      <c r="BD34">
        <v>2958.7246674540056</v>
      </c>
      <c r="BE34">
        <v>183.52602417694811</v>
      </c>
      <c r="BF34">
        <v>74.930898677359835</v>
      </c>
      <c r="BG34">
        <v>28.816707117158895</v>
      </c>
      <c r="BH34">
        <v>396.5779208185628</v>
      </c>
      <c r="BI34">
        <v>54.787787338872576</v>
      </c>
      <c r="BJ34">
        <v>57.426547411028409</v>
      </c>
      <c r="BK34">
        <v>2.4551077142804156</v>
      </c>
      <c r="BL34">
        <v>215.30892577686939</v>
      </c>
      <c r="BM34">
        <v>529.36332725804687</v>
      </c>
      <c r="BN34">
        <v>13.730341895811414</v>
      </c>
      <c r="BO34">
        <v>3.552175839970138</v>
      </c>
      <c r="BP34">
        <v>195.27187399057573</v>
      </c>
      <c r="BQ34">
        <v>157.25865684362498</v>
      </c>
      <c r="BR34">
        <v>220.83898499814927</v>
      </c>
      <c r="BS34">
        <v>65.195956388305049</v>
      </c>
    </row>
    <row r="35" spans="1:71" x14ac:dyDescent="0.25">
      <c r="A35" t="s">
        <v>2917</v>
      </c>
      <c r="B35" t="s">
        <v>2918</v>
      </c>
      <c r="C35" t="s">
        <v>3296</v>
      </c>
      <c r="D35" t="s">
        <v>2767</v>
      </c>
      <c r="E35" t="s">
        <v>2768</v>
      </c>
      <c r="F35" t="s">
        <v>2769</v>
      </c>
      <c r="G35" t="s">
        <v>2920</v>
      </c>
      <c r="H35" t="s">
        <v>2921</v>
      </c>
      <c r="I35">
        <v>1103292</v>
      </c>
      <c r="J35">
        <v>28680</v>
      </c>
      <c r="K35" t="s">
        <v>3297</v>
      </c>
      <c r="L35" t="s">
        <v>3298</v>
      </c>
      <c r="M35">
        <v>102</v>
      </c>
      <c r="N35">
        <v>20753.002</v>
      </c>
      <c r="O35" t="s">
        <v>207</v>
      </c>
      <c r="P35">
        <v>3</v>
      </c>
      <c r="Q35">
        <v>3</v>
      </c>
      <c r="R35">
        <v>95</v>
      </c>
      <c r="S35">
        <v>21512732</v>
      </c>
      <c r="T35">
        <v>104</v>
      </c>
      <c r="U35">
        <v>106</v>
      </c>
      <c r="V35">
        <v>20753.0018992847</v>
      </c>
      <c r="W35">
        <v>21512731.489181329</v>
      </c>
      <c r="X35">
        <v>20152.629000000001</v>
      </c>
      <c r="Y35">
        <f>VLOOKUP(AB35,'2000 Seattle Tracts'!$C$2:$Z$374,24,FALSE)</f>
        <v>1099740.1470000001</v>
      </c>
      <c r="Z35">
        <f t="shared" si="0"/>
        <v>1.8324900709476417E-2</v>
      </c>
      <c r="AA35" t="s">
        <v>206</v>
      </c>
      <c r="AB35" t="str">
        <f t="shared" si="1"/>
        <v>Census Tract 20, King County, Washington</v>
      </c>
      <c r="AC35" s="3">
        <f>VLOOKUP($AB35,'2000 Seattle Tracts'!$C$2:$Y$374,AC$1,FALSE)*$Z35</f>
        <v>57.100390610728518</v>
      </c>
      <c r="AD35" s="3">
        <f>VLOOKUP($AB35,'2000 Seattle Tracts'!$C$2:$Y$374,AD$1,FALSE)*$Z35</f>
        <v>50.668350461702289</v>
      </c>
      <c r="AE35" s="3">
        <f>VLOOKUP($AB35,'2000 Seattle Tracts'!$C$2:$Y$374,AE$1,FALSE)*$Z35</f>
        <v>6.4320401490262222</v>
      </c>
      <c r="AF35" s="3">
        <f>VLOOKUP($AB35,'2000 Seattle Tracts'!$C$2:$Y$374,AF$1,FALSE)*$Z35</f>
        <v>57.100390610728518</v>
      </c>
      <c r="AG35" s="3">
        <f>VLOOKUP($AB35,'2000 Seattle Tracts'!$C$2:$Y$374,AG$1,FALSE)*$Z35</f>
        <v>50.668350461702289</v>
      </c>
      <c r="AH35" s="3">
        <f>VLOOKUP($AB35,'2000 Seattle Tracts'!$C$2:$Y$374,AH$1,FALSE)*$Z35</f>
        <v>6.4320401490262222</v>
      </c>
      <c r="AI35" s="3">
        <f>VLOOKUP($AB35,'2000 Seattle Tracts'!$C$2:$Y$374,AI$1,FALSE)*$Z35</f>
        <v>43.83316249706759</v>
      </c>
      <c r="AJ35" s="3">
        <f>VLOOKUP($AB35,'2000 Seattle Tracts'!$C$2:$Y$374,AJ$1,FALSE)*$Z35</f>
        <v>2.7487351064214627</v>
      </c>
      <c r="AK35" s="3">
        <f>VLOOKUP($AB35,'2000 Seattle Tracts'!$C$2:$Y$374,AK$1,FALSE)*$Z35</f>
        <v>0.32984821277057552</v>
      </c>
      <c r="AL35" s="3">
        <f>VLOOKUP($AB35,'2000 Seattle Tracts'!$C$2:$Y$374,AL$1,FALSE)*$Z35</f>
        <v>0.20157390780424059</v>
      </c>
      <c r="AM35" s="3">
        <f>VLOOKUP($AB35,'2000 Seattle Tracts'!$C$2:$Y$374,AM$1,FALSE)*$Z35</f>
        <v>1.5209667588865425</v>
      </c>
      <c r="AN35" s="3">
        <f>VLOOKUP($AB35,'2000 Seattle Tracts'!$C$2:$Y$374,AN$1,FALSE)*$Z35</f>
        <v>0.29319841135162267</v>
      </c>
      <c r="AO35" s="3">
        <f>VLOOKUP($AB35,'2000 Seattle Tracts'!$C$2:$Y$374,AO$1,FALSE)*$Z35</f>
        <v>0</v>
      </c>
      <c r="AP35" s="3">
        <f>VLOOKUP($AB35,'2000 Seattle Tracts'!$C$2:$Y$374,AP$1,FALSE)*$Z35</f>
        <v>9.162450354738208E-2</v>
      </c>
      <c r="AQ35" s="3">
        <f>VLOOKUP($AB35,'2000 Seattle Tracts'!$C$2:$Y$374,AQ$1,FALSE)*$Z35</f>
        <v>0.54974702128429254</v>
      </c>
      <c r="AR35" s="3">
        <f>VLOOKUP($AB35,'2000 Seattle Tracts'!$C$2:$Y$374,AR$1,FALSE)*$Z35</f>
        <v>2.4738615957793164</v>
      </c>
      <c r="AS35" s="3">
        <f>VLOOKUP($AB35,'2000 Seattle Tracts'!$C$2:$Y$374,AS$1,FALSE)*$Z35</f>
        <v>0.16492410638528776</v>
      </c>
      <c r="AT35" s="3">
        <f>VLOOKUP($AB35,'2000 Seattle Tracts'!$C$2:$Y$374,AT$1,FALSE)*$Z35</f>
        <v>0</v>
      </c>
      <c r="AU35" s="3">
        <f>VLOOKUP($AB35,'2000 Seattle Tracts'!$C$2:$Y$374,AU$1,FALSE)*$Z35</f>
        <v>0.9345699361832972</v>
      </c>
      <c r="AV35" s="3">
        <f>VLOOKUP($AB35,'2000 Seattle Tracts'!$C$2:$Y$374,AV$1,FALSE)*$Z35</f>
        <v>0.34817311348005192</v>
      </c>
      <c r="AW35" s="3">
        <f>VLOOKUP($AB35,'2000 Seattle Tracts'!$C$2:$Y$374,AW$1,FALSE)*$Z35</f>
        <v>3.3351319291247079</v>
      </c>
      <c r="AX35" s="3">
        <f>VLOOKUP($AB35,'2000 Seattle Tracts'!$C$2:$Y$374,AX$1,FALSE)*$Z35</f>
        <v>0.27487351064214627</v>
      </c>
      <c r="AZ35" s="2" t="s">
        <v>128</v>
      </c>
      <c r="BA35">
        <v>1708.9214441522331</v>
      </c>
      <c r="BB35">
        <v>1440.076150930083</v>
      </c>
      <c r="BC35">
        <v>268.84529322215008</v>
      </c>
      <c r="BD35">
        <v>1334.4472975023752</v>
      </c>
      <c r="BE35">
        <v>162.96667800089887</v>
      </c>
      <c r="BF35">
        <v>0.1725233082646653</v>
      </c>
      <c r="BG35">
        <v>0.27945731033375593</v>
      </c>
      <c r="BH35">
        <v>25.961107693984431</v>
      </c>
      <c r="BI35">
        <v>10.136047796492949</v>
      </c>
      <c r="BJ35">
        <v>0.1695816950877331</v>
      </c>
      <c r="BK35">
        <v>3.2576171930143107E-3</v>
      </c>
      <c r="BL35">
        <v>44.240137189683324</v>
      </c>
      <c r="BM35">
        <v>80.250064922907455</v>
      </c>
      <c r="BN35">
        <v>4.3962593075167885E-5</v>
      </c>
      <c r="BO35">
        <v>1.5468319785707217E-5</v>
      </c>
      <c r="BP35">
        <v>4.335599646145873</v>
      </c>
      <c r="BQ35">
        <v>0.13177365081819528</v>
      </c>
      <c r="BR35">
        <v>30.749859931948802</v>
      </c>
      <c r="BS35">
        <v>15.077998455186048</v>
      </c>
    </row>
    <row r="36" spans="1:71" x14ac:dyDescent="0.25">
      <c r="A36" t="s">
        <v>2917</v>
      </c>
      <c r="B36" t="s">
        <v>2918</v>
      </c>
      <c r="C36" t="s">
        <v>3296</v>
      </c>
      <c r="D36" t="s">
        <v>2767</v>
      </c>
      <c r="E36" t="s">
        <v>2768</v>
      </c>
      <c r="F36" t="s">
        <v>2769</v>
      </c>
      <c r="G36" t="s">
        <v>2920</v>
      </c>
      <c r="H36" t="s">
        <v>2921</v>
      </c>
      <c r="I36">
        <v>1103292</v>
      </c>
      <c r="J36">
        <v>28680</v>
      </c>
      <c r="K36" t="s">
        <v>3297</v>
      </c>
      <c r="L36" t="s">
        <v>3298</v>
      </c>
      <c r="M36">
        <v>104</v>
      </c>
      <c r="N36">
        <v>18770.280999999999</v>
      </c>
      <c r="O36" t="s">
        <v>207</v>
      </c>
      <c r="P36">
        <v>3</v>
      </c>
      <c r="Q36">
        <v>3</v>
      </c>
      <c r="R36">
        <v>24</v>
      </c>
      <c r="S36">
        <v>17034848</v>
      </c>
      <c r="T36">
        <v>106</v>
      </c>
      <c r="U36">
        <v>108</v>
      </c>
      <c r="V36">
        <v>18770.28203242151</v>
      </c>
      <c r="W36">
        <v>17034848.779124379</v>
      </c>
      <c r="X36">
        <v>136.97</v>
      </c>
      <c r="Y36">
        <f>VLOOKUP(AB36,'2000 Seattle Tracts'!$C$2:$Z$374,24,FALSE)</f>
        <v>1099740.1470000001</v>
      </c>
      <c r="Z36">
        <f t="shared" si="0"/>
        <v>1.2454760369860353E-4</v>
      </c>
      <c r="AA36" t="s">
        <v>209</v>
      </c>
      <c r="AB36" t="str">
        <f t="shared" si="1"/>
        <v>Census Tract 20, King County, Washington</v>
      </c>
      <c r="AC36" s="3">
        <f>VLOOKUP($AB36,'2000 Seattle Tracts'!$C$2:$Y$374,AC$1,FALSE)*$Z36</f>
        <v>0.38809033312484859</v>
      </c>
      <c r="AD36" s="3">
        <f>VLOOKUP($AB36,'2000 Seattle Tracts'!$C$2:$Y$374,AD$1,FALSE)*$Z36</f>
        <v>0.34437412422663877</v>
      </c>
      <c r="AE36" s="3">
        <f>VLOOKUP($AB36,'2000 Seattle Tracts'!$C$2:$Y$374,AE$1,FALSE)*$Z36</f>
        <v>4.3716208898209839E-2</v>
      </c>
      <c r="AF36" s="3">
        <f>VLOOKUP($AB36,'2000 Seattle Tracts'!$C$2:$Y$374,AF$1,FALSE)*$Z36</f>
        <v>0.38809033312484859</v>
      </c>
      <c r="AG36" s="3">
        <f>VLOOKUP($AB36,'2000 Seattle Tracts'!$C$2:$Y$374,AG$1,FALSE)*$Z36</f>
        <v>0.34437412422663877</v>
      </c>
      <c r="AH36" s="3">
        <f>VLOOKUP($AB36,'2000 Seattle Tracts'!$C$2:$Y$374,AH$1,FALSE)*$Z36</f>
        <v>4.3716208898209839E-2</v>
      </c>
      <c r="AI36" s="3">
        <f>VLOOKUP($AB36,'2000 Seattle Tracts'!$C$2:$Y$374,AI$1,FALSE)*$Z36</f>
        <v>0.29791786804705966</v>
      </c>
      <c r="AJ36" s="3">
        <f>VLOOKUP($AB36,'2000 Seattle Tracts'!$C$2:$Y$374,AJ$1,FALSE)*$Z36</f>
        <v>1.8682140554790529E-2</v>
      </c>
      <c r="AK36" s="3">
        <f>VLOOKUP($AB36,'2000 Seattle Tracts'!$C$2:$Y$374,AK$1,FALSE)*$Z36</f>
        <v>2.2418568665748635E-3</v>
      </c>
      <c r="AL36" s="3">
        <f>VLOOKUP($AB36,'2000 Seattle Tracts'!$C$2:$Y$374,AL$1,FALSE)*$Z36</f>
        <v>1.3700236406846387E-3</v>
      </c>
      <c r="AM36" s="3">
        <f>VLOOKUP($AB36,'2000 Seattle Tracts'!$C$2:$Y$374,AM$1,FALSE)*$Z36</f>
        <v>1.0337451106984093E-2</v>
      </c>
      <c r="AN36" s="3">
        <f>VLOOKUP($AB36,'2000 Seattle Tracts'!$C$2:$Y$374,AN$1,FALSE)*$Z36</f>
        <v>1.9927616591776565E-3</v>
      </c>
      <c r="AO36" s="3">
        <f>VLOOKUP($AB36,'2000 Seattle Tracts'!$C$2:$Y$374,AO$1,FALSE)*$Z36</f>
        <v>0</v>
      </c>
      <c r="AP36" s="3">
        <f>VLOOKUP($AB36,'2000 Seattle Tracts'!$C$2:$Y$374,AP$1,FALSE)*$Z36</f>
        <v>6.2273801849301762E-4</v>
      </c>
      <c r="AQ36" s="3">
        <f>VLOOKUP($AB36,'2000 Seattle Tracts'!$C$2:$Y$374,AQ$1,FALSE)*$Z36</f>
        <v>3.736428110958106E-3</v>
      </c>
      <c r="AR36" s="3">
        <f>VLOOKUP($AB36,'2000 Seattle Tracts'!$C$2:$Y$374,AR$1,FALSE)*$Z36</f>
        <v>1.6813926499311477E-2</v>
      </c>
      <c r="AS36" s="3">
        <f>VLOOKUP($AB36,'2000 Seattle Tracts'!$C$2:$Y$374,AS$1,FALSE)*$Z36</f>
        <v>1.1209284332874317E-3</v>
      </c>
      <c r="AT36" s="3">
        <f>VLOOKUP($AB36,'2000 Seattle Tracts'!$C$2:$Y$374,AT$1,FALSE)*$Z36</f>
        <v>0</v>
      </c>
      <c r="AU36" s="3">
        <f>VLOOKUP($AB36,'2000 Seattle Tracts'!$C$2:$Y$374,AU$1,FALSE)*$Z36</f>
        <v>6.3519277886287797E-3</v>
      </c>
      <c r="AV36" s="3">
        <f>VLOOKUP($AB36,'2000 Seattle Tracts'!$C$2:$Y$374,AV$1,FALSE)*$Z36</f>
        <v>2.3664044702734672E-3</v>
      </c>
      <c r="AW36" s="3">
        <f>VLOOKUP($AB36,'2000 Seattle Tracts'!$C$2:$Y$374,AW$1,FALSE)*$Z36</f>
        <v>2.2667663873145841E-2</v>
      </c>
      <c r="AX36" s="3">
        <f>VLOOKUP($AB36,'2000 Seattle Tracts'!$C$2:$Y$374,AX$1,FALSE)*$Z36</f>
        <v>1.868214055479053E-3</v>
      </c>
      <c r="AZ36" s="2" t="s">
        <v>181</v>
      </c>
      <c r="BA36">
        <v>6248.0549633437477</v>
      </c>
      <c r="BB36">
        <v>3228.2767203009444</v>
      </c>
      <c r="BC36">
        <v>3019.7782430428024</v>
      </c>
      <c r="BD36">
        <v>665.04008830556518</v>
      </c>
      <c r="BE36">
        <v>54.917720602532555</v>
      </c>
      <c r="BF36">
        <v>22.379007680794338</v>
      </c>
      <c r="BG36">
        <v>86.338681940040232</v>
      </c>
      <c r="BH36">
        <v>1232.8071847744629</v>
      </c>
      <c r="BI36">
        <v>265.07564681185499</v>
      </c>
      <c r="BJ36">
        <v>81.24869215371514</v>
      </c>
      <c r="BK36">
        <v>1.1263968399155076E-2</v>
      </c>
      <c r="BL36">
        <v>919.0853971303593</v>
      </c>
      <c r="BM36">
        <v>2243.5200454904821</v>
      </c>
      <c r="BN36">
        <v>11.640269011897519</v>
      </c>
      <c r="BO36">
        <v>66.462183462410891</v>
      </c>
      <c r="BP36">
        <v>78.678094322706627</v>
      </c>
      <c r="BQ36">
        <v>131.47701260471285</v>
      </c>
      <c r="BR36">
        <v>217.39798692144382</v>
      </c>
      <c r="BS36">
        <v>171.97568816236935</v>
      </c>
    </row>
    <row r="37" spans="1:71" x14ac:dyDescent="0.25">
      <c r="A37" t="s">
        <v>2917</v>
      </c>
      <c r="B37" t="s">
        <v>2918</v>
      </c>
      <c r="C37" t="s">
        <v>3296</v>
      </c>
      <c r="D37" t="s">
        <v>2767</v>
      </c>
      <c r="E37" t="s">
        <v>2768</v>
      </c>
      <c r="F37" t="s">
        <v>2769</v>
      </c>
      <c r="G37" t="s">
        <v>2920</v>
      </c>
      <c r="H37" t="s">
        <v>2921</v>
      </c>
      <c r="I37">
        <v>1103292</v>
      </c>
      <c r="J37">
        <v>28680</v>
      </c>
      <c r="K37" t="s">
        <v>3297</v>
      </c>
      <c r="L37" t="s">
        <v>3298</v>
      </c>
      <c r="M37">
        <v>116</v>
      </c>
      <c r="N37">
        <v>25503.057000000001</v>
      </c>
      <c r="O37" t="s">
        <v>215</v>
      </c>
      <c r="P37">
        <v>2</v>
      </c>
      <c r="Q37">
        <v>10</v>
      </c>
      <c r="R37">
        <v>94</v>
      </c>
      <c r="S37">
        <v>34380472</v>
      </c>
      <c r="T37">
        <v>118</v>
      </c>
      <c r="U37">
        <v>112</v>
      </c>
      <c r="V37">
        <v>25503.057408269069</v>
      </c>
      <c r="W37">
        <v>34380470.782561153</v>
      </c>
      <c r="X37">
        <v>1027391.144</v>
      </c>
      <c r="Y37">
        <f>VLOOKUP(AB37,'2000 Seattle Tracts'!$C$2:$Z$374,24,FALSE)</f>
        <v>1099740.1470000001</v>
      </c>
      <c r="Z37">
        <f t="shared" si="0"/>
        <v>0.9342126381424174</v>
      </c>
      <c r="AA37" t="s">
        <v>219</v>
      </c>
      <c r="AB37" t="str">
        <f t="shared" si="1"/>
        <v>Census Tract 20, King County, Washington</v>
      </c>
      <c r="AC37" s="3">
        <f>VLOOKUP($AB37,'2000 Seattle Tracts'!$C$2:$Y$374,AC$1,FALSE)*$Z37</f>
        <v>2911.0065804517726</v>
      </c>
      <c r="AD37" s="3">
        <f>VLOOKUP($AB37,'2000 Seattle Tracts'!$C$2:$Y$374,AD$1,FALSE)*$Z37</f>
        <v>2583.0979444637842</v>
      </c>
      <c r="AE37" s="3">
        <f>VLOOKUP($AB37,'2000 Seattle Tracts'!$C$2:$Y$374,AE$1,FALSE)*$Z37</f>
        <v>327.90863598798853</v>
      </c>
      <c r="AF37" s="3">
        <f>VLOOKUP($AB37,'2000 Seattle Tracts'!$C$2:$Y$374,AF$1,FALSE)*$Z37</f>
        <v>2911.0065804517726</v>
      </c>
      <c r="AG37" s="3">
        <f>VLOOKUP($AB37,'2000 Seattle Tracts'!$C$2:$Y$374,AG$1,FALSE)*$Z37</f>
        <v>2583.0979444637842</v>
      </c>
      <c r="AH37" s="3">
        <f>VLOOKUP($AB37,'2000 Seattle Tracts'!$C$2:$Y$374,AH$1,FALSE)*$Z37</f>
        <v>327.90863598798853</v>
      </c>
      <c r="AI37" s="3">
        <f>VLOOKUP($AB37,'2000 Seattle Tracts'!$C$2:$Y$374,AI$1,FALSE)*$Z37</f>
        <v>2234.6366304366625</v>
      </c>
      <c r="AJ37" s="3">
        <f>VLOOKUP($AB37,'2000 Seattle Tracts'!$C$2:$Y$374,AJ$1,FALSE)*$Z37</f>
        <v>140.13189572136261</v>
      </c>
      <c r="AK37" s="3">
        <f>VLOOKUP($AB37,'2000 Seattle Tracts'!$C$2:$Y$374,AK$1,FALSE)*$Z37</f>
        <v>16.815827486563514</v>
      </c>
      <c r="AL37" s="3">
        <f>VLOOKUP($AB37,'2000 Seattle Tracts'!$C$2:$Y$374,AL$1,FALSE)*$Z37</f>
        <v>10.276339019566592</v>
      </c>
      <c r="AM37" s="3">
        <f>VLOOKUP($AB37,'2000 Seattle Tracts'!$C$2:$Y$374,AM$1,FALSE)*$Z37</f>
        <v>77.539648965820646</v>
      </c>
      <c r="AN37" s="3">
        <f>VLOOKUP($AB37,'2000 Seattle Tracts'!$C$2:$Y$374,AN$1,FALSE)*$Z37</f>
        <v>14.947402210278678</v>
      </c>
      <c r="AO37" s="3">
        <f>VLOOKUP($AB37,'2000 Seattle Tracts'!$C$2:$Y$374,AO$1,FALSE)*$Z37</f>
        <v>0</v>
      </c>
      <c r="AP37" s="3">
        <f>VLOOKUP($AB37,'2000 Seattle Tracts'!$C$2:$Y$374,AP$1,FALSE)*$Z37</f>
        <v>4.6710631907120872</v>
      </c>
      <c r="AQ37" s="3">
        <f>VLOOKUP($AB37,'2000 Seattle Tracts'!$C$2:$Y$374,AQ$1,FALSE)*$Z37</f>
        <v>28.026379144272521</v>
      </c>
      <c r="AR37" s="3">
        <f>VLOOKUP($AB37,'2000 Seattle Tracts'!$C$2:$Y$374,AR$1,FALSE)*$Z37</f>
        <v>126.11870614922636</v>
      </c>
      <c r="AS37" s="3">
        <f>VLOOKUP($AB37,'2000 Seattle Tracts'!$C$2:$Y$374,AS$1,FALSE)*$Z37</f>
        <v>8.4079137432817568</v>
      </c>
      <c r="AT37" s="3">
        <f>VLOOKUP($AB37,'2000 Seattle Tracts'!$C$2:$Y$374,AT$1,FALSE)*$Z37</f>
        <v>0</v>
      </c>
      <c r="AU37" s="3">
        <f>VLOOKUP($AB37,'2000 Seattle Tracts'!$C$2:$Y$374,AU$1,FALSE)*$Z37</f>
        <v>47.64484454526329</v>
      </c>
      <c r="AV37" s="3">
        <f>VLOOKUP($AB37,'2000 Seattle Tracts'!$C$2:$Y$374,AV$1,FALSE)*$Z37</f>
        <v>17.750040124705929</v>
      </c>
      <c r="AW37" s="3">
        <f>VLOOKUP($AB37,'2000 Seattle Tracts'!$C$2:$Y$374,AW$1,FALSE)*$Z37</f>
        <v>170.02670014191997</v>
      </c>
      <c r="AX37" s="3">
        <f>VLOOKUP($AB37,'2000 Seattle Tracts'!$C$2:$Y$374,AX$1,FALSE)*$Z37</f>
        <v>14.013189572136261</v>
      </c>
      <c r="AZ37" s="2" t="s">
        <v>195</v>
      </c>
      <c r="BA37">
        <v>5425.1482442601791</v>
      </c>
      <c r="BB37">
        <v>3917.0238343765118</v>
      </c>
      <c r="BC37">
        <v>1508.1244098836671</v>
      </c>
      <c r="BD37">
        <v>2399.4811050569074</v>
      </c>
      <c r="BE37">
        <v>206.99407294514904</v>
      </c>
      <c r="BF37">
        <v>63.146838394963268</v>
      </c>
      <c r="BG37">
        <v>48.081906927211314</v>
      </c>
      <c r="BH37">
        <v>548.63928546439706</v>
      </c>
      <c r="BI37">
        <v>93.266158018776224</v>
      </c>
      <c r="BJ37">
        <v>71.398818186439385</v>
      </c>
      <c r="BK37">
        <v>3.6688729003923663E-2</v>
      </c>
      <c r="BL37">
        <v>265.07831914686409</v>
      </c>
      <c r="BM37">
        <v>836.57420807179051</v>
      </c>
      <c r="BN37">
        <v>16.681326789763261</v>
      </c>
      <c r="BO37">
        <v>0.1363639187485603</v>
      </c>
      <c r="BP37">
        <v>321.93195755904117</v>
      </c>
      <c r="BQ37">
        <v>296.74415780599315</v>
      </c>
      <c r="BR37">
        <v>230.66618377813654</v>
      </c>
      <c r="BS37">
        <v>26.290853466994431</v>
      </c>
    </row>
    <row r="38" spans="1:71" x14ac:dyDescent="0.25">
      <c r="A38" t="s">
        <v>2917</v>
      </c>
      <c r="B38" t="s">
        <v>2918</v>
      </c>
      <c r="C38" t="s">
        <v>3293</v>
      </c>
      <c r="D38" t="s">
        <v>2773</v>
      </c>
      <c r="E38" t="s">
        <v>2774</v>
      </c>
      <c r="F38" t="s">
        <v>2775</v>
      </c>
      <c r="G38" t="s">
        <v>2920</v>
      </c>
      <c r="H38" t="s">
        <v>2921</v>
      </c>
      <c r="I38">
        <v>1663251</v>
      </c>
      <c r="J38">
        <v>0</v>
      </c>
      <c r="K38" t="s">
        <v>3362</v>
      </c>
      <c r="L38" t="s">
        <v>3295</v>
      </c>
      <c r="M38">
        <v>41</v>
      </c>
      <c r="N38">
        <v>22865.453000000001</v>
      </c>
      <c r="O38" t="s">
        <v>122</v>
      </c>
      <c r="P38">
        <v>4</v>
      </c>
      <c r="Q38">
        <v>5</v>
      </c>
      <c r="R38">
        <v>95</v>
      </c>
      <c r="S38">
        <v>21491312</v>
      </c>
      <c r="T38">
        <v>43</v>
      </c>
      <c r="U38">
        <v>124</v>
      </c>
      <c r="V38">
        <v>22865.452635921651</v>
      </c>
      <c r="W38">
        <v>21491312.22830575</v>
      </c>
      <c r="X38">
        <v>268.58100000000002</v>
      </c>
      <c r="Y38">
        <f>VLOOKUP(AB38,'2000 Seattle Tracts'!$C$2:$Z$374,24,FALSE)</f>
        <v>1649995.541</v>
      </c>
      <c r="Z38">
        <f t="shared" si="0"/>
        <v>1.6277680352834361E-4</v>
      </c>
      <c r="AA38" t="s">
        <v>132</v>
      </c>
      <c r="AB38" t="str">
        <f t="shared" si="1"/>
        <v>Census Tract 19, King County, Washington</v>
      </c>
      <c r="AC38" s="3">
        <f>VLOOKUP($AB38,'2000 Seattle Tracts'!$C$2:$Y$374,AC$1,FALSE)*$Z38</f>
        <v>0.55718499847752012</v>
      </c>
      <c r="AD38" s="3">
        <f>VLOOKUP($AB38,'2000 Seattle Tracts'!$C$2:$Y$374,AD$1,FALSE)*$Z38</f>
        <v>0.47254106064278151</v>
      </c>
      <c r="AE38" s="3">
        <f>VLOOKUP($AB38,'2000 Seattle Tracts'!$C$2:$Y$374,AE$1,FALSE)*$Z38</f>
        <v>8.4643937834738683E-2</v>
      </c>
      <c r="AF38" s="3">
        <f>VLOOKUP($AB38,'2000 Seattle Tracts'!$C$2:$Y$374,AF$1,FALSE)*$Z38</f>
        <v>0.55718499847752012</v>
      </c>
      <c r="AG38" s="3">
        <f>VLOOKUP($AB38,'2000 Seattle Tracts'!$C$2:$Y$374,AG$1,FALSE)*$Z38</f>
        <v>0.47254106064278151</v>
      </c>
      <c r="AH38" s="3">
        <f>VLOOKUP($AB38,'2000 Seattle Tracts'!$C$2:$Y$374,AH$1,FALSE)*$Z38</f>
        <v>8.4643937834738683E-2</v>
      </c>
      <c r="AI38" s="3">
        <f>VLOOKUP($AB38,'2000 Seattle Tracts'!$C$2:$Y$374,AI$1,FALSE)*$Z38</f>
        <v>0.39652429339504502</v>
      </c>
      <c r="AJ38" s="3">
        <f>VLOOKUP($AB38,'2000 Seattle Tracts'!$C$2:$Y$374,AJ$1,FALSE)*$Z38</f>
        <v>4.0205870471500871E-2</v>
      </c>
      <c r="AK38" s="3">
        <f>VLOOKUP($AB38,'2000 Seattle Tracts'!$C$2:$Y$374,AK$1,FALSE)*$Z38</f>
        <v>7.1621793552471185E-3</v>
      </c>
      <c r="AL38" s="3">
        <f>VLOOKUP($AB38,'2000 Seattle Tracts'!$C$2:$Y$374,AL$1,FALSE)*$Z38</f>
        <v>0</v>
      </c>
      <c r="AM38" s="3">
        <f>VLOOKUP($AB38,'2000 Seattle Tracts'!$C$2:$Y$374,AM$1,FALSE)*$Z38</f>
        <v>8.464393783473868E-3</v>
      </c>
      <c r="AN38" s="3">
        <f>VLOOKUP($AB38,'2000 Seattle Tracts'!$C$2:$Y$374,AN$1,FALSE)*$Z38</f>
        <v>0</v>
      </c>
      <c r="AO38" s="3">
        <f>VLOOKUP($AB38,'2000 Seattle Tracts'!$C$2:$Y$374,AO$1,FALSE)*$Z38</f>
        <v>2.116098445868467E-3</v>
      </c>
      <c r="AP38" s="3">
        <f>VLOOKUP($AB38,'2000 Seattle Tracts'!$C$2:$Y$374,AP$1,FALSE)*$Z38</f>
        <v>0</v>
      </c>
      <c r="AQ38" s="3">
        <f>VLOOKUP($AB38,'2000 Seattle Tracts'!$C$2:$Y$374,AQ$1,FALSE)*$Z38</f>
        <v>2.79976102068751E-2</v>
      </c>
      <c r="AR38" s="3">
        <f>VLOOKUP($AB38,'2000 Seattle Tracts'!$C$2:$Y$374,AR$1,FALSE)*$Z38</f>
        <v>3.8089772025632407E-2</v>
      </c>
      <c r="AS38" s="3">
        <f>VLOOKUP($AB38,'2000 Seattle Tracts'!$C$2:$Y$374,AS$1,FALSE)*$Z38</f>
        <v>1.3022144282267489E-3</v>
      </c>
      <c r="AT38" s="3">
        <f>VLOOKUP($AB38,'2000 Seattle Tracts'!$C$2:$Y$374,AT$1,FALSE)*$Z38</f>
        <v>0</v>
      </c>
      <c r="AU38" s="3">
        <f>VLOOKUP($AB38,'2000 Seattle Tracts'!$C$2:$Y$374,AU$1,FALSE)*$Z38</f>
        <v>6.3482953376054006E-3</v>
      </c>
      <c r="AV38" s="3">
        <f>VLOOKUP($AB38,'2000 Seattle Tracts'!$C$2:$Y$374,AV$1,FALSE)*$Z38</f>
        <v>2.9299824635101849E-3</v>
      </c>
      <c r="AW38" s="3">
        <f>VLOOKUP($AB38,'2000 Seattle Tracts'!$C$2:$Y$374,AW$1,FALSE)*$Z38</f>
        <v>2.262597569043976E-2</v>
      </c>
      <c r="AX38" s="3">
        <f>VLOOKUP($AB38,'2000 Seattle Tracts'!$C$2:$Y$374,AX$1,FALSE)*$Z38</f>
        <v>3.4183128740952157E-3</v>
      </c>
      <c r="AZ38" s="2" t="s">
        <v>167</v>
      </c>
      <c r="BA38">
        <v>3675.7615163831697</v>
      </c>
      <c r="BB38">
        <v>2433.8437266726041</v>
      </c>
      <c r="BC38">
        <v>1241.9177897105653</v>
      </c>
      <c r="BD38">
        <v>1229.6866104562316</v>
      </c>
      <c r="BE38">
        <v>17.547089398942791</v>
      </c>
      <c r="BF38">
        <v>75.802360586579354</v>
      </c>
      <c r="BG38">
        <v>279.26993232697561</v>
      </c>
      <c r="BH38">
        <v>276.34195016724192</v>
      </c>
      <c r="BI38">
        <v>0.32806913518141034</v>
      </c>
      <c r="BJ38">
        <v>122.43839125450968</v>
      </c>
      <c r="BK38">
        <v>0</v>
      </c>
      <c r="BL38">
        <v>126.2998271981963</v>
      </c>
      <c r="BM38">
        <v>412.46947742750888</v>
      </c>
      <c r="BN38">
        <v>48.426024218899165</v>
      </c>
      <c r="BO38">
        <v>7.0724123405610584</v>
      </c>
      <c r="BP38">
        <v>380.20125920001533</v>
      </c>
      <c r="BQ38">
        <v>476.72146550788079</v>
      </c>
      <c r="BR38">
        <v>174.64730359093065</v>
      </c>
      <c r="BS38">
        <v>48.509343573514855</v>
      </c>
    </row>
    <row r="39" spans="1:71" x14ac:dyDescent="0.25">
      <c r="A39" t="s">
        <v>2917</v>
      </c>
      <c r="B39" t="s">
        <v>2918</v>
      </c>
      <c r="C39" t="s">
        <v>3293</v>
      </c>
      <c r="D39" t="s">
        <v>2773</v>
      </c>
      <c r="E39" t="s">
        <v>2774</v>
      </c>
      <c r="F39" t="s">
        <v>2775</v>
      </c>
      <c r="G39" t="s">
        <v>2920</v>
      </c>
      <c r="H39" t="s">
        <v>2921</v>
      </c>
      <c r="I39">
        <v>1663251</v>
      </c>
      <c r="J39">
        <v>0</v>
      </c>
      <c r="K39" t="s">
        <v>3362</v>
      </c>
      <c r="L39" t="s">
        <v>3295</v>
      </c>
      <c r="M39">
        <v>115</v>
      </c>
      <c r="N39">
        <v>20132.898000000001</v>
      </c>
      <c r="O39" t="s">
        <v>215</v>
      </c>
      <c r="P39">
        <v>2</v>
      </c>
      <c r="Q39">
        <v>10</v>
      </c>
      <c r="R39">
        <v>9</v>
      </c>
      <c r="S39">
        <v>21704706</v>
      </c>
      <c r="T39">
        <v>117</v>
      </c>
      <c r="U39">
        <v>110</v>
      </c>
      <c r="V39">
        <v>20132.89824583329</v>
      </c>
      <c r="W39">
        <v>21704706.261455789</v>
      </c>
      <c r="X39">
        <v>501960.91</v>
      </c>
      <c r="Y39">
        <f>VLOOKUP(AB39,'2000 Seattle Tracts'!$C$2:$Z$374,24,FALSE)</f>
        <v>1649995.541</v>
      </c>
      <c r="Z39">
        <f t="shared" si="0"/>
        <v>0.30421955546363505</v>
      </c>
      <c r="AA39" t="s">
        <v>218</v>
      </c>
      <c r="AB39" t="str">
        <f t="shared" si="1"/>
        <v>Census Tract 19, King County, Washington</v>
      </c>
      <c r="AC39" s="3">
        <f>VLOOKUP($AB39,'2000 Seattle Tracts'!$C$2:$Y$374,AC$1,FALSE)*$Z39</f>
        <v>1041.3435383520227</v>
      </c>
      <c r="AD39" s="3">
        <f>VLOOKUP($AB39,'2000 Seattle Tracts'!$C$2:$Y$374,AD$1,FALSE)*$Z39</f>
        <v>883.1493695109325</v>
      </c>
      <c r="AE39" s="3">
        <f>VLOOKUP($AB39,'2000 Seattle Tracts'!$C$2:$Y$374,AE$1,FALSE)*$Z39</f>
        <v>158.19416884109023</v>
      </c>
      <c r="AF39" s="3">
        <f>VLOOKUP($AB39,'2000 Seattle Tracts'!$C$2:$Y$374,AF$1,FALSE)*$Z39</f>
        <v>1041.3435383520227</v>
      </c>
      <c r="AG39" s="3">
        <f>VLOOKUP($AB39,'2000 Seattle Tracts'!$C$2:$Y$374,AG$1,FALSE)*$Z39</f>
        <v>883.1493695109325</v>
      </c>
      <c r="AH39" s="3">
        <f>VLOOKUP($AB39,'2000 Seattle Tracts'!$C$2:$Y$374,AH$1,FALSE)*$Z39</f>
        <v>158.19416884109023</v>
      </c>
      <c r="AI39" s="3">
        <f>VLOOKUP($AB39,'2000 Seattle Tracts'!$C$2:$Y$374,AI$1,FALSE)*$Z39</f>
        <v>741.07883710941496</v>
      </c>
      <c r="AJ39" s="3">
        <f>VLOOKUP($AB39,'2000 Seattle Tracts'!$C$2:$Y$374,AJ$1,FALSE)*$Z39</f>
        <v>75.142230199517854</v>
      </c>
      <c r="AK39" s="3">
        <f>VLOOKUP($AB39,'2000 Seattle Tracts'!$C$2:$Y$374,AK$1,FALSE)*$Z39</f>
        <v>13.385660440399942</v>
      </c>
      <c r="AL39" s="3">
        <f>VLOOKUP($AB39,'2000 Seattle Tracts'!$C$2:$Y$374,AL$1,FALSE)*$Z39</f>
        <v>0</v>
      </c>
      <c r="AM39" s="3">
        <f>VLOOKUP($AB39,'2000 Seattle Tracts'!$C$2:$Y$374,AM$1,FALSE)*$Z39</f>
        <v>15.819416884109023</v>
      </c>
      <c r="AN39" s="3">
        <f>VLOOKUP($AB39,'2000 Seattle Tracts'!$C$2:$Y$374,AN$1,FALSE)*$Z39</f>
        <v>0</v>
      </c>
      <c r="AO39" s="3">
        <f>VLOOKUP($AB39,'2000 Seattle Tracts'!$C$2:$Y$374,AO$1,FALSE)*$Z39</f>
        <v>3.9548542210272557</v>
      </c>
      <c r="AP39" s="3">
        <f>VLOOKUP($AB39,'2000 Seattle Tracts'!$C$2:$Y$374,AP$1,FALSE)*$Z39</f>
        <v>0</v>
      </c>
      <c r="AQ39" s="3">
        <f>VLOOKUP($AB39,'2000 Seattle Tracts'!$C$2:$Y$374,AQ$1,FALSE)*$Z39</f>
        <v>52.325763539745232</v>
      </c>
      <c r="AR39" s="3">
        <f>VLOOKUP($AB39,'2000 Seattle Tracts'!$C$2:$Y$374,AR$1,FALSE)*$Z39</f>
        <v>71.187375978490607</v>
      </c>
      <c r="AS39" s="3">
        <f>VLOOKUP($AB39,'2000 Seattle Tracts'!$C$2:$Y$374,AS$1,FALSE)*$Z39</f>
        <v>2.4337564437090804</v>
      </c>
      <c r="AT39" s="3">
        <f>VLOOKUP($AB39,'2000 Seattle Tracts'!$C$2:$Y$374,AT$1,FALSE)*$Z39</f>
        <v>0</v>
      </c>
      <c r="AU39" s="3">
        <f>VLOOKUP($AB39,'2000 Seattle Tracts'!$C$2:$Y$374,AU$1,FALSE)*$Z39</f>
        <v>11.864562663081767</v>
      </c>
      <c r="AV39" s="3">
        <f>VLOOKUP($AB39,'2000 Seattle Tracts'!$C$2:$Y$374,AV$1,FALSE)*$Z39</f>
        <v>5.4759519983454306</v>
      </c>
      <c r="AW39" s="3">
        <f>VLOOKUP($AB39,'2000 Seattle Tracts'!$C$2:$Y$374,AW$1,FALSE)*$Z39</f>
        <v>42.286518209445269</v>
      </c>
      <c r="AX39" s="3">
        <f>VLOOKUP($AB39,'2000 Seattle Tracts'!$C$2:$Y$374,AX$1,FALSE)*$Z39</f>
        <v>6.3886106647363361</v>
      </c>
      <c r="AZ39" s="2" t="s">
        <v>222</v>
      </c>
      <c r="BA39">
        <v>6926.8619824788802</v>
      </c>
      <c r="BB39">
        <v>6252.1168526399542</v>
      </c>
      <c r="BC39">
        <v>674.74512983892691</v>
      </c>
      <c r="BD39">
        <v>5772.5711928420133</v>
      </c>
      <c r="BE39">
        <v>405.21741653520894</v>
      </c>
      <c r="BF39">
        <v>105.17477077040935</v>
      </c>
      <c r="BG39">
        <v>42.299309080647113</v>
      </c>
      <c r="BH39">
        <v>41.412644869173427</v>
      </c>
      <c r="BI39">
        <v>21.544376234138923</v>
      </c>
      <c r="BJ39">
        <v>62.947931196729861</v>
      </c>
      <c r="BK39">
        <v>0</v>
      </c>
      <c r="BL39">
        <v>99.144946715799307</v>
      </c>
      <c r="BM39">
        <v>137.36878330512437</v>
      </c>
      <c r="BN39">
        <v>3.1599950868703814</v>
      </c>
      <c r="BO39">
        <v>6.8466560215524925</v>
      </c>
      <c r="BP39">
        <v>28.183440287864428</v>
      </c>
      <c r="BQ39">
        <v>13.0551642831355</v>
      </c>
      <c r="BR39">
        <v>139.52193087109336</v>
      </c>
      <c r="BS39">
        <v>48.413424379119647</v>
      </c>
    </row>
    <row r="40" spans="1:71" x14ac:dyDescent="0.25">
      <c r="A40" t="s">
        <v>2917</v>
      </c>
      <c r="B40" t="s">
        <v>2918</v>
      </c>
      <c r="C40" t="s">
        <v>3293</v>
      </c>
      <c r="D40" t="s">
        <v>2773</v>
      </c>
      <c r="E40" t="s">
        <v>2774</v>
      </c>
      <c r="F40" t="s">
        <v>2775</v>
      </c>
      <c r="G40" t="s">
        <v>2920</v>
      </c>
      <c r="H40" t="s">
        <v>2921</v>
      </c>
      <c r="I40">
        <v>1663251</v>
      </c>
      <c r="J40">
        <v>0</v>
      </c>
      <c r="K40" t="s">
        <v>3362</v>
      </c>
      <c r="L40" t="s">
        <v>3295</v>
      </c>
      <c r="M40">
        <v>116</v>
      </c>
      <c r="N40">
        <v>25503.057000000001</v>
      </c>
      <c r="O40" t="s">
        <v>215</v>
      </c>
      <c r="P40">
        <v>2</v>
      </c>
      <c r="Q40">
        <v>10</v>
      </c>
      <c r="R40">
        <v>94</v>
      </c>
      <c r="S40">
        <v>34380472</v>
      </c>
      <c r="T40">
        <v>118</v>
      </c>
      <c r="U40">
        <v>112</v>
      </c>
      <c r="V40">
        <v>25503.057408269069</v>
      </c>
      <c r="W40">
        <v>34380470.782561153</v>
      </c>
      <c r="X40">
        <v>1147766.05</v>
      </c>
      <c r="Y40">
        <f>VLOOKUP(AB40,'2000 Seattle Tracts'!$C$2:$Z$374,24,FALSE)</f>
        <v>1649995.541</v>
      </c>
      <c r="Z40">
        <f t="shared" si="0"/>
        <v>0.69561766773283662</v>
      </c>
      <c r="AA40" t="s">
        <v>219</v>
      </c>
      <c r="AB40" t="str">
        <f t="shared" si="1"/>
        <v>Census Tract 19, King County, Washington</v>
      </c>
      <c r="AC40" s="3">
        <f>VLOOKUP($AB40,'2000 Seattle Tracts'!$C$2:$Y$374,AC$1,FALSE)*$Z40</f>
        <v>2381.0992766494996</v>
      </c>
      <c r="AD40" s="3">
        <f>VLOOKUP($AB40,'2000 Seattle Tracts'!$C$2:$Y$374,AD$1,FALSE)*$Z40</f>
        <v>2019.3780894284248</v>
      </c>
      <c r="AE40" s="3">
        <f>VLOOKUP($AB40,'2000 Seattle Tracts'!$C$2:$Y$374,AE$1,FALSE)*$Z40</f>
        <v>361.72118722107507</v>
      </c>
      <c r="AF40" s="3">
        <f>VLOOKUP($AB40,'2000 Seattle Tracts'!$C$2:$Y$374,AF$1,FALSE)*$Z40</f>
        <v>2381.0992766494996</v>
      </c>
      <c r="AG40" s="3">
        <f>VLOOKUP($AB40,'2000 Seattle Tracts'!$C$2:$Y$374,AG$1,FALSE)*$Z40</f>
        <v>2019.3780894284248</v>
      </c>
      <c r="AH40" s="3">
        <f>VLOOKUP($AB40,'2000 Seattle Tracts'!$C$2:$Y$374,AH$1,FALSE)*$Z40</f>
        <v>361.72118722107507</v>
      </c>
      <c r="AI40" s="3">
        <f>VLOOKUP($AB40,'2000 Seattle Tracts'!$C$2:$Y$374,AI$1,FALSE)*$Z40</f>
        <v>1694.52463859719</v>
      </c>
      <c r="AJ40" s="3">
        <f>VLOOKUP($AB40,'2000 Seattle Tracts'!$C$2:$Y$374,AJ$1,FALSE)*$Z40</f>
        <v>171.81756393001064</v>
      </c>
      <c r="AK40" s="3">
        <f>VLOOKUP($AB40,'2000 Seattle Tracts'!$C$2:$Y$374,AK$1,FALSE)*$Z40</f>
        <v>30.60717738024481</v>
      </c>
      <c r="AL40" s="3">
        <f>VLOOKUP($AB40,'2000 Seattle Tracts'!$C$2:$Y$374,AL$1,FALSE)*$Z40</f>
        <v>0</v>
      </c>
      <c r="AM40" s="3">
        <f>VLOOKUP($AB40,'2000 Seattle Tracts'!$C$2:$Y$374,AM$1,FALSE)*$Z40</f>
        <v>36.172118722107506</v>
      </c>
      <c r="AN40" s="3">
        <f>VLOOKUP($AB40,'2000 Seattle Tracts'!$C$2:$Y$374,AN$1,FALSE)*$Z40</f>
        <v>0</v>
      </c>
      <c r="AO40" s="3">
        <f>VLOOKUP($AB40,'2000 Seattle Tracts'!$C$2:$Y$374,AO$1,FALSE)*$Z40</f>
        <v>9.0430296805268764</v>
      </c>
      <c r="AP40" s="3">
        <f>VLOOKUP($AB40,'2000 Seattle Tracts'!$C$2:$Y$374,AP$1,FALSE)*$Z40</f>
        <v>0</v>
      </c>
      <c r="AQ40" s="3">
        <f>VLOOKUP($AB40,'2000 Seattle Tracts'!$C$2:$Y$374,AQ$1,FALSE)*$Z40</f>
        <v>119.64623885004789</v>
      </c>
      <c r="AR40" s="3">
        <f>VLOOKUP($AB40,'2000 Seattle Tracts'!$C$2:$Y$374,AR$1,FALSE)*$Z40</f>
        <v>162.77453424948376</v>
      </c>
      <c r="AS40" s="3">
        <f>VLOOKUP($AB40,'2000 Seattle Tracts'!$C$2:$Y$374,AS$1,FALSE)*$Z40</f>
        <v>5.564941341862693</v>
      </c>
      <c r="AT40" s="3">
        <f>VLOOKUP($AB40,'2000 Seattle Tracts'!$C$2:$Y$374,AT$1,FALSE)*$Z40</f>
        <v>0</v>
      </c>
      <c r="AU40" s="3">
        <f>VLOOKUP($AB40,'2000 Seattle Tracts'!$C$2:$Y$374,AU$1,FALSE)*$Z40</f>
        <v>27.129089041580627</v>
      </c>
      <c r="AV40" s="3">
        <f>VLOOKUP($AB40,'2000 Seattle Tracts'!$C$2:$Y$374,AV$1,FALSE)*$Z40</f>
        <v>12.521118019191059</v>
      </c>
      <c r="AW40" s="3">
        <f>VLOOKUP($AB40,'2000 Seattle Tracts'!$C$2:$Y$374,AW$1,FALSE)*$Z40</f>
        <v>96.690855814864292</v>
      </c>
      <c r="AX40" s="3">
        <f>VLOOKUP($AB40,'2000 Seattle Tracts'!$C$2:$Y$374,AX$1,FALSE)*$Z40</f>
        <v>14.607971022389568</v>
      </c>
      <c r="AZ40" s="2" t="s">
        <v>206</v>
      </c>
      <c r="BA40">
        <v>5364.5118140851919</v>
      </c>
      <c r="BB40">
        <v>4415.2825449368065</v>
      </c>
      <c r="BC40">
        <v>949.22926914838627</v>
      </c>
      <c r="BD40">
        <v>3540.6430063396092</v>
      </c>
      <c r="BE40">
        <v>254.93486883904046</v>
      </c>
      <c r="BF40">
        <v>101.28989054651592</v>
      </c>
      <c r="BG40">
        <v>13.299694424466177</v>
      </c>
      <c r="BH40">
        <v>161.44385484344576</v>
      </c>
      <c r="BI40">
        <v>81.887470741989219</v>
      </c>
      <c r="BJ40">
        <v>31.954641184613454</v>
      </c>
      <c r="BK40">
        <v>5.0554274659051623</v>
      </c>
      <c r="BL40">
        <v>277.91988330260716</v>
      </c>
      <c r="BM40">
        <v>480.92989396778535</v>
      </c>
      <c r="BN40">
        <v>14.414337962036536</v>
      </c>
      <c r="BO40">
        <v>15.992709864638513</v>
      </c>
      <c r="BP40">
        <v>93.123061375828627</v>
      </c>
      <c r="BQ40">
        <v>62.045774557179783</v>
      </c>
      <c r="BR40">
        <v>194.493869382149</v>
      </c>
      <c r="BS40">
        <v>35.083429287381655</v>
      </c>
    </row>
    <row r="41" spans="1:71" x14ac:dyDescent="0.25">
      <c r="A41" t="s">
        <v>2917</v>
      </c>
      <c r="B41" t="s">
        <v>2918</v>
      </c>
      <c r="C41" t="s">
        <v>3290</v>
      </c>
      <c r="D41" t="s">
        <v>2776</v>
      </c>
      <c r="E41" t="s">
        <v>2777</v>
      </c>
      <c r="F41" t="s">
        <v>2778</v>
      </c>
      <c r="G41" t="s">
        <v>2920</v>
      </c>
      <c r="H41" t="s">
        <v>2921</v>
      </c>
      <c r="I41">
        <v>942974</v>
      </c>
      <c r="J41">
        <v>0</v>
      </c>
      <c r="K41" t="s">
        <v>3363</v>
      </c>
      <c r="L41" t="s">
        <v>3364</v>
      </c>
      <c r="M41">
        <v>34</v>
      </c>
      <c r="N41">
        <v>25387.706999999999</v>
      </c>
      <c r="O41" t="s">
        <v>122</v>
      </c>
      <c r="P41">
        <v>6</v>
      </c>
      <c r="Q41">
        <v>9</v>
      </c>
      <c r="R41">
        <v>24</v>
      </c>
      <c r="S41">
        <v>37314628</v>
      </c>
      <c r="T41">
        <v>36</v>
      </c>
      <c r="U41">
        <v>123</v>
      </c>
      <c r="V41">
        <v>25387.707496248549</v>
      </c>
      <c r="W41">
        <v>37314629.789188273</v>
      </c>
      <c r="X41">
        <v>117.408</v>
      </c>
      <c r="Y41">
        <f>VLOOKUP(AB41,'2000 Seattle Tracts'!$C$2:$Z$374,24,FALSE)</f>
        <v>942970.65700000001</v>
      </c>
      <c r="Z41">
        <f t="shared" si="0"/>
        <v>1.2450864629608513E-4</v>
      </c>
      <c r="AA41" t="s">
        <v>125</v>
      </c>
      <c r="AB41" t="str">
        <f t="shared" si="1"/>
        <v>Census Tract 18, King County, Washington</v>
      </c>
      <c r="AC41" s="3">
        <f>VLOOKUP($AB41,'2000 Seattle Tracts'!$C$2:$Y$374,AC$1,FALSE)*$Z41</f>
        <v>0.49691400736767571</v>
      </c>
      <c r="AD41" s="3">
        <f>VLOOKUP($AB41,'2000 Seattle Tracts'!$C$2:$Y$374,AD$1,FALSE)*$Z41</f>
        <v>0.39232674447896421</v>
      </c>
      <c r="AE41" s="3">
        <f>VLOOKUP($AB41,'2000 Seattle Tracts'!$C$2:$Y$374,AE$1,FALSE)*$Z41</f>
        <v>0.10458726288871151</v>
      </c>
      <c r="AF41" s="3">
        <f>VLOOKUP($AB41,'2000 Seattle Tracts'!$C$2:$Y$374,AF$1,FALSE)*$Z41</f>
        <v>0.49691400736767571</v>
      </c>
      <c r="AG41" s="3">
        <f>VLOOKUP($AB41,'2000 Seattle Tracts'!$C$2:$Y$374,AG$1,FALSE)*$Z41</f>
        <v>0.39232674447896421</v>
      </c>
      <c r="AH41" s="3">
        <f>VLOOKUP($AB41,'2000 Seattle Tracts'!$C$2:$Y$374,AH$1,FALSE)*$Z41</f>
        <v>0.10458726288871151</v>
      </c>
      <c r="AI41" s="3">
        <f>VLOOKUP($AB41,'2000 Seattle Tracts'!$C$2:$Y$374,AI$1,FALSE)*$Z41</f>
        <v>0.32459404089389393</v>
      </c>
      <c r="AJ41" s="3">
        <f>VLOOKUP($AB41,'2000 Seattle Tracts'!$C$2:$Y$374,AJ$1,FALSE)*$Z41</f>
        <v>2.5275255198105282E-2</v>
      </c>
      <c r="AK41" s="3">
        <f>VLOOKUP($AB41,'2000 Seattle Tracts'!$C$2:$Y$374,AK$1,FALSE)*$Z41</f>
        <v>4.108785327770809E-3</v>
      </c>
      <c r="AL41" s="3">
        <f>VLOOKUP($AB41,'2000 Seattle Tracts'!$C$2:$Y$374,AL$1,FALSE)*$Z41</f>
        <v>3.6107507425864687E-3</v>
      </c>
      <c r="AM41" s="3">
        <f>VLOOKUP($AB41,'2000 Seattle Tracts'!$C$2:$Y$374,AM$1,FALSE)*$Z41</f>
        <v>1.4692020262938045E-2</v>
      </c>
      <c r="AN41" s="3">
        <f>VLOOKUP($AB41,'2000 Seattle Tracts'!$C$2:$Y$374,AN$1,FALSE)*$Z41</f>
        <v>1.3820459738865448E-2</v>
      </c>
      <c r="AO41" s="3">
        <f>VLOOKUP($AB41,'2000 Seattle Tracts'!$C$2:$Y$374,AO$1,FALSE)*$Z41</f>
        <v>4.2332939740668939E-3</v>
      </c>
      <c r="AP41" s="3">
        <f>VLOOKUP($AB41,'2000 Seattle Tracts'!$C$2:$Y$374,AP$1,FALSE)*$Z41</f>
        <v>6.2254323148042568E-4</v>
      </c>
      <c r="AQ41" s="3">
        <f>VLOOKUP($AB41,'2000 Seattle Tracts'!$C$2:$Y$374,AQ$1,FALSE)*$Z41</f>
        <v>1.8053753712932344E-2</v>
      </c>
      <c r="AR41" s="3">
        <f>VLOOKUP($AB41,'2000 Seattle Tracts'!$C$2:$Y$374,AR$1,FALSE)*$Z41</f>
        <v>3.7228085242529456E-2</v>
      </c>
      <c r="AS41" s="3">
        <f>VLOOKUP($AB41,'2000 Seattle Tracts'!$C$2:$Y$374,AS$1,FALSE)*$Z41</f>
        <v>4.980345851843405E-4</v>
      </c>
      <c r="AT41" s="3">
        <f>VLOOKUP($AB41,'2000 Seattle Tracts'!$C$2:$Y$374,AT$1,FALSE)*$Z41</f>
        <v>1.1205778166647662E-3</v>
      </c>
      <c r="AU41" s="3">
        <f>VLOOKUP($AB41,'2000 Seattle Tracts'!$C$2:$Y$374,AU$1,FALSE)*$Z41</f>
        <v>7.8440447166533631E-3</v>
      </c>
      <c r="AV41" s="3">
        <f>VLOOKUP($AB41,'2000 Seattle Tracts'!$C$2:$Y$374,AV$1,FALSE)*$Z41</f>
        <v>1.3322425153681108E-2</v>
      </c>
      <c r="AW41" s="3">
        <f>VLOOKUP($AB41,'2000 Seattle Tracts'!$C$2:$Y$374,AW$1,FALSE)*$Z41</f>
        <v>1.8302771005524514E-2</v>
      </c>
      <c r="AX41" s="3">
        <f>VLOOKUP($AB41,'2000 Seattle Tracts'!$C$2:$Y$374,AX$1,FALSE)*$Z41</f>
        <v>9.5871657647985543E-3</v>
      </c>
      <c r="AZ41" s="2" t="s">
        <v>126</v>
      </c>
      <c r="BA41">
        <v>4460.9827329550626</v>
      </c>
      <c r="BB41">
        <v>3739.3544841398148</v>
      </c>
      <c r="BC41">
        <v>721.62824881524762</v>
      </c>
      <c r="BD41">
        <v>3291.5514685989092</v>
      </c>
      <c r="BE41">
        <v>316.1655936608102</v>
      </c>
      <c r="BF41">
        <v>64.260529893037429</v>
      </c>
      <c r="BG41">
        <v>20.014814534642749</v>
      </c>
      <c r="BH41">
        <v>25.146535737862699</v>
      </c>
      <c r="BI41">
        <v>11.267642535421666</v>
      </c>
      <c r="BJ41">
        <v>15.903012807275216</v>
      </c>
      <c r="BK41">
        <v>3.7082079077876147</v>
      </c>
      <c r="BL41">
        <v>124.26920799704345</v>
      </c>
      <c r="BM41">
        <v>313.71413930417157</v>
      </c>
      <c r="BN41">
        <v>3.6677425981425458E-3</v>
      </c>
      <c r="BO41">
        <v>1.2905020252723773E-3</v>
      </c>
      <c r="BP41">
        <v>41.678384836680607</v>
      </c>
      <c r="BQ41">
        <v>22.671588212654299</v>
      </c>
      <c r="BR41">
        <v>176.5416765264078</v>
      </c>
      <c r="BS41">
        <v>34.084972157734263</v>
      </c>
    </row>
    <row r="42" spans="1:71" x14ac:dyDescent="0.25">
      <c r="A42" t="s">
        <v>2917</v>
      </c>
      <c r="B42" t="s">
        <v>2918</v>
      </c>
      <c r="C42" t="s">
        <v>3290</v>
      </c>
      <c r="D42" t="s">
        <v>2776</v>
      </c>
      <c r="E42" t="s">
        <v>2777</v>
      </c>
      <c r="F42" t="s">
        <v>2778</v>
      </c>
      <c r="G42" t="s">
        <v>2920</v>
      </c>
      <c r="H42" t="s">
        <v>2921</v>
      </c>
      <c r="I42">
        <v>942974</v>
      </c>
      <c r="J42">
        <v>0</v>
      </c>
      <c r="K42" t="s">
        <v>3363</v>
      </c>
      <c r="L42" t="s">
        <v>3364</v>
      </c>
      <c r="M42">
        <v>115</v>
      </c>
      <c r="N42">
        <v>20132.898000000001</v>
      </c>
      <c r="O42" t="s">
        <v>215</v>
      </c>
      <c r="P42">
        <v>2</v>
      </c>
      <c r="Q42">
        <v>10</v>
      </c>
      <c r="R42">
        <v>9</v>
      </c>
      <c r="S42">
        <v>21704706</v>
      </c>
      <c r="T42">
        <v>117</v>
      </c>
      <c r="U42">
        <v>110</v>
      </c>
      <c r="V42">
        <v>20132.89824583329</v>
      </c>
      <c r="W42">
        <v>21704706.261455789</v>
      </c>
      <c r="X42">
        <v>617240.68299999996</v>
      </c>
      <c r="Y42">
        <f>VLOOKUP(AB42,'2000 Seattle Tracts'!$C$2:$Z$374,24,FALSE)</f>
        <v>942970.65700000001</v>
      </c>
      <c r="Z42">
        <f t="shared" si="0"/>
        <v>0.65457040303216985</v>
      </c>
      <c r="AA42" t="s">
        <v>218</v>
      </c>
      <c r="AB42" t="str">
        <f t="shared" si="1"/>
        <v>Census Tract 18, King County, Washington</v>
      </c>
      <c r="AC42" s="3">
        <f>VLOOKUP($AB42,'2000 Seattle Tracts'!$C$2:$Y$374,AC$1,FALSE)*$Z42</f>
        <v>2612.3904785013897</v>
      </c>
      <c r="AD42" s="3">
        <f>VLOOKUP($AB42,'2000 Seattle Tracts'!$C$2:$Y$374,AD$1,FALSE)*$Z42</f>
        <v>2062.551339954367</v>
      </c>
      <c r="AE42" s="3">
        <f>VLOOKUP($AB42,'2000 Seattle Tracts'!$C$2:$Y$374,AE$1,FALSE)*$Z42</f>
        <v>549.83913854702269</v>
      </c>
      <c r="AF42" s="3">
        <f>VLOOKUP($AB42,'2000 Seattle Tracts'!$C$2:$Y$374,AF$1,FALSE)*$Z42</f>
        <v>2612.3904785013897</v>
      </c>
      <c r="AG42" s="3">
        <f>VLOOKUP($AB42,'2000 Seattle Tracts'!$C$2:$Y$374,AG$1,FALSE)*$Z42</f>
        <v>2062.551339954367</v>
      </c>
      <c r="AH42" s="3">
        <f>VLOOKUP($AB42,'2000 Seattle Tracts'!$C$2:$Y$374,AH$1,FALSE)*$Z42</f>
        <v>549.83913854702269</v>
      </c>
      <c r="AI42" s="3">
        <f>VLOOKUP($AB42,'2000 Seattle Tracts'!$C$2:$Y$374,AI$1,FALSE)*$Z42</f>
        <v>1706.4650407048669</v>
      </c>
      <c r="AJ42" s="3">
        <f>VLOOKUP($AB42,'2000 Seattle Tracts'!$C$2:$Y$374,AJ$1,FALSE)*$Z42</f>
        <v>132.87779181553049</v>
      </c>
      <c r="AK42" s="3">
        <f>VLOOKUP($AB42,'2000 Seattle Tracts'!$C$2:$Y$374,AK$1,FALSE)*$Z42</f>
        <v>21.600823300061606</v>
      </c>
      <c r="AL42" s="3">
        <f>VLOOKUP($AB42,'2000 Seattle Tracts'!$C$2:$Y$374,AL$1,FALSE)*$Z42</f>
        <v>18.982541687932926</v>
      </c>
      <c r="AM42" s="3">
        <f>VLOOKUP($AB42,'2000 Seattle Tracts'!$C$2:$Y$374,AM$1,FALSE)*$Z42</f>
        <v>77.239307557796039</v>
      </c>
      <c r="AN42" s="3">
        <f>VLOOKUP($AB42,'2000 Seattle Tracts'!$C$2:$Y$374,AN$1,FALSE)*$Z42</f>
        <v>72.657314736570854</v>
      </c>
      <c r="AO42" s="3">
        <f>VLOOKUP($AB42,'2000 Seattle Tracts'!$C$2:$Y$374,AO$1,FALSE)*$Z42</f>
        <v>22.255393703093773</v>
      </c>
      <c r="AP42" s="3">
        <f>VLOOKUP($AB42,'2000 Seattle Tracts'!$C$2:$Y$374,AP$1,FALSE)*$Z42</f>
        <v>3.2728520151608493</v>
      </c>
      <c r="AQ42" s="3">
        <f>VLOOKUP($AB42,'2000 Seattle Tracts'!$C$2:$Y$374,AQ$1,FALSE)*$Z42</f>
        <v>94.912708439664627</v>
      </c>
      <c r="AR42" s="3">
        <f>VLOOKUP($AB42,'2000 Seattle Tracts'!$C$2:$Y$374,AR$1,FALSE)*$Z42</f>
        <v>195.71655050661877</v>
      </c>
      <c r="AS42" s="3">
        <f>VLOOKUP($AB42,'2000 Seattle Tracts'!$C$2:$Y$374,AS$1,FALSE)*$Z42</f>
        <v>2.6182816121286794</v>
      </c>
      <c r="AT42" s="3">
        <f>VLOOKUP($AB42,'2000 Seattle Tracts'!$C$2:$Y$374,AT$1,FALSE)*$Z42</f>
        <v>5.8911336272895287</v>
      </c>
      <c r="AU42" s="3">
        <f>VLOOKUP($AB42,'2000 Seattle Tracts'!$C$2:$Y$374,AU$1,FALSE)*$Z42</f>
        <v>41.237935391026703</v>
      </c>
      <c r="AV42" s="3">
        <f>VLOOKUP($AB42,'2000 Seattle Tracts'!$C$2:$Y$374,AV$1,FALSE)*$Z42</f>
        <v>70.03903312444217</v>
      </c>
      <c r="AW42" s="3">
        <f>VLOOKUP($AB42,'2000 Seattle Tracts'!$C$2:$Y$374,AW$1,FALSE)*$Z42</f>
        <v>96.221849245728961</v>
      </c>
      <c r="AX42" s="3">
        <f>VLOOKUP($AB42,'2000 Seattle Tracts'!$C$2:$Y$374,AX$1,FALSE)*$Z42</f>
        <v>50.40192103347708</v>
      </c>
      <c r="AZ42" s="2" t="s">
        <v>199</v>
      </c>
      <c r="BA42">
        <v>7323.826277305343</v>
      </c>
      <c r="BB42">
        <v>6192.7013707638425</v>
      </c>
      <c r="BC42">
        <v>1131.1249065415</v>
      </c>
      <c r="BD42">
        <v>5541.4426166837366</v>
      </c>
      <c r="BE42">
        <v>434.46249592265053</v>
      </c>
      <c r="BF42">
        <v>84.87584161125443</v>
      </c>
      <c r="BG42">
        <v>33.250376064888258</v>
      </c>
      <c r="BH42">
        <v>92.285236514148693</v>
      </c>
      <c r="BI42">
        <v>59.308717626529038</v>
      </c>
      <c r="BJ42">
        <v>27.006437280015273</v>
      </c>
      <c r="BK42">
        <v>2.2647674417163723</v>
      </c>
      <c r="BL42">
        <v>156.06802013754651</v>
      </c>
      <c r="BM42">
        <v>492.66833337163831</v>
      </c>
      <c r="BN42">
        <v>4.2962549083834656</v>
      </c>
      <c r="BO42">
        <v>2.2898877195675591</v>
      </c>
      <c r="BP42">
        <v>39.150953694350164</v>
      </c>
      <c r="BQ42">
        <v>28.619190343103348</v>
      </c>
      <c r="BR42">
        <v>247.57600993440698</v>
      </c>
      <c r="BS42">
        <v>78.261138051406576</v>
      </c>
    </row>
    <row r="43" spans="1:71" x14ac:dyDescent="0.25">
      <c r="A43" t="s">
        <v>2917</v>
      </c>
      <c r="B43" t="s">
        <v>2918</v>
      </c>
      <c r="C43" t="s">
        <v>3290</v>
      </c>
      <c r="D43" t="s">
        <v>2776</v>
      </c>
      <c r="E43" t="s">
        <v>2777</v>
      </c>
      <c r="F43" t="s">
        <v>2778</v>
      </c>
      <c r="G43" t="s">
        <v>2920</v>
      </c>
      <c r="H43" t="s">
        <v>2921</v>
      </c>
      <c r="I43">
        <v>942974</v>
      </c>
      <c r="J43">
        <v>0</v>
      </c>
      <c r="K43" t="s">
        <v>3363</v>
      </c>
      <c r="L43" t="s">
        <v>3364</v>
      </c>
      <c r="M43">
        <v>118</v>
      </c>
      <c r="N43">
        <v>26501.526999999998</v>
      </c>
      <c r="O43" t="s">
        <v>122</v>
      </c>
      <c r="P43">
        <v>1</v>
      </c>
      <c r="Q43">
        <v>2</v>
      </c>
      <c r="R43">
        <v>19</v>
      </c>
      <c r="S43">
        <v>42044564</v>
      </c>
      <c r="T43">
        <v>120</v>
      </c>
      <c r="U43">
        <v>115</v>
      </c>
      <c r="V43">
        <v>26501.526591104928</v>
      </c>
      <c r="W43">
        <v>42044563.673184253</v>
      </c>
      <c r="X43">
        <v>325612.56599999999</v>
      </c>
      <c r="Y43">
        <f>VLOOKUP(AB43,'2000 Seattle Tracts'!$C$2:$Z$374,24,FALSE)</f>
        <v>942970.65700000001</v>
      </c>
      <c r="Z43">
        <f t="shared" si="0"/>
        <v>0.34530508832153406</v>
      </c>
      <c r="AA43" t="s">
        <v>221</v>
      </c>
      <c r="AB43" t="str">
        <f t="shared" si="1"/>
        <v>Census Tract 18, King County, Washington</v>
      </c>
      <c r="AC43" s="3">
        <f>VLOOKUP($AB43,'2000 Seattle Tracts'!$C$2:$Y$374,AC$1,FALSE)*$Z43</f>
        <v>1378.1126074912424</v>
      </c>
      <c r="AD43" s="3">
        <f>VLOOKUP($AB43,'2000 Seattle Tracts'!$C$2:$Y$374,AD$1,FALSE)*$Z43</f>
        <v>1088.0563333011539</v>
      </c>
      <c r="AE43" s="3">
        <f>VLOOKUP($AB43,'2000 Seattle Tracts'!$C$2:$Y$374,AE$1,FALSE)*$Z43</f>
        <v>290.05627419008863</v>
      </c>
      <c r="AF43" s="3">
        <f>VLOOKUP($AB43,'2000 Seattle Tracts'!$C$2:$Y$374,AF$1,FALSE)*$Z43</f>
        <v>1378.1126074912424</v>
      </c>
      <c r="AG43" s="3">
        <f>VLOOKUP($AB43,'2000 Seattle Tracts'!$C$2:$Y$374,AG$1,FALSE)*$Z43</f>
        <v>1088.0563333011539</v>
      </c>
      <c r="AH43" s="3">
        <f>VLOOKUP($AB43,'2000 Seattle Tracts'!$C$2:$Y$374,AH$1,FALSE)*$Z43</f>
        <v>290.05627419008863</v>
      </c>
      <c r="AI43" s="3">
        <f>VLOOKUP($AB43,'2000 Seattle Tracts'!$C$2:$Y$374,AI$1,FALSE)*$Z43</f>
        <v>900.21036525423926</v>
      </c>
      <c r="AJ43" s="3">
        <f>VLOOKUP($AB43,'2000 Seattle Tracts'!$C$2:$Y$374,AJ$1,FALSE)*$Z43</f>
        <v>70.096932929271418</v>
      </c>
      <c r="AK43" s="3">
        <f>VLOOKUP($AB43,'2000 Seattle Tracts'!$C$2:$Y$374,AK$1,FALSE)*$Z43</f>
        <v>11.395067914610625</v>
      </c>
      <c r="AL43" s="3">
        <f>VLOOKUP($AB43,'2000 Seattle Tracts'!$C$2:$Y$374,AL$1,FALSE)*$Z43</f>
        <v>10.013847561324488</v>
      </c>
      <c r="AM43" s="3">
        <f>VLOOKUP($AB43,'2000 Seattle Tracts'!$C$2:$Y$374,AM$1,FALSE)*$Z43</f>
        <v>40.746000421941019</v>
      </c>
      <c r="AN43" s="3">
        <f>VLOOKUP($AB43,'2000 Seattle Tracts'!$C$2:$Y$374,AN$1,FALSE)*$Z43</f>
        <v>38.32886480369028</v>
      </c>
      <c r="AO43" s="3">
        <f>VLOOKUP($AB43,'2000 Seattle Tracts'!$C$2:$Y$374,AO$1,FALSE)*$Z43</f>
        <v>11.740373002932158</v>
      </c>
      <c r="AP43" s="3">
        <f>VLOOKUP($AB43,'2000 Seattle Tracts'!$C$2:$Y$374,AP$1,FALSE)*$Z43</f>
        <v>1.7265254416076703</v>
      </c>
      <c r="AQ43" s="3">
        <f>VLOOKUP($AB43,'2000 Seattle Tracts'!$C$2:$Y$374,AQ$1,FALSE)*$Z43</f>
        <v>50.069237806622439</v>
      </c>
      <c r="AR43" s="3">
        <f>VLOOKUP($AB43,'2000 Seattle Tracts'!$C$2:$Y$374,AR$1,FALSE)*$Z43</f>
        <v>103.24622140813868</v>
      </c>
      <c r="AS43" s="3">
        <f>VLOOKUP($AB43,'2000 Seattle Tracts'!$C$2:$Y$374,AS$1,FALSE)*$Z43</f>
        <v>1.3812203532861362</v>
      </c>
      <c r="AT43" s="3">
        <f>VLOOKUP($AB43,'2000 Seattle Tracts'!$C$2:$Y$374,AT$1,FALSE)*$Z43</f>
        <v>3.1077457948938063</v>
      </c>
      <c r="AU43" s="3">
        <f>VLOOKUP($AB43,'2000 Seattle Tracts'!$C$2:$Y$374,AU$1,FALSE)*$Z43</f>
        <v>21.754220564256645</v>
      </c>
      <c r="AV43" s="3">
        <f>VLOOKUP($AB43,'2000 Seattle Tracts'!$C$2:$Y$374,AV$1,FALSE)*$Z43</f>
        <v>36.947644450404141</v>
      </c>
      <c r="AW43" s="3">
        <f>VLOOKUP($AB43,'2000 Seattle Tracts'!$C$2:$Y$374,AW$1,FALSE)*$Z43</f>
        <v>50.759847983265509</v>
      </c>
      <c r="AX43" s="3">
        <f>VLOOKUP($AB43,'2000 Seattle Tracts'!$C$2:$Y$374,AX$1,FALSE)*$Z43</f>
        <v>26.588491800758124</v>
      </c>
      <c r="AZ43" s="2" t="s">
        <v>119</v>
      </c>
      <c r="BA43">
        <v>4952.6889635315392</v>
      </c>
      <c r="BB43">
        <v>4431.9995057951437</v>
      </c>
      <c r="BC43">
        <v>520.68945773639552</v>
      </c>
      <c r="BD43">
        <v>3891.4093673803554</v>
      </c>
      <c r="BE43">
        <v>341.26479633472638</v>
      </c>
      <c r="BF43">
        <v>72.528115990143348</v>
      </c>
      <c r="BG43">
        <v>52.611409014800714</v>
      </c>
      <c r="BH43">
        <v>31.498242826197444</v>
      </c>
      <c r="BI43">
        <v>5.4534352412157956</v>
      </c>
      <c r="BJ43">
        <v>74.593380157440535</v>
      </c>
      <c r="BK43">
        <v>1.7342466500085569</v>
      </c>
      <c r="BL43">
        <v>83.148108877466129</v>
      </c>
      <c r="BM43">
        <v>87.943073704311729</v>
      </c>
      <c r="BN43">
        <v>12.690021246309</v>
      </c>
      <c r="BO43">
        <v>12.022809421191505</v>
      </c>
      <c r="BP43">
        <v>81.865597934419768</v>
      </c>
      <c r="BQ43">
        <v>1.3684669136781843E-2</v>
      </c>
      <c r="BR43">
        <v>184.26667138281172</v>
      </c>
      <c r="BS43">
        <v>19.646002701004047</v>
      </c>
    </row>
    <row r="44" spans="1:71" x14ac:dyDescent="0.25">
      <c r="A44" t="s">
        <v>2917</v>
      </c>
      <c r="B44" t="s">
        <v>2918</v>
      </c>
      <c r="C44" t="s">
        <v>3365</v>
      </c>
      <c r="D44" t="s">
        <v>3366</v>
      </c>
      <c r="E44" t="s">
        <v>3367</v>
      </c>
      <c r="F44" t="s">
        <v>3368</v>
      </c>
      <c r="G44" t="s">
        <v>2920</v>
      </c>
      <c r="H44" t="s">
        <v>2921</v>
      </c>
      <c r="I44">
        <v>2172993</v>
      </c>
      <c r="J44">
        <v>0</v>
      </c>
      <c r="K44" t="s">
        <v>3369</v>
      </c>
      <c r="L44" t="s">
        <v>3370</v>
      </c>
      <c r="M44">
        <v>29</v>
      </c>
      <c r="N44">
        <v>15934.439</v>
      </c>
      <c r="O44" t="s">
        <v>117</v>
      </c>
      <c r="P44">
        <v>7</v>
      </c>
      <c r="Q44">
        <v>11</v>
      </c>
      <c r="R44">
        <v>24</v>
      </c>
      <c r="S44">
        <v>14195687</v>
      </c>
      <c r="T44">
        <v>31</v>
      </c>
      <c r="U44">
        <v>121</v>
      </c>
      <c r="V44">
        <v>15934.4392663199</v>
      </c>
      <c r="W44">
        <v>14195687.491917299</v>
      </c>
      <c r="X44">
        <v>123.866</v>
      </c>
      <c r="Y44">
        <f>VLOOKUP(AB44,'2000 Seattle Tracts'!$C$2:$Z$374,24,FALSE)</f>
        <v>2172992.5669999998</v>
      </c>
      <c r="Z44">
        <f t="shared" si="0"/>
        <v>5.7002495950093148E-5</v>
      </c>
      <c r="AA44" t="s">
        <v>119</v>
      </c>
      <c r="AB44" t="str">
        <f t="shared" si="1"/>
        <v>Census Tract 17, King County, Washington</v>
      </c>
      <c r="AC44" s="3">
        <f>VLOOKUP($AB44,'2000 Seattle Tracts'!$C$2:$Y$374,AC$1,FALSE)*$Z44</f>
        <v>0.42455458983629379</v>
      </c>
      <c r="AD44" s="3">
        <f>VLOOKUP($AB44,'2000 Seattle Tracts'!$C$2:$Y$374,AD$1,FALSE)*$Z44</f>
        <v>0.3417299632208084</v>
      </c>
      <c r="AE44" s="3">
        <f>VLOOKUP($AB44,'2000 Seattle Tracts'!$C$2:$Y$374,AE$1,FALSE)*$Z44</f>
        <v>8.2824626615485342E-2</v>
      </c>
      <c r="AF44" s="3">
        <f>VLOOKUP($AB44,'2000 Seattle Tracts'!$C$2:$Y$374,AF$1,FALSE)*$Z44</f>
        <v>0.42455458983629379</v>
      </c>
      <c r="AG44" s="3">
        <f>VLOOKUP($AB44,'2000 Seattle Tracts'!$C$2:$Y$374,AG$1,FALSE)*$Z44</f>
        <v>0.3417299632208084</v>
      </c>
      <c r="AH44" s="3">
        <f>VLOOKUP($AB44,'2000 Seattle Tracts'!$C$2:$Y$374,AH$1,FALSE)*$Z44</f>
        <v>8.2824626615485342E-2</v>
      </c>
      <c r="AI44" s="3">
        <f>VLOOKUP($AB44,'2000 Seattle Tracts'!$C$2:$Y$374,AI$1,FALSE)*$Z44</f>
        <v>0.28278938240841212</v>
      </c>
      <c r="AJ44" s="3">
        <f>VLOOKUP($AB44,'2000 Seattle Tracts'!$C$2:$Y$374,AJ$1,FALSE)*$Z44</f>
        <v>2.1090923501534464E-2</v>
      </c>
      <c r="AK44" s="3">
        <f>VLOOKUP($AB44,'2000 Seattle Tracts'!$C$2:$Y$374,AK$1,FALSE)*$Z44</f>
        <v>5.24422962740857E-3</v>
      </c>
      <c r="AL44" s="3">
        <f>VLOOKUP($AB44,'2000 Seattle Tracts'!$C$2:$Y$374,AL$1,FALSE)*$Z44</f>
        <v>6.4982845383106192E-3</v>
      </c>
      <c r="AM44" s="3">
        <f>VLOOKUP($AB44,'2000 Seattle Tracts'!$C$2:$Y$374,AM$1,FALSE)*$Z44</f>
        <v>9.7474268074659292E-3</v>
      </c>
      <c r="AN44" s="3">
        <f>VLOOKUP($AB44,'2000 Seattle Tracts'!$C$2:$Y$374,AN$1,FALSE)*$Z44</f>
        <v>3.3631472610554957E-3</v>
      </c>
      <c r="AO44" s="3">
        <f>VLOOKUP($AB44,'2000 Seattle Tracts'!$C$2:$Y$374,AO$1,FALSE)*$Z44</f>
        <v>4.6172021719575454E-3</v>
      </c>
      <c r="AP44" s="3">
        <f>VLOOKUP($AB44,'2000 Seattle Tracts'!$C$2:$Y$374,AP$1,FALSE)*$Z44</f>
        <v>9.1203993520149037E-4</v>
      </c>
      <c r="AQ44" s="3">
        <f>VLOOKUP($AB44,'2000 Seattle Tracts'!$C$2:$Y$374,AQ$1,FALSE)*$Z44</f>
        <v>1.3851606515872635E-2</v>
      </c>
      <c r="AR44" s="3">
        <f>VLOOKUP($AB44,'2000 Seattle Tracts'!$C$2:$Y$374,AR$1,FALSE)*$Z44</f>
        <v>4.1212804571917346E-2</v>
      </c>
      <c r="AS44" s="3">
        <f>VLOOKUP($AB44,'2000 Seattle Tracts'!$C$2:$Y$374,AS$1,FALSE)*$Z44</f>
        <v>0</v>
      </c>
      <c r="AT44" s="3">
        <f>VLOOKUP($AB44,'2000 Seattle Tracts'!$C$2:$Y$374,AT$1,FALSE)*$Z44</f>
        <v>6.8402995140111778E-4</v>
      </c>
      <c r="AU44" s="3">
        <f>VLOOKUP($AB44,'2000 Seattle Tracts'!$C$2:$Y$374,AU$1,FALSE)*$Z44</f>
        <v>3.3631472610554957E-3</v>
      </c>
      <c r="AV44" s="3">
        <f>VLOOKUP($AB44,'2000 Seattle Tracts'!$C$2:$Y$374,AV$1,FALSE)*$Z44</f>
        <v>3.1921397732052161E-3</v>
      </c>
      <c r="AW44" s="3">
        <f>VLOOKUP($AB44,'2000 Seattle Tracts'!$C$2:$Y$374,AW$1,FALSE)*$Z44</f>
        <v>2.2116968428636141E-2</v>
      </c>
      <c r="AX44" s="3">
        <f>VLOOKUP($AB44,'2000 Seattle Tracts'!$C$2:$Y$374,AX$1,FALSE)*$Z44</f>
        <v>5.8712570828595946E-3</v>
      </c>
      <c r="AZ44" s="2" t="s">
        <v>3321</v>
      </c>
      <c r="BA44">
        <v>56.363814351951689</v>
      </c>
      <c r="BB44">
        <v>38.603075210649308</v>
      </c>
      <c r="BC44">
        <v>17.760739141302381</v>
      </c>
      <c r="BD44">
        <v>23.987866543616462</v>
      </c>
      <c r="BE44">
        <v>1.1763772505398264</v>
      </c>
      <c r="BF44">
        <v>0.70326900847489626</v>
      </c>
      <c r="BG44">
        <v>0.3580278588599472</v>
      </c>
      <c r="BH44">
        <v>4.0533868306644019</v>
      </c>
      <c r="BI44">
        <v>0.57540191602491508</v>
      </c>
      <c r="BJ44">
        <v>0.93342977488486234</v>
      </c>
      <c r="BK44">
        <v>0</v>
      </c>
      <c r="BL44">
        <v>3.9255197382144211</v>
      </c>
      <c r="BM44">
        <v>12.889002918958099</v>
      </c>
      <c r="BN44">
        <v>0.63933546224990567</v>
      </c>
      <c r="BO44">
        <v>0</v>
      </c>
      <c r="BP44">
        <v>1.8540728405247267</v>
      </c>
      <c r="BQ44">
        <v>1.5471918186447717</v>
      </c>
      <c r="BR44">
        <v>2.5061950120196306</v>
      </c>
      <c r="BS44">
        <v>1.2147373782748208</v>
      </c>
    </row>
    <row r="45" spans="1:71" x14ac:dyDescent="0.25">
      <c r="A45" t="s">
        <v>2917</v>
      </c>
      <c r="B45" t="s">
        <v>2918</v>
      </c>
      <c r="C45" t="s">
        <v>3365</v>
      </c>
      <c r="D45" t="s">
        <v>3366</v>
      </c>
      <c r="E45" t="s">
        <v>3367</v>
      </c>
      <c r="F45" t="s">
        <v>3368</v>
      </c>
      <c r="G45" t="s">
        <v>2920</v>
      </c>
      <c r="H45" t="s">
        <v>2921</v>
      </c>
      <c r="I45">
        <v>2172993</v>
      </c>
      <c r="J45">
        <v>0</v>
      </c>
      <c r="K45" t="s">
        <v>3369</v>
      </c>
      <c r="L45" t="s">
        <v>3370</v>
      </c>
      <c r="M45">
        <v>110</v>
      </c>
      <c r="N45">
        <v>34640.309000000001</v>
      </c>
      <c r="O45" t="s">
        <v>122</v>
      </c>
      <c r="P45">
        <v>1</v>
      </c>
      <c r="Q45">
        <v>2</v>
      </c>
      <c r="R45">
        <v>95</v>
      </c>
      <c r="S45">
        <v>48113448</v>
      </c>
      <c r="T45">
        <v>112</v>
      </c>
      <c r="U45">
        <v>100</v>
      </c>
      <c r="V45">
        <v>34640.309665739042</v>
      </c>
      <c r="W45">
        <v>48113449.730149508</v>
      </c>
      <c r="X45">
        <v>6.0000000000000001E-3</v>
      </c>
      <c r="Y45">
        <f>VLOOKUP(AB45,'2000 Seattle Tracts'!$C$2:$Z$374,24,FALSE)</f>
        <v>2172992.5669999998</v>
      </c>
      <c r="Z45">
        <f t="shared" si="0"/>
        <v>2.7611691319697002E-9</v>
      </c>
      <c r="AA45" t="s">
        <v>212</v>
      </c>
      <c r="AB45" t="str">
        <f t="shared" si="1"/>
        <v>Census Tract 17, King County, Washington</v>
      </c>
      <c r="AC45" s="3">
        <f>VLOOKUP($AB45,'2000 Seattle Tracts'!$C$2:$Y$374,AC$1,FALSE)*$Z45</f>
        <v>2.0565187694910328E-5</v>
      </c>
      <c r="AD45" s="3">
        <f>VLOOKUP($AB45,'2000 Seattle Tracts'!$C$2:$Y$374,AD$1,FALSE)*$Z45</f>
        <v>1.6553208946158351E-5</v>
      </c>
      <c r="AE45" s="3">
        <f>VLOOKUP($AB45,'2000 Seattle Tracts'!$C$2:$Y$374,AE$1,FALSE)*$Z45</f>
        <v>4.0119787487519741E-6</v>
      </c>
      <c r="AF45" s="3">
        <f>VLOOKUP($AB45,'2000 Seattle Tracts'!$C$2:$Y$374,AF$1,FALSE)*$Z45</f>
        <v>2.0565187694910328E-5</v>
      </c>
      <c r="AG45" s="3">
        <f>VLOOKUP($AB45,'2000 Seattle Tracts'!$C$2:$Y$374,AG$1,FALSE)*$Z45</f>
        <v>1.6553208946158351E-5</v>
      </c>
      <c r="AH45" s="3">
        <f>VLOOKUP($AB45,'2000 Seattle Tracts'!$C$2:$Y$374,AH$1,FALSE)*$Z45</f>
        <v>4.0119787487519741E-6</v>
      </c>
      <c r="AI45" s="3">
        <f>VLOOKUP($AB45,'2000 Seattle Tracts'!$C$2:$Y$374,AI$1,FALSE)*$Z45</f>
        <v>1.3698160063701683E-5</v>
      </c>
      <c r="AJ45" s="3">
        <f>VLOOKUP($AB45,'2000 Seattle Tracts'!$C$2:$Y$374,AJ$1,FALSE)*$Z45</f>
        <v>1.021632578828789E-6</v>
      </c>
      <c r="AK45" s="3">
        <f>VLOOKUP($AB45,'2000 Seattle Tracts'!$C$2:$Y$374,AK$1,FALSE)*$Z45</f>
        <v>2.540275601412124E-7</v>
      </c>
      <c r="AL45" s="3">
        <f>VLOOKUP($AB45,'2000 Seattle Tracts'!$C$2:$Y$374,AL$1,FALSE)*$Z45</f>
        <v>3.1477328104454583E-7</v>
      </c>
      <c r="AM45" s="3">
        <f>VLOOKUP($AB45,'2000 Seattle Tracts'!$C$2:$Y$374,AM$1,FALSE)*$Z45</f>
        <v>4.7215992156681872E-7</v>
      </c>
      <c r="AN45" s="3">
        <f>VLOOKUP($AB45,'2000 Seattle Tracts'!$C$2:$Y$374,AN$1,FALSE)*$Z45</f>
        <v>1.6290897878621232E-7</v>
      </c>
      <c r="AO45" s="3">
        <f>VLOOKUP($AB45,'2000 Seattle Tracts'!$C$2:$Y$374,AO$1,FALSE)*$Z45</f>
        <v>2.2365469968954572E-7</v>
      </c>
      <c r="AP45" s="3">
        <f>VLOOKUP($AB45,'2000 Seattle Tracts'!$C$2:$Y$374,AP$1,FALSE)*$Z45</f>
        <v>4.4178706111515203E-8</v>
      </c>
      <c r="AQ45" s="3">
        <f>VLOOKUP($AB45,'2000 Seattle Tracts'!$C$2:$Y$374,AQ$1,FALSE)*$Z45</f>
        <v>6.7096409906863711E-7</v>
      </c>
      <c r="AR45" s="3">
        <f>VLOOKUP($AB45,'2000 Seattle Tracts'!$C$2:$Y$374,AR$1,FALSE)*$Z45</f>
        <v>1.9963252824140931E-6</v>
      </c>
      <c r="AS45" s="3">
        <f>VLOOKUP($AB45,'2000 Seattle Tracts'!$C$2:$Y$374,AS$1,FALSE)*$Z45</f>
        <v>0</v>
      </c>
      <c r="AT45" s="3">
        <f>VLOOKUP($AB45,'2000 Seattle Tracts'!$C$2:$Y$374,AT$1,FALSE)*$Z45</f>
        <v>3.3134029583636402E-8</v>
      </c>
      <c r="AU45" s="3">
        <f>VLOOKUP($AB45,'2000 Seattle Tracts'!$C$2:$Y$374,AU$1,FALSE)*$Z45</f>
        <v>1.6290897878621232E-7</v>
      </c>
      <c r="AV45" s="3">
        <f>VLOOKUP($AB45,'2000 Seattle Tracts'!$C$2:$Y$374,AV$1,FALSE)*$Z45</f>
        <v>1.5462547139030321E-7</v>
      </c>
      <c r="AW45" s="3">
        <f>VLOOKUP($AB45,'2000 Seattle Tracts'!$C$2:$Y$374,AW$1,FALSE)*$Z45</f>
        <v>1.0713336232042437E-6</v>
      </c>
      <c r="AX45" s="3">
        <f>VLOOKUP($AB45,'2000 Seattle Tracts'!$C$2:$Y$374,AX$1,FALSE)*$Z45</f>
        <v>2.8440042059287914E-7</v>
      </c>
      <c r="AZ45" s="2" t="s">
        <v>169</v>
      </c>
      <c r="BA45">
        <v>4978.4252211192124</v>
      </c>
      <c r="BB45">
        <v>4481.5505692913357</v>
      </c>
      <c r="BC45">
        <v>496.8746518278781</v>
      </c>
      <c r="BD45">
        <v>3948.0079983902051</v>
      </c>
      <c r="BE45">
        <v>252.38376369080672</v>
      </c>
      <c r="BF45">
        <v>73.282650459851197</v>
      </c>
      <c r="BG45">
        <v>27.827746067558444</v>
      </c>
      <c r="BH45">
        <v>118.06521245273423</v>
      </c>
      <c r="BI45">
        <v>19.9255366113231</v>
      </c>
      <c r="BJ45">
        <v>55.610143762853852</v>
      </c>
      <c r="BK45">
        <v>9.6745955343333971</v>
      </c>
      <c r="BL45">
        <v>66.229646160181389</v>
      </c>
      <c r="BM45">
        <v>114.91384159165725</v>
      </c>
      <c r="BN45">
        <v>4.5980448212592293</v>
      </c>
      <c r="BO45">
        <v>0.15310507185209971</v>
      </c>
      <c r="BP45">
        <v>53.768980253597448</v>
      </c>
      <c r="BQ45">
        <v>39.155662677320215</v>
      </c>
      <c r="BR45">
        <v>161.98789299065291</v>
      </c>
      <c r="BS45">
        <v>32.840400583026877</v>
      </c>
    </row>
    <row r="46" spans="1:71" x14ac:dyDescent="0.25">
      <c r="A46" t="s">
        <v>2917</v>
      </c>
      <c r="B46" t="s">
        <v>2918</v>
      </c>
      <c r="C46" t="s">
        <v>3365</v>
      </c>
      <c r="D46" t="s">
        <v>3366</v>
      </c>
      <c r="E46" t="s">
        <v>3367</v>
      </c>
      <c r="F46" t="s">
        <v>3368</v>
      </c>
      <c r="G46" t="s">
        <v>2920</v>
      </c>
      <c r="H46" t="s">
        <v>2921</v>
      </c>
      <c r="I46">
        <v>2172993</v>
      </c>
      <c r="J46">
        <v>0</v>
      </c>
      <c r="K46" t="s">
        <v>3369</v>
      </c>
      <c r="L46" t="s">
        <v>3370</v>
      </c>
      <c r="M46">
        <v>111</v>
      </c>
      <c r="N46">
        <v>26446.203000000001</v>
      </c>
      <c r="O46" t="s">
        <v>122</v>
      </c>
      <c r="P46">
        <v>1</v>
      </c>
      <c r="Q46">
        <v>2</v>
      </c>
      <c r="R46">
        <v>23</v>
      </c>
      <c r="S46">
        <v>27690336</v>
      </c>
      <c r="T46">
        <v>113</v>
      </c>
      <c r="U46">
        <v>101</v>
      </c>
      <c r="V46">
        <v>26446.20305409377</v>
      </c>
      <c r="W46">
        <v>27690336.443909489</v>
      </c>
      <c r="X46">
        <v>19.584</v>
      </c>
      <c r="Y46">
        <f>VLOOKUP(AB46,'2000 Seattle Tracts'!$C$2:$Z$374,24,FALSE)</f>
        <v>2172992.5669999998</v>
      </c>
      <c r="Z46">
        <f t="shared" si="0"/>
        <v>9.0124560467491004E-6</v>
      </c>
      <c r="AA46" t="s">
        <v>213</v>
      </c>
      <c r="AB46" t="str">
        <f t="shared" si="1"/>
        <v>Census Tract 17, King County, Washington</v>
      </c>
      <c r="AC46" s="3">
        <f>VLOOKUP($AB46,'2000 Seattle Tracts'!$C$2:$Y$374,AC$1,FALSE)*$Z46</f>
        <v>6.7124772636187297E-2</v>
      </c>
      <c r="AD46" s="3">
        <f>VLOOKUP($AB46,'2000 Seattle Tracts'!$C$2:$Y$374,AD$1,FALSE)*$Z46</f>
        <v>5.4029674000260854E-2</v>
      </c>
      <c r="AE46" s="3">
        <f>VLOOKUP($AB46,'2000 Seattle Tracts'!$C$2:$Y$374,AE$1,FALSE)*$Z46</f>
        <v>1.3095098635926443E-2</v>
      </c>
      <c r="AF46" s="3">
        <f>VLOOKUP($AB46,'2000 Seattle Tracts'!$C$2:$Y$374,AF$1,FALSE)*$Z46</f>
        <v>6.7124772636187297E-2</v>
      </c>
      <c r="AG46" s="3">
        <f>VLOOKUP($AB46,'2000 Seattle Tracts'!$C$2:$Y$374,AG$1,FALSE)*$Z46</f>
        <v>5.4029674000260854E-2</v>
      </c>
      <c r="AH46" s="3">
        <f>VLOOKUP($AB46,'2000 Seattle Tracts'!$C$2:$Y$374,AH$1,FALSE)*$Z46</f>
        <v>1.3095098635926443E-2</v>
      </c>
      <c r="AI46" s="3">
        <f>VLOOKUP($AB46,'2000 Seattle Tracts'!$C$2:$Y$374,AI$1,FALSE)*$Z46</f>
        <v>4.4710794447922288E-2</v>
      </c>
      <c r="AJ46" s="3">
        <f>VLOOKUP($AB46,'2000 Seattle Tracts'!$C$2:$Y$374,AJ$1,FALSE)*$Z46</f>
        <v>3.3346087372971671E-3</v>
      </c>
      <c r="AK46" s="3">
        <f>VLOOKUP($AB46,'2000 Seattle Tracts'!$C$2:$Y$374,AK$1,FALSE)*$Z46</f>
        <v>8.2914595630091724E-4</v>
      </c>
      <c r="AL46" s="3">
        <f>VLOOKUP($AB46,'2000 Seattle Tracts'!$C$2:$Y$374,AL$1,FALSE)*$Z46</f>
        <v>1.0274199893293974E-3</v>
      </c>
      <c r="AM46" s="3">
        <f>VLOOKUP($AB46,'2000 Seattle Tracts'!$C$2:$Y$374,AM$1,FALSE)*$Z46</f>
        <v>1.5411299839940961E-3</v>
      </c>
      <c r="AN46" s="3">
        <f>VLOOKUP($AB46,'2000 Seattle Tracts'!$C$2:$Y$374,AN$1,FALSE)*$Z46</f>
        <v>5.3173490675819692E-4</v>
      </c>
      <c r="AO46" s="3">
        <f>VLOOKUP($AB46,'2000 Seattle Tracts'!$C$2:$Y$374,AO$1,FALSE)*$Z46</f>
        <v>7.3000893978667717E-4</v>
      </c>
      <c r="AP46" s="3">
        <f>VLOOKUP($AB46,'2000 Seattle Tracts'!$C$2:$Y$374,AP$1,FALSE)*$Z46</f>
        <v>1.4419929674798561E-4</v>
      </c>
      <c r="AQ46" s="3">
        <f>VLOOKUP($AB46,'2000 Seattle Tracts'!$C$2:$Y$374,AQ$1,FALSE)*$Z46</f>
        <v>2.1900268193600315E-3</v>
      </c>
      <c r="AR46" s="3">
        <f>VLOOKUP($AB46,'2000 Seattle Tracts'!$C$2:$Y$374,AR$1,FALSE)*$Z46</f>
        <v>6.5160057217995993E-3</v>
      </c>
      <c r="AS46" s="3">
        <f>VLOOKUP($AB46,'2000 Seattle Tracts'!$C$2:$Y$374,AS$1,FALSE)*$Z46</f>
        <v>0</v>
      </c>
      <c r="AT46" s="3">
        <f>VLOOKUP($AB46,'2000 Seattle Tracts'!$C$2:$Y$374,AT$1,FALSE)*$Z46</f>
        <v>1.0814947256098921E-4</v>
      </c>
      <c r="AU46" s="3">
        <f>VLOOKUP($AB46,'2000 Seattle Tracts'!$C$2:$Y$374,AU$1,FALSE)*$Z46</f>
        <v>5.3173490675819692E-4</v>
      </c>
      <c r="AV46" s="3">
        <f>VLOOKUP($AB46,'2000 Seattle Tracts'!$C$2:$Y$374,AV$1,FALSE)*$Z46</f>
        <v>5.0469753861794964E-4</v>
      </c>
      <c r="AW46" s="3">
        <f>VLOOKUP($AB46,'2000 Seattle Tracts'!$C$2:$Y$374,AW$1,FALSE)*$Z46</f>
        <v>3.496832946138651E-3</v>
      </c>
      <c r="AX46" s="3">
        <f>VLOOKUP($AB46,'2000 Seattle Tracts'!$C$2:$Y$374,AX$1,FALSE)*$Z46</f>
        <v>9.2828297281515731E-4</v>
      </c>
      <c r="AZ46" s="2" t="s">
        <v>171</v>
      </c>
      <c r="BA46">
        <v>5157.8421329761868</v>
      </c>
      <c r="BB46">
        <v>4658.0111182873125</v>
      </c>
      <c r="BC46">
        <v>499.83101468887435</v>
      </c>
      <c r="BD46">
        <v>4119.5247509242363</v>
      </c>
      <c r="BE46">
        <v>263.14103908529512</v>
      </c>
      <c r="BF46">
        <v>87.288976422965632</v>
      </c>
      <c r="BG46">
        <v>39.704575582417</v>
      </c>
      <c r="BH46">
        <v>106.9451180114477</v>
      </c>
      <c r="BI46">
        <v>10.803234657045383</v>
      </c>
      <c r="BJ46">
        <v>47.346828874918799</v>
      </c>
      <c r="BK46">
        <v>7.0110326205261311</v>
      </c>
      <c r="BL46">
        <v>85.592872547546506</v>
      </c>
      <c r="BM46">
        <v>113.58739399052374</v>
      </c>
      <c r="BN46">
        <v>10.129866416501015</v>
      </c>
      <c r="BO46">
        <v>0</v>
      </c>
      <c r="BP46">
        <v>37.338337773455422</v>
      </c>
      <c r="BQ46">
        <v>23.075443798550147</v>
      </c>
      <c r="BR46">
        <v>163.8443673162414</v>
      </c>
      <c r="BS46">
        <v>42.508294954516813</v>
      </c>
    </row>
    <row r="47" spans="1:71" x14ac:dyDescent="0.25">
      <c r="A47" t="s">
        <v>2917</v>
      </c>
      <c r="B47" t="s">
        <v>2918</v>
      </c>
      <c r="C47" t="s">
        <v>3365</v>
      </c>
      <c r="D47" t="s">
        <v>3366</v>
      </c>
      <c r="E47" t="s">
        <v>3367</v>
      </c>
      <c r="F47" t="s">
        <v>3368</v>
      </c>
      <c r="G47" t="s">
        <v>2920</v>
      </c>
      <c r="H47" t="s">
        <v>2921</v>
      </c>
      <c r="I47">
        <v>2172993</v>
      </c>
      <c r="J47">
        <v>0</v>
      </c>
      <c r="K47" t="s">
        <v>3369</v>
      </c>
      <c r="L47" t="s">
        <v>3370</v>
      </c>
      <c r="M47">
        <v>117</v>
      </c>
      <c r="N47">
        <v>18997.809000000001</v>
      </c>
      <c r="O47" t="s">
        <v>122</v>
      </c>
      <c r="P47">
        <v>1</v>
      </c>
      <c r="Q47">
        <v>2</v>
      </c>
      <c r="R47">
        <v>95</v>
      </c>
      <c r="S47">
        <v>15865750</v>
      </c>
      <c r="T47">
        <v>119</v>
      </c>
      <c r="U47">
        <v>113</v>
      </c>
      <c r="V47">
        <v>18997.808037941071</v>
      </c>
      <c r="W47">
        <v>15865750.419753481</v>
      </c>
      <c r="X47">
        <v>474025.43300000002</v>
      </c>
      <c r="Y47">
        <f>VLOOKUP(AB47,'2000 Seattle Tracts'!$C$2:$Z$374,24,FALSE)</f>
        <v>2172992.5669999998</v>
      </c>
      <c r="Z47">
        <f t="shared" si="0"/>
        <v>0.2181440655613619</v>
      </c>
      <c r="AA47" t="s">
        <v>220</v>
      </c>
      <c r="AB47" t="str">
        <f t="shared" si="1"/>
        <v>Census Tract 17, King County, Washington</v>
      </c>
      <c r="AC47" s="3">
        <f>VLOOKUP($AB47,'2000 Seattle Tracts'!$C$2:$Y$374,AC$1,FALSE)*$Z47</f>
        <v>1624.7370003010235</v>
      </c>
      <c r="AD47" s="3">
        <f>VLOOKUP($AB47,'2000 Seattle Tracts'!$C$2:$Y$374,AD$1,FALSE)*$Z47</f>
        <v>1307.7736730403647</v>
      </c>
      <c r="AE47" s="3">
        <f>VLOOKUP($AB47,'2000 Seattle Tracts'!$C$2:$Y$374,AE$1,FALSE)*$Z47</f>
        <v>316.96332726065884</v>
      </c>
      <c r="AF47" s="3">
        <f>VLOOKUP($AB47,'2000 Seattle Tracts'!$C$2:$Y$374,AF$1,FALSE)*$Z47</f>
        <v>1624.7370003010235</v>
      </c>
      <c r="AG47" s="3">
        <f>VLOOKUP($AB47,'2000 Seattle Tracts'!$C$2:$Y$374,AG$1,FALSE)*$Z47</f>
        <v>1307.7736730403647</v>
      </c>
      <c r="AH47" s="3">
        <f>VLOOKUP($AB47,'2000 Seattle Tracts'!$C$2:$Y$374,AH$1,FALSE)*$Z47</f>
        <v>316.96332726065884</v>
      </c>
      <c r="AI47" s="3">
        <f>VLOOKUP($AB47,'2000 Seattle Tracts'!$C$2:$Y$374,AI$1,FALSE)*$Z47</f>
        <v>1082.2127092499163</v>
      </c>
      <c r="AJ47" s="3">
        <f>VLOOKUP($AB47,'2000 Seattle Tracts'!$C$2:$Y$374,AJ$1,FALSE)*$Z47</f>
        <v>80.713304257703896</v>
      </c>
      <c r="AK47" s="3">
        <f>VLOOKUP($AB47,'2000 Seattle Tracts'!$C$2:$Y$374,AK$1,FALSE)*$Z47</f>
        <v>20.069254031645293</v>
      </c>
      <c r="AL47" s="3">
        <f>VLOOKUP($AB47,'2000 Seattle Tracts'!$C$2:$Y$374,AL$1,FALSE)*$Z47</f>
        <v>24.868423473995257</v>
      </c>
      <c r="AM47" s="3">
        <f>VLOOKUP($AB47,'2000 Seattle Tracts'!$C$2:$Y$374,AM$1,FALSE)*$Z47</f>
        <v>37.302635210992882</v>
      </c>
      <c r="AN47" s="3">
        <f>VLOOKUP($AB47,'2000 Seattle Tracts'!$C$2:$Y$374,AN$1,FALSE)*$Z47</f>
        <v>12.870499868120351</v>
      </c>
      <c r="AO47" s="3">
        <f>VLOOKUP($AB47,'2000 Seattle Tracts'!$C$2:$Y$374,AO$1,FALSE)*$Z47</f>
        <v>17.669669310470315</v>
      </c>
      <c r="AP47" s="3">
        <f>VLOOKUP($AB47,'2000 Seattle Tracts'!$C$2:$Y$374,AP$1,FALSE)*$Z47</f>
        <v>3.4903050489817904</v>
      </c>
      <c r="AQ47" s="3">
        <f>VLOOKUP($AB47,'2000 Seattle Tracts'!$C$2:$Y$374,AQ$1,FALSE)*$Z47</f>
        <v>53.009007931410942</v>
      </c>
      <c r="AR47" s="3">
        <f>VLOOKUP($AB47,'2000 Seattle Tracts'!$C$2:$Y$374,AR$1,FALSE)*$Z47</f>
        <v>157.71815940086466</v>
      </c>
      <c r="AS47" s="3">
        <f>VLOOKUP($AB47,'2000 Seattle Tracts'!$C$2:$Y$374,AS$1,FALSE)*$Z47</f>
        <v>0</v>
      </c>
      <c r="AT47" s="3">
        <f>VLOOKUP($AB47,'2000 Seattle Tracts'!$C$2:$Y$374,AT$1,FALSE)*$Z47</f>
        <v>2.6177287867363428</v>
      </c>
      <c r="AU47" s="3">
        <f>VLOOKUP($AB47,'2000 Seattle Tracts'!$C$2:$Y$374,AU$1,FALSE)*$Z47</f>
        <v>12.870499868120351</v>
      </c>
      <c r="AV47" s="3">
        <f>VLOOKUP($AB47,'2000 Seattle Tracts'!$C$2:$Y$374,AV$1,FALSE)*$Z47</f>
        <v>12.216067671436267</v>
      </c>
      <c r="AW47" s="3">
        <f>VLOOKUP($AB47,'2000 Seattle Tracts'!$C$2:$Y$374,AW$1,FALSE)*$Z47</f>
        <v>84.639897437808415</v>
      </c>
      <c r="AX47" s="3">
        <f>VLOOKUP($AB47,'2000 Seattle Tracts'!$C$2:$Y$374,AX$1,FALSE)*$Z47</f>
        <v>22.468838752820275</v>
      </c>
      <c r="AZ47" s="2" t="s">
        <v>173</v>
      </c>
      <c r="BA47">
        <v>6480.5213603019147</v>
      </c>
      <c r="BB47">
        <v>5890.3626305946755</v>
      </c>
      <c r="BC47">
        <v>590.15872970723956</v>
      </c>
      <c r="BD47">
        <v>5362.1157773984678</v>
      </c>
      <c r="BE47">
        <v>341.82589180190973</v>
      </c>
      <c r="BF47">
        <v>97.698230563124952</v>
      </c>
      <c r="BG47">
        <v>12.013889173283182</v>
      </c>
      <c r="BH47">
        <v>53.449396480416986</v>
      </c>
      <c r="BI47">
        <v>4.992218231099117</v>
      </c>
      <c r="BJ47">
        <v>68.601363385735056</v>
      </c>
      <c r="BK47">
        <v>0.57189989018102061</v>
      </c>
      <c r="BL47">
        <v>112.42643245424703</v>
      </c>
      <c r="BM47">
        <v>143.45683768553556</v>
      </c>
      <c r="BN47">
        <v>2.4140135408218453</v>
      </c>
      <c r="BO47">
        <v>0.5078529283604869</v>
      </c>
      <c r="BP47">
        <v>43.191759622894381</v>
      </c>
      <c r="BQ47">
        <v>38.490630857039292</v>
      </c>
      <c r="BR47">
        <v>150.46565714896721</v>
      </c>
      <c r="BS47">
        <v>48.29950913983113</v>
      </c>
    </row>
    <row r="48" spans="1:71" x14ac:dyDescent="0.25">
      <c r="A48" t="s">
        <v>2917</v>
      </c>
      <c r="B48" t="s">
        <v>2918</v>
      </c>
      <c r="C48" t="s">
        <v>3365</v>
      </c>
      <c r="D48" t="s">
        <v>3366</v>
      </c>
      <c r="E48" t="s">
        <v>3367</v>
      </c>
      <c r="F48" t="s">
        <v>3368</v>
      </c>
      <c r="G48" t="s">
        <v>2920</v>
      </c>
      <c r="H48" t="s">
        <v>2921</v>
      </c>
      <c r="I48">
        <v>2172993</v>
      </c>
      <c r="J48">
        <v>0</v>
      </c>
      <c r="K48" t="s">
        <v>3369</v>
      </c>
      <c r="L48" t="s">
        <v>3370</v>
      </c>
      <c r="M48">
        <v>118</v>
      </c>
      <c r="N48">
        <v>26501.526999999998</v>
      </c>
      <c r="O48" t="s">
        <v>122</v>
      </c>
      <c r="P48">
        <v>1</v>
      </c>
      <c r="Q48">
        <v>2</v>
      </c>
      <c r="R48">
        <v>19</v>
      </c>
      <c r="S48">
        <v>42044564</v>
      </c>
      <c r="T48">
        <v>120</v>
      </c>
      <c r="U48">
        <v>115</v>
      </c>
      <c r="V48">
        <v>26501.526591104928</v>
      </c>
      <c r="W48">
        <v>42044563.673184253</v>
      </c>
      <c r="X48">
        <v>1698823.67</v>
      </c>
      <c r="Y48">
        <f>VLOOKUP(AB48,'2000 Seattle Tracts'!$C$2:$Z$374,24,FALSE)</f>
        <v>2172992.5669999998</v>
      </c>
      <c r="Z48">
        <f t="shared" si="0"/>
        <v>0.78178991304391332</v>
      </c>
      <c r="AA48" t="s">
        <v>221</v>
      </c>
      <c r="AB48" t="str">
        <f t="shared" si="1"/>
        <v>Census Tract 17, King County, Washington</v>
      </c>
      <c r="AC48" s="3">
        <f>VLOOKUP($AB48,'2000 Seattle Tracts'!$C$2:$Y$374,AC$1,FALSE)*$Z48</f>
        <v>5822.7712723510667</v>
      </c>
      <c r="AD48" s="3">
        <f>VLOOKUP($AB48,'2000 Seattle Tracts'!$C$2:$Y$374,AD$1,FALSE)*$Z48</f>
        <v>4686.8305286982604</v>
      </c>
      <c r="AE48" s="3">
        <f>VLOOKUP($AB48,'2000 Seattle Tracts'!$C$2:$Y$374,AE$1,FALSE)*$Z48</f>
        <v>1135.9407436528061</v>
      </c>
      <c r="AF48" s="3">
        <f>VLOOKUP($AB48,'2000 Seattle Tracts'!$C$2:$Y$374,AF$1,FALSE)*$Z48</f>
        <v>5822.7712723510667</v>
      </c>
      <c r="AG48" s="3">
        <f>VLOOKUP($AB48,'2000 Seattle Tracts'!$C$2:$Y$374,AG$1,FALSE)*$Z48</f>
        <v>4686.8305286982604</v>
      </c>
      <c r="AH48" s="3">
        <f>VLOOKUP($AB48,'2000 Seattle Tracts'!$C$2:$Y$374,AH$1,FALSE)*$Z48</f>
        <v>1135.9407436528061</v>
      </c>
      <c r="AI48" s="3">
        <f>VLOOKUP($AB48,'2000 Seattle Tracts'!$C$2:$Y$374,AI$1,FALSE)*$Z48</f>
        <v>3878.4597586108539</v>
      </c>
      <c r="AJ48" s="3">
        <f>VLOOKUP($AB48,'2000 Seattle Tracts'!$C$2:$Y$374,AJ$1,FALSE)*$Z48</f>
        <v>289.26226782624792</v>
      </c>
      <c r="AK48" s="3">
        <f>VLOOKUP($AB48,'2000 Seattle Tracts'!$C$2:$Y$374,AK$1,FALSE)*$Z48</f>
        <v>71.924672000040019</v>
      </c>
      <c r="AL48" s="3">
        <f>VLOOKUP($AB48,'2000 Seattle Tracts'!$C$2:$Y$374,AL$1,FALSE)*$Z48</f>
        <v>89.124050087006125</v>
      </c>
      <c r="AM48" s="3">
        <f>VLOOKUP($AB48,'2000 Seattle Tracts'!$C$2:$Y$374,AM$1,FALSE)*$Z48</f>
        <v>133.68607513050918</v>
      </c>
      <c r="AN48" s="3">
        <f>VLOOKUP($AB48,'2000 Seattle Tracts'!$C$2:$Y$374,AN$1,FALSE)*$Z48</f>
        <v>46.125604869590887</v>
      </c>
      <c r="AO48" s="3">
        <f>VLOOKUP($AB48,'2000 Seattle Tracts'!$C$2:$Y$374,AO$1,FALSE)*$Z48</f>
        <v>63.32498295655698</v>
      </c>
      <c r="AP48" s="3">
        <f>VLOOKUP($AB48,'2000 Seattle Tracts'!$C$2:$Y$374,AP$1,FALSE)*$Z48</f>
        <v>12.508638608702613</v>
      </c>
      <c r="AQ48" s="3">
        <f>VLOOKUP($AB48,'2000 Seattle Tracts'!$C$2:$Y$374,AQ$1,FALSE)*$Z48</f>
        <v>189.97494886967092</v>
      </c>
      <c r="AR48" s="3">
        <f>VLOOKUP($AB48,'2000 Seattle Tracts'!$C$2:$Y$374,AR$1,FALSE)*$Z48</f>
        <v>565.23410713074929</v>
      </c>
      <c r="AS48" s="3">
        <f>VLOOKUP($AB48,'2000 Seattle Tracts'!$C$2:$Y$374,AS$1,FALSE)*$Z48</f>
        <v>0</v>
      </c>
      <c r="AT48" s="3">
        <f>VLOOKUP($AB48,'2000 Seattle Tracts'!$C$2:$Y$374,AT$1,FALSE)*$Z48</f>
        <v>9.3814789565269603</v>
      </c>
      <c r="AU48" s="3">
        <f>VLOOKUP($AB48,'2000 Seattle Tracts'!$C$2:$Y$374,AU$1,FALSE)*$Z48</f>
        <v>46.125604869590887</v>
      </c>
      <c r="AV48" s="3">
        <f>VLOOKUP($AB48,'2000 Seattle Tracts'!$C$2:$Y$374,AV$1,FALSE)*$Z48</f>
        <v>43.780235130459147</v>
      </c>
      <c r="AW48" s="3">
        <f>VLOOKUP($AB48,'2000 Seattle Tracts'!$C$2:$Y$374,AW$1,FALSE)*$Z48</f>
        <v>303.33448626103836</v>
      </c>
      <c r="AX48" s="3">
        <f>VLOOKUP($AB48,'2000 Seattle Tracts'!$C$2:$Y$374,AX$1,FALSE)*$Z48</f>
        <v>80.524361043523072</v>
      </c>
      <c r="AZ48" s="2" t="s">
        <v>175</v>
      </c>
      <c r="BA48">
        <v>4213.4543538854878</v>
      </c>
      <c r="BB48">
        <v>3784.2783945750066</v>
      </c>
      <c r="BC48">
        <v>429.17595931048061</v>
      </c>
      <c r="BD48">
        <v>3325.6570646229102</v>
      </c>
      <c r="BE48">
        <v>195.62151735750058</v>
      </c>
      <c r="BF48">
        <v>56.024343129817559</v>
      </c>
      <c r="BG48">
        <v>17.558587532397478</v>
      </c>
      <c r="BH48">
        <v>99.995122029838868</v>
      </c>
      <c r="BI48">
        <v>21.193746458126835</v>
      </c>
      <c r="BJ48">
        <v>39.450063490114253</v>
      </c>
      <c r="BK48">
        <v>4.4537871910855831</v>
      </c>
      <c r="BL48">
        <v>60.218905624111954</v>
      </c>
      <c r="BM48">
        <v>119.12649075875879</v>
      </c>
      <c r="BN48">
        <v>7.0965155906588988</v>
      </c>
      <c r="BO48">
        <v>3.7271038374293353E-2</v>
      </c>
      <c r="BP48">
        <v>58.879552951555581</v>
      </c>
      <c r="BQ48">
        <v>47.61360458984614</v>
      </c>
      <c r="BR48">
        <v>136.95682713599948</v>
      </c>
      <c r="BS48">
        <v>23.570954384390856</v>
      </c>
    </row>
    <row r="49" spans="1:71" x14ac:dyDescent="0.25">
      <c r="A49" t="s">
        <v>2917</v>
      </c>
      <c r="B49" t="s">
        <v>2918</v>
      </c>
      <c r="C49" t="s">
        <v>3134</v>
      </c>
      <c r="D49" t="s">
        <v>2785</v>
      </c>
      <c r="E49" t="s">
        <v>2786</v>
      </c>
      <c r="F49" t="s">
        <v>2787</v>
      </c>
      <c r="G49" t="s">
        <v>2920</v>
      </c>
      <c r="H49" t="s">
        <v>2921</v>
      </c>
      <c r="I49">
        <v>2041021</v>
      </c>
      <c r="J49">
        <v>855616</v>
      </c>
      <c r="K49" t="s">
        <v>3371</v>
      </c>
      <c r="L49" t="s">
        <v>3372</v>
      </c>
      <c r="M49">
        <v>27</v>
      </c>
      <c r="N49">
        <v>18831.009999999998</v>
      </c>
      <c r="O49" t="s">
        <v>117</v>
      </c>
      <c r="P49">
        <v>7</v>
      </c>
      <c r="Q49">
        <v>11</v>
      </c>
      <c r="R49">
        <v>23</v>
      </c>
      <c r="S49">
        <v>21320656</v>
      </c>
      <c r="T49">
        <v>29</v>
      </c>
      <c r="U49">
        <v>120</v>
      </c>
      <c r="V49">
        <v>18831.00959636999</v>
      </c>
      <c r="W49">
        <v>21320655.545531079</v>
      </c>
      <c r="X49">
        <v>231.42599999999999</v>
      </c>
      <c r="Y49">
        <f>VLOOKUP(AB49,'2000 Seattle Tracts'!$C$2:$Z$374,24,FALSE)</f>
        <v>1924337.4080000001</v>
      </c>
      <c r="Z49">
        <f t="shared" si="0"/>
        <v>1.2026269355774015E-4</v>
      </c>
      <c r="AA49" t="s">
        <v>116</v>
      </c>
      <c r="AB49" t="str">
        <f t="shared" si="1"/>
        <v>Census Tract 16, King County, Washington</v>
      </c>
      <c r="AC49" s="3">
        <f>VLOOKUP($AB49,'2000 Seattle Tracts'!$C$2:$Y$374,AC$1,FALSE)*$Z49</f>
        <v>0.47708210534355516</v>
      </c>
      <c r="AD49" s="3">
        <f>VLOOKUP($AB49,'2000 Seattle Tracts'!$C$2:$Y$374,AD$1,FALSE)*$Z49</f>
        <v>0.4177925974195893</v>
      </c>
      <c r="AE49" s="3">
        <f>VLOOKUP($AB49,'2000 Seattle Tracts'!$C$2:$Y$374,AE$1,FALSE)*$Z49</f>
        <v>5.9289507923965895E-2</v>
      </c>
      <c r="AF49" s="3">
        <f>VLOOKUP($AB49,'2000 Seattle Tracts'!$C$2:$Y$374,AF$1,FALSE)*$Z49</f>
        <v>0.47708210534355516</v>
      </c>
      <c r="AG49" s="3">
        <f>VLOOKUP($AB49,'2000 Seattle Tracts'!$C$2:$Y$374,AG$1,FALSE)*$Z49</f>
        <v>0.4177925974195893</v>
      </c>
      <c r="AH49" s="3">
        <f>VLOOKUP($AB49,'2000 Seattle Tracts'!$C$2:$Y$374,AH$1,FALSE)*$Z49</f>
        <v>5.9289507923965895E-2</v>
      </c>
      <c r="AI49" s="3">
        <f>VLOOKUP($AB49,'2000 Seattle Tracts'!$C$2:$Y$374,AI$1,FALSE)*$Z49</f>
        <v>0.38171378935226724</v>
      </c>
      <c r="AJ49" s="3">
        <f>VLOOKUP($AB49,'2000 Seattle Tracts'!$C$2:$Y$374,AJ$1,FALSE)*$Z49</f>
        <v>3.9325900793381031E-2</v>
      </c>
      <c r="AK49" s="3">
        <f>VLOOKUP($AB49,'2000 Seattle Tracts'!$C$2:$Y$374,AK$1,FALSE)*$Z49</f>
        <v>3.126830032501244E-3</v>
      </c>
      <c r="AL49" s="3">
        <f>VLOOKUP($AB49,'2000 Seattle Tracts'!$C$2:$Y$374,AL$1,FALSE)*$Z49</f>
        <v>8.41838854904181E-4</v>
      </c>
      <c r="AM49" s="3">
        <f>VLOOKUP($AB49,'2000 Seattle Tracts'!$C$2:$Y$374,AM$1,FALSE)*$Z49</f>
        <v>6.8549735327911882E-3</v>
      </c>
      <c r="AN49" s="3">
        <f>VLOOKUP($AB49,'2000 Seattle Tracts'!$C$2:$Y$374,AN$1,FALSE)*$Z49</f>
        <v>0</v>
      </c>
      <c r="AO49" s="3">
        <f>VLOOKUP($AB49,'2000 Seattle Tracts'!$C$2:$Y$374,AO$1,FALSE)*$Z49</f>
        <v>9.6210154846192121E-4</v>
      </c>
      <c r="AP49" s="3">
        <f>VLOOKUP($AB49,'2000 Seattle Tracts'!$C$2:$Y$374,AP$1,FALSE)*$Z49</f>
        <v>0</v>
      </c>
      <c r="AQ49" s="3">
        <f>VLOOKUP($AB49,'2000 Seattle Tracts'!$C$2:$Y$374,AQ$1,FALSE)*$Z49</f>
        <v>1.4311260533371077E-2</v>
      </c>
      <c r="AR49" s="3">
        <f>VLOOKUP($AB49,'2000 Seattle Tracts'!$C$2:$Y$374,AR$1,FALSE)*$Z49</f>
        <v>1.4792311307602038E-2</v>
      </c>
      <c r="AS49" s="3">
        <f>VLOOKUP($AB49,'2000 Seattle Tracts'!$C$2:$Y$374,AS$1,FALSE)*$Z49</f>
        <v>0</v>
      </c>
      <c r="AT49" s="3">
        <f>VLOOKUP($AB49,'2000 Seattle Tracts'!$C$2:$Y$374,AT$1,FALSE)*$Z49</f>
        <v>0</v>
      </c>
      <c r="AU49" s="3">
        <f>VLOOKUP($AB49,'2000 Seattle Tracts'!$C$2:$Y$374,AU$1,FALSE)*$Z49</f>
        <v>9.6210154846192121E-4</v>
      </c>
      <c r="AV49" s="3">
        <f>VLOOKUP($AB49,'2000 Seattle Tracts'!$C$2:$Y$374,AV$1,FALSE)*$Z49</f>
        <v>1.3228896291351416E-3</v>
      </c>
      <c r="AW49" s="3">
        <f>VLOOKUP($AB49,'2000 Seattle Tracts'!$C$2:$Y$374,AW$1,FALSE)*$Z49</f>
        <v>9.8615408717346916E-3</v>
      </c>
      <c r="AX49" s="3">
        <f>VLOOKUP($AB49,'2000 Seattle Tracts'!$C$2:$Y$374,AX$1,FALSE)*$Z49</f>
        <v>3.0065673389435038E-3</v>
      </c>
      <c r="AZ49" s="2" t="s">
        <v>176</v>
      </c>
      <c r="BA49">
        <v>5209.9374958997942</v>
      </c>
      <c r="BB49">
        <v>4684.4025347050774</v>
      </c>
      <c r="BC49">
        <v>525.53496119471629</v>
      </c>
      <c r="BD49">
        <v>4127.1071803126606</v>
      </c>
      <c r="BE49">
        <v>276.2708859834018</v>
      </c>
      <c r="BF49">
        <v>75.63973191903699</v>
      </c>
      <c r="BG49">
        <v>36.207837160888943</v>
      </c>
      <c r="BH49">
        <v>101.24370078452183</v>
      </c>
      <c r="BI49">
        <v>24.584694173628371</v>
      </c>
      <c r="BJ49">
        <v>59.442724681593447</v>
      </c>
      <c r="BK49">
        <v>2.8984021255648011</v>
      </c>
      <c r="BL49">
        <v>92.466890487547786</v>
      </c>
      <c r="BM49">
        <v>128.15097439523592</v>
      </c>
      <c r="BN49">
        <v>3.2875688758002672</v>
      </c>
      <c r="BO49">
        <v>6.572091096839948</v>
      </c>
      <c r="BP49">
        <v>51.549742010222531</v>
      </c>
      <c r="BQ49">
        <v>27.138971621423131</v>
      </c>
      <c r="BR49">
        <v>173.66499563369464</v>
      </c>
      <c r="BS49">
        <v>23.711104637733442</v>
      </c>
    </row>
    <row r="50" spans="1:71" x14ac:dyDescent="0.25">
      <c r="A50" t="s">
        <v>2917</v>
      </c>
      <c r="B50" t="s">
        <v>2918</v>
      </c>
      <c r="C50" t="s">
        <v>3134</v>
      </c>
      <c r="D50" t="s">
        <v>2785</v>
      </c>
      <c r="E50" t="s">
        <v>2786</v>
      </c>
      <c r="F50" t="s">
        <v>2787</v>
      </c>
      <c r="G50" t="s">
        <v>2920</v>
      </c>
      <c r="H50" t="s">
        <v>2921</v>
      </c>
      <c r="I50">
        <v>2041021</v>
      </c>
      <c r="J50">
        <v>855616</v>
      </c>
      <c r="K50" t="s">
        <v>3371</v>
      </c>
      <c r="L50" t="s">
        <v>3372</v>
      </c>
      <c r="M50">
        <v>29</v>
      </c>
      <c r="N50">
        <v>15934.439</v>
      </c>
      <c r="O50" t="s">
        <v>117</v>
      </c>
      <c r="P50">
        <v>7</v>
      </c>
      <c r="Q50">
        <v>11</v>
      </c>
      <c r="R50">
        <v>24</v>
      </c>
      <c r="S50">
        <v>14195687</v>
      </c>
      <c r="T50">
        <v>31</v>
      </c>
      <c r="U50">
        <v>121</v>
      </c>
      <c r="V50">
        <v>15934.4392663199</v>
      </c>
      <c r="W50">
        <v>14195687.491917299</v>
      </c>
      <c r="X50">
        <v>33.731000000000002</v>
      </c>
      <c r="Y50">
        <f>VLOOKUP(AB50,'2000 Seattle Tracts'!$C$2:$Z$374,24,FALSE)</f>
        <v>1924337.4080000001</v>
      </c>
      <c r="Z50">
        <f t="shared" si="0"/>
        <v>1.752863082106649E-5</v>
      </c>
      <c r="AA50" t="s">
        <v>119</v>
      </c>
      <c r="AB50" t="str">
        <f t="shared" si="1"/>
        <v>Census Tract 16, King County, Washington</v>
      </c>
      <c r="AC50" s="3">
        <f>VLOOKUP($AB50,'2000 Seattle Tracts'!$C$2:$Y$374,AC$1,FALSE)*$Z50</f>
        <v>6.9536078467170762E-2</v>
      </c>
      <c r="AD50" s="3">
        <f>VLOOKUP($AB50,'2000 Seattle Tracts'!$C$2:$Y$374,AD$1,FALSE)*$Z50</f>
        <v>6.0894463472384988E-2</v>
      </c>
      <c r="AE50" s="3">
        <f>VLOOKUP($AB50,'2000 Seattle Tracts'!$C$2:$Y$374,AE$1,FALSE)*$Z50</f>
        <v>8.6416149947857804E-3</v>
      </c>
      <c r="AF50" s="3">
        <f>VLOOKUP($AB50,'2000 Seattle Tracts'!$C$2:$Y$374,AF$1,FALSE)*$Z50</f>
        <v>6.9536078467170762E-2</v>
      </c>
      <c r="AG50" s="3">
        <f>VLOOKUP($AB50,'2000 Seattle Tracts'!$C$2:$Y$374,AG$1,FALSE)*$Z50</f>
        <v>6.0894463472384988E-2</v>
      </c>
      <c r="AH50" s="3">
        <f>VLOOKUP($AB50,'2000 Seattle Tracts'!$C$2:$Y$374,AH$1,FALSE)*$Z50</f>
        <v>8.6416149947857804E-3</v>
      </c>
      <c r="AI50" s="3">
        <f>VLOOKUP($AB50,'2000 Seattle Tracts'!$C$2:$Y$374,AI$1,FALSE)*$Z50</f>
        <v>5.5635874226065044E-2</v>
      </c>
      <c r="AJ50" s="3">
        <f>VLOOKUP($AB50,'2000 Seattle Tracts'!$C$2:$Y$374,AJ$1,FALSE)*$Z50</f>
        <v>5.7318622784887424E-3</v>
      </c>
      <c r="AK50" s="3">
        <f>VLOOKUP($AB50,'2000 Seattle Tracts'!$C$2:$Y$374,AK$1,FALSE)*$Z50</f>
        <v>4.5574440134772877E-4</v>
      </c>
      <c r="AL50" s="3">
        <f>VLOOKUP($AB50,'2000 Seattle Tracts'!$C$2:$Y$374,AL$1,FALSE)*$Z50</f>
        <v>1.2270041574746543E-4</v>
      </c>
      <c r="AM50" s="3">
        <f>VLOOKUP($AB50,'2000 Seattle Tracts'!$C$2:$Y$374,AM$1,FALSE)*$Z50</f>
        <v>9.9913195680078996E-4</v>
      </c>
      <c r="AN50" s="3">
        <f>VLOOKUP($AB50,'2000 Seattle Tracts'!$C$2:$Y$374,AN$1,FALSE)*$Z50</f>
        <v>0</v>
      </c>
      <c r="AO50" s="3">
        <f>VLOOKUP($AB50,'2000 Seattle Tracts'!$C$2:$Y$374,AO$1,FALSE)*$Z50</f>
        <v>1.4022904656853192E-4</v>
      </c>
      <c r="AP50" s="3">
        <f>VLOOKUP($AB50,'2000 Seattle Tracts'!$C$2:$Y$374,AP$1,FALSE)*$Z50</f>
        <v>0</v>
      </c>
      <c r="AQ50" s="3">
        <f>VLOOKUP($AB50,'2000 Seattle Tracts'!$C$2:$Y$374,AQ$1,FALSE)*$Z50</f>
        <v>2.0859070677069123E-3</v>
      </c>
      <c r="AR50" s="3">
        <f>VLOOKUP($AB50,'2000 Seattle Tracts'!$C$2:$Y$374,AR$1,FALSE)*$Z50</f>
        <v>2.1560215909911785E-3</v>
      </c>
      <c r="AS50" s="3">
        <f>VLOOKUP($AB50,'2000 Seattle Tracts'!$C$2:$Y$374,AS$1,FALSE)*$Z50</f>
        <v>0</v>
      </c>
      <c r="AT50" s="3">
        <f>VLOOKUP($AB50,'2000 Seattle Tracts'!$C$2:$Y$374,AT$1,FALSE)*$Z50</f>
        <v>0</v>
      </c>
      <c r="AU50" s="3">
        <f>VLOOKUP($AB50,'2000 Seattle Tracts'!$C$2:$Y$374,AU$1,FALSE)*$Z50</f>
        <v>1.4022904656853192E-4</v>
      </c>
      <c r="AV50" s="3">
        <f>VLOOKUP($AB50,'2000 Seattle Tracts'!$C$2:$Y$374,AV$1,FALSE)*$Z50</f>
        <v>1.9281493903173139E-4</v>
      </c>
      <c r="AW50" s="3">
        <f>VLOOKUP($AB50,'2000 Seattle Tracts'!$C$2:$Y$374,AW$1,FALSE)*$Z50</f>
        <v>1.4373477273274522E-3</v>
      </c>
      <c r="AX50" s="3">
        <f>VLOOKUP($AB50,'2000 Seattle Tracts'!$C$2:$Y$374,AX$1,FALSE)*$Z50</f>
        <v>4.3821577052666227E-4</v>
      </c>
      <c r="AZ50" s="2" t="s">
        <v>178</v>
      </c>
      <c r="BA50">
        <v>10504.554108757327</v>
      </c>
      <c r="BB50">
        <v>5926.6879095930153</v>
      </c>
      <c r="BC50">
        <v>4577.8661991643112</v>
      </c>
      <c r="BD50">
        <v>2115.1188688265038</v>
      </c>
      <c r="BE50">
        <v>138.26030276077054</v>
      </c>
      <c r="BF50">
        <v>194.79717227501712</v>
      </c>
      <c r="BG50">
        <v>143.77544125672898</v>
      </c>
      <c r="BH50">
        <v>1178.3760331475225</v>
      </c>
      <c r="BI50">
        <v>264.43504140428257</v>
      </c>
      <c r="BJ50">
        <v>112.98245934367012</v>
      </c>
      <c r="BK50">
        <v>106.90855426307151</v>
      </c>
      <c r="BL50">
        <v>1414.1761836751014</v>
      </c>
      <c r="BM50">
        <v>3333.3903425905355</v>
      </c>
      <c r="BN50">
        <v>76.919155030907561</v>
      </c>
      <c r="BO50">
        <v>31.777334128655529</v>
      </c>
      <c r="BP50">
        <v>292.43200053352052</v>
      </c>
      <c r="BQ50">
        <v>248.02543164559239</v>
      </c>
      <c r="BR50">
        <v>541.88603676077264</v>
      </c>
      <c r="BS50">
        <v>311.29375111467505</v>
      </c>
    </row>
    <row r="51" spans="1:71" x14ac:dyDescent="0.25">
      <c r="A51" t="s">
        <v>2917</v>
      </c>
      <c r="B51" t="s">
        <v>2918</v>
      </c>
      <c r="C51" t="s">
        <v>3134</v>
      </c>
      <c r="D51" t="s">
        <v>2785</v>
      </c>
      <c r="E51" t="s">
        <v>2786</v>
      </c>
      <c r="F51" t="s">
        <v>2787</v>
      </c>
      <c r="G51" t="s">
        <v>2920</v>
      </c>
      <c r="H51" t="s">
        <v>2921</v>
      </c>
      <c r="I51">
        <v>2041021</v>
      </c>
      <c r="J51">
        <v>855616</v>
      </c>
      <c r="K51" t="s">
        <v>3371</v>
      </c>
      <c r="L51" t="s">
        <v>3372</v>
      </c>
      <c r="M51">
        <v>110</v>
      </c>
      <c r="N51">
        <v>34640.309000000001</v>
      </c>
      <c r="O51" t="s">
        <v>122</v>
      </c>
      <c r="P51">
        <v>1</v>
      </c>
      <c r="Q51">
        <v>2</v>
      </c>
      <c r="R51">
        <v>95</v>
      </c>
      <c r="S51">
        <v>48113448</v>
      </c>
      <c r="T51">
        <v>112</v>
      </c>
      <c r="U51">
        <v>100</v>
      </c>
      <c r="V51">
        <v>34640.309665739042</v>
      </c>
      <c r="W51">
        <v>48113449.730149508</v>
      </c>
      <c r="X51">
        <v>12413.183000000001</v>
      </c>
      <c r="Y51">
        <f>VLOOKUP(AB51,'2000 Seattle Tracts'!$C$2:$Z$374,24,FALSE)</f>
        <v>1924337.4080000001</v>
      </c>
      <c r="Z51">
        <f t="shared" si="0"/>
        <v>6.4506270825453911E-3</v>
      </c>
      <c r="AA51" t="s">
        <v>212</v>
      </c>
      <c r="AB51" t="str">
        <f t="shared" si="1"/>
        <v>Census Tract 16, King County, Washington</v>
      </c>
      <c r="AC51" s="3">
        <f>VLOOKUP($AB51,'2000 Seattle Tracts'!$C$2:$Y$374,AC$1,FALSE)*$Z51</f>
        <v>25.589637636457567</v>
      </c>
      <c r="AD51" s="3">
        <f>VLOOKUP($AB51,'2000 Seattle Tracts'!$C$2:$Y$374,AD$1,FALSE)*$Z51</f>
        <v>22.40947848476269</v>
      </c>
      <c r="AE51" s="3">
        <f>VLOOKUP($AB51,'2000 Seattle Tracts'!$C$2:$Y$374,AE$1,FALSE)*$Z51</f>
        <v>3.1801591516948777</v>
      </c>
      <c r="AF51" s="3">
        <f>VLOOKUP($AB51,'2000 Seattle Tracts'!$C$2:$Y$374,AF$1,FALSE)*$Z51</f>
        <v>25.589637636457567</v>
      </c>
      <c r="AG51" s="3">
        <f>VLOOKUP($AB51,'2000 Seattle Tracts'!$C$2:$Y$374,AG$1,FALSE)*$Z51</f>
        <v>22.40947848476269</v>
      </c>
      <c r="AH51" s="3">
        <f>VLOOKUP($AB51,'2000 Seattle Tracts'!$C$2:$Y$374,AH$1,FALSE)*$Z51</f>
        <v>3.1801591516948777</v>
      </c>
      <c r="AI51" s="3">
        <f>VLOOKUP($AB51,'2000 Seattle Tracts'!$C$2:$Y$374,AI$1,FALSE)*$Z51</f>
        <v>20.47429035999907</v>
      </c>
      <c r="AJ51" s="3">
        <f>VLOOKUP($AB51,'2000 Seattle Tracts'!$C$2:$Y$374,AJ$1,FALSE)*$Z51</f>
        <v>2.1093550559923431</v>
      </c>
      <c r="AK51" s="3">
        <f>VLOOKUP($AB51,'2000 Seattle Tracts'!$C$2:$Y$374,AK$1,FALSE)*$Z51</f>
        <v>0.16771630414618016</v>
      </c>
      <c r="AL51" s="3">
        <f>VLOOKUP($AB51,'2000 Seattle Tracts'!$C$2:$Y$374,AL$1,FALSE)*$Z51</f>
        <v>4.5154389577817741E-2</v>
      </c>
      <c r="AM51" s="3">
        <f>VLOOKUP($AB51,'2000 Seattle Tracts'!$C$2:$Y$374,AM$1,FALSE)*$Z51</f>
        <v>0.36768574370508728</v>
      </c>
      <c r="AN51" s="3">
        <f>VLOOKUP($AB51,'2000 Seattle Tracts'!$C$2:$Y$374,AN$1,FALSE)*$Z51</f>
        <v>0</v>
      </c>
      <c r="AO51" s="3">
        <f>VLOOKUP($AB51,'2000 Seattle Tracts'!$C$2:$Y$374,AO$1,FALSE)*$Z51</f>
        <v>5.1605016660363129E-2</v>
      </c>
      <c r="AP51" s="3">
        <f>VLOOKUP($AB51,'2000 Seattle Tracts'!$C$2:$Y$374,AP$1,FALSE)*$Z51</f>
        <v>0</v>
      </c>
      <c r="AQ51" s="3">
        <f>VLOOKUP($AB51,'2000 Seattle Tracts'!$C$2:$Y$374,AQ$1,FALSE)*$Z51</f>
        <v>0.76762462282290156</v>
      </c>
      <c r="AR51" s="3">
        <f>VLOOKUP($AB51,'2000 Seattle Tracts'!$C$2:$Y$374,AR$1,FALSE)*$Z51</f>
        <v>0.79342713115308305</v>
      </c>
      <c r="AS51" s="3">
        <f>VLOOKUP($AB51,'2000 Seattle Tracts'!$C$2:$Y$374,AS$1,FALSE)*$Z51</f>
        <v>0</v>
      </c>
      <c r="AT51" s="3">
        <f>VLOOKUP($AB51,'2000 Seattle Tracts'!$C$2:$Y$374,AT$1,FALSE)*$Z51</f>
        <v>0</v>
      </c>
      <c r="AU51" s="3">
        <f>VLOOKUP($AB51,'2000 Seattle Tracts'!$C$2:$Y$374,AU$1,FALSE)*$Z51</f>
        <v>5.1605016660363129E-2</v>
      </c>
      <c r="AV51" s="3">
        <f>VLOOKUP($AB51,'2000 Seattle Tracts'!$C$2:$Y$374,AV$1,FALSE)*$Z51</f>
        <v>7.0956897907999306E-2</v>
      </c>
      <c r="AW51" s="3">
        <f>VLOOKUP($AB51,'2000 Seattle Tracts'!$C$2:$Y$374,AW$1,FALSE)*$Z51</f>
        <v>0.52895142076872204</v>
      </c>
      <c r="AX51" s="3">
        <f>VLOOKUP($AB51,'2000 Seattle Tracts'!$C$2:$Y$374,AX$1,FALSE)*$Z51</f>
        <v>0.16126567706363479</v>
      </c>
      <c r="AZ51" s="2" t="s">
        <v>189</v>
      </c>
      <c r="BA51">
        <v>10415.484938984348</v>
      </c>
      <c r="BB51">
        <v>7014.3139176491723</v>
      </c>
      <c r="BC51">
        <v>3401.1710213351753</v>
      </c>
      <c r="BD51">
        <v>2592.9549778765127</v>
      </c>
      <c r="BE51">
        <v>140.0310922491571</v>
      </c>
      <c r="BF51">
        <v>111.65767644754062</v>
      </c>
      <c r="BG51">
        <v>142.49942284141162</v>
      </c>
      <c r="BH51">
        <v>2589.4338990592369</v>
      </c>
      <c r="BI51">
        <v>315.18617082469859</v>
      </c>
      <c r="BJ51">
        <v>44.198170460819917</v>
      </c>
      <c r="BK51">
        <v>21.115724681337852</v>
      </c>
      <c r="BL51">
        <v>949.56488379192183</v>
      </c>
      <c r="BM51">
        <v>1949.7323421321591</v>
      </c>
      <c r="BN51">
        <v>54.678939994443965</v>
      </c>
      <c r="BO51">
        <v>126.84723797039328</v>
      </c>
      <c r="BP51">
        <v>139.53508228378723</v>
      </c>
      <c r="BQ51">
        <v>325.33940906341809</v>
      </c>
      <c r="BR51">
        <v>532.29028773490927</v>
      </c>
      <c r="BS51">
        <v>380.41962157259894</v>
      </c>
    </row>
    <row r="52" spans="1:71" x14ac:dyDescent="0.25">
      <c r="A52" t="s">
        <v>2917</v>
      </c>
      <c r="B52" t="s">
        <v>2918</v>
      </c>
      <c r="C52" t="s">
        <v>3134</v>
      </c>
      <c r="D52" t="s">
        <v>2785</v>
      </c>
      <c r="E52" t="s">
        <v>2786</v>
      </c>
      <c r="F52" t="s">
        <v>2787</v>
      </c>
      <c r="G52" t="s">
        <v>2920</v>
      </c>
      <c r="H52" t="s">
        <v>2921</v>
      </c>
      <c r="I52">
        <v>2041021</v>
      </c>
      <c r="J52">
        <v>855616</v>
      </c>
      <c r="K52" t="s">
        <v>3371</v>
      </c>
      <c r="L52" t="s">
        <v>3372</v>
      </c>
      <c r="M52">
        <v>114</v>
      </c>
      <c r="N52">
        <v>32947.805</v>
      </c>
      <c r="O52" t="s">
        <v>122</v>
      </c>
      <c r="P52">
        <v>1</v>
      </c>
      <c r="Q52">
        <v>2</v>
      </c>
      <c r="R52">
        <v>33</v>
      </c>
      <c r="S52">
        <v>31062266</v>
      </c>
      <c r="T52">
        <v>116</v>
      </c>
      <c r="U52">
        <v>109</v>
      </c>
      <c r="V52">
        <v>32947.805911989883</v>
      </c>
      <c r="W52">
        <v>31062264.991369769</v>
      </c>
      <c r="X52">
        <v>1415417.0930000001</v>
      </c>
      <c r="Y52">
        <f>VLOOKUP(AB52,'2000 Seattle Tracts'!$C$2:$Z$374,24,FALSE)</f>
        <v>1924337.4080000001</v>
      </c>
      <c r="Z52">
        <f t="shared" si="0"/>
        <v>0.7355347804993666</v>
      </c>
      <c r="AA52" t="s">
        <v>217</v>
      </c>
      <c r="AB52" t="str">
        <f t="shared" si="1"/>
        <v>Census Tract 16, King County, Washington</v>
      </c>
      <c r="AC52" s="3">
        <f>VLOOKUP($AB52,'2000 Seattle Tracts'!$C$2:$Y$374,AC$1,FALSE)*$Z52</f>
        <v>2917.8664742409874</v>
      </c>
      <c r="AD52" s="3">
        <f>VLOOKUP($AB52,'2000 Seattle Tracts'!$C$2:$Y$374,AD$1,FALSE)*$Z52</f>
        <v>2555.2478274547998</v>
      </c>
      <c r="AE52" s="3">
        <f>VLOOKUP($AB52,'2000 Seattle Tracts'!$C$2:$Y$374,AE$1,FALSE)*$Z52</f>
        <v>362.61864678618775</v>
      </c>
      <c r="AF52" s="3">
        <f>VLOOKUP($AB52,'2000 Seattle Tracts'!$C$2:$Y$374,AF$1,FALSE)*$Z52</f>
        <v>2917.8664742409874</v>
      </c>
      <c r="AG52" s="3">
        <f>VLOOKUP($AB52,'2000 Seattle Tracts'!$C$2:$Y$374,AG$1,FALSE)*$Z52</f>
        <v>2555.2478274547998</v>
      </c>
      <c r="AH52" s="3">
        <f>VLOOKUP($AB52,'2000 Seattle Tracts'!$C$2:$Y$374,AH$1,FALSE)*$Z52</f>
        <v>362.61864678618775</v>
      </c>
      <c r="AI52" s="3">
        <f>VLOOKUP($AB52,'2000 Seattle Tracts'!$C$2:$Y$374,AI$1,FALSE)*$Z52</f>
        <v>2334.5873933049897</v>
      </c>
      <c r="AJ52" s="3">
        <f>VLOOKUP($AB52,'2000 Seattle Tracts'!$C$2:$Y$374,AJ$1,FALSE)*$Z52</f>
        <v>240.51987322329288</v>
      </c>
      <c r="AK52" s="3">
        <f>VLOOKUP($AB52,'2000 Seattle Tracts'!$C$2:$Y$374,AK$1,FALSE)*$Z52</f>
        <v>19.123904292983532</v>
      </c>
      <c r="AL52" s="3">
        <f>VLOOKUP($AB52,'2000 Seattle Tracts'!$C$2:$Y$374,AL$1,FALSE)*$Z52</f>
        <v>5.148743463495566</v>
      </c>
      <c r="AM52" s="3">
        <f>VLOOKUP($AB52,'2000 Seattle Tracts'!$C$2:$Y$374,AM$1,FALSE)*$Z52</f>
        <v>41.925482488463899</v>
      </c>
      <c r="AN52" s="3">
        <f>VLOOKUP($AB52,'2000 Seattle Tracts'!$C$2:$Y$374,AN$1,FALSE)*$Z52</f>
        <v>0</v>
      </c>
      <c r="AO52" s="3">
        <f>VLOOKUP($AB52,'2000 Seattle Tracts'!$C$2:$Y$374,AO$1,FALSE)*$Z52</f>
        <v>5.8842782439949328</v>
      </c>
      <c r="AP52" s="3">
        <f>VLOOKUP($AB52,'2000 Seattle Tracts'!$C$2:$Y$374,AP$1,FALSE)*$Z52</f>
        <v>0</v>
      </c>
      <c r="AQ52" s="3">
        <f>VLOOKUP($AB52,'2000 Seattle Tracts'!$C$2:$Y$374,AQ$1,FALSE)*$Z52</f>
        <v>87.528638879424619</v>
      </c>
      <c r="AR52" s="3">
        <f>VLOOKUP($AB52,'2000 Seattle Tracts'!$C$2:$Y$374,AR$1,FALSE)*$Z52</f>
        <v>90.47077800142209</v>
      </c>
      <c r="AS52" s="3">
        <f>VLOOKUP($AB52,'2000 Seattle Tracts'!$C$2:$Y$374,AS$1,FALSE)*$Z52</f>
        <v>0</v>
      </c>
      <c r="AT52" s="3">
        <f>VLOOKUP($AB52,'2000 Seattle Tracts'!$C$2:$Y$374,AT$1,FALSE)*$Z52</f>
        <v>0</v>
      </c>
      <c r="AU52" s="3">
        <f>VLOOKUP($AB52,'2000 Seattle Tracts'!$C$2:$Y$374,AU$1,FALSE)*$Z52</f>
        <v>5.8842782439949328</v>
      </c>
      <c r="AV52" s="3">
        <f>VLOOKUP($AB52,'2000 Seattle Tracts'!$C$2:$Y$374,AV$1,FALSE)*$Z52</f>
        <v>8.0908825854930324</v>
      </c>
      <c r="AW52" s="3">
        <f>VLOOKUP($AB52,'2000 Seattle Tracts'!$C$2:$Y$374,AW$1,FALSE)*$Z52</f>
        <v>60.31385200094806</v>
      </c>
      <c r="AX52" s="3">
        <f>VLOOKUP($AB52,'2000 Seattle Tracts'!$C$2:$Y$374,AX$1,FALSE)*$Z52</f>
        <v>18.388369512484164</v>
      </c>
      <c r="AZ52" s="2" t="s">
        <v>183</v>
      </c>
      <c r="BA52">
        <v>6371.992799356598</v>
      </c>
      <c r="BB52">
        <v>3492.4965260660565</v>
      </c>
      <c r="BC52">
        <v>2879.496273290541</v>
      </c>
      <c r="BD52">
        <v>1012.3784908889864</v>
      </c>
      <c r="BE52">
        <v>94.069463095649283</v>
      </c>
      <c r="BF52">
        <v>65.001746294338332</v>
      </c>
      <c r="BG52">
        <v>78.431367490974566</v>
      </c>
      <c r="BH52">
        <v>1289.9808084764295</v>
      </c>
      <c r="BI52">
        <v>203.09559650239055</v>
      </c>
      <c r="BJ52">
        <v>47.261258713247607</v>
      </c>
      <c r="BK52">
        <v>8.9829748400456531</v>
      </c>
      <c r="BL52">
        <v>699.80819845496842</v>
      </c>
      <c r="BM52">
        <v>2013.6774713155955</v>
      </c>
      <c r="BN52">
        <v>39.508217186654257</v>
      </c>
      <c r="BO52">
        <v>41.453771343269949</v>
      </c>
      <c r="BP52">
        <v>72.128610324502091</v>
      </c>
      <c r="BQ52">
        <v>177.02794717614219</v>
      </c>
      <c r="BR52">
        <v>266.42919572692955</v>
      </c>
      <c r="BS52">
        <v>262.75768152647294</v>
      </c>
    </row>
    <row r="53" spans="1:71" x14ac:dyDescent="0.25">
      <c r="A53" t="s">
        <v>2917</v>
      </c>
      <c r="B53" t="s">
        <v>2918</v>
      </c>
      <c r="C53" t="s">
        <v>3134</v>
      </c>
      <c r="D53" t="s">
        <v>2785</v>
      </c>
      <c r="E53" t="s">
        <v>2786</v>
      </c>
      <c r="F53" t="s">
        <v>2787</v>
      </c>
      <c r="G53" t="s">
        <v>2920</v>
      </c>
      <c r="H53" t="s">
        <v>2921</v>
      </c>
      <c r="I53">
        <v>2041021</v>
      </c>
      <c r="J53">
        <v>855616</v>
      </c>
      <c r="K53" t="s">
        <v>3371</v>
      </c>
      <c r="L53" t="s">
        <v>3372</v>
      </c>
      <c r="M53">
        <v>117</v>
      </c>
      <c r="N53">
        <v>18997.809000000001</v>
      </c>
      <c r="O53" t="s">
        <v>122</v>
      </c>
      <c r="P53">
        <v>1</v>
      </c>
      <c r="Q53">
        <v>2</v>
      </c>
      <c r="R53">
        <v>95</v>
      </c>
      <c r="S53">
        <v>15865750</v>
      </c>
      <c r="T53">
        <v>119</v>
      </c>
      <c r="U53">
        <v>113</v>
      </c>
      <c r="V53">
        <v>18997.808037941071</v>
      </c>
      <c r="W53">
        <v>15865750.419753481</v>
      </c>
      <c r="X53">
        <v>496241.97499999998</v>
      </c>
      <c r="Y53">
        <f>VLOOKUP(AB53,'2000 Seattle Tracts'!$C$2:$Z$374,24,FALSE)</f>
        <v>1924337.4080000001</v>
      </c>
      <c r="Z53">
        <f t="shared" si="0"/>
        <v>0.2578768010937092</v>
      </c>
      <c r="AA53" t="s">
        <v>220</v>
      </c>
      <c r="AB53" t="str">
        <f t="shared" si="1"/>
        <v>Census Tract 16, King County, Washington</v>
      </c>
      <c r="AC53" s="3">
        <f>VLOOKUP($AB53,'2000 Seattle Tracts'!$C$2:$Y$374,AC$1,FALSE)*$Z53</f>
        <v>1022.9972699387444</v>
      </c>
      <c r="AD53" s="3">
        <f>VLOOKUP($AB53,'2000 Seattle Tracts'!$C$2:$Y$374,AD$1,FALSE)*$Z53</f>
        <v>895.86400699954572</v>
      </c>
      <c r="AE53" s="3">
        <f>VLOOKUP($AB53,'2000 Seattle Tracts'!$C$2:$Y$374,AE$1,FALSE)*$Z53</f>
        <v>127.13326293919863</v>
      </c>
      <c r="AF53" s="3">
        <f>VLOOKUP($AB53,'2000 Seattle Tracts'!$C$2:$Y$374,AF$1,FALSE)*$Z53</f>
        <v>1022.9972699387444</v>
      </c>
      <c r="AG53" s="3">
        <f>VLOOKUP($AB53,'2000 Seattle Tracts'!$C$2:$Y$374,AG$1,FALSE)*$Z53</f>
        <v>895.86400699954572</v>
      </c>
      <c r="AH53" s="3">
        <f>VLOOKUP($AB53,'2000 Seattle Tracts'!$C$2:$Y$374,AH$1,FALSE)*$Z53</f>
        <v>127.13326293919863</v>
      </c>
      <c r="AI53" s="3">
        <f>VLOOKUP($AB53,'2000 Seattle Tracts'!$C$2:$Y$374,AI$1,FALSE)*$Z53</f>
        <v>818.50096667143293</v>
      </c>
      <c r="AJ53" s="3">
        <f>VLOOKUP($AB53,'2000 Seattle Tracts'!$C$2:$Y$374,AJ$1,FALSE)*$Z53</f>
        <v>84.325713957642904</v>
      </c>
      <c r="AK53" s="3">
        <f>VLOOKUP($AB53,'2000 Seattle Tracts'!$C$2:$Y$374,AK$1,FALSE)*$Z53</f>
        <v>6.7047968284364394</v>
      </c>
      <c r="AL53" s="3">
        <f>VLOOKUP($AB53,'2000 Seattle Tracts'!$C$2:$Y$374,AL$1,FALSE)*$Z53</f>
        <v>1.8051376076559644</v>
      </c>
      <c r="AM53" s="3">
        <f>VLOOKUP($AB53,'2000 Seattle Tracts'!$C$2:$Y$374,AM$1,FALSE)*$Z53</f>
        <v>14.698977662341424</v>
      </c>
      <c r="AN53" s="3">
        <f>VLOOKUP($AB53,'2000 Seattle Tracts'!$C$2:$Y$374,AN$1,FALSE)*$Z53</f>
        <v>0</v>
      </c>
      <c r="AO53" s="3">
        <f>VLOOKUP($AB53,'2000 Seattle Tracts'!$C$2:$Y$374,AO$1,FALSE)*$Z53</f>
        <v>2.0630144087496736</v>
      </c>
      <c r="AP53" s="3">
        <f>VLOOKUP($AB53,'2000 Seattle Tracts'!$C$2:$Y$374,AP$1,FALSE)*$Z53</f>
        <v>0</v>
      </c>
      <c r="AQ53" s="3">
        <f>VLOOKUP($AB53,'2000 Seattle Tracts'!$C$2:$Y$374,AQ$1,FALSE)*$Z53</f>
        <v>30.687339330151396</v>
      </c>
      <c r="AR53" s="3">
        <f>VLOOKUP($AB53,'2000 Seattle Tracts'!$C$2:$Y$374,AR$1,FALSE)*$Z53</f>
        <v>31.718846534526232</v>
      </c>
      <c r="AS53" s="3">
        <f>VLOOKUP($AB53,'2000 Seattle Tracts'!$C$2:$Y$374,AS$1,FALSE)*$Z53</f>
        <v>0</v>
      </c>
      <c r="AT53" s="3">
        <f>VLOOKUP($AB53,'2000 Seattle Tracts'!$C$2:$Y$374,AT$1,FALSE)*$Z53</f>
        <v>0</v>
      </c>
      <c r="AU53" s="3">
        <f>VLOOKUP($AB53,'2000 Seattle Tracts'!$C$2:$Y$374,AU$1,FALSE)*$Z53</f>
        <v>2.0630144087496736</v>
      </c>
      <c r="AV53" s="3">
        <f>VLOOKUP($AB53,'2000 Seattle Tracts'!$C$2:$Y$374,AV$1,FALSE)*$Z53</f>
        <v>2.836644812030801</v>
      </c>
      <c r="AW53" s="3">
        <f>VLOOKUP($AB53,'2000 Seattle Tracts'!$C$2:$Y$374,AW$1,FALSE)*$Z53</f>
        <v>21.145897689684155</v>
      </c>
      <c r="AX53" s="3">
        <f>VLOOKUP($AB53,'2000 Seattle Tracts'!$C$2:$Y$374,AX$1,FALSE)*$Z53</f>
        <v>6.4469200273427303</v>
      </c>
      <c r="AZ53" s="2" t="s">
        <v>197</v>
      </c>
      <c r="BA53">
        <v>8799.4435627468574</v>
      </c>
      <c r="BB53">
        <v>6499.5194327409663</v>
      </c>
      <c r="BC53">
        <v>2299.9241300058916</v>
      </c>
      <c r="BD53">
        <v>3511.2671455582026</v>
      </c>
      <c r="BE53">
        <v>260.90483128983607</v>
      </c>
      <c r="BF53">
        <v>100.08104245180871</v>
      </c>
      <c r="BG53">
        <v>70.880458494083584</v>
      </c>
      <c r="BH53">
        <v>1480.7965091605433</v>
      </c>
      <c r="BI53">
        <v>220.48028566446715</v>
      </c>
      <c r="BJ53">
        <v>6.9297884712653817</v>
      </c>
      <c r="BK53">
        <v>0</v>
      </c>
      <c r="BL53">
        <v>794.51228203516871</v>
      </c>
      <c r="BM53">
        <v>1408.4120661697953</v>
      </c>
      <c r="BN53">
        <v>65.090009936104209</v>
      </c>
      <c r="BO53">
        <v>44.863264633960746</v>
      </c>
      <c r="BP53">
        <v>108.08799528056868</v>
      </c>
      <c r="BQ53">
        <v>156.28836428493619</v>
      </c>
      <c r="BR53">
        <v>432.75465984730425</v>
      </c>
      <c r="BS53">
        <v>138.09485946881296</v>
      </c>
    </row>
    <row r="54" spans="1:71" x14ac:dyDescent="0.25">
      <c r="A54" t="s">
        <v>2917</v>
      </c>
      <c r="B54" t="s">
        <v>2918</v>
      </c>
      <c r="C54" t="s">
        <v>3044</v>
      </c>
      <c r="D54" t="s">
        <v>2788</v>
      </c>
      <c r="E54" t="s">
        <v>2789</v>
      </c>
      <c r="F54" t="s">
        <v>2790</v>
      </c>
      <c r="G54" t="s">
        <v>2920</v>
      </c>
      <c r="H54" t="s">
        <v>2921</v>
      </c>
      <c r="I54">
        <v>1170487</v>
      </c>
      <c r="J54">
        <v>4649085</v>
      </c>
      <c r="K54" t="s">
        <v>3373</v>
      </c>
      <c r="L54" t="s">
        <v>3374</v>
      </c>
      <c r="M54">
        <v>27</v>
      </c>
      <c r="N54">
        <v>18831.009999999998</v>
      </c>
      <c r="O54" t="s">
        <v>117</v>
      </c>
      <c r="P54">
        <v>7</v>
      </c>
      <c r="Q54">
        <v>11</v>
      </c>
      <c r="R54">
        <v>23</v>
      </c>
      <c r="S54">
        <v>21320656</v>
      </c>
      <c r="T54">
        <v>29</v>
      </c>
      <c r="U54">
        <v>120</v>
      </c>
      <c r="V54">
        <v>18831.00959636999</v>
      </c>
      <c r="W54">
        <v>21320655.545531079</v>
      </c>
      <c r="X54">
        <v>175.18100000000001</v>
      </c>
      <c r="Y54">
        <f>VLOOKUP(AB54,'2000 Seattle Tracts'!$C$2:$Z$374,24,FALSE)</f>
        <v>1143987.2290000001</v>
      </c>
      <c r="Z54">
        <f t="shared" si="0"/>
        <v>1.5313195423792621E-4</v>
      </c>
      <c r="AA54" t="s">
        <v>116</v>
      </c>
      <c r="AB54" t="str">
        <f t="shared" si="1"/>
        <v>Census Tract 15, King County, Washington</v>
      </c>
      <c r="AC54" s="3">
        <f>VLOOKUP($AB54,'2000 Seattle Tracts'!$C$2:$Y$374,AC$1,FALSE)*$Z54</f>
        <v>0.35664432142013014</v>
      </c>
      <c r="AD54" s="3">
        <f>VLOOKUP($AB54,'2000 Seattle Tracts'!$C$2:$Y$374,AD$1,FALSE)*$Z54</f>
        <v>0.30335440134533181</v>
      </c>
      <c r="AE54" s="3">
        <f>VLOOKUP($AB54,'2000 Seattle Tracts'!$C$2:$Y$374,AE$1,FALSE)*$Z54</f>
        <v>5.3289920074798318E-2</v>
      </c>
      <c r="AF54" s="3">
        <f>VLOOKUP($AB54,'2000 Seattle Tracts'!$C$2:$Y$374,AF$1,FALSE)*$Z54</f>
        <v>0.35664432142013014</v>
      </c>
      <c r="AG54" s="3">
        <f>VLOOKUP($AB54,'2000 Seattle Tracts'!$C$2:$Y$374,AG$1,FALSE)*$Z54</f>
        <v>0.30335440134533181</v>
      </c>
      <c r="AH54" s="3">
        <f>VLOOKUP($AB54,'2000 Seattle Tracts'!$C$2:$Y$374,AH$1,FALSE)*$Z54</f>
        <v>5.3289920074798318E-2</v>
      </c>
      <c r="AI54" s="3">
        <f>VLOOKUP($AB54,'2000 Seattle Tracts'!$C$2:$Y$374,AI$1,FALSE)*$Z54</f>
        <v>0.28375351120287728</v>
      </c>
      <c r="AJ54" s="3">
        <f>VLOOKUP($AB54,'2000 Seattle Tracts'!$C$2:$Y$374,AJ$1,FALSE)*$Z54</f>
        <v>4.3489475003571046E-2</v>
      </c>
      <c r="AK54" s="3">
        <f>VLOOKUP($AB54,'2000 Seattle Tracts'!$C$2:$Y$374,AK$1,FALSE)*$Z54</f>
        <v>9.0347853000376458E-3</v>
      </c>
      <c r="AL54" s="3">
        <f>VLOOKUP($AB54,'2000 Seattle Tracts'!$C$2:$Y$374,AL$1,FALSE)*$Z54</f>
        <v>2.6032432220447453E-3</v>
      </c>
      <c r="AM54" s="3">
        <f>VLOOKUP($AB54,'2000 Seattle Tracts'!$C$2:$Y$374,AM$1,FALSE)*$Z54</f>
        <v>0</v>
      </c>
      <c r="AN54" s="3">
        <f>VLOOKUP($AB54,'2000 Seattle Tracts'!$C$2:$Y$374,AN$1,FALSE)*$Z54</f>
        <v>0</v>
      </c>
      <c r="AO54" s="3">
        <f>VLOOKUP($AB54,'2000 Seattle Tracts'!$C$2:$Y$374,AO$1,FALSE)*$Z54</f>
        <v>0</v>
      </c>
      <c r="AP54" s="3">
        <f>VLOOKUP($AB54,'2000 Seattle Tracts'!$C$2:$Y$374,AP$1,FALSE)*$Z54</f>
        <v>0</v>
      </c>
      <c r="AQ54" s="3">
        <f>VLOOKUP($AB54,'2000 Seattle Tracts'!$C$2:$Y$374,AQ$1,FALSE)*$Z54</f>
        <v>1.6844514966171883E-3</v>
      </c>
      <c r="AR54" s="3">
        <f>VLOOKUP($AB54,'2000 Seattle Tracts'!$C$2:$Y$374,AR$1,FALSE)*$Z54</f>
        <v>7.1972018491825319E-3</v>
      </c>
      <c r="AS54" s="3">
        <f>VLOOKUP($AB54,'2000 Seattle Tracts'!$C$2:$Y$374,AS$1,FALSE)*$Z54</f>
        <v>0</v>
      </c>
      <c r="AT54" s="3">
        <f>VLOOKUP($AB54,'2000 Seattle Tracts'!$C$2:$Y$374,AT$1,FALSE)*$Z54</f>
        <v>0</v>
      </c>
      <c r="AU54" s="3">
        <f>VLOOKUP($AB54,'2000 Seattle Tracts'!$C$2:$Y$374,AU$1,FALSE)*$Z54</f>
        <v>0</v>
      </c>
      <c r="AV54" s="3">
        <f>VLOOKUP($AB54,'2000 Seattle Tracts'!$C$2:$Y$374,AV$1,FALSE)*$Z54</f>
        <v>0</v>
      </c>
      <c r="AW54" s="3">
        <f>VLOOKUP($AB54,'2000 Seattle Tracts'!$C$2:$Y$374,AW$1,FALSE)*$Z54</f>
        <v>8.8816533457997202E-3</v>
      </c>
      <c r="AX54" s="3">
        <f>VLOOKUP($AB54,'2000 Seattle Tracts'!$C$2:$Y$374,AX$1,FALSE)*$Z54</f>
        <v>0</v>
      </c>
      <c r="AZ54" s="2" t="s">
        <v>188</v>
      </c>
      <c r="BA54">
        <v>6151.8115973353852</v>
      </c>
      <c r="BB54">
        <v>4919.7579787641671</v>
      </c>
      <c r="BC54">
        <v>1232.053618571219</v>
      </c>
      <c r="BD54">
        <v>2726.5805979211636</v>
      </c>
      <c r="BE54">
        <v>140.79647847400918</v>
      </c>
      <c r="BF54">
        <v>53.191198778551048</v>
      </c>
      <c r="BG54">
        <v>42.628795377599346</v>
      </c>
      <c r="BH54">
        <v>1408.8964369338728</v>
      </c>
      <c r="BI54">
        <v>113.52269019645372</v>
      </c>
      <c r="BJ54">
        <v>55.233180442381148</v>
      </c>
      <c r="BK54">
        <v>0</v>
      </c>
      <c r="BL54">
        <v>347.44310413686333</v>
      </c>
      <c r="BM54">
        <v>840.93487291227063</v>
      </c>
      <c r="BN54">
        <v>4.6124109020665243</v>
      </c>
      <c r="BO54">
        <v>1.843681268069389</v>
      </c>
      <c r="BP54">
        <v>56.718030530953243</v>
      </c>
      <c r="BQ54">
        <v>33.813096309094824</v>
      </c>
      <c r="BR54">
        <v>267.08301911831535</v>
      </c>
      <c r="BS54">
        <v>58.514004033721591</v>
      </c>
    </row>
    <row r="55" spans="1:71" x14ac:dyDescent="0.25">
      <c r="A55" t="s">
        <v>2917</v>
      </c>
      <c r="B55" t="s">
        <v>2918</v>
      </c>
      <c r="C55" t="s">
        <v>3044</v>
      </c>
      <c r="D55" t="s">
        <v>2788</v>
      </c>
      <c r="E55" t="s">
        <v>2789</v>
      </c>
      <c r="F55" t="s">
        <v>2790</v>
      </c>
      <c r="G55" t="s">
        <v>2920</v>
      </c>
      <c r="H55" t="s">
        <v>2921</v>
      </c>
      <c r="I55">
        <v>1170487</v>
      </c>
      <c r="J55">
        <v>4649085</v>
      </c>
      <c r="K55" t="s">
        <v>3373</v>
      </c>
      <c r="L55" t="s">
        <v>3374</v>
      </c>
      <c r="M55">
        <v>114</v>
      </c>
      <c r="N55">
        <v>32947.805</v>
      </c>
      <c r="O55" t="s">
        <v>122</v>
      </c>
      <c r="P55">
        <v>1</v>
      </c>
      <c r="Q55">
        <v>2</v>
      </c>
      <c r="R55">
        <v>33</v>
      </c>
      <c r="S55">
        <v>31062266</v>
      </c>
      <c r="T55">
        <v>116</v>
      </c>
      <c r="U55">
        <v>109</v>
      </c>
      <c r="V55">
        <v>32947.805911989883</v>
      </c>
      <c r="W55">
        <v>31062264.991369769</v>
      </c>
      <c r="X55">
        <v>1066557.845</v>
      </c>
      <c r="Y55">
        <f>VLOOKUP(AB55,'2000 Seattle Tracts'!$C$2:$Z$374,24,FALSE)</f>
        <v>1143987.2290000001</v>
      </c>
      <c r="Z55">
        <f t="shared" si="0"/>
        <v>0.9323162164426575</v>
      </c>
      <c r="AA55" t="s">
        <v>217</v>
      </c>
      <c r="AB55" t="str">
        <f t="shared" si="1"/>
        <v>Census Tract 15, King County, Washington</v>
      </c>
      <c r="AC55" s="3">
        <f>VLOOKUP($AB55,'2000 Seattle Tracts'!$C$2:$Y$374,AC$1,FALSE)*$Z55</f>
        <v>2171.3644680949492</v>
      </c>
      <c r="AD55" s="3">
        <f>VLOOKUP($AB55,'2000 Seattle Tracts'!$C$2:$Y$374,AD$1,FALSE)*$Z55</f>
        <v>1846.9184247729045</v>
      </c>
      <c r="AE55" s="3">
        <f>VLOOKUP($AB55,'2000 Seattle Tracts'!$C$2:$Y$374,AE$1,FALSE)*$Z55</f>
        <v>324.44604332204483</v>
      </c>
      <c r="AF55" s="3">
        <f>VLOOKUP($AB55,'2000 Seattle Tracts'!$C$2:$Y$374,AF$1,FALSE)*$Z55</f>
        <v>2171.3644680949492</v>
      </c>
      <c r="AG55" s="3">
        <f>VLOOKUP($AB55,'2000 Seattle Tracts'!$C$2:$Y$374,AG$1,FALSE)*$Z55</f>
        <v>1846.9184247729045</v>
      </c>
      <c r="AH55" s="3">
        <f>VLOOKUP($AB55,'2000 Seattle Tracts'!$C$2:$Y$374,AH$1,FALSE)*$Z55</f>
        <v>324.44604332204483</v>
      </c>
      <c r="AI55" s="3">
        <f>VLOOKUP($AB55,'2000 Seattle Tracts'!$C$2:$Y$374,AI$1,FALSE)*$Z55</f>
        <v>1727.5819490682443</v>
      </c>
      <c r="AJ55" s="3">
        <f>VLOOKUP($AB55,'2000 Seattle Tracts'!$C$2:$Y$374,AJ$1,FALSE)*$Z55</f>
        <v>264.77780546971474</v>
      </c>
      <c r="AK55" s="3">
        <f>VLOOKUP($AB55,'2000 Seattle Tracts'!$C$2:$Y$374,AK$1,FALSE)*$Z55</f>
        <v>55.006656770116791</v>
      </c>
      <c r="AL55" s="3">
        <f>VLOOKUP($AB55,'2000 Seattle Tracts'!$C$2:$Y$374,AL$1,FALSE)*$Z55</f>
        <v>15.849375679525178</v>
      </c>
      <c r="AM55" s="3">
        <f>VLOOKUP($AB55,'2000 Seattle Tracts'!$C$2:$Y$374,AM$1,FALSE)*$Z55</f>
        <v>0</v>
      </c>
      <c r="AN55" s="3">
        <f>VLOOKUP($AB55,'2000 Seattle Tracts'!$C$2:$Y$374,AN$1,FALSE)*$Z55</f>
        <v>0</v>
      </c>
      <c r="AO55" s="3">
        <f>VLOOKUP($AB55,'2000 Seattle Tracts'!$C$2:$Y$374,AO$1,FALSE)*$Z55</f>
        <v>0</v>
      </c>
      <c r="AP55" s="3">
        <f>VLOOKUP($AB55,'2000 Seattle Tracts'!$C$2:$Y$374,AP$1,FALSE)*$Z55</f>
        <v>0</v>
      </c>
      <c r="AQ55" s="3">
        <f>VLOOKUP($AB55,'2000 Seattle Tracts'!$C$2:$Y$374,AQ$1,FALSE)*$Z55</f>
        <v>10.255478380869233</v>
      </c>
      <c r="AR55" s="3">
        <f>VLOOKUP($AB55,'2000 Seattle Tracts'!$C$2:$Y$374,AR$1,FALSE)*$Z55</f>
        <v>43.818862172804906</v>
      </c>
      <c r="AS55" s="3">
        <f>VLOOKUP($AB55,'2000 Seattle Tracts'!$C$2:$Y$374,AS$1,FALSE)*$Z55</f>
        <v>0</v>
      </c>
      <c r="AT55" s="3">
        <f>VLOOKUP($AB55,'2000 Seattle Tracts'!$C$2:$Y$374,AT$1,FALSE)*$Z55</f>
        <v>0</v>
      </c>
      <c r="AU55" s="3">
        <f>VLOOKUP($AB55,'2000 Seattle Tracts'!$C$2:$Y$374,AU$1,FALSE)*$Z55</f>
        <v>0</v>
      </c>
      <c r="AV55" s="3">
        <f>VLOOKUP($AB55,'2000 Seattle Tracts'!$C$2:$Y$374,AV$1,FALSE)*$Z55</f>
        <v>0</v>
      </c>
      <c r="AW55" s="3">
        <f>VLOOKUP($AB55,'2000 Seattle Tracts'!$C$2:$Y$374,AW$1,FALSE)*$Z55</f>
        <v>54.074340553674134</v>
      </c>
      <c r="AX55" s="3">
        <f>VLOOKUP($AB55,'2000 Seattle Tracts'!$C$2:$Y$374,AX$1,FALSE)*$Z55</f>
        <v>0</v>
      </c>
      <c r="AZ55" s="2" t="s">
        <v>154</v>
      </c>
      <c r="BA55">
        <v>5409.4362503188295</v>
      </c>
      <c r="BB55">
        <v>3712.3680157949593</v>
      </c>
      <c r="BC55">
        <v>1697.0682345238706</v>
      </c>
      <c r="BD55">
        <v>1450.3000796775668</v>
      </c>
      <c r="BE55">
        <v>94.93241067208379</v>
      </c>
      <c r="BF55">
        <v>88.362356588818287</v>
      </c>
      <c r="BG55">
        <v>114.83163010390803</v>
      </c>
      <c r="BH55">
        <v>1335.4036022154849</v>
      </c>
      <c r="BI55">
        <v>177.40028081508271</v>
      </c>
      <c r="BJ55">
        <v>50.841610224766647</v>
      </c>
      <c r="BK55">
        <v>7.1505229817658469</v>
      </c>
      <c r="BL55">
        <v>462.57197982137347</v>
      </c>
      <c r="BM55">
        <v>1100.2503419104564</v>
      </c>
      <c r="BN55">
        <v>9.635792483095452</v>
      </c>
      <c r="BO55">
        <v>5.9316733809673421</v>
      </c>
      <c r="BP55">
        <v>97.131381859728151</v>
      </c>
      <c r="BQ55">
        <v>112.62936918742945</v>
      </c>
      <c r="BR55">
        <v>218.12121292412598</v>
      </c>
      <c r="BS55">
        <v>83.942005472176945</v>
      </c>
    </row>
    <row r="56" spans="1:71" x14ac:dyDescent="0.25">
      <c r="A56" t="s">
        <v>2917</v>
      </c>
      <c r="B56" t="s">
        <v>2918</v>
      </c>
      <c r="C56" t="s">
        <v>3044</v>
      </c>
      <c r="D56" t="s">
        <v>2788</v>
      </c>
      <c r="E56" t="s">
        <v>2789</v>
      </c>
      <c r="F56" t="s">
        <v>2790</v>
      </c>
      <c r="G56" t="s">
        <v>2920</v>
      </c>
      <c r="H56" t="s">
        <v>2921</v>
      </c>
      <c r="I56">
        <v>1170487</v>
      </c>
      <c r="J56">
        <v>4649085</v>
      </c>
      <c r="K56" t="s">
        <v>3373</v>
      </c>
      <c r="L56" t="s">
        <v>3374</v>
      </c>
      <c r="M56">
        <v>119</v>
      </c>
      <c r="N56">
        <v>29416.73</v>
      </c>
      <c r="O56" t="s">
        <v>117</v>
      </c>
      <c r="P56">
        <v>7</v>
      </c>
      <c r="Q56">
        <v>11</v>
      </c>
      <c r="R56">
        <v>81</v>
      </c>
      <c r="S56">
        <v>24335620</v>
      </c>
      <c r="T56">
        <v>121</v>
      </c>
      <c r="U56">
        <v>116</v>
      </c>
      <c r="V56">
        <v>29416.730063357121</v>
      </c>
      <c r="W56">
        <v>24335620.469402239</v>
      </c>
      <c r="X56">
        <v>77234.255999999994</v>
      </c>
      <c r="Y56">
        <f>VLOOKUP(AB56,'2000 Seattle Tracts'!$C$2:$Z$374,24,FALSE)</f>
        <v>1143987.2290000001</v>
      </c>
      <c r="Z56">
        <f t="shared" si="0"/>
        <v>6.7513215219642972E-2</v>
      </c>
      <c r="AA56" t="s">
        <v>222</v>
      </c>
      <c r="AB56" t="str">
        <f t="shared" si="1"/>
        <v>Census Tract 15, King County, Washington</v>
      </c>
      <c r="AC56" s="3">
        <f>VLOOKUP($AB56,'2000 Seattle Tracts'!$C$2:$Y$374,AC$1,FALSE)*$Z56</f>
        <v>157.23827824654848</v>
      </c>
      <c r="AD56" s="3">
        <f>VLOOKUP($AB56,'2000 Seattle Tracts'!$C$2:$Y$374,AD$1,FALSE)*$Z56</f>
        <v>133.74367935011273</v>
      </c>
      <c r="AE56" s="3">
        <f>VLOOKUP($AB56,'2000 Seattle Tracts'!$C$2:$Y$374,AE$1,FALSE)*$Z56</f>
        <v>23.494598896435754</v>
      </c>
      <c r="AF56" s="3">
        <f>VLOOKUP($AB56,'2000 Seattle Tracts'!$C$2:$Y$374,AF$1,FALSE)*$Z56</f>
        <v>157.23827824654848</v>
      </c>
      <c r="AG56" s="3">
        <f>VLOOKUP($AB56,'2000 Seattle Tracts'!$C$2:$Y$374,AG$1,FALSE)*$Z56</f>
        <v>133.74367935011273</v>
      </c>
      <c r="AH56" s="3">
        <f>VLOOKUP($AB56,'2000 Seattle Tracts'!$C$2:$Y$374,AH$1,FALSE)*$Z56</f>
        <v>23.494598896435754</v>
      </c>
      <c r="AI56" s="3">
        <f>VLOOKUP($AB56,'2000 Seattle Tracts'!$C$2:$Y$374,AI$1,FALSE)*$Z56</f>
        <v>125.10198780199843</v>
      </c>
      <c r="AJ56" s="3">
        <f>VLOOKUP($AB56,'2000 Seattle Tracts'!$C$2:$Y$374,AJ$1,FALSE)*$Z56</f>
        <v>19.173753122378603</v>
      </c>
      <c r="AK56" s="3">
        <f>VLOOKUP($AB56,'2000 Seattle Tracts'!$C$2:$Y$374,AK$1,FALSE)*$Z56</f>
        <v>3.9832796979589356</v>
      </c>
      <c r="AL56" s="3">
        <f>VLOOKUP($AB56,'2000 Seattle Tracts'!$C$2:$Y$374,AL$1,FALSE)*$Z56</f>
        <v>1.1477246587339305</v>
      </c>
      <c r="AM56" s="3">
        <f>VLOOKUP($AB56,'2000 Seattle Tracts'!$C$2:$Y$374,AM$1,FALSE)*$Z56</f>
        <v>0</v>
      </c>
      <c r="AN56" s="3">
        <f>VLOOKUP($AB56,'2000 Seattle Tracts'!$C$2:$Y$374,AN$1,FALSE)*$Z56</f>
        <v>0</v>
      </c>
      <c r="AO56" s="3">
        <f>VLOOKUP($AB56,'2000 Seattle Tracts'!$C$2:$Y$374,AO$1,FALSE)*$Z56</f>
        <v>0</v>
      </c>
      <c r="AP56" s="3">
        <f>VLOOKUP($AB56,'2000 Seattle Tracts'!$C$2:$Y$374,AP$1,FALSE)*$Z56</f>
        <v>0</v>
      </c>
      <c r="AQ56" s="3">
        <f>VLOOKUP($AB56,'2000 Seattle Tracts'!$C$2:$Y$374,AQ$1,FALSE)*$Z56</f>
        <v>0.74264536741607268</v>
      </c>
      <c r="AR56" s="3">
        <f>VLOOKUP($AB56,'2000 Seattle Tracts'!$C$2:$Y$374,AR$1,FALSE)*$Z56</f>
        <v>3.1731211153232195</v>
      </c>
      <c r="AS56" s="3">
        <f>VLOOKUP($AB56,'2000 Seattle Tracts'!$C$2:$Y$374,AS$1,FALSE)*$Z56</f>
        <v>0</v>
      </c>
      <c r="AT56" s="3">
        <f>VLOOKUP($AB56,'2000 Seattle Tracts'!$C$2:$Y$374,AT$1,FALSE)*$Z56</f>
        <v>0</v>
      </c>
      <c r="AU56" s="3">
        <f>VLOOKUP($AB56,'2000 Seattle Tracts'!$C$2:$Y$374,AU$1,FALSE)*$Z56</f>
        <v>0</v>
      </c>
      <c r="AV56" s="3">
        <f>VLOOKUP($AB56,'2000 Seattle Tracts'!$C$2:$Y$374,AV$1,FALSE)*$Z56</f>
        <v>0</v>
      </c>
      <c r="AW56" s="3">
        <f>VLOOKUP($AB56,'2000 Seattle Tracts'!$C$2:$Y$374,AW$1,FALSE)*$Z56</f>
        <v>3.9157664827392922</v>
      </c>
      <c r="AX56" s="3">
        <f>VLOOKUP($AB56,'2000 Seattle Tracts'!$C$2:$Y$374,AX$1,FALSE)*$Z56</f>
        <v>0</v>
      </c>
      <c r="AZ56" s="2" t="s">
        <v>168</v>
      </c>
      <c r="BA56">
        <v>1085.9423559054278</v>
      </c>
      <c r="BB56">
        <v>927.48188765090129</v>
      </c>
      <c r="BC56">
        <v>158.46046825452646</v>
      </c>
      <c r="BD56">
        <v>707.18929355298144</v>
      </c>
      <c r="BE56">
        <v>43.057188846411613</v>
      </c>
      <c r="BF56">
        <v>16.772277050637083</v>
      </c>
      <c r="BG56">
        <v>16.021279570757809</v>
      </c>
      <c r="BH56">
        <v>79.105067880616687</v>
      </c>
      <c r="BI56">
        <v>5.5073148524479967</v>
      </c>
      <c r="BJ56">
        <v>14.268952117706174</v>
      </c>
      <c r="BK56">
        <v>0</v>
      </c>
      <c r="BL56">
        <v>64.085118283031235</v>
      </c>
      <c r="BM56">
        <v>58.828135923876332</v>
      </c>
      <c r="BN56">
        <v>0</v>
      </c>
      <c r="BO56">
        <v>0</v>
      </c>
      <c r="BP56">
        <v>13.768287131119992</v>
      </c>
      <c r="BQ56">
        <v>35.046549061032707</v>
      </c>
      <c r="BR56">
        <v>32.292891634808711</v>
      </c>
      <c r="BS56">
        <v>0</v>
      </c>
    </row>
    <row r="57" spans="1:71" x14ac:dyDescent="0.25">
      <c r="A57" t="s">
        <v>2917</v>
      </c>
      <c r="B57" t="s">
        <v>2918</v>
      </c>
      <c r="C57" t="s">
        <v>3131</v>
      </c>
      <c r="D57" t="s">
        <v>2791</v>
      </c>
      <c r="E57" t="s">
        <v>2792</v>
      </c>
      <c r="F57" t="s">
        <v>2793</v>
      </c>
      <c r="G57" t="s">
        <v>2920</v>
      </c>
      <c r="H57" t="s">
        <v>2921</v>
      </c>
      <c r="I57">
        <v>2137298</v>
      </c>
      <c r="J57">
        <v>5871364</v>
      </c>
      <c r="K57" t="s">
        <v>3375</v>
      </c>
      <c r="L57" t="s">
        <v>3376</v>
      </c>
      <c r="M57">
        <v>110</v>
      </c>
      <c r="N57">
        <v>34640.309000000001</v>
      </c>
      <c r="O57" t="s">
        <v>122</v>
      </c>
      <c r="P57">
        <v>1</v>
      </c>
      <c r="Q57">
        <v>2</v>
      </c>
      <c r="R57">
        <v>95</v>
      </c>
      <c r="S57">
        <v>48113448</v>
      </c>
      <c r="T57">
        <v>112</v>
      </c>
      <c r="U57">
        <v>100</v>
      </c>
      <c r="V57">
        <v>34640.309665739042</v>
      </c>
      <c r="W57">
        <v>48113449.730149508</v>
      </c>
      <c r="X57">
        <v>663979.03799999994</v>
      </c>
      <c r="Y57">
        <f>VLOOKUP(AB57,'2000 Seattle Tracts'!$C$2:$Z$374,24,FALSE)</f>
        <v>2125867.5660000001</v>
      </c>
      <c r="Z57">
        <f t="shared" si="0"/>
        <v>0.31233320862471819</v>
      </c>
      <c r="AA57" t="s">
        <v>212</v>
      </c>
      <c r="AB57" t="str">
        <f t="shared" si="1"/>
        <v>Census Tract 14, King County, Washington</v>
      </c>
      <c r="AC57" s="3">
        <f>VLOOKUP($AB57,'2000 Seattle Tracts'!$C$2:$Y$374,AC$1,FALSE)*$Z57</f>
        <v>1459.5330839033081</v>
      </c>
      <c r="AD57" s="3">
        <f>VLOOKUP($AB57,'2000 Seattle Tracts'!$C$2:$Y$374,AD$1,FALSE)*$Z57</f>
        <v>1260.5768300093625</v>
      </c>
      <c r="AE57" s="3">
        <f>VLOOKUP($AB57,'2000 Seattle Tracts'!$C$2:$Y$374,AE$1,FALSE)*$Z57</f>
        <v>198.9562538939455</v>
      </c>
      <c r="AF57" s="3">
        <f>VLOOKUP($AB57,'2000 Seattle Tracts'!$C$2:$Y$374,AF$1,FALSE)*$Z57</f>
        <v>1459.5330839033081</v>
      </c>
      <c r="AG57" s="3">
        <f>VLOOKUP($AB57,'2000 Seattle Tracts'!$C$2:$Y$374,AG$1,FALSE)*$Z57</f>
        <v>1260.5768300093625</v>
      </c>
      <c r="AH57" s="3">
        <f>VLOOKUP($AB57,'2000 Seattle Tracts'!$C$2:$Y$374,AH$1,FALSE)*$Z57</f>
        <v>198.9562538939455</v>
      </c>
      <c r="AI57" s="3">
        <f>VLOOKUP($AB57,'2000 Seattle Tracts'!$C$2:$Y$374,AI$1,FALSE)*$Z57</f>
        <v>1091.2922309347655</v>
      </c>
      <c r="AJ57" s="3">
        <f>VLOOKUP($AB57,'2000 Seattle Tracts'!$C$2:$Y$374,AJ$1,FALSE)*$Z57</f>
        <v>67.151639854314411</v>
      </c>
      <c r="AK57" s="3">
        <f>VLOOKUP($AB57,'2000 Seattle Tracts'!$C$2:$Y$374,AK$1,FALSE)*$Z57</f>
        <v>24.0496570641033</v>
      </c>
      <c r="AL57" s="3">
        <f>VLOOKUP($AB57,'2000 Seattle Tracts'!$C$2:$Y$374,AL$1,FALSE)*$Z57</f>
        <v>9.6823294673662641</v>
      </c>
      <c r="AM57" s="3">
        <f>VLOOKUP($AB57,'2000 Seattle Tracts'!$C$2:$Y$374,AM$1,FALSE)*$Z57</f>
        <v>39.353984286714493</v>
      </c>
      <c r="AN57" s="3">
        <f>VLOOKUP($AB57,'2000 Seattle Tracts'!$C$2:$Y$374,AN$1,FALSE)*$Z57</f>
        <v>14.679660805361754</v>
      </c>
      <c r="AO57" s="3">
        <f>VLOOKUP($AB57,'2000 Seattle Tracts'!$C$2:$Y$374,AO$1,FALSE)*$Z57</f>
        <v>5.6219977552449274</v>
      </c>
      <c r="AP57" s="3">
        <f>VLOOKUP($AB57,'2000 Seattle Tracts'!$C$2:$Y$374,AP$1,FALSE)*$Z57</f>
        <v>0</v>
      </c>
      <c r="AQ57" s="3">
        <f>VLOOKUP($AB57,'2000 Seattle Tracts'!$C$2:$Y$374,AQ$1,FALSE)*$Z57</f>
        <v>22.175657812354991</v>
      </c>
      <c r="AR57" s="3">
        <f>VLOOKUP($AB57,'2000 Seattle Tracts'!$C$2:$Y$374,AR$1,FALSE)*$Z57</f>
        <v>89.951964083918838</v>
      </c>
      <c r="AS57" s="3">
        <f>VLOOKUP($AB57,'2000 Seattle Tracts'!$C$2:$Y$374,AS$1,FALSE)*$Z57</f>
        <v>10.3069958846157</v>
      </c>
      <c r="AT57" s="3">
        <f>VLOOKUP($AB57,'2000 Seattle Tracts'!$C$2:$Y$374,AT$1,FALSE)*$Z57</f>
        <v>3.7479985034966186</v>
      </c>
      <c r="AU57" s="3">
        <f>VLOOKUP($AB57,'2000 Seattle Tracts'!$C$2:$Y$374,AU$1,FALSE)*$Z57</f>
        <v>18.115326100233656</v>
      </c>
      <c r="AV57" s="3">
        <f>VLOOKUP($AB57,'2000 Seattle Tracts'!$C$2:$Y$374,AV$1,FALSE)*$Z57</f>
        <v>7.8083302156179553</v>
      </c>
      <c r="AW57" s="3">
        <f>VLOOKUP($AB57,'2000 Seattle Tracts'!$C$2:$Y$374,AW$1,FALSE)*$Z57</f>
        <v>49.660980171330195</v>
      </c>
      <c r="AX57" s="3">
        <f>VLOOKUP($AB57,'2000 Seattle Tracts'!$C$2:$Y$374,AX$1,FALSE)*$Z57</f>
        <v>5.9343309638696455</v>
      </c>
      <c r="AZ57" s="2" t="s">
        <v>174</v>
      </c>
      <c r="BA57">
        <v>10817.771445940789</v>
      </c>
      <c r="BB57">
        <v>9739.0371246954273</v>
      </c>
      <c r="BC57">
        <v>1078.7343212453616</v>
      </c>
      <c r="BD57">
        <v>8660.1295031150912</v>
      </c>
      <c r="BE57">
        <v>658.07127621561085</v>
      </c>
      <c r="BF57">
        <v>167.94899263307715</v>
      </c>
      <c r="BG57">
        <v>79.2619765343143</v>
      </c>
      <c r="BH57">
        <v>184.26117587974394</v>
      </c>
      <c r="BI57">
        <v>27.136366591493399</v>
      </c>
      <c r="BJ57">
        <v>112.13754983703183</v>
      </c>
      <c r="BK57">
        <v>5.3580201039172479</v>
      </c>
      <c r="BL57">
        <v>222.47093099013222</v>
      </c>
      <c r="BM57">
        <v>218.15056025756013</v>
      </c>
      <c r="BN57">
        <v>11.236366559134696</v>
      </c>
      <c r="BO57">
        <v>10.729679851727219</v>
      </c>
      <c r="BP57">
        <v>66.80910861811077</v>
      </c>
      <c r="BQ57">
        <v>31.770655187021259</v>
      </c>
      <c r="BR57">
        <v>314.0434970631066</v>
      </c>
      <c r="BS57">
        <v>48.255786503717175</v>
      </c>
    </row>
    <row r="58" spans="1:71" x14ac:dyDescent="0.25">
      <c r="A58" t="s">
        <v>2917</v>
      </c>
      <c r="B58" t="s">
        <v>2918</v>
      </c>
      <c r="C58" t="s">
        <v>3131</v>
      </c>
      <c r="D58" t="s">
        <v>2791</v>
      </c>
      <c r="E58" t="s">
        <v>2792</v>
      </c>
      <c r="F58" t="s">
        <v>2793</v>
      </c>
      <c r="G58" t="s">
        <v>2920</v>
      </c>
      <c r="H58" t="s">
        <v>2921</v>
      </c>
      <c r="I58">
        <v>2137298</v>
      </c>
      <c r="J58">
        <v>5871364</v>
      </c>
      <c r="K58" t="s">
        <v>3375</v>
      </c>
      <c r="L58" t="s">
        <v>3376</v>
      </c>
      <c r="M58">
        <v>111</v>
      </c>
      <c r="N58">
        <v>26446.203000000001</v>
      </c>
      <c r="O58" t="s">
        <v>122</v>
      </c>
      <c r="P58">
        <v>1</v>
      </c>
      <c r="Q58">
        <v>2</v>
      </c>
      <c r="R58">
        <v>23</v>
      </c>
      <c r="S58">
        <v>27690336</v>
      </c>
      <c r="T58">
        <v>113</v>
      </c>
      <c r="U58">
        <v>101</v>
      </c>
      <c r="V58">
        <v>26446.20305409377</v>
      </c>
      <c r="W58">
        <v>27690336.443909489</v>
      </c>
      <c r="X58">
        <v>323403.59600000002</v>
      </c>
      <c r="Y58">
        <f>VLOOKUP(AB58,'2000 Seattle Tracts'!$C$2:$Z$374,24,FALSE)</f>
        <v>2125867.5660000001</v>
      </c>
      <c r="Z58">
        <f t="shared" si="0"/>
        <v>0.15212781885962506</v>
      </c>
      <c r="AA58" t="s">
        <v>213</v>
      </c>
      <c r="AB58" t="str">
        <f t="shared" si="1"/>
        <v>Census Tract 14, King County, Washington</v>
      </c>
      <c r="AC58" s="3">
        <f>VLOOKUP($AB58,'2000 Seattle Tracts'!$C$2:$Y$374,AC$1,FALSE)*$Z58</f>
        <v>710.89329753102788</v>
      </c>
      <c r="AD58" s="3">
        <f>VLOOKUP($AB58,'2000 Seattle Tracts'!$C$2:$Y$374,AD$1,FALSE)*$Z58</f>
        <v>613.98787691744678</v>
      </c>
      <c r="AE58" s="3">
        <f>VLOOKUP($AB58,'2000 Seattle Tracts'!$C$2:$Y$374,AE$1,FALSE)*$Z58</f>
        <v>96.905420613581171</v>
      </c>
      <c r="AF58" s="3">
        <f>VLOOKUP($AB58,'2000 Seattle Tracts'!$C$2:$Y$374,AF$1,FALSE)*$Z58</f>
        <v>710.89329753102788</v>
      </c>
      <c r="AG58" s="3">
        <f>VLOOKUP($AB58,'2000 Seattle Tracts'!$C$2:$Y$374,AG$1,FALSE)*$Z58</f>
        <v>613.98787691744678</v>
      </c>
      <c r="AH58" s="3">
        <f>VLOOKUP($AB58,'2000 Seattle Tracts'!$C$2:$Y$374,AH$1,FALSE)*$Z58</f>
        <v>96.905420613581171</v>
      </c>
      <c r="AI58" s="3">
        <f>VLOOKUP($AB58,'2000 Seattle Tracts'!$C$2:$Y$374,AI$1,FALSE)*$Z58</f>
        <v>531.53459909552998</v>
      </c>
      <c r="AJ58" s="3">
        <f>VLOOKUP($AB58,'2000 Seattle Tracts'!$C$2:$Y$374,AJ$1,FALSE)*$Z58</f>
        <v>32.707481054819389</v>
      </c>
      <c r="AK58" s="3">
        <f>VLOOKUP($AB58,'2000 Seattle Tracts'!$C$2:$Y$374,AK$1,FALSE)*$Z58</f>
        <v>11.713842052191129</v>
      </c>
      <c r="AL58" s="3">
        <f>VLOOKUP($AB58,'2000 Seattle Tracts'!$C$2:$Y$374,AL$1,FALSE)*$Z58</f>
        <v>4.7159623846483774</v>
      </c>
      <c r="AM58" s="3">
        <f>VLOOKUP($AB58,'2000 Seattle Tracts'!$C$2:$Y$374,AM$1,FALSE)*$Z58</f>
        <v>19.168105176312757</v>
      </c>
      <c r="AN58" s="3">
        <f>VLOOKUP($AB58,'2000 Seattle Tracts'!$C$2:$Y$374,AN$1,FALSE)*$Z58</f>
        <v>7.1500074864023784</v>
      </c>
      <c r="AO58" s="3">
        <f>VLOOKUP($AB58,'2000 Seattle Tracts'!$C$2:$Y$374,AO$1,FALSE)*$Z58</f>
        <v>2.7383007394732513</v>
      </c>
      <c r="AP58" s="3">
        <f>VLOOKUP($AB58,'2000 Seattle Tracts'!$C$2:$Y$374,AP$1,FALSE)*$Z58</f>
        <v>0</v>
      </c>
      <c r="AQ58" s="3">
        <f>VLOOKUP($AB58,'2000 Seattle Tracts'!$C$2:$Y$374,AQ$1,FALSE)*$Z58</f>
        <v>10.801075139033379</v>
      </c>
      <c r="AR58" s="3">
        <f>VLOOKUP($AB58,'2000 Seattle Tracts'!$C$2:$Y$374,AR$1,FALSE)*$Z58</f>
        <v>43.81281183157202</v>
      </c>
      <c r="AS58" s="3">
        <f>VLOOKUP($AB58,'2000 Seattle Tracts'!$C$2:$Y$374,AS$1,FALSE)*$Z58</f>
        <v>5.0202180223676267</v>
      </c>
      <c r="AT58" s="3">
        <f>VLOOKUP($AB58,'2000 Seattle Tracts'!$C$2:$Y$374,AT$1,FALSE)*$Z58</f>
        <v>1.8255338263155008</v>
      </c>
      <c r="AU58" s="3">
        <f>VLOOKUP($AB58,'2000 Seattle Tracts'!$C$2:$Y$374,AU$1,FALSE)*$Z58</f>
        <v>8.8234134938582542</v>
      </c>
      <c r="AV58" s="3">
        <f>VLOOKUP($AB58,'2000 Seattle Tracts'!$C$2:$Y$374,AV$1,FALSE)*$Z58</f>
        <v>3.8031954714906266</v>
      </c>
      <c r="AW58" s="3">
        <f>VLOOKUP($AB58,'2000 Seattle Tracts'!$C$2:$Y$374,AW$1,FALSE)*$Z58</f>
        <v>24.188323198680386</v>
      </c>
      <c r="AX58" s="3">
        <f>VLOOKUP($AB58,'2000 Seattle Tracts'!$C$2:$Y$374,AX$1,FALSE)*$Z58</f>
        <v>2.8904285583328764</v>
      </c>
      <c r="AZ58" s="2" t="s">
        <v>152</v>
      </c>
      <c r="BA58">
        <v>5358.5728839889616</v>
      </c>
      <c r="BB58">
        <v>4720.7639778915418</v>
      </c>
      <c r="BC58">
        <v>637.80890609741903</v>
      </c>
      <c r="BD58">
        <v>2379.7595040815977</v>
      </c>
      <c r="BE58">
        <v>190.54480916103279</v>
      </c>
      <c r="BF58">
        <v>35.996554114609921</v>
      </c>
      <c r="BG58">
        <v>45.682735676140425</v>
      </c>
      <c r="BH58">
        <v>1863.977906892819</v>
      </c>
      <c r="BI58">
        <v>83.704594054424092</v>
      </c>
      <c r="BJ58">
        <v>64.507404418031044</v>
      </c>
      <c r="BK58">
        <v>2.6883586430637445</v>
      </c>
      <c r="BL58">
        <v>88.449677235857436</v>
      </c>
      <c r="BM58">
        <v>174.2975369169545</v>
      </c>
      <c r="BN58">
        <v>15.997643223490181</v>
      </c>
      <c r="BO58">
        <v>0</v>
      </c>
      <c r="BP58">
        <v>64.756559227904077</v>
      </c>
      <c r="BQ58">
        <v>79.493350211389298</v>
      </c>
      <c r="BR58">
        <v>207.31872869723264</v>
      </c>
      <c r="BS58">
        <v>61.397521434414159</v>
      </c>
    </row>
    <row r="59" spans="1:71" x14ac:dyDescent="0.25">
      <c r="A59" t="s">
        <v>2917</v>
      </c>
      <c r="B59" t="s">
        <v>2918</v>
      </c>
      <c r="C59" t="s">
        <v>3131</v>
      </c>
      <c r="D59" t="s">
        <v>2791</v>
      </c>
      <c r="E59" t="s">
        <v>2792</v>
      </c>
      <c r="F59" t="s">
        <v>2793</v>
      </c>
      <c r="G59" t="s">
        <v>2920</v>
      </c>
      <c r="H59" t="s">
        <v>2921</v>
      </c>
      <c r="I59">
        <v>2137298</v>
      </c>
      <c r="J59">
        <v>5871364</v>
      </c>
      <c r="K59" t="s">
        <v>3375</v>
      </c>
      <c r="L59" t="s">
        <v>3376</v>
      </c>
      <c r="M59">
        <v>114</v>
      </c>
      <c r="N59">
        <v>32947.805</v>
      </c>
      <c r="O59" t="s">
        <v>122</v>
      </c>
      <c r="P59">
        <v>1</v>
      </c>
      <c r="Q59">
        <v>2</v>
      </c>
      <c r="R59">
        <v>33</v>
      </c>
      <c r="S59">
        <v>31062266</v>
      </c>
      <c r="T59">
        <v>116</v>
      </c>
      <c r="U59">
        <v>109</v>
      </c>
      <c r="V59">
        <v>32947.805911989883</v>
      </c>
      <c r="W59">
        <v>31062264.991369769</v>
      </c>
      <c r="X59">
        <v>391957.505</v>
      </c>
      <c r="Y59">
        <f>VLOOKUP(AB59,'2000 Seattle Tracts'!$C$2:$Z$374,24,FALSE)</f>
        <v>2125867.5660000001</v>
      </c>
      <c r="Z59">
        <f t="shared" si="0"/>
        <v>0.18437531635025659</v>
      </c>
      <c r="AA59" t="s">
        <v>217</v>
      </c>
      <c r="AB59" t="str">
        <f t="shared" si="1"/>
        <v>Census Tract 14, King County, Washington</v>
      </c>
      <c r="AC59" s="3">
        <f>VLOOKUP($AB59,'2000 Seattle Tracts'!$C$2:$Y$374,AC$1,FALSE)*$Z59</f>
        <v>861.58585330474898</v>
      </c>
      <c r="AD59" s="3">
        <f>VLOOKUP($AB59,'2000 Seattle Tracts'!$C$2:$Y$374,AD$1,FALSE)*$Z59</f>
        <v>744.13877678963559</v>
      </c>
      <c r="AE59" s="3">
        <f>VLOOKUP($AB59,'2000 Seattle Tracts'!$C$2:$Y$374,AE$1,FALSE)*$Z59</f>
        <v>117.44707651511345</v>
      </c>
      <c r="AF59" s="3">
        <f>VLOOKUP($AB59,'2000 Seattle Tracts'!$C$2:$Y$374,AF$1,FALSE)*$Z59</f>
        <v>861.58585330474898</v>
      </c>
      <c r="AG59" s="3">
        <f>VLOOKUP($AB59,'2000 Seattle Tracts'!$C$2:$Y$374,AG$1,FALSE)*$Z59</f>
        <v>744.13877678963559</v>
      </c>
      <c r="AH59" s="3">
        <f>VLOOKUP($AB59,'2000 Seattle Tracts'!$C$2:$Y$374,AH$1,FALSE)*$Z59</f>
        <v>117.44707651511345</v>
      </c>
      <c r="AI59" s="3">
        <f>VLOOKUP($AB59,'2000 Seattle Tracts'!$C$2:$Y$374,AI$1,FALSE)*$Z59</f>
        <v>644.20735532779656</v>
      </c>
      <c r="AJ59" s="3">
        <f>VLOOKUP($AB59,'2000 Seattle Tracts'!$C$2:$Y$374,AJ$1,FALSE)*$Z59</f>
        <v>39.640693015305168</v>
      </c>
      <c r="AK59" s="3">
        <f>VLOOKUP($AB59,'2000 Seattle Tracts'!$C$2:$Y$374,AK$1,FALSE)*$Z59</f>
        <v>14.196899358969757</v>
      </c>
      <c r="AL59" s="3">
        <f>VLOOKUP($AB59,'2000 Seattle Tracts'!$C$2:$Y$374,AL$1,FALSE)*$Z59</f>
        <v>5.7156348068579543</v>
      </c>
      <c r="AM59" s="3">
        <f>VLOOKUP($AB59,'2000 Seattle Tracts'!$C$2:$Y$374,AM$1,FALSE)*$Z59</f>
        <v>23.231289860132328</v>
      </c>
      <c r="AN59" s="3">
        <f>VLOOKUP($AB59,'2000 Seattle Tracts'!$C$2:$Y$374,AN$1,FALSE)*$Z59</f>
        <v>8.6656398684620601</v>
      </c>
      <c r="AO59" s="3">
        <f>VLOOKUP($AB59,'2000 Seattle Tracts'!$C$2:$Y$374,AO$1,FALSE)*$Z59</f>
        <v>3.3187556943046186</v>
      </c>
      <c r="AP59" s="3">
        <f>VLOOKUP($AB59,'2000 Seattle Tracts'!$C$2:$Y$374,AP$1,FALSE)*$Z59</f>
        <v>0</v>
      </c>
      <c r="AQ59" s="3">
        <f>VLOOKUP($AB59,'2000 Seattle Tracts'!$C$2:$Y$374,AQ$1,FALSE)*$Z59</f>
        <v>13.090647460868217</v>
      </c>
      <c r="AR59" s="3">
        <f>VLOOKUP($AB59,'2000 Seattle Tracts'!$C$2:$Y$374,AR$1,FALSE)*$Z59</f>
        <v>53.100091108873897</v>
      </c>
      <c r="AS59" s="3">
        <f>VLOOKUP($AB59,'2000 Seattle Tracts'!$C$2:$Y$374,AS$1,FALSE)*$Z59</f>
        <v>6.0843854395584671</v>
      </c>
      <c r="AT59" s="3">
        <f>VLOOKUP($AB59,'2000 Seattle Tracts'!$C$2:$Y$374,AT$1,FALSE)*$Z59</f>
        <v>2.2125037962030789</v>
      </c>
      <c r="AU59" s="3">
        <f>VLOOKUP($AB59,'2000 Seattle Tracts'!$C$2:$Y$374,AU$1,FALSE)*$Z59</f>
        <v>10.693768348314881</v>
      </c>
      <c r="AV59" s="3">
        <f>VLOOKUP($AB59,'2000 Seattle Tracts'!$C$2:$Y$374,AV$1,FALSE)*$Z59</f>
        <v>4.6093829087564142</v>
      </c>
      <c r="AW59" s="3">
        <f>VLOOKUP($AB59,'2000 Seattle Tracts'!$C$2:$Y$374,AW$1,FALSE)*$Z59</f>
        <v>29.315675299690795</v>
      </c>
      <c r="AX59" s="3">
        <f>VLOOKUP($AB59,'2000 Seattle Tracts'!$C$2:$Y$374,AX$1,FALSE)*$Z59</f>
        <v>3.503131010654875</v>
      </c>
      <c r="AZ59" s="2" t="s">
        <v>158</v>
      </c>
      <c r="BA59">
        <v>2487.966506614719</v>
      </c>
      <c r="BB59">
        <v>1132.0882097085896</v>
      </c>
      <c r="BC59">
        <v>1355.8782969061297</v>
      </c>
      <c r="BD59">
        <v>523.04789290806298</v>
      </c>
      <c r="BE59">
        <v>38.384865834502548</v>
      </c>
      <c r="BF59">
        <v>20.75100896030494</v>
      </c>
      <c r="BG59">
        <v>47.852998873424781</v>
      </c>
      <c r="BH59">
        <v>299.46886389438373</v>
      </c>
      <c r="BI59">
        <v>161.50023536016437</v>
      </c>
      <c r="BJ59">
        <v>35.460805814209714</v>
      </c>
      <c r="BK59">
        <v>5.0230323135419503</v>
      </c>
      <c r="BL59">
        <v>173.68025681511236</v>
      </c>
      <c r="BM59">
        <v>985.91009544692054</v>
      </c>
      <c r="BN59">
        <v>0</v>
      </c>
      <c r="BO59">
        <v>1.0756035282046399</v>
      </c>
      <c r="BP59">
        <v>13.86872237408674</v>
      </c>
      <c r="BQ59">
        <v>32.093006441730708</v>
      </c>
      <c r="BR59">
        <v>65.81065894242893</v>
      </c>
      <c r="BS59">
        <v>84.038459107640065</v>
      </c>
    </row>
    <row r="60" spans="1:71" x14ac:dyDescent="0.25">
      <c r="A60" t="s">
        <v>2917</v>
      </c>
      <c r="B60" t="s">
        <v>2918</v>
      </c>
      <c r="C60" t="s">
        <v>3131</v>
      </c>
      <c r="D60" t="s">
        <v>2791</v>
      </c>
      <c r="E60" t="s">
        <v>2792</v>
      </c>
      <c r="F60" t="s">
        <v>2793</v>
      </c>
      <c r="G60" t="s">
        <v>2920</v>
      </c>
      <c r="H60" t="s">
        <v>2921</v>
      </c>
      <c r="I60">
        <v>2137298</v>
      </c>
      <c r="J60">
        <v>5871364</v>
      </c>
      <c r="K60" t="s">
        <v>3375</v>
      </c>
      <c r="L60" t="s">
        <v>3376</v>
      </c>
      <c r="M60">
        <v>117</v>
      </c>
      <c r="N60">
        <v>18997.809000000001</v>
      </c>
      <c r="O60" t="s">
        <v>122</v>
      </c>
      <c r="P60">
        <v>1</v>
      </c>
      <c r="Q60">
        <v>2</v>
      </c>
      <c r="R60">
        <v>95</v>
      </c>
      <c r="S60">
        <v>15865750</v>
      </c>
      <c r="T60">
        <v>119</v>
      </c>
      <c r="U60">
        <v>113</v>
      </c>
      <c r="V60">
        <v>18997.808037941071</v>
      </c>
      <c r="W60">
        <v>15865750.419753481</v>
      </c>
      <c r="X60">
        <v>503676.40899999999</v>
      </c>
      <c r="Y60">
        <f>VLOOKUP(AB60,'2000 Seattle Tracts'!$C$2:$Z$374,24,FALSE)</f>
        <v>2125867.5660000001</v>
      </c>
      <c r="Z60">
        <f t="shared" si="0"/>
        <v>0.2369274629593742</v>
      </c>
      <c r="AA60" t="s">
        <v>220</v>
      </c>
      <c r="AB60" t="str">
        <f t="shared" si="1"/>
        <v>Census Tract 14, King County, Washington</v>
      </c>
      <c r="AC60" s="3">
        <f>VLOOKUP($AB60,'2000 Seattle Tracts'!$C$2:$Y$374,AC$1,FALSE)*$Z60</f>
        <v>1107.1620344091557</v>
      </c>
      <c r="AD60" s="3">
        <f>VLOOKUP($AB60,'2000 Seattle Tracts'!$C$2:$Y$374,AD$1,FALSE)*$Z60</f>
        <v>956.23924050403423</v>
      </c>
      <c r="AE60" s="3">
        <f>VLOOKUP($AB60,'2000 Seattle Tracts'!$C$2:$Y$374,AE$1,FALSE)*$Z60</f>
        <v>150.92279390512135</v>
      </c>
      <c r="AF60" s="3">
        <f>VLOOKUP($AB60,'2000 Seattle Tracts'!$C$2:$Y$374,AF$1,FALSE)*$Z60</f>
        <v>1107.1620344091557</v>
      </c>
      <c r="AG60" s="3">
        <f>VLOOKUP($AB60,'2000 Seattle Tracts'!$C$2:$Y$374,AG$1,FALSE)*$Z60</f>
        <v>956.23924050403423</v>
      </c>
      <c r="AH60" s="3">
        <f>VLOOKUP($AB60,'2000 Seattle Tracts'!$C$2:$Y$374,AH$1,FALSE)*$Z60</f>
        <v>150.92279390512135</v>
      </c>
      <c r="AI60" s="3">
        <f>VLOOKUP($AB60,'2000 Seattle Tracts'!$C$2:$Y$374,AI$1,FALSE)*$Z60</f>
        <v>827.82455558005347</v>
      </c>
      <c r="AJ60" s="3">
        <f>VLOOKUP($AB60,'2000 Seattle Tracts'!$C$2:$Y$374,AJ$1,FALSE)*$Z60</f>
        <v>50.93940453626545</v>
      </c>
      <c r="AK60" s="3">
        <f>VLOOKUP($AB60,'2000 Seattle Tracts'!$C$2:$Y$374,AK$1,FALSE)*$Z60</f>
        <v>18.243414647871813</v>
      </c>
      <c r="AL60" s="3">
        <f>VLOOKUP($AB60,'2000 Seattle Tracts'!$C$2:$Y$374,AL$1,FALSE)*$Z60</f>
        <v>7.3447513517405998</v>
      </c>
      <c r="AM60" s="3">
        <f>VLOOKUP($AB60,'2000 Seattle Tracts'!$C$2:$Y$374,AM$1,FALSE)*$Z60</f>
        <v>29.85286033288115</v>
      </c>
      <c r="AN60" s="3">
        <f>VLOOKUP($AB60,'2000 Seattle Tracts'!$C$2:$Y$374,AN$1,FALSE)*$Z60</f>
        <v>11.135590759090586</v>
      </c>
      <c r="AO60" s="3">
        <f>VLOOKUP($AB60,'2000 Seattle Tracts'!$C$2:$Y$374,AO$1,FALSE)*$Z60</f>
        <v>4.2646943332687357</v>
      </c>
      <c r="AP60" s="3">
        <f>VLOOKUP($AB60,'2000 Seattle Tracts'!$C$2:$Y$374,AP$1,FALSE)*$Z60</f>
        <v>0</v>
      </c>
      <c r="AQ60" s="3">
        <f>VLOOKUP($AB60,'2000 Seattle Tracts'!$C$2:$Y$374,AQ$1,FALSE)*$Z60</f>
        <v>16.821849870115567</v>
      </c>
      <c r="AR60" s="3">
        <f>VLOOKUP($AB60,'2000 Seattle Tracts'!$C$2:$Y$374,AR$1,FALSE)*$Z60</f>
        <v>68.235109332299771</v>
      </c>
      <c r="AS60" s="3">
        <f>VLOOKUP($AB60,'2000 Seattle Tracts'!$C$2:$Y$374,AS$1,FALSE)*$Z60</f>
        <v>7.8186062776593488</v>
      </c>
      <c r="AT60" s="3">
        <f>VLOOKUP($AB60,'2000 Seattle Tracts'!$C$2:$Y$374,AT$1,FALSE)*$Z60</f>
        <v>2.8431295555124905</v>
      </c>
      <c r="AU60" s="3">
        <f>VLOOKUP($AB60,'2000 Seattle Tracts'!$C$2:$Y$374,AU$1,FALSE)*$Z60</f>
        <v>13.741792851643703</v>
      </c>
      <c r="AV60" s="3">
        <f>VLOOKUP($AB60,'2000 Seattle Tracts'!$C$2:$Y$374,AV$1,FALSE)*$Z60</f>
        <v>5.9231865739843546</v>
      </c>
      <c r="AW60" s="3">
        <f>VLOOKUP($AB60,'2000 Seattle Tracts'!$C$2:$Y$374,AW$1,FALSE)*$Z60</f>
        <v>37.671466610540499</v>
      </c>
      <c r="AX60" s="3">
        <f>VLOOKUP($AB60,'2000 Seattle Tracts'!$C$2:$Y$374,AX$1,FALSE)*$Z60</f>
        <v>4.5016217962281093</v>
      </c>
      <c r="AZ60" s="2" t="s">
        <v>162</v>
      </c>
      <c r="BA60">
        <v>2666.0032627518731</v>
      </c>
      <c r="BB60">
        <v>1906.3323399929691</v>
      </c>
      <c r="BC60">
        <v>759.670922758904</v>
      </c>
      <c r="BD60">
        <v>1252.2171102690127</v>
      </c>
      <c r="BE60">
        <v>87.997155526952071</v>
      </c>
      <c r="BF60">
        <v>43.587057900859847</v>
      </c>
      <c r="BG60">
        <v>71.905167402611383</v>
      </c>
      <c r="BH60">
        <v>354.92437056635629</v>
      </c>
      <c r="BI60">
        <v>68.359675725041598</v>
      </c>
      <c r="BJ60">
        <v>71.531332525915516</v>
      </c>
      <c r="BK60">
        <v>8.6766080763250581</v>
      </c>
      <c r="BL60">
        <v>63.996401416405604</v>
      </c>
      <c r="BM60">
        <v>421.5510134431745</v>
      </c>
      <c r="BN60">
        <v>0</v>
      </c>
      <c r="BO60">
        <v>1.9552451677609819</v>
      </c>
      <c r="BP60">
        <v>31.228104141766085</v>
      </c>
      <c r="BQ60">
        <v>41.664710183364164</v>
      </c>
      <c r="BR60">
        <v>88.847963172652868</v>
      </c>
      <c r="BS60">
        <v>57.561347233674191</v>
      </c>
    </row>
    <row r="61" spans="1:71" x14ac:dyDescent="0.25">
      <c r="A61" t="s">
        <v>2917</v>
      </c>
      <c r="B61" t="s">
        <v>2918</v>
      </c>
      <c r="C61" t="s">
        <v>3131</v>
      </c>
      <c r="D61" t="s">
        <v>2791</v>
      </c>
      <c r="E61" t="s">
        <v>2792</v>
      </c>
      <c r="F61" t="s">
        <v>2793</v>
      </c>
      <c r="G61" t="s">
        <v>2920</v>
      </c>
      <c r="H61" t="s">
        <v>2921</v>
      </c>
      <c r="I61">
        <v>2137298</v>
      </c>
      <c r="J61">
        <v>5871364</v>
      </c>
      <c r="K61" t="s">
        <v>3375</v>
      </c>
      <c r="L61" t="s">
        <v>3376</v>
      </c>
      <c r="M61">
        <v>118</v>
      </c>
      <c r="N61">
        <v>26501.526999999998</v>
      </c>
      <c r="O61" t="s">
        <v>122</v>
      </c>
      <c r="P61">
        <v>1</v>
      </c>
      <c r="Q61">
        <v>2</v>
      </c>
      <c r="R61">
        <v>19</v>
      </c>
      <c r="S61">
        <v>42044564</v>
      </c>
      <c r="T61">
        <v>120</v>
      </c>
      <c r="U61">
        <v>115</v>
      </c>
      <c r="V61">
        <v>26501.526591104928</v>
      </c>
      <c r="W61">
        <v>42044563.673184253</v>
      </c>
      <c r="X61">
        <v>242360.06099999999</v>
      </c>
      <c r="Y61">
        <f>VLOOKUP(AB61,'2000 Seattle Tracts'!$C$2:$Z$374,24,FALSE)</f>
        <v>2125867.5660000001</v>
      </c>
      <c r="Z61">
        <f t="shared" si="0"/>
        <v>0.11400524890457828</v>
      </c>
      <c r="AA61" t="s">
        <v>221</v>
      </c>
      <c r="AB61" t="str">
        <f t="shared" si="1"/>
        <v>Census Tract 14, King County, Washington</v>
      </c>
      <c r="AC61" s="3">
        <f>VLOOKUP($AB61,'2000 Seattle Tracts'!$C$2:$Y$374,AC$1,FALSE)*$Z61</f>
        <v>532.74652813109424</v>
      </c>
      <c r="AD61" s="3">
        <f>VLOOKUP($AB61,'2000 Seattle Tracts'!$C$2:$Y$374,AD$1,FALSE)*$Z61</f>
        <v>460.12518457887791</v>
      </c>
      <c r="AE61" s="3">
        <f>VLOOKUP($AB61,'2000 Seattle Tracts'!$C$2:$Y$374,AE$1,FALSE)*$Z61</f>
        <v>72.621343552216359</v>
      </c>
      <c r="AF61" s="3">
        <f>VLOOKUP($AB61,'2000 Seattle Tracts'!$C$2:$Y$374,AF$1,FALSE)*$Z61</f>
        <v>532.74652813109424</v>
      </c>
      <c r="AG61" s="3">
        <f>VLOOKUP($AB61,'2000 Seattle Tracts'!$C$2:$Y$374,AG$1,FALSE)*$Z61</f>
        <v>460.12518457887791</v>
      </c>
      <c r="AH61" s="3">
        <f>VLOOKUP($AB61,'2000 Seattle Tracts'!$C$2:$Y$374,AH$1,FALSE)*$Z61</f>
        <v>72.621343552216359</v>
      </c>
      <c r="AI61" s="3">
        <f>VLOOKUP($AB61,'2000 Seattle Tracts'!$C$2:$Y$374,AI$1,FALSE)*$Z61</f>
        <v>398.33433967259651</v>
      </c>
      <c r="AJ61" s="3">
        <f>VLOOKUP($AB61,'2000 Seattle Tracts'!$C$2:$Y$374,AJ$1,FALSE)*$Z61</f>
        <v>24.51112851448433</v>
      </c>
      <c r="AK61" s="3">
        <f>VLOOKUP($AB61,'2000 Seattle Tracts'!$C$2:$Y$374,AK$1,FALSE)*$Z61</f>
        <v>8.7784041656525265</v>
      </c>
      <c r="AL61" s="3">
        <f>VLOOKUP($AB61,'2000 Seattle Tracts'!$C$2:$Y$374,AL$1,FALSE)*$Z61</f>
        <v>3.5341627160419264</v>
      </c>
      <c r="AM61" s="3">
        <f>VLOOKUP($AB61,'2000 Seattle Tracts'!$C$2:$Y$374,AM$1,FALSE)*$Z61</f>
        <v>14.364661361976863</v>
      </c>
      <c r="AN61" s="3">
        <f>VLOOKUP($AB61,'2000 Seattle Tracts'!$C$2:$Y$374,AN$1,FALSE)*$Z61</f>
        <v>5.3582466985151793</v>
      </c>
      <c r="AO61" s="3">
        <f>VLOOKUP($AB61,'2000 Seattle Tracts'!$C$2:$Y$374,AO$1,FALSE)*$Z61</f>
        <v>2.0520944802824088</v>
      </c>
      <c r="AP61" s="3">
        <f>VLOOKUP($AB61,'2000 Seattle Tracts'!$C$2:$Y$374,AP$1,FALSE)*$Z61</f>
        <v>0</v>
      </c>
      <c r="AQ61" s="3">
        <f>VLOOKUP($AB61,'2000 Seattle Tracts'!$C$2:$Y$374,AQ$1,FALSE)*$Z61</f>
        <v>8.0943726722250577</v>
      </c>
      <c r="AR61" s="3">
        <f>VLOOKUP($AB61,'2000 Seattle Tracts'!$C$2:$Y$374,AR$1,FALSE)*$Z61</f>
        <v>32.833511684518541</v>
      </c>
      <c r="AS61" s="3">
        <f>VLOOKUP($AB61,'2000 Seattle Tracts'!$C$2:$Y$374,AS$1,FALSE)*$Z61</f>
        <v>3.7621732138510833</v>
      </c>
      <c r="AT61" s="3">
        <f>VLOOKUP($AB61,'2000 Seattle Tracts'!$C$2:$Y$374,AT$1,FALSE)*$Z61</f>
        <v>1.3680629868549392</v>
      </c>
      <c r="AU61" s="3">
        <f>VLOOKUP($AB61,'2000 Seattle Tracts'!$C$2:$Y$374,AU$1,FALSE)*$Z61</f>
        <v>6.6123044364655401</v>
      </c>
      <c r="AV61" s="3">
        <f>VLOOKUP($AB61,'2000 Seattle Tracts'!$C$2:$Y$374,AV$1,FALSE)*$Z61</f>
        <v>2.8501312226144568</v>
      </c>
      <c r="AW61" s="3">
        <f>VLOOKUP($AB61,'2000 Seattle Tracts'!$C$2:$Y$374,AW$1,FALSE)*$Z61</f>
        <v>18.126834575827946</v>
      </c>
      <c r="AX61" s="3">
        <f>VLOOKUP($AB61,'2000 Seattle Tracts'!$C$2:$Y$374,AX$1,FALSE)*$Z61</f>
        <v>2.1660997291869872</v>
      </c>
      <c r="AZ61" s="2" t="s">
        <v>161</v>
      </c>
      <c r="BA61">
        <v>4137.1004070760046</v>
      </c>
      <c r="BB61">
        <v>3095.6631575932734</v>
      </c>
      <c r="BC61">
        <v>1041.4372494827312</v>
      </c>
      <c r="BD61">
        <v>1815.7797158602314</v>
      </c>
      <c r="BE61">
        <v>70.275442321676778</v>
      </c>
      <c r="BF61">
        <v>42.367165464549608</v>
      </c>
      <c r="BG61">
        <v>70.339297262206827</v>
      </c>
      <c r="BH61">
        <v>770.96081540885393</v>
      </c>
      <c r="BI61">
        <v>217.89009857549996</v>
      </c>
      <c r="BJ61">
        <v>98.57674429020895</v>
      </c>
      <c r="BK61">
        <v>0.13987087035942028</v>
      </c>
      <c r="BL61">
        <v>203.31773093650088</v>
      </c>
      <c r="BM61">
        <v>545.18696741545</v>
      </c>
      <c r="BN61">
        <v>0</v>
      </c>
      <c r="BO61">
        <v>9.652546714982396</v>
      </c>
      <c r="BP61">
        <v>63.359558869208044</v>
      </c>
      <c r="BQ61">
        <v>81.211213958689228</v>
      </c>
      <c r="BR61">
        <v>101.30142676372083</v>
      </c>
      <c r="BS61">
        <v>46.741812363866565</v>
      </c>
    </row>
    <row r="62" spans="1:71" x14ac:dyDescent="0.25">
      <c r="A62" t="s">
        <v>2917</v>
      </c>
      <c r="B62" t="s">
        <v>2918</v>
      </c>
      <c r="C62" t="s">
        <v>3041</v>
      </c>
      <c r="D62" t="s">
        <v>2794</v>
      </c>
      <c r="E62" t="s">
        <v>2795</v>
      </c>
      <c r="F62" t="s">
        <v>2796</v>
      </c>
      <c r="G62" t="s">
        <v>2920</v>
      </c>
      <c r="H62" t="s">
        <v>2921</v>
      </c>
      <c r="I62">
        <v>1183989</v>
      </c>
      <c r="J62">
        <v>0</v>
      </c>
      <c r="K62" t="s">
        <v>3377</v>
      </c>
      <c r="L62" t="s">
        <v>3378</v>
      </c>
      <c r="M62">
        <v>111</v>
      </c>
      <c r="N62">
        <v>26446.203000000001</v>
      </c>
      <c r="O62" t="s">
        <v>122</v>
      </c>
      <c r="P62">
        <v>1</v>
      </c>
      <c r="Q62">
        <v>2</v>
      </c>
      <c r="R62">
        <v>23</v>
      </c>
      <c r="S62">
        <v>27690336</v>
      </c>
      <c r="T62">
        <v>113</v>
      </c>
      <c r="U62">
        <v>101</v>
      </c>
      <c r="V62">
        <v>26446.20305409377</v>
      </c>
      <c r="W62">
        <v>27690336.443909489</v>
      </c>
      <c r="X62">
        <v>65869.400999999998</v>
      </c>
      <c r="Y62">
        <f>VLOOKUP(AB62,'2000 Seattle Tracts'!$C$2:$Z$374,24,FALSE)</f>
        <v>1183992.8659999999</v>
      </c>
      <c r="Z62">
        <f t="shared" si="0"/>
        <v>5.563327524306215E-2</v>
      </c>
      <c r="AA62" t="s">
        <v>213</v>
      </c>
      <c r="AB62" t="str">
        <f t="shared" si="1"/>
        <v>Census Tract 13, King County, Washington</v>
      </c>
      <c r="AC62" s="3">
        <f>VLOOKUP($AB62,'2000 Seattle Tracts'!$C$2:$Y$374,AC$1,FALSE)*$Z62</f>
        <v>232.71399034172896</v>
      </c>
      <c r="AD62" s="3">
        <f>VLOOKUP($AB62,'2000 Seattle Tracts'!$C$2:$Y$374,AD$1,FALSE)*$Z62</f>
        <v>165.34209402238071</v>
      </c>
      <c r="AE62" s="3">
        <f>VLOOKUP($AB62,'2000 Seattle Tracts'!$C$2:$Y$374,AE$1,FALSE)*$Z62</f>
        <v>67.371896319348267</v>
      </c>
      <c r="AF62" s="3">
        <f>VLOOKUP($AB62,'2000 Seattle Tracts'!$C$2:$Y$374,AF$1,FALSE)*$Z62</f>
        <v>232.71399034172896</v>
      </c>
      <c r="AG62" s="3">
        <f>VLOOKUP($AB62,'2000 Seattle Tracts'!$C$2:$Y$374,AG$1,FALSE)*$Z62</f>
        <v>165.34209402238071</v>
      </c>
      <c r="AH62" s="3">
        <f>VLOOKUP($AB62,'2000 Seattle Tracts'!$C$2:$Y$374,AH$1,FALSE)*$Z62</f>
        <v>67.371896319348267</v>
      </c>
      <c r="AI62" s="3">
        <f>VLOOKUP($AB62,'2000 Seattle Tracts'!$C$2:$Y$374,AI$1,FALSE)*$Z62</f>
        <v>126.00936842553577</v>
      </c>
      <c r="AJ62" s="3">
        <f>VLOOKUP($AB62,'2000 Seattle Tracts'!$C$2:$Y$374,AJ$1,FALSE)*$Z62</f>
        <v>22.086410271495673</v>
      </c>
      <c r="AK62" s="3">
        <f>VLOOKUP($AB62,'2000 Seattle Tracts'!$C$2:$Y$374,AK$1,FALSE)*$Z62</f>
        <v>5.9527604510076504</v>
      </c>
      <c r="AL62" s="3">
        <f>VLOOKUP($AB62,'2000 Seattle Tracts'!$C$2:$Y$374,AL$1,FALSE)*$Z62</f>
        <v>5.0069947718755934</v>
      </c>
      <c r="AM62" s="3">
        <f>VLOOKUP($AB62,'2000 Seattle Tracts'!$C$2:$Y$374,AM$1,FALSE)*$Z62</f>
        <v>5.1738945976047797</v>
      </c>
      <c r="AN62" s="3">
        <f>VLOOKUP($AB62,'2000 Seattle Tracts'!$C$2:$Y$374,AN$1,FALSE)*$Z62</f>
        <v>5.2851611480909044</v>
      </c>
      <c r="AO62" s="3">
        <f>VLOOKUP($AB62,'2000 Seattle Tracts'!$C$2:$Y$374,AO$1,FALSE)*$Z62</f>
        <v>2.1696977344794237</v>
      </c>
      <c r="AP62" s="3">
        <f>VLOOKUP($AB62,'2000 Seattle Tracts'!$C$2:$Y$374,AP$1,FALSE)*$Z62</f>
        <v>0</v>
      </c>
      <c r="AQ62" s="3">
        <f>VLOOKUP($AB62,'2000 Seattle Tracts'!$C$2:$Y$374,AQ$1,FALSE)*$Z62</f>
        <v>7.232325781598079</v>
      </c>
      <c r="AR62" s="3">
        <f>VLOOKUP($AB62,'2000 Seattle Tracts'!$C$2:$Y$374,AR$1,FALSE)*$Z62</f>
        <v>29.318736053093755</v>
      </c>
      <c r="AS62" s="3">
        <f>VLOOKUP($AB62,'2000 Seattle Tracts'!$C$2:$Y$374,AS$1,FALSE)*$Z62</f>
        <v>1.112665504861243</v>
      </c>
      <c r="AT62" s="3">
        <f>VLOOKUP($AB62,'2000 Seattle Tracts'!$C$2:$Y$374,AT$1,FALSE)*$Z62</f>
        <v>0</v>
      </c>
      <c r="AU62" s="3">
        <f>VLOOKUP($AB62,'2000 Seattle Tracts'!$C$2:$Y$374,AU$1,FALSE)*$Z62</f>
        <v>2.7260304869100453</v>
      </c>
      <c r="AV62" s="3">
        <f>VLOOKUP($AB62,'2000 Seattle Tracts'!$C$2:$Y$374,AV$1,FALSE)*$Z62</f>
        <v>2.280964284965548</v>
      </c>
      <c r="AW62" s="3">
        <f>VLOOKUP($AB62,'2000 Seattle Tracts'!$C$2:$Y$374,AW$1,FALSE)*$Z62</f>
        <v>14.965351040383718</v>
      </c>
      <c r="AX62" s="3">
        <f>VLOOKUP($AB62,'2000 Seattle Tracts'!$C$2:$Y$374,AX$1,FALSE)*$Z62</f>
        <v>3.3936297898267913</v>
      </c>
      <c r="AZ62" s="2" t="s">
        <v>151</v>
      </c>
      <c r="BA62">
        <v>9360.7538249204208</v>
      </c>
      <c r="BB62">
        <v>7610.7196659592792</v>
      </c>
      <c r="BC62">
        <v>1750.034158961141</v>
      </c>
      <c r="BD62">
        <v>4228.6651277293695</v>
      </c>
      <c r="BE62">
        <v>329.03187883603192</v>
      </c>
      <c r="BF62">
        <v>147.85953140237248</v>
      </c>
      <c r="BG62">
        <v>275.33230530557182</v>
      </c>
      <c r="BH62">
        <v>2211.644945296443</v>
      </c>
      <c r="BI62">
        <v>217.18843873287514</v>
      </c>
      <c r="BJ62">
        <v>230.13273228053598</v>
      </c>
      <c r="BK62">
        <v>4.8654271361945236</v>
      </c>
      <c r="BL62">
        <v>351.15624583857885</v>
      </c>
      <c r="BM62">
        <v>529.87858602707138</v>
      </c>
      <c r="BN62">
        <v>14.205534979084614</v>
      </c>
      <c r="BO62">
        <v>19.980660513448608</v>
      </c>
      <c r="BP62">
        <v>101.49890228040893</v>
      </c>
      <c r="BQ62">
        <v>189.33450260111391</v>
      </c>
      <c r="BR62">
        <v>325.55664615248611</v>
      </c>
      <c r="BS62">
        <v>184.42235980883376</v>
      </c>
    </row>
    <row r="63" spans="1:71" x14ac:dyDescent="0.25">
      <c r="A63" t="s">
        <v>2917</v>
      </c>
      <c r="B63" t="s">
        <v>2918</v>
      </c>
      <c r="C63" t="s">
        <v>3041</v>
      </c>
      <c r="D63" t="s">
        <v>2794</v>
      </c>
      <c r="E63" t="s">
        <v>2795</v>
      </c>
      <c r="F63" t="s">
        <v>2796</v>
      </c>
      <c r="G63" t="s">
        <v>2920</v>
      </c>
      <c r="H63" t="s">
        <v>2921</v>
      </c>
      <c r="I63">
        <v>1183989</v>
      </c>
      <c r="J63">
        <v>0</v>
      </c>
      <c r="K63" t="s">
        <v>3377</v>
      </c>
      <c r="L63" t="s">
        <v>3378</v>
      </c>
      <c r="M63">
        <v>112</v>
      </c>
      <c r="N63">
        <v>29413.553</v>
      </c>
      <c r="O63" t="s">
        <v>215</v>
      </c>
      <c r="P63">
        <v>2</v>
      </c>
      <c r="Q63">
        <v>10</v>
      </c>
      <c r="R63">
        <v>95</v>
      </c>
      <c r="S63">
        <v>47203080</v>
      </c>
      <c r="T63">
        <v>114</v>
      </c>
      <c r="U63">
        <v>102</v>
      </c>
      <c r="V63">
        <v>29413.553448415088</v>
      </c>
      <c r="W63">
        <v>47203081.07955838</v>
      </c>
      <c r="X63">
        <v>114261.10799999999</v>
      </c>
      <c r="Y63">
        <f>VLOOKUP(AB63,'2000 Seattle Tracts'!$C$2:$Z$374,24,FALSE)</f>
        <v>1183992.8659999999</v>
      </c>
      <c r="Z63">
        <f t="shared" si="0"/>
        <v>9.6504895663788573E-2</v>
      </c>
      <c r="AA63" t="s">
        <v>214</v>
      </c>
      <c r="AB63" t="str">
        <f t="shared" si="1"/>
        <v>Census Tract 13, King County, Washington</v>
      </c>
      <c r="AC63" s="3">
        <f>VLOOKUP($AB63,'2000 Seattle Tracts'!$C$2:$Y$374,AC$1,FALSE)*$Z63</f>
        <v>403.67997856162759</v>
      </c>
      <c r="AD63" s="3">
        <f>VLOOKUP($AB63,'2000 Seattle Tracts'!$C$2:$Y$374,AD$1,FALSE)*$Z63</f>
        <v>286.81254991277962</v>
      </c>
      <c r="AE63" s="3">
        <f>VLOOKUP($AB63,'2000 Seattle Tracts'!$C$2:$Y$374,AE$1,FALSE)*$Z63</f>
        <v>116.86742864884796</v>
      </c>
      <c r="AF63" s="3">
        <f>VLOOKUP($AB63,'2000 Seattle Tracts'!$C$2:$Y$374,AF$1,FALSE)*$Z63</f>
        <v>403.67997856162759</v>
      </c>
      <c r="AG63" s="3">
        <f>VLOOKUP($AB63,'2000 Seattle Tracts'!$C$2:$Y$374,AG$1,FALSE)*$Z63</f>
        <v>286.81254991277962</v>
      </c>
      <c r="AH63" s="3">
        <f>VLOOKUP($AB63,'2000 Seattle Tracts'!$C$2:$Y$374,AH$1,FALSE)*$Z63</f>
        <v>116.86742864884796</v>
      </c>
      <c r="AI63" s="3">
        <f>VLOOKUP($AB63,'2000 Seattle Tracts'!$C$2:$Y$374,AI$1,FALSE)*$Z63</f>
        <v>218.58358867848111</v>
      </c>
      <c r="AJ63" s="3">
        <f>VLOOKUP($AB63,'2000 Seattle Tracts'!$C$2:$Y$374,AJ$1,FALSE)*$Z63</f>
        <v>38.312443578524061</v>
      </c>
      <c r="AK63" s="3">
        <f>VLOOKUP($AB63,'2000 Seattle Tracts'!$C$2:$Y$374,AK$1,FALSE)*$Z63</f>
        <v>10.326023836025378</v>
      </c>
      <c r="AL63" s="3">
        <f>VLOOKUP($AB63,'2000 Seattle Tracts'!$C$2:$Y$374,AL$1,FALSE)*$Z63</f>
        <v>8.6854406097409722</v>
      </c>
      <c r="AM63" s="3">
        <f>VLOOKUP($AB63,'2000 Seattle Tracts'!$C$2:$Y$374,AM$1,FALSE)*$Z63</f>
        <v>8.9749552967323378</v>
      </c>
      <c r="AN63" s="3">
        <f>VLOOKUP($AB63,'2000 Seattle Tracts'!$C$2:$Y$374,AN$1,FALSE)*$Z63</f>
        <v>9.1679650880599137</v>
      </c>
      <c r="AO63" s="3">
        <f>VLOOKUP($AB63,'2000 Seattle Tracts'!$C$2:$Y$374,AO$1,FALSE)*$Z63</f>
        <v>3.7636909308877544</v>
      </c>
      <c r="AP63" s="3">
        <f>VLOOKUP($AB63,'2000 Seattle Tracts'!$C$2:$Y$374,AP$1,FALSE)*$Z63</f>
        <v>0</v>
      </c>
      <c r="AQ63" s="3">
        <f>VLOOKUP($AB63,'2000 Seattle Tracts'!$C$2:$Y$374,AQ$1,FALSE)*$Z63</f>
        <v>12.545636436292515</v>
      </c>
      <c r="AR63" s="3">
        <f>VLOOKUP($AB63,'2000 Seattle Tracts'!$C$2:$Y$374,AR$1,FALSE)*$Z63</f>
        <v>50.858080014816579</v>
      </c>
      <c r="AS63" s="3">
        <f>VLOOKUP($AB63,'2000 Seattle Tracts'!$C$2:$Y$374,AS$1,FALSE)*$Z63</f>
        <v>1.9300979132757714</v>
      </c>
      <c r="AT63" s="3">
        <f>VLOOKUP($AB63,'2000 Seattle Tracts'!$C$2:$Y$374,AT$1,FALSE)*$Z63</f>
        <v>0</v>
      </c>
      <c r="AU63" s="3">
        <f>VLOOKUP($AB63,'2000 Seattle Tracts'!$C$2:$Y$374,AU$1,FALSE)*$Z63</f>
        <v>4.7287398875256397</v>
      </c>
      <c r="AV63" s="3">
        <f>VLOOKUP($AB63,'2000 Seattle Tracts'!$C$2:$Y$374,AV$1,FALSE)*$Z63</f>
        <v>3.9567007222153316</v>
      </c>
      <c r="AW63" s="3">
        <f>VLOOKUP($AB63,'2000 Seattle Tracts'!$C$2:$Y$374,AW$1,FALSE)*$Z63</f>
        <v>25.959816933559125</v>
      </c>
      <c r="AX63" s="3">
        <f>VLOOKUP($AB63,'2000 Seattle Tracts'!$C$2:$Y$374,AX$1,FALSE)*$Z63</f>
        <v>5.886798635491103</v>
      </c>
      <c r="AZ63" s="2" t="s">
        <v>148</v>
      </c>
      <c r="BA63">
        <v>3578.6301827771495</v>
      </c>
      <c r="BB63">
        <v>3264.5957378780031</v>
      </c>
      <c r="BC63">
        <v>314.03444489914637</v>
      </c>
      <c r="BD63">
        <v>2007.9329435736945</v>
      </c>
      <c r="BE63">
        <v>177.91359205199856</v>
      </c>
      <c r="BF63">
        <v>32.189083023697442</v>
      </c>
      <c r="BG63">
        <v>25.613016632671787</v>
      </c>
      <c r="BH63">
        <v>983.81269362516196</v>
      </c>
      <c r="BI63">
        <v>30.211817975096331</v>
      </c>
      <c r="BJ63">
        <v>50.879172985765017</v>
      </c>
      <c r="BK63">
        <v>4.117055790010677</v>
      </c>
      <c r="BL63">
        <v>56.81843923778306</v>
      </c>
      <c r="BM63">
        <v>41.663846117232801</v>
      </c>
      <c r="BN63">
        <v>1.0566662587673421</v>
      </c>
      <c r="BO63">
        <v>0</v>
      </c>
      <c r="BP63">
        <v>21.407206579242406</v>
      </c>
      <c r="BQ63">
        <v>15.503791294674379</v>
      </c>
      <c r="BR63">
        <v>110.49953259389102</v>
      </c>
      <c r="BS63">
        <v>19.011325037461802</v>
      </c>
    </row>
    <row r="64" spans="1:71" x14ac:dyDescent="0.25">
      <c r="A64" t="s">
        <v>2917</v>
      </c>
      <c r="B64" t="s">
        <v>2918</v>
      </c>
      <c r="C64" t="s">
        <v>3041</v>
      </c>
      <c r="D64" t="s">
        <v>2794</v>
      </c>
      <c r="E64" t="s">
        <v>2795</v>
      </c>
      <c r="F64" t="s">
        <v>2796</v>
      </c>
      <c r="G64" t="s">
        <v>2920</v>
      </c>
      <c r="H64" t="s">
        <v>2921</v>
      </c>
      <c r="I64">
        <v>1183989</v>
      </c>
      <c r="J64">
        <v>0</v>
      </c>
      <c r="K64" t="s">
        <v>3377</v>
      </c>
      <c r="L64" t="s">
        <v>3378</v>
      </c>
      <c r="M64">
        <v>115</v>
      </c>
      <c r="N64">
        <v>20132.898000000001</v>
      </c>
      <c r="O64" t="s">
        <v>215</v>
      </c>
      <c r="P64">
        <v>2</v>
      </c>
      <c r="Q64">
        <v>10</v>
      </c>
      <c r="R64">
        <v>9</v>
      </c>
      <c r="S64">
        <v>21704706</v>
      </c>
      <c r="T64">
        <v>117</v>
      </c>
      <c r="U64">
        <v>110</v>
      </c>
      <c r="V64">
        <v>20132.89824583329</v>
      </c>
      <c r="W64">
        <v>21704706.261455789</v>
      </c>
      <c r="X64">
        <v>678251.14599999995</v>
      </c>
      <c r="Y64">
        <f>VLOOKUP(AB64,'2000 Seattle Tracts'!$C$2:$Z$374,24,FALSE)</f>
        <v>1183992.8659999999</v>
      </c>
      <c r="Z64">
        <f t="shared" si="0"/>
        <v>0.57285070330820731</v>
      </c>
      <c r="AA64" t="s">
        <v>218</v>
      </c>
      <c r="AB64" t="str">
        <f t="shared" si="1"/>
        <v>Census Tract 13, King County, Washington</v>
      </c>
      <c r="AC64" s="3">
        <f>VLOOKUP($AB64,'2000 Seattle Tracts'!$C$2:$Y$374,AC$1,FALSE)*$Z64</f>
        <v>2396.2344919382313</v>
      </c>
      <c r="AD64" s="3">
        <f>VLOOKUP($AB64,'2000 Seattle Tracts'!$C$2:$Y$374,AD$1,FALSE)*$Z64</f>
        <v>1702.5122902319922</v>
      </c>
      <c r="AE64" s="3">
        <f>VLOOKUP($AB64,'2000 Seattle Tracts'!$C$2:$Y$374,AE$1,FALSE)*$Z64</f>
        <v>693.72220170623905</v>
      </c>
      <c r="AF64" s="3">
        <f>VLOOKUP($AB64,'2000 Seattle Tracts'!$C$2:$Y$374,AF$1,FALSE)*$Z64</f>
        <v>2396.2344919382313</v>
      </c>
      <c r="AG64" s="3">
        <f>VLOOKUP($AB64,'2000 Seattle Tracts'!$C$2:$Y$374,AG$1,FALSE)*$Z64</f>
        <v>1702.5122902319922</v>
      </c>
      <c r="AH64" s="3">
        <f>VLOOKUP($AB64,'2000 Seattle Tracts'!$C$2:$Y$374,AH$1,FALSE)*$Z64</f>
        <v>693.72220170623905</v>
      </c>
      <c r="AI64" s="3">
        <f>VLOOKUP($AB64,'2000 Seattle Tracts'!$C$2:$Y$374,AI$1,FALSE)*$Z64</f>
        <v>1297.5068429930895</v>
      </c>
      <c r="AJ64" s="3">
        <f>VLOOKUP($AB64,'2000 Seattle Tracts'!$C$2:$Y$374,AJ$1,FALSE)*$Z64</f>
        <v>227.4217292133583</v>
      </c>
      <c r="AK64" s="3">
        <f>VLOOKUP($AB64,'2000 Seattle Tracts'!$C$2:$Y$374,AK$1,FALSE)*$Z64</f>
        <v>61.295025253978181</v>
      </c>
      <c r="AL64" s="3">
        <f>VLOOKUP($AB64,'2000 Seattle Tracts'!$C$2:$Y$374,AL$1,FALSE)*$Z64</f>
        <v>51.556563297738656</v>
      </c>
      <c r="AM64" s="3">
        <f>VLOOKUP($AB64,'2000 Seattle Tracts'!$C$2:$Y$374,AM$1,FALSE)*$Z64</f>
        <v>53.275115407663279</v>
      </c>
      <c r="AN64" s="3">
        <f>VLOOKUP($AB64,'2000 Seattle Tracts'!$C$2:$Y$374,AN$1,FALSE)*$Z64</f>
        <v>54.420816814279696</v>
      </c>
      <c r="AO64" s="3">
        <f>VLOOKUP($AB64,'2000 Seattle Tracts'!$C$2:$Y$374,AO$1,FALSE)*$Z64</f>
        <v>22.341177429020085</v>
      </c>
      <c r="AP64" s="3">
        <f>VLOOKUP($AB64,'2000 Seattle Tracts'!$C$2:$Y$374,AP$1,FALSE)*$Z64</f>
        <v>0</v>
      </c>
      <c r="AQ64" s="3">
        <f>VLOOKUP($AB64,'2000 Seattle Tracts'!$C$2:$Y$374,AQ$1,FALSE)*$Z64</f>
        <v>74.470591430066946</v>
      </c>
      <c r="AR64" s="3">
        <f>VLOOKUP($AB64,'2000 Seattle Tracts'!$C$2:$Y$374,AR$1,FALSE)*$Z64</f>
        <v>301.89232064342525</v>
      </c>
      <c r="AS64" s="3">
        <f>VLOOKUP($AB64,'2000 Seattle Tracts'!$C$2:$Y$374,AS$1,FALSE)*$Z64</f>
        <v>11.457014066164145</v>
      </c>
      <c r="AT64" s="3">
        <f>VLOOKUP($AB64,'2000 Seattle Tracts'!$C$2:$Y$374,AT$1,FALSE)*$Z64</f>
        <v>0</v>
      </c>
      <c r="AU64" s="3">
        <f>VLOOKUP($AB64,'2000 Seattle Tracts'!$C$2:$Y$374,AU$1,FALSE)*$Z64</f>
        <v>28.06968446210216</v>
      </c>
      <c r="AV64" s="3">
        <f>VLOOKUP($AB64,'2000 Seattle Tracts'!$C$2:$Y$374,AV$1,FALSE)*$Z64</f>
        <v>23.486878835636499</v>
      </c>
      <c r="AW64" s="3">
        <f>VLOOKUP($AB64,'2000 Seattle Tracts'!$C$2:$Y$374,AW$1,FALSE)*$Z64</f>
        <v>154.09683918990777</v>
      </c>
      <c r="AX64" s="3">
        <f>VLOOKUP($AB64,'2000 Seattle Tracts'!$C$2:$Y$374,AX$1,FALSE)*$Z64</f>
        <v>34.943892901800645</v>
      </c>
      <c r="AZ64" s="2" t="s">
        <v>153</v>
      </c>
      <c r="BA64">
        <v>3857.9758200721044</v>
      </c>
      <c r="BB64">
        <v>3448.8533436088501</v>
      </c>
      <c r="BC64">
        <v>409.122476463255</v>
      </c>
      <c r="BD64">
        <v>1452.671938694547</v>
      </c>
      <c r="BE64">
        <v>128.48584362406183</v>
      </c>
      <c r="BF64">
        <v>24.904878610810488</v>
      </c>
      <c r="BG64">
        <v>81.79518982087464</v>
      </c>
      <c r="BH64">
        <v>1705.8608524201011</v>
      </c>
      <c r="BI64">
        <v>44.097307771407017</v>
      </c>
      <c r="BJ64">
        <v>18.327974392603949</v>
      </c>
      <c r="BK64">
        <v>1.8354006768434483</v>
      </c>
      <c r="BL64">
        <v>63.091383161041932</v>
      </c>
      <c r="BM64">
        <v>65.608055994367476</v>
      </c>
      <c r="BN64">
        <v>2.577360093501917</v>
      </c>
      <c r="BO64">
        <v>5.434873474258816E-3</v>
      </c>
      <c r="BP64">
        <v>53.269193487245218</v>
      </c>
      <c r="BQ64">
        <v>55.927125067575375</v>
      </c>
      <c r="BR64">
        <v>128.14976274899854</v>
      </c>
      <c r="BS64">
        <v>31.368118634650941</v>
      </c>
    </row>
    <row r="65" spans="1:71" x14ac:dyDescent="0.25">
      <c r="A65" t="s">
        <v>2917</v>
      </c>
      <c r="B65" t="s">
        <v>2918</v>
      </c>
      <c r="C65" t="s">
        <v>3041</v>
      </c>
      <c r="D65" t="s">
        <v>2794</v>
      </c>
      <c r="E65" t="s">
        <v>2795</v>
      </c>
      <c r="F65" t="s">
        <v>2796</v>
      </c>
      <c r="G65" t="s">
        <v>2920</v>
      </c>
      <c r="H65" t="s">
        <v>2921</v>
      </c>
      <c r="I65">
        <v>1183989</v>
      </c>
      <c r="J65">
        <v>0</v>
      </c>
      <c r="K65" t="s">
        <v>3377</v>
      </c>
      <c r="L65" t="s">
        <v>3378</v>
      </c>
      <c r="M65">
        <v>118</v>
      </c>
      <c r="N65">
        <v>26501.526999999998</v>
      </c>
      <c r="O65" t="s">
        <v>122</v>
      </c>
      <c r="P65">
        <v>1</v>
      </c>
      <c r="Q65">
        <v>2</v>
      </c>
      <c r="R65">
        <v>19</v>
      </c>
      <c r="S65">
        <v>42044564</v>
      </c>
      <c r="T65">
        <v>120</v>
      </c>
      <c r="U65">
        <v>115</v>
      </c>
      <c r="V65">
        <v>26501.526591104928</v>
      </c>
      <c r="W65">
        <v>42044563.673184253</v>
      </c>
      <c r="X65">
        <v>325611.21100000001</v>
      </c>
      <c r="Y65">
        <f>VLOOKUP(AB65,'2000 Seattle Tracts'!$C$2:$Z$374,24,FALSE)</f>
        <v>1183992.8659999999</v>
      </c>
      <c r="Z65">
        <f t="shared" si="0"/>
        <v>0.27501112578494202</v>
      </c>
      <c r="AA65" t="s">
        <v>221</v>
      </c>
      <c r="AB65" t="str">
        <f t="shared" si="1"/>
        <v>Census Tract 13, King County, Washington</v>
      </c>
      <c r="AC65" s="3">
        <f>VLOOKUP($AB65,'2000 Seattle Tracts'!$C$2:$Y$374,AC$1,FALSE)*$Z65</f>
        <v>1150.3715391584126</v>
      </c>
      <c r="AD65" s="3">
        <f>VLOOKUP($AB65,'2000 Seattle Tracts'!$C$2:$Y$374,AD$1,FALSE)*$Z65</f>
        <v>817.33306583284764</v>
      </c>
      <c r="AE65" s="3">
        <f>VLOOKUP($AB65,'2000 Seattle Tracts'!$C$2:$Y$374,AE$1,FALSE)*$Z65</f>
        <v>333.03847332556478</v>
      </c>
      <c r="AF65" s="3">
        <f>VLOOKUP($AB65,'2000 Seattle Tracts'!$C$2:$Y$374,AF$1,FALSE)*$Z65</f>
        <v>1150.3715391584126</v>
      </c>
      <c r="AG65" s="3">
        <f>VLOOKUP($AB65,'2000 Seattle Tracts'!$C$2:$Y$374,AG$1,FALSE)*$Z65</f>
        <v>817.33306583284764</v>
      </c>
      <c r="AH65" s="3">
        <f>VLOOKUP($AB65,'2000 Seattle Tracts'!$C$2:$Y$374,AH$1,FALSE)*$Z65</f>
        <v>333.03847332556478</v>
      </c>
      <c r="AI65" s="3">
        <f>VLOOKUP($AB65,'2000 Seattle Tracts'!$C$2:$Y$374,AI$1,FALSE)*$Z65</f>
        <v>622.90019990289363</v>
      </c>
      <c r="AJ65" s="3">
        <f>VLOOKUP($AB65,'2000 Seattle Tracts'!$C$2:$Y$374,AJ$1,FALSE)*$Z65</f>
        <v>109.17941693662198</v>
      </c>
      <c r="AK65" s="3">
        <f>VLOOKUP($AB65,'2000 Seattle Tracts'!$C$2:$Y$374,AK$1,FALSE)*$Z65</f>
        <v>29.426190458988795</v>
      </c>
      <c r="AL65" s="3">
        <f>VLOOKUP($AB65,'2000 Seattle Tracts'!$C$2:$Y$374,AL$1,FALSE)*$Z65</f>
        <v>24.751001320644782</v>
      </c>
      <c r="AM65" s="3">
        <f>VLOOKUP($AB65,'2000 Seattle Tracts'!$C$2:$Y$374,AM$1,FALSE)*$Z65</f>
        <v>25.576034697999606</v>
      </c>
      <c r="AN65" s="3">
        <f>VLOOKUP($AB65,'2000 Seattle Tracts'!$C$2:$Y$374,AN$1,FALSE)*$Z65</f>
        <v>26.126056949569492</v>
      </c>
      <c r="AO65" s="3">
        <f>VLOOKUP($AB65,'2000 Seattle Tracts'!$C$2:$Y$374,AO$1,FALSE)*$Z65</f>
        <v>10.725433905612739</v>
      </c>
      <c r="AP65" s="3">
        <f>VLOOKUP($AB65,'2000 Seattle Tracts'!$C$2:$Y$374,AP$1,FALSE)*$Z65</f>
        <v>0</v>
      </c>
      <c r="AQ65" s="3">
        <f>VLOOKUP($AB65,'2000 Seattle Tracts'!$C$2:$Y$374,AQ$1,FALSE)*$Z65</f>
        <v>35.751446352042464</v>
      </c>
      <c r="AR65" s="3">
        <f>VLOOKUP($AB65,'2000 Seattle Tracts'!$C$2:$Y$374,AR$1,FALSE)*$Z65</f>
        <v>144.93086328866445</v>
      </c>
      <c r="AS65" s="3">
        <f>VLOOKUP($AB65,'2000 Seattle Tracts'!$C$2:$Y$374,AS$1,FALSE)*$Z65</f>
        <v>5.5002225156988409</v>
      </c>
      <c r="AT65" s="3">
        <f>VLOOKUP($AB65,'2000 Seattle Tracts'!$C$2:$Y$374,AT$1,FALSE)*$Z65</f>
        <v>0</v>
      </c>
      <c r="AU65" s="3">
        <f>VLOOKUP($AB65,'2000 Seattle Tracts'!$C$2:$Y$374,AU$1,FALSE)*$Z65</f>
        <v>13.47554516346216</v>
      </c>
      <c r="AV65" s="3">
        <f>VLOOKUP($AB65,'2000 Seattle Tracts'!$C$2:$Y$374,AV$1,FALSE)*$Z65</f>
        <v>11.275456157182623</v>
      </c>
      <c r="AW65" s="3">
        <f>VLOOKUP($AB65,'2000 Seattle Tracts'!$C$2:$Y$374,AW$1,FALSE)*$Z65</f>
        <v>73.977992836149397</v>
      </c>
      <c r="AX65" s="3">
        <f>VLOOKUP($AB65,'2000 Seattle Tracts'!$C$2:$Y$374,AX$1,FALSE)*$Z65</f>
        <v>16.775678672881462</v>
      </c>
      <c r="AZ65" s="2" t="s">
        <v>185</v>
      </c>
      <c r="BA65">
        <v>5295.3469839200297</v>
      </c>
      <c r="BB65">
        <v>3557.8688705885838</v>
      </c>
      <c r="BC65">
        <v>1737.4781133314459</v>
      </c>
      <c r="BD65">
        <v>926.54936907762874</v>
      </c>
      <c r="BE65">
        <v>63.076498842992009</v>
      </c>
      <c r="BF65">
        <v>28.982347194368408</v>
      </c>
      <c r="BG65">
        <v>64.353523418301194</v>
      </c>
      <c r="BH65">
        <v>1618.9971925351599</v>
      </c>
      <c r="BI65">
        <v>100.7854253451813</v>
      </c>
      <c r="BJ65">
        <v>63.033140732934996</v>
      </c>
      <c r="BK65">
        <v>7.2575713132650864E-4</v>
      </c>
      <c r="BL65">
        <v>469.34694589389602</v>
      </c>
      <c r="BM65">
        <v>1106.588373918509</v>
      </c>
      <c r="BN65">
        <v>46.66577101270164</v>
      </c>
      <c r="BO65">
        <v>52.264066839614898</v>
      </c>
      <c r="BP65">
        <v>69.17453118687429</v>
      </c>
      <c r="BQ65">
        <v>143.5245430758643</v>
      </c>
      <c r="BR65">
        <v>335.11957295501992</v>
      </c>
      <c r="BS65">
        <v>206.88495613385189</v>
      </c>
    </row>
    <row r="66" spans="1:71" x14ac:dyDescent="0.25">
      <c r="A66" t="s">
        <v>2917</v>
      </c>
      <c r="B66" t="s">
        <v>2918</v>
      </c>
      <c r="C66" t="s">
        <v>3038</v>
      </c>
      <c r="D66" t="s">
        <v>2803</v>
      </c>
      <c r="E66" t="s">
        <v>2804</v>
      </c>
      <c r="F66" t="s">
        <v>2805</v>
      </c>
      <c r="G66" t="s">
        <v>2920</v>
      </c>
      <c r="H66" t="s">
        <v>2921</v>
      </c>
      <c r="I66">
        <v>1834052</v>
      </c>
      <c r="J66">
        <v>0</v>
      </c>
      <c r="K66" t="s">
        <v>3039</v>
      </c>
      <c r="L66" t="s">
        <v>3040</v>
      </c>
      <c r="M66">
        <v>102</v>
      </c>
      <c r="N66">
        <v>20753.002</v>
      </c>
      <c r="O66" t="s">
        <v>207</v>
      </c>
      <c r="P66">
        <v>3</v>
      </c>
      <c r="Q66">
        <v>3</v>
      </c>
      <c r="R66">
        <v>95</v>
      </c>
      <c r="S66">
        <v>21512732</v>
      </c>
      <c r="T66">
        <v>104</v>
      </c>
      <c r="U66">
        <v>106</v>
      </c>
      <c r="V66">
        <v>20753.0018992847</v>
      </c>
      <c r="W66">
        <v>21512731.489181329</v>
      </c>
      <c r="X66">
        <v>87.921000000000006</v>
      </c>
      <c r="Y66">
        <f>VLOOKUP(AB66,'2000 Seattle Tracts'!$C$2:$Z$374,24,FALSE)</f>
        <v>1834049.1680000001</v>
      </c>
      <c r="Z66">
        <f t="shared" si="0"/>
        <v>4.7938191371323154E-5</v>
      </c>
      <c r="AA66" t="s">
        <v>206</v>
      </c>
      <c r="AB66" t="str">
        <f t="shared" si="1"/>
        <v>Census Tract 12, King County, Washington</v>
      </c>
      <c r="AC66" s="3">
        <f>VLOOKUP($AB66,'2000 Seattle Tracts'!$C$2:$Y$374,AC$1,FALSE)*$Z66</f>
        <v>0.29318997842701239</v>
      </c>
      <c r="AD66" s="3">
        <f>VLOOKUP($AB66,'2000 Seattle Tracts'!$C$2:$Y$374,AD$1,FALSE)*$Z66</f>
        <v>0.20325793141441018</v>
      </c>
      <c r="AE66" s="3">
        <f>VLOOKUP($AB66,'2000 Seattle Tracts'!$C$2:$Y$374,AE$1,FALSE)*$Z66</f>
        <v>8.993204701260224E-2</v>
      </c>
      <c r="AF66" s="3">
        <f>VLOOKUP($AB66,'2000 Seattle Tracts'!$C$2:$Y$374,AF$1,FALSE)*$Z66</f>
        <v>0.29318997842701239</v>
      </c>
      <c r="AG66" s="3">
        <f>VLOOKUP($AB66,'2000 Seattle Tracts'!$C$2:$Y$374,AG$1,FALSE)*$Z66</f>
        <v>0.20325793141441018</v>
      </c>
      <c r="AH66" s="3">
        <f>VLOOKUP($AB66,'2000 Seattle Tracts'!$C$2:$Y$374,AH$1,FALSE)*$Z66</f>
        <v>8.993204701260224E-2</v>
      </c>
      <c r="AI66" s="3">
        <f>VLOOKUP($AB66,'2000 Seattle Tracts'!$C$2:$Y$374,AI$1,FALSE)*$Z66</f>
        <v>0.16677696778083326</v>
      </c>
      <c r="AJ66" s="3">
        <f>VLOOKUP($AB66,'2000 Seattle Tracts'!$C$2:$Y$374,AJ$1,FALSE)*$Z66</f>
        <v>1.960672027087117E-2</v>
      </c>
      <c r="AK66" s="3">
        <f>VLOOKUP($AB66,'2000 Seattle Tracts'!$C$2:$Y$374,AK$1,FALSE)*$Z66</f>
        <v>4.5061899889043766E-3</v>
      </c>
      <c r="AL66" s="3">
        <f>VLOOKUP($AB66,'2000 Seattle Tracts'!$C$2:$Y$374,AL$1,FALSE)*$Z66</f>
        <v>3.3556733959926206E-3</v>
      </c>
      <c r="AM66" s="3">
        <f>VLOOKUP($AB66,'2000 Seattle Tracts'!$C$2:$Y$374,AM$1,FALSE)*$Z66</f>
        <v>9.9711438052352153E-3</v>
      </c>
      <c r="AN66" s="3">
        <f>VLOOKUP($AB66,'2000 Seattle Tracts'!$C$2:$Y$374,AN$1,FALSE)*$Z66</f>
        <v>1.0354649336205802E-2</v>
      </c>
      <c r="AO66" s="3">
        <f>VLOOKUP($AB66,'2000 Seattle Tracts'!$C$2:$Y$374,AO$1,FALSE)*$Z66</f>
        <v>2.7804150995367431E-3</v>
      </c>
      <c r="AP66" s="3">
        <f>VLOOKUP($AB66,'2000 Seattle Tracts'!$C$2:$Y$374,AP$1,FALSE)*$Z66</f>
        <v>0</v>
      </c>
      <c r="AQ66" s="3">
        <f>VLOOKUP($AB66,'2000 Seattle Tracts'!$C$2:$Y$374,AQ$1,FALSE)*$Z66</f>
        <v>7.5262960452977352E-3</v>
      </c>
      <c r="AR66" s="3">
        <f>VLOOKUP($AB66,'2000 Seattle Tracts'!$C$2:$Y$374,AR$1,FALSE)*$Z66</f>
        <v>4.0891277239738649E-2</v>
      </c>
      <c r="AS66" s="3">
        <f>VLOOKUP($AB66,'2000 Seattle Tracts'!$C$2:$Y$374,AS$1,FALSE)*$Z66</f>
        <v>0</v>
      </c>
      <c r="AT66" s="3">
        <f>VLOOKUP($AB66,'2000 Seattle Tracts'!$C$2:$Y$374,AT$1,FALSE)*$Z66</f>
        <v>0</v>
      </c>
      <c r="AU66" s="3">
        <f>VLOOKUP($AB66,'2000 Seattle Tracts'!$C$2:$Y$374,AU$1,FALSE)*$Z66</f>
        <v>3.5953643528492366E-3</v>
      </c>
      <c r="AV66" s="3">
        <f>VLOOKUP($AB66,'2000 Seattle Tracts'!$C$2:$Y$374,AV$1,FALSE)*$Z66</f>
        <v>3.3556733959926206E-3</v>
      </c>
      <c r="AW66" s="3">
        <f>VLOOKUP($AB66,'2000 Seattle Tracts'!$C$2:$Y$374,AW$1,FALSE)*$Z66</f>
        <v>8.1015543417536137E-3</v>
      </c>
      <c r="AX66" s="3">
        <f>VLOOKUP($AB66,'2000 Seattle Tracts'!$C$2:$Y$374,AX$1,FALSE)*$Z66</f>
        <v>1.2368053373801374E-2</v>
      </c>
      <c r="AZ66" s="2" t="s">
        <v>182</v>
      </c>
      <c r="BA66">
        <v>1789.4686235577901</v>
      </c>
      <c r="BB66">
        <v>797.82059003218194</v>
      </c>
      <c r="BC66">
        <v>991.64803352560807</v>
      </c>
      <c r="BD66">
        <v>145.84660936353251</v>
      </c>
      <c r="BE66">
        <v>16.583720590386836</v>
      </c>
      <c r="BF66">
        <v>5.1731134315343592</v>
      </c>
      <c r="BG66">
        <v>23.135161850640053</v>
      </c>
      <c r="BH66">
        <v>267.59625569200176</v>
      </c>
      <c r="BI66">
        <v>135.06363894954458</v>
      </c>
      <c r="BJ66">
        <v>51.665839323451387</v>
      </c>
      <c r="BK66">
        <v>7.5667760062450495E-3</v>
      </c>
      <c r="BL66">
        <v>240.03347091804761</v>
      </c>
      <c r="BM66">
        <v>677.96035257321103</v>
      </c>
      <c r="BN66">
        <v>6.8458119352901914</v>
      </c>
      <c r="BO66">
        <v>27.108232529662811</v>
      </c>
      <c r="BP66">
        <v>18.572117091755672</v>
      </c>
      <c r="BQ66">
        <v>38.587959266831504</v>
      </c>
      <c r="BR66">
        <v>62.087372276568424</v>
      </c>
      <c r="BS66">
        <v>73.20140098932491</v>
      </c>
    </row>
    <row r="67" spans="1:71" x14ac:dyDescent="0.25">
      <c r="A67" t="s">
        <v>2917</v>
      </c>
      <c r="B67" t="s">
        <v>2918</v>
      </c>
      <c r="C67" t="s">
        <v>3038</v>
      </c>
      <c r="D67" t="s">
        <v>2803</v>
      </c>
      <c r="E67" t="s">
        <v>2804</v>
      </c>
      <c r="F67" t="s">
        <v>2805</v>
      </c>
      <c r="G67" t="s">
        <v>2920</v>
      </c>
      <c r="H67" t="s">
        <v>2921</v>
      </c>
      <c r="I67">
        <v>1834052</v>
      </c>
      <c r="J67">
        <v>0</v>
      </c>
      <c r="K67" t="s">
        <v>3039</v>
      </c>
      <c r="L67" t="s">
        <v>3040</v>
      </c>
      <c r="M67">
        <v>112</v>
      </c>
      <c r="N67">
        <v>29413.553</v>
      </c>
      <c r="O67" t="s">
        <v>215</v>
      </c>
      <c r="P67">
        <v>2</v>
      </c>
      <c r="Q67">
        <v>10</v>
      </c>
      <c r="R67">
        <v>95</v>
      </c>
      <c r="S67">
        <v>47203080</v>
      </c>
      <c r="T67">
        <v>114</v>
      </c>
      <c r="U67">
        <v>102</v>
      </c>
      <c r="V67">
        <v>29413.553448415088</v>
      </c>
      <c r="W67">
        <v>47203081.07955838</v>
      </c>
      <c r="X67">
        <v>139247.342</v>
      </c>
      <c r="Y67">
        <f>VLOOKUP(AB67,'2000 Seattle Tracts'!$C$2:$Z$374,24,FALSE)</f>
        <v>1834049.1680000001</v>
      </c>
      <c r="Z67">
        <f t="shared" si="0"/>
        <v>7.5923450924626462E-2</v>
      </c>
      <c r="AA67" t="s">
        <v>214</v>
      </c>
      <c r="AB67" t="str">
        <f t="shared" si="1"/>
        <v>Census Tract 12, King County, Washington</v>
      </c>
      <c r="AC67" s="3">
        <f>VLOOKUP($AB67,'2000 Seattle Tracts'!$C$2:$Y$374,AC$1,FALSE)*$Z67</f>
        <v>464.34782585501546</v>
      </c>
      <c r="AD67" s="3">
        <f>VLOOKUP($AB67,'2000 Seattle Tracts'!$C$2:$Y$374,AD$1,FALSE)*$Z67</f>
        <v>321.91543192041621</v>
      </c>
      <c r="AE67" s="3">
        <f>VLOOKUP($AB67,'2000 Seattle Tracts'!$C$2:$Y$374,AE$1,FALSE)*$Z67</f>
        <v>142.43239393459925</v>
      </c>
      <c r="AF67" s="3">
        <f>VLOOKUP($AB67,'2000 Seattle Tracts'!$C$2:$Y$374,AF$1,FALSE)*$Z67</f>
        <v>464.34782585501546</v>
      </c>
      <c r="AG67" s="3">
        <f>VLOOKUP($AB67,'2000 Seattle Tracts'!$C$2:$Y$374,AG$1,FALSE)*$Z67</f>
        <v>321.91543192041621</v>
      </c>
      <c r="AH67" s="3">
        <f>VLOOKUP($AB67,'2000 Seattle Tracts'!$C$2:$Y$374,AH$1,FALSE)*$Z67</f>
        <v>142.43239393459925</v>
      </c>
      <c r="AI67" s="3">
        <f>VLOOKUP($AB67,'2000 Seattle Tracts'!$C$2:$Y$374,AI$1,FALSE)*$Z67</f>
        <v>264.13768576677546</v>
      </c>
      <c r="AJ67" s="3">
        <f>VLOOKUP($AB67,'2000 Seattle Tracts'!$C$2:$Y$374,AJ$1,FALSE)*$Z67</f>
        <v>31.052691428172224</v>
      </c>
      <c r="AK67" s="3">
        <f>VLOOKUP($AB67,'2000 Seattle Tracts'!$C$2:$Y$374,AK$1,FALSE)*$Z67</f>
        <v>7.1368043869148874</v>
      </c>
      <c r="AL67" s="3">
        <f>VLOOKUP($AB67,'2000 Seattle Tracts'!$C$2:$Y$374,AL$1,FALSE)*$Z67</f>
        <v>5.3146415647238525</v>
      </c>
      <c r="AM67" s="3">
        <f>VLOOKUP($AB67,'2000 Seattle Tracts'!$C$2:$Y$374,AM$1,FALSE)*$Z67</f>
        <v>15.792077792322305</v>
      </c>
      <c r="AN67" s="3">
        <f>VLOOKUP($AB67,'2000 Seattle Tracts'!$C$2:$Y$374,AN$1,FALSE)*$Z67</f>
        <v>16.399465399719315</v>
      </c>
      <c r="AO67" s="3">
        <f>VLOOKUP($AB67,'2000 Seattle Tracts'!$C$2:$Y$374,AO$1,FALSE)*$Z67</f>
        <v>4.4035601536283346</v>
      </c>
      <c r="AP67" s="3">
        <f>VLOOKUP($AB67,'2000 Seattle Tracts'!$C$2:$Y$374,AP$1,FALSE)*$Z67</f>
        <v>0</v>
      </c>
      <c r="AQ67" s="3">
        <f>VLOOKUP($AB67,'2000 Seattle Tracts'!$C$2:$Y$374,AQ$1,FALSE)*$Z67</f>
        <v>11.919981795166354</v>
      </c>
      <c r="AR67" s="3">
        <f>VLOOKUP($AB67,'2000 Seattle Tracts'!$C$2:$Y$374,AR$1,FALSE)*$Z67</f>
        <v>64.76270363870637</v>
      </c>
      <c r="AS67" s="3">
        <f>VLOOKUP($AB67,'2000 Seattle Tracts'!$C$2:$Y$374,AS$1,FALSE)*$Z67</f>
        <v>0</v>
      </c>
      <c r="AT67" s="3">
        <f>VLOOKUP($AB67,'2000 Seattle Tracts'!$C$2:$Y$374,AT$1,FALSE)*$Z67</f>
        <v>0</v>
      </c>
      <c r="AU67" s="3">
        <f>VLOOKUP($AB67,'2000 Seattle Tracts'!$C$2:$Y$374,AU$1,FALSE)*$Z67</f>
        <v>5.6942588193469845</v>
      </c>
      <c r="AV67" s="3">
        <f>VLOOKUP($AB67,'2000 Seattle Tracts'!$C$2:$Y$374,AV$1,FALSE)*$Z67</f>
        <v>5.3146415647238525</v>
      </c>
      <c r="AW67" s="3">
        <f>VLOOKUP($AB67,'2000 Seattle Tracts'!$C$2:$Y$374,AW$1,FALSE)*$Z67</f>
        <v>12.831063206261872</v>
      </c>
      <c r="AX67" s="3">
        <f>VLOOKUP($AB67,'2000 Seattle Tracts'!$C$2:$Y$374,AX$1,FALSE)*$Z67</f>
        <v>19.588250338553628</v>
      </c>
      <c r="AZ67" s="2" t="s">
        <v>160</v>
      </c>
      <c r="BA67">
        <v>8238.1124833017147</v>
      </c>
      <c r="BB67">
        <v>6618.8351674839123</v>
      </c>
      <c r="BC67">
        <v>1619.2773158178027</v>
      </c>
      <c r="BD67">
        <v>4770.7067551177952</v>
      </c>
      <c r="BE67">
        <v>418.55309886249751</v>
      </c>
      <c r="BF67">
        <v>103.07983743520933</v>
      </c>
      <c r="BG67">
        <v>119.41673247836577</v>
      </c>
      <c r="BH67">
        <v>993.71110414703071</v>
      </c>
      <c r="BI67">
        <v>197.00272788388716</v>
      </c>
      <c r="BJ67">
        <v>151.51712020936662</v>
      </c>
      <c r="BK67">
        <v>0.38684968382216239</v>
      </c>
      <c r="BL67">
        <v>250.7474116777033</v>
      </c>
      <c r="BM67">
        <v>678.21271838012422</v>
      </c>
      <c r="BN67">
        <v>3.3610798777126494</v>
      </c>
      <c r="BO67">
        <v>11.235047773516486</v>
      </c>
      <c r="BP67">
        <v>132.68058892632908</v>
      </c>
      <c r="BQ67">
        <v>112.05159684783939</v>
      </c>
      <c r="BR67">
        <v>213.03127009276554</v>
      </c>
      <c r="BS67">
        <v>82.418543907749765</v>
      </c>
    </row>
    <row r="68" spans="1:71" x14ac:dyDescent="0.25">
      <c r="A68" t="s">
        <v>2917</v>
      </c>
      <c r="B68" t="s">
        <v>2918</v>
      </c>
      <c r="C68" t="s">
        <v>3038</v>
      </c>
      <c r="D68" t="s">
        <v>2803</v>
      </c>
      <c r="E68" t="s">
        <v>2804</v>
      </c>
      <c r="F68" t="s">
        <v>2805</v>
      </c>
      <c r="G68" t="s">
        <v>2920</v>
      </c>
      <c r="H68" t="s">
        <v>2921</v>
      </c>
      <c r="I68">
        <v>1834052</v>
      </c>
      <c r="J68">
        <v>0</v>
      </c>
      <c r="K68" t="s">
        <v>3039</v>
      </c>
      <c r="L68" t="s">
        <v>3040</v>
      </c>
      <c r="M68">
        <v>113</v>
      </c>
      <c r="N68">
        <v>26171.271000000001</v>
      </c>
      <c r="O68" t="s">
        <v>215</v>
      </c>
      <c r="P68">
        <v>2</v>
      </c>
      <c r="Q68">
        <v>10</v>
      </c>
      <c r="R68">
        <v>81</v>
      </c>
      <c r="S68">
        <v>29438850</v>
      </c>
      <c r="T68">
        <v>115</v>
      </c>
      <c r="U68">
        <v>103</v>
      </c>
      <c r="V68">
        <v>26171.27176081029</v>
      </c>
      <c r="W68">
        <v>29438850.877074279</v>
      </c>
      <c r="X68">
        <v>520746.96899999998</v>
      </c>
      <c r="Y68">
        <f>VLOOKUP(AB68,'2000 Seattle Tracts'!$C$2:$Z$374,24,FALSE)</f>
        <v>1834049.1680000001</v>
      </c>
      <c r="Z68">
        <f t="shared" ref="Z68:Z131" si="2">X68/Y68</f>
        <v>0.28393293815992177</v>
      </c>
      <c r="AA68" t="s">
        <v>216</v>
      </c>
      <c r="AB68" t="str">
        <f t="shared" ref="AB68:AB131" si="3">_xlfn.CONCAT(F68, ", King County, Washington")</f>
        <v>Census Tract 12, King County, Washington</v>
      </c>
      <c r="AC68" s="3">
        <f>VLOOKUP($AB68,'2000 Seattle Tracts'!$C$2:$Y$374,AC$1,FALSE)*$Z68</f>
        <v>1736.5338497860814</v>
      </c>
      <c r="AD68" s="3">
        <f>VLOOKUP($AB68,'2000 Seattle Tracts'!$C$2:$Y$374,AD$1,FALSE)*$Z68</f>
        <v>1203.8756577980682</v>
      </c>
      <c r="AE68" s="3">
        <f>VLOOKUP($AB68,'2000 Seattle Tracts'!$C$2:$Y$374,AE$1,FALSE)*$Z68</f>
        <v>532.65819198801319</v>
      </c>
      <c r="AF68" s="3">
        <f>VLOOKUP($AB68,'2000 Seattle Tracts'!$C$2:$Y$374,AF$1,FALSE)*$Z68</f>
        <v>1736.5338497860814</v>
      </c>
      <c r="AG68" s="3">
        <f>VLOOKUP($AB68,'2000 Seattle Tracts'!$C$2:$Y$374,AG$1,FALSE)*$Z68</f>
        <v>1203.8756577980682</v>
      </c>
      <c r="AH68" s="3">
        <f>VLOOKUP($AB68,'2000 Seattle Tracts'!$C$2:$Y$374,AH$1,FALSE)*$Z68</f>
        <v>532.65819198801319</v>
      </c>
      <c r="AI68" s="3">
        <f>VLOOKUP($AB68,'2000 Seattle Tracts'!$C$2:$Y$374,AI$1,FALSE)*$Z68</f>
        <v>987.80269185836778</v>
      </c>
      <c r="AJ68" s="3">
        <f>VLOOKUP($AB68,'2000 Seattle Tracts'!$C$2:$Y$374,AJ$1,FALSE)*$Z68</f>
        <v>116.128571707408</v>
      </c>
      <c r="AK68" s="3">
        <f>VLOOKUP($AB68,'2000 Seattle Tracts'!$C$2:$Y$374,AK$1,FALSE)*$Z68</f>
        <v>26.689696187032645</v>
      </c>
      <c r="AL68" s="3">
        <f>VLOOKUP($AB68,'2000 Seattle Tracts'!$C$2:$Y$374,AL$1,FALSE)*$Z68</f>
        <v>19.875305671194525</v>
      </c>
      <c r="AM68" s="3">
        <f>VLOOKUP($AB68,'2000 Seattle Tracts'!$C$2:$Y$374,AM$1,FALSE)*$Z68</f>
        <v>59.058051137263725</v>
      </c>
      <c r="AN68" s="3">
        <f>VLOOKUP($AB68,'2000 Seattle Tracts'!$C$2:$Y$374,AN$1,FALSE)*$Z68</f>
        <v>61.329514642543103</v>
      </c>
      <c r="AO68" s="3">
        <f>VLOOKUP($AB68,'2000 Seattle Tracts'!$C$2:$Y$374,AO$1,FALSE)*$Z68</f>
        <v>16.468110413275461</v>
      </c>
      <c r="AP68" s="3">
        <f>VLOOKUP($AB68,'2000 Seattle Tracts'!$C$2:$Y$374,AP$1,FALSE)*$Z68</f>
        <v>0</v>
      </c>
      <c r="AQ68" s="3">
        <f>VLOOKUP($AB68,'2000 Seattle Tracts'!$C$2:$Y$374,AQ$1,FALSE)*$Z68</f>
        <v>44.57747129110772</v>
      </c>
      <c r="AR68" s="3">
        <f>VLOOKUP($AB68,'2000 Seattle Tracts'!$C$2:$Y$374,AR$1,FALSE)*$Z68</f>
        <v>242.19479625041328</v>
      </c>
      <c r="AS68" s="3">
        <f>VLOOKUP($AB68,'2000 Seattle Tracts'!$C$2:$Y$374,AS$1,FALSE)*$Z68</f>
        <v>0</v>
      </c>
      <c r="AT68" s="3">
        <f>VLOOKUP($AB68,'2000 Seattle Tracts'!$C$2:$Y$374,AT$1,FALSE)*$Z68</f>
        <v>0</v>
      </c>
      <c r="AU68" s="3">
        <f>VLOOKUP($AB68,'2000 Seattle Tracts'!$C$2:$Y$374,AU$1,FALSE)*$Z68</f>
        <v>21.294970361994132</v>
      </c>
      <c r="AV68" s="3">
        <f>VLOOKUP($AB68,'2000 Seattle Tracts'!$C$2:$Y$374,AV$1,FALSE)*$Z68</f>
        <v>19.875305671194525</v>
      </c>
      <c r="AW68" s="3">
        <f>VLOOKUP($AB68,'2000 Seattle Tracts'!$C$2:$Y$374,AW$1,FALSE)*$Z68</f>
        <v>47.984666549026777</v>
      </c>
      <c r="AX68" s="3">
        <f>VLOOKUP($AB68,'2000 Seattle Tracts'!$C$2:$Y$374,AX$1,FALSE)*$Z68</f>
        <v>73.254698045259815</v>
      </c>
      <c r="AZ68" s="2" t="s">
        <v>159</v>
      </c>
      <c r="BA68">
        <v>5241.6316823032557</v>
      </c>
      <c r="BB68">
        <v>4352.7459290715997</v>
      </c>
      <c r="BC68">
        <v>888.88575323165549</v>
      </c>
      <c r="BD68">
        <v>3362.5400883955008</v>
      </c>
      <c r="BE68">
        <v>288.41272556064376</v>
      </c>
      <c r="BF68">
        <v>108.68824501665938</v>
      </c>
      <c r="BG68">
        <v>55.336297418321692</v>
      </c>
      <c r="BH68">
        <v>479.16763740064874</v>
      </c>
      <c r="BI68">
        <v>76.256405771370865</v>
      </c>
      <c r="BJ68">
        <v>71.39341225566055</v>
      </c>
      <c r="BK68">
        <v>11.831356843711553</v>
      </c>
      <c r="BL68">
        <v>112.83874326280494</v>
      </c>
      <c r="BM68">
        <v>320.45400350625886</v>
      </c>
      <c r="BN68">
        <v>6.0821966160192309</v>
      </c>
      <c r="BO68">
        <v>5.8927590635660119</v>
      </c>
      <c r="BP68">
        <v>52.663128208460478</v>
      </c>
      <c r="BQ68">
        <v>85.371628282042337</v>
      </c>
      <c r="BR68">
        <v>159.3724779158465</v>
      </c>
      <c r="BS68">
        <v>45.330576785740256</v>
      </c>
    </row>
    <row r="69" spans="1:71" x14ac:dyDescent="0.25">
      <c r="A69" t="s">
        <v>2917</v>
      </c>
      <c r="B69" t="s">
        <v>2918</v>
      </c>
      <c r="C69" t="s">
        <v>3038</v>
      </c>
      <c r="D69" t="s">
        <v>2803</v>
      </c>
      <c r="E69" t="s">
        <v>2804</v>
      </c>
      <c r="F69" t="s">
        <v>2805</v>
      </c>
      <c r="G69" t="s">
        <v>2920</v>
      </c>
      <c r="H69" t="s">
        <v>2921</v>
      </c>
      <c r="I69">
        <v>1834052</v>
      </c>
      <c r="J69">
        <v>0</v>
      </c>
      <c r="K69" t="s">
        <v>3039</v>
      </c>
      <c r="L69" t="s">
        <v>3040</v>
      </c>
      <c r="M69">
        <v>115</v>
      </c>
      <c r="N69">
        <v>20132.898000000001</v>
      </c>
      <c r="O69" t="s">
        <v>215</v>
      </c>
      <c r="P69">
        <v>2</v>
      </c>
      <c r="Q69">
        <v>10</v>
      </c>
      <c r="R69">
        <v>9</v>
      </c>
      <c r="S69">
        <v>21704706</v>
      </c>
      <c r="T69">
        <v>117</v>
      </c>
      <c r="U69">
        <v>110</v>
      </c>
      <c r="V69">
        <v>20132.89824583329</v>
      </c>
      <c r="W69">
        <v>21704706.261455789</v>
      </c>
      <c r="X69">
        <v>193904.94399999999</v>
      </c>
      <c r="Y69">
        <f>VLOOKUP(AB69,'2000 Seattle Tracts'!$C$2:$Z$374,24,FALSE)</f>
        <v>1834049.1680000001</v>
      </c>
      <c r="Z69">
        <f t="shared" si="2"/>
        <v>0.10572505218682338</v>
      </c>
      <c r="AA69" t="s">
        <v>218</v>
      </c>
      <c r="AB69" t="str">
        <f t="shared" si="3"/>
        <v>Census Tract 12, King County, Washington</v>
      </c>
      <c r="AC69" s="3">
        <f>VLOOKUP($AB69,'2000 Seattle Tracts'!$C$2:$Y$374,AC$1,FALSE)*$Z69</f>
        <v>646.61441917461173</v>
      </c>
      <c r="AD69" s="3">
        <f>VLOOKUP($AB69,'2000 Seattle Tracts'!$C$2:$Y$374,AD$1,FALSE)*$Z69</f>
        <v>448.27422127213111</v>
      </c>
      <c r="AE69" s="3">
        <f>VLOOKUP($AB69,'2000 Seattle Tracts'!$C$2:$Y$374,AE$1,FALSE)*$Z69</f>
        <v>198.34019790248067</v>
      </c>
      <c r="AF69" s="3">
        <f>VLOOKUP($AB69,'2000 Seattle Tracts'!$C$2:$Y$374,AF$1,FALSE)*$Z69</f>
        <v>646.61441917461173</v>
      </c>
      <c r="AG69" s="3">
        <f>VLOOKUP($AB69,'2000 Seattle Tracts'!$C$2:$Y$374,AG$1,FALSE)*$Z69</f>
        <v>448.27422127213111</v>
      </c>
      <c r="AH69" s="3">
        <f>VLOOKUP($AB69,'2000 Seattle Tracts'!$C$2:$Y$374,AH$1,FALSE)*$Z69</f>
        <v>198.34019790248067</v>
      </c>
      <c r="AI69" s="3">
        <f>VLOOKUP($AB69,'2000 Seattle Tracts'!$C$2:$Y$374,AI$1,FALSE)*$Z69</f>
        <v>367.81745655795851</v>
      </c>
      <c r="AJ69" s="3">
        <f>VLOOKUP($AB69,'2000 Seattle Tracts'!$C$2:$Y$374,AJ$1,FALSE)*$Z69</f>
        <v>43.241546344410764</v>
      </c>
      <c r="AK69" s="3">
        <f>VLOOKUP($AB69,'2000 Seattle Tracts'!$C$2:$Y$374,AK$1,FALSE)*$Z69</f>
        <v>9.9381549055613974</v>
      </c>
      <c r="AL69" s="3">
        <f>VLOOKUP($AB69,'2000 Seattle Tracts'!$C$2:$Y$374,AL$1,FALSE)*$Z69</f>
        <v>7.4007536530776363</v>
      </c>
      <c r="AM69" s="3">
        <f>VLOOKUP($AB69,'2000 Seattle Tracts'!$C$2:$Y$374,AM$1,FALSE)*$Z69</f>
        <v>21.990810854859262</v>
      </c>
      <c r="AN69" s="3">
        <f>VLOOKUP($AB69,'2000 Seattle Tracts'!$C$2:$Y$374,AN$1,FALSE)*$Z69</f>
        <v>22.836611272353849</v>
      </c>
      <c r="AO69" s="3">
        <f>VLOOKUP($AB69,'2000 Seattle Tracts'!$C$2:$Y$374,AO$1,FALSE)*$Z69</f>
        <v>6.1320530268357558</v>
      </c>
      <c r="AP69" s="3">
        <f>VLOOKUP($AB69,'2000 Seattle Tracts'!$C$2:$Y$374,AP$1,FALSE)*$Z69</f>
        <v>0</v>
      </c>
      <c r="AQ69" s="3">
        <f>VLOOKUP($AB69,'2000 Seattle Tracts'!$C$2:$Y$374,AQ$1,FALSE)*$Z69</f>
        <v>16.59883319333127</v>
      </c>
      <c r="AR69" s="3">
        <f>VLOOKUP($AB69,'2000 Seattle Tracts'!$C$2:$Y$374,AR$1,FALSE)*$Z69</f>
        <v>90.183469515360343</v>
      </c>
      <c r="AS69" s="3">
        <f>VLOOKUP($AB69,'2000 Seattle Tracts'!$C$2:$Y$374,AS$1,FALSE)*$Z69</f>
        <v>0</v>
      </c>
      <c r="AT69" s="3">
        <f>VLOOKUP($AB69,'2000 Seattle Tracts'!$C$2:$Y$374,AT$1,FALSE)*$Z69</f>
        <v>0</v>
      </c>
      <c r="AU69" s="3">
        <f>VLOOKUP($AB69,'2000 Seattle Tracts'!$C$2:$Y$374,AU$1,FALSE)*$Z69</f>
        <v>7.9293789140117532</v>
      </c>
      <c r="AV69" s="3">
        <f>VLOOKUP($AB69,'2000 Seattle Tracts'!$C$2:$Y$374,AV$1,FALSE)*$Z69</f>
        <v>7.4007536530776363</v>
      </c>
      <c r="AW69" s="3">
        <f>VLOOKUP($AB69,'2000 Seattle Tracts'!$C$2:$Y$374,AW$1,FALSE)*$Z69</f>
        <v>17.867533819573151</v>
      </c>
      <c r="AX69" s="3">
        <f>VLOOKUP($AB69,'2000 Seattle Tracts'!$C$2:$Y$374,AX$1,FALSE)*$Z69</f>
        <v>27.277063464200431</v>
      </c>
      <c r="AZ69" s="2" t="s">
        <v>204</v>
      </c>
      <c r="BA69">
        <v>20614.730939199202</v>
      </c>
      <c r="BB69">
        <v>17464.399528768325</v>
      </c>
      <c r="BC69">
        <v>3150.3314104308738</v>
      </c>
      <c r="BD69">
        <v>14576.423317838824</v>
      </c>
      <c r="BE69">
        <v>1340.8418365080556</v>
      </c>
      <c r="BF69">
        <v>319.73055222095201</v>
      </c>
      <c r="BG69">
        <v>140.67645644462593</v>
      </c>
      <c r="BH69">
        <v>1022.3497941845962</v>
      </c>
      <c r="BI69">
        <v>254.74569665649403</v>
      </c>
      <c r="BJ69">
        <v>173.71873186399847</v>
      </c>
      <c r="BK69">
        <v>20.963592663859341</v>
      </c>
      <c r="BL69">
        <v>410.53582711720412</v>
      </c>
      <c r="BM69">
        <v>936.32280575281288</v>
      </c>
      <c r="BN69">
        <v>34.868015830546568</v>
      </c>
      <c r="BO69">
        <v>13.343930632976679</v>
      </c>
      <c r="BP69">
        <v>225.82765834140906</v>
      </c>
      <c r="BQ69">
        <v>212.57197051625835</v>
      </c>
      <c r="BR69">
        <v>700.94563137079615</v>
      </c>
      <c r="BS69">
        <v>230.86512125579046</v>
      </c>
    </row>
    <row r="70" spans="1:71" x14ac:dyDescent="0.25">
      <c r="A70" t="s">
        <v>2917</v>
      </c>
      <c r="B70" t="s">
        <v>2918</v>
      </c>
      <c r="C70" t="s">
        <v>3038</v>
      </c>
      <c r="D70" t="s">
        <v>2803</v>
      </c>
      <c r="E70" t="s">
        <v>2804</v>
      </c>
      <c r="F70" t="s">
        <v>2805</v>
      </c>
      <c r="G70" t="s">
        <v>2920</v>
      </c>
      <c r="H70" t="s">
        <v>2921</v>
      </c>
      <c r="I70">
        <v>1834052</v>
      </c>
      <c r="J70">
        <v>0</v>
      </c>
      <c r="K70" t="s">
        <v>3039</v>
      </c>
      <c r="L70" t="s">
        <v>3040</v>
      </c>
      <c r="M70">
        <v>116</v>
      </c>
      <c r="N70">
        <v>25503.057000000001</v>
      </c>
      <c r="O70" t="s">
        <v>215</v>
      </c>
      <c r="P70">
        <v>2</v>
      </c>
      <c r="Q70">
        <v>10</v>
      </c>
      <c r="R70">
        <v>94</v>
      </c>
      <c r="S70">
        <v>34380472</v>
      </c>
      <c r="T70">
        <v>118</v>
      </c>
      <c r="U70">
        <v>112</v>
      </c>
      <c r="V70">
        <v>25503.057408269069</v>
      </c>
      <c r="W70">
        <v>34380470.782561153</v>
      </c>
      <c r="X70">
        <v>980061.99199999997</v>
      </c>
      <c r="Y70">
        <f>VLOOKUP(AB70,'2000 Seattle Tracts'!$C$2:$Z$374,24,FALSE)</f>
        <v>1834049.1680000001</v>
      </c>
      <c r="Z70">
        <f t="shared" si="2"/>
        <v>0.53437062053725704</v>
      </c>
      <c r="AA70" t="s">
        <v>219</v>
      </c>
      <c r="AB70" t="str">
        <f t="shared" si="3"/>
        <v>Census Tract 12, King County, Washington</v>
      </c>
      <c r="AC70" s="3">
        <f>VLOOKUP($AB70,'2000 Seattle Tracts'!$C$2:$Y$374,AC$1,FALSE)*$Z70</f>
        <v>3268.2107152058638</v>
      </c>
      <c r="AD70" s="3">
        <f>VLOOKUP($AB70,'2000 Seattle Tracts'!$C$2:$Y$374,AD$1,FALSE)*$Z70</f>
        <v>2265.7314310779698</v>
      </c>
      <c r="AE70" s="3">
        <f>VLOOKUP($AB70,'2000 Seattle Tracts'!$C$2:$Y$374,AE$1,FALSE)*$Z70</f>
        <v>1002.4792841278942</v>
      </c>
      <c r="AF70" s="3">
        <f>VLOOKUP($AB70,'2000 Seattle Tracts'!$C$2:$Y$374,AF$1,FALSE)*$Z70</f>
        <v>3268.2107152058638</v>
      </c>
      <c r="AG70" s="3">
        <f>VLOOKUP($AB70,'2000 Seattle Tracts'!$C$2:$Y$374,AG$1,FALSE)*$Z70</f>
        <v>2265.7314310779698</v>
      </c>
      <c r="AH70" s="3">
        <f>VLOOKUP($AB70,'2000 Seattle Tracts'!$C$2:$Y$374,AH$1,FALSE)*$Z70</f>
        <v>1002.4792841278942</v>
      </c>
      <c r="AI70" s="3">
        <f>VLOOKUP($AB70,'2000 Seattle Tracts'!$C$2:$Y$374,AI$1,FALSE)*$Z70</f>
        <v>1859.0753888491172</v>
      </c>
      <c r="AJ70" s="3">
        <f>VLOOKUP($AB70,'2000 Seattle Tracts'!$C$2:$Y$374,AJ$1,FALSE)*$Z70</f>
        <v>218.55758379973813</v>
      </c>
      <c r="AK70" s="3">
        <f>VLOOKUP($AB70,'2000 Seattle Tracts'!$C$2:$Y$374,AK$1,FALSE)*$Z70</f>
        <v>50.230838330502159</v>
      </c>
      <c r="AL70" s="3">
        <f>VLOOKUP($AB70,'2000 Seattle Tracts'!$C$2:$Y$374,AL$1,FALSE)*$Z70</f>
        <v>37.405943437607995</v>
      </c>
      <c r="AM70" s="3">
        <f>VLOOKUP($AB70,'2000 Seattle Tracts'!$C$2:$Y$374,AM$1,FALSE)*$Z70</f>
        <v>111.14908907174946</v>
      </c>
      <c r="AN70" s="3">
        <f>VLOOKUP($AB70,'2000 Seattle Tracts'!$C$2:$Y$374,AN$1,FALSE)*$Z70</f>
        <v>115.42405403604752</v>
      </c>
      <c r="AO70" s="3">
        <f>VLOOKUP($AB70,'2000 Seattle Tracts'!$C$2:$Y$374,AO$1,FALSE)*$Z70</f>
        <v>30.993495991160909</v>
      </c>
      <c r="AP70" s="3">
        <f>VLOOKUP($AB70,'2000 Seattle Tracts'!$C$2:$Y$374,AP$1,FALSE)*$Z70</f>
        <v>0</v>
      </c>
      <c r="AQ70" s="3">
        <f>VLOOKUP($AB70,'2000 Seattle Tracts'!$C$2:$Y$374,AQ$1,FALSE)*$Z70</f>
        <v>83.89618742434935</v>
      </c>
      <c r="AR70" s="3">
        <f>VLOOKUP($AB70,'2000 Seattle Tracts'!$C$2:$Y$374,AR$1,FALSE)*$Z70</f>
        <v>455.81813931828026</v>
      </c>
      <c r="AS70" s="3">
        <f>VLOOKUP($AB70,'2000 Seattle Tracts'!$C$2:$Y$374,AS$1,FALSE)*$Z70</f>
        <v>0</v>
      </c>
      <c r="AT70" s="3">
        <f>VLOOKUP($AB70,'2000 Seattle Tracts'!$C$2:$Y$374,AT$1,FALSE)*$Z70</f>
        <v>0</v>
      </c>
      <c r="AU70" s="3">
        <f>VLOOKUP($AB70,'2000 Seattle Tracts'!$C$2:$Y$374,AU$1,FALSE)*$Z70</f>
        <v>40.07779654029428</v>
      </c>
      <c r="AV70" s="3">
        <f>VLOOKUP($AB70,'2000 Seattle Tracts'!$C$2:$Y$374,AV$1,FALSE)*$Z70</f>
        <v>37.405943437607995</v>
      </c>
      <c r="AW70" s="3">
        <f>VLOOKUP($AB70,'2000 Seattle Tracts'!$C$2:$Y$374,AW$1,FALSE)*$Z70</f>
        <v>90.308634870796439</v>
      </c>
      <c r="AX70" s="3">
        <f>VLOOKUP($AB70,'2000 Seattle Tracts'!$C$2:$Y$374,AX$1,FALSE)*$Z70</f>
        <v>137.86762009861232</v>
      </c>
      <c r="AZ70" s="2" t="s">
        <v>157</v>
      </c>
      <c r="BA70">
        <v>7448.7776928593175</v>
      </c>
      <c r="BB70">
        <v>6253.3715781640212</v>
      </c>
      <c r="BC70">
        <v>1195.4061146952977</v>
      </c>
      <c r="BD70">
        <v>4800.8392006705171</v>
      </c>
      <c r="BE70">
        <v>442.17125261040047</v>
      </c>
      <c r="BF70">
        <v>52.290065486746059</v>
      </c>
      <c r="BG70">
        <v>85.593916487055026</v>
      </c>
      <c r="BH70">
        <v>660.64463830603495</v>
      </c>
      <c r="BI70">
        <v>64.256517144237705</v>
      </c>
      <c r="BJ70">
        <v>162.29943474707886</v>
      </c>
      <c r="BK70">
        <v>23.458995632042019</v>
      </c>
      <c r="BL70">
        <v>187.66193297815667</v>
      </c>
      <c r="BM70">
        <v>447.01857935488073</v>
      </c>
      <c r="BN70">
        <v>4.248765782702808</v>
      </c>
      <c r="BO70">
        <v>8.5899448695974769E-7</v>
      </c>
      <c r="BP70">
        <v>89.355067290304021</v>
      </c>
      <c r="BQ70">
        <v>65.672173003753059</v>
      </c>
      <c r="BR70">
        <v>296.03247290247998</v>
      </c>
      <c r="BS70">
        <v>67.234679603934026</v>
      </c>
    </row>
    <row r="71" spans="1:71" x14ac:dyDescent="0.25">
      <c r="A71" t="s">
        <v>2917</v>
      </c>
      <c r="B71" t="s">
        <v>2918</v>
      </c>
      <c r="C71" t="s">
        <v>3035</v>
      </c>
      <c r="D71" t="s">
        <v>2845</v>
      </c>
      <c r="E71" t="s">
        <v>2846</v>
      </c>
      <c r="F71" t="s">
        <v>2847</v>
      </c>
      <c r="G71" t="s">
        <v>2920</v>
      </c>
      <c r="H71" t="s">
        <v>2921</v>
      </c>
      <c r="I71">
        <v>1060418</v>
      </c>
      <c r="J71">
        <v>0</v>
      </c>
      <c r="K71" t="s">
        <v>3036</v>
      </c>
      <c r="L71" t="s">
        <v>3037</v>
      </c>
      <c r="M71">
        <v>102</v>
      </c>
      <c r="N71">
        <v>20753.002</v>
      </c>
      <c r="O71" t="s">
        <v>207</v>
      </c>
      <c r="P71">
        <v>3</v>
      </c>
      <c r="Q71">
        <v>3</v>
      </c>
      <c r="R71">
        <v>95</v>
      </c>
      <c r="S71">
        <v>21512732</v>
      </c>
      <c r="T71">
        <v>104</v>
      </c>
      <c r="U71">
        <v>106</v>
      </c>
      <c r="V71">
        <v>20753.0018992847</v>
      </c>
      <c r="W71">
        <v>21512731.489181329</v>
      </c>
      <c r="X71">
        <v>1059920.683</v>
      </c>
      <c r="Y71">
        <f>VLOOKUP(AB71,'2000 Seattle Tracts'!$C$2:$Z$374,24,FALSE)</f>
        <v>1060421.014</v>
      </c>
      <c r="Z71">
        <f t="shared" si="2"/>
        <v>0.99952817702271601</v>
      </c>
      <c r="AA71" t="s">
        <v>206</v>
      </c>
      <c r="AB71" t="str">
        <f t="shared" si="3"/>
        <v>Census Tract 11, King County, Washington</v>
      </c>
      <c r="AC71" s="3">
        <f>VLOOKUP($AB71,'2000 Seattle Tracts'!$C$2:$Y$374,AC$1,FALSE)*$Z71</f>
        <v>2335.8973497020875</v>
      </c>
      <c r="AD71" s="3">
        <f>VLOOKUP($AB71,'2000 Seattle Tracts'!$C$2:$Y$374,AD$1,FALSE)*$Z71</f>
        <v>2040.0370093033634</v>
      </c>
      <c r="AE71" s="3">
        <f>VLOOKUP($AB71,'2000 Seattle Tracts'!$C$2:$Y$374,AE$1,FALSE)*$Z71</f>
        <v>295.86034039872396</v>
      </c>
      <c r="AF71" s="3">
        <f>VLOOKUP($AB71,'2000 Seattle Tracts'!$C$2:$Y$374,AF$1,FALSE)*$Z71</f>
        <v>2335.8973497020875</v>
      </c>
      <c r="AG71" s="3">
        <f>VLOOKUP($AB71,'2000 Seattle Tracts'!$C$2:$Y$374,AG$1,FALSE)*$Z71</f>
        <v>2040.0370093033634</v>
      </c>
      <c r="AH71" s="3">
        <f>VLOOKUP($AB71,'2000 Seattle Tracts'!$C$2:$Y$374,AH$1,FALSE)*$Z71</f>
        <v>295.86034039872396</v>
      </c>
      <c r="AI71" s="3">
        <f>VLOOKUP($AB71,'2000 Seattle Tracts'!$C$2:$Y$374,AI$1,FALSE)*$Z71</f>
        <v>1687.2035628143447</v>
      </c>
      <c r="AJ71" s="3">
        <f>VLOOKUP($AB71,'2000 Seattle Tracts'!$C$2:$Y$374,AJ$1,FALSE)*$Z71</f>
        <v>120.94290941974863</v>
      </c>
      <c r="AK71" s="3">
        <f>VLOOKUP($AB71,'2000 Seattle Tracts'!$C$2:$Y$374,AK$1,FALSE)*$Z71</f>
        <v>56.973106090294813</v>
      </c>
      <c r="AL71" s="3">
        <f>VLOOKUP($AB71,'2000 Seattle Tracts'!$C$2:$Y$374,AL$1,FALSE)*$Z71</f>
        <v>5.9971690621362956</v>
      </c>
      <c r="AM71" s="3">
        <f>VLOOKUP($AB71,'2000 Seattle Tracts'!$C$2:$Y$374,AM$1,FALSE)*$Z71</f>
        <v>49.976408851135801</v>
      </c>
      <c r="AN71" s="3">
        <f>VLOOKUP($AB71,'2000 Seattle Tracts'!$C$2:$Y$374,AN$1,FALSE)*$Z71</f>
        <v>26.987260779613333</v>
      </c>
      <c r="AO71" s="3">
        <f>VLOOKUP($AB71,'2000 Seattle Tracts'!$C$2:$Y$374,AO$1,FALSE)*$Z71</f>
        <v>4.9976408851135803</v>
      </c>
      <c r="AP71" s="3">
        <f>VLOOKUP($AB71,'2000 Seattle Tracts'!$C$2:$Y$374,AP$1,FALSE)*$Z71</f>
        <v>0</v>
      </c>
      <c r="AQ71" s="3">
        <f>VLOOKUP($AB71,'2000 Seattle Tracts'!$C$2:$Y$374,AQ$1,FALSE)*$Z71</f>
        <v>136.9353602521121</v>
      </c>
      <c r="AR71" s="3">
        <f>VLOOKUP($AB71,'2000 Seattle Tracts'!$C$2:$Y$374,AR$1,FALSE)*$Z71</f>
        <v>120.94290941974863</v>
      </c>
      <c r="AS71" s="3">
        <f>VLOOKUP($AB71,'2000 Seattle Tracts'!$C$2:$Y$374,AS$1,FALSE)*$Z71</f>
        <v>9.9952817702271606</v>
      </c>
      <c r="AT71" s="3">
        <f>VLOOKUP($AB71,'2000 Seattle Tracts'!$C$2:$Y$374,AT$1,FALSE)*$Z71</f>
        <v>15.992450832363456</v>
      </c>
      <c r="AU71" s="3">
        <f>VLOOKUP($AB71,'2000 Seattle Tracts'!$C$2:$Y$374,AU$1,FALSE)*$Z71</f>
        <v>0</v>
      </c>
      <c r="AV71" s="3">
        <f>VLOOKUP($AB71,'2000 Seattle Tracts'!$C$2:$Y$374,AV$1,FALSE)*$Z71</f>
        <v>0</v>
      </c>
      <c r="AW71" s="3">
        <f>VLOOKUP($AB71,'2000 Seattle Tracts'!$C$2:$Y$374,AW$1,FALSE)*$Z71</f>
        <v>93.955648640135308</v>
      </c>
      <c r="AX71" s="3">
        <f>VLOOKUP($AB71,'2000 Seattle Tracts'!$C$2:$Y$374,AX$1,FALSE)*$Z71</f>
        <v>4.9976408851135803</v>
      </c>
      <c r="AZ71" s="2" t="s">
        <v>155</v>
      </c>
      <c r="BA71">
        <v>1288.0978826033895</v>
      </c>
      <c r="BB71">
        <v>1094.5941185119061</v>
      </c>
      <c r="BC71">
        <v>193.50376409148328</v>
      </c>
      <c r="BD71">
        <v>825.48314789283768</v>
      </c>
      <c r="BE71">
        <v>72.411078400728272</v>
      </c>
      <c r="BF71">
        <v>21.011041562550211</v>
      </c>
      <c r="BG71">
        <v>2.0209446888835654</v>
      </c>
      <c r="BH71">
        <v>142.19407137029836</v>
      </c>
      <c r="BI71">
        <v>12.324930689829424</v>
      </c>
      <c r="BJ71">
        <v>24.299539856181763</v>
      </c>
      <c r="BK71">
        <v>3.4309133309571154</v>
      </c>
      <c r="BL71">
        <v>24.874439757794221</v>
      </c>
      <c r="BM71">
        <v>75.325999525636036</v>
      </c>
      <c r="BN71">
        <v>0</v>
      </c>
      <c r="BO71">
        <v>0</v>
      </c>
      <c r="BP71">
        <v>8.7188371778585836</v>
      </c>
      <c r="BQ71">
        <v>18.847280712521385</v>
      </c>
      <c r="BR71">
        <v>48.013040894385313</v>
      </c>
      <c r="BS71">
        <v>9.1426167429274656</v>
      </c>
    </row>
    <row r="72" spans="1:71" x14ac:dyDescent="0.25">
      <c r="A72" t="s">
        <v>2917</v>
      </c>
      <c r="B72" t="s">
        <v>2918</v>
      </c>
      <c r="C72" t="s">
        <v>3035</v>
      </c>
      <c r="D72" t="s">
        <v>2845</v>
      </c>
      <c r="E72" t="s">
        <v>2846</v>
      </c>
      <c r="F72" t="s">
        <v>2847</v>
      </c>
      <c r="G72" t="s">
        <v>2920</v>
      </c>
      <c r="H72" t="s">
        <v>2921</v>
      </c>
      <c r="I72">
        <v>1060418</v>
      </c>
      <c r="J72">
        <v>0</v>
      </c>
      <c r="K72" t="s">
        <v>3036</v>
      </c>
      <c r="L72" t="s">
        <v>3037</v>
      </c>
      <c r="M72">
        <v>104</v>
      </c>
      <c r="N72">
        <v>18770.280999999999</v>
      </c>
      <c r="O72" t="s">
        <v>207</v>
      </c>
      <c r="P72">
        <v>3</v>
      </c>
      <c r="Q72">
        <v>3</v>
      </c>
      <c r="R72">
        <v>24</v>
      </c>
      <c r="S72">
        <v>17034848</v>
      </c>
      <c r="T72">
        <v>106</v>
      </c>
      <c r="U72">
        <v>108</v>
      </c>
      <c r="V72">
        <v>18770.28203242151</v>
      </c>
      <c r="W72">
        <v>17034848.779124379</v>
      </c>
      <c r="X72">
        <v>238.066</v>
      </c>
      <c r="Y72">
        <f>VLOOKUP(AB72,'2000 Seattle Tracts'!$C$2:$Z$374,24,FALSE)</f>
        <v>1060421.014</v>
      </c>
      <c r="Z72">
        <f t="shared" si="2"/>
        <v>2.2450139789477995E-4</v>
      </c>
      <c r="AA72" t="s">
        <v>209</v>
      </c>
      <c r="AB72" t="str">
        <f t="shared" si="3"/>
        <v>Census Tract 11, King County, Washington</v>
      </c>
      <c r="AC72" s="3">
        <f>VLOOKUP($AB72,'2000 Seattle Tracts'!$C$2:$Y$374,AC$1,FALSE)*$Z72</f>
        <v>0.52465976688010074</v>
      </c>
      <c r="AD72" s="3">
        <f>VLOOKUP($AB72,'2000 Seattle Tracts'!$C$2:$Y$374,AD$1,FALSE)*$Z72</f>
        <v>0.4582073531032459</v>
      </c>
      <c r="AE72" s="3">
        <f>VLOOKUP($AB72,'2000 Seattle Tracts'!$C$2:$Y$374,AE$1,FALSE)*$Z72</f>
        <v>6.645241377685486E-2</v>
      </c>
      <c r="AF72" s="3">
        <f>VLOOKUP($AB72,'2000 Seattle Tracts'!$C$2:$Y$374,AF$1,FALSE)*$Z72</f>
        <v>0.52465976688010074</v>
      </c>
      <c r="AG72" s="3">
        <f>VLOOKUP($AB72,'2000 Seattle Tracts'!$C$2:$Y$374,AG$1,FALSE)*$Z72</f>
        <v>0.4582073531032459</v>
      </c>
      <c r="AH72" s="3">
        <f>VLOOKUP($AB72,'2000 Seattle Tracts'!$C$2:$Y$374,AH$1,FALSE)*$Z72</f>
        <v>6.645241377685486E-2</v>
      </c>
      <c r="AI72" s="3">
        <f>VLOOKUP($AB72,'2000 Seattle Tracts'!$C$2:$Y$374,AI$1,FALSE)*$Z72</f>
        <v>0.37895835964638858</v>
      </c>
      <c r="AJ72" s="3">
        <f>VLOOKUP($AB72,'2000 Seattle Tracts'!$C$2:$Y$374,AJ$1,FALSE)*$Z72</f>
        <v>2.7164669145268373E-2</v>
      </c>
      <c r="AK72" s="3">
        <f>VLOOKUP($AB72,'2000 Seattle Tracts'!$C$2:$Y$374,AK$1,FALSE)*$Z72</f>
        <v>1.2796579680002458E-2</v>
      </c>
      <c r="AL72" s="3">
        <f>VLOOKUP($AB72,'2000 Seattle Tracts'!$C$2:$Y$374,AL$1,FALSE)*$Z72</f>
        <v>1.3470083873686797E-3</v>
      </c>
      <c r="AM72" s="3">
        <f>VLOOKUP($AB72,'2000 Seattle Tracts'!$C$2:$Y$374,AM$1,FALSE)*$Z72</f>
        <v>1.1225069894738997E-2</v>
      </c>
      <c r="AN72" s="3">
        <f>VLOOKUP($AB72,'2000 Seattle Tracts'!$C$2:$Y$374,AN$1,FALSE)*$Z72</f>
        <v>6.0615377431590583E-3</v>
      </c>
      <c r="AO72" s="3">
        <f>VLOOKUP($AB72,'2000 Seattle Tracts'!$C$2:$Y$374,AO$1,FALSE)*$Z72</f>
        <v>1.1225069894738996E-3</v>
      </c>
      <c r="AP72" s="3">
        <f>VLOOKUP($AB72,'2000 Seattle Tracts'!$C$2:$Y$374,AP$1,FALSE)*$Z72</f>
        <v>0</v>
      </c>
      <c r="AQ72" s="3">
        <f>VLOOKUP($AB72,'2000 Seattle Tracts'!$C$2:$Y$374,AQ$1,FALSE)*$Z72</f>
        <v>3.0756691511584854E-2</v>
      </c>
      <c r="AR72" s="3">
        <f>VLOOKUP($AB72,'2000 Seattle Tracts'!$C$2:$Y$374,AR$1,FALSE)*$Z72</f>
        <v>2.7164669145268373E-2</v>
      </c>
      <c r="AS72" s="3">
        <f>VLOOKUP($AB72,'2000 Seattle Tracts'!$C$2:$Y$374,AS$1,FALSE)*$Z72</f>
        <v>2.2450139789477993E-3</v>
      </c>
      <c r="AT72" s="3">
        <f>VLOOKUP($AB72,'2000 Seattle Tracts'!$C$2:$Y$374,AT$1,FALSE)*$Z72</f>
        <v>3.5920223663164792E-3</v>
      </c>
      <c r="AU72" s="3">
        <f>VLOOKUP($AB72,'2000 Seattle Tracts'!$C$2:$Y$374,AU$1,FALSE)*$Z72</f>
        <v>0</v>
      </c>
      <c r="AV72" s="3">
        <f>VLOOKUP($AB72,'2000 Seattle Tracts'!$C$2:$Y$374,AV$1,FALSE)*$Z72</f>
        <v>0</v>
      </c>
      <c r="AW72" s="3">
        <f>VLOOKUP($AB72,'2000 Seattle Tracts'!$C$2:$Y$374,AW$1,FALSE)*$Z72</f>
        <v>2.1103131402109315E-2</v>
      </c>
      <c r="AX72" s="3">
        <f>VLOOKUP($AB72,'2000 Seattle Tracts'!$C$2:$Y$374,AX$1,FALSE)*$Z72</f>
        <v>1.1225069894738996E-3</v>
      </c>
      <c r="AZ72" s="2" t="s">
        <v>138</v>
      </c>
      <c r="BA72">
        <v>7768.6438477012498</v>
      </c>
      <c r="BB72">
        <v>6632.6179028912047</v>
      </c>
      <c r="BC72">
        <v>1136.0259448100433</v>
      </c>
      <c r="BD72">
        <v>5888.9290205091002</v>
      </c>
      <c r="BE72">
        <v>688.84852453841449</v>
      </c>
      <c r="BF72">
        <v>104.80708437368276</v>
      </c>
      <c r="BG72">
        <v>44.532172063929046</v>
      </c>
      <c r="BH72">
        <v>185.56385178971837</v>
      </c>
      <c r="BI72">
        <v>12.50641077618072</v>
      </c>
      <c r="BJ72">
        <v>42.353643873527417</v>
      </c>
      <c r="BK72">
        <v>2.275299267711917</v>
      </c>
      <c r="BL72">
        <v>121.49034634379214</v>
      </c>
      <c r="BM72">
        <v>295.99725765550181</v>
      </c>
      <c r="BN72">
        <v>8.4373709799690086</v>
      </c>
      <c r="BO72">
        <v>1.3538578491098991</v>
      </c>
      <c r="BP72">
        <v>63.984833676629904</v>
      </c>
      <c r="BQ72">
        <v>46.127786147061094</v>
      </c>
      <c r="BR72">
        <v>217.05175134478645</v>
      </c>
      <c r="BS72">
        <v>44.384636512134421</v>
      </c>
    </row>
    <row r="73" spans="1:71" x14ac:dyDescent="0.25">
      <c r="A73" t="s">
        <v>2917</v>
      </c>
      <c r="B73" t="s">
        <v>2918</v>
      </c>
      <c r="C73" t="s">
        <v>3035</v>
      </c>
      <c r="D73" t="s">
        <v>2845</v>
      </c>
      <c r="E73" t="s">
        <v>2846</v>
      </c>
      <c r="F73" t="s">
        <v>2847</v>
      </c>
      <c r="G73" t="s">
        <v>2920</v>
      </c>
      <c r="H73" t="s">
        <v>2921</v>
      </c>
      <c r="I73">
        <v>1060418</v>
      </c>
      <c r="J73">
        <v>0</v>
      </c>
      <c r="K73" t="s">
        <v>3036</v>
      </c>
      <c r="L73" t="s">
        <v>3037</v>
      </c>
      <c r="M73">
        <v>113</v>
      </c>
      <c r="N73">
        <v>26171.271000000001</v>
      </c>
      <c r="O73" t="s">
        <v>215</v>
      </c>
      <c r="P73">
        <v>2</v>
      </c>
      <c r="Q73">
        <v>10</v>
      </c>
      <c r="R73">
        <v>81</v>
      </c>
      <c r="S73">
        <v>29438850</v>
      </c>
      <c r="T73">
        <v>115</v>
      </c>
      <c r="U73">
        <v>103</v>
      </c>
      <c r="V73">
        <v>26171.27176081029</v>
      </c>
      <c r="W73">
        <v>29438850.877074279</v>
      </c>
      <c r="X73">
        <v>40.351999999999997</v>
      </c>
      <c r="Y73">
        <f>VLOOKUP(AB73,'2000 Seattle Tracts'!$C$2:$Z$374,24,FALSE)</f>
        <v>1060421.014</v>
      </c>
      <c r="Z73">
        <f t="shared" si="2"/>
        <v>3.8052810598112119E-5</v>
      </c>
      <c r="AA73" t="s">
        <v>216</v>
      </c>
      <c r="AB73" t="str">
        <f t="shared" si="3"/>
        <v>Census Tract 11, King County, Washington</v>
      </c>
      <c r="AC73" s="3">
        <f>VLOOKUP($AB73,'2000 Seattle Tracts'!$C$2:$Y$374,AC$1,FALSE)*$Z73</f>
        <v>8.8929418367788018E-2</v>
      </c>
      <c r="AD73" s="3">
        <f>VLOOKUP($AB73,'2000 Seattle Tracts'!$C$2:$Y$374,AD$1,FALSE)*$Z73</f>
        <v>7.7665786430746842E-2</v>
      </c>
      <c r="AE73" s="3">
        <f>VLOOKUP($AB73,'2000 Seattle Tracts'!$C$2:$Y$374,AE$1,FALSE)*$Z73</f>
        <v>1.1263631937041187E-2</v>
      </c>
      <c r="AF73" s="3">
        <f>VLOOKUP($AB73,'2000 Seattle Tracts'!$C$2:$Y$374,AF$1,FALSE)*$Z73</f>
        <v>8.8929418367788018E-2</v>
      </c>
      <c r="AG73" s="3">
        <f>VLOOKUP($AB73,'2000 Seattle Tracts'!$C$2:$Y$374,AG$1,FALSE)*$Z73</f>
        <v>7.7665786430746842E-2</v>
      </c>
      <c r="AH73" s="3">
        <f>VLOOKUP($AB73,'2000 Seattle Tracts'!$C$2:$Y$374,AH$1,FALSE)*$Z73</f>
        <v>1.1263631937041187E-2</v>
      </c>
      <c r="AI73" s="3">
        <f>VLOOKUP($AB73,'2000 Seattle Tracts'!$C$2:$Y$374,AI$1,FALSE)*$Z73</f>
        <v>6.4233144289613256E-2</v>
      </c>
      <c r="AJ73" s="3">
        <f>VLOOKUP($AB73,'2000 Seattle Tracts'!$C$2:$Y$374,AJ$1,FALSE)*$Z73</f>
        <v>4.604390082371566E-3</v>
      </c>
      <c r="AK73" s="3">
        <f>VLOOKUP($AB73,'2000 Seattle Tracts'!$C$2:$Y$374,AK$1,FALSE)*$Z73</f>
        <v>2.1690102040923909E-3</v>
      </c>
      <c r="AL73" s="3">
        <f>VLOOKUP($AB73,'2000 Seattle Tracts'!$C$2:$Y$374,AL$1,FALSE)*$Z73</f>
        <v>2.2831686358867271E-4</v>
      </c>
      <c r="AM73" s="3">
        <f>VLOOKUP($AB73,'2000 Seattle Tracts'!$C$2:$Y$374,AM$1,FALSE)*$Z73</f>
        <v>1.9026405299056059E-3</v>
      </c>
      <c r="AN73" s="3">
        <f>VLOOKUP($AB73,'2000 Seattle Tracts'!$C$2:$Y$374,AN$1,FALSE)*$Z73</f>
        <v>1.0274258861490272E-3</v>
      </c>
      <c r="AO73" s="3">
        <f>VLOOKUP($AB73,'2000 Seattle Tracts'!$C$2:$Y$374,AO$1,FALSE)*$Z73</f>
        <v>1.9026405299056061E-4</v>
      </c>
      <c r="AP73" s="3">
        <f>VLOOKUP($AB73,'2000 Seattle Tracts'!$C$2:$Y$374,AP$1,FALSE)*$Z73</f>
        <v>0</v>
      </c>
      <c r="AQ73" s="3">
        <f>VLOOKUP($AB73,'2000 Seattle Tracts'!$C$2:$Y$374,AQ$1,FALSE)*$Z73</f>
        <v>5.2132350519413602E-3</v>
      </c>
      <c r="AR73" s="3">
        <f>VLOOKUP($AB73,'2000 Seattle Tracts'!$C$2:$Y$374,AR$1,FALSE)*$Z73</f>
        <v>4.604390082371566E-3</v>
      </c>
      <c r="AS73" s="3">
        <f>VLOOKUP($AB73,'2000 Seattle Tracts'!$C$2:$Y$374,AS$1,FALSE)*$Z73</f>
        <v>3.8052810598112122E-4</v>
      </c>
      <c r="AT73" s="3">
        <f>VLOOKUP($AB73,'2000 Seattle Tracts'!$C$2:$Y$374,AT$1,FALSE)*$Z73</f>
        <v>6.088449695697939E-4</v>
      </c>
      <c r="AU73" s="3">
        <f>VLOOKUP($AB73,'2000 Seattle Tracts'!$C$2:$Y$374,AU$1,FALSE)*$Z73</f>
        <v>0</v>
      </c>
      <c r="AV73" s="3">
        <f>VLOOKUP($AB73,'2000 Seattle Tracts'!$C$2:$Y$374,AV$1,FALSE)*$Z73</f>
        <v>0</v>
      </c>
      <c r="AW73" s="3">
        <f>VLOOKUP($AB73,'2000 Seattle Tracts'!$C$2:$Y$374,AW$1,FALSE)*$Z73</f>
        <v>3.5769641962225393E-3</v>
      </c>
      <c r="AX73" s="3">
        <f>VLOOKUP($AB73,'2000 Seattle Tracts'!$C$2:$Y$374,AX$1,FALSE)*$Z73</f>
        <v>1.9026405299056061E-4</v>
      </c>
      <c r="AZ73" s="2" t="s">
        <v>163</v>
      </c>
      <c r="BA73">
        <v>5596.5940282874326</v>
      </c>
      <c r="BB73">
        <v>4795.289366344723</v>
      </c>
      <c r="BC73">
        <v>801.30466194270832</v>
      </c>
      <c r="BD73">
        <v>4173.470453590292</v>
      </c>
      <c r="BE73">
        <v>422.49693643111897</v>
      </c>
      <c r="BF73">
        <v>97.69181451810843</v>
      </c>
      <c r="BG73">
        <v>75.783738184691771</v>
      </c>
      <c r="BH73">
        <v>125.41323424368613</v>
      </c>
      <c r="BI73">
        <v>16.464174610970975</v>
      </c>
      <c r="BJ73">
        <v>31.125262745473062</v>
      </c>
      <c r="BK73">
        <v>0.67606380619146922</v>
      </c>
      <c r="BL73">
        <v>142.19463382077913</v>
      </c>
      <c r="BM73">
        <v>232.62226724312364</v>
      </c>
      <c r="BN73">
        <v>5.0370513719317804</v>
      </c>
      <c r="BO73">
        <v>13.324488764184071</v>
      </c>
      <c r="BP73">
        <v>45.361088560699756</v>
      </c>
      <c r="BQ73">
        <v>29.675191586462002</v>
      </c>
      <c r="BR73">
        <v>174.99582749375384</v>
      </c>
      <c r="BS73">
        <v>10.261801315965389</v>
      </c>
    </row>
    <row r="74" spans="1:71" x14ac:dyDescent="0.25">
      <c r="A74" t="s">
        <v>2917</v>
      </c>
      <c r="B74" t="s">
        <v>2918</v>
      </c>
      <c r="C74" t="s">
        <v>3035</v>
      </c>
      <c r="D74" t="s">
        <v>2845</v>
      </c>
      <c r="E74" t="s">
        <v>2846</v>
      </c>
      <c r="F74" t="s">
        <v>2847</v>
      </c>
      <c r="G74" t="s">
        <v>2920</v>
      </c>
      <c r="H74" t="s">
        <v>2921</v>
      </c>
      <c r="I74">
        <v>1060418</v>
      </c>
      <c r="J74">
        <v>0</v>
      </c>
      <c r="K74" t="s">
        <v>3036</v>
      </c>
      <c r="L74" t="s">
        <v>3037</v>
      </c>
      <c r="M74">
        <v>116</v>
      </c>
      <c r="N74">
        <v>25503.057000000001</v>
      </c>
      <c r="O74" t="s">
        <v>215</v>
      </c>
      <c r="P74">
        <v>2</v>
      </c>
      <c r="Q74">
        <v>10</v>
      </c>
      <c r="R74">
        <v>94</v>
      </c>
      <c r="S74">
        <v>34380472</v>
      </c>
      <c r="T74">
        <v>118</v>
      </c>
      <c r="U74">
        <v>112</v>
      </c>
      <c r="V74">
        <v>25503.057408269069</v>
      </c>
      <c r="W74">
        <v>34380470.782561153</v>
      </c>
      <c r="X74">
        <v>221.90700000000001</v>
      </c>
      <c r="Y74">
        <f>VLOOKUP(AB74,'2000 Seattle Tracts'!$C$2:$Z$374,24,FALSE)</f>
        <v>1060421.014</v>
      </c>
      <c r="Z74">
        <f t="shared" si="2"/>
        <v>2.092631106610643E-4</v>
      </c>
      <c r="AA74" t="s">
        <v>219</v>
      </c>
      <c r="AB74" t="str">
        <f t="shared" si="3"/>
        <v>Census Tract 11, King County, Washington</v>
      </c>
      <c r="AC74" s="3">
        <f>VLOOKUP($AB74,'2000 Seattle Tracts'!$C$2:$Y$374,AC$1,FALSE)*$Z74</f>
        <v>0.48904788961490725</v>
      </c>
      <c r="AD74" s="3">
        <f>VLOOKUP($AB74,'2000 Seattle Tracts'!$C$2:$Y$374,AD$1,FALSE)*$Z74</f>
        <v>0.42710600885923222</v>
      </c>
      <c r="AE74" s="3">
        <f>VLOOKUP($AB74,'2000 Seattle Tracts'!$C$2:$Y$374,AE$1,FALSE)*$Z74</f>
        <v>6.1941880755675034E-2</v>
      </c>
      <c r="AF74" s="3">
        <f>VLOOKUP($AB74,'2000 Seattle Tracts'!$C$2:$Y$374,AF$1,FALSE)*$Z74</f>
        <v>0.48904788961490725</v>
      </c>
      <c r="AG74" s="3">
        <f>VLOOKUP($AB74,'2000 Seattle Tracts'!$C$2:$Y$374,AG$1,FALSE)*$Z74</f>
        <v>0.42710600885923222</v>
      </c>
      <c r="AH74" s="3">
        <f>VLOOKUP($AB74,'2000 Seattle Tracts'!$C$2:$Y$374,AH$1,FALSE)*$Z74</f>
        <v>6.1941880755675034E-2</v>
      </c>
      <c r="AI74" s="3">
        <f>VLOOKUP($AB74,'2000 Seattle Tracts'!$C$2:$Y$374,AI$1,FALSE)*$Z74</f>
        <v>0.35323613079587657</v>
      </c>
      <c r="AJ74" s="3">
        <f>VLOOKUP($AB74,'2000 Seattle Tracts'!$C$2:$Y$374,AJ$1,FALSE)*$Z74</f>
        <v>2.532083638998878E-2</v>
      </c>
      <c r="AK74" s="3">
        <f>VLOOKUP($AB74,'2000 Seattle Tracts'!$C$2:$Y$374,AK$1,FALSE)*$Z74</f>
        <v>1.1927997307680665E-2</v>
      </c>
      <c r="AL74" s="3">
        <f>VLOOKUP($AB74,'2000 Seattle Tracts'!$C$2:$Y$374,AL$1,FALSE)*$Z74</f>
        <v>1.2555786639663858E-3</v>
      </c>
      <c r="AM74" s="3">
        <f>VLOOKUP($AB74,'2000 Seattle Tracts'!$C$2:$Y$374,AM$1,FALSE)*$Z74</f>
        <v>1.0463155533053214E-2</v>
      </c>
      <c r="AN74" s="3">
        <f>VLOOKUP($AB74,'2000 Seattle Tracts'!$C$2:$Y$374,AN$1,FALSE)*$Z74</f>
        <v>5.650103987848736E-3</v>
      </c>
      <c r="AO74" s="3">
        <f>VLOOKUP($AB74,'2000 Seattle Tracts'!$C$2:$Y$374,AO$1,FALSE)*$Z74</f>
        <v>1.0463155533053216E-3</v>
      </c>
      <c r="AP74" s="3">
        <f>VLOOKUP($AB74,'2000 Seattle Tracts'!$C$2:$Y$374,AP$1,FALSE)*$Z74</f>
        <v>0</v>
      </c>
      <c r="AQ74" s="3">
        <f>VLOOKUP($AB74,'2000 Seattle Tracts'!$C$2:$Y$374,AQ$1,FALSE)*$Z74</f>
        <v>2.8669046160565811E-2</v>
      </c>
      <c r="AR74" s="3">
        <f>VLOOKUP($AB74,'2000 Seattle Tracts'!$C$2:$Y$374,AR$1,FALSE)*$Z74</f>
        <v>2.532083638998878E-2</v>
      </c>
      <c r="AS74" s="3">
        <f>VLOOKUP($AB74,'2000 Seattle Tracts'!$C$2:$Y$374,AS$1,FALSE)*$Z74</f>
        <v>2.0926311066106432E-3</v>
      </c>
      <c r="AT74" s="3">
        <f>VLOOKUP($AB74,'2000 Seattle Tracts'!$C$2:$Y$374,AT$1,FALSE)*$Z74</f>
        <v>3.3482097705770288E-3</v>
      </c>
      <c r="AU74" s="3">
        <f>VLOOKUP($AB74,'2000 Seattle Tracts'!$C$2:$Y$374,AU$1,FALSE)*$Z74</f>
        <v>0</v>
      </c>
      <c r="AV74" s="3">
        <f>VLOOKUP($AB74,'2000 Seattle Tracts'!$C$2:$Y$374,AV$1,FALSE)*$Z74</f>
        <v>0</v>
      </c>
      <c r="AW74" s="3">
        <f>VLOOKUP($AB74,'2000 Seattle Tracts'!$C$2:$Y$374,AW$1,FALSE)*$Z74</f>
        <v>1.9670732402140043E-2</v>
      </c>
      <c r="AX74" s="3">
        <f>VLOOKUP($AB74,'2000 Seattle Tracts'!$C$2:$Y$374,AX$1,FALSE)*$Z74</f>
        <v>1.0463155533053216E-3</v>
      </c>
      <c r="AZ74" s="2" t="s">
        <v>205</v>
      </c>
      <c r="BA74">
        <v>9074.5532514463775</v>
      </c>
      <c r="BB74">
        <v>8169.4942781138088</v>
      </c>
      <c r="BC74">
        <v>905.0589733325678</v>
      </c>
      <c r="BD74">
        <v>6186.2907632359784</v>
      </c>
      <c r="BE74">
        <v>462.35963755365009</v>
      </c>
      <c r="BF74">
        <v>148.31565427994127</v>
      </c>
      <c r="BG74">
        <v>83.336131442021951</v>
      </c>
      <c r="BH74">
        <v>1195.4713897802842</v>
      </c>
      <c r="BI74">
        <v>82.33805647504785</v>
      </c>
      <c r="BJ74">
        <v>58.42053180443807</v>
      </c>
      <c r="BK74">
        <v>1.3607035006993133</v>
      </c>
      <c r="BL74">
        <v>209.40215500130395</v>
      </c>
      <c r="BM74">
        <v>211.73746654422649</v>
      </c>
      <c r="BN74">
        <v>11.223460175384698</v>
      </c>
      <c r="BO74">
        <v>7.2644047810861183</v>
      </c>
      <c r="BP74">
        <v>38.847007173602996</v>
      </c>
      <c r="BQ74">
        <v>23.659850330324577</v>
      </c>
      <c r="BR74">
        <v>321.5233166628762</v>
      </c>
      <c r="BS74">
        <v>33.002722705511324</v>
      </c>
    </row>
    <row r="75" spans="1:71" x14ac:dyDescent="0.25">
      <c r="A75" t="s">
        <v>2917</v>
      </c>
      <c r="B75" t="s">
        <v>2918</v>
      </c>
      <c r="C75" t="s">
        <v>3107</v>
      </c>
      <c r="D75" t="s">
        <v>2887</v>
      </c>
      <c r="E75" t="s">
        <v>2888</v>
      </c>
      <c r="F75" t="s">
        <v>2889</v>
      </c>
      <c r="G75" t="s">
        <v>2920</v>
      </c>
      <c r="H75" t="s">
        <v>2921</v>
      </c>
      <c r="I75">
        <v>954457</v>
      </c>
      <c r="J75">
        <v>0</v>
      </c>
      <c r="K75" t="s">
        <v>3379</v>
      </c>
      <c r="L75" t="s">
        <v>3380</v>
      </c>
      <c r="M75">
        <v>102</v>
      </c>
      <c r="N75">
        <v>20753.002</v>
      </c>
      <c r="O75" t="s">
        <v>207</v>
      </c>
      <c r="P75">
        <v>3</v>
      </c>
      <c r="Q75">
        <v>3</v>
      </c>
      <c r="R75">
        <v>95</v>
      </c>
      <c r="S75">
        <v>21512732</v>
      </c>
      <c r="T75">
        <v>104</v>
      </c>
      <c r="U75">
        <v>106</v>
      </c>
      <c r="V75">
        <v>20753.0018992847</v>
      </c>
      <c r="W75">
        <v>21512731.489181329</v>
      </c>
      <c r="X75">
        <v>425.81599999999997</v>
      </c>
      <c r="Y75">
        <f>VLOOKUP(AB75,'2000 Seattle Tracts'!$C$2:$Z$374,24,FALSE)</f>
        <v>954458.64300000004</v>
      </c>
      <c r="Z75">
        <f t="shared" si="2"/>
        <v>4.4613352618569135E-4</v>
      </c>
      <c r="AA75" t="s">
        <v>206</v>
      </c>
      <c r="AB75" t="str">
        <f t="shared" si="3"/>
        <v>Census Tract 10, King County, Washington</v>
      </c>
      <c r="AC75" s="3">
        <f>VLOOKUP($AB75,'2000 Seattle Tracts'!$C$2:$Y$374,AC$1,FALSE)*$Z75</f>
        <v>0.77493393498454588</v>
      </c>
      <c r="AD75" s="3">
        <f>VLOOKUP($AB75,'2000 Seattle Tracts'!$C$2:$Y$374,AD$1,FALSE)*$Z75</f>
        <v>0.64733974649543813</v>
      </c>
      <c r="AE75" s="3">
        <f>VLOOKUP($AB75,'2000 Seattle Tracts'!$C$2:$Y$374,AE$1,FALSE)*$Z75</f>
        <v>0.12759418848910772</v>
      </c>
      <c r="AF75" s="3">
        <f>VLOOKUP($AB75,'2000 Seattle Tracts'!$C$2:$Y$374,AF$1,FALSE)*$Z75</f>
        <v>0.77493393498454588</v>
      </c>
      <c r="AG75" s="3">
        <f>VLOOKUP($AB75,'2000 Seattle Tracts'!$C$2:$Y$374,AG$1,FALSE)*$Z75</f>
        <v>0.64733974649543813</v>
      </c>
      <c r="AH75" s="3">
        <f>VLOOKUP($AB75,'2000 Seattle Tracts'!$C$2:$Y$374,AH$1,FALSE)*$Z75</f>
        <v>0.12759418848910772</v>
      </c>
      <c r="AI75" s="3">
        <f>VLOOKUP($AB75,'2000 Seattle Tracts'!$C$2:$Y$374,AI$1,FALSE)*$Z75</f>
        <v>0.51082288748261662</v>
      </c>
      <c r="AJ75" s="3">
        <f>VLOOKUP($AB75,'2000 Seattle Tracts'!$C$2:$Y$374,AJ$1,FALSE)*$Z75</f>
        <v>3.3013880937741158E-2</v>
      </c>
      <c r="AK75" s="3">
        <f>VLOOKUP($AB75,'2000 Seattle Tracts'!$C$2:$Y$374,AK$1,FALSE)*$Z75</f>
        <v>2.007600867835611E-2</v>
      </c>
      <c r="AL75" s="3">
        <f>VLOOKUP($AB75,'2000 Seattle Tracts'!$C$2:$Y$374,AL$1,FALSE)*$Z75</f>
        <v>0</v>
      </c>
      <c r="AM75" s="3">
        <f>VLOOKUP($AB75,'2000 Seattle Tracts'!$C$2:$Y$374,AM$1,FALSE)*$Z75</f>
        <v>2.6768011571141483E-2</v>
      </c>
      <c r="AN75" s="3">
        <f>VLOOKUP($AB75,'2000 Seattle Tracts'!$C$2:$Y$374,AN$1,FALSE)*$Z75</f>
        <v>0</v>
      </c>
      <c r="AO75" s="3">
        <f>VLOOKUP($AB75,'2000 Seattle Tracts'!$C$2:$Y$374,AO$1,FALSE)*$Z75</f>
        <v>1.0261071102270902E-2</v>
      </c>
      <c r="AP75" s="3">
        <f>VLOOKUP($AB75,'2000 Seattle Tracts'!$C$2:$Y$374,AP$1,FALSE)*$Z75</f>
        <v>0</v>
      </c>
      <c r="AQ75" s="3">
        <f>VLOOKUP($AB75,'2000 Seattle Tracts'!$C$2:$Y$374,AQ$1,FALSE)*$Z75</f>
        <v>2.4091210414027332E-2</v>
      </c>
      <c r="AR75" s="3">
        <f>VLOOKUP($AB75,'2000 Seattle Tracts'!$C$2:$Y$374,AR$1,FALSE)*$Z75</f>
        <v>7.8073367082495987E-2</v>
      </c>
      <c r="AS75" s="3">
        <f>VLOOKUP($AB75,'2000 Seattle Tracts'!$C$2:$Y$374,AS$1,FALSE)*$Z75</f>
        <v>0</v>
      </c>
      <c r="AT75" s="3">
        <f>VLOOKUP($AB75,'2000 Seattle Tracts'!$C$2:$Y$374,AT$1,FALSE)*$Z75</f>
        <v>0</v>
      </c>
      <c r="AU75" s="3">
        <f>VLOOKUP($AB75,'2000 Seattle Tracts'!$C$2:$Y$374,AU$1,FALSE)*$Z75</f>
        <v>1.2937872259385049E-2</v>
      </c>
      <c r="AV75" s="3">
        <f>VLOOKUP($AB75,'2000 Seattle Tracts'!$C$2:$Y$374,AV$1,FALSE)*$Z75</f>
        <v>8.4765369975281363E-3</v>
      </c>
      <c r="AW75" s="3">
        <f>VLOOKUP($AB75,'2000 Seattle Tracts'!$C$2:$Y$374,AW$1,FALSE)*$Z75</f>
        <v>4.2382684987640681E-2</v>
      </c>
      <c r="AX75" s="3">
        <f>VLOOKUP($AB75,'2000 Seattle Tracts'!$C$2:$Y$374,AX$1,FALSE)*$Z75</f>
        <v>8.0304034713424444E-3</v>
      </c>
      <c r="AZ75" s="2" t="s">
        <v>150</v>
      </c>
      <c r="BA75">
        <v>3232.8483624207497</v>
      </c>
      <c r="BB75">
        <v>2968.6935316493436</v>
      </c>
      <c r="BC75">
        <v>264.15483077140618</v>
      </c>
      <c r="BD75">
        <v>2158.5388986030957</v>
      </c>
      <c r="BE75">
        <v>188.1038386230353</v>
      </c>
      <c r="BF75">
        <v>31.760352955527893</v>
      </c>
      <c r="BG75">
        <v>16.124904209991186</v>
      </c>
      <c r="BH75">
        <v>598.56974329873754</v>
      </c>
      <c r="BI75">
        <v>16.675726112317463</v>
      </c>
      <c r="BJ75">
        <v>37.002136765814356</v>
      </c>
      <c r="BK75">
        <v>2.3244927558711876</v>
      </c>
      <c r="BL75">
        <v>43.201966914204448</v>
      </c>
      <c r="BM75">
        <v>25.785944465349122</v>
      </c>
      <c r="BN75">
        <v>2.1474562625806253</v>
      </c>
      <c r="BO75">
        <v>0</v>
      </c>
      <c r="BP75">
        <v>12.828159345534075</v>
      </c>
      <c r="BQ75">
        <v>6.817984245961898</v>
      </c>
      <c r="BR75">
        <v>84.64481750384833</v>
      </c>
      <c r="BS75">
        <v>8.3219403588800027</v>
      </c>
    </row>
    <row r="76" spans="1:71" x14ac:dyDescent="0.25">
      <c r="A76" t="s">
        <v>2917</v>
      </c>
      <c r="B76" t="s">
        <v>2918</v>
      </c>
      <c r="C76" t="s">
        <v>3107</v>
      </c>
      <c r="D76" t="s">
        <v>2887</v>
      </c>
      <c r="E76" t="s">
        <v>2888</v>
      </c>
      <c r="F76" t="s">
        <v>2889</v>
      </c>
      <c r="G76" t="s">
        <v>2920</v>
      </c>
      <c r="H76" t="s">
        <v>2921</v>
      </c>
      <c r="I76">
        <v>954457</v>
      </c>
      <c r="J76">
        <v>0</v>
      </c>
      <c r="K76" t="s">
        <v>3379</v>
      </c>
      <c r="L76" t="s">
        <v>3380</v>
      </c>
      <c r="M76">
        <v>103</v>
      </c>
      <c r="N76">
        <v>31987.734</v>
      </c>
      <c r="O76" t="s">
        <v>207</v>
      </c>
      <c r="P76">
        <v>3</v>
      </c>
      <c r="Q76">
        <v>3</v>
      </c>
      <c r="R76">
        <v>95</v>
      </c>
      <c r="S76">
        <v>30977390</v>
      </c>
      <c r="T76">
        <v>105</v>
      </c>
      <c r="U76">
        <v>107</v>
      </c>
      <c r="V76">
        <v>31987.735324847999</v>
      </c>
      <c r="W76">
        <v>30977390.242551979</v>
      </c>
      <c r="X76">
        <v>174.50399999999999</v>
      </c>
      <c r="Y76">
        <f>VLOOKUP(AB76,'2000 Seattle Tracts'!$C$2:$Z$374,24,FALSE)</f>
        <v>954458.64300000004</v>
      </c>
      <c r="Z76">
        <f t="shared" si="2"/>
        <v>1.8283034186951144E-4</v>
      </c>
      <c r="AA76" t="s">
        <v>208</v>
      </c>
      <c r="AB76" t="str">
        <f t="shared" si="3"/>
        <v>Census Tract 10, King County, Washington</v>
      </c>
      <c r="AC76" s="3">
        <f>VLOOKUP($AB76,'2000 Seattle Tracts'!$C$2:$Y$374,AC$1,FALSE)*$Z76</f>
        <v>0.31757630382734137</v>
      </c>
      <c r="AD76" s="3">
        <f>VLOOKUP($AB76,'2000 Seattle Tracts'!$C$2:$Y$374,AD$1,FALSE)*$Z76</f>
        <v>0.26528682605266113</v>
      </c>
      <c r="AE76" s="3">
        <f>VLOOKUP($AB76,'2000 Seattle Tracts'!$C$2:$Y$374,AE$1,FALSE)*$Z76</f>
        <v>5.2289477774680272E-2</v>
      </c>
      <c r="AF76" s="3">
        <f>VLOOKUP($AB76,'2000 Seattle Tracts'!$C$2:$Y$374,AF$1,FALSE)*$Z76</f>
        <v>0.31757630382734137</v>
      </c>
      <c r="AG76" s="3">
        <f>VLOOKUP($AB76,'2000 Seattle Tracts'!$C$2:$Y$374,AG$1,FALSE)*$Z76</f>
        <v>0.26528682605266113</v>
      </c>
      <c r="AH76" s="3">
        <f>VLOOKUP($AB76,'2000 Seattle Tracts'!$C$2:$Y$374,AH$1,FALSE)*$Z76</f>
        <v>5.2289477774680272E-2</v>
      </c>
      <c r="AI76" s="3">
        <f>VLOOKUP($AB76,'2000 Seattle Tracts'!$C$2:$Y$374,AI$1,FALSE)*$Z76</f>
        <v>0.20934074144059059</v>
      </c>
      <c r="AJ76" s="3">
        <f>VLOOKUP($AB76,'2000 Seattle Tracts'!$C$2:$Y$374,AJ$1,FALSE)*$Z76</f>
        <v>1.3529445298343847E-2</v>
      </c>
      <c r="AK76" s="3">
        <f>VLOOKUP($AB76,'2000 Seattle Tracts'!$C$2:$Y$374,AK$1,FALSE)*$Z76</f>
        <v>8.2273653841280145E-3</v>
      </c>
      <c r="AL76" s="3">
        <f>VLOOKUP($AB76,'2000 Seattle Tracts'!$C$2:$Y$374,AL$1,FALSE)*$Z76</f>
        <v>0</v>
      </c>
      <c r="AM76" s="3">
        <f>VLOOKUP($AB76,'2000 Seattle Tracts'!$C$2:$Y$374,AM$1,FALSE)*$Z76</f>
        <v>1.0969820512170686E-2</v>
      </c>
      <c r="AN76" s="3">
        <f>VLOOKUP($AB76,'2000 Seattle Tracts'!$C$2:$Y$374,AN$1,FALSE)*$Z76</f>
        <v>0</v>
      </c>
      <c r="AO76" s="3">
        <f>VLOOKUP($AB76,'2000 Seattle Tracts'!$C$2:$Y$374,AO$1,FALSE)*$Z76</f>
        <v>4.2050978629987633E-3</v>
      </c>
      <c r="AP76" s="3">
        <f>VLOOKUP($AB76,'2000 Seattle Tracts'!$C$2:$Y$374,AP$1,FALSE)*$Z76</f>
        <v>0</v>
      </c>
      <c r="AQ76" s="3">
        <f>VLOOKUP($AB76,'2000 Seattle Tracts'!$C$2:$Y$374,AQ$1,FALSE)*$Z76</f>
        <v>9.8728384609536174E-3</v>
      </c>
      <c r="AR76" s="3">
        <f>VLOOKUP($AB76,'2000 Seattle Tracts'!$C$2:$Y$374,AR$1,FALSE)*$Z76</f>
        <v>3.1995309827164503E-2</v>
      </c>
      <c r="AS76" s="3">
        <f>VLOOKUP($AB76,'2000 Seattle Tracts'!$C$2:$Y$374,AS$1,FALSE)*$Z76</f>
        <v>0</v>
      </c>
      <c r="AT76" s="3">
        <f>VLOOKUP($AB76,'2000 Seattle Tracts'!$C$2:$Y$374,AT$1,FALSE)*$Z76</f>
        <v>0</v>
      </c>
      <c r="AU76" s="3">
        <f>VLOOKUP($AB76,'2000 Seattle Tracts'!$C$2:$Y$374,AU$1,FALSE)*$Z76</f>
        <v>5.3020799142158319E-3</v>
      </c>
      <c r="AV76" s="3">
        <f>VLOOKUP($AB76,'2000 Seattle Tracts'!$C$2:$Y$374,AV$1,FALSE)*$Z76</f>
        <v>3.4737764955207174E-3</v>
      </c>
      <c r="AW76" s="3">
        <f>VLOOKUP($AB76,'2000 Seattle Tracts'!$C$2:$Y$374,AW$1,FALSE)*$Z76</f>
        <v>1.7368882477603587E-2</v>
      </c>
      <c r="AX76" s="3">
        <f>VLOOKUP($AB76,'2000 Seattle Tracts'!$C$2:$Y$374,AX$1,FALSE)*$Z76</f>
        <v>3.2909461536512058E-3</v>
      </c>
      <c r="AZ76" s="2" t="s">
        <v>143</v>
      </c>
      <c r="BA76">
        <v>4116.6989002938844</v>
      </c>
      <c r="BB76">
        <v>3520.1975722367388</v>
      </c>
      <c r="BC76">
        <v>596.50132805714668</v>
      </c>
      <c r="BD76">
        <v>2786.5146064079868</v>
      </c>
      <c r="BE76">
        <v>195.64616577261589</v>
      </c>
      <c r="BF76">
        <v>28.162907306994619</v>
      </c>
      <c r="BG76">
        <v>34.582109456096383</v>
      </c>
      <c r="BH76">
        <v>273.12464736681699</v>
      </c>
      <c r="BI76">
        <v>51.956397904018374</v>
      </c>
      <c r="BJ76">
        <v>72.378361576209073</v>
      </c>
      <c r="BK76">
        <v>14.208122256002286</v>
      </c>
      <c r="BL76">
        <v>114.05946929817725</v>
      </c>
      <c r="BM76">
        <v>220.64017275288251</v>
      </c>
      <c r="BN76">
        <v>8.5479164705573005</v>
      </c>
      <c r="BO76">
        <v>7.4568614679203717</v>
      </c>
      <c r="BP76">
        <v>83.728591919597534</v>
      </c>
      <c r="BQ76">
        <v>35.488971993585999</v>
      </c>
      <c r="BR76">
        <v>153.6810718903987</v>
      </c>
      <c r="BS76">
        <v>36.522526454024955</v>
      </c>
    </row>
    <row r="77" spans="1:71" x14ac:dyDescent="0.25">
      <c r="A77" t="s">
        <v>2917</v>
      </c>
      <c r="B77" t="s">
        <v>2918</v>
      </c>
      <c r="C77" t="s">
        <v>3107</v>
      </c>
      <c r="D77" t="s">
        <v>2887</v>
      </c>
      <c r="E77" t="s">
        <v>2888</v>
      </c>
      <c r="F77" t="s">
        <v>2889</v>
      </c>
      <c r="G77" t="s">
        <v>2920</v>
      </c>
      <c r="H77" t="s">
        <v>2921</v>
      </c>
      <c r="I77">
        <v>954457</v>
      </c>
      <c r="J77">
        <v>0</v>
      </c>
      <c r="K77" t="s">
        <v>3379</v>
      </c>
      <c r="L77" t="s">
        <v>3380</v>
      </c>
      <c r="M77">
        <v>104</v>
      </c>
      <c r="N77">
        <v>18770.280999999999</v>
      </c>
      <c r="O77" t="s">
        <v>207</v>
      </c>
      <c r="P77">
        <v>3</v>
      </c>
      <c r="Q77">
        <v>3</v>
      </c>
      <c r="R77">
        <v>24</v>
      </c>
      <c r="S77">
        <v>17034848</v>
      </c>
      <c r="T77">
        <v>106</v>
      </c>
      <c r="U77">
        <v>108</v>
      </c>
      <c r="V77">
        <v>18770.28203242151</v>
      </c>
      <c r="W77">
        <v>17034848.779124379</v>
      </c>
      <c r="X77">
        <v>953858.32900000003</v>
      </c>
      <c r="Y77">
        <f>VLOOKUP(AB77,'2000 Seattle Tracts'!$C$2:$Z$374,24,FALSE)</f>
        <v>954458.64300000004</v>
      </c>
      <c r="Z77">
        <f t="shared" si="2"/>
        <v>0.99937104241823083</v>
      </c>
      <c r="AA77" t="s">
        <v>209</v>
      </c>
      <c r="AB77" t="str">
        <f t="shared" si="3"/>
        <v>Census Tract 10, King County, Washington</v>
      </c>
      <c r="AC77" s="3">
        <f>VLOOKUP($AB77,'2000 Seattle Tracts'!$C$2:$Y$374,AC$1,FALSE)*$Z77</f>
        <v>1735.9075006804669</v>
      </c>
      <c r="AD77" s="3">
        <f>VLOOKUP($AB77,'2000 Seattle Tracts'!$C$2:$Y$374,AD$1,FALSE)*$Z77</f>
        <v>1450.0873825488529</v>
      </c>
      <c r="AE77" s="3">
        <f>VLOOKUP($AB77,'2000 Seattle Tracts'!$C$2:$Y$374,AE$1,FALSE)*$Z77</f>
        <v>285.82011813161404</v>
      </c>
      <c r="AF77" s="3">
        <f>VLOOKUP($AB77,'2000 Seattle Tracts'!$C$2:$Y$374,AF$1,FALSE)*$Z77</f>
        <v>1735.9075006804669</v>
      </c>
      <c r="AG77" s="3">
        <f>VLOOKUP($AB77,'2000 Seattle Tracts'!$C$2:$Y$374,AG$1,FALSE)*$Z77</f>
        <v>1450.0873825488529</v>
      </c>
      <c r="AH77" s="3">
        <f>VLOOKUP($AB77,'2000 Seattle Tracts'!$C$2:$Y$374,AH$1,FALSE)*$Z77</f>
        <v>285.82011813161404</v>
      </c>
      <c r="AI77" s="3">
        <f>VLOOKUP($AB77,'2000 Seattle Tracts'!$C$2:$Y$374,AI$1,FALSE)*$Z77</f>
        <v>1144.2798435688742</v>
      </c>
      <c r="AJ77" s="3">
        <f>VLOOKUP($AB77,'2000 Seattle Tracts'!$C$2:$Y$374,AJ$1,FALSE)*$Z77</f>
        <v>73.953457138949076</v>
      </c>
      <c r="AK77" s="3">
        <f>VLOOKUP($AB77,'2000 Seattle Tracts'!$C$2:$Y$374,AK$1,FALSE)*$Z77</f>
        <v>44.971696908820384</v>
      </c>
      <c r="AL77" s="3">
        <f>VLOOKUP($AB77,'2000 Seattle Tracts'!$C$2:$Y$374,AL$1,FALSE)*$Z77</f>
        <v>0</v>
      </c>
      <c r="AM77" s="3">
        <f>VLOOKUP($AB77,'2000 Seattle Tracts'!$C$2:$Y$374,AM$1,FALSE)*$Z77</f>
        <v>59.96226254509385</v>
      </c>
      <c r="AN77" s="3">
        <f>VLOOKUP($AB77,'2000 Seattle Tracts'!$C$2:$Y$374,AN$1,FALSE)*$Z77</f>
        <v>0</v>
      </c>
      <c r="AO77" s="3">
        <f>VLOOKUP($AB77,'2000 Seattle Tracts'!$C$2:$Y$374,AO$1,FALSE)*$Z77</f>
        <v>22.985533975619308</v>
      </c>
      <c r="AP77" s="3">
        <f>VLOOKUP($AB77,'2000 Seattle Tracts'!$C$2:$Y$374,AP$1,FALSE)*$Z77</f>
        <v>0</v>
      </c>
      <c r="AQ77" s="3">
        <f>VLOOKUP($AB77,'2000 Seattle Tracts'!$C$2:$Y$374,AQ$1,FALSE)*$Z77</f>
        <v>53.966036290584462</v>
      </c>
      <c r="AR77" s="3">
        <f>VLOOKUP($AB77,'2000 Seattle Tracts'!$C$2:$Y$374,AR$1,FALSE)*$Z77</f>
        <v>174.8899324231904</v>
      </c>
      <c r="AS77" s="3">
        <f>VLOOKUP($AB77,'2000 Seattle Tracts'!$C$2:$Y$374,AS$1,FALSE)*$Z77</f>
        <v>0</v>
      </c>
      <c r="AT77" s="3">
        <f>VLOOKUP($AB77,'2000 Seattle Tracts'!$C$2:$Y$374,AT$1,FALSE)*$Z77</f>
        <v>0</v>
      </c>
      <c r="AU77" s="3">
        <f>VLOOKUP($AB77,'2000 Seattle Tracts'!$C$2:$Y$374,AU$1,FALSE)*$Z77</f>
        <v>28.981760230128693</v>
      </c>
      <c r="AV77" s="3">
        <f>VLOOKUP($AB77,'2000 Seattle Tracts'!$C$2:$Y$374,AV$1,FALSE)*$Z77</f>
        <v>18.988049805946385</v>
      </c>
      <c r="AW77" s="3">
        <f>VLOOKUP($AB77,'2000 Seattle Tracts'!$C$2:$Y$374,AW$1,FALSE)*$Z77</f>
        <v>94.94024902973193</v>
      </c>
      <c r="AX77" s="3">
        <f>VLOOKUP($AB77,'2000 Seattle Tracts'!$C$2:$Y$374,AX$1,FALSE)*$Z77</f>
        <v>17.988678763528156</v>
      </c>
      <c r="AZ77" s="2" t="s">
        <v>137</v>
      </c>
      <c r="BA77">
        <v>5775.1693780942242</v>
      </c>
      <c r="BB77">
        <v>5311.8496827242907</v>
      </c>
      <c r="BC77">
        <v>463.31969536993256</v>
      </c>
      <c r="BD77">
        <v>4782.3139201890472</v>
      </c>
      <c r="BE77">
        <v>258.3039214610256</v>
      </c>
      <c r="BF77">
        <v>80.086408844776301</v>
      </c>
      <c r="BG77">
        <v>20.174195973746951</v>
      </c>
      <c r="BH77">
        <v>85.528353076938998</v>
      </c>
      <c r="BI77">
        <v>21.784351693881163</v>
      </c>
      <c r="BJ77">
        <v>32.719733335386323</v>
      </c>
      <c r="BK77">
        <v>7.4460580819737224E-5</v>
      </c>
      <c r="BL77">
        <v>87.986305331592476</v>
      </c>
      <c r="BM77">
        <v>127.21977909392919</v>
      </c>
      <c r="BN77">
        <v>1.3248107632584105</v>
      </c>
      <c r="BO77">
        <v>1.6693703023633224</v>
      </c>
      <c r="BP77">
        <v>25.739012407647579</v>
      </c>
      <c r="BQ77">
        <v>16.700892635086525</v>
      </c>
      <c r="BR77">
        <v>216.15113877564346</v>
      </c>
      <c r="BS77">
        <v>17.467109749319047</v>
      </c>
    </row>
    <row r="78" spans="1:71" x14ac:dyDescent="0.25">
      <c r="A78" t="s">
        <v>2917</v>
      </c>
      <c r="B78" t="s">
        <v>2918</v>
      </c>
      <c r="C78" t="s">
        <v>2933</v>
      </c>
      <c r="D78" t="s">
        <v>2530</v>
      </c>
      <c r="E78" t="s">
        <v>2531</v>
      </c>
      <c r="F78" t="s">
        <v>2532</v>
      </c>
      <c r="G78" t="s">
        <v>2920</v>
      </c>
      <c r="H78" t="s">
        <v>2921</v>
      </c>
      <c r="I78">
        <v>996458</v>
      </c>
      <c r="J78">
        <v>2531309</v>
      </c>
      <c r="K78" t="s">
        <v>2934</v>
      </c>
      <c r="L78" t="s">
        <v>2935</v>
      </c>
      <c r="M78">
        <v>1</v>
      </c>
      <c r="N78">
        <v>617.84300000000007</v>
      </c>
      <c r="P78">
        <v>0</v>
      </c>
      <c r="Q78">
        <v>0</v>
      </c>
      <c r="R78">
        <v>0</v>
      </c>
      <c r="S78">
        <v>3588.4430000000002</v>
      </c>
      <c r="T78">
        <v>2</v>
      </c>
      <c r="U78">
        <v>0</v>
      </c>
      <c r="V78">
        <v>617.8426138070929</v>
      </c>
      <c r="W78">
        <v>3588.4423845993092</v>
      </c>
      <c r="X78">
        <v>278.49700000000001</v>
      </c>
      <c r="Y78">
        <f>VLOOKUP(AB78,'2000 Seattle Tracts'!$C$2:$Z$374,24,FALSE)</f>
        <v>962343.86100000003</v>
      </c>
      <c r="Z78">
        <f t="shared" si="2"/>
        <v>2.8939447871637644E-4</v>
      </c>
      <c r="AA78" t="s">
        <v>115</v>
      </c>
      <c r="AB78" t="str">
        <f t="shared" si="3"/>
        <v>Census Tract 9, King County, Washington</v>
      </c>
      <c r="AC78" s="3">
        <f>VLOOKUP($AB78,'2000 Seattle Tracts'!$C$2:$Y$374,AC$1,FALSE)*$Z78</f>
        <v>0.5886283697091097</v>
      </c>
      <c r="AD78" s="3">
        <f>VLOOKUP($AB78,'2000 Seattle Tracts'!$C$2:$Y$374,AD$1,FALSE)*$Z78</f>
        <v>0.52235703408305945</v>
      </c>
      <c r="AE78" s="3">
        <f>VLOOKUP($AB78,'2000 Seattle Tracts'!$C$2:$Y$374,AE$1,FALSE)*$Z78</f>
        <v>6.6271335626050198E-2</v>
      </c>
      <c r="AF78" s="3">
        <f>VLOOKUP($AB78,'2000 Seattle Tracts'!$C$2:$Y$374,AF$1,FALSE)*$Z78</f>
        <v>0.5886283697091097</v>
      </c>
      <c r="AG78" s="3">
        <f>VLOOKUP($AB78,'2000 Seattle Tracts'!$C$2:$Y$374,AG$1,FALSE)*$Z78</f>
        <v>0.52235703408305945</v>
      </c>
      <c r="AH78" s="3">
        <f>VLOOKUP($AB78,'2000 Seattle Tracts'!$C$2:$Y$374,AH$1,FALSE)*$Z78</f>
        <v>6.6271335626050198E-2</v>
      </c>
      <c r="AI78" s="3">
        <f>VLOOKUP($AB78,'2000 Seattle Tracts'!$C$2:$Y$374,AI$1,FALSE)*$Z78</f>
        <v>0.48473575184993051</v>
      </c>
      <c r="AJ78" s="3">
        <f>VLOOKUP($AB78,'2000 Seattle Tracts'!$C$2:$Y$374,AJ$1,FALSE)*$Z78</f>
        <v>4.8039483466918491E-2</v>
      </c>
      <c r="AK78" s="3">
        <f>VLOOKUP($AB78,'2000 Seattle Tracts'!$C$2:$Y$374,AK$1,FALSE)*$Z78</f>
        <v>6.0772840530439048E-3</v>
      </c>
      <c r="AL78" s="3">
        <f>VLOOKUP($AB78,'2000 Seattle Tracts'!$C$2:$Y$374,AL$1,FALSE)*$Z78</f>
        <v>0</v>
      </c>
      <c r="AM78" s="3">
        <f>VLOOKUP($AB78,'2000 Seattle Tracts'!$C$2:$Y$374,AM$1,FALSE)*$Z78</f>
        <v>4.3409171807456464E-3</v>
      </c>
      <c r="AN78" s="3">
        <f>VLOOKUP($AB78,'2000 Seattle Tracts'!$C$2:$Y$374,AN$1,FALSE)*$Z78</f>
        <v>0</v>
      </c>
      <c r="AO78" s="3">
        <f>VLOOKUP($AB78,'2000 Seattle Tracts'!$C$2:$Y$374,AO$1,FALSE)*$Z78</f>
        <v>3.4727337445965172E-3</v>
      </c>
      <c r="AP78" s="3">
        <f>VLOOKUP($AB78,'2000 Seattle Tracts'!$C$2:$Y$374,AP$1,FALSE)*$Z78</f>
        <v>0</v>
      </c>
      <c r="AQ78" s="3">
        <f>VLOOKUP($AB78,'2000 Seattle Tracts'!$C$2:$Y$374,AQ$1,FALSE)*$Z78</f>
        <v>1.2443962584804187E-2</v>
      </c>
      <c r="AR78" s="3">
        <f>VLOOKUP($AB78,'2000 Seattle Tracts'!$C$2:$Y$374,AR$1,FALSE)*$Z78</f>
        <v>1.4469723935818822E-2</v>
      </c>
      <c r="AS78" s="3">
        <f>VLOOKUP($AB78,'2000 Seattle Tracts'!$C$2:$Y$374,AS$1,FALSE)*$Z78</f>
        <v>0</v>
      </c>
      <c r="AT78" s="3">
        <f>VLOOKUP($AB78,'2000 Seattle Tracts'!$C$2:$Y$374,AT$1,FALSE)*$Z78</f>
        <v>0</v>
      </c>
      <c r="AU78" s="3">
        <f>VLOOKUP($AB78,'2000 Seattle Tracts'!$C$2:$Y$374,AU$1,FALSE)*$Z78</f>
        <v>6.6560730104766579E-3</v>
      </c>
      <c r="AV78" s="3">
        <f>VLOOKUP($AB78,'2000 Seattle Tracts'!$C$2:$Y$374,AV$1,FALSE)*$Z78</f>
        <v>2.604550308447388E-3</v>
      </c>
      <c r="AW78" s="3">
        <f>VLOOKUP($AB78,'2000 Seattle Tracts'!$C$2:$Y$374,AW$1,FALSE)*$Z78</f>
        <v>4.630311659462023E-3</v>
      </c>
      <c r="AX78" s="3">
        <f>VLOOKUP($AB78,'2000 Seattle Tracts'!$C$2:$Y$374,AX$1,FALSE)*$Z78</f>
        <v>1.1575779148655057E-3</v>
      </c>
      <c r="AZ78" s="2" t="s">
        <v>135</v>
      </c>
      <c r="BA78">
        <v>8086.9322497148842</v>
      </c>
      <c r="BB78">
        <v>7061.4994717221789</v>
      </c>
      <c r="BC78">
        <v>1025.4327779927057</v>
      </c>
      <c r="BD78">
        <v>6332.3057002365713</v>
      </c>
      <c r="BE78">
        <v>625.73976084771982</v>
      </c>
      <c r="BF78">
        <v>111.74319733318048</v>
      </c>
      <c r="BG78">
        <v>40.620533558976092</v>
      </c>
      <c r="BH78">
        <v>123.40741202688773</v>
      </c>
      <c r="BI78">
        <v>22.071736669068891</v>
      </c>
      <c r="BJ78">
        <v>59.139147499841954</v>
      </c>
      <c r="BK78">
        <v>2.7155995779962829</v>
      </c>
      <c r="BL78">
        <v>158.55852690377722</v>
      </c>
      <c r="BM78">
        <v>260.69786026841831</v>
      </c>
      <c r="BN78">
        <v>6.7781601724109972</v>
      </c>
      <c r="BO78">
        <v>12.223562252591522</v>
      </c>
      <c r="BP78">
        <v>36.63059069254021</v>
      </c>
      <c r="BQ78">
        <v>26.936192615991057</v>
      </c>
      <c r="BR78">
        <v>232.93673685696945</v>
      </c>
      <c r="BS78">
        <v>34.427532201943578</v>
      </c>
    </row>
    <row r="79" spans="1:71" x14ac:dyDescent="0.25">
      <c r="A79" t="s">
        <v>2917</v>
      </c>
      <c r="B79" t="s">
        <v>2918</v>
      </c>
      <c r="C79" t="s">
        <v>2933</v>
      </c>
      <c r="D79" t="s">
        <v>2530</v>
      </c>
      <c r="E79" t="s">
        <v>2531</v>
      </c>
      <c r="F79" t="s">
        <v>2532</v>
      </c>
      <c r="G79" t="s">
        <v>2920</v>
      </c>
      <c r="H79" t="s">
        <v>2921</v>
      </c>
      <c r="I79">
        <v>996458</v>
      </c>
      <c r="J79">
        <v>2531309</v>
      </c>
      <c r="K79" t="s">
        <v>2934</v>
      </c>
      <c r="L79" t="s">
        <v>2935</v>
      </c>
      <c r="M79">
        <v>103</v>
      </c>
      <c r="N79">
        <v>31987.734</v>
      </c>
      <c r="O79" t="s">
        <v>207</v>
      </c>
      <c r="P79">
        <v>3</v>
      </c>
      <c r="Q79">
        <v>3</v>
      </c>
      <c r="R79">
        <v>95</v>
      </c>
      <c r="S79">
        <v>30977390</v>
      </c>
      <c r="T79">
        <v>105</v>
      </c>
      <c r="U79">
        <v>107</v>
      </c>
      <c r="V79">
        <v>31987.735324847999</v>
      </c>
      <c r="W79">
        <v>30977390.242551979</v>
      </c>
      <c r="X79">
        <v>842265.005</v>
      </c>
      <c r="Y79">
        <f>VLOOKUP(AB79,'2000 Seattle Tracts'!$C$2:$Z$374,24,FALSE)</f>
        <v>962343.86100000003</v>
      </c>
      <c r="Z79">
        <f t="shared" si="2"/>
        <v>0.87522250531611168</v>
      </c>
      <c r="AA79" t="s">
        <v>208</v>
      </c>
      <c r="AB79" t="str">
        <f t="shared" si="3"/>
        <v>Census Tract 9, King County, Washington</v>
      </c>
      <c r="AC79" s="3">
        <f>VLOOKUP($AB79,'2000 Seattle Tracts'!$C$2:$Y$374,AC$1,FALSE)*$Z79</f>
        <v>1780.2025758129712</v>
      </c>
      <c r="AD79" s="3">
        <f>VLOOKUP($AB79,'2000 Seattle Tracts'!$C$2:$Y$374,AD$1,FALSE)*$Z79</f>
        <v>1579.7766220955816</v>
      </c>
      <c r="AE79" s="3">
        <f>VLOOKUP($AB79,'2000 Seattle Tracts'!$C$2:$Y$374,AE$1,FALSE)*$Z79</f>
        <v>200.42595371738958</v>
      </c>
      <c r="AF79" s="3">
        <f>VLOOKUP($AB79,'2000 Seattle Tracts'!$C$2:$Y$374,AF$1,FALSE)*$Z79</f>
        <v>1780.2025758129712</v>
      </c>
      <c r="AG79" s="3">
        <f>VLOOKUP($AB79,'2000 Seattle Tracts'!$C$2:$Y$374,AG$1,FALSE)*$Z79</f>
        <v>1579.7766220955816</v>
      </c>
      <c r="AH79" s="3">
        <f>VLOOKUP($AB79,'2000 Seattle Tracts'!$C$2:$Y$374,AH$1,FALSE)*$Z79</f>
        <v>200.42595371738958</v>
      </c>
      <c r="AI79" s="3">
        <f>VLOOKUP($AB79,'2000 Seattle Tracts'!$C$2:$Y$374,AI$1,FALSE)*$Z79</f>
        <v>1465.997696404487</v>
      </c>
      <c r="AJ79" s="3">
        <f>VLOOKUP($AB79,'2000 Seattle Tracts'!$C$2:$Y$374,AJ$1,FALSE)*$Z79</f>
        <v>145.28693588247455</v>
      </c>
      <c r="AK79" s="3">
        <f>VLOOKUP($AB79,'2000 Seattle Tracts'!$C$2:$Y$374,AK$1,FALSE)*$Z79</f>
        <v>18.379672611638345</v>
      </c>
      <c r="AL79" s="3">
        <f>VLOOKUP($AB79,'2000 Seattle Tracts'!$C$2:$Y$374,AL$1,FALSE)*$Z79</f>
        <v>0</v>
      </c>
      <c r="AM79" s="3">
        <f>VLOOKUP($AB79,'2000 Seattle Tracts'!$C$2:$Y$374,AM$1,FALSE)*$Z79</f>
        <v>13.128337579741675</v>
      </c>
      <c r="AN79" s="3">
        <f>VLOOKUP($AB79,'2000 Seattle Tracts'!$C$2:$Y$374,AN$1,FALSE)*$Z79</f>
        <v>0</v>
      </c>
      <c r="AO79" s="3">
        <f>VLOOKUP($AB79,'2000 Seattle Tracts'!$C$2:$Y$374,AO$1,FALSE)*$Z79</f>
        <v>10.502670063793341</v>
      </c>
      <c r="AP79" s="3">
        <f>VLOOKUP($AB79,'2000 Seattle Tracts'!$C$2:$Y$374,AP$1,FALSE)*$Z79</f>
        <v>0</v>
      </c>
      <c r="AQ79" s="3">
        <f>VLOOKUP($AB79,'2000 Seattle Tracts'!$C$2:$Y$374,AQ$1,FALSE)*$Z79</f>
        <v>37.634567728592799</v>
      </c>
      <c r="AR79" s="3">
        <f>VLOOKUP($AB79,'2000 Seattle Tracts'!$C$2:$Y$374,AR$1,FALSE)*$Z79</f>
        <v>43.761125265805582</v>
      </c>
      <c r="AS79" s="3">
        <f>VLOOKUP($AB79,'2000 Seattle Tracts'!$C$2:$Y$374,AS$1,FALSE)*$Z79</f>
        <v>0</v>
      </c>
      <c r="AT79" s="3">
        <f>VLOOKUP($AB79,'2000 Seattle Tracts'!$C$2:$Y$374,AT$1,FALSE)*$Z79</f>
        <v>0</v>
      </c>
      <c r="AU79" s="3">
        <f>VLOOKUP($AB79,'2000 Seattle Tracts'!$C$2:$Y$374,AU$1,FALSE)*$Z79</f>
        <v>20.130117622270568</v>
      </c>
      <c r="AV79" s="3">
        <f>VLOOKUP($AB79,'2000 Seattle Tracts'!$C$2:$Y$374,AV$1,FALSE)*$Z79</f>
        <v>7.877002547845005</v>
      </c>
      <c r="AW79" s="3">
        <f>VLOOKUP($AB79,'2000 Seattle Tracts'!$C$2:$Y$374,AW$1,FALSE)*$Z79</f>
        <v>14.003560085057787</v>
      </c>
      <c r="AX79" s="3">
        <f>VLOOKUP($AB79,'2000 Seattle Tracts'!$C$2:$Y$374,AX$1,FALSE)*$Z79</f>
        <v>3.5008900212644467</v>
      </c>
      <c r="AZ79" s="2" t="s">
        <v>139</v>
      </c>
      <c r="BA79">
        <v>9881.1579865341955</v>
      </c>
      <c r="BB79">
        <v>8895.4763020681257</v>
      </c>
      <c r="BC79">
        <v>985.68168446607035</v>
      </c>
      <c r="BD79">
        <v>8110.4140184045027</v>
      </c>
      <c r="BE79">
        <v>534.16308936546022</v>
      </c>
      <c r="BF79">
        <v>124.9880818561401</v>
      </c>
      <c r="BG79">
        <v>38.627432468417858</v>
      </c>
      <c r="BH79">
        <v>95.177544667464616</v>
      </c>
      <c r="BI79">
        <v>0.74719777504967233</v>
      </c>
      <c r="BJ79">
        <v>85.717569307476552</v>
      </c>
      <c r="BK79">
        <v>4.2790648820175932</v>
      </c>
      <c r="BL79">
        <v>188.78034084518049</v>
      </c>
      <c r="BM79">
        <v>329.78757536066797</v>
      </c>
      <c r="BN79">
        <v>0.21447976425177442</v>
      </c>
      <c r="BO79">
        <v>28.287869604886509</v>
      </c>
      <c r="BP79">
        <v>24.286547939290891</v>
      </c>
      <c r="BQ79">
        <v>20.607847162267809</v>
      </c>
      <c r="BR79">
        <v>265.89771928381737</v>
      </c>
      <c r="BS79">
        <v>29.181607847302676</v>
      </c>
    </row>
    <row r="80" spans="1:71" x14ac:dyDescent="0.25">
      <c r="A80" t="s">
        <v>2917</v>
      </c>
      <c r="B80" t="s">
        <v>2918</v>
      </c>
      <c r="C80" t="s">
        <v>2933</v>
      </c>
      <c r="D80" t="s">
        <v>2530</v>
      </c>
      <c r="E80" t="s">
        <v>2531</v>
      </c>
      <c r="F80" t="s">
        <v>2532</v>
      </c>
      <c r="G80" t="s">
        <v>2920</v>
      </c>
      <c r="H80" t="s">
        <v>2921</v>
      </c>
      <c r="I80">
        <v>996458</v>
      </c>
      <c r="J80">
        <v>2531309</v>
      </c>
      <c r="K80" t="s">
        <v>2934</v>
      </c>
      <c r="L80" t="s">
        <v>2935</v>
      </c>
      <c r="M80">
        <v>106</v>
      </c>
      <c r="N80">
        <v>22788.76</v>
      </c>
      <c r="O80" t="s">
        <v>207</v>
      </c>
      <c r="P80">
        <v>3</v>
      </c>
      <c r="Q80">
        <v>3</v>
      </c>
      <c r="R80">
        <v>19</v>
      </c>
      <c r="S80">
        <v>20441486</v>
      </c>
      <c r="T80">
        <v>108</v>
      </c>
      <c r="U80">
        <v>105</v>
      </c>
      <c r="V80">
        <v>22788.760382662011</v>
      </c>
      <c r="W80">
        <v>20441485.84874605</v>
      </c>
      <c r="X80">
        <v>105517.482</v>
      </c>
      <c r="Y80">
        <f>VLOOKUP(AB80,'2000 Seattle Tracts'!$C$2:$Z$374,24,FALSE)</f>
        <v>962343.86100000003</v>
      </c>
      <c r="Z80">
        <f t="shared" si="2"/>
        <v>0.10964633981283328</v>
      </c>
      <c r="AA80" t="s">
        <v>211</v>
      </c>
      <c r="AB80" t="str">
        <f t="shared" si="3"/>
        <v>Census Tract 9, King County, Washington</v>
      </c>
      <c r="AC80" s="3">
        <f>VLOOKUP($AB80,'2000 Seattle Tracts'!$C$2:$Y$374,AC$1,FALSE)*$Z80</f>
        <v>223.02065517930291</v>
      </c>
      <c r="AD80" s="3">
        <f>VLOOKUP($AB80,'2000 Seattle Tracts'!$C$2:$Y$374,AD$1,FALSE)*$Z80</f>
        <v>197.91164336216409</v>
      </c>
      <c r="AE80" s="3">
        <f>VLOOKUP($AB80,'2000 Seattle Tracts'!$C$2:$Y$374,AE$1,FALSE)*$Z80</f>
        <v>25.109011817138821</v>
      </c>
      <c r="AF80" s="3">
        <f>VLOOKUP($AB80,'2000 Seattle Tracts'!$C$2:$Y$374,AF$1,FALSE)*$Z80</f>
        <v>223.02065517930291</v>
      </c>
      <c r="AG80" s="3">
        <f>VLOOKUP($AB80,'2000 Seattle Tracts'!$C$2:$Y$374,AG$1,FALSE)*$Z80</f>
        <v>197.91164336216409</v>
      </c>
      <c r="AH80" s="3">
        <f>VLOOKUP($AB80,'2000 Seattle Tracts'!$C$2:$Y$374,AH$1,FALSE)*$Z80</f>
        <v>25.109011817138821</v>
      </c>
      <c r="AI80" s="3">
        <f>VLOOKUP($AB80,'2000 Seattle Tracts'!$C$2:$Y$374,AI$1,FALSE)*$Z80</f>
        <v>183.65761918649574</v>
      </c>
      <c r="AJ80" s="3">
        <f>VLOOKUP($AB80,'2000 Seattle Tracts'!$C$2:$Y$374,AJ$1,FALSE)*$Z80</f>
        <v>18.201292408930325</v>
      </c>
      <c r="AK80" s="3">
        <f>VLOOKUP($AB80,'2000 Seattle Tracts'!$C$2:$Y$374,AK$1,FALSE)*$Z80</f>
        <v>2.302573136069499</v>
      </c>
      <c r="AL80" s="3">
        <f>VLOOKUP($AB80,'2000 Seattle Tracts'!$C$2:$Y$374,AL$1,FALSE)*$Z80</f>
        <v>0</v>
      </c>
      <c r="AM80" s="3">
        <f>VLOOKUP($AB80,'2000 Seattle Tracts'!$C$2:$Y$374,AM$1,FALSE)*$Z80</f>
        <v>1.6446950971924992</v>
      </c>
      <c r="AN80" s="3">
        <f>VLOOKUP($AB80,'2000 Seattle Tracts'!$C$2:$Y$374,AN$1,FALSE)*$Z80</f>
        <v>0</v>
      </c>
      <c r="AO80" s="3">
        <f>VLOOKUP($AB80,'2000 Seattle Tracts'!$C$2:$Y$374,AO$1,FALSE)*$Z80</f>
        <v>1.3157560777539994</v>
      </c>
      <c r="AP80" s="3">
        <f>VLOOKUP($AB80,'2000 Seattle Tracts'!$C$2:$Y$374,AP$1,FALSE)*$Z80</f>
        <v>0</v>
      </c>
      <c r="AQ80" s="3">
        <f>VLOOKUP($AB80,'2000 Seattle Tracts'!$C$2:$Y$374,AQ$1,FALSE)*$Z80</f>
        <v>4.7147926119518315</v>
      </c>
      <c r="AR80" s="3">
        <f>VLOOKUP($AB80,'2000 Seattle Tracts'!$C$2:$Y$374,AR$1,FALSE)*$Z80</f>
        <v>5.4823169906416638</v>
      </c>
      <c r="AS80" s="3">
        <f>VLOOKUP($AB80,'2000 Seattle Tracts'!$C$2:$Y$374,AS$1,FALSE)*$Z80</f>
        <v>0</v>
      </c>
      <c r="AT80" s="3">
        <f>VLOOKUP($AB80,'2000 Seattle Tracts'!$C$2:$Y$374,AT$1,FALSE)*$Z80</f>
        <v>0</v>
      </c>
      <c r="AU80" s="3">
        <f>VLOOKUP($AB80,'2000 Seattle Tracts'!$C$2:$Y$374,AU$1,FALSE)*$Z80</f>
        <v>2.5218658156951657</v>
      </c>
      <c r="AV80" s="3">
        <f>VLOOKUP($AB80,'2000 Seattle Tracts'!$C$2:$Y$374,AV$1,FALSE)*$Z80</f>
        <v>0.9868170583154996</v>
      </c>
      <c r="AW80" s="3">
        <f>VLOOKUP($AB80,'2000 Seattle Tracts'!$C$2:$Y$374,AW$1,FALSE)*$Z80</f>
        <v>1.7543414370053325</v>
      </c>
      <c r="AX80" s="3">
        <f>VLOOKUP($AB80,'2000 Seattle Tracts'!$C$2:$Y$374,AX$1,FALSE)*$Z80</f>
        <v>0.43858535925133313</v>
      </c>
      <c r="AZ80" s="2" t="s">
        <v>140</v>
      </c>
      <c r="BA80">
        <v>1411.7586904647915</v>
      </c>
      <c r="BB80">
        <v>1217.1868477067894</v>
      </c>
      <c r="BC80">
        <v>194.57184275800213</v>
      </c>
      <c r="BD80">
        <v>1071.5206379493688</v>
      </c>
      <c r="BE80">
        <v>120.94662527440417</v>
      </c>
      <c r="BF80">
        <v>20.508777392487314</v>
      </c>
      <c r="BG80">
        <v>8.938484999817689</v>
      </c>
      <c r="BH80">
        <v>12.885278093726985</v>
      </c>
      <c r="BI80">
        <v>3.1546098739932571</v>
      </c>
      <c r="BJ80">
        <v>9.4693375941914208</v>
      </c>
      <c r="BK80">
        <v>4.9430519848143897E-4</v>
      </c>
      <c r="BL80">
        <v>38.651456149422984</v>
      </c>
      <c r="BM80">
        <v>53.113333029863043</v>
      </c>
      <c r="BN80">
        <v>2.1030732493288382</v>
      </c>
      <c r="BO80">
        <v>3.1555984843902198</v>
      </c>
      <c r="BP80">
        <v>7.6261826698377995</v>
      </c>
      <c r="BQ80">
        <v>2.6310306275400372</v>
      </c>
      <c r="BR80">
        <v>54.422104608425208</v>
      </c>
      <c r="BS80">
        <v>2.6316661627952276</v>
      </c>
    </row>
    <row r="81" spans="1:71" x14ac:dyDescent="0.25">
      <c r="A81" t="s">
        <v>2917</v>
      </c>
      <c r="B81" t="s">
        <v>2918</v>
      </c>
      <c r="C81" t="s">
        <v>3128</v>
      </c>
      <c r="D81" t="s">
        <v>2566</v>
      </c>
      <c r="E81" t="s">
        <v>2567</v>
      </c>
      <c r="F81" t="s">
        <v>2568</v>
      </c>
      <c r="G81" t="s">
        <v>2920</v>
      </c>
      <c r="H81" t="s">
        <v>2921</v>
      </c>
      <c r="I81">
        <v>1141587</v>
      </c>
      <c r="J81">
        <v>0</v>
      </c>
      <c r="K81" t="s">
        <v>3381</v>
      </c>
      <c r="L81" t="s">
        <v>3382</v>
      </c>
      <c r="M81">
        <v>103</v>
      </c>
      <c r="N81">
        <v>31987.734</v>
      </c>
      <c r="O81" t="s">
        <v>207</v>
      </c>
      <c r="P81">
        <v>3</v>
      </c>
      <c r="Q81">
        <v>3</v>
      </c>
      <c r="R81">
        <v>95</v>
      </c>
      <c r="S81">
        <v>30977390</v>
      </c>
      <c r="T81">
        <v>105</v>
      </c>
      <c r="U81">
        <v>107</v>
      </c>
      <c r="V81">
        <v>31987.735324847999</v>
      </c>
      <c r="W81">
        <v>30977390.242551979</v>
      </c>
      <c r="X81">
        <v>923618.74100000004</v>
      </c>
      <c r="Y81">
        <f>VLOOKUP(AB81,'2000 Seattle Tracts'!$C$2:$Z$374,24,FALSE)</f>
        <v>1141588.2779999999</v>
      </c>
      <c r="Z81">
        <f t="shared" si="2"/>
        <v>0.80906466788370446</v>
      </c>
      <c r="AA81" t="s">
        <v>208</v>
      </c>
      <c r="AB81" t="str">
        <f t="shared" si="3"/>
        <v>Census Tract 8, King County, Washington</v>
      </c>
      <c r="AC81" s="3">
        <f>VLOOKUP($AB81,'2000 Seattle Tracts'!$C$2:$Y$374,AC$1,FALSE)*$Z81</f>
        <v>2103.5681364976317</v>
      </c>
      <c r="AD81" s="3">
        <f>VLOOKUP($AB81,'2000 Seattle Tracts'!$C$2:$Y$374,AD$1,FALSE)*$Z81</f>
        <v>1737.0618419463135</v>
      </c>
      <c r="AE81" s="3">
        <f>VLOOKUP($AB81,'2000 Seattle Tracts'!$C$2:$Y$374,AE$1,FALSE)*$Z81</f>
        <v>366.50629455131809</v>
      </c>
      <c r="AF81" s="3">
        <f>VLOOKUP($AB81,'2000 Seattle Tracts'!$C$2:$Y$374,AF$1,FALSE)*$Z81</f>
        <v>2103.5681364976317</v>
      </c>
      <c r="AG81" s="3">
        <f>VLOOKUP($AB81,'2000 Seattle Tracts'!$C$2:$Y$374,AG$1,FALSE)*$Z81</f>
        <v>1737.0618419463135</v>
      </c>
      <c r="AH81" s="3">
        <f>VLOOKUP($AB81,'2000 Seattle Tracts'!$C$2:$Y$374,AH$1,FALSE)*$Z81</f>
        <v>366.50629455131809</v>
      </c>
      <c r="AI81" s="3">
        <f>VLOOKUP($AB81,'2000 Seattle Tracts'!$C$2:$Y$374,AI$1,FALSE)*$Z81</f>
        <v>1466.0251782052724</v>
      </c>
      <c r="AJ81" s="3">
        <f>VLOOKUP($AB81,'2000 Seattle Tracts'!$C$2:$Y$374,AJ$1,FALSE)*$Z81</f>
        <v>131.06847619716012</v>
      </c>
      <c r="AK81" s="3">
        <f>VLOOKUP($AB81,'2000 Seattle Tracts'!$C$2:$Y$374,AK$1,FALSE)*$Z81</f>
        <v>21.844746032860019</v>
      </c>
      <c r="AL81" s="3">
        <f>VLOOKUP($AB81,'2000 Seattle Tracts'!$C$2:$Y$374,AL$1,FALSE)*$Z81</f>
        <v>4.0453233394185224</v>
      </c>
      <c r="AM81" s="3">
        <f>VLOOKUP($AB81,'2000 Seattle Tracts'!$C$2:$Y$374,AM$1,FALSE)*$Z81</f>
        <v>67.152367434347468</v>
      </c>
      <c r="AN81" s="3">
        <f>VLOOKUP($AB81,'2000 Seattle Tracts'!$C$2:$Y$374,AN$1,FALSE)*$Z81</f>
        <v>10.517840682488158</v>
      </c>
      <c r="AO81" s="3">
        <f>VLOOKUP($AB81,'2000 Seattle Tracts'!$C$2:$Y$374,AO$1,FALSE)*$Z81</f>
        <v>17.7994226934415</v>
      </c>
      <c r="AP81" s="3">
        <f>VLOOKUP($AB81,'2000 Seattle Tracts'!$C$2:$Y$374,AP$1,FALSE)*$Z81</f>
        <v>0</v>
      </c>
      <c r="AQ81" s="3">
        <f>VLOOKUP($AB81,'2000 Seattle Tracts'!$C$2:$Y$374,AQ$1,FALSE)*$Z81</f>
        <v>102.75121282123047</v>
      </c>
      <c r="AR81" s="3">
        <f>VLOOKUP($AB81,'2000 Seattle Tracts'!$C$2:$Y$374,AR$1,FALSE)*$Z81</f>
        <v>173.13983892711275</v>
      </c>
      <c r="AS81" s="3">
        <f>VLOOKUP($AB81,'2000 Seattle Tracts'!$C$2:$Y$374,AS$1,FALSE)*$Z81</f>
        <v>0</v>
      </c>
      <c r="AT81" s="3">
        <f>VLOOKUP($AB81,'2000 Seattle Tracts'!$C$2:$Y$374,AT$1,FALSE)*$Z81</f>
        <v>0</v>
      </c>
      <c r="AU81" s="3">
        <f>VLOOKUP($AB81,'2000 Seattle Tracts'!$C$2:$Y$374,AU$1,FALSE)*$Z81</f>
        <v>16.18129335767409</v>
      </c>
      <c r="AV81" s="3">
        <f>VLOOKUP($AB81,'2000 Seattle Tracts'!$C$2:$Y$374,AV$1,FALSE)*$Z81</f>
        <v>25.890069372278543</v>
      </c>
      <c r="AW81" s="3">
        <f>VLOOKUP($AB81,'2000 Seattle Tracts'!$C$2:$Y$374,AW$1,FALSE)*$Z81</f>
        <v>45.307621401487452</v>
      </c>
      <c r="AX81" s="3">
        <f>VLOOKUP($AB81,'2000 Seattle Tracts'!$C$2:$Y$374,AX$1,FALSE)*$Z81</f>
        <v>21.844746032860019</v>
      </c>
      <c r="AZ81" s="2" t="s">
        <v>142</v>
      </c>
      <c r="BA81">
        <v>2407.2574353733771</v>
      </c>
      <c r="BB81">
        <v>2133.5100571882213</v>
      </c>
      <c r="BC81">
        <v>273.74737818515632</v>
      </c>
      <c r="BD81">
        <v>1910.3026516479094</v>
      </c>
      <c r="BE81">
        <v>123.0733073823217</v>
      </c>
      <c r="BF81">
        <v>41.758940286968155</v>
      </c>
      <c r="BG81">
        <v>14.633390613328189</v>
      </c>
      <c r="BH81">
        <v>36.263385692460631</v>
      </c>
      <c r="BI81">
        <v>3.1537361786527862</v>
      </c>
      <c r="BJ81">
        <v>2.7032024388452456</v>
      </c>
      <c r="BK81">
        <v>0</v>
      </c>
      <c r="BL81">
        <v>59.191451202190287</v>
      </c>
      <c r="BM81">
        <v>101.06640899722615</v>
      </c>
      <c r="BN81">
        <v>1.3516012194226228</v>
      </c>
      <c r="BO81">
        <v>3.8295367883640976</v>
      </c>
      <c r="BP81">
        <v>13.968733718219006</v>
      </c>
      <c r="BQ81">
        <v>14.354592954599008</v>
      </c>
      <c r="BR81">
        <v>67.970090982205676</v>
      </c>
      <c r="BS81">
        <v>13.636405270664415</v>
      </c>
    </row>
    <row r="82" spans="1:71" x14ac:dyDescent="0.25">
      <c r="A82" t="s">
        <v>2917</v>
      </c>
      <c r="B82" t="s">
        <v>2918</v>
      </c>
      <c r="C82" t="s">
        <v>3128</v>
      </c>
      <c r="D82" t="s">
        <v>2566</v>
      </c>
      <c r="E82" t="s">
        <v>2567</v>
      </c>
      <c r="F82" t="s">
        <v>2568</v>
      </c>
      <c r="G82" t="s">
        <v>2920</v>
      </c>
      <c r="H82" t="s">
        <v>2921</v>
      </c>
      <c r="I82">
        <v>1141587</v>
      </c>
      <c r="J82">
        <v>0</v>
      </c>
      <c r="K82" t="s">
        <v>3381</v>
      </c>
      <c r="L82" t="s">
        <v>3382</v>
      </c>
      <c r="M82">
        <v>104</v>
      </c>
      <c r="N82">
        <v>18770.280999999999</v>
      </c>
      <c r="O82" t="s">
        <v>207</v>
      </c>
      <c r="P82">
        <v>3</v>
      </c>
      <c r="Q82">
        <v>3</v>
      </c>
      <c r="R82">
        <v>24</v>
      </c>
      <c r="S82">
        <v>17034848</v>
      </c>
      <c r="T82">
        <v>106</v>
      </c>
      <c r="U82">
        <v>108</v>
      </c>
      <c r="V82">
        <v>18770.28203242151</v>
      </c>
      <c r="W82">
        <v>17034848.779124379</v>
      </c>
      <c r="X82">
        <v>77.924999999999997</v>
      </c>
      <c r="Y82">
        <f>VLOOKUP(AB82,'2000 Seattle Tracts'!$C$2:$Z$374,24,FALSE)</f>
        <v>1141588.2779999999</v>
      </c>
      <c r="Z82">
        <f t="shared" si="2"/>
        <v>6.8260161304844794E-5</v>
      </c>
      <c r="AA82" t="s">
        <v>209</v>
      </c>
      <c r="AB82" t="str">
        <f t="shared" si="3"/>
        <v>Census Tract 8, King County, Washington</v>
      </c>
      <c r="AC82" s="3">
        <f>VLOOKUP($AB82,'2000 Seattle Tracts'!$C$2:$Y$374,AC$1,FALSE)*$Z82</f>
        <v>0.17747641939259645</v>
      </c>
      <c r="AD82" s="3">
        <f>VLOOKUP($AB82,'2000 Seattle Tracts'!$C$2:$Y$374,AD$1,FALSE)*$Z82</f>
        <v>0.14655456632150177</v>
      </c>
      <c r="AE82" s="3">
        <f>VLOOKUP($AB82,'2000 Seattle Tracts'!$C$2:$Y$374,AE$1,FALSE)*$Z82</f>
        <v>3.0921853071094692E-2</v>
      </c>
      <c r="AF82" s="3">
        <f>VLOOKUP($AB82,'2000 Seattle Tracts'!$C$2:$Y$374,AF$1,FALSE)*$Z82</f>
        <v>0.17747641939259645</v>
      </c>
      <c r="AG82" s="3">
        <f>VLOOKUP($AB82,'2000 Seattle Tracts'!$C$2:$Y$374,AG$1,FALSE)*$Z82</f>
        <v>0.14655456632150177</v>
      </c>
      <c r="AH82" s="3">
        <f>VLOOKUP($AB82,'2000 Seattle Tracts'!$C$2:$Y$374,AH$1,FALSE)*$Z82</f>
        <v>3.0921853071094692E-2</v>
      </c>
      <c r="AI82" s="3">
        <f>VLOOKUP($AB82,'2000 Seattle Tracts'!$C$2:$Y$374,AI$1,FALSE)*$Z82</f>
        <v>0.12368741228437877</v>
      </c>
      <c r="AJ82" s="3">
        <f>VLOOKUP($AB82,'2000 Seattle Tracts'!$C$2:$Y$374,AJ$1,FALSE)*$Z82</f>
        <v>1.1058146131384856E-2</v>
      </c>
      <c r="AK82" s="3">
        <f>VLOOKUP($AB82,'2000 Seattle Tracts'!$C$2:$Y$374,AK$1,FALSE)*$Z82</f>
        <v>1.8430243552308094E-3</v>
      </c>
      <c r="AL82" s="3">
        <f>VLOOKUP($AB82,'2000 Seattle Tracts'!$C$2:$Y$374,AL$1,FALSE)*$Z82</f>
        <v>3.4130080652422398E-4</v>
      </c>
      <c r="AM82" s="3">
        <f>VLOOKUP($AB82,'2000 Seattle Tracts'!$C$2:$Y$374,AM$1,FALSE)*$Z82</f>
        <v>5.6655933883021179E-3</v>
      </c>
      <c r="AN82" s="3">
        <f>VLOOKUP($AB82,'2000 Seattle Tracts'!$C$2:$Y$374,AN$1,FALSE)*$Z82</f>
        <v>8.8738209696298228E-4</v>
      </c>
      <c r="AO82" s="3">
        <f>VLOOKUP($AB82,'2000 Seattle Tracts'!$C$2:$Y$374,AO$1,FALSE)*$Z82</f>
        <v>1.5017235487065855E-3</v>
      </c>
      <c r="AP82" s="3">
        <f>VLOOKUP($AB82,'2000 Seattle Tracts'!$C$2:$Y$374,AP$1,FALSE)*$Z82</f>
        <v>0</v>
      </c>
      <c r="AQ82" s="3">
        <f>VLOOKUP($AB82,'2000 Seattle Tracts'!$C$2:$Y$374,AQ$1,FALSE)*$Z82</f>
        <v>8.6690404857152886E-3</v>
      </c>
      <c r="AR82" s="3">
        <f>VLOOKUP($AB82,'2000 Seattle Tracts'!$C$2:$Y$374,AR$1,FALSE)*$Z82</f>
        <v>1.4607674519236787E-2</v>
      </c>
      <c r="AS82" s="3">
        <f>VLOOKUP($AB82,'2000 Seattle Tracts'!$C$2:$Y$374,AS$1,FALSE)*$Z82</f>
        <v>0</v>
      </c>
      <c r="AT82" s="3">
        <f>VLOOKUP($AB82,'2000 Seattle Tracts'!$C$2:$Y$374,AT$1,FALSE)*$Z82</f>
        <v>0</v>
      </c>
      <c r="AU82" s="3">
        <f>VLOOKUP($AB82,'2000 Seattle Tracts'!$C$2:$Y$374,AU$1,FALSE)*$Z82</f>
        <v>1.3652032260968959E-3</v>
      </c>
      <c r="AV82" s="3">
        <f>VLOOKUP($AB82,'2000 Seattle Tracts'!$C$2:$Y$374,AV$1,FALSE)*$Z82</f>
        <v>2.1843251617550334E-3</v>
      </c>
      <c r="AW82" s="3">
        <f>VLOOKUP($AB82,'2000 Seattle Tracts'!$C$2:$Y$374,AW$1,FALSE)*$Z82</f>
        <v>3.8225690330713083E-3</v>
      </c>
      <c r="AX82" s="3">
        <f>VLOOKUP($AB82,'2000 Seattle Tracts'!$C$2:$Y$374,AX$1,FALSE)*$Z82</f>
        <v>1.8430243552308094E-3</v>
      </c>
      <c r="AZ82" s="2" t="s">
        <v>202</v>
      </c>
      <c r="BA82">
        <v>3799.4400840248127</v>
      </c>
      <c r="BB82">
        <v>3354.2212081695475</v>
      </c>
      <c r="BC82">
        <v>445.21887585526491</v>
      </c>
      <c r="BD82">
        <v>3048.3661019573569</v>
      </c>
      <c r="BE82">
        <v>250.94788286764799</v>
      </c>
      <c r="BF82">
        <v>51.15253350680365</v>
      </c>
      <c r="BG82">
        <v>19.354934642143462</v>
      </c>
      <c r="BH82">
        <v>42.038916164257053</v>
      </c>
      <c r="BI82">
        <v>6.9627875203340555</v>
      </c>
      <c r="BJ82">
        <v>9.3926632861389976</v>
      </c>
      <c r="BK82">
        <v>0</v>
      </c>
      <c r="BL82">
        <v>90.071130247903483</v>
      </c>
      <c r="BM82">
        <v>134.03832503026504</v>
      </c>
      <c r="BN82">
        <v>0.95086187402499944</v>
      </c>
      <c r="BO82">
        <v>2.2916539193087258E-3</v>
      </c>
      <c r="BP82">
        <v>12.10891219897673</v>
      </c>
      <c r="BQ82">
        <v>13.685807930139376</v>
      </c>
      <c r="BR82">
        <v>100.14008893408564</v>
      </c>
      <c r="BS82">
        <v>20.226846210815662</v>
      </c>
    </row>
    <row r="83" spans="1:71" x14ac:dyDescent="0.25">
      <c r="A83" t="s">
        <v>2917</v>
      </c>
      <c r="B83" t="s">
        <v>2918</v>
      </c>
      <c r="C83" t="s">
        <v>3128</v>
      </c>
      <c r="D83" t="s">
        <v>2566</v>
      </c>
      <c r="E83" t="s">
        <v>2567</v>
      </c>
      <c r="F83" t="s">
        <v>2568</v>
      </c>
      <c r="G83" t="s">
        <v>2920</v>
      </c>
      <c r="H83" t="s">
        <v>2921</v>
      </c>
      <c r="I83">
        <v>1141587</v>
      </c>
      <c r="J83">
        <v>0</v>
      </c>
      <c r="K83" t="s">
        <v>3381</v>
      </c>
      <c r="L83" t="s">
        <v>3382</v>
      </c>
      <c r="M83">
        <v>106</v>
      </c>
      <c r="N83">
        <v>22788.76</v>
      </c>
      <c r="O83" t="s">
        <v>207</v>
      </c>
      <c r="P83">
        <v>3</v>
      </c>
      <c r="Q83">
        <v>3</v>
      </c>
      <c r="R83">
        <v>19</v>
      </c>
      <c r="S83">
        <v>20441486</v>
      </c>
      <c r="T83">
        <v>108</v>
      </c>
      <c r="U83">
        <v>105</v>
      </c>
      <c r="V83">
        <v>22788.760382662011</v>
      </c>
      <c r="W83">
        <v>20441485.84874605</v>
      </c>
      <c r="X83">
        <v>217891.606</v>
      </c>
      <c r="Y83">
        <f>VLOOKUP(AB83,'2000 Seattle Tracts'!$C$2:$Z$374,24,FALSE)</f>
        <v>1141588.2779999999</v>
      </c>
      <c r="Z83">
        <f t="shared" si="2"/>
        <v>0.19086706669915546</v>
      </c>
      <c r="AA83" t="s">
        <v>211</v>
      </c>
      <c r="AB83" t="str">
        <f t="shared" si="3"/>
        <v>Census Tract 8, King County, Washington</v>
      </c>
      <c r="AC83" s="3">
        <f>VLOOKUP($AB83,'2000 Seattle Tracts'!$C$2:$Y$374,AC$1,FALSE)*$Z83</f>
        <v>496.25437341780417</v>
      </c>
      <c r="AD83" s="3">
        <f>VLOOKUP($AB83,'2000 Seattle Tracts'!$C$2:$Y$374,AD$1,FALSE)*$Z83</f>
        <v>409.79159220308679</v>
      </c>
      <c r="AE83" s="3">
        <f>VLOOKUP($AB83,'2000 Seattle Tracts'!$C$2:$Y$374,AE$1,FALSE)*$Z83</f>
        <v>86.462781214717424</v>
      </c>
      <c r="AF83" s="3">
        <f>VLOOKUP($AB83,'2000 Seattle Tracts'!$C$2:$Y$374,AF$1,FALSE)*$Z83</f>
        <v>496.25437341780417</v>
      </c>
      <c r="AG83" s="3">
        <f>VLOOKUP($AB83,'2000 Seattle Tracts'!$C$2:$Y$374,AG$1,FALSE)*$Z83</f>
        <v>409.79159220308679</v>
      </c>
      <c r="AH83" s="3">
        <f>VLOOKUP($AB83,'2000 Seattle Tracts'!$C$2:$Y$374,AH$1,FALSE)*$Z83</f>
        <v>86.462781214717424</v>
      </c>
      <c r="AI83" s="3">
        <f>VLOOKUP($AB83,'2000 Seattle Tracts'!$C$2:$Y$374,AI$1,FALSE)*$Z83</f>
        <v>345.8511248588697</v>
      </c>
      <c r="AJ83" s="3">
        <f>VLOOKUP($AB83,'2000 Seattle Tracts'!$C$2:$Y$374,AJ$1,FALSE)*$Z83</f>
        <v>30.920464805263183</v>
      </c>
      <c r="AK83" s="3">
        <f>VLOOKUP($AB83,'2000 Seattle Tracts'!$C$2:$Y$374,AK$1,FALSE)*$Z83</f>
        <v>5.1534108008771975</v>
      </c>
      <c r="AL83" s="3">
        <f>VLOOKUP($AB83,'2000 Seattle Tracts'!$C$2:$Y$374,AL$1,FALSE)*$Z83</f>
        <v>0.95433533349577726</v>
      </c>
      <c r="AM83" s="3">
        <f>VLOOKUP($AB83,'2000 Seattle Tracts'!$C$2:$Y$374,AM$1,FALSE)*$Z83</f>
        <v>15.841966536029902</v>
      </c>
      <c r="AN83" s="3">
        <f>VLOOKUP($AB83,'2000 Seattle Tracts'!$C$2:$Y$374,AN$1,FALSE)*$Z83</f>
        <v>2.481271867089021</v>
      </c>
      <c r="AO83" s="3">
        <f>VLOOKUP($AB83,'2000 Seattle Tracts'!$C$2:$Y$374,AO$1,FALSE)*$Z83</f>
        <v>4.1990754673814203</v>
      </c>
      <c r="AP83" s="3">
        <f>VLOOKUP($AB83,'2000 Seattle Tracts'!$C$2:$Y$374,AP$1,FALSE)*$Z83</f>
        <v>0</v>
      </c>
      <c r="AQ83" s="3">
        <f>VLOOKUP($AB83,'2000 Seattle Tracts'!$C$2:$Y$374,AQ$1,FALSE)*$Z83</f>
        <v>24.240117470792743</v>
      </c>
      <c r="AR83" s="3">
        <f>VLOOKUP($AB83,'2000 Seattle Tracts'!$C$2:$Y$374,AR$1,FALSE)*$Z83</f>
        <v>40.845552273619269</v>
      </c>
      <c r="AS83" s="3">
        <f>VLOOKUP($AB83,'2000 Seattle Tracts'!$C$2:$Y$374,AS$1,FALSE)*$Z83</f>
        <v>0</v>
      </c>
      <c r="AT83" s="3">
        <f>VLOOKUP($AB83,'2000 Seattle Tracts'!$C$2:$Y$374,AT$1,FALSE)*$Z83</f>
        <v>0</v>
      </c>
      <c r="AU83" s="3">
        <f>VLOOKUP($AB83,'2000 Seattle Tracts'!$C$2:$Y$374,AU$1,FALSE)*$Z83</f>
        <v>3.817341333983109</v>
      </c>
      <c r="AV83" s="3">
        <f>VLOOKUP($AB83,'2000 Seattle Tracts'!$C$2:$Y$374,AV$1,FALSE)*$Z83</f>
        <v>6.1077461343729746</v>
      </c>
      <c r="AW83" s="3">
        <f>VLOOKUP($AB83,'2000 Seattle Tracts'!$C$2:$Y$374,AW$1,FALSE)*$Z83</f>
        <v>10.688555735152706</v>
      </c>
      <c r="AX83" s="3">
        <f>VLOOKUP($AB83,'2000 Seattle Tracts'!$C$2:$Y$374,AX$1,FALSE)*$Z83</f>
        <v>5.1534108008771975</v>
      </c>
      <c r="AZ83" s="2" t="s">
        <v>203</v>
      </c>
      <c r="BA83">
        <v>4577.89359820355</v>
      </c>
      <c r="BB83">
        <v>4185.6852157926078</v>
      </c>
      <c r="BC83">
        <v>392.20838241094231</v>
      </c>
      <c r="BD83">
        <v>3942.8973846237968</v>
      </c>
      <c r="BE83">
        <v>314.56157044676269</v>
      </c>
      <c r="BF83">
        <v>58.593272580790028</v>
      </c>
      <c r="BG83">
        <v>13.655828332786378</v>
      </c>
      <c r="BH83">
        <v>59.387274235978254</v>
      </c>
      <c r="BI83">
        <v>1.2702457641519656</v>
      </c>
      <c r="BJ83">
        <v>12.703144009672403</v>
      </c>
      <c r="BK83">
        <v>0</v>
      </c>
      <c r="BL83">
        <v>32.709907005438858</v>
      </c>
      <c r="BM83">
        <v>37.473328621008733</v>
      </c>
      <c r="BN83">
        <v>3.9697631444580166</v>
      </c>
      <c r="BO83">
        <v>0</v>
      </c>
      <c r="BP83">
        <v>7.1455736600244304</v>
      </c>
      <c r="BQ83">
        <v>16.831687874649415</v>
      </c>
      <c r="BR83">
        <v>68.278896532448769</v>
      </c>
      <c r="BS83">
        <v>8.415721371583146</v>
      </c>
    </row>
    <row r="84" spans="1:71" x14ac:dyDescent="0.25">
      <c r="A84" t="s">
        <v>2917</v>
      </c>
      <c r="B84" t="s">
        <v>2918</v>
      </c>
      <c r="C84" t="s">
        <v>3125</v>
      </c>
      <c r="D84" t="s">
        <v>2602</v>
      </c>
      <c r="E84" t="s">
        <v>2603</v>
      </c>
      <c r="F84" t="s">
        <v>2604</v>
      </c>
      <c r="G84" t="s">
        <v>2920</v>
      </c>
      <c r="H84" t="s">
        <v>2921</v>
      </c>
      <c r="I84">
        <v>1294675</v>
      </c>
      <c r="J84">
        <v>0</v>
      </c>
      <c r="K84" t="s">
        <v>3126</v>
      </c>
      <c r="L84" t="s">
        <v>3383</v>
      </c>
      <c r="M84">
        <v>102</v>
      </c>
      <c r="N84">
        <v>20753.002</v>
      </c>
      <c r="O84" t="s">
        <v>207</v>
      </c>
      <c r="P84">
        <v>3</v>
      </c>
      <c r="Q84">
        <v>3</v>
      </c>
      <c r="R84">
        <v>95</v>
      </c>
      <c r="S84">
        <v>21512732</v>
      </c>
      <c r="T84">
        <v>104</v>
      </c>
      <c r="U84">
        <v>106</v>
      </c>
      <c r="V84">
        <v>20753.0018992847</v>
      </c>
      <c r="W84">
        <v>21512731.489181329</v>
      </c>
      <c r="X84">
        <v>917903.89599999995</v>
      </c>
      <c r="Y84">
        <f>VLOOKUP(AB84,'2000 Seattle Tracts'!$C$2:$Z$374,24,FALSE)</f>
        <v>1294675.3319999999</v>
      </c>
      <c r="Z84">
        <f t="shared" si="2"/>
        <v>0.70898384584344576</v>
      </c>
      <c r="AA84" t="s">
        <v>206</v>
      </c>
      <c r="AB84" t="str">
        <f t="shared" si="3"/>
        <v>Census Tract 7, King County, Washington</v>
      </c>
      <c r="AC84" s="3">
        <f>VLOOKUP($AB84,'2000 Seattle Tracts'!$C$2:$Y$374,AC$1,FALSE)*$Z84</f>
        <v>2969.9333302381942</v>
      </c>
      <c r="AD84" s="3">
        <f>VLOOKUP($AB84,'2000 Seattle Tracts'!$C$2:$Y$374,AD$1,FALSE)*$Z84</f>
        <v>2323.3400628289719</v>
      </c>
      <c r="AE84" s="3">
        <f>VLOOKUP($AB84,'2000 Seattle Tracts'!$C$2:$Y$374,AE$1,FALSE)*$Z84</f>
        <v>646.59326740922256</v>
      </c>
      <c r="AF84" s="3">
        <f>VLOOKUP($AB84,'2000 Seattle Tracts'!$C$2:$Y$374,AF$1,FALSE)*$Z84</f>
        <v>2969.9333302381942</v>
      </c>
      <c r="AG84" s="3">
        <f>VLOOKUP($AB84,'2000 Seattle Tracts'!$C$2:$Y$374,AG$1,FALSE)*$Z84</f>
        <v>2323.3400628289719</v>
      </c>
      <c r="AH84" s="3">
        <f>VLOOKUP($AB84,'2000 Seattle Tracts'!$C$2:$Y$374,AH$1,FALSE)*$Z84</f>
        <v>646.59326740922256</v>
      </c>
      <c r="AI84" s="3">
        <f>VLOOKUP($AB84,'2000 Seattle Tracts'!$C$2:$Y$374,AI$1,FALSE)*$Z84</f>
        <v>1808.6177907466301</v>
      </c>
      <c r="AJ84" s="3">
        <f>VLOOKUP($AB84,'2000 Seattle Tracts'!$C$2:$Y$374,AJ$1,FALSE)*$Z84</f>
        <v>131.16201148103747</v>
      </c>
      <c r="AK84" s="3">
        <f>VLOOKUP($AB84,'2000 Seattle Tracts'!$C$2:$Y$374,AK$1,FALSE)*$Z84</f>
        <v>43.956998442293639</v>
      </c>
      <c r="AL84" s="3">
        <f>VLOOKUP($AB84,'2000 Seattle Tracts'!$C$2:$Y$374,AL$1,FALSE)*$Z84</f>
        <v>7.0898384584344578</v>
      </c>
      <c r="AM84" s="3">
        <f>VLOOKUP($AB84,'2000 Seattle Tracts'!$C$2:$Y$374,AM$1,FALSE)*$Z84</f>
        <v>109.8924961057341</v>
      </c>
      <c r="AN84" s="3">
        <f>VLOOKUP($AB84,'2000 Seattle Tracts'!$C$2:$Y$374,AN$1,FALSE)*$Z84</f>
        <v>54.591756129945324</v>
      </c>
      <c r="AO84" s="3">
        <f>VLOOKUP($AB84,'2000 Seattle Tracts'!$C$2:$Y$374,AO$1,FALSE)*$Z84</f>
        <v>26.941386142050938</v>
      </c>
      <c r="AP84" s="3">
        <f>VLOOKUP($AB84,'2000 Seattle Tracts'!$C$2:$Y$374,AP$1,FALSE)*$Z84</f>
        <v>4.9628869209041202</v>
      </c>
      <c r="AQ84" s="3">
        <f>VLOOKUP($AB84,'2000 Seattle Tracts'!$C$2:$Y$374,AQ$1,FALSE)*$Z84</f>
        <v>140.37880147700227</v>
      </c>
      <c r="AR84" s="3">
        <f>VLOOKUP($AB84,'2000 Seattle Tracts'!$C$2:$Y$374,AR$1,FALSE)*$Z84</f>
        <v>357.32785830509664</v>
      </c>
      <c r="AS84" s="3">
        <f>VLOOKUP($AB84,'2000 Seattle Tracts'!$C$2:$Y$374,AS$1,FALSE)*$Z84</f>
        <v>4.2539030750606743</v>
      </c>
      <c r="AT84" s="3">
        <f>VLOOKUP($AB84,'2000 Seattle Tracts'!$C$2:$Y$374,AT$1,FALSE)*$Z84</f>
        <v>0</v>
      </c>
      <c r="AU84" s="3">
        <f>VLOOKUP($AB84,'2000 Seattle Tracts'!$C$2:$Y$374,AU$1,FALSE)*$Z84</f>
        <v>92.167899959647954</v>
      </c>
      <c r="AV84" s="3">
        <f>VLOOKUP($AB84,'2000 Seattle Tracts'!$C$2:$Y$374,AV$1,FALSE)*$Z84</f>
        <v>61.681594588379781</v>
      </c>
      <c r="AW84" s="3">
        <f>VLOOKUP($AB84,'2000 Seattle Tracts'!$C$2:$Y$374,AW$1,FALSE)*$Z84</f>
        <v>97.130786880552066</v>
      </c>
      <c r="AX84" s="3">
        <f>VLOOKUP($AB84,'2000 Seattle Tracts'!$C$2:$Y$374,AX$1,FALSE)*$Z84</f>
        <v>29.777321525424721</v>
      </c>
      <c r="AZ84" s="2" t="s">
        <v>200</v>
      </c>
      <c r="BA84">
        <v>1637.2314262971634</v>
      </c>
      <c r="BB84">
        <v>1467.1390226656613</v>
      </c>
      <c r="BC84">
        <v>170.09240363150201</v>
      </c>
      <c r="BD84">
        <v>1315.0867224496217</v>
      </c>
      <c r="BE84">
        <v>84.678036439925236</v>
      </c>
      <c r="BF84">
        <v>33.503049200144332</v>
      </c>
      <c r="BG84">
        <v>6.2588113890379526</v>
      </c>
      <c r="BH84">
        <v>21.721757173719954</v>
      </c>
      <c r="BI84">
        <v>0</v>
      </c>
      <c r="BJ84">
        <v>0</v>
      </c>
      <c r="BK84">
        <v>0</v>
      </c>
      <c r="BL84">
        <v>37.552868334227718</v>
      </c>
      <c r="BM84">
        <v>64.060775393682576</v>
      </c>
      <c r="BN84">
        <v>0</v>
      </c>
      <c r="BO84">
        <v>0</v>
      </c>
      <c r="BP84">
        <v>7.7314728923410003</v>
      </c>
      <c r="BQ84">
        <v>6.6269767648637146</v>
      </c>
      <c r="BR84">
        <v>51.543152615606672</v>
      </c>
      <c r="BS84">
        <v>8.4678036439925251</v>
      </c>
    </row>
    <row r="85" spans="1:71" x14ac:dyDescent="0.25">
      <c r="A85" t="s">
        <v>2917</v>
      </c>
      <c r="B85" t="s">
        <v>2918</v>
      </c>
      <c r="C85" t="s">
        <v>3125</v>
      </c>
      <c r="D85" t="s">
        <v>2602</v>
      </c>
      <c r="E85" t="s">
        <v>2603</v>
      </c>
      <c r="F85" t="s">
        <v>2604</v>
      </c>
      <c r="G85" t="s">
        <v>2920</v>
      </c>
      <c r="H85" t="s">
        <v>2921</v>
      </c>
      <c r="I85">
        <v>1294675</v>
      </c>
      <c r="J85">
        <v>0</v>
      </c>
      <c r="K85" t="s">
        <v>3126</v>
      </c>
      <c r="L85" t="s">
        <v>3383</v>
      </c>
      <c r="M85">
        <v>103</v>
      </c>
      <c r="N85">
        <v>31987.734</v>
      </c>
      <c r="O85" t="s">
        <v>207</v>
      </c>
      <c r="P85">
        <v>3</v>
      </c>
      <c r="Q85">
        <v>3</v>
      </c>
      <c r="R85">
        <v>95</v>
      </c>
      <c r="S85">
        <v>30977390</v>
      </c>
      <c r="T85">
        <v>105</v>
      </c>
      <c r="U85">
        <v>107</v>
      </c>
      <c r="V85">
        <v>31987.735324847999</v>
      </c>
      <c r="W85">
        <v>30977390.242551979</v>
      </c>
      <c r="X85">
        <v>282.58</v>
      </c>
      <c r="Y85">
        <f>VLOOKUP(AB85,'2000 Seattle Tracts'!$C$2:$Z$374,24,FALSE)</f>
        <v>1294675.3319999999</v>
      </c>
      <c r="Z85">
        <f t="shared" si="2"/>
        <v>2.1826321473467295E-4</v>
      </c>
      <c r="AA85" t="s">
        <v>208</v>
      </c>
      <c r="AB85" t="str">
        <f t="shared" si="3"/>
        <v>Census Tract 7, King County, Washington</v>
      </c>
      <c r="AC85" s="3">
        <f>VLOOKUP($AB85,'2000 Seattle Tracts'!$C$2:$Y$374,AC$1,FALSE)*$Z85</f>
        <v>0.91430460652354495</v>
      </c>
      <c r="AD85" s="3">
        <f>VLOOKUP($AB85,'2000 Seattle Tracts'!$C$2:$Y$374,AD$1,FALSE)*$Z85</f>
        <v>0.71524855468552329</v>
      </c>
      <c r="AE85" s="3">
        <f>VLOOKUP($AB85,'2000 Seattle Tracts'!$C$2:$Y$374,AE$1,FALSE)*$Z85</f>
        <v>0.19905605183802172</v>
      </c>
      <c r="AF85" s="3">
        <f>VLOOKUP($AB85,'2000 Seattle Tracts'!$C$2:$Y$374,AF$1,FALSE)*$Z85</f>
        <v>0.91430460652354495</v>
      </c>
      <c r="AG85" s="3">
        <f>VLOOKUP($AB85,'2000 Seattle Tracts'!$C$2:$Y$374,AG$1,FALSE)*$Z85</f>
        <v>0.71524855468552329</v>
      </c>
      <c r="AH85" s="3">
        <f>VLOOKUP($AB85,'2000 Seattle Tracts'!$C$2:$Y$374,AH$1,FALSE)*$Z85</f>
        <v>0.19905605183802172</v>
      </c>
      <c r="AI85" s="3">
        <f>VLOOKUP($AB85,'2000 Seattle Tracts'!$C$2:$Y$374,AI$1,FALSE)*$Z85</f>
        <v>0.55678946078815073</v>
      </c>
      <c r="AJ85" s="3">
        <f>VLOOKUP($AB85,'2000 Seattle Tracts'!$C$2:$Y$374,AJ$1,FALSE)*$Z85</f>
        <v>4.0378694725914495E-2</v>
      </c>
      <c r="AK85" s="3">
        <f>VLOOKUP($AB85,'2000 Seattle Tracts'!$C$2:$Y$374,AK$1,FALSE)*$Z85</f>
        <v>1.3532319313549724E-2</v>
      </c>
      <c r="AL85" s="3">
        <f>VLOOKUP($AB85,'2000 Seattle Tracts'!$C$2:$Y$374,AL$1,FALSE)*$Z85</f>
        <v>2.1826321473467293E-3</v>
      </c>
      <c r="AM85" s="3">
        <f>VLOOKUP($AB85,'2000 Seattle Tracts'!$C$2:$Y$374,AM$1,FALSE)*$Z85</f>
        <v>3.3830798283874308E-2</v>
      </c>
      <c r="AN85" s="3">
        <f>VLOOKUP($AB85,'2000 Seattle Tracts'!$C$2:$Y$374,AN$1,FALSE)*$Z85</f>
        <v>1.6806267534569819E-2</v>
      </c>
      <c r="AO85" s="3">
        <f>VLOOKUP($AB85,'2000 Seattle Tracts'!$C$2:$Y$374,AO$1,FALSE)*$Z85</f>
        <v>8.2940021599175722E-3</v>
      </c>
      <c r="AP85" s="3">
        <f>VLOOKUP($AB85,'2000 Seattle Tracts'!$C$2:$Y$374,AP$1,FALSE)*$Z85</f>
        <v>1.5278425031427106E-3</v>
      </c>
      <c r="AQ85" s="3">
        <f>VLOOKUP($AB85,'2000 Seattle Tracts'!$C$2:$Y$374,AQ$1,FALSE)*$Z85</f>
        <v>4.3216116517465243E-2</v>
      </c>
      <c r="AR85" s="3">
        <f>VLOOKUP($AB85,'2000 Seattle Tracts'!$C$2:$Y$374,AR$1,FALSE)*$Z85</f>
        <v>0.11000466022627517</v>
      </c>
      <c r="AS85" s="3">
        <f>VLOOKUP($AB85,'2000 Seattle Tracts'!$C$2:$Y$374,AS$1,FALSE)*$Z85</f>
        <v>1.3095792884080376E-3</v>
      </c>
      <c r="AT85" s="3">
        <f>VLOOKUP($AB85,'2000 Seattle Tracts'!$C$2:$Y$374,AT$1,FALSE)*$Z85</f>
        <v>0</v>
      </c>
      <c r="AU85" s="3">
        <f>VLOOKUP($AB85,'2000 Seattle Tracts'!$C$2:$Y$374,AU$1,FALSE)*$Z85</f>
        <v>2.8374217915507483E-2</v>
      </c>
      <c r="AV85" s="3">
        <f>VLOOKUP($AB85,'2000 Seattle Tracts'!$C$2:$Y$374,AV$1,FALSE)*$Z85</f>
        <v>1.8988899681916548E-2</v>
      </c>
      <c r="AW85" s="3">
        <f>VLOOKUP($AB85,'2000 Seattle Tracts'!$C$2:$Y$374,AW$1,FALSE)*$Z85</f>
        <v>2.9902060418650196E-2</v>
      </c>
      <c r="AX85" s="3">
        <f>VLOOKUP($AB85,'2000 Seattle Tracts'!$C$2:$Y$374,AX$1,FALSE)*$Z85</f>
        <v>9.1670550188562641E-3</v>
      </c>
      <c r="AZ85" s="2" t="s">
        <v>144</v>
      </c>
      <c r="BA85">
        <v>7335.5324754290714</v>
      </c>
      <c r="BB85">
        <v>6324.6439706612464</v>
      </c>
      <c r="BC85">
        <v>1010.888504767824</v>
      </c>
      <c r="BD85">
        <v>5602.4753816232369</v>
      </c>
      <c r="BE85">
        <v>513.29974820408529</v>
      </c>
      <c r="BF85">
        <v>93.034932119667957</v>
      </c>
      <c r="BG85">
        <v>47.108870305698744</v>
      </c>
      <c r="BH85">
        <v>134.20432310481107</v>
      </c>
      <c r="BI85">
        <v>29.452729942279632</v>
      </c>
      <c r="BJ85">
        <v>46.450017480757936</v>
      </c>
      <c r="BK85">
        <v>9.2456854744756942</v>
      </c>
      <c r="BL85">
        <v>173.13520768954476</v>
      </c>
      <c r="BM85">
        <v>341.08615879027496</v>
      </c>
      <c r="BN85">
        <v>5.8889337669700303</v>
      </c>
      <c r="BO85">
        <v>39.83727183369021</v>
      </c>
      <c r="BP85">
        <v>91.805170331099646</v>
      </c>
      <c r="BQ85">
        <v>15.668980469700971</v>
      </c>
      <c r="BR85">
        <v>177.65000454515979</v>
      </c>
      <c r="BS85">
        <v>15.189059747618579</v>
      </c>
    </row>
    <row r="86" spans="1:71" x14ac:dyDescent="0.25">
      <c r="A86" t="s">
        <v>2917</v>
      </c>
      <c r="B86" t="s">
        <v>2918</v>
      </c>
      <c r="C86" t="s">
        <v>3125</v>
      </c>
      <c r="D86" t="s">
        <v>2602</v>
      </c>
      <c r="E86" t="s">
        <v>2603</v>
      </c>
      <c r="F86" t="s">
        <v>2604</v>
      </c>
      <c r="G86" t="s">
        <v>2920</v>
      </c>
      <c r="H86" t="s">
        <v>2921</v>
      </c>
      <c r="I86">
        <v>1294675</v>
      </c>
      <c r="J86">
        <v>0</v>
      </c>
      <c r="K86" t="s">
        <v>3126</v>
      </c>
      <c r="L86" t="s">
        <v>3383</v>
      </c>
      <c r="M86">
        <v>104</v>
      </c>
      <c r="N86">
        <v>18770.280999999999</v>
      </c>
      <c r="O86" t="s">
        <v>207</v>
      </c>
      <c r="P86">
        <v>3</v>
      </c>
      <c r="Q86">
        <v>3</v>
      </c>
      <c r="R86">
        <v>24</v>
      </c>
      <c r="S86">
        <v>17034848</v>
      </c>
      <c r="T86">
        <v>106</v>
      </c>
      <c r="U86">
        <v>108</v>
      </c>
      <c r="V86">
        <v>18770.28203242151</v>
      </c>
      <c r="W86">
        <v>17034848.779124379</v>
      </c>
      <c r="X86">
        <v>219622.77299999999</v>
      </c>
      <c r="Y86">
        <f>VLOOKUP(AB86,'2000 Seattle Tracts'!$C$2:$Z$374,24,FALSE)</f>
        <v>1294675.3319999999</v>
      </c>
      <c r="Z86">
        <f t="shared" si="2"/>
        <v>0.1696354040056739</v>
      </c>
      <c r="AA86" t="s">
        <v>209</v>
      </c>
      <c r="AB86" t="str">
        <f t="shared" si="3"/>
        <v>Census Tract 7, King County, Washington</v>
      </c>
      <c r="AC86" s="3">
        <f>VLOOKUP($AB86,'2000 Seattle Tracts'!$C$2:$Y$374,AC$1,FALSE)*$Z86</f>
        <v>710.60270737976793</v>
      </c>
      <c r="AD86" s="3">
        <f>VLOOKUP($AB86,'2000 Seattle Tracts'!$C$2:$Y$374,AD$1,FALSE)*$Z86</f>
        <v>555.89521892659332</v>
      </c>
      <c r="AE86" s="3">
        <f>VLOOKUP($AB86,'2000 Seattle Tracts'!$C$2:$Y$374,AE$1,FALSE)*$Z86</f>
        <v>154.70748845317459</v>
      </c>
      <c r="AF86" s="3">
        <f>VLOOKUP($AB86,'2000 Seattle Tracts'!$C$2:$Y$374,AF$1,FALSE)*$Z86</f>
        <v>710.60270737976793</v>
      </c>
      <c r="AG86" s="3">
        <f>VLOOKUP($AB86,'2000 Seattle Tracts'!$C$2:$Y$374,AG$1,FALSE)*$Z86</f>
        <v>555.89521892659332</v>
      </c>
      <c r="AH86" s="3">
        <f>VLOOKUP($AB86,'2000 Seattle Tracts'!$C$2:$Y$374,AH$1,FALSE)*$Z86</f>
        <v>154.70748845317459</v>
      </c>
      <c r="AI86" s="3">
        <f>VLOOKUP($AB86,'2000 Seattle Tracts'!$C$2:$Y$374,AI$1,FALSE)*$Z86</f>
        <v>432.73991561847413</v>
      </c>
      <c r="AJ86" s="3">
        <f>VLOOKUP($AB86,'2000 Seattle Tracts'!$C$2:$Y$374,AJ$1,FALSE)*$Z86</f>
        <v>31.382549741049672</v>
      </c>
      <c r="AK86" s="3">
        <f>VLOOKUP($AB86,'2000 Seattle Tracts'!$C$2:$Y$374,AK$1,FALSE)*$Z86</f>
        <v>10.517395048351782</v>
      </c>
      <c r="AL86" s="3">
        <f>VLOOKUP($AB86,'2000 Seattle Tracts'!$C$2:$Y$374,AL$1,FALSE)*$Z86</f>
        <v>1.696354040056739</v>
      </c>
      <c r="AM86" s="3">
        <f>VLOOKUP($AB86,'2000 Seattle Tracts'!$C$2:$Y$374,AM$1,FALSE)*$Z86</f>
        <v>26.293487620879453</v>
      </c>
      <c r="AN86" s="3">
        <f>VLOOKUP($AB86,'2000 Seattle Tracts'!$C$2:$Y$374,AN$1,FALSE)*$Z86</f>
        <v>13.061926108436889</v>
      </c>
      <c r="AO86" s="3">
        <f>VLOOKUP($AB86,'2000 Seattle Tracts'!$C$2:$Y$374,AO$1,FALSE)*$Z86</f>
        <v>6.4461453522156082</v>
      </c>
      <c r="AP86" s="3">
        <f>VLOOKUP($AB86,'2000 Seattle Tracts'!$C$2:$Y$374,AP$1,FALSE)*$Z86</f>
        <v>1.1874478280397174</v>
      </c>
      <c r="AQ86" s="3">
        <f>VLOOKUP($AB86,'2000 Seattle Tracts'!$C$2:$Y$374,AQ$1,FALSE)*$Z86</f>
        <v>33.587809993123429</v>
      </c>
      <c r="AR86" s="3">
        <f>VLOOKUP($AB86,'2000 Seattle Tracts'!$C$2:$Y$374,AR$1,FALSE)*$Z86</f>
        <v>85.496243618859637</v>
      </c>
      <c r="AS86" s="3">
        <f>VLOOKUP($AB86,'2000 Seattle Tracts'!$C$2:$Y$374,AS$1,FALSE)*$Z86</f>
        <v>1.0178124240340434</v>
      </c>
      <c r="AT86" s="3">
        <f>VLOOKUP($AB86,'2000 Seattle Tracts'!$C$2:$Y$374,AT$1,FALSE)*$Z86</f>
        <v>0</v>
      </c>
      <c r="AU86" s="3">
        <f>VLOOKUP($AB86,'2000 Seattle Tracts'!$C$2:$Y$374,AU$1,FALSE)*$Z86</f>
        <v>22.052602520737608</v>
      </c>
      <c r="AV86" s="3">
        <f>VLOOKUP($AB86,'2000 Seattle Tracts'!$C$2:$Y$374,AV$1,FALSE)*$Z86</f>
        <v>14.758280148493629</v>
      </c>
      <c r="AW86" s="3">
        <f>VLOOKUP($AB86,'2000 Seattle Tracts'!$C$2:$Y$374,AW$1,FALSE)*$Z86</f>
        <v>23.240050348777324</v>
      </c>
      <c r="AX86" s="3">
        <f>VLOOKUP($AB86,'2000 Seattle Tracts'!$C$2:$Y$374,AX$1,FALSE)*$Z86</f>
        <v>7.1246869682383034</v>
      </c>
      <c r="AZ86" s="2" t="s">
        <v>147</v>
      </c>
      <c r="BA86">
        <v>2771.062303608594</v>
      </c>
      <c r="BB86">
        <v>2469.6332892267787</v>
      </c>
      <c r="BC86">
        <v>301.42901438181514</v>
      </c>
      <c r="BD86">
        <v>2195.7411841467756</v>
      </c>
      <c r="BE86">
        <v>163.27734827090515</v>
      </c>
      <c r="BF86">
        <v>40.999104300527051</v>
      </c>
      <c r="BG86">
        <v>24.475439527904896</v>
      </c>
      <c r="BH86">
        <v>44.47214905376461</v>
      </c>
      <c r="BI86">
        <v>7.7221145679641197</v>
      </c>
      <c r="BJ86">
        <v>17.152881942604921</v>
      </c>
      <c r="BK86">
        <v>1.4114000314640305</v>
      </c>
      <c r="BL86">
        <v>56.350545892847187</v>
      </c>
      <c r="BM86">
        <v>87.233262173100556</v>
      </c>
      <c r="BN86">
        <v>3.7201931750352166</v>
      </c>
      <c r="BO86">
        <v>7.219230422739817</v>
      </c>
      <c r="BP86">
        <v>18.261873945094933</v>
      </c>
      <c r="BQ86">
        <v>9.0168428239998608</v>
      </c>
      <c r="BR86">
        <v>92.93535677012926</v>
      </c>
      <c r="BS86">
        <v>1.0733765637366921</v>
      </c>
    </row>
    <row r="87" spans="1:71" x14ac:dyDescent="0.25">
      <c r="A87" t="s">
        <v>2917</v>
      </c>
      <c r="B87" t="s">
        <v>2918</v>
      </c>
      <c r="C87" t="s">
        <v>3125</v>
      </c>
      <c r="D87" t="s">
        <v>2602</v>
      </c>
      <c r="E87" t="s">
        <v>2603</v>
      </c>
      <c r="F87" t="s">
        <v>2604</v>
      </c>
      <c r="G87" t="s">
        <v>2920</v>
      </c>
      <c r="H87" t="s">
        <v>2921</v>
      </c>
      <c r="I87">
        <v>1294675</v>
      </c>
      <c r="J87">
        <v>0</v>
      </c>
      <c r="K87" t="s">
        <v>3126</v>
      </c>
      <c r="L87" t="s">
        <v>3383</v>
      </c>
      <c r="M87">
        <v>105</v>
      </c>
      <c r="N87">
        <v>19993.815999999999</v>
      </c>
      <c r="O87" t="s">
        <v>207</v>
      </c>
      <c r="P87">
        <v>3</v>
      </c>
      <c r="Q87">
        <v>3</v>
      </c>
      <c r="R87">
        <v>9</v>
      </c>
      <c r="S87">
        <v>25836742</v>
      </c>
      <c r="T87">
        <v>107</v>
      </c>
      <c r="U87">
        <v>104</v>
      </c>
      <c r="V87">
        <v>19993.816057076321</v>
      </c>
      <c r="W87">
        <v>25836742.163973771</v>
      </c>
      <c r="X87">
        <v>440.50200000000001</v>
      </c>
      <c r="Y87">
        <f>VLOOKUP(AB87,'2000 Seattle Tracts'!$C$2:$Z$374,24,FALSE)</f>
        <v>1294675.3319999999</v>
      </c>
      <c r="Z87">
        <f t="shared" si="2"/>
        <v>3.402412860678495E-4</v>
      </c>
      <c r="AA87" t="s">
        <v>210</v>
      </c>
      <c r="AB87" t="str">
        <f t="shared" si="3"/>
        <v>Census Tract 7, King County, Washington</v>
      </c>
      <c r="AC87" s="3">
        <f>VLOOKUP($AB87,'2000 Seattle Tracts'!$C$2:$Y$374,AC$1,FALSE)*$Z87</f>
        <v>1.4252707473382216</v>
      </c>
      <c r="AD87" s="3">
        <f>VLOOKUP($AB87,'2000 Seattle Tracts'!$C$2:$Y$374,AD$1,FALSE)*$Z87</f>
        <v>1.1149706944443427</v>
      </c>
      <c r="AE87" s="3">
        <f>VLOOKUP($AB87,'2000 Seattle Tracts'!$C$2:$Y$374,AE$1,FALSE)*$Z87</f>
        <v>0.31030005289387874</v>
      </c>
      <c r="AF87" s="3">
        <f>VLOOKUP($AB87,'2000 Seattle Tracts'!$C$2:$Y$374,AF$1,FALSE)*$Z87</f>
        <v>1.4252707473382216</v>
      </c>
      <c r="AG87" s="3">
        <f>VLOOKUP($AB87,'2000 Seattle Tracts'!$C$2:$Y$374,AG$1,FALSE)*$Z87</f>
        <v>1.1149706944443427</v>
      </c>
      <c r="AH87" s="3">
        <f>VLOOKUP($AB87,'2000 Seattle Tracts'!$C$2:$Y$374,AH$1,FALSE)*$Z87</f>
        <v>0.31030005289387874</v>
      </c>
      <c r="AI87" s="3">
        <f>VLOOKUP($AB87,'2000 Seattle Tracts'!$C$2:$Y$374,AI$1,FALSE)*$Z87</f>
        <v>0.86795552075908411</v>
      </c>
      <c r="AJ87" s="3">
        <f>VLOOKUP($AB87,'2000 Seattle Tracts'!$C$2:$Y$374,AJ$1,FALSE)*$Z87</f>
        <v>6.2944637922552157E-2</v>
      </c>
      <c r="AK87" s="3">
        <f>VLOOKUP($AB87,'2000 Seattle Tracts'!$C$2:$Y$374,AK$1,FALSE)*$Z87</f>
        <v>2.1094959736206668E-2</v>
      </c>
      <c r="AL87" s="3">
        <f>VLOOKUP($AB87,'2000 Seattle Tracts'!$C$2:$Y$374,AL$1,FALSE)*$Z87</f>
        <v>3.4024128606784951E-3</v>
      </c>
      <c r="AM87" s="3">
        <f>VLOOKUP($AB87,'2000 Seattle Tracts'!$C$2:$Y$374,AM$1,FALSE)*$Z87</f>
        <v>5.2737399340516675E-2</v>
      </c>
      <c r="AN87" s="3">
        <f>VLOOKUP($AB87,'2000 Seattle Tracts'!$C$2:$Y$374,AN$1,FALSE)*$Z87</f>
        <v>2.619857902722441E-2</v>
      </c>
      <c r="AO87" s="3">
        <f>VLOOKUP($AB87,'2000 Seattle Tracts'!$C$2:$Y$374,AO$1,FALSE)*$Z87</f>
        <v>1.2929168870578281E-2</v>
      </c>
      <c r="AP87" s="3">
        <f>VLOOKUP($AB87,'2000 Seattle Tracts'!$C$2:$Y$374,AP$1,FALSE)*$Z87</f>
        <v>2.3816890024749467E-3</v>
      </c>
      <c r="AQ87" s="3">
        <f>VLOOKUP($AB87,'2000 Seattle Tracts'!$C$2:$Y$374,AQ$1,FALSE)*$Z87</f>
        <v>6.7367774641434203E-2</v>
      </c>
      <c r="AR87" s="3">
        <f>VLOOKUP($AB87,'2000 Seattle Tracts'!$C$2:$Y$374,AR$1,FALSE)*$Z87</f>
        <v>0.17148160817819616</v>
      </c>
      <c r="AS87" s="3">
        <f>VLOOKUP($AB87,'2000 Seattle Tracts'!$C$2:$Y$374,AS$1,FALSE)*$Z87</f>
        <v>2.0414477164070969E-3</v>
      </c>
      <c r="AT87" s="3">
        <f>VLOOKUP($AB87,'2000 Seattle Tracts'!$C$2:$Y$374,AT$1,FALSE)*$Z87</f>
        <v>0</v>
      </c>
      <c r="AU87" s="3">
        <f>VLOOKUP($AB87,'2000 Seattle Tracts'!$C$2:$Y$374,AU$1,FALSE)*$Z87</f>
        <v>4.4231367188820432E-2</v>
      </c>
      <c r="AV87" s="3">
        <f>VLOOKUP($AB87,'2000 Seattle Tracts'!$C$2:$Y$374,AV$1,FALSE)*$Z87</f>
        <v>2.9600991887902908E-2</v>
      </c>
      <c r="AW87" s="3">
        <f>VLOOKUP($AB87,'2000 Seattle Tracts'!$C$2:$Y$374,AW$1,FALSE)*$Z87</f>
        <v>4.6613056191295382E-2</v>
      </c>
      <c r="AX87" s="3">
        <f>VLOOKUP($AB87,'2000 Seattle Tracts'!$C$2:$Y$374,AX$1,FALSE)*$Z87</f>
        <v>1.4290134014849678E-2</v>
      </c>
      <c r="AZ87" s="2" t="s">
        <v>146</v>
      </c>
      <c r="BA87">
        <v>5139.0346607638157</v>
      </c>
      <c r="BB87">
        <v>4662.1630154249096</v>
      </c>
      <c r="BC87">
        <v>476.8716453389053</v>
      </c>
      <c r="BD87">
        <v>4271.9185459061709</v>
      </c>
      <c r="BE87">
        <v>341.55134828373434</v>
      </c>
      <c r="BF87">
        <v>48.677197524748685</v>
      </c>
      <c r="BG87">
        <v>5.7769324099105583</v>
      </c>
      <c r="BH87">
        <v>46.20514136498609</v>
      </c>
      <c r="BI87">
        <v>4.9519929312334066</v>
      </c>
      <c r="BJ87">
        <v>18.152811945300627</v>
      </c>
      <c r="BK87">
        <v>8.9367761639505235E-4</v>
      </c>
      <c r="BL87">
        <v>87.453333950138756</v>
      </c>
      <c r="BM87">
        <v>96.538879807502212</v>
      </c>
      <c r="BN87">
        <v>5.7751450546777683</v>
      </c>
      <c r="BO87">
        <v>3.1684933672188218E-3</v>
      </c>
      <c r="BP87">
        <v>8.2562192340239893</v>
      </c>
      <c r="BQ87">
        <v>26.398063317668857</v>
      </c>
      <c r="BR87">
        <v>175.72462044486286</v>
      </c>
      <c r="BS87">
        <v>1.6503664178723372</v>
      </c>
    </row>
    <row r="88" spans="1:71" x14ac:dyDescent="0.25">
      <c r="A88" t="s">
        <v>2917</v>
      </c>
      <c r="B88" t="s">
        <v>2918</v>
      </c>
      <c r="C88" t="s">
        <v>3125</v>
      </c>
      <c r="D88" t="s">
        <v>2602</v>
      </c>
      <c r="E88" t="s">
        <v>2603</v>
      </c>
      <c r="F88" t="s">
        <v>2604</v>
      </c>
      <c r="G88" t="s">
        <v>2920</v>
      </c>
      <c r="H88" t="s">
        <v>2921</v>
      </c>
      <c r="I88">
        <v>1294675</v>
      </c>
      <c r="J88">
        <v>0</v>
      </c>
      <c r="K88" t="s">
        <v>3126</v>
      </c>
      <c r="L88" t="s">
        <v>3383</v>
      </c>
      <c r="M88">
        <v>106</v>
      </c>
      <c r="N88">
        <v>22788.76</v>
      </c>
      <c r="O88" t="s">
        <v>207</v>
      </c>
      <c r="P88">
        <v>3</v>
      </c>
      <c r="Q88">
        <v>3</v>
      </c>
      <c r="R88">
        <v>19</v>
      </c>
      <c r="S88">
        <v>20441486</v>
      </c>
      <c r="T88">
        <v>108</v>
      </c>
      <c r="U88">
        <v>105</v>
      </c>
      <c r="V88">
        <v>22788.760382662011</v>
      </c>
      <c r="W88">
        <v>20441485.84874605</v>
      </c>
      <c r="X88">
        <v>155947.155</v>
      </c>
      <c r="Y88">
        <f>VLOOKUP(AB88,'2000 Seattle Tracts'!$C$2:$Z$374,24,FALSE)</f>
        <v>1294675.3319999999</v>
      </c>
      <c r="Z88">
        <f t="shared" si="2"/>
        <v>0.12045271207808879</v>
      </c>
      <c r="AA88" t="s">
        <v>211</v>
      </c>
      <c r="AB88" t="str">
        <f t="shared" si="3"/>
        <v>Census Tract 7, King County, Washington</v>
      </c>
      <c r="AC88" s="3">
        <f>VLOOKUP($AB88,'2000 Seattle Tracts'!$C$2:$Y$374,AC$1,FALSE)*$Z88</f>
        <v>504.57641089511395</v>
      </c>
      <c r="AD88" s="3">
        <f>VLOOKUP($AB88,'2000 Seattle Tracts'!$C$2:$Y$374,AD$1,FALSE)*$Z88</f>
        <v>394.72353747989695</v>
      </c>
      <c r="AE88" s="3">
        <f>VLOOKUP($AB88,'2000 Seattle Tracts'!$C$2:$Y$374,AE$1,FALSE)*$Z88</f>
        <v>109.85287341521698</v>
      </c>
      <c r="AF88" s="3">
        <f>VLOOKUP($AB88,'2000 Seattle Tracts'!$C$2:$Y$374,AF$1,FALSE)*$Z88</f>
        <v>504.57641089511395</v>
      </c>
      <c r="AG88" s="3">
        <f>VLOOKUP($AB88,'2000 Seattle Tracts'!$C$2:$Y$374,AG$1,FALSE)*$Z88</f>
        <v>394.72353747989695</v>
      </c>
      <c r="AH88" s="3">
        <f>VLOOKUP($AB88,'2000 Seattle Tracts'!$C$2:$Y$374,AH$1,FALSE)*$Z88</f>
        <v>109.85287341521698</v>
      </c>
      <c r="AI88" s="3">
        <f>VLOOKUP($AB88,'2000 Seattle Tracts'!$C$2:$Y$374,AI$1,FALSE)*$Z88</f>
        <v>307.27486851120449</v>
      </c>
      <c r="AJ88" s="3">
        <f>VLOOKUP($AB88,'2000 Seattle Tracts'!$C$2:$Y$374,AJ$1,FALSE)*$Z88</f>
        <v>22.283751734446426</v>
      </c>
      <c r="AK88" s="3">
        <f>VLOOKUP($AB88,'2000 Seattle Tracts'!$C$2:$Y$374,AK$1,FALSE)*$Z88</f>
        <v>7.468068148841505</v>
      </c>
      <c r="AL88" s="3">
        <f>VLOOKUP($AB88,'2000 Seattle Tracts'!$C$2:$Y$374,AL$1,FALSE)*$Z88</f>
        <v>1.2045271207808879</v>
      </c>
      <c r="AM88" s="3">
        <f>VLOOKUP($AB88,'2000 Seattle Tracts'!$C$2:$Y$374,AM$1,FALSE)*$Z88</f>
        <v>18.670170372103762</v>
      </c>
      <c r="AN88" s="3">
        <f>VLOOKUP($AB88,'2000 Seattle Tracts'!$C$2:$Y$374,AN$1,FALSE)*$Z88</f>
        <v>9.2748588300128372</v>
      </c>
      <c r="AO88" s="3">
        <f>VLOOKUP($AB88,'2000 Seattle Tracts'!$C$2:$Y$374,AO$1,FALSE)*$Z88</f>
        <v>4.577203058967374</v>
      </c>
      <c r="AP88" s="3">
        <f>VLOOKUP($AB88,'2000 Seattle Tracts'!$C$2:$Y$374,AP$1,FALSE)*$Z88</f>
        <v>0.84316898454662148</v>
      </c>
      <c r="AQ88" s="3">
        <f>VLOOKUP($AB88,'2000 Seattle Tracts'!$C$2:$Y$374,AQ$1,FALSE)*$Z88</f>
        <v>23.84963699146158</v>
      </c>
      <c r="AR88" s="3">
        <f>VLOOKUP($AB88,'2000 Seattle Tracts'!$C$2:$Y$374,AR$1,FALSE)*$Z88</f>
        <v>60.708166887356747</v>
      </c>
      <c r="AS88" s="3">
        <f>VLOOKUP($AB88,'2000 Seattle Tracts'!$C$2:$Y$374,AS$1,FALSE)*$Z88</f>
        <v>0.72271627246853276</v>
      </c>
      <c r="AT88" s="3">
        <f>VLOOKUP($AB88,'2000 Seattle Tracts'!$C$2:$Y$374,AT$1,FALSE)*$Z88</f>
        <v>0</v>
      </c>
      <c r="AU88" s="3">
        <f>VLOOKUP($AB88,'2000 Seattle Tracts'!$C$2:$Y$374,AU$1,FALSE)*$Z88</f>
        <v>15.658852570151543</v>
      </c>
      <c r="AV88" s="3">
        <f>VLOOKUP($AB88,'2000 Seattle Tracts'!$C$2:$Y$374,AV$1,FALSE)*$Z88</f>
        <v>10.479385950793725</v>
      </c>
      <c r="AW88" s="3">
        <f>VLOOKUP($AB88,'2000 Seattle Tracts'!$C$2:$Y$374,AW$1,FALSE)*$Z88</f>
        <v>16.502021554698164</v>
      </c>
      <c r="AX88" s="3">
        <f>VLOOKUP($AB88,'2000 Seattle Tracts'!$C$2:$Y$374,AX$1,FALSE)*$Z88</f>
        <v>5.0590139072797289</v>
      </c>
      <c r="AZ88" s="2" t="s">
        <v>123</v>
      </c>
      <c r="BA88">
        <v>14601.24106867612</v>
      </c>
      <c r="BB88">
        <v>12708.25928061442</v>
      </c>
      <c r="BC88">
        <v>1892.9817880616986</v>
      </c>
      <c r="BD88">
        <v>11057.769416524921</v>
      </c>
      <c r="BE88">
        <v>1075.8106474357314</v>
      </c>
      <c r="BF88">
        <v>219.61324688068251</v>
      </c>
      <c r="BG88">
        <v>96.527484257660106</v>
      </c>
      <c r="BH88">
        <v>216.95763510776104</v>
      </c>
      <c r="BI88">
        <v>28.15664282530377</v>
      </c>
      <c r="BJ88">
        <v>68.815837218532991</v>
      </c>
      <c r="BK88">
        <v>2.4660817351115378</v>
      </c>
      <c r="BL88">
        <v>434.93954706586925</v>
      </c>
      <c r="BM88">
        <v>554.36926418449616</v>
      </c>
      <c r="BN88">
        <v>69.230058796755628</v>
      </c>
      <c r="BO88">
        <v>24.461113815515453</v>
      </c>
      <c r="BP88">
        <v>111.25891199713197</v>
      </c>
      <c r="BQ88">
        <v>30.604000912682753</v>
      </c>
      <c r="BR88">
        <v>529.6746270227643</v>
      </c>
      <c r="BS88">
        <v>80.586552895197343</v>
      </c>
    </row>
    <row r="89" spans="1:71" x14ac:dyDescent="0.25">
      <c r="A89" t="s">
        <v>2917</v>
      </c>
      <c r="B89" t="s">
        <v>2918</v>
      </c>
      <c r="C89" t="s">
        <v>3125</v>
      </c>
      <c r="D89" t="s">
        <v>2602</v>
      </c>
      <c r="E89" t="s">
        <v>2603</v>
      </c>
      <c r="F89" t="s">
        <v>2604</v>
      </c>
      <c r="G89" t="s">
        <v>2920</v>
      </c>
      <c r="H89" t="s">
        <v>2921</v>
      </c>
      <c r="I89">
        <v>1294675</v>
      </c>
      <c r="J89">
        <v>0</v>
      </c>
      <c r="K89" t="s">
        <v>3126</v>
      </c>
      <c r="L89" t="s">
        <v>3383</v>
      </c>
      <c r="M89">
        <v>113</v>
      </c>
      <c r="N89">
        <v>26171.271000000001</v>
      </c>
      <c r="O89" t="s">
        <v>215</v>
      </c>
      <c r="P89">
        <v>2</v>
      </c>
      <c r="Q89">
        <v>10</v>
      </c>
      <c r="R89">
        <v>81</v>
      </c>
      <c r="S89">
        <v>29438850</v>
      </c>
      <c r="T89">
        <v>115</v>
      </c>
      <c r="U89">
        <v>103</v>
      </c>
      <c r="V89">
        <v>26171.27176081029</v>
      </c>
      <c r="W89">
        <v>29438850.877074279</v>
      </c>
      <c r="X89">
        <v>478.428</v>
      </c>
      <c r="Y89">
        <f>VLOOKUP(AB89,'2000 Seattle Tracts'!$C$2:$Z$374,24,FALSE)</f>
        <v>1294675.3319999999</v>
      </c>
      <c r="Z89">
        <f t="shared" si="2"/>
        <v>3.6953511677783322E-4</v>
      </c>
      <c r="AA89" t="s">
        <v>216</v>
      </c>
      <c r="AB89" t="str">
        <f t="shared" si="3"/>
        <v>Census Tract 7, King County, Washington</v>
      </c>
      <c r="AC89" s="3">
        <f>VLOOKUP($AB89,'2000 Seattle Tracts'!$C$2:$Y$374,AC$1,FALSE)*$Z89</f>
        <v>1.5479826041823435</v>
      </c>
      <c r="AD89" s="3">
        <f>VLOOKUP($AB89,'2000 Seattle Tracts'!$C$2:$Y$374,AD$1,FALSE)*$Z89</f>
        <v>1.2109665776809595</v>
      </c>
      <c r="AE89" s="3">
        <f>VLOOKUP($AB89,'2000 Seattle Tracts'!$C$2:$Y$374,AE$1,FALSE)*$Z89</f>
        <v>0.3370160265013839</v>
      </c>
      <c r="AF89" s="3">
        <f>VLOOKUP($AB89,'2000 Seattle Tracts'!$C$2:$Y$374,AF$1,FALSE)*$Z89</f>
        <v>1.5479826041823435</v>
      </c>
      <c r="AG89" s="3">
        <f>VLOOKUP($AB89,'2000 Seattle Tracts'!$C$2:$Y$374,AG$1,FALSE)*$Z89</f>
        <v>1.2109665776809595</v>
      </c>
      <c r="AH89" s="3">
        <f>VLOOKUP($AB89,'2000 Seattle Tracts'!$C$2:$Y$374,AH$1,FALSE)*$Z89</f>
        <v>0.3370160265013839</v>
      </c>
      <c r="AI89" s="3">
        <f>VLOOKUP($AB89,'2000 Seattle Tracts'!$C$2:$Y$374,AI$1,FALSE)*$Z89</f>
        <v>0.94268408290025252</v>
      </c>
      <c r="AJ89" s="3">
        <f>VLOOKUP($AB89,'2000 Seattle Tracts'!$C$2:$Y$374,AJ$1,FALSE)*$Z89</f>
        <v>6.8363996603899149E-2</v>
      </c>
      <c r="AK89" s="3">
        <f>VLOOKUP($AB89,'2000 Seattle Tracts'!$C$2:$Y$374,AK$1,FALSE)*$Z89</f>
        <v>2.291117724022566E-2</v>
      </c>
      <c r="AL89" s="3">
        <f>VLOOKUP($AB89,'2000 Seattle Tracts'!$C$2:$Y$374,AL$1,FALSE)*$Z89</f>
        <v>3.6953511677783324E-3</v>
      </c>
      <c r="AM89" s="3">
        <f>VLOOKUP($AB89,'2000 Seattle Tracts'!$C$2:$Y$374,AM$1,FALSE)*$Z89</f>
        <v>5.7277943100564152E-2</v>
      </c>
      <c r="AN89" s="3">
        <f>VLOOKUP($AB89,'2000 Seattle Tracts'!$C$2:$Y$374,AN$1,FALSE)*$Z89</f>
        <v>2.8454203991893159E-2</v>
      </c>
      <c r="AO89" s="3">
        <f>VLOOKUP($AB89,'2000 Seattle Tracts'!$C$2:$Y$374,AO$1,FALSE)*$Z89</f>
        <v>1.4042334437557662E-2</v>
      </c>
      <c r="AP89" s="3">
        <f>VLOOKUP($AB89,'2000 Seattle Tracts'!$C$2:$Y$374,AP$1,FALSE)*$Z89</f>
        <v>2.5867458174448324E-3</v>
      </c>
      <c r="AQ89" s="3">
        <f>VLOOKUP($AB89,'2000 Seattle Tracts'!$C$2:$Y$374,AQ$1,FALSE)*$Z89</f>
        <v>7.3167953122010979E-2</v>
      </c>
      <c r="AR89" s="3">
        <f>VLOOKUP($AB89,'2000 Seattle Tracts'!$C$2:$Y$374,AR$1,FALSE)*$Z89</f>
        <v>0.18624569885602793</v>
      </c>
      <c r="AS89" s="3">
        <f>VLOOKUP($AB89,'2000 Seattle Tracts'!$C$2:$Y$374,AS$1,FALSE)*$Z89</f>
        <v>2.2172107006669991E-3</v>
      </c>
      <c r="AT89" s="3">
        <f>VLOOKUP($AB89,'2000 Seattle Tracts'!$C$2:$Y$374,AT$1,FALSE)*$Z89</f>
        <v>0</v>
      </c>
      <c r="AU89" s="3">
        <f>VLOOKUP($AB89,'2000 Seattle Tracts'!$C$2:$Y$374,AU$1,FALSE)*$Z89</f>
        <v>4.8039565181118321E-2</v>
      </c>
      <c r="AV89" s="3">
        <f>VLOOKUP($AB89,'2000 Seattle Tracts'!$C$2:$Y$374,AV$1,FALSE)*$Z89</f>
        <v>3.2149555159671488E-2</v>
      </c>
      <c r="AW89" s="3">
        <f>VLOOKUP($AB89,'2000 Seattle Tracts'!$C$2:$Y$374,AW$1,FALSE)*$Z89</f>
        <v>5.062631099856315E-2</v>
      </c>
      <c r="AX89" s="3">
        <f>VLOOKUP($AB89,'2000 Seattle Tracts'!$C$2:$Y$374,AX$1,FALSE)*$Z89</f>
        <v>1.5520474904668995E-2</v>
      </c>
      <c r="AZ89" s="2" t="s">
        <v>124</v>
      </c>
      <c r="BA89">
        <v>10242.365969337396</v>
      </c>
      <c r="BB89">
        <v>9316.3812130706556</v>
      </c>
      <c r="BC89">
        <v>925.98475626674121</v>
      </c>
      <c r="BD89">
        <v>8262.9790697293902</v>
      </c>
      <c r="BE89">
        <v>528.55705239889755</v>
      </c>
      <c r="BF89">
        <v>168.56003645985564</v>
      </c>
      <c r="BG89">
        <v>70.899457727617715</v>
      </c>
      <c r="BH89">
        <v>201.73832373215899</v>
      </c>
      <c r="BI89">
        <v>10.881800343878226</v>
      </c>
      <c r="BJ89">
        <v>78.90313770520676</v>
      </c>
      <c r="BK89">
        <v>5.974239940609289</v>
      </c>
      <c r="BL89">
        <v>117.93730438238268</v>
      </c>
      <c r="BM89">
        <v>214.91854915045084</v>
      </c>
      <c r="BN89">
        <v>17.082611413437533</v>
      </c>
      <c r="BO89">
        <v>1.8268208749015049</v>
      </c>
      <c r="BP89">
        <v>99.654007499190868</v>
      </c>
      <c r="BQ89">
        <v>23.392097418651129</v>
      </c>
      <c r="BR89">
        <v>369.52672214903174</v>
      </c>
      <c r="BS89">
        <v>69.534738411735077</v>
      </c>
    </row>
    <row r="90" spans="1:71" x14ac:dyDescent="0.25">
      <c r="A90" t="s">
        <v>2917</v>
      </c>
      <c r="B90" t="s">
        <v>2918</v>
      </c>
      <c r="C90" t="s">
        <v>3122</v>
      </c>
      <c r="D90" t="s">
        <v>2635</v>
      </c>
      <c r="E90" t="s">
        <v>2636</v>
      </c>
      <c r="F90" t="s">
        <v>2637</v>
      </c>
      <c r="G90" t="s">
        <v>2920</v>
      </c>
      <c r="H90" t="s">
        <v>2921</v>
      </c>
      <c r="I90">
        <v>3783740</v>
      </c>
      <c r="J90">
        <v>54223</v>
      </c>
      <c r="K90" t="s">
        <v>3384</v>
      </c>
      <c r="L90" t="s">
        <v>3385</v>
      </c>
      <c r="M90">
        <v>102</v>
      </c>
      <c r="N90">
        <v>20753.002</v>
      </c>
      <c r="O90" t="s">
        <v>207</v>
      </c>
      <c r="P90">
        <v>3</v>
      </c>
      <c r="Q90">
        <v>3</v>
      </c>
      <c r="R90">
        <v>95</v>
      </c>
      <c r="S90">
        <v>21512732</v>
      </c>
      <c r="T90">
        <v>104</v>
      </c>
      <c r="U90">
        <v>106</v>
      </c>
      <c r="V90">
        <v>20753.0018992847</v>
      </c>
      <c r="W90">
        <v>21512731.489181329</v>
      </c>
      <c r="X90">
        <v>123.655</v>
      </c>
      <c r="Y90">
        <f>VLOOKUP(AB90,'2000 Seattle Tracts'!$C$2:$Z$374,24,FALSE)</f>
        <v>3779676.1120000002</v>
      </c>
      <c r="Z90">
        <f t="shared" si="2"/>
        <v>3.2715766202138541E-5</v>
      </c>
      <c r="AA90" t="s">
        <v>206</v>
      </c>
      <c r="AB90" t="str">
        <f t="shared" si="3"/>
        <v>Census Tract 6, King County, Washington</v>
      </c>
      <c r="AC90" s="3">
        <f>VLOOKUP($AB90,'2000 Seattle Tracts'!$C$2:$Y$374,AC$1,FALSE)*$Z90</f>
        <v>0.24082075501394179</v>
      </c>
      <c r="AD90" s="3">
        <f>VLOOKUP($AB90,'2000 Seattle Tracts'!$C$2:$Y$374,AD$1,FALSE)*$Z90</f>
        <v>0.17548736990827113</v>
      </c>
      <c r="AE90" s="3">
        <f>VLOOKUP($AB90,'2000 Seattle Tracts'!$C$2:$Y$374,AE$1,FALSE)*$Z90</f>
        <v>6.533338510567066E-2</v>
      </c>
      <c r="AF90" s="3">
        <f>VLOOKUP($AB90,'2000 Seattle Tracts'!$C$2:$Y$374,AF$1,FALSE)*$Z90</f>
        <v>0.24082075501394179</v>
      </c>
      <c r="AG90" s="3">
        <f>VLOOKUP($AB90,'2000 Seattle Tracts'!$C$2:$Y$374,AG$1,FALSE)*$Z90</f>
        <v>0.17548736990827113</v>
      </c>
      <c r="AH90" s="3">
        <f>VLOOKUP($AB90,'2000 Seattle Tracts'!$C$2:$Y$374,AH$1,FALSE)*$Z90</f>
        <v>6.533338510567066E-2</v>
      </c>
      <c r="AI90" s="3">
        <f>VLOOKUP($AB90,'2000 Seattle Tracts'!$C$2:$Y$374,AI$1,FALSE)*$Z90</f>
        <v>0.14074322620160001</v>
      </c>
      <c r="AJ90" s="3">
        <f>VLOOKUP($AB90,'2000 Seattle Tracts'!$C$2:$Y$374,AJ$1,FALSE)*$Z90</f>
        <v>1.1385086638344212E-2</v>
      </c>
      <c r="AK90" s="3">
        <f>VLOOKUP($AB90,'2000 Seattle Tracts'!$C$2:$Y$374,AK$1,FALSE)*$Z90</f>
        <v>2.6172612961710834E-3</v>
      </c>
      <c r="AL90" s="3">
        <f>VLOOKUP($AB90,'2000 Seattle Tracts'!$C$2:$Y$374,AL$1,FALSE)*$Z90</f>
        <v>6.3141428770127385E-3</v>
      </c>
      <c r="AM90" s="3">
        <f>VLOOKUP($AB90,'2000 Seattle Tracts'!$C$2:$Y$374,AM$1,FALSE)*$Z90</f>
        <v>7.6227735250982802E-3</v>
      </c>
      <c r="AN90" s="3">
        <f>VLOOKUP($AB90,'2000 Seattle Tracts'!$C$2:$Y$374,AN$1,FALSE)*$Z90</f>
        <v>1.5703567777026499E-3</v>
      </c>
      <c r="AO90" s="3">
        <f>VLOOKUP($AB90,'2000 Seattle Tracts'!$C$2:$Y$374,AO$1,FALSE)*$Z90</f>
        <v>9.8147298606415627E-4</v>
      </c>
      <c r="AP90" s="3">
        <f>VLOOKUP($AB90,'2000 Seattle Tracts'!$C$2:$Y$374,AP$1,FALSE)*$Z90</f>
        <v>9.1604145365987912E-4</v>
      </c>
      <c r="AQ90" s="3">
        <f>VLOOKUP($AB90,'2000 Seattle Tracts'!$C$2:$Y$374,AQ$1,FALSE)*$Z90</f>
        <v>1.0665339781897164E-2</v>
      </c>
      <c r="AR90" s="3">
        <f>VLOOKUP($AB90,'2000 Seattle Tracts'!$C$2:$Y$374,AR$1,FALSE)*$Z90</f>
        <v>3.5660185160331009E-2</v>
      </c>
      <c r="AS90" s="3">
        <f>VLOOKUP($AB90,'2000 Seattle Tracts'!$C$2:$Y$374,AS$1,FALSE)*$Z90</f>
        <v>2.2901036341496978E-4</v>
      </c>
      <c r="AT90" s="3">
        <f>VLOOKUP($AB90,'2000 Seattle Tracts'!$C$2:$Y$374,AT$1,FALSE)*$Z90</f>
        <v>0</v>
      </c>
      <c r="AU90" s="3">
        <f>VLOOKUP($AB90,'2000 Seattle Tracts'!$C$2:$Y$374,AU$1,FALSE)*$Z90</f>
        <v>1.5049252452983728E-3</v>
      </c>
      <c r="AV90" s="3">
        <f>VLOOKUP($AB90,'2000 Seattle Tracts'!$C$2:$Y$374,AV$1,FALSE)*$Z90</f>
        <v>2.0283775045325894E-3</v>
      </c>
      <c r="AW90" s="3">
        <f>VLOOKUP($AB90,'2000 Seattle Tracts'!$C$2:$Y$374,AW$1,FALSE)*$Z90</f>
        <v>1.1123360508727104E-2</v>
      </c>
      <c r="AX90" s="3">
        <f>VLOOKUP($AB90,'2000 Seattle Tracts'!$C$2:$Y$374,AX$1,FALSE)*$Z90</f>
        <v>7.4591946940875875E-3</v>
      </c>
      <c r="AZ90" s="2" t="s">
        <v>131</v>
      </c>
      <c r="BA90">
        <v>4135.2001254536945</v>
      </c>
      <c r="BB90">
        <v>3578.3588917322481</v>
      </c>
      <c r="BC90">
        <v>556.84123372144609</v>
      </c>
      <c r="BD90">
        <v>3292.3373281688455</v>
      </c>
      <c r="BE90">
        <v>241.47920443564524</v>
      </c>
      <c r="BF90">
        <v>19.462050561638812</v>
      </c>
      <c r="BG90">
        <v>35.235930128410111</v>
      </c>
      <c r="BH90">
        <v>41.020806805170864</v>
      </c>
      <c r="BI90">
        <v>20.923571030362496</v>
      </c>
      <c r="BJ90">
        <v>22.03311432650781</v>
      </c>
      <c r="BK90">
        <v>3.3608760425021145E-2</v>
      </c>
      <c r="BL90">
        <v>95.754534957840022</v>
      </c>
      <c r="BM90">
        <v>230.22710502322988</v>
      </c>
      <c r="BN90">
        <v>0.11707196896372421</v>
      </c>
      <c r="BO90">
        <v>6.4298011872030936E-2</v>
      </c>
      <c r="BP90">
        <v>6.1867369134542942</v>
      </c>
      <c r="BQ90">
        <v>15.36464799578618</v>
      </c>
      <c r="BR90">
        <v>101.44724802982684</v>
      </c>
      <c r="BS90">
        <v>13.512868335715137</v>
      </c>
    </row>
    <row r="91" spans="1:71" x14ac:dyDescent="0.25">
      <c r="A91" t="s">
        <v>2917</v>
      </c>
      <c r="B91" t="s">
        <v>2918</v>
      </c>
      <c r="C91" t="s">
        <v>3122</v>
      </c>
      <c r="D91" t="s">
        <v>2635</v>
      </c>
      <c r="E91" t="s">
        <v>2636</v>
      </c>
      <c r="F91" t="s">
        <v>2637</v>
      </c>
      <c r="G91" t="s">
        <v>2920</v>
      </c>
      <c r="H91" t="s">
        <v>2921</v>
      </c>
      <c r="I91">
        <v>3783740</v>
      </c>
      <c r="J91">
        <v>54223</v>
      </c>
      <c r="K91" t="s">
        <v>3384</v>
      </c>
      <c r="L91" t="s">
        <v>3385</v>
      </c>
      <c r="M91">
        <v>111</v>
      </c>
      <c r="N91">
        <v>26446.203000000001</v>
      </c>
      <c r="O91" t="s">
        <v>122</v>
      </c>
      <c r="P91">
        <v>1</v>
      </c>
      <c r="Q91">
        <v>2</v>
      </c>
      <c r="R91">
        <v>23</v>
      </c>
      <c r="S91">
        <v>27690336</v>
      </c>
      <c r="T91">
        <v>113</v>
      </c>
      <c r="U91">
        <v>101</v>
      </c>
      <c r="V91">
        <v>26446.20305409377</v>
      </c>
      <c r="W91">
        <v>27690336.443909489</v>
      </c>
      <c r="X91">
        <v>65.715000000000003</v>
      </c>
      <c r="Y91">
        <f>VLOOKUP(AB91,'2000 Seattle Tracts'!$C$2:$Z$374,24,FALSE)</f>
        <v>3779676.1120000002</v>
      </c>
      <c r="Z91">
        <f t="shared" si="2"/>
        <v>1.7386410383514893E-5</v>
      </c>
      <c r="AA91" t="s">
        <v>213</v>
      </c>
      <c r="AB91" t="str">
        <f t="shared" si="3"/>
        <v>Census Tract 6, King County, Washington</v>
      </c>
      <c r="AC91" s="3">
        <f>VLOOKUP($AB91,'2000 Seattle Tracts'!$C$2:$Y$374,AC$1,FALSE)*$Z91</f>
        <v>0.12798136683305314</v>
      </c>
      <c r="AD91" s="3">
        <f>VLOOKUP($AB91,'2000 Seattle Tracts'!$C$2:$Y$374,AD$1,FALSE)*$Z91</f>
        <v>9.3260705297173882E-2</v>
      </c>
      <c r="AE91" s="3">
        <f>VLOOKUP($AB91,'2000 Seattle Tracts'!$C$2:$Y$374,AE$1,FALSE)*$Z91</f>
        <v>3.4720661535879244E-2</v>
      </c>
      <c r="AF91" s="3">
        <f>VLOOKUP($AB91,'2000 Seattle Tracts'!$C$2:$Y$374,AF$1,FALSE)*$Z91</f>
        <v>0.12798136683305314</v>
      </c>
      <c r="AG91" s="3">
        <f>VLOOKUP($AB91,'2000 Seattle Tracts'!$C$2:$Y$374,AG$1,FALSE)*$Z91</f>
        <v>9.3260705297173882E-2</v>
      </c>
      <c r="AH91" s="3">
        <f>VLOOKUP($AB91,'2000 Seattle Tracts'!$C$2:$Y$374,AH$1,FALSE)*$Z91</f>
        <v>3.4720661535879244E-2</v>
      </c>
      <c r="AI91" s="3">
        <f>VLOOKUP($AB91,'2000 Seattle Tracts'!$C$2:$Y$374,AI$1,FALSE)*$Z91</f>
        <v>7.4796337469881069E-2</v>
      </c>
      <c r="AJ91" s="3">
        <f>VLOOKUP($AB91,'2000 Seattle Tracts'!$C$2:$Y$374,AJ$1,FALSE)*$Z91</f>
        <v>6.0504708134631827E-3</v>
      </c>
      <c r="AK91" s="3">
        <f>VLOOKUP($AB91,'2000 Seattle Tracts'!$C$2:$Y$374,AK$1,FALSE)*$Z91</f>
        <v>1.3909128306811914E-3</v>
      </c>
      <c r="AL91" s="3">
        <f>VLOOKUP($AB91,'2000 Seattle Tracts'!$C$2:$Y$374,AL$1,FALSE)*$Z91</f>
        <v>3.3555772040183745E-3</v>
      </c>
      <c r="AM91" s="3">
        <f>VLOOKUP($AB91,'2000 Seattle Tracts'!$C$2:$Y$374,AM$1,FALSE)*$Z91</f>
        <v>4.0510336193589703E-3</v>
      </c>
      <c r="AN91" s="3">
        <f>VLOOKUP($AB91,'2000 Seattle Tracts'!$C$2:$Y$374,AN$1,FALSE)*$Z91</f>
        <v>8.3454769840871491E-4</v>
      </c>
      <c r="AO91" s="3">
        <f>VLOOKUP($AB91,'2000 Seattle Tracts'!$C$2:$Y$374,AO$1,FALSE)*$Z91</f>
        <v>5.2159231150544674E-4</v>
      </c>
      <c r="AP91" s="3">
        <f>VLOOKUP($AB91,'2000 Seattle Tracts'!$C$2:$Y$374,AP$1,FALSE)*$Z91</f>
        <v>4.8681949073841701E-4</v>
      </c>
      <c r="AQ91" s="3">
        <f>VLOOKUP($AB91,'2000 Seattle Tracts'!$C$2:$Y$374,AQ$1,FALSE)*$Z91</f>
        <v>5.6679697850258552E-3</v>
      </c>
      <c r="AR91" s="3">
        <f>VLOOKUP($AB91,'2000 Seattle Tracts'!$C$2:$Y$374,AR$1,FALSE)*$Z91</f>
        <v>1.8951187318031235E-2</v>
      </c>
      <c r="AS91" s="3">
        <f>VLOOKUP($AB91,'2000 Seattle Tracts'!$C$2:$Y$374,AS$1,FALSE)*$Z91</f>
        <v>1.2170487268460425E-4</v>
      </c>
      <c r="AT91" s="3">
        <f>VLOOKUP($AB91,'2000 Seattle Tracts'!$C$2:$Y$374,AT$1,FALSE)*$Z91</f>
        <v>0</v>
      </c>
      <c r="AU91" s="3">
        <f>VLOOKUP($AB91,'2000 Seattle Tracts'!$C$2:$Y$374,AU$1,FALSE)*$Z91</f>
        <v>7.9977487764168508E-4</v>
      </c>
      <c r="AV91" s="3">
        <f>VLOOKUP($AB91,'2000 Seattle Tracts'!$C$2:$Y$374,AV$1,FALSE)*$Z91</f>
        <v>1.0779574437779233E-3</v>
      </c>
      <c r="AW91" s="3">
        <f>VLOOKUP($AB91,'2000 Seattle Tracts'!$C$2:$Y$374,AW$1,FALSE)*$Z91</f>
        <v>5.9113795303950634E-3</v>
      </c>
      <c r="AX91" s="3">
        <f>VLOOKUP($AB91,'2000 Seattle Tracts'!$C$2:$Y$374,AX$1,FALSE)*$Z91</f>
        <v>3.9641015674413953E-3</v>
      </c>
      <c r="AZ91" s="2" t="s">
        <v>133</v>
      </c>
      <c r="BA91">
        <v>19518.060840359085</v>
      </c>
      <c r="BB91">
        <v>15735.847233783181</v>
      </c>
      <c r="BC91">
        <v>3782.2136065759059</v>
      </c>
      <c r="BD91">
        <v>12757.444512364287</v>
      </c>
      <c r="BE91">
        <v>1110.7927543698115</v>
      </c>
      <c r="BF91">
        <v>236.18064791603408</v>
      </c>
      <c r="BG91">
        <v>135.06324409366781</v>
      </c>
      <c r="BH91">
        <v>311.05015593166576</v>
      </c>
      <c r="BI91">
        <v>35.861894838275013</v>
      </c>
      <c r="BJ91">
        <v>127.80452053764196</v>
      </c>
      <c r="BK91">
        <v>15.416442146100687</v>
      </c>
      <c r="BL91">
        <v>1262.5822269957664</v>
      </c>
      <c r="BM91">
        <v>2137.1559339675969</v>
      </c>
      <c r="BN91">
        <v>38.891557013518835</v>
      </c>
      <c r="BO91">
        <v>33.737858838063104</v>
      </c>
      <c r="BP91">
        <v>233.62273799549223</v>
      </c>
      <c r="BQ91">
        <v>89.83658977407157</v>
      </c>
      <c r="BR91">
        <v>768.27087502877407</v>
      </c>
      <c r="BS91">
        <v>224.34888854831965</v>
      </c>
    </row>
    <row r="92" spans="1:71" x14ac:dyDescent="0.25">
      <c r="A92" t="s">
        <v>2917</v>
      </c>
      <c r="B92" t="s">
        <v>2918</v>
      </c>
      <c r="C92" t="s">
        <v>3122</v>
      </c>
      <c r="D92" t="s">
        <v>2635</v>
      </c>
      <c r="E92" t="s">
        <v>2636</v>
      </c>
      <c r="F92" t="s">
        <v>2637</v>
      </c>
      <c r="G92" t="s">
        <v>2920</v>
      </c>
      <c r="H92" t="s">
        <v>2921</v>
      </c>
      <c r="I92">
        <v>3783740</v>
      </c>
      <c r="J92">
        <v>54223</v>
      </c>
      <c r="K92" t="s">
        <v>3384</v>
      </c>
      <c r="L92" t="s">
        <v>3385</v>
      </c>
      <c r="M92">
        <v>112</v>
      </c>
      <c r="N92">
        <v>29413.553</v>
      </c>
      <c r="O92" t="s">
        <v>215</v>
      </c>
      <c r="P92">
        <v>2</v>
      </c>
      <c r="Q92">
        <v>10</v>
      </c>
      <c r="R92">
        <v>95</v>
      </c>
      <c r="S92">
        <v>47203080</v>
      </c>
      <c r="T92">
        <v>114</v>
      </c>
      <c r="U92">
        <v>102</v>
      </c>
      <c r="V92">
        <v>29413.553448415088</v>
      </c>
      <c r="W92">
        <v>47203081.07955838</v>
      </c>
      <c r="X92">
        <v>2935031.7629999998</v>
      </c>
      <c r="Y92">
        <f>VLOOKUP(AB92,'2000 Seattle Tracts'!$C$2:$Z$374,24,FALSE)</f>
        <v>3779676.1120000002</v>
      </c>
      <c r="Z92">
        <f t="shared" si="2"/>
        <v>0.77652996606816127</v>
      </c>
      <c r="AA92" t="s">
        <v>214</v>
      </c>
      <c r="AB92" t="str">
        <f t="shared" si="3"/>
        <v>Census Tract 6, King County, Washington</v>
      </c>
      <c r="AC92" s="3">
        <f>VLOOKUP($AB92,'2000 Seattle Tracts'!$C$2:$Y$374,AC$1,FALSE)*$Z92</f>
        <v>5716.0370802277348</v>
      </c>
      <c r="AD92" s="3">
        <f>VLOOKUP($AB92,'2000 Seattle Tracts'!$C$2:$Y$374,AD$1,FALSE)*$Z92</f>
        <v>4165.3067379896174</v>
      </c>
      <c r="AE92" s="3">
        <f>VLOOKUP($AB92,'2000 Seattle Tracts'!$C$2:$Y$374,AE$1,FALSE)*$Z92</f>
        <v>1550.7303422381181</v>
      </c>
      <c r="AF92" s="3">
        <f>VLOOKUP($AB92,'2000 Seattle Tracts'!$C$2:$Y$374,AF$1,FALSE)*$Z92</f>
        <v>5716.0370802277348</v>
      </c>
      <c r="AG92" s="3">
        <f>VLOOKUP($AB92,'2000 Seattle Tracts'!$C$2:$Y$374,AG$1,FALSE)*$Z92</f>
        <v>4165.3067379896174</v>
      </c>
      <c r="AH92" s="3">
        <f>VLOOKUP($AB92,'2000 Seattle Tracts'!$C$2:$Y$374,AH$1,FALSE)*$Z92</f>
        <v>1550.7303422381181</v>
      </c>
      <c r="AI92" s="3">
        <f>VLOOKUP($AB92,'2000 Seattle Tracts'!$C$2:$Y$374,AI$1,FALSE)*$Z92</f>
        <v>3340.6319140252299</v>
      </c>
      <c r="AJ92" s="3">
        <f>VLOOKUP($AB92,'2000 Seattle Tracts'!$C$2:$Y$374,AJ$1,FALSE)*$Z92</f>
        <v>270.23242819172015</v>
      </c>
      <c r="AK92" s="3">
        <f>VLOOKUP($AB92,'2000 Seattle Tracts'!$C$2:$Y$374,AK$1,FALSE)*$Z92</f>
        <v>62.122397285452905</v>
      </c>
      <c r="AL92" s="3">
        <f>VLOOKUP($AB92,'2000 Seattle Tracts'!$C$2:$Y$374,AL$1,FALSE)*$Z92</f>
        <v>149.87028345115513</v>
      </c>
      <c r="AM92" s="3">
        <f>VLOOKUP($AB92,'2000 Seattle Tracts'!$C$2:$Y$374,AM$1,FALSE)*$Z92</f>
        <v>180.93148209388158</v>
      </c>
      <c r="AN92" s="3">
        <f>VLOOKUP($AB92,'2000 Seattle Tracts'!$C$2:$Y$374,AN$1,FALSE)*$Z92</f>
        <v>37.273438371271737</v>
      </c>
      <c r="AO92" s="3">
        <f>VLOOKUP($AB92,'2000 Seattle Tracts'!$C$2:$Y$374,AO$1,FALSE)*$Z92</f>
        <v>23.295898982044839</v>
      </c>
      <c r="AP92" s="3">
        <f>VLOOKUP($AB92,'2000 Seattle Tracts'!$C$2:$Y$374,AP$1,FALSE)*$Z92</f>
        <v>21.742839049908515</v>
      </c>
      <c r="AQ92" s="3">
        <f>VLOOKUP($AB92,'2000 Seattle Tracts'!$C$2:$Y$374,AQ$1,FALSE)*$Z92</f>
        <v>253.14876893822057</v>
      </c>
      <c r="AR92" s="3">
        <f>VLOOKUP($AB92,'2000 Seattle Tracts'!$C$2:$Y$374,AR$1,FALSE)*$Z92</f>
        <v>846.41766301429584</v>
      </c>
      <c r="AS92" s="3">
        <f>VLOOKUP($AB92,'2000 Seattle Tracts'!$C$2:$Y$374,AS$1,FALSE)*$Z92</f>
        <v>5.4357097624771287</v>
      </c>
      <c r="AT92" s="3">
        <f>VLOOKUP($AB92,'2000 Seattle Tracts'!$C$2:$Y$374,AT$1,FALSE)*$Z92</f>
        <v>0</v>
      </c>
      <c r="AU92" s="3">
        <f>VLOOKUP($AB92,'2000 Seattle Tracts'!$C$2:$Y$374,AU$1,FALSE)*$Z92</f>
        <v>35.720378439135416</v>
      </c>
      <c r="AV92" s="3">
        <f>VLOOKUP($AB92,'2000 Seattle Tracts'!$C$2:$Y$374,AV$1,FALSE)*$Z92</f>
        <v>48.144857896226</v>
      </c>
      <c r="AW92" s="3">
        <f>VLOOKUP($AB92,'2000 Seattle Tracts'!$C$2:$Y$374,AW$1,FALSE)*$Z92</f>
        <v>264.0201884631748</v>
      </c>
      <c r="AX92" s="3">
        <f>VLOOKUP($AB92,'2000 Seattle Tracts'!$C$2:$Y$374,AX$1,FALSE)*$Z92</f>
        <v>177.04883226354076</v>
      </c>
      <c r="AZ92" s="2" t="s">
        <v>120</v>
      </c>
      <c r="BA92">
        <v>6493.1072213879752</v>
      </c>
      <c r="BB92">
        <v>5778.9543530254705</v>
      </c>
      <c r="BC92">
        <v>714.15286836250493</v>
      </c>
      <c r="BD92">
        <v>5102.4574762630409</v>
      </c>
      <c r="BE92">
        <v>344.00844155131796</v>
      </c>
      <c r="BF92">
        <v>92.867144200915021</v>
      </c>
      <c r="BG92">
        <v>39.007397114027022</v>
      </c>
      <c r="BH92">
        <v>100.37362251594102</v>
      </c>
      <c r="BI92">
        <v>46.428941502548788</v>
      </c>
      <c r="BJ92">
        <v>64.349082886979559</v>
      </c>
      <c r="BK92">
        <v>4.5477641457654068</v>
      </c>
      <c r="BL92">
        <v>73.438028210550797</v>
      </c>
      <c r="BM92">
        <v>156.77475487745323</v>
      </c>
      <c r="BN92">
        <v>0</v>
      </c>
      <c r="BO92">
        <v>0</v>
      </c>
      <c r="BP92">
        <v>80.238952778682361</v>
      </c>
      <c r="BQ92">
        <v>76.529478669509231</v>
      </c>
      <c r="BR92">
        <v>265.23004616936078</v>
      </c>
      <c r="BS92">
        <v>46.856090501883301</v>
      </c>
    </row>
    <row r="93" spans="1:71" x14ac:dyDescent="0.25">
      <c r="A93" t="s">
        <v>2917</v>
      </c>
      <c r="B93" t="s">
        <v>2918</v>
      </c>
      <c r="C93" t="s">
        <v>3122</v>
      </c>
      <c r="D93" t="s">
        <v>2635</v>
      </c>
      <c r="E93" t="s">
        <v>2636</v>
      </c>
      <c r="F93" t="s">
        <v>2637</v>
      </c>
      <c r="G93" t="s">
        <v>2920</v>
      </c>
      <c r="H93" t="s">
        <v>2921</v>
      </c>
      <c r="I93">
        <v>3783740</v>
      </c>
      <c r="J93">
        <v>54223</v>
      </c>
      <c r="K93" t="s">
        <v>3384</v>
      </c>
      <c r="L93" t="s">
        <v>3385</v>
      </c>
      <c r="M93">
        <v>113</v>
      </c>
      <c r="N93">
        <v>26171.271000000001</v>
      </c>
      <c r="O93" t="s">
        <v>215</v>
      </c>
      <c r="P93">
        <v>2</v>
      </c>
      <c r="Q93">
        <v>10</v>
      </c>
      <c r="R93">
        <v>81</v>
      </c>
      <c r="S93">
        <v>29438850</v>
      </c>
      <c r="T93">
        <v>115</v>
      </c>
      <c r="U93">
        <v>103</v>
      </c>
      <c r="V93">
        <v>26171.27176081029</v>
      </c>
      <c r="W93">
        <v>29438850.877074279</v>
      </c>
      <c r="X93">
        <v>823350.29700000002</v>
      </c>
      <c r="Y93">
        <f>VLOOKUP(AB93,'2000 Seattle Tracts'!$C$2:$Z$374,24,FALSE)</f>
        <v>3779676.1120000002</v>
      </c>
      <c r="Z93">
        <f t="shared" si="2"/>
        <v>0.21783620410912077</v>
      </c>
      <c r="AA93" t="s">
        <v>216</v>
      </c>
      <c r="AB93" t="str">
        <f t="shared" si="3"/>
        <v>Census Tract 6, King County, Washington</v>
      </c>
      <c r="AC93" s="3">
        <f>VLOOKUP($AB93,'2000 Seattle Tracts'!$C$2:$Y$374,AC$1,FALSE)*$Z93</f>
        <v>1603.492298447238</v>
      </c>
      <c r="AD93" s="3">
        <f>VLOOKUP($AB93,'2000 Seattle Tracts'!$C$2:$Y$374,AD$1,FALSE)*$Z93</f>
        <v>1168.4733988413238</v>
      </c>
      <c r="AE93" s="3">
        <f>VLOOKUP($AB93,'2000 Seattle Tracts'!$C$2:$Y$374,AE$1,FALSE)*$Z93</f>
        <v>435.01889960591416</v>
      </c>
      <c r="AF93" s="3">
        <f>VLOOKUP($AB93,'2000 Seattle Tracts'!$C$2:$Y$374,AF$1,FALSE)*$Z93</f>
        <v>1603.492298447238</v>
      </c>
      <c r="AG93" s="3">
        <f>VLOOKUP($AB93,'2000 Seattle Tracts'!$C$2:$Y$374,AG$1,FALSE)*$Z93</f>
        <v>1168.4733988413238</v>
      </c>
      <c r="AH93" s="3">
        <f>VLOOKUP($AB93,'2000 Seattle Tracts'!$C$2:$Y$374,AH$1,FALSE)*$Z93</f>
        <v>435.01889960591416</v>
      </c>
      <c r="AI93" s="3">
        <f>VLOOKUP($AB93,'2000 Seattle Tracts'!$C$2:$Y$374,AI$1,FALSE)*$Z93</f>
        <v>937.13135007743756</v>
      </c>
      <c r="AJ93" s="3">
        <f>VLOOKUP($AB93,'2000 Seattle Tracts'!$C$2:$Y$374,AJ$1,FALSE)*$Z93</f>
        <v>75.806999029974023</v>
      </c>
      <c r="AK93" s="3">
        <f>VLOOKUP($AB93,'2000 Seattle Tracts'!$C$2:$Y$374,AK$1,FALSE)*$Z93</f>
        <v>17.426896328729661</v>
      </c>
      <c r="AL93" s="3">
        <f>VLOOKUP($AB93,'2000 Seattle Tracts'!$C$2:$Y$374,AL$1,FALSE)*$Z93</f>
        <v>42.042387393060309</v>
      </c>
      <c r="AM93" s="3">
        <f>VLOOKUP($AB93,'2000 Seattle Tracts'!$C$2:$Y$374,AM$1,FALSE)*$Z93</f>
        <v>50.755835557425144</v>
      </c>
      <c r="AN93" s="3">
        <f>VLOOKUP($AB93,'2000 Seattle Tracts'!$C$2:$Y$374,AN$1,FALSE)*$Z93</f>
        <v>10.456137797237798</v>
      </c>
      <c r="AO93" s="3">
        <f>VLOOKUP($AB93,'2000 Seattle Tracts'!$C$2:$Y$374,AO$1,FALSE)*$Z93</f>
        <v>6.535086123273623</v>
      </c>
      <c r="AP93" s="3">
        <f>VLOOKUP($AB93,'2000 Seattle Tracts'!$C$2:$Y$374,AP$1,FALSE)*$Z93</f>
        <v>6.0994137150553813</v>
      </c>
      <c r="AQ93" s="3">
        <f>VLOOKUP($AB93,'2000 Seattle Tracts'!$C$2:$Y$374,AQ$1,FALSE)*$Z93</f>
        <v>71.014602539573374</v>
      </c>
      <c r="AR93" s="3">
        <f>VLOOKUP($AB93,'2000 Seattle Tracts'!$C$2:$Y$374,AR$1,FALSE)*$Z93</f>
        <v>237.44146247894165</v>
      </c>
      <c r="AS93" s="3">
        <f>VLOOKUP($AB93,'2000 Seattle Tracts'!$C$2:$Y$374,AS$1,FALSE)*$Z93</f>
        <v>1.5248534287638453</v>
      </c>
      <c r="AT93" s="3">
        <f>VLOOKUP($AB93,'2000 Seattle Tracts'!$C$2:$Y$374,AT$1,FALSE)*$Z93</f>
        <v>0</v>
      </c>
      <c r="AU93" s="3">
        <f>VLOOKUP($AB93,'2000 Seattle Tracts'!$C$2:$Y$374,AU$1,FALSE)*$Z93</f>
        <v>10.020465389019556</v>
      </c>
      <c r="AV93" s="3">
        <f>VLOOKUP($AB93,'2000 Seattle Tracts'!$C$2:$Y$374,AV$1,FALSE)*$Z93</f>
        <v>13.505844654765488</v>
      </c>
      <c r="AW93" s="3">
        <f>VLOOKUP($AB93,'2000 Seattle Tracts'!$C$2:$Y$374,AW$1,FALSE)*$Z93</f>
        <v>74.06430939710107</v>
      </c>
      <c r="AX93" s="3">
        <f>VLOOKUP($AB93,'2000 Seattle Tracts'!$C$2:$Y$374,AX$1,FALSE)*$Z93</f>
        <v>49.666654536879534</v>
      </c>
      <c r="AZ93" s="2" t="s">
        <v>118</v>
      </c>
      <c r="BA93">
        <v>6688.0280094601276</v>
      </c>
      <c r="BB93">
        <v>5899.3019949781183</v>
      </c>
      <c r="BC93">
        <v>788.72601448200908</v>
      </c>
      <c r="BD93">
        <v>5282.8562598864055</v>
      </c>
      <c r="BE93">
        <v>402.44759729706783</v>
      </c>
      <c r="BF93">
        <v>70.709030927751428</v>
      </c>
      <c r="BG93">
        <v>39.190121136808287</v>
      </c>
      <c r="BH93">
        <v>67.117692224819805</v>
      </c>
      <c r="BI93">
        <v>45.958654203991628</v>
      </c>
      <c r="BJ93">
        <v>61.46350173710659</v>
      </c>
      <c r="BK93">
        <v>1.8531915243415147</v>
      </c>
      <c r="BL93">
        <v>103.50494218038756</v>
      </c>
      <c r="BM93">
        <v>164.04087583113551</v>
      </c>
      <c r="BN93">
        <v>0</v>
      </c>
      <c r="BO93">
        <v>0</v>
      </c>
      <c r="BP93">
        <v>81.991799309321863</v>
      </c>
      <c r="BQ93">
        <v>66.751558677410657</v>
      </c>
      <c r="BR93">
        <v>231.65876871232575</v>
      </c>
      <c r="BS93">
        <v>68.484015811253727</v>
      </c>
    </row>
    <row r="94" spans="1:71" x14ac:dyDescent="0.25">
      <c r="A94" t="s">
        <v>2917</v>
      </c>
      <c r="B94" t="s">
        <v>2918</v>
      </c>
      <c r="C94" t="s">
        <v>3122</v>
      </c>
      <c r="D94" t="s">
        <v>2635</v>
      </c>
      <c r="E94" t="s">
        <v>2636</v>
      </c>
      <c r="F94" t="s">
        <v>2637</v>
      </c>
      <c r="G94" t="s">
        <v>2920</v>
      </c>
      <c r="H94" t="s">
        <v>2921</v>
      </c>
      <c r="I94">
        <v>3783740</v>
      </c>
      <c r="J94">
        <v>54223</v>
      </c>
      <c r="K94" t="s">
        <v>3384</v>
      </c>
      <c r="L94" t="s">
        <v>3385</v>
      </c>
      <c r="M94">
        <v>115</v>
      </c>
      <c r="N94">
        <v>20132.898000000001</v>
      </c>
      <c r="O94" t="s">
        <v>215</v>
      </c>
      <c r="P94">
        <v>2</v>
      </c>
      <c r="Q94">
        <v>10</v>
      </c>
      <c r="R94">
        <v>9</v>
      </c>
      <c r="S94">
        <v>21704706</v>
      </c>
      <c r="T94">
        <v>117</v>
      </c>
      <c r="U94">
        <v>110</v>
      </c>
      <c r="V94">
        <v>20132.89824583329</v>
      </c>
      <c r="W94">
        <v>21704706.261455789</v>
      </c>
      <c r="X94">
        <v>21104.683000000001</v>
      </c>
      <c r="Y94">
        <f>VLOOKUP(AB94,'2000 Seattle Tracts'!$C$2:$Z$374,24,FALSE)</f>
        <v>3779676.1120000002</v>
      </c>
      <c r="Z94">
        <f t="shared" si="2"/>
        <v>5.5837279107051703E-3</v>
      </c>
      <c r="AA94" t="s">
        <v>218</v>
      </c>
      <c r="AB94" t="str">
        <f t="shared" si="3"/>
        <v>Census Tract 6, King County, Washington</v>
      </c>
      <c r="AC94" s="3">
        <f>VLOOKUP($AB94,'2000 Seattle Tracts'!$C$2:$Y$374,AC$1,FALSE)*$Z94</f>
        <v>41.101821150700758</v>
      </c>
      <c r="AD94" s="3">
        <f>VLOOKUP($AB94,'2000 Seattle Tracts'!$C$2:$Y$374,AD$1,FALSE)*$Z94</f>
        <v>29.951116513022534</v>
      </c>
      <c r="AE94" s="3">
        <f>VLOOKUP($AB94,'2000 Seattle Tracts'!$C$2:$Y$374,AE$1,FALSE)*$Z94</f>
        <v>11.150704637678224</v>
      </c>
      <c r="AF94" s="3">
        <f>VLOOKUP($AB94,'2000 Seattle Tracts'!$C$2:$Y$374,AF$1,FALSE)*$Z94</f>
        <v>41.101821150700758</v>
      </c>
      <c r="AG94" s="3">
        <f>VLOOKUP($AB94,'2000 Seattle Tracts'!$C$2:$Y$374,AG$1,FALSE)*$Z94</f>
        <v>29.951116513022534</v>
      </c>
      <c r="AH94" s="3">
        <f>VLOOKUP($AB94,'2000 Seattle Tracts'!$C$2:$Y$374,AH$1,FALSE)*$Z94</f>
        <v>11.150704637678224</v>
      </c>
      <c r="AI94" s="3">
        <f>VLOOKUP($AB94,'2000 Seattle Tracts'!$C$2:$Y$374,AI$1,FALSE)*$Z94</f>
        <v>24.021197471853643</v>
      </c>
      <c r="AJ94" s="3">
        <f>VLOOKUP($AB94,'2000 Seattle Tracts'!$C$2:$Y$374,AJ$1,FALSE)*$Z94</f>
        <v>1.9431373129253993</v>
      </c>
      <c r="AK94" s="3">
        <f>VLOOKUP($AB94,'2000 Seattle Tracts'!$C$2:$Y$374,AK$1,FALSE)*$Z94</f>
        <v>0.44669823285641364</v>
      </c>
      <c r="AL94" s="3">
        <f>VLOOKUP($AB94,'2000 Seattle Tracts'!$C$2:$Y$374,AL$1,FALSE)*$Z94</f>
        <v>1.0776594867660978</v>
      </c>
      <c r="AM94" s="3">
        <f>VLOOKUP($AB94,'2000 Seattle Tracts'!$C$2:$Y$374,AM$1,FALSE)*$Z94</f>
        <v>1.3010086031943047</v>
      </c>
      <c r="AN94" s="3">
        <f>VLOOKUP($AB94,'2000 Seattle Tracts'!$C$2:$Y$374,AN$1,FALSE)*$Z94</f>
        <v>0.26801893971384816</v>
      </c>
      <c r="AO94" s="3">
        <f>VLOOKUP($AB94,'2000 Seattle Tracts'!$C$2:$Y$374,AO$1,FALSE)*$Z94</f>
        <v>0.1675118373211551</v>
      </c>
      <c r="AP94" s="3">
        <f>VLOOKUP($AB94,'2000 Seattle Tracts'!$C$2:$Y$374,AP$1,FALSE)*$Z94</f>
        <v>0.15634438149974478</v>
      </c>
      <c r="AQ94" s="3">
        <f>VLOOKUP($AB94,'2000 Seattle Tracts'!$C$2:$Y$374,AQ$1,FALSE)*$Z94</f>
        <v>1.8202952988898855</v>
      </c>
      <c r="AR94" s="3">
        <f>VLOOKUP($AB94,'2000 Seattle Tracts'!$C$2:$Y$374,AR$1,FALSE)*$Z94</f>
        <v>6.0862634226686358</v>
      </c>
      <c r="AS94" s="3">
        <f>VLOOKUP($AB94,'2000 Seattle Tracts'!$C$2:$Y$374,AS$1,FALSE)*$Z94</f>
        <v>3.9086095374936194E-2</v>
      </c>
      <c r="AT94" s="3">
        <f>VLOOKUP($AB94,'2000 Seattle Tracts'!$C$2:$Y$374,AT$1,FALSE)*$Z94</f>
        <v>0</v>
      </c>
      <c r="AU94" s="3">
        <f>VLOOKUP($AB94,'2000 Seattle Tracts'!$C$2:$Y$374,AU$1,FALSE)*$Z94</f>
        <v>0.25685148389243784</v>
      </c>
      <c r="AV94" s="3">
        <f>VLOOKUP($AB94,'2000 Seattle Tracts'!$C$2:$Y$374,AV$1,FALSE)*$Z94</f>
        <v>0.34619113046372058</v>
      </c>
      <c r="AW94" s="3">
        <f>VLOOKUP($AB94,'2000 Seattle Tracts'!$C$2:$Y$374,AW$1,FALSE)*$Z94</f>
        <v>1.898467489639758</v>
      </c>
      <c r="AX94" s="3">
        <f>VLOOKUP($AB94,'2000 Seattle Tracts'!$C$2:$Y$374,AX$1,FALSE)*$Z94</f>
        <v>1.2730899636407789</v>
      </c>
      <c r="AZ94" s="2" t="s">
        <v>130</v>
      </c>
      <c r="BA94">
        <v>5259.4613218453678</v>
      </c>
      <c r="BB94">
        <v>4551.4801307726384</v>
      </c>
      <c r="BC94">
        <v>707.98119107272976</v>
      </c>
      <c r="BD94">
        <v>4127.9540654716811</v>
      </c>
      <c r="BE94">
        <v>329.23949662258076</v>
      </c>
      <c r="BF94">
        <v>41.489487728106361</v>
      </c>
      <c r="BG94">
        <v>45.818294145223092</v>
      </c>
      <c r="BH94">
        <v>78.301691191065757</v>
      </c>
      <c r="BI94">
        <v>23.973247092637404</v>
      </c>
      <c r="BJ94">
        <v>18.342519849778245</v>
      </c>
      <c r="BK94">
        <v>0</v>
      </c>
      <c r="BL94">
        <v>130.80340462866008</v>
      </c>
      <c r="BM94">
        <v>248.01720608494836</v>
      </c>
      <c r="BN94">
        <v>15.178448640934405</v>
      </c>
      <c r="BO94">
        <v>5.340565262550995</v>
      </c>
      <c r="BP94">
        <v>9.5266985126608272</v>
      </c>
      <c r="BQ94">
        <v>14.020045078964797</v>
      </c>
      <c r="BR94">
        <v>129.88381474975145</v>
      </c>
      <c r="BS94">
        <v>41.572336785824412</v>
      </c>
    </row>
    <row r="95" spans="1:71" x14ac:dyDescent="0.25">
      <c r="A95" t="s">
        <v>2917</v>
      </c>
      <c r="B95" t="s">
        <v>2918</v>
      </c>
      <c r="C95" t="s">
        <v>3032</v>
      </c>
      <c r="D95" t="s">
        <v>2671</v>
      </c>
      <c r="E95" t="s">
        <v>2672</v>
      </c>
      <c r="F95" t="s">
        <v>2673</v>
      </c>
      <c r="G95" t="s">
        <v>2920</v>
      </c>
      <c r="H95" t="s">
        <v>2921</v>
      </c>
      <c r="I95">
        <v>2882910</v>
      </c>
      <c r="J95">
        <v>6072394</v>
      </c>
      <c r="K95" t="s">
        <v>3386</v>
      </c>
      <c r="L95" t="s">
        <v>3387</v>
      </c>
      <c r="M95">
        <v>110</v>
      </c>
      <c r="N95">
        <v>34640.309000000001</v>
      </c>
      <c r="O95" t="s">
        <v>122</v>
      </c>
      <c r="P95">
        <v>1</v>
      </c>
      <c r="Q95">
        <v>2</v>
      </c>
      <c r="R95">
        <v>95</v>
      </c>
      <c r="S95">
        <v>48113448</v>
      </c>
      <c r="T95">
        <v>112</v>
      </c>
      <c r="U95">
        <v>100</v>
      </c>
      <c r="V95">
        <v>34640.309665739042</v>
      </c>
      <c r="W95">
        <v>48113449.730149508</v>
      </c>
      <c r="X95">
        <v>2778447.449</v>
      </c>
      <c r="Y95">
        <f>VLOOKUP(AB95,'2000 Seattle Tracts'!$C$2:$Z$374,24,FALSE)</f>
        <v>2778942.4840000002</v>
      </c>
      <c r="Z95">
        <f t="shared" si="2"/>
        <v>0.99982186209219859</v>
      </c>
      <c r="AA95" t="s">
        <v>212</v>
      </c>
      <c r="AB95" t="str">
        <f t="shared" si="3"/>
        <v>Census Tract 5, King County, Washington</v>
      </c>
      <c r="AC95" s="3">
        <f>VLOOKUP($AB95,'2000 Seattle Tracts'!$C$2:$Y$374,AC$1,FALSE)*$Z95</f>
        <v>3295.4128574558868</v>
      </c>
      <c r="AD95" s="3">
        <f>VLOOKUP($AB95,'2000 Seattle Tracts'!$C$2:$Y$374,AD$1,FALSE)*$Z95</f>
        <v>2926.4785903438651</v>
      </c>
      <c r="AE95" s="3">
        <f>VLOOKUP($AB95,'2000 Seattle Tracts'!$C$2:$Y$374,AE$1,FALSE)*$Z95</f>
        <v>368.9342671120213</v>
      </c>
      <c r="AF95" s="3">
        <f>VLOOKUP($AB95,'2000 Seattle Tracts'!$C$2:$Y$374,AF$1,FALSE)*$Z95</f>
        <v>3295.4128574558868</v>
      </c>
      <c r="AG95" s="3">
        <f>VLOOKUP($AB95,'2000 Seattle Tracts'!$C$2:$Y$374,AG$1,FALSE)*$Z95</f>
        <v>2926.4785903438651</v>
      </c>
      <c r="AH95" s="3">
        <f>VLOOKUP($AB95,'2000 Seattle Tracts'!$C$2:$Y$374,AH$1,FALSE)*$Z95</f>
        <v>368.9342671120213</v>
      </c>
      <c r="AI95" s="3">
        <f>VLOOKUP($AB95,'2000 Seattle Tracts'!$C$2:$Y$374,AI$1,FALSE)*$Z95</f>
        <v>2664.525262475709</v>
      </c>
      <c r="AJ95" s="3">
        <f>VLOOKUP($AB95,'2000 Seattle Tracts'!$C$2:$Y$374,AJ$1,FALSE)*$Z95</f>
        <v>192.96561938379432</v>
      </c>
      <c r="AK95" s="3">
        <f>VLOOKUP($AB95,'2000 Seattle Tracts'!$C$2:$Y$374,AK$1,FALSE)*$Z95</f>
        <v>42.992340069964541</v>
      </c>
      <c r="AL95" s="3">
        <f>VLOOKUP($AB95,'2000 Seattle Tracts'!$C$2:$Y$374,AL$1,FALSE)*$Z95</f>
        <v>34.993765173226947</v>
      </c>
      <c r="AM95" s="3">
        <f>VLOOKUP($AB95,'2000 Seattle Tracts'!$C$2:$Y$374,AM$1,FALSE)*$Z95</f>
        <v>20.996259103936172</v>
      </c>
      <c r="AN95" s="3">
        <f>VLOOKUP($AB95,'2000 Seattle Tracts'!$C$2:$Y$374,AN$1,FALSE)*$Z95</f>
        <v>0</v>
      </c>
      <c r="AO95" s="3">
        <f>VLOOKUP($AB95,'2000 Seattle Tracts'!$C$2:$Y$374,AO$1,FALSE)*$Z95</f>
        <v>17.996793517659576</v>
      </c>
      <c r="AP95" s="3">
        <f>VLOOKUP($AB95,'2000 Seattle Tracts'!$C$2:$Y$374,AP$1,FALSE)*$Z95</f>
        <v>0</v>
      </c>
      <c r="AQ95" s="3">
        <f>VLOOKUP($AB95,'2000 Seattle Tracts'!$C$2:$Y$374,AQ$1,FALSE)*$Z95</f>
        <v>45.991805656241134</v>
      </c>
      <c r="AR95" s="3">
        <f>VLOOKUP($AB95,'2000 Seattle Tracts'!$C$2:$Y$374,AR$1,FALSE)*$Z95</f>
        <v>129.97684207198583</v>
      </c>
      <c r="AS95" s="3">
        <f>VLOOKUP($AB95,'2000 Seattle Tracts'!$C$2:$Y$374,AS$1,FALSE)*$Z95</f>
        <v>0</v>
      </c>
      <c r="AT95" s="3">
        <f>VLOOKUP($AB95,'2000 Seattle Tracts'!$C$2:$Y$374,AT$1,FALSE)*$Z95</f>
        <v>0</v>
      </c>
      <c r="AU95" s="3">
        <f>VLOOKUP($AB95,'2000 Seattle Tracts'!$C$2:$Y$374,AU$1,FALSE)*$Z95</f>
        <v>43.992161932056739</v>
      </c>
      <c r="AV95" s="3">
        <f>VLOOKUP($AB95,'2000 Seattle Tracts'!$C$2:$Y$374,AV$1,FALSE)*$Z95</f>
        <v>10.998040483014185</v>
      </c>
      <c r="AW95" s="3">
        <f>VLOOKUP($AB95,'2000 Seattle Tracts'!$C$2:$Y$374,AW$1,FALSE)*$Z95</f>
        <v>89.983967588297872</v>
      </c>
      <c r="AX95" s="3">
        <f>VLOOKUP($AB95,'2000 Seattle Tracts'!$C$2:$Y$374,AX$1,FALSE)*$Z95</f>
        <v>0</v>
      </c>
      <c r="AZ95" s="2" t="s">
        <v>3320</v>
      </c>
      <c r="BA95">
        <v>562286.58948505751</v>
      </c>
      <c r="BB95">
        <v>457881.05434559286</v>
      </c>
      <c r="BC95">
        <v>104405.53513946488</v>
      </c>
      <c r="BD95">
        <v>353290.56187059538</v>
      </c>
      <c r="BE95">
        <v>28195.489939573945</v>
      </c>
      <c r="BF95">
        <v>7250.8807710658048</v>
      </c>
      <c r="BG95">
        <v>5077.4520024320873</v>
      </c>
      <c r="BH95">
        <v>40429.445543044247</v>
      </c>
      <c r="BI95">
        <v>6195.694730059703</v>
      </c>
      <c r="BJ95">
        <v>5121.0677525758438</v>
      </c>
      <c r="BK95">
        <v>515.12935754285036</v>
      </c>
      <c r="BL95">
        <v>23049.904057171541</v>
      </c>
      <c r="BM95">
        <v>50649.964813093982</v>
      </c>
      <c r="BN95">
        <v>1453.8704595316499</v>
      </c>
      <c r="BO95">
        <v>1055.9879315643536</v>
      </c>
      <c r="BP95">
        <v>6736.3367256132897</v>
      </c>
      <c r="BQ95">
        <v>6236.6958823482146</v>
      </c>
      <c r="BR95">
        <v>20548.987165994899</v>
      </c>
      <c r="BS95">
        <v>6479.1204828497739</v>
      </c>
    </row>
    <row r="96" spans="1:71" x14ac:dyDescent="0.25">
      <c r="A96" t="s">
        <v>2917</v>
      </c>
      <c r="B96" t="s">
        <v>2918</v>
      </c>
      <c r="C96" t="s">
        <v>3032</v>
      </c>
      <c r="D96" t="s">
        <v>2671</v>
      </c>
      <c r="E96" t="s">
        <v>2672</v>
      </c>
      <c r="F96" t="s">
        <v>2673</v>
      </c>
      <c r="G96" t="s">
        <v>2920</v>
      </c>
      <c r="H96" t="s">
        <v>2921</v>
      </c>
      <c r="I96">
        <v>2882910</v>
      </c>
      <c r="J96">
        <v>6072394</v>
      </c>
      <c r="K96" t="s">
        <v>3386</v>
      </c>
      <c r="L96" t="s">
        <v>3387</v>
      </c>
      <c r="M96">
        <v>114</v>
      </c>
      <c r="N96">
        <v>32947.805</v>
      </c>
      <c r="O96" t="s">
        <v>122</v>
      </c>
      <c r="P96">
        <v>1</v>
      </c>
      <c r="Q96">
        <v>2</v>
      </c>
      <c r="R96">
        <v>33</v>
      </c>
      <c r="S96">
        <v>31062266</v>
      </c>
      <c r="T96">
        <v>116</v>
      </c>
      <c r="U96">
        <v>109</v>
      </c>
      <c r="V96">
        <v>32947.805911989883</v>
      </c>
      <c r="W96">
        <v>31062264.991369769</v>
      </c>
      <c r="X96">
        <v>487.73700000000002</v>
      </c>
      <c r="Y96">
        <f>VLOOKUP(AB96,'2000 Seattle Tracts'!$C$2:$Z$374,24,FALSE)</f>
        <v>2778942.4840000002</v>
      </c>
      <c r="Z96">
        <f t="shared" si="2"/>
        <v>1.7551172894300177E-4</v>
      </c>
      <c r="AA96" t="s">
        <v>217</v>
      </c>
      <c r="AB96" t="str">
        <f t="shared" si="3"/>
        <v>Census Tract 5, King County, Washington</v>
      </c>
      <c r="AC96" s="3">
        <f>VLOOKUP($AB96,'2000 Seattle Tracts'!$C$2:$Y$374,AC$1,FALSE)*$Z96</f>
        <v>0.5784866585961338</v>
      </c>
      <c r="AD96" s="3">
        <f>VLOOKUP($AB96,'2000 Seattle Tracts'!$C$2:$Y$374,AD$1,FALSE)*$Z96</f>
        <v>0.51372283061616619</v>
      </c>
      <c r="AE96" s="3">
        <f>VLOOKUP($AB96,'2000 Seattle Tracts'!$C$2:$Y$374,AE$1,FALSE)*$Z96</f>
        <v>6.4763827979967645E-2</v>
      </c>
      <c r="AF96" s="3">
        <f>VLOOKUP($AB96,'2000 Seattle Tracts'!$C$2:$Y$374,AF$1,FALSE)*$Z96</f>
        <v>0.5784866585961338</v>
      </c>
      <c r="AG96" s="3">
        <f>VLOOKUP($AB96,'2000 Seattle Tracts'!$C$2:$Y$374,AG$1,FALSE)*$Z96</f>
        <v>0.51372283061616619</v>
      </c>
      <c r="AH96" s="3">
        <f>VLOOKUP($AB96,'2000 Seattle Tracts'!$C$2:$Y$374,AH$1,FALSE)*$Z96</f>
        <v>6.4763827979967645E-2</v>
      </c>
      <c r="AI96" s="3">
        <f>VLOOKUP($AB96,'2000 Seattle Tracts'!$C$2:$Y$374,AI$1,FALSE)*$Z96</f>
        <v>0.46773875763309969</v>
      </c>
      <c r="AJ96" s="3">
        <f>VLOOKUP($AB96,'2000 Seattle Tracts'!$C$2:$Y$374,AJ$1,FALSE)*$Z96</f>
        <v>3.3873763685999342E-2</v>
      </c>
      <c r="AK96" s="3">
        <f>VLOOKUP($AB96,'2000 Seattle Tracts'!$C$2:$Y$374,AK$1,FALSE)*$Z96</f>
        <v>7.5470043445490763E-3</v>
      </c>
      <c r="AL96" s="3">
        <f>VLOOKUP($AB96,'2000 Seattle Tracts'!$C$2:$Y$374,AL$1,FALSE)*$Z96</f>
        <v>6.1429105130050617E-3</v>
      </c>
      <c r="AM96" s="3">
        <f>VLOOKUP($AB96,'2000 Seattle Tracts'!$C$2:$Y$374,AM$1,FALSE)*$Z96</f>
        <v>3.6857463078030371E-3</v>
      </c>
      <c r="AN96" s="3">
        <f>VLOOKUP($AB96,'2000 Seattle Tracts'!$C$2:$Y$374,AN$1,FALSE)*$Z96</f>
        <v>0</v>
      </c>
      <c r="AO96" s="3">
        <f>VLOOKUP($AB96,'2000 Seattle Tracts'!$C$2:$Y$374,AO$1,FALSE)*$Z96</f>
        <v>3.1592111209740319E-3</v>
      </c>
      <c r="AP96" s="3">
        <f>VLOOKUP($AB96,'2000 Seattle Tracts'!$C$2:$Y$374,AP$1,FALSE)*$Z96</f>
        <v>0</v>
      </c>
      <c r="AQ96" s="3">
        <f>VLOOKUP($AB96,'2000 Seattle Tracts'!$C$2:$Y$374,AQ$1,FALSE)*$Z96</f>
        <v>8.0735395313780815E-3</v>
      </c>
      <c r="AR96" s="3">
        <f>VLOOKUP($AB96,'2000 Seattle Tracts'!$C$2:$Y$374,AR$1,FALSE)*$Z96</f>
        <v>2.2816524762590228E-2</v>
      </c>
      <c r="AS96" s="3">
        <f>VLOOKUP($AB96,'2000 Seattle Tracts'!$C$2:$Y$374,AS$1,FALSE)*$Z96</f>
        <v>0</v>
      </c>
      <c r="AT96" s="3">
        <f>VLOOKUP($AB96,'2000 Seattle Tracts'!$C$2:$Y$374,AT$1,FALSE)*$Z96</f>
        <v>0</v>
      </c>
      <c r="AU96" s="3">
        <f>VLOOKUP($AB96,'2000 Seattle Tracts'!$C$2:$Y$374,AU$1,FALSE)*$Z96</f>
        <v>7.7225160734920775E-3</v>
      </c>
      <c r="AV96" s="3">
        <f>VLOOKUP($AB96,'2000 Seattle Tracts'!$C$2:$Y$374,AV$1,FALSE)*$Z96</f>
        <v>1.9306290183730194E-3</v>
      </c>
      <c r="AW96" s="3">
        <f>VLOOKUP($AB96,'2000 Seattle Tracts'!$C$2:$Y$374,AW$1,FALSE)*$Z96</f>
        <v>1.5796055604870157E-2</v>
      </c>
      <c r="AX96" s="3">
        <f>VLOOKUP($AB96,'2000 Seattle Tracts'!$C$2:$Y$374,AX$1,FALSE)*$Z96</f>
        <v>0</v>
      </c>
      <c r="BA96">
        <v>563375</v>
      </c>
      <c r="BB96">
        <v>458764</v>
      </c>
      <c r="BC96">
        <v>104611</v>
      </c>
      <c r="BD96">
        <v>353925</v>
      </c>
      <c r="BE96">
        <v>28245</v>
      </c>
      <c r="BF96">
        <v>7262</v>
      </c>
      <c r="BG96">
        <v>5086</v>
      </c>
      <c r="BH96">
        <v>40512</v>
      </c>
      <c r="BI96">
        <v>6204</v>
      </c>
      <c r="BJ96">
        <v>5129</v>
      </c>
      <c r="BK96">
        <v>516</v>
      </c>
      <c r="BL96">
        <v>23103</v>
      </c>
      <c r="BM96">
        <v>50746</v>
      </c>
      <c r="BN96">
        <v>1456</v>
      </c>
      <c r="BO96">
        <v>1058</v>
      </c>
      <c r="BP96">
        <v>6748</v>
      </c>
      <c r="BQ96">
        <v>6248</v>
      </c>
      <c r="BR96">
        <v>20629</v>
      </c>
      <c r="BS96">
        <v>6508</v>
      </c>
    </row>
    <row r="97" spans="1:50" x14ac:dyDescent="0.25">
      <c r="A97" t="s">
        <v>2917</v>
      </c>
      <c r="B97" t="s">
        <v>2918</v>
      </c>
      <c r="C97" t="s">
        <v>3029</v>
      </c>
      <c r="D97" t="s">
        <v>2707</v>
      </c>
      <c r="E97" t="s">
        <v>2708</v>
      </c>
      <c r="F97" t="s">
        <v>2709</v>
      </c>
      <c r="G97" t="s">
        <v>2920</v>
      </c>
      <c r="H97" t="s">
        <v>2921</v>
      </c>
      <c r="I97">
        <v>1798936</v>
      </c>
      <c r="J97">
        <v>0</v>
      </c>
      <c r="K97" t="s">
        <v>3030</v>
      </c>
      <c r="L97" t="s">
        <v>3031</v>
      </c>
      <c r="M97">
        <v>110</v>
      </c>
      <c r="N97">
        <v>34640.309000000001</v>
      </c>
      <c r="O97" t="s">
        <v>122</v>
      </c>
      <c r="P97">
        <v>1</v>
      </c>
      <c r="Q97">
        <v>2</v>
      </c>
      <c r="R97">
        <v>95</v>
      </c>
      <c r="S97">
        <v>48113448</v>
      </c>
      <c r="T97">
        <v>112</v>
      </c>
      <c r="U97">
        <v>100</v>
      </c>
      <c r="V97">
        <v>34640.309665739042</v>
      </c>
      <c r="W97">
        <v>48113449.730149508</v>
      </c>
      <c r="X97">
        <v>572103.40300000005</v>
      </c>
      <c r="Y97">
        <f>VLOOKUP(AB97,'2000 Seattle Tracts'!$C$2:$Z$374,24,FALSE)</f>
        <v>1798932.382</v>
      </c>
      <c r="Z97">
        <f t="shared" si="2"/>
        <v>0.31802385054848609</v>
      </c>
      <c r="AA97" t="s">
        <v>212</v>
      </c>
      <c r="AB97" t="str">
        <f t="shared" si="3"/>
        <v>Census Tract 4.02, King County, Washington</v>
      </c>
      <c r="AC97" s="3">
        <f>VLOOKUP($AB97,'2000 Seattle Tracts'!$C$2:$Y$374,AC$1,FALSE)*$Z97</f>
        <v>1457.1852832131633</v>
      </c>
      <c r="AD97" s="3">
        <f>VLOOKUP($AB97,'2000 Seattle Tracts'!$C$2:$Y$374,AD$1,FALSE)*$Z97</f>
        <v>1194.8156065106623</v>
      </c>
      <c r="AE97" s="3">
        <f>VLOOKUP($AB97,'2000 Seattle Tracts'!$C$2:$Y$374,AE$1,FALSE)*$Z97</f>
        <v>262.36967670250101</v>
      </c>
      <c r="AF97" s="3">
        <f>VLOOKUP($AB97,'2000 Seattle Tracts'!$C$2:$Y$374,AF$1,FALSE)*$Z97</f>
        <v>1457.1852832131633</v>
      </c>
      <c r="AG97" s="3">
        <f>VLOOKUP($AB97,'2000 Seattle Tracts'!$C$2:$Y$374,AG$1,FALSE)*$Z97</f>
        <v>1194.8156065106623</v>
      </c>
      <c r="AH97" s="3">
        <f>VLOOKUP($AB97,'2000 Seattle Tracts'!$C$2:$Y$374,AH$1,FALSE)*$Z97</f>
        <v>262.36967670250101</v>
      </c>
      <c r="AI97" s="3">
        <f>VLOOKUP($AB97,'2000 Seattle Tracts'!$C$2:$Y$374,AI$1,FALSE)*$Z97</f>
        <v>1025.6269180188676</v>
      </c>
      <c r="AJ97" s="3">
        <f>VLOOKUP($AB97,'2000 Seattle Tracts'!$C$2:$Y$374,AJ$1,FALSE)*$Z97</f>
        <v>112.58044309416408</v>
      </c>
      <c r="AK97" s="3">
        <f>VLOOKUP($AB97,'2000 Seattle Tracts'!$C$2:$Y$374,AK$1,FALSE)*$Z97</f>
        <v>20.989574136200083</v>
      </c>
      <c r="AL97" s="3">
        <f>VLOOKUP($AB97,'2000 Seattle Tracts'!$C$2:$Y$374,AL$1,FALSE)*$Z97</f>
        <v>6.3604770109697215</v>
      </c>
      <c r="AM97" s="3">
        <f>VLOOKUP($AB97,'2000 Seattle Tracts'!$C$2:$Y$374,AM$1,FALSE)*$Z97</f>
        <v>21.307597986748569</v>
      </c>
      <c r="AN97" s="3">
        <f>VLOOKUP($AB97,'2000 Seattle Tracts'!$C$2:$Y$374,AN$1,FALSE)*$Z97</f>
        <v>39.434957468012271</v>
      </c>
      <c r="AO97" s="3">
        <f>VLOOKUP($AB97,'2000 Seattle Tracts'!$C$2:$Y$374,AO$1,FALSE)*$Z97</f>
        <v>21.307597986748569</v>
      </c>
      <c r="AP97" s="3">
        <f>VLOOKUP($AB97,'2000 Seattle Tracts'!$C$2:$Y$374,AP$1,FALSE)*$Z97</f>
        <v>0</v>
      </c>
      <c r="AQ97" s="3">
        <f>VLOOKUP($AB97,'2000 Seattle Tracts'!$C$2:$Y$374,AQ$1,FALSE)*$Z97</f>
        <v>51.519863788854749</v>
      </c>
      <c r="AR97" s="3">
        <f>VLOOKUP($AB97,'2000 Seattle Tracts'!$C$2:$Y$374,AR$1,FALSE)*$Z97</f>
        <v>73.145485626151796</v>
      </c>
      <c r="AS97" s="3">
        <f>VLOOKUP($AB97,'2000 Seattle Tracts'!$C$2:$Y$374,AS$1,FALSE)*$Z97</f>
        <v>0</v>
      </c>
      <c r="AT97" s="3">
        <f>VLOOKUP($AB97,'2000 Seattle Tracts'!$C$2:$Y$374,AT$1,FALSE)*$Z97</f>
        <v>0</v>
      </c>
      <c r="AU97" s="3">
        <f>VLOOKUP($AB97,'2000 Seattle Tracts'!$C$2:$Y$374,AU$1,FALSE)*$Z97</f>
        <v>7.6325724131636665</v>
      </c>
      <c r="AV97" s="3">
        <f>VLOOKUP($AB97,'2000 Seattle Tracts'!$C$2:$Y$374,AV$1,FALSE)*$Z97</f>
        <v>27.986098848266774</v>
      </c>
      <c r="AW97" s="3">
        <f>VLOOKUP($AB97,'2000 Seattle Tracts'!$C$2:$Y$374,AW$1,FALSE)*$Z97</f>
        <v>46.431482180078966</v>
      </c>
      <c r="AX97" s="3">
        <f>VLOOKUP($AB97,'2000 Seattle Tracts'!$C$2:$Y$374,AX$1,FALSE)*$Z97</f>
        <v>2.8622146549363747</v>
      </c>
    </row>
    <row r="98" spans="1:50" x14ac:dyDescent="0.25">
      <c r="A98" t="s">
        <v>2917</v>
      </c>
      <c r="B98" t="s">
        <v>2918</v>
      </c>
      <c r="C98" t="s">
        <v>3029</v>
      </c>
      <c r="D98" t="s">
        <v>2707</v>
      </c>
      <c r="E98" t="s">
        <v>2708</v>
      </c>
      <c r="F98" t="s">
        <v>2709</v>
      </c>
      <c r="G98" t="s">
        <v>2920</v>
      </c>
      <c r="H98" t="s">
        <v>2921</v>
      </c>
      <c r="I98">
        <v>1798936</v>
      </c>
      <c r="J98">
        <v>0</v>
      </c>
      <c r="K98" t="s">
        <v>3030</v>
      </c>
      <c r="L98" t="s">
        <v>3031</v>
      </c>
      <c r="M98">
        <v>111</v>
      </c>
      <c r="N98">
        <v>26446.203000000001</v>
      </c>
      <c r="O98" t="s">
        <v>122</v>
      </c>
      <c r="P98">
        <v>1</v>
      </c>
      <c r="Q98">
        <v>2</v>
      </c>
      <c r="R98">
        <v>23</v>
      </c>
      <c r="S98">
        <v>27690336</v>
      </c>
      <c r="T98">
        <v>113</v>
      </c>
      <c r="U98">
        <v>101</v>
      </c>
      <c r="V98">
        <v>26446.20305409377</v>
      </c>
      <c r="W98">
        <v>27690336.443909489</v>
      </c>
      <c r="X98">
        <v>1226416.4639999999</v>
      </c>
      <c r="Y98">
        <f>VLOOKUP(AB98,'2000 Seattle Tracts'!$C$2:$Z$374,24,FALSE)</f>
        <v>1798932.382</v>
      </c>
      <c r="Z98">
        <f t="shared" si="2"/>
        <v>0.68174683844231332</v>
      </c>
      <c r="AA98" t="s">
        <v>213</v>
      </c>
      <c r="AB98" t="str">
        <f t="shared" si="3"/>
        <v>Census Tract 4.02, King County, Washington</v>
      </c>
      <c r="AC98" s="3">
        <f>VLOOKUP($AB98,'2000 Seattle Tracts'!$C$2:$Y$374,AC$1,FALSE)*$Z98</f>
        <v>3123.7640137426797</v>
      </c>
      <c r="AD98" s="3">
        <f>VLOOKUP($AB98,'2000 Seattle Tracts'!$C$2:$Y$374,AD$1,FALSE)*$Z98</f>
        <v>2561.3228720277712</v>
      </c>
      <c r="AE98" s="3">
        <f>VLOOKUP($AB98,'2000 Seattle Tracts'!$C$2:$Y$374,AE$1,FALSE)*$Z98</f>
        <v>562.44114171490844</v>
      </c>
      <c r="AF98" s="3">
        <f>VLOOKUP($AB98,'2000 Seattle Tracts'!$C$2:$Y$374,AF$1,FALSE)*$Z98</f>
        <v>3123.7640137426797</v>
      </c>
      <c r="AG98" s="3">
        <f>VLOOKUP($AB98,'2000 Seattle Tracts'!$C$2:$Y$374,AG$1,FALSE)*$Z98</f>
        <v>2561.3228720277712</v>
      </c>
      <c r="AH98" s="3">
        <f>VLOOKUP($AB98,'2000 Seattle Tracts'!$C$2:$Y$374,AH$1,FALSE)*$Z98</f>
        <v>562.44114171490844</v>
      </c>
      <c r="AI98" s="3">
        <f>VLOOKUP($AB98,'2000 Seattle Tracts'!$C$2:$Y$374,AI$1,FALSE)*$Z98</f>
        <v>2198.6335539764605</v>
      </c>
      <c r="AJ98" s="3">
        <f>VLOOKUP($AB98,'2000 Seattle Tracts'!$C$2:$Y$374,AJ$1,FALSE)*$Z98</f>
        <v>241.3383808085789</v>
      </c>
      <c r="AK98" s="3">
        <f>VLOOKUP($AB98,'2000 Seattle Tracts'!$C$2:$Y$374,AK$1,FALSE)*$Z98</f>
        <v>44.995291337192683</v>
      </c>
      <c r="AL98" s="3">
        <f>VLOOKUP($AB98,'2000 Seattle Tracts'!$C$2:$Y$374,AL$1,FALSE)*$Z98</f>
        <v>13.634936768846266</v>
      </c>
      <c r="AM98" s="3">
        <f>VLOOKUP($AB98,'2000 Seattle Tracts'!$C$2:$Y$374,AM$1,FALSE)*$Z98</f>
        <v>45.677038175634991</v>
      </c>
      <c r="AN98" s="3">
        <f>VLOOKUP($AB98,'2000 Seattle Tracts'!$C$2:$Y$374,AN$1,FALSE)*$Z98</f>
        <v>84.536607966846844</v>
      </c>
      <c r="AO98" s="3">
        <f>VLOOKUP($AB98,'2000 Seattle Tracts'!$C$2:$Y$374,AO$1,FALSE)*$Z98</f>
        <v>45.677038175634991</v>
      </c>
      <c r="AP98" s="3">
        <f>VLOOKUP($AB98,'2000 Seattle Tracts'!$C$2:$Y$374,AP$1,FALSE)*$Z98</f>
        <v>0</v>
      </c>
      <c r="AQ98" s="3">
        <f>VLOOKUP($AB98,'2000 Seattle Tracts'!$C$2:$Y$374,AQ$1,FALSE)*$Z98</f>
        <v>110.44298782765476</v>
      </c>
      <c r="AR98" s="3">
        <f>VLOOKUP($AB98,'2000 Seattle Tracts'!$C$2:$Y$374,AR$1,FALSE)*$Z98</f>
        <v>156.80177284173206</v>
      </c>
      <c r="AS98" s="3">
        <f>VLOOKUP($AB98,'2000 Seattle Tracts'!$C$2:$Y$374,AS$1,FALSE)*$Z98</f>
        <v>0</v>
      </c>
      <c r="AT98" s="3">
        <f>VLOOKUP($AB98,'2000 Seattle Tracts'!$C$2:$Y$374,AT$1,FALSE)*$Z98</f>
        <v>0</v>
      </c>
      <c r="AU98" s="3">
        <f>VLOOKUP($AB98,'2000 Seattle Tracts'!$C$2:$Y$374,AU$1,FALSE)*$Z98</f>
        <v>16.36192412261552</v>
      </c>
      <c r="AV98" s="3">
        <f>VLOOKUP($AB98,'2000 Seattle Tracts'!$C$2:$Y$374,AV$1,FALSE)*$Z98</f>
        <v>59.993721782923572</v>
      </c>
      <c r="AW98" s="3">
        <f>VLOOKUP($AB98,'2000 Seattle Tracts'!$C$2:$Y$374,AW$1,FALSE)*$Z98</f>
        <v>99.535038412577748</v>
      </c>
      <c r="AX98" s="3">
        <f>VLOOKUP($AB98,'2000 Seattle Tracts'!$C$2:$Y$374,AX$1,FALSE)*$Z98</f>
        <v>6.1357215459808199</v>
      </c>
    </row>
    <row r="99" spans="1:50" x14ac:dyDescent="0.25">
      <c r="A99" t="s">
        <v>2917</v>
      </c>
      <c r="B99" t="s">
        <v>2918</v>
      </c>
      <c r="C99" t="s">
        <v>3029</v>
      </c>
      <c r="D99" t="s">
        <v>2707</v>
      </c>
      <c r="E99" t="s">
        <v>2708</v>
      </c>
      <c r="F99" t="s">
        <v>2709</v>
      </c>
      <c r="G99" t="s">
        <v>2920</v>
      </c>
      <c r="H99" t="s">
        <v>2921</v>
      </c>
      <c r="I99">
        <v>1798936</v>
      </c>
      <c r="J99">
        <v>0</v>
      </c>
      <c r="K99" t="s">
        <v>3030</v>
      </c>
      <c r="L99" t="s">
        <v>3031</v>
      </c>
      <c r="M99">
        <v>112</v>
      </c>
      <c r="N99">
        <v>29413.553</v>
      </c>
      <c r="O99" t="s">
        <v>215</v>
      </c>
      <c r="P99">
        <v>2</v>
      </c>
      <c r="Q99">
        <v>10</v>
      </c>
      <c r="R99">
        <v>95</v>
      </c>
      <c r="S99">
        <v>47203080</v>
      </c>
      <c r="T99">
        <v>114</v>
      </c>
      <c r="U99">
        <v>102</v>
      </c>
      <c r="V99">
        <v>29413.553448415088</v>
      </c>
      <c r="W99">
        <v>47203081.07955838</v>
      </c>
      <c r="X99">
        <v>412.51600000000002</v>
      </c>
      <c r="Y99">
        <f>VLOOKUP(AB99,'2000 Seattle Tracts'!$C$2:$Z$374,24,FALSE)</f>
        <v>1798932.382</v>
      </c>
      <c r="Z99">
        <f t="shared" si="2"/>
        <v>2.2931156508582991E-4</v>
      </c>
      <c r="AA99" t="s">
        <v>214</v>
      </c>
      <c r="AB99" t="str">
        <f t="shared" si="3"/>
        <v>Census Tract 4.02, King County, Washington</v>
      </c>
      <c r="AC99" s="3">
        <f>VLOOKUP($AB99,'2000 Seattle Tracts'!$C$2:$Y$374,AC$1,FALSE)*$Z99</f>
        <v>1.0507055912232726</v>
      </c>
      <c r="AD99" s="3">
        <f>VLOOKUP($AB99,'2000 Seattle Tracts'!$C$2:$Y$374,AD$1,FALSE)*$Z99</f>
        <v>0.86152355002746295</v>
      </c>
      <c r="AE99" s="3">
        <f>VLOOKUP($AB99,'2000 Seattle Tracts'!$C$2:$Y$374,AE$1,FALSE)*$Z99</f>
        <v>0.18918204119580967</v>
      </c>
      <c r="AF99" s="3">
        <f>VLOOKUP($AB99,'2000 Seattle Tracts'!$C$2:$Y$374,AF$1,FALSE)*$Z99</f>
        <v>1.0507055912232726</v>
      </c>
      <c r="AG99" s="3">
        <f>VLOOKUP($AB99,'2000 Seattle Tracts'!$C$2:$Y$374,AG$1,FALSE)*$Z99</f>
        <v>0.86152355002746295</v>
      </c>
      <c r="AH99" s="3">
        <f>VLOOKUP($AB99,'2000 Seattle Tracts'!$C$2:$Y$374,AH$1,FALSE)*$Z99</f>
        <v>0.18918204119580967</v>
      </c>
      <c r="AI99" s="3">
        <f>VLOOKUP($AB99,'2000 Seattle Tracts'!$C$2:$Y$374,AI$1,FALSE)*$Z99</f>
        <v>0.73952979740180147</v>
      </c>
      <c r="AJ99" s="3">
        <f>VLOOKUP($AB99,'2000 Seattle Tracts'!$C$2:$Y$374,AJ$1,FALSE)*$Z99</f>
        <v>8.117629404038379E-2</v>
      </c>
      <c r="AK99" s="3">
        <f>VLOOKUP($AB99,'2000 Seattle Tracts'!$C$2:$Y$374,AK$1,FALSE)*$Z99</f>
        <v>1.5134563295664774E-2</v>
      </c>
      <c r="AL99" s="3">
        <f>VLOOKUP($AB99,'2000 Seattle Tracts'!$C$2:$Y$374,AL$1,FALSE)*$Z99</f>
        <v>4.5862313017165984E-3</v>
      </c>
      <c r="AM99" s="3">
        <f>VLOOKUP($AB99,'2000 Seattle Tracts'!$C$2:$Y$374,AM$1,FALSE)*$Z99</f>
        <v>1.5363874860750604E-2</v>
      </c>
      <c r="AN99" s="3">
        <f>VLOOKUP($AB99,'2000 Seattle Tracts'!$C$2:$Y$374,AN$1,FALSE)*$Z99</f>
        <v>2.8434634070642908E-2</v>
      </c>
      <c r="AO99" s="3">
        <f>VLOOKUP($AB99,'2000 Seattle Tracts'!$C$2:$Y$374,AO$1,FALSE)*$Z99</f>
        <v>1.5363874860750604E-2</v>
      </c>
      <c r="AP99" s="3">
        <f>VLOOKUP($AB99,'2000 Seattle Tracts'!$C$2:$Y$374,AP$1,FALSE)*$Z99</f>
        <v>0</v>
      </c>
      <c r="AQ99" s="3">
        <f>VLOOKUP($AB99,'2000 Seattle Tracts'!$C$2:$Y$374,AQ$1,FALSE)*$Z99</f>
        <v>3.7148473543904444E-2</v>
      </c>
      <c r="AR99" s="3">
        <f>VLOOKUP($AB99,'2000 Seattle Tracts'!$C$2:$Y$374,AR$1,FALSE)*$Z99</f>
        <v>5.2741659969740881E-2</v>
      </c>
      <c r="AS99" s="3">
        <f>VLOOKUP($AB99,'2000 Seattle Tracts'!$C$2:$Y$374,AS$1,FALSE)*$Z99</f>
        <v>0</v>
      </c>
      <c r="AT99" s="3">
        <f>VLOOKUP($AB99,'2000 Seattle Tracts'!$C$2:$Y$374,AT$1,FALSE)*$Z99</f>
        <v>0</v>
      </c>
      <c r="AU99" s="3">
        <f>VLOOKUP($AB99,'2000 Seattle Tracts'!$C$2:$Y$374,AU$1,FALSE)*$Z99</f>
        <v>5.5034775620599174E-3</v>
      </c>
      <c r="AV99" s="3">
        <f>VLOOKUP($AB99,'2000 Seattle Tracts'!$C$2:$Y$374,AV$1,FALSE)*$Z99</f>
        <v>2.0179417727553033E-2</v>
      </c>
      <c r="AW99" s="3">
        <f>VLOOKUP($AB99,'2000 Seattle Tracts'!$C$2:$Y$374,AW$1,FALSE)*$Z99</f>
        <v>3.3479488502531164E-2</v>
      </c>
      <c r="AX99" s="3">
        <f>VLOOKUP($AB99,'2000 Seattle Tracts'!$C$2:$Y$374,AX$1,FALSE)*$Z99</f>
        <v>2.0638040857724692E-3</v>
      </c>
    </row>
    <row r="100" spans="1:50" x14ac:dyDescent="0.25">
      <c r="A100" t="s">
        <v>2917</v>
      </c>
      <c r="B100" t="s">
        <v>2918</v>
      </c>
      <c r="C100" t="s">
        <v>3119</v>
      </c>
      <c r="D100" t="s">
        <v>2710</v>
      </c>
      <c r="E100" t="s">
        <v>2711</v>
      </c>
      <c r="F100" t="s">
        <v>2712</v>
      </c>
      <c r="G100" t="s">
        <v>2920</v>
      </c>
      <c r="H100" t="s">
        <v>2921</v>
      </c>
      <c r="I100">
        <v>1281899</v>
      </c>
      <c r="J100">
        <v>81874</v>
      </c>
      <c r="K100" t="s">
        <v>3388</v>
      </c>
      <c r="L100" t="s">
        <v>3389</v>
      </c>
      <c r="M100">
        <v>110</v>
      </c>
      <c r="N100">
        <v>34640.309000000001</v>
      </c>
      <c r="O100" t="s">
        <v>122</v>
      </c>
      <c r="P100">
        <v>1</v>
      </c>
      <c r="Q100">
        <v>2</v>
      </c>
      <c r="R100">
        <v>95</v>
      </c>
      <c r="S100">
        <v>48113448</v>
      </c>
      <c r="T100">
        <v>112</v>
      </c>
      <c r="U100">
        <v>100</v>
      </c>
      <c r="V100">
        <v>34640.309665739042</v>
      </c>
      <c r="W100">
        <v>48113449.730149508</v>
      </c>
      <c r="X100">
        <v>406964.42599999998</v>
      </c>
      <c r="Y100">
        <f>VLOOKUP(AB100,'2000 Seattle Tracts'!$C$2:$Z$374,24,FALSE)</f>
        <v>1286647.0049999999</v>
      </c>
      <c r="Z100">
        <f t="shared" si="2"/>
        <v>0.31629842872093733</v>
      </c>
      <c r="AA100" t="s">
        <v>212</v>
      </c>
      <c r="AB100" t="str">
        <f t="shared" si="3"/>
        <v>Census Tract 4.01, King County, Washington</v>
      </c>
      <c r="AC100" s="3">
        <f>VLOOKUP($AB100,'2000 Seattle Tracts'!$C$2:$Y$374,AC$1,FALSE)*$Z100</f>
        <v>1497.3567615649174</v>
      </c>
      <c r="AD100" s="3">
        <f>VLOOKUP($AB100,'2000 Seattle Tracts'!$C$2:$Y$374,AD$1,FALSE)*$Z100</f>
        <v>1133.6135685358395</v>
      </c>
      <c r="AE100" s="3">
        <f>VLOOKUP($AB100,'2000 Seattle Tracts'!$C$2:$Y$374,AE$1,FALSE)*$Z100</f>
        <v>363.74319302907793</v>
      </c>
      <c r="AF100" s="3">
        <f>VLOOKUP($AB100,'2000 Seattle Tracts'!$C$2:$Y$374,AF$1,FALSE)*$Z100</f>
        <v>1497.3567615649174</v>
      </c>
      <c r="AG100" s="3">
        <f>VLOOKUP($AB100,'2000 Seattle Tracts'!$C$2:$Y$374,AG$1,FALSE)*$Z100</f>
        <v>1133.6135685358395</v>
      </c>
      <c r="AH100" s="3">
        <f>VLOOKUP($AB100,'2000 Seattle Tracts'!$C$2:$Y$374,AH$1,FALSE)*$Z100</f>
        <v>363.74319302907793</v>
      </c>
      <c r="AI100" s="3">
        <f>VLOOKUP($AB100,'2000 Seattle Tracts'!$C$2:$Y$374,AI$1,FALSE)*$Z100</f>
        <v>961.23092488292855</v>
      </c>
      <c r="AJ100" s="3">
        <f>VLOOKUP($AB100,'2000 Seattle Tracts'!$C$2:$Y$374,AJ$1,FALSE)*$Z100</f>
        <v>78.442010322792456</v>
      </c>
      <c r="AK100" s="3">
        <f>VLOOKUP($AB100,'2000 Seattle Tracts'!$C$2:$Y$374,AK$1,FALSE)*$Z100</f>
        <v>9.805251290349057</v>
      </c>
      <c r="AL100" s="3">
        <f>VLOOKUP($AB100,'2000 Seattle Tracts'!$C$2:$Y$374,AL$1,FALSE)*$Z100</f>
        <v>31.94614130081467</v>
      </c>
      <c r="AM100" s="3">
        <f>VLOOKUP($AB100,'2000 Seattle Tracts'!$C$2:$Y$374,AM$1,FALSE)*$Z100</f>
        <v>13.917130863721242</v>
      </c>
      <c r="AN100" s="3">
        <f>VLOOKUP($AB100,'2000 Seattle Tracts'!$C$2:$Y$374,AN$1,FALSE)*$Z100</f>
        <v>30.68094758593092</v>
      </c>
      <c r="AO100" s="3">
        <f>VLOOKUP($AB100,'2000 Seattle Tracts'!$C$2:$Y$374,AO$1,FALSE)*$Z100</f>
        <v>1.5814921436046867</v>
      </c>
      <c r="AP100" s="3">
        <f>VLOOKUP($AB100,'2000 Seattle Tracts'!$C$2:$Y$374,AP$1,FALSE)*$Z100</f>
        <v>0</v>
      </c>
      <c r="AQ100" s="3">
        <f>VLOOKUP($AB100,'2000 Seattle Tracts'!$C$2:$Y$374,AQ$1,FALSE)*$Z100</f>
        <v>37.323214589070602</v>
      </c>
      <c r="AR100" s="3">
        <f>VLOOKUP($AB100,'2000 Seattle Tracts'!$C$2:$Y$374,AR$1,FALSE)*$Z100</f>
        <v>174.28043422523646</v>
      </c>
      <c r="AS100" s="3">
        <f>VLOOKUP($AB100,'2000 Seattle Tracts'!$C$2:$Y$374,AS$1,FALSE)*$Z100</f>
        <v>3.4792827159303106</v>
      </c>
      <c r="AT100" s="3">
        <f>VLOOKUP($AB100,'2000 Seattle Tracts'!$C$2:$Y$374,AT$1,FALSE)*$Z100</f>
        <v>0</v>
      </c>
      <c r="AU100" s="3">
        <f>VLOOKUP($AB100,'2000 Seattle Tracts'!$C$2:$Y$374,AU$1,FALSE)*$Z100</f>
        <v>45.230675307094039</v>
      </c>
      <c r="AV100" s="3">
        <f>VLOOKUP($AB100,'2000 Seattle Tracts'!$C$2:$Y$374,AV$1,FALSE)*$Z100</f>
        <v>12.968235577558431</v>
      </c>
      <c r="AW100" s="3">
        <f>VLOOKUP($AB100,'2000 Seattle Tracts'!$C$2:$Y$374,AW$1,FALSE)*$Z100</f>
        <v>61.045596743140905</v>
      </c>
      <c r="AX100" s="3">
        <f>VLOOKUP($AB100,'2000 Seattle Tracts'!$C$2:$Y$374,AX$1,FALSE)*$Z100</f>
        <v>35.425424016744984</v>
      </c>
    </row>
    <row r="101" spans="1:50" x14ac:dyDescent="0.25">
      <c r="A101" t="s">
        <v>2917</v>
      </c>
      <c r="B101" t="s">
        <v>2918</v>
      </c>
      <c r="C101" t="s">
        <v>3119</v>
      </c>
      <c r="D101" t="s">
        <v>2710</v>
      </c>
      <c r="E101" t="s">
        <v>2711</v>
      </c>
      <c r="F101" t="s">
        <v>2712</v>
      </c>
      <c r="G101" t="s">
        <v>2920</v>
      </c>
      <c r="H101" t="s">
        <v>2921</v>
      </c>
      <c r="I101">
        <v>1281899</v>
      </c>
      <c r="J101">
        <v>81874</v>
      </c>
      <c r="K101" t="s">
        <v>3388</v>
      </c>
      <c r="L101" t="s">
        <v>3389</v>
      </c>
      <c r="M101">
        <v>111</v>
      </c>
      <c r="N101">
        <v>26446.203000000001</v>
      </c>
      <c r="O101" t="s">
        <v>122</v>
      </c>
      <c r="P101">
        <v>1</v>
      </c>
      <c r="Q101">
        <v>2</v>
      </c>
      <c r="R101">
        <v>23</v>
      </c>
      <c r="S101">
        <v>27690336</v>
      </c>
      <c r="T101">
        <v>113</v>
      </c>
      <c r="U101">
        <v>101</v>
      </c>
      <c r="V101">
        <v>26446.20305409377</v>
      </c>
      <c r="W101">
        <v>27690336.443909489</v>
      </c>
      <c r="X101">
        <v>879525.93200000003</v>
      </c>
      <c r="Y101">
        <f>VLOOKUP(AB101,'2000 Seattle Tracts'!$C$2:$Z$374,24,FALSE)</f>
        <v>1286647.0049999999</v>
      </c>
      <c r="Z101">
        <f t="shared" si="2"/>
        <v>0.68357982304556031</v>
      </c>
      <c r="AA101" t="s">
        <v>213</v>
      </c>
      <c r="AB101" t="str">
        <f t="shared" si="3"/>
        <v>Census Tract 4.01, King County, Washington</v>
      </c>
      <c r="AC101" s="3">
        <f>VLOOKUP($AB101,'2000 Seattle Tracts'!$C$2:$Y$374,AC$1,FALSE)*$Z101</f>
        <v>3236.0668822976827</v>
      </c>
      <c r="AD101" s="3">
        <f>VLOOKUP($AB101,'2000 Seattle Tracts'!$C$2:$Y$374,AD$1,FALSE)*$Z101</f>
        <v>2449.950085795288</v>
      </c>
      <c r="AE101" s="3">
        <f>VLOOKUP($AB101,'2000 Seattle Tracts'!$C$2:$Y$374,AE$1,FALSE)*$Z101</f>
        <v>786.11679650239432</v>
      </c>
      <c r="AF101" s="3">
        <f>VLOOKUP($AB101,'2000 Seattle Tracts'!$C$2:$Y$374,AF$1,FALSE)*$Z101</f>
        <v>3236.0668822976827</v>
      </c>
      <c r="AG101" s="3">
        <f>VLOOKUP($AB101,'2000 Seattle Tracts'!$C$2:$Y$374,AG$1,FALSE)*$Z101</f>
        <v>2449.950085795288</v>
      </c>
      <c r="AH101" s="3">
        <f>VLOOKUP($AB101,'2000 Seattle Tracts'!$C$2:$Y$374,AH$1,FALSE)*$Z101</f>
        <v>786.11679650239432</v>
      </c>
      <c r="AI101" s="3">
        <f>VLOOKUP($AB101,'2000 Seattle Tracts'!$C$2:$Y$374,AI$1,FALSE)*$Z101</f>
        <v>2077.3990822354576</v>
      </c>
      <c r="AJ101" s="3">
        <f>VLOOKUP($AB101,'2000 Seattle Tracts'!$C$2:$Y$374,AJ$1,FALSE)*$Z101</f>
        <v>169.52779611529897</v>
      </c>
      <c r="AK101" s="3">
        <f>VLOOKUP($AB101,'2000 Seattle Tracts'!$C$2:$Y$374,AK$1,FALSE)*$Z101</f>
        <v>21.190974514412371</v>
      </c>
      <c r="AL101" s="3">
        <f>VLOOKUP($AB101,'2000 Seattle Tracts'!$C$2:$Y$374,AL$1,FALSE)*$Z101</f>
        <v>69.041562127601594</v>
      </c>
      <c r="AM101" s="3">
        <f>VLOOKUP($AB101,'2000 Seattle Tracts'!$C$2:$Y$374,AM$1,FALSE)*$Z101</f>
        <v>30.077512214004653</v>
      </c>
      <c r="AN101" s="3">
        <f>VLOOKUP($AB101,'2000 Seattle Tracts'!$C$2:$Y$374,AN$1,FALSE)*$Z101</f>
        <v>66.307242835419345</v>
      </c>
      <c r="AO101" s="3">
        <f>VLOOKUP($AB101,'2000 Seattle Tracts'!$C$2:$Y$374,AO$1,FALSE)*$Z101</f>
        <v>3.4178991152278018</v>
      </c>
      <c r="AP101" s="3">
        <f>VLOOKUP($AB101,'2000 Seattle Tracts'!$C$2:$Y$374,AP$1,FALSE)*$Z101</f>
        <v>0</v>
      </c>
      <c r="AQ101" s="3">
        <f>VLOOKUP($AB101,'2000 Seattle Tracts'!$C$2:$Y$374,AQ$1,FALSE)*$Z101</f>
        <v>80.662419119376111</v>
      </c>
      <c r="AR101" s="3">
        <f>VLOOKUP($AB101,'2000 Seattle Tracts'!$C$2:$Y$374,AR$1,FALSE)*$Z101</f>
        <v>376.65248249810372</v>
      </c>
      <c r="AS101" s="3">
        <f>VLOOKUP($AB101,'2000 Seattle Tracts'!$C$2:$Y$374,AS$1,FALSE)*$Z101</f>
        <v>7.5193780535011632</v>
      </c>
      <c r="AT101" s="3">
        <f>VLOOKUP($AB101,'2000 Seattle Tracts'!$C$2:$Y$374,AT$1,FALSE)*$Z101</f>
        <v>0</v>
      </c>
      <c r="AU101" s="3">
        <f>VLOOKUP($AB101,'2000 Seattle Tracts'!$C$2:$Y$374,AU$1,FALSE)*$Z101</f>
        <v>97.751914695515126</v>
      </c>
      <c r="AV101" s="3">
        <f>VLOOKUP($AB101,'2000 Seattle Tracts'!$C$2:$Y$374,AV$1,FALSE)*$Z101</f>
        <v>28.026772744867973</v>
      </c>
      <c r="AW101" s="3">
        <f>VLOOKUP($AB101,'2000 Seattle Tracts'!$C$2:$Y$374,AW$1,FALSE)*$Z101</f>
        <v>131.93090584779313</v>
      </c>
      <c r="AX101" s="3">
        <f>VLOOKUP($AB101,'2000 Seattle Tracts'!$C$2:$Y$374,AX$1,FALSE)*$Z101</f>
        <v>76.560940181102751</v>
      </c>
    </row>
    <row r="102" spans="1:50" x14ac:dyDescent="0.25">
      <c r="A102" t="s">
        <v>2917</v>
      </c>
      <c r="B102" t="s">
        <v>2918</v>
      </c>
      <c r="C102" t="s">
        <v>3119</v>
      </c>
      <c r="D102" t="s">
        <v>2710</v>
      </c>
      <c r="E102" t="s">
        <v>2711</v>
      </c>
      <c r="F102" t="s">
        <v>2712</v>
      </c>
      <c r="G102" t="s">
        <v>2920</v>
      </c>
      <c r="H102" t="s">
        <v>2921</v>
      </c>
      <c r="I102">
        <v>1281899</v>
      </c>
      <c r="J102">
        <v>81874</v>
      </c>
      <c r="K102" t="s">
        <v>3388</v>
      </c>
      <c r="L102" t="s">
        <v>3389</v>
      </c>
      <c r="M102">
        <v>112</v>
      </c>
      <c r="N102">
        <v>29413.553</v>
      </c>
      <c r="O102" t="s">
        <v>215</v>
      </c>
      <c r="P102">
        <v>2</v>
      </c>
      <c r="Q102">
        <v>10</v>
      </c>
      <c r="R102">
        <v>95</v>
      </c>
      <c r="S102">
        <v>47203080</v>
      </c>
      <c r="T102">
        <v>114</v>
      </c>
      <c r="U102">
        <v>102</v>
      </c>
      <c r="V102">
        <v>29413.553448415088</v>
      </c>
      <c r="W102">
        <v>47203081.07955838</v>
      </c>
      <c r="X102">
        <v>156.648</v>
      </c>
      <c r="Y102">
        <f>VLOOKUP(AB102,'2000 Seattle Tracts'!$C$2:$Z$374,24,FALSE)</f>
        <v>1286647.0049999999</v>
      </c>
      <c r="Z102">
        <f t="shared" si="2"/>
        <v>1.2174901071642413E-4</v>
      </c>
      <c r="AA102" t="s">
        <v>214</v>
      </c>
      <c r="AB102" t="str">
        <f t="shared" si="3"/>
        <v>Census Tract 4.01, King County, Washington</v>
      </c>
      <c r="AC102" s="3">
        <f>VLOOKUP($AB102,'2000 Seattle Tracts'!$C$2:$Y$374,AC$1,FALSE)*$Z102</f>
        <v>0.57635981673155179</v>
      </c>
      <c r="AD102" s="3">
        <f>VLOOKUP($AB102,'2000 Seattle Tracts'!$C$2:$Y$374,AD$1,FALSE)*$Z102</f>
        <v>0.43634845440766407</v>
      </c>
      <c r="AE102" s="3">
        <f>VLOOKUP($AB102,'2000 Seattle Tracts'!$C$2:$Y$374,AE$1,FALSE)*$Z102</f>
        <v>0.14001136232388775</v>
      </c>
      <c r="AF102" s="3">
        <f>VLOOKUP($AB102,'2000 Seattle Tracts'!$C$2:$Y$374,AF$1,FALSE)*$Z102</f>
        <v>0.57635981673155179</v>
      </c>
      <c r="AG102" s="3">
        <f>VLOOKUP($AB102,'2000 Seattle Tracts'!$C$2:$Y$374,AG$1,FALSE)*$Z102</f>
        <v>0.43634845440766407</v>
      </c>
      <c r="AH102" s="3">
        <f>VLOOKUP($AB102,'2000 Seattle Tracts'!$C$2:$Y$374,AH$1,FALSE)*$Z102</f>
        <v>0.14001136232388775</v>
      </c>
      <c r="AI102" s="3">
        <f>VLOOKUP($AB102,'2000 Seattle Tracts'!$C$2:$Y$374,AI$1,FALSE)*$Z102</f>
        <v>0.36999524356721292</v>
      </c>
      <c r="AJ102" s="3">
        <f>VLOOKUP($AB102,'2000 Seattle Tracts'!$C$2:$Y$374,AJ$1,FALSE)*$Z102</f>
        <v>3.0193754657673183E-2</v>
      </c>
      <c r="AK102" s="3">
        <f>VLOOKUP($AB102,'2000 Seattle Tracts'!$C$2:$Y$374,AK$1,FALSE)*$Z102</f>
        <v>3.7742193322091479E-3</v>
      </c>
      <c r="AL102" s="3">
        <f>VLOOKUP($AB102,'2000 Seattle Tracts'!$C$2:$Y$374,AL$1,FALSE)*$Z102</f>
        <v>1.2296650082358838E-2</v>
      </c>
      <c r="AM102" s="3">
        <f>VLOOKUP($AB102,'2000 Seattle Tracts'!$C$2:$Y$374,AM$1,FALSE)*$Z102</f>
        <v>5.3569564715226616E-3</v>
      </c>
      <c r="AN102" s="3">
        <f>VLOOKUP($AB102,'2000 Seattle Tracts'!$C$2:$Y$374,AN$1,FALSE)*$Z102</f>
        <v>1.1809654039493141E-2</v>
      </c>
      <c r="AO102" s="3">
        <f>VLOOKUP($AB102,'2000 Seattle Tracts'!$C$2:$Y$374,AO$1,FALSE)*$Z102</f>
        <v>6.0874505358212067E-4</v>
      </c>
      <c r="AP102" s="3">
        <f>VLOOKUP($AB102,'2000 Seattle Tracts'!$C$2:$Y$374,AP$1,FALSE)*$Z102</f>
        <v>0</v>
      </c>
      <c r="AQ102" s="3">
        <f>VLOOKUP($AB102,'2000 Seattle Tracts'!$C$2:$Y$374,AQ$1,FALSE)*$Z102</f>
        <v>1.4366383264538048E-2</v>
      </c>
      <c r="AR102" s="3">
        <f>VLOOKUP($AB102,'2000 Seattle Tracts'!$C$2:$Y$374,AR$1,FALSE)*$Z102</f>
        <v>6.70837049047497E-2</v>
      </c>
      <c r="AS102" s="3">
        <f>VLOOKUP($AB102,'2000 Seattle Tracts'!$C$2:$Y$374,AS$1,FALSE)*$Z102</f>
        <v>1.3392391178806654E-3</v>
      </c>
      <c r="AT102" s="3">
        <f>VLOOKUP($AB102,'2000 Seattle Tracts'!$C$2:$Y$374,AT$1,FALSE)*$Z102</f>
        <v>0</v>
      </c>
      <c r="AU102" s="3">
        <f>VLOOKUP($AB102,'2000 Seattle Tracts'!$C$2:$Y$374,AU$1,FALSE)*$Z102</f>
        <v>1.7410108532448652E-2</v>
      </c>
      <c r="AV102" s="3">
        <f>VLOOKUP($AB102,'2000 Seattle Tracts'!$C$2:$Y$374,AV$1,FALSE)*$Z102</f>
        <v>4.9917094393733897E-3</v>
      </c>
      <c r="AW102" s="3">
        <f>VLOOKUP($AB102,'2000 Seattle Tracts'!$C$2:$Y$374,AW$1,FALSE)*$Z102</f>
        <v>2.3497559068269856E-2</v>
      </c>
      <c r="AX102" s="3">
        <f>VLOOKUP($AB102,'2000 Seattle Tracts'!$C$2:$Y$374,AX$1,FALSE)*$Z102</f>
        <v>1.3635889200239502E-2</v>
      </c>
    </row>
    <row r="103" spans="1:50" x14ac:dyDescent="0.25">
      <c r="A103" t="s">
        <v>2917</v>
      </c>
      <c r="B103" t="s">
        <v>2918</v>
      </c>
      <c r="C103" t="s">
        <v>3116</v>
      </c>
      <c r="D103" t="s">
        <v>2740</v>
      </c>
      <c r="E103" t="s">
        <v>2741</v>
      </c>
      <c r="F103" t="s">
        <v>2742</v>
      </c>
      <c r="G103" t="s">
        <v>2920</v>
      </c>
      <c r="H103" t="s">
        <v>2921</v>
      </c>
      <c r="I103">
        <v>1210516</v>
      </c>
      <c r="J103">
        <v>0</v>
      </c>
      <c r="K103" t="s">
        <v>3390</v>
      </c>
      <c r="L103" t="s">
        <v>3391</v>
      </c>
      <c r="M103">
        <v>111</v>
      </c>
      <c r="N103">
        <v>26446.203000000001</v>
      </c>
      <c r="O103" t="s">
        <v>122</v>
      </c>
      <c r="P103">
        <v>1</v>
      </c>
      <c r="Q103">
        <v>2</v>
      </c>
      <c r="R103">
        <v>23</v>
      </c>
      <c r="S103">
        <v>27690336</v>
      </c>
      <c r="T103">
        <v>113</v>
      </c>
      <c r="U103">
        <v>101</v>
      </c>
      <c r="V103">
        <v>26446.20305409377</v>
      </c>
      <c r="W103">
        <v>27690336.443909489</v>
      </c>
      <c r="X103">
        <v>115.95</v>
      </c>
      <c r="Y103">
        <f>VLOOKUP(AB103,'2000 Seattle Tracts'!$C$2:$Z$374,24,FALSE)</f>
        <v>1210512.6910000001</v>
      </c>
      <c r="Z103">
        <f t="shared" si="2"/>
        <v>9.5785860703545482E-5</v>
      </c>
      <c r="AA103" t="s">
        <v>213</v>
      </c>
      <c r="AB103" t="str">
        <f t="shared" si="3"/>
        <v>Census Tract 3, King County, Washington</v>
      </c>
      <c r="AC103" s="3">
        <f>VLOOKUP($AB103,'2000 Seattle Tracts'!$C$2:$Y$374,AC$1,FALSE)*$Z103</f>
        <v>0.23802786384831051</v>
      </c>
      <c r="AD103" s="3">
        <f>VLOOKUP($AB103,'2000 Seattle Tracts'!$C$2:$Y$374,AD$1,FALSE)*$Z103</f>
        <v>0.19502001239241859</v>
      </c>
      <c r="AE103" s="3">
        <f>VLOOKUP($AB103,'2000 Seattle Tracts'!$C$2:$Y$374,AE$1,FALSE)*$Z103</f>
        <v>4.3007851455891921E-2</v>
      </c>
      <c r="AF103" s="3">
        <f>VLOOKUP($AB103,'2000 Seattle Tracts'!$C$2:$Y$374,AF$1,FALSE)*$Z103</f>
        <v>0.23802786384831051</v>
      </c>
      <c r="AG103" s="3">
        <f>VLOOKUP($AB103,'2000 Seattle Tracts'!$C$2:$Y$374,AG$1,FALSE)*$Z103</f>
        <v>0.19502001239241859</v>
      </c>
      <c r="AH103" s="3">
        <f>VLOOKUP($AB103,'2000 Seattle Tracts'!$C$2:$Y$374,AH$1,FALSE)*$Z103</f>
        <v>4.3007851455891921E-2</v>
      </c>
      <c r="AI103" s="3">
        <f>VLOOKUP($AB103,'2000 Seattle Tracts'!$C$2:$Y$374,AI$1,FALSE)*$Z103</f>
        <v>0.15641831052888977</v>
      </c>
      <c r="AJ103" s="3">
        <f>VLOOKUP($AB103,'2000 Seattle Tracts'!$C$2:$Y$374,AJ$1,FALSE)*$Z103</f>
        <v>1.2452161891460914E-2</v>
      </c>
      <c r="AK103" s="3">
        <f>VLOOKUP($AB103,'2000 Seattle Tracts'!$C$2:$Y$374,AK$1,FALSE)*$Z103</f>
        <v>6.8007961099517296E-3</v>
      </c>
      <c r="AL103" s="3">
        <f>VLOOKUP($AB103,'2000 Seattle Tracts'!$C$2:$Y$374,AL$1,FALSE)*$Z103</f>
        <v>1.0536444677390004E-3</v>
      </c>
      <c r="AM103" s="3">
        <f>VLOOKUP($AB103,'2000 Seattle Tracts'!$C$2:$Y$374,AM$1,FALSE)*$Z103</f>
        <v>1.2643733612868004E-2</v>
      </c>
      <c r="AN103" s="3">
        <f>VLOOKUP($AB103,'2000 Seattle Tracts'!$C$2:$Y$374,AN$1,FALSE)*$Z103</f>
        <v>7.6628688562836386E-4</v>
      </c>
      <c r="AO103" s="3">
        <f>VLOOKUP($AB103,'2000 Seattle Tracts'!$C$2:$Y$374,AO$1,FALSE)*$Z103</f>
        <v>1.3410020498496368E-3</v>
      </c>
      <c r="AP103" s="3">
        <f>VLOOKUP($AB103,'2000 Seattle Tracts'!$C$2:$Y$374,AP$1,FALSE)*$Z103</f>
        <v>0</v>
      </c>
      <c r="AQ103" s="3">
        <f>VLOOKUP($AB103,'2000 Seattle Tracts'!$C$2:$Y$374,AQ$1,FALSE)*$Z103</f>
        <v>4.7892930351772743E-3</v>
      </c>
      <c r="AR103" s="3">
        <f>VLOOKUP($AB103,'2000 Seattle Tracts'!$C$2:$Y$374,AR$1,FALSE)*$Z103</f>
        <v>2.413803689729346E-2</v>
      </c>
      <c r="AS103" s="3">
        <f>VLOOKUP($AB103,'2000 Seattle Tracts'!$C$2:$Y$374,AS$1,FALSE)*$Z103</f>
        <v>0</v>
      </c>
      <c r="AT103" s="3">
        <f>VLOOKUP($AB103,'2000 Seattle Tracts'!$C$2:$Y$374,AT$1,FALSE)*$Z103</f>
        <v>0</v>
      </c>
      <c r="AU103" s="3">
        <f>VLOOKUP($AB103,'2000 Seattle Tracts'!$C$2:$Y$374,AU$1,FALSE)*$Z103</f>
        <v>2.0115030747744553E-3</v>
      </c>
      <c r="AV103" s="3">
        <f>VLOOKUP($AB103,'2000 Seattle Tracts'!$C$2:$Y$374,AV$1,FALSE)*$Z103</f>
        <v>5.7471516422127292E-4</v>
      </c>
      <c r="AW103" s="3">
        <f>VLOOKUP($AB103,'2000 Seattle Tracts'!$C$2:$Y$374,AW$1,FALSE)*$Z103</f>
        <v>1.101537398090773E-2</v>
      </c>
      <c r="AX103" s="3">
        <f>VLOOKUP($AB103,'2000 Seattle Tracts'!$C$2:$Y$374,AX$1,FALSE)*$Z103</f>
        <v>4.0230061495489106E-3</v>
      </c>
    </row>
    <row r="104" spans="1:50" x14ac:dyDescent="0.25">
      <c r="A104" t="s">
        <v>2917</v>
      </c>
      <c r="B104" t="s">
        <v>2918</v>
      </c>
      <c r="C104" t="s">
        <v>3116</v>
      </c>
      <c r="D104" t="s">
        <v>2740</v>
      </c>
      <c r="E104" t="s">
        <v>2741</v>
      </c>
      <c r="F104" t="s">
        <v>2742</v>
      </c>
      <c r="G104" t="s">
        <v>2920</v>
      </c>
      <c r="H104" t="s">
        <v>2921</v>
      </c>
      <c r="I104">
        <v>1210516</v>
      </c>
      <c r="J104">
        <v>0</v>
      </c>
      <c r="K104" t="s">
        <v>3390</v>
      </c>
      <c r="L104" t="s">
        <v>3391</v>
      </c>
      <c r="M104">
        <v>112</v>
      </c>
      <c r="N104">
        <v>29413.553</v>
      </c>
      <c r="O104" t="s">
        <v>215</v>
      </c>
      <c r="P104">
        <v>2</v>
      </c>
      <c r="Q104">
        <v>10</v>
      </c>
      <c r="R104">
        <v>95</v>
      </c>
      <c r="S104">
        <v>47203080</v>
      </c>
      <c r="T104">
        <v>114</v>
      </c>
      <c r="U104">
        <v>102</v>
      </c>
      <c r="V104">
        <v>29413.553448415088</v>
      </c>
      <c r="W104">
        <v>47203081.07955838</v>
      </c>
      <c r="X104">
        <v>1137944.058</v>
      </c>
      <c r="Y104">
        <f>VLOOKUP(AB104,'2000 Seattle Tracts'!$C$2:$Z$374,24,FALSE)</f>
        <v>1210512.6910000001</v>
      </c>
      <c r="Z104">
        <f t="shared" si="2"/>
        <v>0.94005132408810066</v>
      </c>
      <c r="AA104" t="s">
        <v>214</v>
      </c>
      <c r="AB104" t="str">
        <f t="shared" si="3"/>
        <v>Census Tract 3, King County, Washington</v>
      </c>
      <c r="AC104" s="3">
        <f>VLOOKUP($AB104,'2000 Seattle Tracts'!$C$2:$Y$374,AC$1,FALSE)*$Z104</f>
        <v>2336.0275403589303</v>
      </c>
      <c r="AD104" s="3">
        <f>VLOOKUP($AB104,'2000 Seattle Tracts'!$C$2:$Y$374,AD$1,FALSE)*$Z104</f>
        <v>1913.944495843373</v>
      </c>
      <c r="AE104" s="3">
        <f>VLOOKUP($AB104,'2000 Seattle Tracts'!$C$2:$Y$374,AE$1,FALSE)*$Z104</f>
        <v>422.08304451555722</v>
      </c>
      <c r="AF104" s="3">
        <f>VLOOKUP($AB104,'2000 Seattle Tracts'!$C$2:$Y$374,AF$1,FALSE)*$Z104</f>
        <v>2336.0275403589303</v>
      </c>
      <c r="AG104" s="3">
        <f>VLOOKUP($AB104,'2000 Seattle Tracts'!$C$2:$Y$374,AG$1,FALSE)*$Z104</f>
        <v>1913.944495843373</v>
      </c>
      <c r="AH104" s="3">
        <f>VLOOKUP($AB104,'2000 Seattle Tracts'!$C$2:$Y$374,AH$1,FALSE)*$Z104</f>
        <v>422.08304451555722</v>
      </c>
      <c r="AI104" s="3">
        <f>VLOOKUP($AB104,'2000 Seattle Tracts'!$C$2:$Y$374,AI$1,FALSE)*$Z104</f>
        <v>1535.1038122358684</v>
      </c>
      <c r="AJ104" s="3">
        <f>VLOOKUP($AB104,'2000 Seattle Tracts'!$C$2:$Y$374,AJ$1,FALSE)*$Z104</f>
        <v>122.20667213145309</v>
      </c>
      <c r="AK104" s="3">
        <f>VLOOKUP($AB104,'2000 Seattle Tracts'!$C$2:$Y$374,AK$1,FALSE)*$Z104</f>
        <v>66.743644010255153</v>
      </c>
      <c r="AL104" s="3">
        <f>VLOOKUP($AB104,'2000 Seattle Tracts'!$C$2:$Y$374,AL$1,FALSE)*$Z104</f>
        <v>10.340564564969107</v>
      </c>
      <c r="AM104" s="3">
        <f>VLOOKUP($AB104,'2000 Seattle Tracts'!$C$2:$Y$374,AM$1,FALSE)*$Z104</f>
        <v>124.08677477962928</v>
      </c>
      <c r="AN104" s="3">
        <f>VLOOKUP($AB104,'2000 Seattle Tracts'!$C$2:$Y$374,AN$1,FALSE)*$Z104</f>
        <v>7.5204105927048053</v>
      </c>
      <c r="AO104" s="3">
        <f>VLOOKUP($AB104,'2000 Seattle Tracts'!$C$2:$Y$374,AO$1,FALSE)*$Z104</f>
        <v>13.160718537233409</v>
      </c>
      <c r="AP104" s="3">
        <f>VLOOKUP($AB104,'2000 Seattle Tracts'!$C$2:$Y$374,AP$1,FALSE)*$Z104</f>
        <v>0</v>
      </c>
      <c r="AQ104" s="3">
        <f>VLOOKUP($AB104,'2000 Seattle Tracts'!$C$2:$Y$374,AQ$1,FALSE)*$Z104</f>
        <v>47.002566204405035</v>
      </c>
      <c r="AR104" s="3">
        <f>VLOOKUP($AB104,'2000 Seattle Tracts'!$C$2:$Y$374,AR$1,FALSE)*$Z104</f>
        <v>236.89293367020136</v>
      </c>
      <c r="AS104" s="3">
        <f>VLOOKUP($AB104,'2000 Seattle Tracts'!$C$2:$Y$374,AS$1,FALSE)*$Z104</f>
        <v>0</v>
      </c>
      <c r="AT104" s="3">
        <f>VLOOKUP($AB104,'2000 Seattle Tracts'!$C$2:$Y$374,AT$1,FALSE)*$Z104</f>
        <v>0</v>
      </c>
      <c r="AU104" s="3">
        <f>VLOOKUP($AB104,'2000 Seattle Tracts'!$C$2:$Y$374,AU$1,FALSE)*$Z104</f>
        <v>19.741077805850114</v>
      </c>
      <c r="AV104" s="3">
        <f>VLOOKUP($AB104,'2000 Seattle Tracts'!$C$2:$Y$374,AV$1,FALSE)*$Z104</f>
        <v>5.6403079445286037</v>
      </c>
      <c r="AW104" s="3">
        <f>VLOOKUP($AB104,'2000 Seattle Tracts'!$C$2:$Y$374,AW$1,FALSE)*$Z104</f>
        <v>108.10590227013158</v>
      </c>
      <c r="AX104" s="3">
        <f>VLOOKUP($AB104,'2000 Seattle Tracts'!$C$2:$Y$374,AX$1,FALSE)*$Z104</f>
        <v>39.482155611700229</v>
      </c>
    </row>
    <row r="105" spans="1:50" x14ac:dyDescent="0.25">
      <c r="A105" t="s">
        <v>2917</v>
      </c>
      <c r="B105" t="s">
        <v>2918</v>
      </c>
      <c r="C105" t="s">
        <v>3116</v>
      </c>
      <c r="D105" t="s">
        <v>2740</v>
      </c>
      <c r="E105" t="s">
        <v>2741</v>
      </c>
      <c r="F105" t="s">
        <v>2742</v>
      </c>
      <c r="G105" t="s">
        <v>2920</v>
      </c>
      <c r="H105" t="s">
        <v>2921</v>
      </c>
      <c r="I105">
        <v>1210516</v>
      </c>
      <c r="J105">
        <v>0</v>
      </c>
      <c r="K105" t="s">
        <v>3390</v>
      </c>
      <c r="L105" t="s">
        <v>3391</v>
      </c>
      <c r="M105">
        <v>113</v>
      </c>
      <c r="N105">
        <v>26171.271000000001</v>
      </c>
      <c r="O105" t="s">
        <v>215</v>
      </c>
      <c r="P105">
        <v>2</v>
      </c>
      <c r="Q105">
        <v>10</v>
      </c>
      <c r="R105">
        <v>81</v>
      </c>
      <c r="S105">
        <v>29438850</v>
      </c>
      <c r="T105">
        <v>115</v>
      </c>
      <c r="U105">
        <v>103</v>
      </c>
      <c r="V105">
        <v>26171.27176081029</v>
      </c>
      <c r="W105">
        <v>29438850.877074279</v>
      </c>
      <c r="X105">
        <v>72452.682000000001</v>
      </c>
      <c r="Y105">
        <f>VLOOKUP(AB105,'2000 Seattle Tracts'!$C$2:$Z$374,24,FALSE)</f>
        <v>1210512.6910000001</v>
      </c>
      <c r="Z105">
        <f t="shared" si="2"/>
        <v>5.9852889225099411E-2</v>
      </c>
      <c r="AA105" t="s">
        <v>216</v>
      </c>
      <c r="AB105" t="str">
        <f t="shared" si="3"/>
        <v>Census Tract 3, King County, Washington</v>
      </c>
      <c r="AC105" s="3">
        <f>VLOOKUP($AB105,'2000 Seattle Tracts'!$C$2:$Y$374,AC$1,FALSE)*$Z105</f>
        <v>148.73442972437203</v>
      </c>
      <c r="AD105" s="3">
        <f>VLOOKUP($AB105,'2000 Seattle Tracts'!$C$2:$Y$374,AD$1,FALSE)*$Z105</f>
        <v>121.8604824623024</v>
      </c>
      <c r="AE105" s="3">
        <f>VLOOKUP($AB105,'2000 Seattle Tracts'!$C$2:$Y$374,AE$1,FALSE)*$Z105</f>
        <v>26.873947262069635</v>
      </c>
      <c r="AF105" s="3">
        <f>VLOOKUP($AB105,'2000 Seattle Tracts'!$C$2:$Y$374,AF$1,FALSE)*$Z105</f>
        <v>148.73442972437203</v>
      </c>
      <c r="AG105" s="3">
        <f>VLOOKUP($AB105,'2000 Seattle Tracts'!$C$2:$Y$374,AG$1,FALSE)*$Z105</f>
        <v>121.8604824623024</v>
      </c>
      <c r="AH105" s="3">
        <f>VLOOKUP($AB105,'2000 Seattle Tracts'!$C$2:$Y$374,AH$1,FALSE)*$Z105</f>
        <v>26.873947262069635</v>
      </c>
      <c r="AI105" s="3">
        <f>VLOOKUP($AB105,'2000 Seattle Tracts'!$C$2:$Y$374,AI$1,FALSE)*$Z105</f>
        <v>97.739768104587341</v>
      </c>
      <c r="AJ105" s="3">
        <f>VLOOKUP($AB105,'2000 Seattle Tracts'!$C$2:$Y$374,AJ$1,FALSE)*$Z105</f>
        <v>7.7808755992629237</v>
      </c>
      <c r="AK105" s="3">
        <f>VLOOKUP($AB105,'2000 Seattle Tracts'!$C$2:$Y$374,AK$1,FALSE)*$Z105</f>
        <v>4.2495551349820584</v>
      </c>
      <c r="AL105" s="3">
        <f>VLOOKUP($AB105,'2000 Seattle Tracts'!$C$2:$Y$374,AL$1,FALSE)*$Z105</f>
        <v>0.6583817814760935</v>
      </c>
      <c r="AM105" s="3">
        <f>VLOOKUP($AB105,'2000 Seattle Tracts'!$C$2:$Y$374,AM$1,FALSE)*$Z105</f>
        <v>7.900581377713122</v>
      </c>
      <c r="AN105" s="3">
        <f>VLOOKUP($AB105,'2000 Seattle Tracts'!$C$2:$Y$374,AN$1,FALSE)*$Z105</f>
        <v>0.47882311380079529</v>
      </c>
      <c r="AO105" s="3">
        <f>VLOOKUP($AB105,'2000 Seattle Tracts'!$C$2:$Y$374,AO$1,FALSE)*$Z105</f>
        <v>0.83794044915139176</v>
      </c>
      <c r="AP105" s="3">
        <f>VLOOKUP($AB105,'2000 Seattle Tracts'!$C$2:$Y$374,AP$1,FALSE)*$Z105</f>
        <v>0</v>
      </c>
      <c r="AQ105" s="3">
        <f>VLOOKUP($AB105,'2000 Seattle Tracts'!$C$2:$Y$374,AQ$1,FALSE)*$Z105</f>
        <v>2.9926444612549705</v>
      </c>
      <c r="AR105" s="3">
        <f>VLOOKUP($AB105,'2000 Seattle Tracts'!$C$2:$Y$374,AR$1,FALSE)*$Z105</f>
        <v>15.082928084725051</v>
      </c>
      <c r="AS105" s="3">
        <f>VLOOKUP($AB105,'2000 Seattle Tracts'!$C$2:$Y$374,AS$1,FALSE)*$Z105</f>
        <v>0</v>
      </c>
      <c r="AT105" s="3">
        <f>VLOOKUP($AB105,'2000 Seattle Tracts'!$C$2:$Y$374,AT$1,FALSE)*$Z105</f>
        <v>0</v>
      </c>
      <c r="AU105" s="3">
        <f>VLOOKUP($AB105,'2000 Seattle Tracts'!$C$2:$Y$374,AU$1,FALSE)*$Z105</f>
        <v>1.2569106737270876</v>
      </c>
      <c r="AV105" s="3">
        <f>VLOOKUP($AB105,'2000 Seattle Tracts'!$C$2:$Y$374,AV$1,FALSE)*$Z105</f>
        <v>0.35911733535059648</v>
      </c>
      <c r="AW105" s="3">
        <f>VLOOKUP($AB105,'2000 Seattle Tracts'!$C$2:$Y$374,AW$1,FALSE)*$Z105</f>
        <v>6.8830822608864324</v>
      </c>
      <c r="AX105" s="3">
        <f>VLOOKUP($AB105,'2000 Seattle Tracts'!$C$2:$Y$374,AX$1,FALSE)*$Z105</f>
        <v>2.5138213474541753</v>
      </c>
    </row>
    <row r="106" spans="1:50" x14ac:dyDescent="0.25">
      <c r="A106" t="s">
        <v>2917</v>
      </c>
      <c r="B106" t="s">
        <v>2918</v>
      </c>
      <c r="C106" t="s">
        <v>3113</v>
      </c>
      <c r="D106" t="s">
        <v>2770</v>
      </c>
      <c r="E106" t="s">
        <v>2771</v>
      </c>
      <c r="F106" t="s">
        <v>2772</v>
      </c>
      <c r="G106" t="s">
        <v>2920</v>
      </c>
      <c r="H106" t="s">
        <v>2921</v>
      </c>
      <c r="I106">
        <v>3286319</v>
      </c>
      <c r="J106">
        <v>0</v>
      </c>
      <c r="K106" t="s">
        <v>3114</v>
      </c>
      <c r="L106" t="s">
        <v>3392</v>
      </c>
      <c r="M106">
        <v>102</v>
      </c>
      <c r="N106">
        <v>20753.002</v>
      </c>
      <c r="O106" t="s">
        <v>207</v>
      </c>
      <c r="P106">
        <v>3</v>
      </c>
      <c r="Q106">
        <v>3</v>
      </c>
      <c r="R106">
        <v>95</v>
      </c>
      <c r="S106">
        <v>21512732</v>
      </c>
      <c r="T106">
        <v>104</v>
      </c>
      <c r="U106">
        <v>106</v>
      </c>
      <c r="V106">
        <v>20753.0018992847</v>
      </c>
      <c r="W106">
        <v>21512731.489181329</v>
      </c>
      <c r="X106">
        <v>121.58499999999999</v>
      </c>
      <c r="Y106">
        <f>VLOOKUP(AB106,'2000 Seattle Tracts'!$C$2:$Z$374,24,FALSE)</f>
        <v>3285671.64</v>
      </c>
      <c r="Z106">
        <f t="shared" si="2"/>
        <v>3.7004610722451858E-5</v>
      </c>
      <c r="AA106" t="s">
        <v>206</v>
      </c>
      <c r="AB106" t="str">
        <f t="shared" si="3"/>
        <v>Census Tract 2, King County, Washington</v>
      </c>
      <c r="AC106" s="3">
        <f>VLOOKUP($AB106,'2000 Seattle Tracts'!$C$2:$Y$374,AC$1,FALSE)*$Z106</f>
        <v>0.27179886575640888</v>
      </c>
      <c r="AD106" s="3">
        <f>VLOOKUP($AB106,'2000 Seattle Tracts'!$C$2:$Y$374,AD$1,FALSE)*$Z106</f>
        <v>0.21103729495014295</v>
      </c>
      <c r="AE106" s="3">
        <f>VLOOKUP($AB106,'2000 Seattle Tracts'!$C$2:$Y$374,AE$1,FALSE)*$Z106</f>
        <v>6.0761570806265951E-2</v>
      </c>
      <c r="AF106" s="3">
        <f>VLOOKUP($AB106,'2000 Seattle Tracts'!$C$2:$Y$374,AF$1,FALSE)*$Z106</f>
        <v>0.27179886575640888</v>
      </c>
      <c r="AG106" s="3">
        <f>VLOOKUP($AB106,'2000 Seattle Tracts'!$C$2:$Y$374,AG$1,FALSE)*$Z106</f>
        <v>0.21103729495014295</v>
      </c>
      <c r="AH106" s="3">
        <f>VLOOKUP($AB106,'2000 Seattle Tracts'!$C$2:$Y$374,AH$1,FALSE)*$Z106</f>
        <v>6.0761570806265951E-2</v>
      </c>
      <c r="AI106" s="3">
        <f>VLOOKUP($AB106,'2000 Seattle Tracts'!$C$2:$Y$374,AI$1,FALSE)*$Z106</f>
        <v>0.17014720010183365</v>
      </c>
      <c r="AJ106" s="3">
        <f>VLOOKUP($AB106,'2000 Seattle Tracts'!$C$2:$Y$374,AJ$1,FALSE)*$Z106</f>
        <v>1.7207143985940115E-2</v>
      </c>
      <c r="AK106" s="3">
        <f>VLOOKUP($AB106,'2000 Seattle Tracts'!$C$2:$Y$374,AK$1,FALSE)*$Z106</f>
        <v>2.7383411934614374E-3</v>
      </c>
      <c r="AL106" s="3">
        <f>VLOOKUP($AB106,'2000 Seattle Tracts'!$C$2:$Y$374,AL$1,FALSE)*$Z106</f>
        <v>1.4431798181756225E-3</v>
      </c>
      <c r="AM106" s="3">
        <f>VLOOKUP($AB106,'2000 Seattle Tracts'!$C$2:$Y$374,AM$1,FALSE)*$Z106</f>
        <v>9.6211987878374837E-3</v>
      </c>
      <c r="AN106" s="3">
        <f>VLOOKUP($AB106,'2000 Seattle Tracts'!$C$2:$Y$374,AN$1,FALSE)*$Z106</f>
        <v>3.3304149650206674E-3</v>
      </c>
      <c r="AO106" s="3">
        <f>VLOOKUP($AB106,'2000 Seattle Tracts'!$C$2:$Y$374,AO$1,FALSE)*$Z106</f>
        <v>1.59119826106543E-3</v>
      </c>
      <c r="AP106" s="3">
        <f>VLOOKUP($AB106,'2000 Seattle Tracts'!$C$2:$Y$374,AP$1,FALSE)*$Z106</f>
        <v>0</v>
      </c>
      <c r="AQ106" s="3">
        <f>VLOOKUP($AB106,'2000 Seattle Tracts'!$C$2:$Y$374,AQ$1,FALSE)*$Z106</f>
        <v>1.3691705967307188E-2</v>
      </c>
      <c r="AR106" s="3">
        <f>VLOOKUP($AB106,'2000 Seattle Tracts'!$C$2:$Y$374,AR$1,FALSE)*$Z106</f>
        <v>3.0639817678190139E-2</v>
      </c>
      <c r="AS106" s="3">
        <f>VLOOKUP($AB106,'2000 Seattle Tracts'!$C$2:$Y$374,AS$1,FALSE)*$Z106</f>
        <v>0</v>
      </c>
      <c r="AT106" s="3">
        <f>VLOOKUP($AB106,'2000 Seattle Tracts'!$C$2:$Y$374,AT$1,FALSE)*$Z106</f>
        <v>2.59032275057163E-4</v>
      </c>
      <c r="AU106" s="3">
        <f>VLOOKUP($AB106,'2000 Seattle Tracts'!$C$2:$Y$374,AU$1,FALSE)*$Z106</f>
        <v>2.5533181398491784E-3</v>
      </c>
      <c r="AV106" s="3">
        <f>VLOOKUP($AB106,'2000 Seattle Tracts'!$C$2:$Y$374,AV$1,FALSE)*$Z106</f>
        <v>2.1462674219022079E-3</v>
      </c>
      <c r="AW106" s="3">
        <f>VLOOKUP($AB106,'2000 Seattle Tracts'!$C$2:$Y$374,AW$1,FALSE)*$Z106</f>
        <v>1.0694332498788588E-2</v>
      </c>
      <c r="AX106" s="3">
        <f>VLOOKUP($AB106,'2000 Seattle Tracts'!$C$2:$Y$374,AX$1,FALSE)*$Z106</f>
        <v>5.7357146619800379E-3</v>
      </c>
    </row>
    <row r="107" spans="1:50" x14ac:dyDescent="0.25">
      <c r="A107" t="s">
        <v>2917</v>
      </c>
      <c r="B107" t="s">
        <v>2918</v>
      </c>
      <c r="C107" t="s">
        <v>3113</v>
      </c>
      <c r="D107" t="s">
        <v>2770</v>
      </c>
      <c r="E107" t="s">
        <v>2771</v>
      </c>
      <c r="F107" t="s">
        <v>2772</v>
      </c>
      <c r="G107" t="s">
        <v>2920</v>
      </c>
      <c r="H107" t="s">
        <v>2921</v>
      </c>
      <c r="I107">
        <v>3286319</v>
      </c>
      <c r="J107">
        <v>0</v>
      </c>
      <c r="K107" t="s">
        <v>3114</v>
      </c>
      <c r="L107" t="s">
        <v>3392</v>
      </c>
      <c r="M107">
        <v>105</v>
      </c>
      <c r="N107">
        <v>19993.815999999999</v>
      </c>
      <c r="O107" t="s">
        <v>207</v>
      </c>
      <c r="P107">
        <v>3</v>
      </c>
      <c r="Q107">
        <v>3</v>
      </c>
      <c r="R107">
        <v>9</v>
      </c>
      <c r="S107">
        <v>25836742</v>
      </c>
      <c r="T107">
        <v>107</v>
      </c>
      <c r="U107">
        <v>104</v>
      </c>
      <c r="V107">
        <v>19993.816057076321</v>
      </c>
      <c r="W107">
        <v>25836742.163973771</v>
      </c>
      <c r="X107">
        <v>1968292.0490000001</v>
      </c>
      <c r="Y107">
        <f>VLOOKUP(AB107,'2000 Seattle Tracts'!$C$2:$Z$374,24,FALSE)</f>
        <v>3285671.64</v>
      </c>
      <c r="Z107">
        <f t="shared" si="2"/>
        <v>0.59905318140677022</v>
      </c>
      <c r="AA107" t="s">
        <v>210</v>
      </c>
      <c r="AB107" t="str">
        <f t="shared" si="3"/>
        <v>Census Tract 2, King County, Washington</v>
      </c>
      <c r="AC107" s="3">
        <f>VLOOKUP($AB107,'2000 Seattle Tracts'!$C$2:$Y$374,AC$1,FALSE)*$Z107</f>
        <v>4400.0456174327273</v>
      </c>
      <c r="AD107" s="3">
        <f>VLOOKUP($AB107,'2000 Seattle Tracts'!$C$2:$Y$374,AD$1,FALSE)*$Z107</f>
        <v>3416.4002935628105</v>
      </c>
      <c r="AE107" s="3">
        <f>VLOOKUP($AB107,'2000 Seattle Tracts'!$C$2:$Y$374,AE$1,FALSE)*$Z107</f>
        <v>983.64532386991675</v>
      </c>
      <c r="AF107" s="3">
        <f>VLOOKUP($AB107,'2000 Seattle Tracts'!$C$2:$Y$374,AF$1,FALSE)*$Z107</f>
        <v>4400.0456174327273</v>
      </c>
      <c r="AG107" s="3">
        <f>VLOOKUP($AB107,'2000 Seattle Tracts'!$C$2:$Y$374,AG$1,FALSE)*$Z107</f>
        <v>3416.4002935628105</v>
      </c>
      <c r="AH107" s="3">
        <f>VLOOKUP($AB107,'2000 Seattle Tracts'!$C$2:$Y$374,AH$1,FALSE)*$Z107</f>
        <v>983.64532386991675</v>
      </c>
      <c r="AI107" s="3">
        <f>VLOOKUP($AB107,'2000 Seattle Tracts'!$C$2:$Y$374,AI$1,FALSE)*$Z107</f>
        <v>2754.4465281083294</v>
      </c>
      <c r="AJ107" s="3">
        <f>VLOOKUP($AB107,'2000 Seattle Tracts'!$C$2:$Y$374,AJ$1,FALSE)*$Z107</f>
        <v>278.55972935414815</v>
      </c>
      <c r="AK107" s="3">
        <f>VLOOKUP($AB107,'2000 Seattle Tracts'!$C$2:$Y$374,AK$1,FALSE)*$Z107</f>
        <v>44.329935424100995</v>
      </c>
      <c r="AL107" s="3">
        <f>VLOOKUP($AB107,'2000 Seattle Tracts'!$C$2:$Y$374,AL$1,FALSE)*$Z107</f>
        <v>23.363074074864038</v>
      </c>
      <c r="AM107" s="3">
        <f>VLOOKUP($AB107,'2000 Seattle Tracts'!$C$2:$Y$374,AM$1,FALSE)*$Z107</f>
        <v>155.75382716576027</v>
      </c>
      <c r="AN107" s="3">
        <f>VLOOKUP($AB107,'2000 Seattle Tracts'!$C$2:$Y$374,AN$1,FALSE)*$Z107</f>
        <v>53.914786326609317</v>
      </c>
      <c r="AO107" s="3">
        <f>VLOOKUP($AB107,'2000 Seattle Tracts'!$C$2:$Y$374,AO$1,FALSE)*$Z107</f>
        <v>25.759286800491118</v>
      </c>
      <c r="AP107" s="3">
        <f>VLOOKUP($AB107,'2000 Seattle Tracts'!$C$2:$Y$374,AP$1,FALSE)*$Z107</f>
        <v>0</v>
      </c>
      <c r="AQ107" s="3">
        <f>VLOOKUP($AB107,'2000 Seattle Tracts'!$C$2:$Y$374,AQ$1,FALSE)*$Z107</f>
        <v>221.64967712050498</v>
      </c>
      <c r="AR107" s="3">
        <f>VLOOKUP($AB107,'2000 Seattle Tracts'!$C$2:$Y$374,AR$1,FALSE)*$Z107</f>
        <v>496.01603420480575</v>
      </c>
      <c r="AS107" s="3">
        <f>VLOOKUP($AB107,'2000 Seattle Tracts'!$C$2:$Y$374,AS$1,FALSE)*$Z107</f>
        <v>0</v>
      </c>
      <c r="AT107" s="3">
        <f>VLOOKUP($AB107,'2000 Seattle Tracts'!$C$2:$Y$374,AT$1,FALSE)*$Z107</f>
        <v>4.1933722698473916</v>
      </c>
      <c r="AU107" s="3">
        <f>VLOOKUP($AB107,'2000 Seattle Tracts'!$C$2:$Y$374,AU$1,FALSE)*$Z107</f>
        <v>41.334669517067148</v>
      </c>
      <c r="AV107" s="3">
        <f>VLOOKUP($AB107,'2000 Seattle Tracts'!$C$2:$Y$374,AV$1,FALSE)*$Z107</f>
        <v>34.745084521592673</v>
      </c>
      <c r="AW107" s="3">
        <f>VLOOKUP($AB107,'2000 Seattle Tracts'!$C$2:$Y$374,AW$1,FALSE)*$Z107</f>
        <v>173.12636942655661</v>
      </c>
      <c r="AX107" s="3">
        <f>VLOOKUP($AB107,'2000 Seattle Tracts'!$C$2:$Y$374,AX$1,FALSE)*$Z107</f>
        <v>92.853243118049377</v>
      </c>
    </row>
    <row r="108" spans="1:50" x14ac:dyDescent="0.25">
      <c r="A108" t="s">
        <v>2917</v>
      </c>
      <c r="B108" t="s">
        <v>2918</v>
      </c>
      <c r="C108" t="s">
        <v>3113</v>
      </c>
      <c r="D108" t="s">
        <v>2770</v>
      </c>
      <c r="E108" t="s">
        <v>2771</v>
      </c>
      <c r="F108" t="s">
        <v>2772</v>
      </c>
      <c r="G108" t="s">
        <v>2920</v>
      </c>
      <c r="H108" t="s">
        <v>2921</v>
      </c>
      <c r="I108">
        <v>3286319</v>
      </c>
      <c r="J108">
        <v>0</v>
      </c>
      <c r="K108" t="s">
        <v>3114</v>
      </c>
      <c r="L108" t="s">
        <v>3392</v>
      </c>
      <c r="M108">
        <v>113</v>
      </c>
      <c r="N108">
        <v>26171.271000000001</v>
      </c>
      <c r="O108" t="s">
        <v>215</v>
      </c>
      <c r="P108">
        <v>2</v>
      </c>
      <c r="Q108">
        <v>10</v>
      </c>
      <c r="R108">
        <v>81</v>
      </c>
      <c r="S108">
        <v>29438850</v>
      </c>
      <c r="T108">
        <v>115</v>
      </c>
      <c r="U108">
        <v>103</v>
      </c>
      <c r="V108">
        <v>26171.27176081029</v>
      </c>
      <c r="W108">
        <v>29438850.877074279</v>
      </c>
      <c r="X108">
        <v>1317258.0049999999</v>
      </c>
      <c r="Y108">
        <f>VLOOKUP(AB108,'2000 Seattle Tracts'!$C$2:$Z$374,24,FALSE)</f>
        <v>3285671.64</v>
      </c>
      <c r="Z108">
        <f t="shared" si="2"/>
        <v>0.40090981367815559</v>
      </c>
      <c r="AA108" t="s">
        <v>216</v>
      </c>
      <c r="AB108" t="str">
        <f t="shared" si="3"/>
        <v>Census Tract 2, King County, Washington</v>
      </c>
      <c r="AC108" s="3">
        <f>VLOOKUP($AB108,'2000 Seattle Tracts'!$C$2:$Y$374,AC$1,FALSE)*$Z108</f>
        <v>2944.6825814660529</v>
      </c>
      <c r="AD108" s="3">
        <f>VLOOKUP($AB108,'2000 Seattle Tracts'!$C$2:$Y$374,AD$1,FALSE)*$Z108</f>
        <v>2286.3886674065216</v>
      </c>
      <c r="AE108" s="3">
        <f>VLOOKUP($AB108,'2000 Seattle Tracts'!$C$2:$Y$374,AE$1,FALSE)*$Z108</f>
        <v>658.29391405953152</v>
      </c>
      <c r="AF108" s="3">
        <f>VLOOKUP($AB108,'2000 Seattle Tracts'!$C$2:$Y$374,AF$1,FALSE)*$Z108</f>
        <v>2944.6825814660529</v>
      </c>
      <c r="AG108" s="3">
        <f>VLOOKUP($AB108,'2000 Seattle Tracts'!$C$2:$Y$374,AG$1,FALSE)*$Z108</f>
        <v>2286.3886674065216</v>
      </c>
      <c r="AH108" s="3">
        <f>VLOOKUP($AB108,'2000 Seattle Tracts'!$C$2:$Y$374,AH$1,FALSE)*$Z108</f>
        <v>658.29391405953152</v>
      </c>
      <c r="AI108" s="3">
        <f>VLOOKUP($AB108,'2000 Seattle Tracts'!$C$2:$Y$374,AI$1,FALSE)*$Z108</f>
        <v>1843.3833232921595</v>
      </c>
      <c r="AJ108" s="3">
        <f>VLOOKUP($AB108,'2000 Seattle Tracts'!$C$2:$Y$374,AJ$1,FALSE)*$Z108</f>
        <v>186.42306336034235</v>
      </c>
      <c r="AK108" s="3">
        <f>VLOOKUP($AB108,'2000 Seattle Tracts'!$C$2:$Y$374,AK$1,FALSE)*$Z108</f>
        <v>29.667326212183514</v>
      </c>
      <c r="AL108" s="3">
        <f>VLOOKUP($AB108,'2000 Seattle Tracts'!$C$2:$Y$374,AL$1,FALSE)*$Z108</f>
        <v>15.635482733448068</v>
      </c>
      <c r="AM108" s="3">
        <f>VLOOKUP($AB108,'2000 Seattle Tracts'!$C$2:$Y$374,AM$1,FALSE)*$Z108</f>
        <v>104.23655155632045</v>
      </c>
      <c r="AN108" s="3">
        <f>VLOOKUP($AB108,'2000 Seattle Tracts'!$C$2:$Y$374,AN$1,FALSE)*$Z108</f>
        <v>36.081883231034006</v>
      </c>
      <c r="AO108" s="3">
        <f>VLOOKUP($AB108,'2000 Seattle Tracts'!$C$2:$Y$374,AO$1,FALSE)*$Z108</f>
        <v>17.23912198816069</v>
      </c>
      <c r="AP108" s="3">
        <f>VLOOKUP($AB108,'2000 Seattle Tracts'!$C$2:$Y$374,AP$1,FALSE)*$Z108</f>
        <v>0</v>
      </c>
      <c r="AQ108" s="3">
        <f>VLOOKUP($AB108,'2000 Seattle Tracts'!$C$2:$Y$374,AQ$1,FALSE)*$Z108</f>
        <v>148.33663106091757</v>
      </c>
      <c r="AR108" s="3">
        <f>VLOOKUP($AB108,'2000 Seattle Tracts'!$C$2:$Y$374,AR$1,FALSE)*$Z108</f>
        <v>331.95332572551285</v>
      </c>
      <c r="AS108" s="3">
        <f>VLOOKUP($AB108,'2000 Seattle Tracts'!$C$2:$Y$374,AS$1,FALSE)*$Z108</f>
        <v>0</v>
      </c>
      <c r="AT108" s="3">
        <f>VLOOKUP($AB108,'2000 Seattle Tracts'!$C$2:$Y$374,AT$1,FALSE)*$Z108</f>
        <v>2.8063686957470892</v>
      </c>
      <c r="AU108" s="3">
        <f>VLOOKUP($AB108,'2000 Seattle Tracts'!$C$2:$Y$374,AU$1,FALSE)*$Z108</f>
        <v>27.662777143792734</v>
      </c>
      <c r="AV108" s="3">
        <f>VLOOKUP($AB108,'2000 Seattle Tracts'!$C$2:$Y$374,AV$1,FALSE)*$Z108</f>
        <v>23.252769193333023</v>
      </c>
      <c r="AW108" s="3">
        <f>VLOOKUP($AB108,'2000 Seattle Tracts'!$C$2:$Y$374,AW$1,FALSE)*$Z108</f>
        <v>115.86293615298696</v>
      </c>
      <c r="AX108" s="3">
        <f>VLOOKUP($AB108,'2000 Seattle Tracts'!$C$2:$Y$374,AX$1,FALSE)*$Z108</f>
        <v>62.141021120114118</v>
      </c>
    </row>
    <row r="109" spans="1:50" x14ac:dyDescent="0.25">
      <c r="A109" t="s">
        <v>2917</v>
      </c>
      <c r="B109" t="s">
        <v>2918</v>
      </c>
      <c r="C109" t="s">
        <v>3110</v>
      </c>
      <c r="D109" t="s">
        <v>2890</v>
      </c>
      <c r="E109" t="s">
        <v>2891</v>
      </c>
      <c r="F109" t="s">
        <v>2892</v>
      </c>
      <c r="G109" t="s">
        <v>2920</v>
      </c>
      <c r="H109" t="s">
        <v>2921</v>
      </c>
      <c r="I109">
        <v>1910585</v>
      </c>
      <c r="J109">
        <v>1486352</v>
      </c>
      <c r="K109" t="s">
        <v>3393</v>
      </c>
      <c r="L109" t="s">
        <v>3394</v>
      </c>
      <c r="M109">
        <v>105</v>
      </c>
      <c r="N109">
        <v>19993.815999999999</v>
      </c>
      <c r="O109" t="s">
        <v>207</v>
      </c>
      <c r="P109">
        <v>3</v>
      </c>
      <c r="Q109">
        <v>3</v>
      </c>
      <c r="R109">
        <v>9</v>
      </c>
      <c r="S109">
        <v>25836742</v>
      </c>
      <c r="T109">
        <v>107</v>
      </c>
      <c r="U109">
        <v>104</v>
      </c>
      <c r="V109">
        <v>19993.816057076321</v>
      </c>
      <c r="W109">
        <v>25836742.163973771</v>
      </c>
      <c r="X109">
        <v>431443.67800000001</v>
      </c>
      <c r="Y109">
        <f>VLOOKUP(AB109,'2000 Seattle Tracts'!$C$2:$Z$374,24,FALSE)</f>
        <v>1851445.2509999999</v>
      </c>
      <c r="Z109">
        <f t="shared" si="2"/>
        <v>0.23303075139109258</v>
      </c>
      <c r="AA109" t="s">
        <v>210</v>
      </c>
      <c r="AB109" t="str">
        <f t="shared" si="3"/>
        <v>Census Tract 1, King County, Washington</v>
      </c>
      <c r="AC109" s="3">
        <f>VLOOKUP($AB109,'2000 Seattle Tracts'!$C$2:$Y$374,AC$1,FALSE)*$Z109</f>
        <v>1288.660055192742</v>
      </c>
      <c r="AD109" s="3">
        <f>VLOOKUP($AB109,'2000 Seattle Tracts'!$C$2:$Y$374,AD$1,FALSE)*$Z109</f>
        <v>958.92154197434593</v>
      </c>
      <c r="AE109" s="3">
        <f>VLOOKUP($AB109,'2000 Seattle Tracts'!$C$2:$Y$374,AE$1,FALSE)*$Z109</f>
        <v>329.73851321839601</v>
      </c>
      <c r="AF109" s="3">
        <f>VLOOKUP($AB109,'2000 Seattle Tracts'!$C$2:$Y$374,AF$1,FALSE)*$Z109</f>
        <v>1288.660055192742</v>
      </c>
      <c r="AG109" s="3">
        <f>VLOOKUP($AB109,'2000 Seattle Tracts'!$C$2:$Y$374,AG$1,FALSE)*$Z109</f>
        <v>958.92154197434593</v>
      </c>
      <c r="AH109" s="3">
        <f>VLOOKUP($AB109,'2000 Seattle Tracts'!$C$2:$Y$374,AH$1,FALSE)*$Z109</f>
        <v>329.73851321839601</v>
      </c>
      <c r="AI109" s="3">
        <f>VLOOKUP($AB109,'2000 Seattle Tracts'!$C$2:$Y$374,AI$1,FALSE)*$Z109</f>
        <v>693.96557764267368</v>
      </c>
      <c r="AJ109" s="3">
        <f>VLOOKUP($AB109,'2000 Seattle Tracts'!$C$2:$Y$374,AJ$1,FALSE)*$Z109</f>
        <v>75.968024953496183</v>
      </c>
      <c r="AK109" s="3">
        <f>VLOOKUP($AB109,'2000 Seattle Tracts'!$C$2:$Y$374,AK$1,FALSE)*$Z109</f>
        <v>38.217043228139183</v>
      </c>
      <c r="AL109" s="3">
        <f>VLOOKUP($AB109,'2000 Seattle Tracts'!$C$2:$Y$374,AL$1,FALSE)*$Z109</f>
        <v>10.719414563990259</v>
      </c>
      <c r="AM109" s="3">
        <f>VLOOKUP($AB109,'2000 Seattle Tracts'!$C$2:$Y$374,AM$1,FALSE)*$Z109</f>
        <v>85.056224257748795</v>
      </c>
      <c r="AN109" s="3">
        <f>VLOOKUP($AB109,'2000 Seattle Tracts'!$C$2:$Y$374,AN$1,FALSE)*$Z109</f>
        <v>52.431919062995831</v>
      </c>
      <c r="AO109" s="3">
        <f>VLOOKUP($AB109,'2000 Seattle Tracts'!$C$2:$Y$374,AO$1,FALSE)*$Z109</f>
        <v>19.108521614069591</v>
      </c>
      <c r="AP109" s="3">
        <f>VLOOKUP($AB109,'2000 Seattle Tracts'!$C$2:$Y$374,AP$1,FALSE)*$Z109</f>
        <v>0</v>
      </c>
      <c r="AQ109" s="3">
        <f>VLOOKUP($AB109,'2000 Seattle Tracts'!$C$2:$Y$374,AQ$1,FALSE)*$Z109</f>
        <v>27.497628664148923</v>
      </c>
      <c r="AR109" s="3">
        <f>VLOOKUP($AB109,'2000 Seattle Tracts'!$C$2:$Y$374,AR$1,FALSE)*$Z109</f>
        <v>118.61265245806612</v>
      </c>
      <c r="AS109" s="3">
        <f>VLOOKUP($AB109,'2000 Seattle Tracts'!$C$2:$Y$374,AS$1,FALSE)*$Z109</f>
        <v>14.913968089029925</v>
      </c>
      <c r="AT109" s="3">
        <f>VLOOKUP($AB109,'2000 Seattle Tracts'!$C$2:$Y$374,AT$1,FALSE)*$Z109</f>
        <v>8.3891070500793337</v>
      </c>
      <c r="AU109" s="3">
        <f>VLOOKUP($AB109,'2000 Seattle Tracts'!$C$2:$Y$374,AU$1,FALSE)*$Z109</f>
        <v>19.108521614069591</v>
      </c>
      <c r="AV109" s="3">
        <f>VLOOKUP($AB109,'2000 Seattle Tracts'!$C$2:$Y$374,AV$1,FALSE)*$Z109</f>
        <v>50.567673051867089</v>
      </c>
      <c r="AW109" s="3">
        <f>VLOOKUP($AB109,'2000 Seattle Tracts'!$C$2:$Y$374,AW$1,FALSE)*$Z109</f>
        <v>61.054056864466254</v>
      </c>
      <c r="AX109" s="3">
        <f>VLOOKUP($AB109,'2000 Seattle Tracts'!$C$2:$Y$374,AX$1,FALSE)*$Z109</f>
        <v>13.049722077901185</v>
      </c>
    </row>
    <row r="110" spans="1:50" x14ac:dyDescent="0.25">
      <c r="A110" t="s">
        <v>2917</v>
      </c>
      <c r="B110" t="s">
        <v>2918</v>
      </c>
      <c r="C110" t="s">
        <v>3110</v>
      </c>
      <c r="D110" t="s">
        <v>2890</v>
      </c>
      <c r="E110" t="s">
        <v>2891</v>
      </c>
      <c r="F110" t="s">
        <v>2892</v>
      </c>
      <c r="G110" t="s">
        <v>2920</v>
      </c>
      <c r="H110" t="s">
        <v>2921</v>
      </c>
      <c r="I110">
        <v>1910585</v>
      </c>
      <c r="J110">
        <v>1486352</v>
      </c>
      <c r="K110" t="s">
        <v>3393</v>
      </c>
      <c r="L110" t="s">
        <v>3394</v>
      </c>
      <c r="M110">
        <v>106</v>
      </c>
      <c r="N110">
        <v>22788.76</v>
      </c>
      <c r="O110" t="s">
        <v>207</v>
      </c>
      <c r="P110">
        <v>3</v>
      </c>
      <c r="Q110">
        <v>3</v>
      </c>
      <c r="R110">
        <v>19</v>
      </c>
      <c r="S110">
        <v>20441486</v>
      </c>
      <c r="T110">
        <v>108</v>
      </c>
      <c r="U110">
        <v>105</v>
      </c>
      <c r="V110">
        <v>22788.760382662011</v>
      </c>
      <c r="W110">
        <v>20441485.84874605</v>
      </c>
      <c r="X110">
        <v>1413594.925</v>
      </c>
      <c r="Y110">
        <f>VLOOKUP(AB110,'2000 Seattle Tracts'!$C$2:$Z$374,24,FALSE)</f>
        <v>1851445.2509999999</v>
      </c>
      <c r="Z110">
        <f t="shared" si="2"/>
        <v>0.76350889891909646</v>
      </c>
      <c r="AA110" t="s">
        <v>211</v>
      </c>
      <c r="AB110" t="str">
        <f t="shared" si="3"/>
        <v>Census Tract 1, King County, Washington</v>
      </c>
      <c r="AC110" s="3">
        <f>VLOOKUP($AB110,'2000 Seattle Tracts'!$C$2:$Y$374,AC$1,FALSE)*$Z110</f>
        <v>4222.204211022603</v>
      </c>
      <c r="AD110" s="3">
        <f>VLOOKUP($AB110,'2000 Seattle Tracts'!$C$2:$Y$374,AD$1,FALSE)*$Z110</f>
        <v>3141.839119052082</v>
      </c>
      <c r="AE110" s="3">
        <f>VLOOKUP($AB110,'2000 Seattle Tracts'!$C$2:$Y$374,AE$1,FALSE)*$Z110</f>
        <v>1080.3650919705215</v>
      </c>
      <c r="AF110" s="3">
        <f>VLOOKUP($AB110,'2000 Seattle Tracts'!$C$2:$Y$374,AF$1,FALSE)*$Z110</f>
        <v>4222.204211022603</v>
      </c>
      <c r="AG110" s="3">
        <f>VLOOKUP($AB110,'2000 Seattle Tracts'!$C$2:$Y$374,AG$1,FALSE)*$Z110</f>
        <v>3141.839119052082</v>
      </c>
      <c r="AH110" s="3">
        <f>VLOOKUP($AB110,'2000 Seattle Tracts'!$C$2:$Y$374,AH$1,FALSE)*$Z110</f>
        <v>1080.3650919705215</v>
      </c>
      <c r="AI110" s="3">
        <f>VLOOKUP($AB110,'2000 Seattle Tracts'!$C$2:$Y$374,AI$1,FALSE)*$Z110</f>
        <v>2273.7295009810691</v>
      </c>
      <c r="AJ110" s="3">
        <f>VLOOKUP($AB110,'2000 Seattle Tracts'!$C$2:$Y$374,AJ$1,FALSE)*$Z110</f>
        <v>248.90390104762545</v>
      </c>
      <c r="AK110" s="3">
        <f>VLOOKUP($AB110,'2000 Seattle Tracts'!$C$2:$Y$374,AK$1,FALSE)*$Z110</f>
        <v>125.21545942273183</v>
      </c>
      <c r="AL110" s="3">
        <f>VLOOKUP($AB110,'2000 Seattle Tracts'!$C$2:$Y$374,AL$1,FALSE)*$Z110</f>
        <v>35.121409350278434</v>
      </c>
      <c r="AM110" s="3">
        <f>VLOOKUP($AB110,'2000 Seattle Tracts'!$C$2:$Y$374,AM$1,FALSE)*$Z110</f>
        <v>278.68074810547023</v>
      </c>
      <c r="AN110" s="3">
        <f>VLOOKUP($AB110,'2000 Seattle Tracts'!$C$2:$Y$374,AN$1,FALSE)*$Z110</f>
        <v>171.78950225679671</v>
      </c>
      <c r="AO110" s="3">
        <f>VLOOKUP($AB110,'2000 Seattle Tracts'!$C$2:$Y$374,AO$1,FALSE)*$Z110</f>
        <v>62.607729711365913</v>
      </c>
      <c r="AP110" s="3">
        <f>VLOOKUP($AB110,'2000 Seattle Tracts'!$C$2:$Y$374,AP$1,FALSE)*$Z110</f>
        <v>0</v>
      </c>
      <c r="AQ110" s="3">
        <f>VLOOKUP($AB110,'2000 Seattle Tracts'!$C$2:$Y$374,AQ$1,FALSE)*$Z110</f>
        <v>90.094050072453385</v>
      </c>
      <c r="AR110" s="3">
        <f>VLOOKUP($AB110,'2000 Seattle Tracts'!$C$2:$Y$374,AR$1,FALSE)*$Z110</f>
        <v>388.62602954982009</v>
      </c>
      <c r="AS110" s="3">
        <f>VLOOKUP($AB110,'2000 Seattle Tracts'!$C$2:$Y$374,AS$1,FALSE)*$Z110</f>
        <v>48.864569530822173</v>
      </c>
      <c r="AT110" s="3">
        <f>VLOOKUP($AB110,'2000 Seattle Tracts'!$C$2:$Y$374,AT$1,FALSE)*$Z110</f>
        <v>27.486320361087472</v>
      </c>
      <c r="AU110" s="3">
        <f>VLOOKUP($AB110,'2000 Seattle Tracts'!$C$2:$Y$374,AU$1,FALSE)*$Z110</f>
        <v>62.607729711365913</v>
      </c>
      <c r="AV110" s="3">
        <f>VLOOKUP($AB110,'2000 Seattle Tracts'!$C$2:$Y$374,AV$1,FALSE)*$Z110</f>
        <v>165.68143106544395</v>
      </c>
      <c r="AW110" s="3">
        <f>VLOOKUP($AB110,'2000 Seattle Tracts'!$C$2:$Y$374,AW$1,FALSE)*$Z110</f>
        <v>200.03933151680326</v>
      </c>
      <c r="AX110" s="3">
        <f>VLOOKUP($AB110,'2000 Seattle Tracts'!$C$2:$Y$374,AX$1,FALSE)*$Z110</f>
        <v>42.756498339469402</v>
      </c>
    </row>
    <row r="111" spans="1:50" x14ac:dyDescent="0.25">
      <c r="A111" t="s">
        <v>2917</v>
      </c>
      <c r="B111" t="s">
        <v>2918</v>
      </c>
      <c r="C111" t="s">
        <v>2993</v>
      </c>
      <c r="D111" t="s">
        <v>2797</v>
      </c>
      <c r="E111" t="s">
        <v>2798</v>
      </c>
      <c r="F111" t="s">
        <v>2799</v>
      </c>
      <c r="G111" t="s">
        <v>2920</v>
      </c>
      <c r="H111" t="s">
        <v>2921</v>
      </c>
      <c r="I111">
        <v>1721295</v>
      </c>
      <c r="J111">
        <v>11683915</v>
      </c>
      <c r="K111" t="s">
        <v>3395</v>
      </c>
      <c r="L111" t="s">
        <v>3396</v>
      </c>
      <c r="M111">
        <v>73</v>
      </c>
      <c r="N111">
        <v>28162.436000000002</v>
      </c>
      <c r="O111" t="s">
        <v>170</v>
      </c>
      <c r="P111">
        <v>19</v>
      </c>
      <c r="Q111">
        <v>9</v>
      </c>
      <c r="R111">
        <v>95</v>
      </c>
      <c r="S111">
        <v>26197314</v>
      </c>
      <c r="T111">
        <v>75</v>
      </c>
      <c r="U111">
        <v>193</v>
      </c>
      <c r="V111">
        <v>28162.435138616551</v>
      </c>
      <c r="W111">
        <v>26197314.057339299</v>
      </c>
      <c r="X111">
        <v>995552.84299999999</v>
      </c>
      <c r="Y111">
        <f>VLOOKUP(AB111,'2000 Seattle Tracts'!$C$2:$Z$374,24,FALSE)</f>
        <v>1706805.1229999999</v>
      </c>
      <c r="Z111">
        <f t="shared" si="2"/>
        <v>0.58328442397111324</v>
      </c>
      <c r="AA111" t="s">
        <v>172</v>
      </c>
      <c r="AB111" t="str">
        <f t="shared" si="3"/>
        <v>Census Tract 121, King County, Washington</v>
      </c>
      <c r="AC111" s="3">
        <f>VLOOKUP($AB111,'2000 Seattle Tracts'!$C$2:$Y$374,AC$1,FALSE)*$Z111</f>
        <v>1601.1157438007058</v>
      </c>
      <c r="AD111" s="3">
        <f>VLOOKUP($AB111,'2000 Seattle Tracts'!$C$2:$Y$374,AD$1,FALSE)*$Z111</f>
        <v>1486.7919967023677</v>
      </c>
      <c r="AE111" s="3">
        <f>VLOOKUP($AB111,'2000 Seattle Tracts'!$C$2:$Y$374,AE$1,FALSE)*$Z111</f>
        <v>114.3237470983382</v>
      </c>
      <c r="AF111" s="3">
        <f>VLOOKUP($AB111,'2000 Seattle Tracts'!$C$2:$Y$374,AF$1,FALSE)*$Z111</f>
        <v>1601.1157438007058</v>
      </c>
      <c r="AG111" s="3">
        <f>VLOOKUP($AB111,'2000 Seattle Tracts'!$C$2:$Y$374,AG$1,FALSE)*$Z111</f>
        <v>1486.7919967023677</v>
      </c>
      <c r="AH111" s="3">
        <f>VLOOKUP($AB111,'2000 Seattle Tracts'!$C$2:$Y$374,AH$1,FALSE)*$Z111</f>
        <v>114.3237470983382</v>
      </c>
      <c r="AI111" s="3">
        <f>VLOOKUP($AB111,'2000 Seattle Tracts'!$C$2:$Y$374,AI$1,FALSE)*$Z111</f>
        <v>1359.0527078526939</v>
      </c>
      <c r="AJ111" s="3">
        <f>VLOOKUP($AB111,'2000 Seattle Tracts'!$C$2:$Y$374,AJ$1,FALSE)*$Z111</f>
        <v>82.243103779926969</v>
      </c>
      <c r="AK111" s="3">
        <f>VLOOKUP($AB111,'2000 Seattle Tracts'!$C$2:$Y$374,AK$1,FALSE)*$Z111</f>
        <v>5.2495598157400192</v>
      </c>
      <c r="AL111" s="3">
        <f>VLOOKUP($AB111,'2000 Seattle Tracts'!$C$2:$Y$374,AL$1,FALSE)*$Z111</f>
        <v>0</v>
      </c>
      <c r="AM111" s="3">
        <f>VLOOKUP($AB111,'2000 Seattle Tracts'!$C$2:$Y$374,AM$1,FALSE)*$Z111</f>
        <v>0</v>
      </c>
      <c r="AN111" s="3">
        <f>VLOOKUP($AB111,'2000 Seattle Tracts'!$C$2:$Y$374,AN$1,FALSE)*$Z111</f>
        <v>0</v>
      </c>
      <c r="AO111" s="3">
        <f>VLOOKUP($AB111,'2000 Seattle Tracts'!$C$2:$Y$374,AO$1,FALSE)*$Z111</f>
        <v>24.497945806786756</v>
      </c>
      <c r="AP111" s="3">
        <f>VLOOKUP($AB111,'2000 Seattle Tracts'!$C$2:$Y$374,AP$1,FALSE)*$Z111</f>
        <v>9.3325507835378119</v>
      </c>
      <c r="AQ111" s="3">
        <f>VLOOKUP($AB111,'2000 Seattle Tracts'!$C$2:$Y$374,AQ$1,FALSE)*$Z111</f>
        <v>39.080056406064585</v>
      </c>
      <c r="AR111" s="3">
        <f>VLOOKUP($AB111,'2000 Seattle Tracts'!$C$2:$Y$374,AR$1,FALSE)*$Z111</f>
        <v>18.665101567075624</v>
      </c>
      <c r="AS111" s="3">
        <f>VLOOKUP($AB111,'2000 Seattle Tracts'!$C$2:$Y$374,AS$1,FALSE)*$Z111</f>
        <v>0</v>
      </c>
      <c r="AT111" s="3">
        <f>VLOOKUP($AB111,'2000 Seattle Tracts'!$C$2:$Y$374,AT$1,FALSE)*$Z111</f>
        <v>0</v>
      </c>
      <c r="AU111" s="3">
        <f>VLOOKUP($AB111,'2000 Seattle Tracts'!$C$2:$Y$374,AU$1,FALSE)*$Z111</f>
        <v>9.9158352075089251</v>
      </c>
      <c r="AV111" s="3">
        <f>VLOOKUP($AB111,'2000 Seattle Tracts'!$C$2:$Y$374,AV$1,FALSE)*$Z111</f>
        <v>4.0829909677977927</v>
      </c>
      <c r="AW111" s="3">
        <f>VLOOKUP($AB111,'2000 Seattle Tracts'!$C$2:$Y$374,AW$1,FALSE)*$Z111</f>
        <v>48.995891613573512</v>
      </c>
      <c r="AX111" s="3">
        <f>VLOOKUP($AB111,'2000 Seattle Tracts'!$C$2:$Y$374,AX$1,FALSE)*$Z111</f>
        <v>0</v>
      </c>
    </row>
    <row r="112" spans="1:50" x14ac:dyDescent="0.25">
      <c r="A112" t="s">
        <v>2917</v>
      </c>
      <c r="B112" t="s">
        <v>2918</v>
      </c>
      <c r="C112" t="s">
        <v>2993</v>
      </c>
      <c r="D112" t="s">
        <v>2797</v>
      </c>
      <c r="E112" t="s">
        <v>2798</v>
      </c>
      <c r="F112" t="s">
        <v>2799</v>
      </c>
      <c r="G112" t="s">
        <v>2920</v>
      </c>
      <c r="H112" t="s">
        <v>2921</v>
      </c>
      <c r="I112">
        <v>1721295</v>
      </c>
      <c r="J112">
        <v>11683915</v>
      </c>
      <c r="K112" t="s">
        <v>3395</v>
      </c>
      <c r="L112" t="s">
        <v>3396</v>
      </c>
      <c r="M112">
        <v>78</v>
      </c>
      <c r="N112">
        <v>42276.531000000003</v>
      </c>
      <c r="O112" t="s">
        <v>170</v>
      </c>
      <c r="P112">
        <v>19</v>
      </c>
      <c r="Q112">
        <v>9</v>
      </c>
      <c r="R112">
        <v>23</v>
      </c>
      <c r="S112">
        <v>33881864</v>
      </c>
      <c r="T112">
        <v>80</v>
      </c>
      <c r="U112">
        <v>189</v>
      </c>
      <c r="V112">
        <v>42276.53178777737</v>
      </c>
      <c r="W112">
        <v>33881863.870656453</v>
      </c>
      <c r="X112">
        <v>705925.90500000003</v>
      </c>
      <c r="Y112">
        <f>VLOOKUP(AB112,'2000 Seattle Tracts'!$C$2:$Z$374,24,FALSE)</f>
        <v>1706805.1229999999</v>
      </c>
      <c r="Z112">
        <f t="shared" si="2"/>
        <v>0.41359490634713786</v>
      </c>
      <c r="AA112" t="s">
        <v>177</v>
      </c>
      <c r="AB112" t="str">
        <f t="shared" si="3"/>
        <v>Census Tract 121, King County, Washington</v>
      </c>
      <c r="AC112" s="3">
        <f>VLOOKUP($AB112,'2000 Seattle Tracts'!$C$2:$Y$374,AC$1,FALSE)*$Z112</f>
        <v>1135.3180179228934</v>
      </c>
      <c r="AD112" s="3">
        <f>VLOOKUP($AB112,'2000 Seattle Tracts'!$C$2:$Y$374,AD$1,FALSE)*$Z112</f>
        <v>1054.2534162788545</v>
      </c>
      <c r="AE112" s="3">
        <f>VLOOKUP($AB112,'2000 Seattle Tracts'!$C$2:$Y$374,AE$1,FALSE)*$Z112</f>
        <v>81.064601644039016</v>
      </c>
      <c r="AF112" s="3">
        <f>VLOOKUP($AB112,'2000 Seattle Tracts'!$C$2:$Y$374,AF$1,FALSE)*$Z112</f>
        <v>1135.3180179228934</v>
      </c>
      <c r="AG112" s="3">
        <f>VLOOKUP($AB112,'2000 Seattle Tracts'!$C$2:$Y$374,AG$1,FALSE)*$Z112</f>
        <v>1054.2534162788545</v>
      </c>
      <c r="AH112" s="3">
        <f>VLOOKUP($AB112,'2000 Seattle Tracts'!$C$2:$Y$374,AH$1,FALSE)*$Z112</f>
        <v>81.064601644039016</v>
      </c>
      <c r="AI112" s="3">
        <f>VLOOKUP($AB112,'2000 Seattle Tracts'!$C$2:$Y$374,AI$1,FALSE)*$Z112</f>
        <v>963.67613178883119</v>
      </c>
      <c r="AJ112" s="3">
        <f>VLOOKUP($AB112,'2000 Seattle Tracts'!$C$2:$Y$374,AJ$1,FALSE)*$Z112</f>
        <v>58.31688179494644</v>
      </c>
      <c r="AK112" s="3">
        <f>VLOOKUP($AB112,'2000 Seattle Tracts'!$C$2:$Y$374,AK$1,FALSE)*$Z112</f>
        <v>3.7223541571242409</v>
      </c>
      <c r="AL112" s="3">
        <f>VLOOKUP($AB112,'2000 Seattle Tracts'!$C$2:$Y$374,AL$1,FALSE)*$Z112</f>
        <v>0</v>
      </c>
      <c r="AM112" s="3">
        <f>VLOOKUP($AB112,'2000 Seattle Tracts'!$C$2:$Y$374,AM$1,FALSE)*$Z112</f>
        <v>0</v>
      </c>
      <c r="AN112" s="3">
        <f>VLOOKUP($AB112,'2000 Seattle Tracts'!$C$2:$Y$374,AN$1,FALSE)*$Z112</f>
        <v>0</v>
      </c>
      <c r="AO112" s="3">
        <f>VLOOKUP($AB112,'2000 Seattle Tracts'!$C$2:$Y$374,AO$1,FALSE)*$Z112</f>
        <v>17.370986066579789</v>
      </c>
      <c r="AP112" s="3">
        <f>VLOOKUP($AB112,'2000 Seattle Tracts'!$C$2:$Y$374,AP$1,FALSE)*$Z112</f>
        <v>6.6175185015542057</v>
      </c>
      <c r="AQ112" s="3">
        <f>VLOOKUP($AB112,'2000 Seattle Tracts'!$C$2:$Y$374,AQ$1,FALSE)*$Z112</f>
        <v>27.710858725258237</v>
      </c>
      <c r="AR112" s="3">
        <f>VLOOKUP($AB112,'2000 Seattle Tracts'!$C$2:$Y$374,AR$1,FALSE)*$Z112</f>
        <v>13.235037003108411</v>
      </c>
      <c r="AS112" s="3">
        <f>VLOOKUP($AB112,'2000 Seattle Tracts'!$C$2:$Y$374,AS$1,FALSE)*$Z112</f>
        <v>0</v>
      </c>
      <c r="AT112" s="3">
        <f>VLOOKUP($AB112,'2000 Seattle Tracts'!$C$2:$Y$374,AT$1,FALSE)*$Z112</f>
        <v>0</v>
      </c>
      <c r="AU112" s="3">
        <f>VLOOKUP($AB112,'2000 Seattle Tracts'!$C$2:$Y$374,AU$1,FALSE)*$Z112</f>
        <v>7.0311134079013433</v>
      </c>
      <c r="AV112" s="3">
        <f>VLOOKUP($AB112,'2000 Seattle Tracts'!$C$2:$Y$374,AV$1,FALSE)*$Z112</f>
        <v>2.8951643444299648</v>
      </c>
      <c r="AW112" s="3">
        <f>VLOOKUP($AB112,'2000 Seattle Tracts'!$C$2:$Y$374,AW$1,FALSE)*$Z112</f>
        <v>34.741972133159578</v>
      </c>
      <c r="AX112" s="3">
        <f>VLOOKUP($AB112,'2000 Seattle Tracts'!$C$2:$Y$374,AX$1,FALSE)*$Z112</f>
        <v>0</v>
      </c>
    </row>
    <row r="113" spans="1:50" x14ac:dyDescent="0.25">
      <c r="A113" t="s">
        <v>2917</v>
      </c>
      <c r="B113" t="s">
        <v>2918</v>
      </c>
      <c r="C113" t="s">
        <v>2984</v>
      </c>
      <c r="D113" t="s">
        <v>2800</v>
      </c>
      <c r="E113" t="s">
        <v>2801</v>
      </c>
      <c r="F113" t="s">
        <v>2802</v>
      </c>
      <c r="G113" t="s">
        <v>2920</v>
      </c>
      <c r="H113" t="s">
        <v>2921</v>
      </c>
      <c r="I113">
        <v>1449700</v>
      </c>
      <c r="J113">
        <v>0</v>
      </c>
      <c r="K113" t="s">
        <v>3397</v>
      </c>
      <c r="L113" t="s">
        <v>3398</v>
      </c>
      <c r="M113">
        <v>73</v>
      </c>
      <c r="N113">
        <v>28162.436000000002</v>
      </c>
      <c r="O113" t="s">
        <v>170</v>
      </c>
      <c r="P113">
        <v>19</v>
      </c>
      <c r="Q113">
        <v>9</v>
      </c>
      <c r="R113">
        <v>95</v>
      </c>
      <c r="S113">
        <v>26197314</v>
      </c>
      <c r="T113">
        <v>75</v>
      </c>
      <c r="U113">
        <v>193</v>
      </c>
      <c r="V113">
        <v>28162.435138616551</v>
      </c>
      <c r="W113">
        <v>26197314.057339299</v>
      </c>
      <c r="X113">
        <v>1434953.013</v>
      </c>
      <c r="Y113">
        <f>VLOOKUP(AB113,'2000 Seattle Tracts'!$C$2:$Z$374,24,FALSE)</f>
        <v>1449701.226</v>
      </c>
      <c r="Z113">
        <f t="shared" si="2"/>
        <v>0.98982672240631742</v>
      </c>
      <c r="AA113" t="s">
        <v>172</v>
      </c>
      <c r="AB113" t="str">
        <f t="shared" si="3"/>
        <v>Census Tract 120, King County, Washington</v>
      </c>
      <c r="AC113" s="3">
        <f>VLOOKUP($AB113,'2000 Seattle Tracts'!$C$2:$Y$374,AC$1,FALSE)*$Z113</f>
        <v>3366.4006829038854</v>
      </c>
      <c r="AD113" s="3">
        <f>VLOOKUP($AB113,'2000 Seattle Tracts'!$C$2:$Y$374,AD$1,FALSE)*$Z113</f>
        <v>2985.3173947774535</v>
      </c>
      <c r="AE113" s="3">
        <f>VLOOKUP($AB113,'2000 Seattle Tracts'!$C$2:$Y$374,AE$1,FALSE)*$Z113</f>
        <v>381.08328812643219</v>
      </c>
      <c r="AF113" s="3">
        <f>VLOOKUP($AB113,'2000 Seattle Tracts'!$C$2:$Y$374,AF$1,FALSE)*$Z113</f>
        <v>3366.4006829038854</v>
      </c>
      <c r="AG113" s="3">
        <f>VLOOKUP($AB113,'2000 Seattle Tracts'!$C$2:$Y$374,AG$1,FALSE)*$Z113</f>
        <v>2985.3173947774535</v>
      </c>
      <c r="AH113" s="3">
        <f>VLOOKUP($AB113,'2000 Seattle Tracts'!$C$2:$Y$374,AH$1,FALSE)*$Z113</f>
        <v>381.08328812643219</v>
      </c>
      <c r="AI113" s="3">
        <f>VLOOKUP($AB113,'2000 Seattle Tracts'!$C$2:$Y$374,AI$1,FALSE)*$Z113</f>
        <v>2551.7732903634865</v>
      </c>
      <c r="AJ113" s="3">
        <f>VLOOKUP($AB113,'2000 Seattle Tracts'!$C$2:$Y$374,AJ$1,FALSE)*$Z113</f>
        <v>191.03655742441927</v>
      </c>
      <c r="AK113" s="3">
        <f>VLOOKUP($AB113,'2000 Seattle Tracts'!$C$2:$Y$374,AK$1,FALSE)*$Z113</f>
        <v>69.287870568442216</v>
      </c>
      <c r="AL113" s="3">
        <f>VLOOKUP($AB113,'2000 Seattle Tracts'!$C$2:$Y$374,AL$1,FALSE)*$Z113</f>
        <v>3.9593068896252697</v>
      </c>
      <c r="AM113" s="3">
        <f>VLOOKUP($AB113,'2000 Seattle Tracts'!$C$2:$Y$374,AM$1,FALSE)*$Z113</f>
        <v>62.359083511597994</v>
      </c>
      <c r="AN113" s="3">
        <f>VLOOKUP($AB113,'2000 Seattle Tracts'!$C$2:$Y$374,AN$1,FALSE)*$Z113</f>
        <v>4.949133612031587</v>
      </c>
      <c r="AO113" s="3">
        <f>VLOOKUP($AB113,'2000 Seattle Tracts'!$C$2:$Y$374,AO$1,FALSE)*$Z113</f>
        <v>20.786361170532665</v>
      </c>
      <c r="AP113" s="3">
        <f>VLOOKUP($AB113,'2000 Seattle Tracts'!$C$2:$Y$374,AP$1,FALSE)*$Z113</f>
        <v>0</v>
      </c>
      <c r="AQ113" s="3">
        <f>VLOOKUP($AB113,'2000 Seattle Tracts'!$C$2:$Y$374,AQ$1,FALSE)*$Z113</f>
        <v>111.85041963191387</v>
      </c>
      <c r="AR113" s="3">
        <f>VLOOKUP($AB113,'2000 Seattle Tracts'!$C$2:$Y$374,AR$1,FALSE)*$Z113</f>
        <v>130.6571273576339</v>
      </c>
      <c r="AS113" s="3">
        <f>VLOOKUP($AB113,'2000 Seattle Tracts'!$C$2:$Y$374,AS$1,FALSE)*$Z113</f>
        <v>15.837227558501079</v>
      </c>
      <c r="AT113" s="3">
        <f>VLOOKUP($AB113,'2000 Seattle Tracts'!$C$2:$Y$374,AT$1,FALSE)*$Z113</f>
        <v>9.8982672240631739</v>
      </c>
      <c r="AU113" s="3">
        <f>VLOOKUP($AB113,'2000 Seattle Tracts'!$C$2:$Y$374,AU$1,FALSE)*$Z113</f>
        <v>37.613415451440062</v>
      </c>
      <c r="AV113" s="3">
        <f>VLOOKUP($AB113,'2000 Seattle Tracts'!$C$2:$Y$374,AV$1,FALSE)*$Z113</f>
        <v>34.643935284221108</v>
      </c>
      <c r="AW113" s="3">
        <f>VLOOKUP($AB113,'2000 Seattle Tracts'!$C$2:$Y$374,AW$1,FALSE)*$Z113</f>
        <v>115.80972652153913</v>
      </c>
      <c r="AX113" s="3">
        <f>VLOOKUP($AB113,'2000 Seattle Tracts'!$C$2:$Y$374,AX$1,FALSE)*$Z113</f>
        <v>5.9389603344379047</v>
      </c>
    </row>
    <row r="114" spans="1:50" x14ac:dyDescent="0.25">
      <c r="A114" t="s">
        <v>2917</v>
      </c>
      <c r="B114" t="s">
        <v>2918</v>
      </c>
      <c r="C114" t="s">
        <v>2984</v>
      </c>
      <c r="D114" t="s">
        <v>2800</v>
      </c>
      <c r="E114" t="s">
        <v>2801</v>
      </c>
      <c r="F114" t="s">
        <v>2802</v>
      </c>
      <c r="G114" t="s">
        <v>2920</v>
      </c>
      <c r="H114" t="s">
        <v>2921</v>
      </c>
      <c r="I114">
        <v>1449700</v>
      </c>
      <c r="J114">
        <v>0</v>
      </c>
      <c r="K114" t="s">
        <v>3397</v>
      </c>
      <c r="L114" t="s">
        <v>3398</v>
      </c>
      <c r="M114">
        <v>78</v>
      </c>
      <c r="N114">
        <v>42276.531000000003</v>
      </c>
      <c r="O114" t="s">
        <v>170</v>
      </c>
      <c r="P114">
        <v>19</v>
      </c>
      <c r="Q114">
        <v>9</v>
      </c>
      <c r="R114">
        <v>23</v>
      </c>
      <c r="S114">
        <v>33881864</v>
      </c>
      <c r="T114">
        <v>80</v>
      </c>
      <c r="U114">
        <v>189</v>
      </c>
      <c r="V114">
        <v>42276.53178777737</v>
      </c>
      <c r="W114">
        <v>33881863.870656453</v>
      </c>
      <c r="X114">
        <v>11837.334999999999</v>
      </c>
      <c r="Y114">
        <f>VLOOKUP(AB114,'2000 Seattle Tracts'!$C$2:$Z$374,24,FALSE)</f>
        <v>1449701.226</v>
      </c>
      <c r="Z114">
        <f t="shared" si="2"/>
        <v>8.1653617915889102E-3</v>
      </c>
      <c r="AA114" t="s">
        <v>177</v>
      </c>
      <c r="AB114" t="str">
        <f t="shared" si="3"/>
        <v>Census Tract 120, King County, Washington</v>
      </c>
      <c r="AC114" s="3">
        <f>VLOOKUP($AB114,'2000 Seattle Tracts'!$C$2:$Y$374,AC$1,FALSE)*$Z114</f>
        <v>27.770395453193885</v>
      </c>
      <c r="AD114" s="3">
        <f>VLOOKUP($AB114,'2000 Seattle Tracts'!$C$2:$Y$374,AD$1,FALSE)*$Z114</f>
        <v>24.626731163432154</v>
      </c>
      <c r="AE114" s="3">
        <f>VLOOKUP($AB114,'2000 Seattle Tracts'!$C$2:$Y$374,AE$1,FALSE)*$Z114</f>
        <v>3.1436642897617304</v>
      </c>
      <c r="AF114" s="3">
        <f>VLOOKUP($AB114,'2000 Seattle Tracts'!$C$2:$Y$374,AF$1,FALSE)*$Z114</f>
        <v>27.770395453193885</v>
      </c>
      <c r="AG114" s="3">
        <f>VLOOKUP($AB114,'2000 Seattle Tracts'!$C$2:$Y$374,AG$1,FALSE)*$Z114</f>
        <v>24.626731163432154</v>
      </c>
      <c r="AH114" s="3">
        <f>VLOOKUP($AB114,'2000 Seattle Tracts'!$C$2:$Y$374,AH$1,FALSE)*$Z114</f>
        <v>3.1436642897617304</v>
      </c>
      <c r="AI114" s="3">
        <f>VLOOKUP($AB114,'2000 Seattle Tracts'!$C$2:$Y$374,AI$1,FALSE)*$Z114</f>
        <v>21.050302698716209</v>
      </c>
      <c r="AJ114" s="3">
        <f>VLOOKUP($AB114,'2000 Seattle Tracts'!$C$2:$Y$374,AJ$1,FALSE)*$Z114</f>
        <v>1.5759148257766598</v>
      </c>
      <c r="AK114" s="3">
        <f>VLOOKUP($AB114,'2000 Seattle Tracts'!$C$2:$Y$374,AK$1,FALSE)*$Z114</f>
        <v>0.57157532541122369</v>
      </c>
      <c r="AL114" s="3">
        <f>VLOOKUP($AB114,'2000 Seattle Tracts'!$C$2:$Y$374,AL$1,FALSE)*$Z114</f>
        <v>3.2661447166355641E-2</v>
      </c>
      <c r="AM114" s="3">
        <f>VLOOKUP($AB114,'2000 Seattle Tracts'!$C$2:$Y$374,AM$1,FALSE)*$Z114</f>
        <v>0.51441779287010136</v>
      </c>
      <c r="AN114" s="3">
        <f>VLOOKUP($AB114,'2000 Seattle Tracts'!$C$2:$Y$374,AN$1,FALSE)*$Z114</f>
        <v>4.0826808957944549E-2</v>
      </c>
      <c r="AO114" s="3">
        <f>VLOOKUP($AB114,'2000 Seattle Tracts'!$C$2:$Y$374,AO$1,FALSE)*$Z114</f>
        <v>0.17147259762336711</v>
      </c>
      <c r="AP114" s="3">
        <f>VLOOKUP($AB114,'2000 Seattle Tracts'!$C$2:$Y$374,AP$1,FALSE)*$Z114</f>
        <v>0</v>
      </c>
      <c r="AQ114" s="3">
        <f>VLOOKUP($AB114,'2000 Seattle Tracts'!$C$2:$Y$374,AQ$1,FALSE)*$Z114</f>
        <v>0.92268588244954686</v>
      </c>
      <c r="AR114" s="3">
        <f>VLOOKUP($AB114,'2000 Seattle Tracts'!$C$2:$Y$374,AR$1,FALSE)*$Z114</f>
        <v>1.0778277564897361</v>
      </c>
      <c r="AS114" s="3">
        <f>VLOOKUP($AB114,'2000 Seattle Tracts'!$C$2:$Y$374,AS$1,FALSE)*$Z114</f>
        <v>0.13064578866542256</v>
      </c>
      <c r="AT114" s="3">
        <f>VLOOKUP($AB114,'2000 Seattle Tracts'!$C$2:$Y$374,AT$1,FALSE)*$Z114</f>
        <v>8.1653617915889098E-2</v>
      </c>
      <c r="AU114" s="3">
        <f>VLOOKUP($AB114,'2000 Seattle Tracts'!$C$2:$Y$374,AU$1,FALSE)*$Z114</f>
        <v>0.31028374808037856</v>
      </c>
      <c r="AV114" s="3">
        <f>VLOOKUP($AB114,'2000 Seattle Tracts'!$C$2:$Y$374,AV$1,FALSE)*$Z114</f>
        <v>0.28578766270561184</v>
      </c>
      <c r="AW114" s="3">
        <f>VLOOKUP($AB114,'2000 Seattle Tracts'!$C$2:$Y$374,AW$1,FALSE)*$Z114</f>
        <v>0.95534732961590252</v>
      </c>
      <c r="AX114" s="3">
        <f>VLOOKUP($AB114,'2000 Seattle Tracts'!$C$2:$Y$374,AX$1,FALSE)*$Z114</f>
        <v>4.8992170749533465E-2</v>
      </c>
    </row>
    <row r="115" spans="1:50" x14ac:dyDescent="0.25">
      <c r="A115" t="s">
        <v>2917</v>
      </c>
      <c r="B115" t="s">
        <v>2918</v>
      </c>
      <c r="C115" t="s">
        <v>2984</v>
      </c>
      <c r="D115" t="s">
        <v>2800</v>
      </c>
      <c r="E115" t="s">
        <v>2801</v>
      </c>
      <c r="F115" t="s">
        <v>2802</v>
      </c>
      <c r="G115" t="s">
        <v>2920</v>
      </c>
      <c r="H115" t="s">
        <v>2921</v>
      </c>
      <c r="I115">
        <v>1449700</v>
      </c>
      <c r="J115">
        <v>0</v>
      </c>
      <c r="K115" t="s">
        <v>3397</v>
      </c>
      <c r="L115" t="s">
        <v>3398</v>
      </c>
      <c r="M115">
        <v>94</v>
      </c>
      <c r="N115">
        <v>22360.046999999999</v>
      </c>
      <c r="O115" t="s">
        <v>191</v>
      </c>
      <c r="P115">
        <v>20</v>
      </c>
      <c r="Q115">
        <v>10</v>
      </c>
      <c r="R115">
        <v>0</v>
      </c>
      <c r="S115">
        <v>18781060</v>
      </c>
      <c r="T115">
        <v>96</v>
      </c>
      <c r="U115">
        <v>191</v>
      </c>
      <c r="V115">
        <v>22360.047228914489</v>
      </c>
      <c r="W115">
        <v>18781059.844160609</v>
      </c>
      <c r="X115">
        <v>15.237</v>
      </c>
      <c r="Y115">
        <f>VLOOKUP(AB115,'2000 Seattle Tracts'!$C$2:$Z$374,24,FALSE)</f>
        <v>1449701.226</v>
      </c>
      <c r="Z115">
        <f t="shared" si="2"/>
        <v>1.0510441549423094E-5</v>
      </c>
      <c r="AA115" t="s">
        <v>196</v>
      </c>
      <c r="AB115" t="str">
        <f t="shared" si="3"/>
        <v>Census Tract 120, King County, Washington</v>
      </c>
      <c r="AC115" s="3">
        <f>VLOOKUP($AB115,'2000 Seattle Tracts'!$C$2:$Y$374,AC$1,FALSE)*$Z115</f>
        <v>3.5746011709587945E-2</v>
      </c>
      <c r="AD115" s="3">
        <f>VLOOKUP($AB115,'2000 Seattle Tracts'!$C$2:$Y$374,AD$1,FALSE)*$Z115</f>
        <v>3.1699491713060052E-2</v>
      </c>
      <c r="AE115" s="3">
        <f>VLOOKUP($AB115,'2000 Seattle Tracts'!$C$2:$Y$374,AE$1,FALSE)*$Z115</f>
        <v>4.0465199965278907E-3</v>
      </c>
      <c r="AF115" s="3">
        <f>VLOOKUP($AB115,'2000 Seattle Tracts'!$C$2:$Y$374,AF$1,FALSE)*$Z115</f>
        <v>3.5746011709587945E-2</v>
      </c>
      <c r="AG115" s="3">
        <f>VLOOKUP($AB115,'2000 Seattle Tracts'!$C$2:$Y$374,AG$1,FALSE)*$Z115</f>
        <v>3.1699491713060052E-2</v>
      </c>
      <c r="AH115" s="3">
        <f>VLOOKUP($AB115,'2000 Seattle Tracts'!$C$2:$Y$374,AH$1,FALSE)*$Z115</f>
        <v>4.0465199965278907E-3</v>
      </c>
      <c r="AI115" s="3">
        <f>VLOOKUP($AB115,'2000 Seattle Tracts'!$C$2:$Y$374,AI$1,FALSE)*$Z115</f>
        <v>2.7095918314412736E-2</v>
      </c>
      <c r="AJ115" s="3">
        <f>VLOOKUP($AB115,'2000 Seattle Tracts'!$C$2:$Y$374,AJ$1,FALSE)*$Z115</f>
        <v>2.0285152190386573E-3</v>
      </c>
      <c r="AK115" s="3">
        <f>VLOOKUP($AB115,'2000 Seattle Tracts'!$C$2:$Y$374,AK$1,FALSE)*$Z115</f>
        <v>7.3573090845961654E-4</v>
      </c>
      <c r="AL115" s="3">
        <f>VLOOKUP($AB115,'2000 Seattle Tracts'!$C$2:$Y$374,AL$1,FALSE)*$Z115</f>
        <v>4.2041766197692375E-5</v>
      </c>
      <c r="AM115" s="3">
        <f>VLOOKUP($AB115,'2000 Seattle Tracts'!$C$2:$Y$374,AM$1,FALSE)*$Z115</f>
        <v>6.6215781761365486E-4</v>
      </c>
      <c r="AN115" s="3">
        <f>VLOOKUP($AB115,'2000 Seattle Tracts'!$C$2:$Y$374,AN$1,FALSE)*$Z115</f>
        <v>5.2552207747115471E-5</v>
      </c>
      <c r="AO115" s="3">
        <f>VLOOKUP($AB115,'2000 Seattle Tracts'!$C$2:$Y$374,AO$1,FALSE)*$Z115</f>
        <v>2.2071927253788497E-4</v>
      </c>
      <c r="AP115" s="3">
        <f>VLOOKUP($AB115,'2000 Seattle Tracts'!$C$2:$Y$374,AP$1,FALSE)*$Z115</f>
        <v>0</v>
      </c>
      <c r="AQ115" s="3">
        <f>VLOOKUP($AB115,'2000 Seattle Tracts'!$C$2:$Y$374,AQ$1,FALSE)*$Z115</f>
        <v>1.1876798950848095E-3</v>
      </c>
      <c r="AR115" s="3">
        <f>VLOOKUP($AB115,'2000 Seattle Tracts'!$C$2:$Y$374,AR$1,FALSE)*$Z115</f>
        <v>1.3873782845238484E-3</v>
      </c>
      <c r="AS115" s="3">
        <f>VLOOKUP($AB115,'2000 Seattle Tracts'!$C$2:$Y$374,AS$1,FALSE)*$Z115</f>
        <v>1.681670647907695E-4</v>
      </c>
      <c r="AT115" s="3">
        <f>VLOOKUP($AB115,'2000 Seattle Tracts'!$C$2:$Y$374,AT$1,FALSE)*$Z115</f>
        <v>1.0510441549423094E-4</v>
      </c>
      <c r="AU115" s="3">
        <f>VLOOKUP($AB115,'2000 Seattle Tracts'!$C$2:$Y$374,AU$1,FALSE)*$Z115</f>
        <v>3.9939677887807759E-4</v>
      </c>
      <c r="AV115" s="3">
        <f>VLOOKUP($AB115,'2000 Seattle Tracts'!$C$2:$Y$374,AV$1,FALSE)*$Z115</f>
        <v>3.6786545422980827E-4</v>
      </c>
      <c r="AW115" s="3">
        <f>VLOOKUP($AB115,'2000 Seattle Tracts'!$C$2:$Y$374,AW$1,FALSE)*$Z115</f>
        <v>1.2297216612825019E-3</v>
      </c>
      <c r="AX115" s="3">
        <f>VLOOKUP($AB115,'2000 Seattle Tracts'!$C$2:$Y$374,AX$1,FALSE)*$Z115</f>
        <v>6.306264929653856E-5</v>
      </c>
    </row>
    <row r="116" spans="1:50" x14ac:dyDescent="0.25">
      <c r="A116" t="s">
        <v>2917</v>
      </c>
      <c r="B116" t="s">
        <v>2918</v>
      </c>
      <c r="C116" t="s">
        <v>2981</v>
      </c>
      <c r="D116" t="s">
        <v>2806</v>
      </c>
      <c r="E116" t="s">
        <v>2807</v>
      </c>
      <c r="F116" t="s">
        <v>2808</v>
      </c>
      <c r="G116" t="s">
        <v>2920</v>
      </c>
      <c r="H116" t="s">
        <v>2921</v>
      </c>
      <c r="I116">
        <v>3183323</v>
      </c>
      <c r="J116">
        <v>1320016</v>
      </c>
      <c r="K116" t="s">
        <v>3399</v>
      </c>
      <c r="L116" t="s">
        <v>3400</v>
      </c>
      <c r="M116">
        <v>85</v>
      </c>
      <c r="N116">
        <v>34965.612999999998</v>
      </c>
      <c r="O116" t="s">
        <v>184</v>
      </c>
      <c r="P116">
        <v>15</v>
      </c>
      <c r="Q116">
        <v>4</v>
      </c>
      <c r="R116">
        <v>81</v>
      </c>
      <c r="S116">
        <v>33128236</v>
      </c>
      <c r="T116">
        <v>87</v>
      </c>
      <c r="U116">
        <v>194</v>
      </c>
      <c r="V116">
        <v>34965.613210047493</v>
      </c>
      <c r="W116">
        <v>33128236.141302869</v>
      </c>
      <c r="X116">
        <v>1470587.0379999999</v>
      </c>
      <c r="Y116">
        <f>VLOOKUP(AB116,'2000 Seattle Tracts'!$C$2:$Z$374,24,FALSE)</f>
        <v>3141142.1949999998</v>
      </c>
      <c r="Z116">
        <f t="shared" si="2"/>
        <v>0.46816952137373713</v>
      </c>
      <c r="AA116" t="s">
        <v>186</v>
      </c>
      <c r="AB116" t="str">
        <f t="shared" si="3"/>
        <v>Census Tract 119, King County, Washington</v>
      </c>
      <c r="AC116" s="3">
        <f>VLOOKUP($AB116,'2000 Seattle Tracts'!$C$2:$Y$374,AC$1,FALSE)*$Z116</f>
        <v>3352.5619425573318</v>
      </c>
      <c r="AD116" s="3">
        <f>VLOOKUP($AB116,'2000 Seattle Tracts'!$C$2:$Y$374,AD$1,FALSE)*$Z116</f>
        <v>2594.5954874532513</v>
      </c>
      <c r="AE116" s="3">
        <f>VLOOKUP($AB116,'2000 Seattle Tracts'!$C$2:$Y$374,AE$1,FALSE)*$Z116</f>
        <v>757.96645510408041</v>
      </c>
      <c r="AF116" s="3">
        <f>VLOOKUP($AB116,'2000 Seattle Tracts'!$C$2:$Y$374,AF$1,FALSE)*$Z116</f>
        <v>3352.5619425573318</v>
      </c>
      <c r="AG116" s="3">
        <f>VLOOKUP($AB116,'2000 Seattle Tracts'!$C$2:$Y$374,AG$1,FALSE)*$Z116</f>
        <v>2594.5954874532513</v>
      </c>
      <c r="AH116" s="3">
        <f>VLOOKUP($AB116,'2000 Seattle Tracts'!$C$2:$Y$374,AH$1,FALSE)*$Z116</f>
        <v>757.96645510408041</v>
      </c>
      <c r="AI116" s="3">
        <f>VLOOKUP($AB116,'2000 Seattle Tracts'!$C$2:$Y$374,AI$1,FALSE)*$Z116</f>
        <v>897.48097247345413</v>
      </c>
      <c r="AJ116" s="3">
        <f>VLOOKUP($AB116,'2000 Seattle Tracts'!$C$2:$Y$374,AJ$1,FALSE)*$Z116</f>
        <v>65.075563470949461</v>
      </c>
      <c r="AK116" s="3">
        <f>VLOOKUP($AB116,'2000 Seattle Tracts'!$C$2:$Y$374,AK$1,FALSE)*$Z116</f>
        <v>6.0862037778585822</v>
      </c>
      <c r="AL116" s="3">
        <f>VLOOKUP($AB116,'2000 Seattle Tracts'!$C$2:$Y$374,AL$1,FALSE)*$Z116</f>
        <v>8.8952209061010059</v>
      </c>
      <c r="AM116" s="3">
        <f>VLOOKUP($AB116,'2000 Seattle Tracts'!$C$2:$Y$374,AM$1,FALSE)*$Z116</f>
        <v>952.72497599555504</v>
      </c>
      <c r="AN116" s="3">
        <f>VLOOKUP($AB116,'2000 Seattle Tracts'!$C$2:$Y$374,AN$1,FALSE)*$Z116</f>
        <v>66.011902513696938</v>
      </c>
      <c r="AO116" s="3">
        <f>VLOOKUP($AB116,'2000 Seattle Tracts'!$C$2:$Y$374,AO$1,FALSE)*$Z116</f>
        <v>12.172407555717164</v>
      </c>
      <c r="AP116" s="3">
        <f>VLOOKUP($AB116,'2000 Seattle Tracts'!$C$2:$Y$374,AP$1,FALSE)*$Z116</f>
        <v>0</v>
      </c>
      <c r="AQ116" s="3">
        <f>VLOOKUP($AB116,'2000 Seattle Tracts'!$C$2:$Y$374,AQ$1,FALSE)*$Z116</f>
        <v>426.03426445010081</v>
      </c>
      <c r="AR116" s="3">
        <f>VLOOKUP($AB116,'2000 Seattle Tracts'!$C$2:$Y$374,AR$1,FALSE)*$Z116</f>
        <v>590.82993597365623</v>
      </c>
      <c r="AS116" s="3">
        <f>VLOOKUP($AB116,'2000 Seattle Tracts'!$C$2:$Y$374,AS$1,FALSE)*$Z116</f>
        <v>10.299729470222218</v>
      </c>
      <c r="AT116" s="3">
        <f>VLOOKUP($AB116,'2000 Seattle Tracts'!$C$2:$Y$374,AT$1,FALSE)*$Z116</f>
        <v>10.299729470222218</v>
      </c>
      <c r="AU116" s="3">
        <f>VLOOKUP($AB116,'2000 Seattle Tracts'!$C$2:$Y$374,AU$1,FALSE)*$Z116</f>
        <v>22.472137025939382</v>
      </c>
      <c r="AV116" s="3">
        <f>VLOOKUP($AB116,'2000 Seattle Tracts'!$C$2:$Y$374,AV$1,FALSE)*$Z116</f>
        <v>0</v>
      </c>
      <c r="AW116" s="3">
        <f>VLOOKUP($AB116,'2000 Seattle Tracts'!$C$2:$Y$374,AW$1,FALSE)*$Z116</f>
        <v>267.32479670440392</v>
      </c>
      <c r="AX116" s="3">
        <f>VLOOKUP($AB116,'2000 Seattle Tracts'!$C$2:$Y$374,AX$1,FALSE)*$Z116</f>
        <v>16.854102769454535</v>
      </c>
    </row>
    <row r="117" spans="1:50" x14ac:dyDescent="0.25">
      <c r="A117" t="s">
        <v>2917</v>
      </c>
      <c r="B117" t="s">
        <v>2918</v>
      </c>
      <c r="C117" t="s">
        <v>2981</v>
      </c>
      <c r="D117" t="s">
        <v>2806</v>
      </c>
      <c r="E117" t="s">
        <v>2807</v>
      </c>
      <c r="F117" t="s">
        <v>2808</v>
      </c>
      <c r="G117" t="s">
        <v>2920</v>
      </c>
      <c r="H117" t="s">
        <v>2921</v>
      </c>
      <c r="I117">
        <v>3183323</v>
      </c>
      <c r="J117">
        <v>1320016</v>
      </c>
      <c r="K117" t="s">
        <v>3399</v>
      </c>
      <c r="L117" t="s">
        <v>3400</v>
      </c>
      <c r="M117">
        <v>86</v>
      </c>
      <c r="N117">
        <v>34791.82</v>
      </c>
      <c r="O117" t="s">
        <v>184</v>
      </c>
      <c r="P117">
        <v>15</v>
      </c>
      <c r="Q117">
        <v>4</v>
      </c>
      <c r="R117">
        <v>95</v>
      </c>
      <c r="S117">
        <v>18248566</v>
      </c>
      <c r="T117">
        <v>88</v>
      </c>
      <c r="U117">
        <v>195</v>
      </c>
      <c r="V117">
        <v>34791.821814710507</v>
      </c>
      <c r="W117">
        <v>18248566.179461651</v>
      </c>
      <c r="X117">
        <v>1611956.3060000001</v>
      </c>
      <c r="Y117">
        <f>VLOOKUP(AB117,'2000 Seattle Tracts'!$C$2:$Z$374,24,FALSE)</f>
        <v>3141142.1949999998</v>
      </c>
      <c r="Z117">
        <f t="shared" si="2"/>
        <v>0.51317521014039935</v>
      </c>
      <c r="AA117" t="s">
        <v>187</v>
      </c>
      <c r="AB117" t="str">
        <f t="shared" si="3"/>
        <v>Census Tract 119, King County, Washington</v>
      </c>
      <c r="AC117" s="3">
        <f>VLOOKUP($AB117,'2000 Seattle Tracts'!$C$2:$Y$374,AC$1,FALSE)*$Z117</f>
        <v>3674.8476798153997</v>
      </c>
      <c r="AD117" s="3">
        <f>VLOOKUP($AB117,'2000 Seattle Tracts'!$C$2:$Y$374,AD$1,FALSE)*$Z117</f>
        <v>2844.0170145980933</v>
      </c>
      <c r="AE117" s="3">
        <f>VLOOKUP($AB117,'2000 Seattle Tracts'!$C$2:$Y$374,AE$1,FALSE)*$Z117</f>
        <v>830.83066521730655</v>
      </c>
      <c r="AF117" s="3">
        <f>VLOOKUP($AB117,'2000 Seattle Tracts'!$C$2:$Y$374,AF$1,FALSE)*$Z117</f>
        <v>3674.8476798153997</v>
      </c>
      <c r="AG117" s="3">
        <f>VLOOKUP($AB117,'2000 Seattle Tracts'!$C$2:$Y$374,AG$1,FALSE)*$Z117</f>
        <v>2844.0170145980933</v>
      </c>
      <c r="AH117" s="3">
        <f>VLOOKUP($AB117,'2000 Seattle Tracts'!$C$2:$Y$374,AH$1,FALSE)*$Z117</f>
        <v>830.83066521730655</v>
      </c>
      <c r="AI117" s="3">
        <f>VLOOKUP($AB117,'2000 Seattle Tracts'!$C$2:$Y$374,AI$1,FALSE)*$Z117</f>
        <v>983.75687783914555</v>
      </c>
      <c r="AJ117" s="3">
        <f>VLOOKUP($AB117,'2000 Seattle Tracts'!$C$2:$Y$374,AJ$1,FALSE)*$Z117</f>
        <v>71.33135420951551</v>
      </c>
      <c r="AK117" s="3">
        <f>VLOOKUP($AB117,'2000 Seattle Tracts'!$C$2:$Y$374,AK$1,FALSE)*$Z117</f>
        <v>6.6712777318251915</v>
      </c>
      <c r="AL117" s="3">
        <f>VLOOKUP($AB117,'2000 Seattle Tracts'!$C$2:$Y$374,AL$1,FALSE)*$Z117</f>
        <v>9.7503289926675869</v>
      </c>
      <c r="AM117" s="3">
        <f>VLOOKUP($AB117,'2000 Seattle Tracts'!$C$2:$Y$374,AM$1,FALSE)*$Z117</f>
        <v>1044.3115526357126</v>
      </c>
      <c r="AN117" s="3">
        <f>VLOOKUP($AB117,'2000 Seattle Tracts'!$C$2:$Y$374,AN$1,FALSE)*$Z117</f>
        <v>72.357704629796302</v>
      </c>
      <c r="AO117" s="3">
        <f>VLOOKUP($AB117,'2000 Seattle Tracts'!$C$2:$Y$374,AO$1,FALSE)*$Z117</f>
        <v>13.342555463650383</v>
      </c>
      <c r="AP117" s="3">
        <f>VLOOKUP($AB117,'2000 Seattle Tracts'!$C$2:$Y$374,AP$1,FALSE)*$Z117</f>
        <v>0</v>
      </c>
      <c r="AQ117" s="3">
        <f>VLOOKUP($AB117,'2000 Seattle Tracts'!$C$2:$Y$374,AQ$1,FALSE)*$Z117</f>
        <v>466.98944122776339</v>
      </c>
      <c r="AR117" s="3">
        <f>VLOOKUP($AB117,'2000 Seattle Tracts'!$C$2:$Y$374,AR$1,FALSE)*$Z117</f>
        <v>647.62711519718403</v>
      </c>
      <c r="AS117" s="3">
        <f>VLOOKUP($AB117,'2000 Seattle Tracts'!$C$2:$Y$374,AS$1,FALSE)*$Z117</f>
        <v>11.289854623088786</v>
      </c>
      <c r="AT117" s="3">
        <f>VLOOKUP($AB117,'2000 Seattle Tracts'!$C$2:$Y$374,AT$1,FALSE)*$Z117</f>
        <v>11.289854623088786</v>
      </c>
      <c r="AU117" s="3">
        <f>VLOOKUP($AB117,'2000 Seattle Tracts'!$C$2:$Y$374,AU$1,FALSE)*$Z117</f>
        <v>24.632410086739171</v>
      </c>
      <c r="AV117" s="3">
        <f>VLOOKUP($AB117,'2000 Seattle Tracts'!$C$2:$Y$374,AV$1,FALSE)*$Z117</f>
        <v>0</v>
      </c>
      <c r="AW117" s="3">
        <f>VLOOKUP($AB117,'2000 Seattle Tracts'!$C$2:$Y$374,AW$1,FALSE)*$Z117</f>
        <v>293.02304499016805</v>
      </c>
      <c r="AX117" s="3">
        <f>VLOOKUP($AB117,'2000 Seattle Tracts'!$C$2:$Y$374,AX$1,FALSE)*$Z117</f>
        <v>18.474307565054378</v>
      </c>
    </row>
    <row r="118" spans="1:50" x14ac:dyDescent="0.25">
      <c r="A118" t="s">
        <v>2917</v>
      </c>
      <c r="B118" t="s">
        <v>2918</v>
      </c>
      <c r="C118" t="s">
        <v>2972</v>
      </c>
      <c r="D118" t="s">
        <v>2848</v>
      </c>
      <c r="E118" t="s">
        <v>2849</v>
      </c>
      <c r="F118" t="s">
        <v>2850</v>
      </c>
      <c r="G118" t="s">
        <v>2920</v>
      </c>
      <c r="H118" t="s">
        <v>2921</v>
      </c>
      <c r="I118">
        <v>4789752</v>
      </c>
      <c r="J118">
        <v>272921</v>
      </c>
      <c r="K118" t="s">
        <v>2973</v>
      </c>
      <c r="L118" t="s">
        <v>2974</v>
      </c>
      <c r="M118">
        <v>67</v>
      </c>
      <c r="N118">
        <v>49792.156000000003</v>
      </c>
      <c r="O118" t="s">
        <v>122</v>
      </c>
      <c r="P118">
        <v>18</v>
      </c>
      <c r="Q118">
        <v>12</v>
      </c>
      <c r="R118">
        <v>23</v>
      </c>
      <c r="S118">
        <v>82845392</v>
      </c>
      <c r="T118">
        <v>69</v>
      </c>
      <c r="U118">
        <v>167</v>
      </c>
      <c r="V118">
        <v>49792.15483538049</v>
      </c>
      <c r="W118">
        <v>82845389.347022861</v>
      </c>
      <c r="X118">
        <v>151758.875</v>
      </c>
      <c r="Y118">
        <f>VLOOKUP(AB118,'2000 Seattle Tracts'!$C$2:$Z$374,24,FALSE)</f>
        <v>4790223.3109999998</v>
      </c>
      <c r="Z118">
        <f t="shared" si="2"/>
        <v>3.1680960395209436E-2</v>
      </c>
      <c r="AA118" t="s">
        <v>165</v>
      </c>
      <c r="AB118" t="str">
        <f t="shared" si="3"/>
        <v>Census Tract 109, King County, Washington</v>
      </c>
      <c r="AC118" s="3">
        <f>VLOOKUP($AB118,'2000 Seattle Tracts'!$C$2:$Y$374,AC$1,FALSE)*$Z118</f>
        <v>34.563927791173491</v>
      </c>
      <c r="AD118" s="3">
        <f>VLOOKUP($AB118,'2000 Seattle Tracts'!$C$2:$Y$374,AD$1,FALSE)*$Z118</f>
        <v>26.612006731975924</v>
      </c>
      <c r="AE118" s="3">
        <f>VLOOKUP($AB118,'2000 Seattle Tracts'!$C$2:$Y$374,AE$1,FALSE)*$Z118</f>
        <v>7.9519210591975682</v>
      </c>
      <c r="AF118" s="3">
        <f>VLOOKUP($AB118,'2000 Seattle Tracts'!$C$2:$Y$374,AF$1,FALSE)*$Z118</f>
        <v>34.563927791173491</v>
      </c>
      <c r="AG118" s="3">
        <f>VLOOKUP($AB118,'2000 Seattle Tracts'!$C$2:$Y$374,AG$1,FALSE)*$Z118</f>
        <v>26.612006731975924</v>
      </c>
      <c r="AH118" s="3">
        <f>VLOOKUP($AB118,'2000 Seattle Tracts'!$C$2:$Y$374,AH$1,FALSE)*$Z118</f>
        <v>7.9519210591975682</v>
      </c>
      <c r="AI118" s="3">
        <f>VLOOKUP($AB118,'2000 Seattle Tracts'!$C$2:$Y$374,AI$1,FALSE)*$Z118</f>
        <v>18.628404712383148</v>
      </c>
      <c r="AJ118" s="3">
        <f>VLOOKUP($AB118,'2000 Seattle Tracts'!$C$2:$Y$374,AJ$1,FALSE)*$Z118</f>
        <v>0.95042881185628303</v>
      </c>
      <c r="AK118" s="3">
        <f>VLOOKUP($AB118,'2000 Seattle Tracts'!$C$2:$Y$374,AK$1,FALSE)*$Z118</f>
        <v>0.88706689106586423</v>
      </c>
      <c r="AL118" s="3">
        <f>VLOOKUP($AB118,'2000 Seattle Tracts'!$C$2:$Y$374,AL$1,FALSE)*$Z118</f>
        <v>0.95042881185628303</v>
      </c>
      <c r="AM118" s="3">
        <f>VLOOKUP($AB118,'2000 Seattle Tracts'!$C$2:$Y$374,AM$1,FALSE)*$Z118</f>
        <v>2.2176672276646605</v>
      </c>
      <c r="AN118" s="3">
        <f>VLOOKUP($AB118,'2000 Seattle Tracts'!$C$2:$Y$374,AN$1,FALSE)*$Z118</f>
        <v>0.53857632671856037</v>
      </c>
      <c r="AO118" s="3">
        <f>VLOOKUP($AB118,'2000 Seattle Tracts'!$C$2:$Y$374,AO$1,FALSE)*$Z118</f>
        <v>1.6474099405508906</v>
      </c>
      <c r="AP118" s="3">
        <f>VLOOKUP($AB118,'2000 Seattle Tracts'!$C$2:$Y$374,AP$1,FALSE)*$Z118</f>
        <v>0.88706689106586423</v>
      </c>
      <c r="AQ118" s="3">
        <f>VLOOKUP($AB118,'2000 Seattle Tracts'!$C$2:$Y$374,AQ$1,FALSE)*$Z118</f>
        <v>1.0454716930419115</v>
      </c>
      <c r="AR118" s="3">
        <f>VLOOKUP($AB118,'2000 Seattle Tracts'!$C$2:$Y$374,AR$1,FALSE)*$Z118</f>
        <v>2.8512864355688494</v>
      </c>
      <c r="AS118" s="3">
        <f>VLOOKUP($AB118,'2000 Seattle Tracts'!$C$2:$Y$374,AS$1,FALSE)*$Z118</f>
        <v>0</v>
      </c>
      <c r="AT118" s="3">
        <f>VLOOKUP($AB118,'2000 Seattle Tracts'!$C$2:$Y$374,AT$1,FALSE)*$Z118</f>
        <v>0</v>
      </c>
      <c r="AU118" s="3">
        <f>VLOOKUP($AB118,'2000 Seattle Tracts'!$C$2:$Y$374,AU$1,FALSE)*$Z118</f>
        <v>0.85538593067065471</v>
      </c>
      <c r="AV118" s="3">
        <f>VLOOKUP($AB118,'2000 Seattle Tracts'!$C$2:$Y$374,AV$1,FALSE)*$Z118</f>
        <v>0.95042881185628303</v>
      </c>
      <c r="AW118" s="3">
        <f>VLOOKUP($AB118,'2000 Seattle Tracts'!$C$2:$Y$374,AW$1,FALSE)*$Z118</f>
        <v>1.3306003365987964</v>
      </c>
      <c r="AX118" s="3">
        <f>VLOOKUP($AB118,'2000 Seattle Tracts'!$C$2:$Y$374,AX$1,FALSE)*$Z118</f>
        <v>0.82370497027544531</v>
      </c>
    </row>
    <row r="119" spans="1:50" x14ac:dyDescent="0.25">
      <c r="A119" t="s">
        <v>2917</v>
      </c>
      <c r="B119" t="s">
        <v>2918</v>
      </c>
      <c r="C119" t="s">
        <v>2972</v>
      </c>
      <c r="D119" t="s">
        <v>2848</v>
      </c>
      <c r="E119" t="s">
        <v>2849</v>
      </c>
      <c r="F119" t="s">
        <v>2850</v>
      </c>
      <c r="G119" t="s">
        <v>2920</v>
      </c>
      <c r="H119" t="s">
        <v>2921</v>
      </c>
      <c r="I119">
        <v>4789752</v>
      </c>
      <c r="J119">
        <v>272921</v>
      </c>
      <c r="K119" t="s">
        <v>2973</v>
      </c>
      <c r="L119" t="s">
        <v>2974</v>
      </c>
      <c r="M119">
        <v>68</v>
      </c>
      <c r="N119">
        <v>45963.663999999997</v>
      </c>
      <c r="O119" t="s">
        <v>122</v>
      </c>
      <c r="P119">
        <v>18</v>
      </c>
      <c r="Q119">
        <v>12</v>
      </c>
      <c r="R119">
        <v>81</v>
      </c>
      <c r="S119">
        <v>51305072</v>
      </c>
      <c r="T119">
        <v>70</v>
      </c>
      <c r="U119">
        <v>177</v>
      </c>
      <c r="V119">
        <v>45963.665676960663</v>
      </c>
      <c r="W119">
        <v>51305072.646258257</v>
      </c>
      <c r="X119">
        <v>4603379.6840000004</v>
      </c>
      <c r="Y119">
        <f>VLOOKUP(AB119,'2000 Seattle Tracts'!$C$2:$Z$374,24,FALSE)</f>
        <v>4790223.3109999998</v>
      </c>
      <c r="Z119">
        <f t="shared" si="2"/>
        <v>0.96099479818175859</v>
      </c>
      <c r="AA119" t="s">
        <v>166</v>
      </c>
      <c r="AB119" t="str">
        <f t="shared" si="3"/>
        <v>Census Tract 109, King County, Washington</v>
      </c>
      <c r="AC119" s="3">
        <f>VLOOKUP($AB119,'2000 Seattle Tracts'!$C$2:$Y$374,AC$1,FALSE)*$Z119</f>
        <v>1048.4453248162986</v>
      </c>
      <c r="AD119" s="3">
        <f>VLOOKUP($AB119,'2000 Seattle Tracts'!$C$2:$Y$374,AD$1,FALSE)*$Z119</f>
        <v>807.23563047267726</v>
      </c>
      <c r="AE119" s="3">
        <f>VLOOKUP($AB119,'2000 Seattle Tracts'!$C$2:$Y$374,AE$1,FALSE)*$Z119</f>
        <v>241.20969434362141</v>
      </c>
      <c r="AF119" s="3">
        <f>VLOOKUP($AB119,'2000 Seattle Tracts'!$C$2:$Y$374,AF$1,FALSE)*$Z119</f>
        <v>1048.4453248162986</v>
      </c>
      <c r="AG119" s="3">
        <f>VLOOKUP($AB119,'2000 Seattle Tracts'!$C$2:$Y$374,AG$1,FALSE)*$Z119</f>
        <v>807.23563047267726</v>
      </c>
      <c r="AH119" s="3">
        <f>VLOOKUP($AB119,'2000 Seattle Tracts'!$C$2:$Y$374,AH$1,FALSE)*$Z119</f>
        <v>241.20969434362141</v>
      </c>
      <c r="AI119" s="3">
        <f>VLOOKUP($AB119,'2000 Seattle Tracts'!$C$2:$Y$374,AI$1,FALSE)*$Z119</f>
        <v>565.06494133087403</v>
      </c>
      <c r="AJ119" s="3">
        <f>VLOOKUP($AB119,'2000 Seattle Tracts'!$C$2:$Y$374,AJ$1,FALSE)*$Z119</f>
        <v>28.829843945452758</v>
      </c>
      <c r="AK119" s="3">
        <f>VLOOKUP($AB119,'2000 Seattle Tracts'!$C$2:$Y$374,AK$1,FALSE)*$Z119</f>
        <v>26.907854349089241</v>
      </c>
      <c r="AL119" s="3">
        <f>VLOOKUP($AB119,'2000 Seattle Tracts'!$C$2:$Y$374,AL$1,FALSE)*$Z119</f>
        <v>28.829843945452758</v>
      </c>
      <c r="AM119" s="3">
        <f>VLOOKUP($AB119,'2000 Seattle Tracts'!$C$2:$Y$374,AM$1,FALSE)*$Z119</f>
        <v>67.2696358727231</v>
      </c>
      <c r="AN119" s="3">
        <f>VLOOKUP($AB119,'2000 Seattle Tracts'!$C$2:$Y$374,AN$1,FALSE)*$Z119</f>
        <v>16.336911569089896</v>
      </c>
      <c r="AO119" s="3">
        <f>VLOOKUP($AB119,'2000 Seattle Tracts'!$C$2:$Y$374,AO$1,FALSE)*$Z119</f>
        <v>49.971729505451449</v>
      </c>
      <c r="AP119" s="3">
        <f>VLOOKUP($AB119,'2000 Seattle Tracts'!$C$2:$Y$374,AP$1,FALSE)*$Z119</f>
        <v>26.907854349089241</v>
      </c>
      <c r="AQ119" s="3">
        <f>VLOOKUP($AB119,'2000 Seattle Tracts'!$C$2:$Y$374,AQ$1,FALSE)*$Z119</f>
        <v>31.712828339998033</v>
      </c>
      <c r="AR119" s="3">
        <f>VLOOKUP($AB119,'2000 Seattle Tracts'!$C$2:$Y$374,AR$1,FALSE)*$Z119</f>
        <v>86.489531836358267</v>
      </c>
      <c r="AS119" s="3">
        <f>VLOOKUP($AB119,'2000 Seattle Tracts'!$C$2:$Y$374,AS$1,FALSE)*$Z119</f>
        <v>0</v>
      </c>
      <c r="AT119" s="3">
        <f>VLOOKUP($AB119,'2000 Seattle Tracts'!$C$2:$Y$374,AT$1,FALSE)*$Z119</f>
        <v>0</v>
      </c>
      <c r="AU119" s="3">
        <f>VLOOKUP($AB119,'2000 Seattle Tracts'!$C$2:$Y$374,AU$1,FALSE)*$Z119</f>
        <v>25.946859550907483</v>
      </c>
      <c r="AV119" s="3">
        <f>VLOOKUP($AB119,'2000 Seattle Tracts'!$C$2:$Y$374,AV$1,FALSE)*$Z119</f>
        <v>28.829843945452758</v>
      </c>
      <c r="AW119" s="3">
        <f>VLOOKUP($AB119,'2000 Seattle Tracts'!$C$2:$Y$374,AW$1,FALSE)*$Z119</f>
        <v>40.361781523633859</v>
      </c>
      <c r="AX119" s="3">
        <f>VLOOKUP($AB119,'2000 Seattle Tracts'!$C$2:$Y$374,AX$1,FALSE)*$Z119</f>
        <v>24.985864752725725</v>
      </c>
    </row>
    <row r="120" spans="1:50" x14ac:dyDescent="0.25">
      <c r="A120" t="s">
        <v>2917</v>
      </c>
      <c r="B120" t="s">
        <v>2918</v>
      </c>
      <c r="C120" t="s">
        <v>2972</v>
      </c>
      <c r="D120" t="s">
        <v>2848</v>
      </c>
      <c r="E120" t="s">
        <v>2849</v>
      </c>
      <c r="F120" t="s">
        <v>2850</v>
      </c>
      <c r="G120" t="s">
        <v>2920</v>
      </c>
      <c r="H120" t="s">
        <v>2921</v>
      </c>
      <c r="I120">
        <v>4789752</v>
      </c>
      <c r="J120">
        <v>272921</v>
      </c>
      <c r="K120" t="s">
        <v>2973</v>
      </c>
      <c r="L120" t="s">
        <v>2974</v>
      </c>
      <c r="M120">
        <v>80</v>
      </c>
      <c r="N120">
        <v>40522.184000000001</v>
      </c>
      <c r="O120" t="s">
        <v>179</v>
      </c>
      <c r="P120">
        <v>17</v>
      </c>
      <c r="Q120">
        <v>5</v>
      </c>
      <c r="R120">
        <v>95</v>
      </c>
      <c r="S120">
        <v>52620472</v>
      </c>
      <c r="T120">
        <v>82</v>
      </c>
      <c r="U120">
        <v>172</v>
      </c>
      <c r="V120">
        <v>40522.182927532267</v>
      </c>
      <c r="W120">
        <v>52620470.788550943</v>
      </c>
      <c r="X120">
        <v>3200.049</v>
      </c>
      <c r="Y120">
        <f>VLOOKUP(AB120,'2000 Seattle Tracts'!$C$2:$Z$374,24,FALSE)</f>
        <v>4790223.3109999998</v>
      </c>
      <c r="Z120">
        <f t="shared" si="2"/>
        <v>6.6803754068241183E-4</v>
      </c>
      <c r="AA120" t="s">
        <v>180</v>
      </c>
      <c r="AB120" t="str">
        <f t="shared" si="3"/>
        <v>Census Tract 109, King County, Washington</v>
      </c>
      <c r="AC120" s="3">
        <f>VLOOKUP($AB120,'2000 Seattle Tracts'!$C$2:$Y$374,AC$1,FALSE)*$Z120</f>
        <v>0.72882895688451133</v>
      </c>
      <c r="AD120" s="3">
        <f>VLOOKUP($AB120,'2000 Seattle Tracts'!$C$2:$Y$374,AD$1,FALSE)*$Z120</f>
        <v>0.56115153417322594</v>
      </c>
      <c r="AE120" s="3">
        <f>VLOOKUP($AB120,'2000 Seattle Tracts'!$C$2:$Y$374,AE$1,FALSE)*$Z120</f>
        <v>0.16767742271128538</v>
      </c>
      <c r="AF120" s="3">
        <f>VLOOKUP($AB120,'2000 Seattle Tracts'!$C$2:$Y$374,AF$1,FALSE)*$Z120</f>
        <v>0.72882895688451133</v>
      </c>
      <c r="AG120" s="3">
        <f>VLOOKUP($AB120,'2000 Seattle Tracts'!$C$2:$Y$374,AG$1,FALSE)*$Z120</f>
        <v>0.56115153417322594</v>
      </c>
      <c r="AH120" s="3">
        <f>VLOOKUP($AB120,'2000 Seattle Tracts'!$C$2:$Y$374,AH$1,FALSE)*$Z120</f>
        <v>0.16767742271128538</v>
      </c>
      <c r="AI120" s="3">
        <f>VLOOKUP($AB120,'2000 Seattle Tracts'!$C$2:$Y$374,AI$1,FALSE)*$Z120</f>
        <v>0.39280607392125816</v>
      </c>
      <c r="AJ120" s="3">
        <f>VLOOKUP($AB120,'2000 Seattle Tracts'!$C$2:$Y$374,AJ$1,FALSE)*$Z120</f>
        <v>2.0041126220472355E-2</v>
      </c>
      <c r="AK120" s="3">
        <f>VLOOKUP($AB120,'2000 Seattle Tracts'!$C$2:$Y$374,AK$1,FALSE)*$Z120</f>
        <v>1.8705051139107531E-2</v>
      </c>
      <c r="AL120" s="3">
        <f>VLOOKUP($AB120,'2000 Seattle Tracts'!$C$2:$Y$374,AL$1,FALSE)*$Z120</f>
        <v>2.0041126220472355E-2</v>
      </c>
      <c r="AM120" s="3">
        <f>VLOOKUP($AB120,'2000 Seattle Tracts'!$C$2:$Y$374,AM$1,FALSE)*$Z120</f>
        <v>4.6762627847768828E-2</v>
      </c>
      <c r="AN120" s="3">
        <f>VLOOKUP($AB120,'2000 Seattle Tracts'!$C$2:$Y$374,AN$1,FALSE)*$Z120</f>
        <v>1.1356638191601001E-2</v>
      </c>
      <c r="AO120" s="3">
        <f>VLOOKUP($AB120,'2000 Seattle Tracts'!$C$2:$Y$374,AO$1,FALSE)*$Z120</f>
        <v>3.4737952115485415E-2</v>
      </c>
      <c r="AP120" s="3">
        <f>VLOOKUP($AB120,'2000 Seattle Tracts'!$C$2:$Y$374,AP$1,FALSE)*$Z120</f>
        <v>1.8705051139107531E-2</v>
      </c>
      <c r="AQ120" s="3">
        <f>VLOOKUP($AB120,'2000 Seattle Tracts'!$C$2:$Y$374,AQ$1,FALSE)*$Z120</f>
        <v>2.2045238842519591E-2</v>
      </c>
      <c r="AR120" s="3">
        <f>VLOOKUP($AB120,'2000 Seattle Tracts'!$C$2:$Y$374,AR$1,FALSE)*$Z120</f>
        <v>6.0123378661417065E-2</v>
      </c>
      <c r="AS120" s="3">
        <f>VLOOKUP($AB120,'2000 Seattle Tracts'!$C$2:$Y$374,AS$1,FALSE)*$Z120</f>
        <v>0</v>
      </c>
      <c r="AT120" s="3">
        <f>VLOOKUP($AB120,'2000 Seattle Tracts'!$C$2:$Y$374,AT$1,FALSE)*$Z120</f>
        <v>0</v>
      </c>
      <c r="AU120" s="3">
        <f>VLOOKUP($AB120,'2000 Seattle Tracts'!$C$2:$Y$374,AU$1,FALSE)*$Z120</f>
        <v>1.803701359842512E-2</v>
      </c>
      <c r="AV120" s="3">
        <f>VLOOKUP($AB120,'2000 Seattle Tracts'!$C$2:$Y$374,AV$1,FALSE)*$Z120</f>
        <v>2.0041126220472355E-2</v>
      </c>
      <c r="AW120" s="3">
        <f>VLOOKUP($AB120,'2000 Seattle Tracts'!$C$2:$Y$374,AW$1,FALSE)*$Z120</f>
        <v>2.8057576708661297E-2</v>
      </c>
      <c r="AX120" s="3">
        <f>VLOOKUP($AB120,'2000 Seattle Tracts'!$C$2:$Y$374,AX$1,FALSE)*$Z120</f>
        <v>1.7368976057742708E-2</v>
      </c>
    </row>
    <row r="121" spans="1:50" x14ac:dyDescent="0.25">
      <c r="A121" t="s">
        <v>2917</v>
      </c>
      <c r="B121" t="s">
        <v>2918</v>
      </c>
      <c r="C121" t="s">
        <v>2972</v>
      </c>
      <c r="D121" t="s">
        <v>2848</v>
      </c>
      <c r="E121" t="s">
        <v>2849</v>
      </c>
      <c r="F121" t="s">
        <v>2850</v>
      </c>
      <c r="G121" t="s">
        <v>2920</v>
      </c>
      <c r="H121" t="s">
        <v>2921</v>
      </c>
      <c r="I121">
        <v>4789752</v>
      </c>
      <c r="J121">
        <v>272921</v>
      </c>
      <c r="K121" t="s">
        <v>2973</v>
      </c>
      <c r="L121" t="s">
        <v>2974</v>
      </c>
      <c r="M121">
        <v>81</v>
      </c>
      <c r="N121">
        <v>38996.714999999997</v>
      </c>
      <c r="O121" t="s">
        <v>179</v>
      </c>
      <c r="P121">
        <v>17</v>
      </c>
      <c r="Q121">
        <v>5</v>
      </c>
      <c r="R121">
        <v>23</v>
      </c>
      <c r="S121">
        <v>38448828</v>
      </c>
      <c r="T121">
        <v>83</v>
      </c>
      <c r="U121">
        <v>183</v>
      </c>
      <c r="V121">
        <v>38996.715107084907</v>
      </c>
      <c r="W121">
        <v>38448826.89896398</v>
      </c>
      <c r="X121">
        <v>1927.0329999999999</v>
      </c>
      <c r="Y121">
        <f>VLOOKUP(AB121,'2000 Seattle Tracts'!$C$2:$Z$374,24,FALSE)</f>
        <v>4790223.3109999998</v>
      </c>
      <c r="Z121">
        <f t="shared" si="2"/>
        <v>4.0228458568410987E-4</v>
      </c>
      <c r="AA121" t="s">
        <v>181</v>
      </c>
      <c r="AB121" t="str">
        <f t="shared" si="3"/>
        <v>Census Tract 109, King County, Washington</v>
      </c>
      <c r="AC121" s="3">
        <f>VLOOKUP($AB121,'2000 Seattle Tracts'!$C$2:$Y$374,AC$1,FALSE)*$Z121</f>
        <v>0.43889248298136385</v>
      </c>
      <c r="AD121" s="3">
        <f>VLOOKUP($AB121,'2000 Seattle Tracts'!$C$2:$Y$374,AD$1,FALSE)*$Z121</f>
        <v>0.33791905197465227</v>
      </c>
      <c r="AE121" s="3">
        <f>VLOOKUP($AB121,'2000 Seattle Tracts'!$C$2:$Y$374,AE$1,FALSE)*$Z121</f>
        <v>0.10097343100671158</v>
      </c>
      <c r="AF121" s="3">
        <f>VLOOKUP($AB121,'2000 Seattle Tracts'!$C$2:$Y$374,AF$1,FALSE)*$Z121</f>
        <v>0.43889248298136385</v>
      </c>
      <c r="AG121" s="3">
        <f>VLOOKUP($AB121,'2000 Seattle Tracts'!$C$2:$Y$374,AG$1,FALSE)*$Z121</f>
        <v>0.33791905197465227</v>
      </c>
      <c r="AH121" s="3">
        <f>VLOOKUP($AB121,'2000 Seattle Tracts'!$C$2:$Y$374,AH$1,FALSE)*$Z121</f>
        <v>0.10097343100671158</v>
      </c>
      <c r="AI121" s="3">
        <f>VLOOKUP($AB121,'2000 Seattle Tracts'!$C$2:$Y$374,AI$1,FALSE)*$Z121</f>
        <v>0.23654333638225661</v>
      </c>
      <c r="AJ121" s="3">
        <f>VLOOKUP($AB121,'2000 Seattle Tracts'!$C$2:$Y$374,AJ$1,FALSE)*$Z121</f>
        <v>1.2068537570523296E-2</v>
      </c>
      <c r="AK121" s="3">
        <f>VLOOKUP($AB121,'2000 Seattle Tracts'!$C$2:$Y$374,AK$1,FALSE)*$Z121</f>
        <v>1.1263968399155076E-2</v>
      </c>
      <c r="AL121" s="3">
        <f>VLOOKUP($AB121,'2000 Seattle Tracts'!$C$2:$Y$374,AL$1,FALSE)*$Z121</f>
        <v>1.2068537570523296E-2</v>
      </c>
      <c r="AM121" s="3">
        <f>VLOOKUP($AB121,'2000 Seattle Tracts'!$C$2:$Y$374,AM$1,FALSE)*$Z121</f>
        <v>2.8159920997887691E-2</v>
      </c>
      <c r="AN121" s="3">
        <f>VLOOKUP($AB121,'2000 Seattle Tracts'!$C$2:$Y$374,AN$1,FALSE)*$Z121</f>
        <v>6.8388379566298677E-3</v>
      </c>
      <c r="AO121" s="3">
        <f>VLOOKUP($AB121,'2000 Seattle Tracts'!$C$2:$Y$374,AO$1,FALSE)*$Z121</f>
        <v>2.0918798455573713E-2</v>
      </c>
      <c r="AP121" s="3">
        <f>VLOOKUP($AB121,'2000 Seattle Tracts'!$C$2:$Y$374,AP$1,FALSE)*$Z121</f>
        <v>1.1263968399155076E-2</v>
      </c>
      <c r="AQ121" s="3">
        <f>VLOOKUP($AB121,'2000 Seattle Tracts'!$C$2:$Y$374,AQ$1,FALSE)*$Z121</f>
        <v>1.3275391327575626E-2</v>
      </c>
      <c r="AR121" s="3">
        <f>VLOOKUP($AB121,'2000 Seattle Tracts'!$C$2:$Y$374,AR$1,FALSE)*$Z121</f>
        <v>3.6205612711569884E-2</v>
      </c>
      <c r="AS121" s="3">
        <f>VLOOKUP($AB121,'2000 Seattle Tracts'!$C$2:$Y$374,AS$1,FALSE)*$Z121</f>
        <v>0</v>
      </c>
      <c r="AT121" s="3">
        <f>VLOOKUP($AB121,'2000 Seattle Tracts'!$C$2:$Y$374,AT$1,FALSE)*$Z121</f>
        <v>0</v>
      </c>
      <c r="AU121" s="3">
        <f>VLOOKUP($AB121,'2000 Seattle Tracts'!$C$2:$Y$374,AU$1,FALSE)*$Z121</f>
        <v>1.0861683813470966E-2</v>
      </c>
      <c r="AV121" s="3">
        <f>VLOOKUP($AB121,'2000 Seattle Tracts'!$C$2:$Y$374,AV$1,FALSE)*$Z121</f>
        <v>1.2068537570523296E-2</v>
      </c>
      <c r="AW121" s="3">
        <f>VLOOKUP($AB121,'2000 Seattle Tracts'!$C$2:$Y$374,AW$1,FALSE)*$Z121</f>
        <v>1.6895952598732614E-2</v>
      </c>
      <c r="AX121" s="3">
        <f>VLOOKUP($AB121,'2000 Seattle Tracts'!$C$2:$Y$374,AX$1,FALSE)*$Z121</f>
        <v>1.0459399227786857E-2</v>
      </c>
    </row>
    <row r="122" spans="1:50" x14ac:dyDescent="0.25">
      <c r="A122" t="s">
        <v>2917</v>
      </c>
      <c r="B122" t="s">
        <v>2918</v>
      </c>
      <c r="C122" t="s">
        <v>2969</v>
      </c>
      <c r="D122" t="s">
        <v>2851</v>
      </c>
      <c r="E122" t="s">
        <v>2852</v>
      </c>
      <c r="F122" t="s">
        <v>2853</v>
      </c>
      <c r="G122" t="s">
        <v>2920</v>
      </c>
      <c r="H122" t="s">
        <v>2921</v>
      </c>
      <c r="I122">
        <v>4093693</v>
      </c>
      <c r="J122">
        <v>330621</v>
      </c>
      <c r="K122" t="s">
        <v>2970</v>
      </c>
      <c r="L122" t="s">
        <v>2971</v>
      </c>
      <c r="M122">
        <v>26</v>
      </c>
      <c r="N122">
        <v>86.52600000000001</v>
      </c>
      <c r="P122">
        <v>0</v>
      </c>
      <c r="Q122">
        <v>0</v>
      </c>
      <c r="R122">
        <v>0</v>
      </c>
      <c r="S122">
        <v>485.584</v>
      </c>
      <c r="T122">
        <v>28</v>
      </c>
      <c r="U122">
        <v>0</v>
      </c>
      <c r="V122">
        <v>86.526273946907651</v>
      </c>
      <c r="W122">
        <v>485.58415443652302</v>
      </c>
      <c r="X122">
        <v>45.113</v>
      </c>
      <c r="Y122">
        <f>VLOOKUP(AB122,'2000 Seattle Tracts'!$C$2:$Z$374,24,FALSE)</f>
        <v>4057514.5649999999</v>
      </c>
      <c r="Z122">
        <f t="shared" si="2"/>
        <v>1.1118382762971056E-5</v>
      </c>
      <c r="AA122" t="s">
        <v>115</v>
      </c>
      <c r="AB122" t="str">
        <f t="shared" si="3"/>
        <v>Census Tract 108, King County, Washington</v>
      </c>
      <c r="AC122" s="3">
        <f>VLOOKUP($AB122,'2000 Seattle Tracts'!$C$2:$Y$374,AC$1,FALSE)*$Z122</f>
        <v>4.900983121917641E-2</v>
      </c>
      <c r="AD122" s="3">
        <f>VLOOKUP($AB122,'2000 Seattle Tracts'!$C$2:$Y$374,AD$1,FALSE)*$Z122</f>
        <v>3.3566397561409618E-2</v>
      </c>
      <c r="AE122" s="3">
        <f>VLOOKUP($AB122,'2000 Seattle Tracts'!$C$2:$Y$374,AE$1,FALSE)*$Z122</f>
        <v>1.5443433657766795E-2</v>
      </c>
      <c r="AF122" s="3">
        <f>VLOOKUP($AB122,'2000 Seattle Tracts'!$C$2:$Y$374,AF$1,FALSE)*$Z122</f>
        <v>4.900983121917641E-2</v>
      </c>
      <c r="AG122" s="3">
        <f>VLOOKUP($AB122,'2000 Seattle Tracts'!$C$2:$Y$374,AG$1,FALSE)*$Z122</f>
        <v>3.3566397561409618E-2</v>
      </c>
      <c r="AH122" s="3">
        <f>VLOOKUP($AB122,'2000 Seattle Tracts'!$C$2:$Y$374,AH$1,FALSE)*$Z122</f>
        <v>1.5443433657766795E-2</v>
      </c>
      <c r="AI122" s="3">
        <f>VLOOKUP($AB122,'2000 Seattle Tracts'!$C$2:$Y$374,AI$1,FALSE)*$Z122</f>
        <v>2.0858086063333701E-2</v>
      </c>
      <c r="AJ122" s="3">
        <f>VLOOKUP($AB122,'2000 Seattle Tracts'!$C$2:$Y$374,AJ$1,FALSE)*$Z122</f>
        <v>1.0228912141933371E-3</v>
      </c>
      <c r="AK122" s="3">
        <f>VLOOKUP($AB122,'2000 Seattle Tracts'!$C$2:$Y$374,AK$1,FALSE)*$Z122</f>
        <v>6.115110519634081E-4</v>
      </c>
      <c r="AL122" s="3">
        <f>VLOOKUP($AB122,'2000 Seattle Tracts'!$C$2:$Y$374,AL$1,FALSE)*$Z122</f>
        <v>3.1131471736318956E-4</v>
      </c>
      <c r="AM122" s="3">
        <f>VLOOKUP($AB122,'2000 Seattle Tracts'!$C$2:$Y$374,AM$1,FALSE)*$Z122</f>
        <v>3.5245273358618244E-3</v>
      </c>
      <c r="AN122" s="3">
        <f>VLOOKUP($AB122,'2000 Seattle Tracts'!$C$2:$Y$374,AN$1,FALSE)*$Z122</f>
        <v>5.0032722433369752E-4</v>
      </c>
      <c r="AO122" s="3">
        <f>VLOOKUP($AB122,'2000 Seattle Tracts'!$C$2:$Y$374,AO$1,FALSE)*$Z122</f>
        <v>8.1164194169688702E-4</v>
      </c>
      <c r="AP122" s="3">
        <f>VLOOKUP($AB122,'2000 Seattle Tracts'!$C$2:$Y$374,AP$1,FALSE)*$Z122</f>
        <v>0</v>
      </c>
      <c r="AQ122" s="3">
        <f>VLOOKUP($AB122,'2000 Seattle Tracts'!$C$2:$Y$374,AQ$1,FALSE)*$Z122</f>
        <v>3.4133435082321141E-3</v>
      </c>
      <c r="AR122" s="3">
        <f>VLOOKUP($AB122,'2000 Seattle Tracts'!$C$2:$Y$374,AR$1,FALSE)*$Z122</f>
        <v>1.1207329825074825E-2</v>
      </c>
      <c r="AS122" s="3">
        <f>VLOOKUP($AB122,'2000 Seattle Tracts'!$C$2:$Y$374,AS$1,FALSE)*$Z122</f>
        <v>5.5591913814855281E-4</v>
      </c>
      <c r="AT122" s="3">
        <f>VLOOKUP($AB122,'2000 Seattle Tracts'!$C$2:$Y$374,AT$1,FALSE)*$Z122</f>
        <v>0</v>
      </c>
      <c r="AU122" s="3">
        <f>VLOOKUP($AB122,'2000 Seattle Tracts'!$C$2:$Y$374,AU$1,FALSE)*$Z122</f>
        <v>1.6121655006308031E-3</v>
      </c>
      <c r="AV122" s="3">
        <f>VLOOKUP($AB122,'2000 Seattle Tracts'!$C$2:$Y$374,AV$1,FALSE)*$Z122</f>
        <v>1.3453243143194977E-3</v>
      </c>
      <c r="AW122" s="3">
        <f>VLOOKUP($AB122,'2000 Seattle Tracts'!$C$2:$Y$374,AW$1,FALSE)*$Z122</f>
        <v>2.1792030215423267E-3</v>
      </c>
      <c r="AX122" s="3">
        <f>VLOOKUP($AB122,'2000 Seattle Tracts'!$C$2:$Y$374,AX$1,FALSE)*$Z122</f>
        <v>1.0562463624822502E-3</v>
      </c>
    </row>
    <row r="123" spans="1:50" x14ac:dyDescent="0.25">
      <c r="A123" t="s">
        <v>2917</v>
      </c>
      <c r="B123" t="s">
        <v>2918</v>
      </c>
      <c r="C123" t="s">
        <v>2969</v>
      </c>
      <c r="D123" t="s">
        <v>2851</v>
      </c>
      <c r="E123" t="s">
        <v>2852</v>
      </c>
      <c r="F123" t="s">
        <v>2853</v>
      </c>
      <c r="G123" t="s">
        <v>2920</v>
      </c>
      <c r="H123" t="s">
        <v>2921</v>
      </c>
      <c r="I123">
        <v>4093693</v>
      </c>
      <c r="J123">
        <v>330621</v>
      </c>
      <c r="K123" t="s">
        <v>2970</v>
      </c>
      <c r="L123" t="s">
        <v>2971</v>
      </c>
      <c r="M123">
        <v>69</v>
      </c>
      <c r="N123">
        <v>30433.403999999999</v>
      </c>
      <c r="O123" t="s">
        <v>122</v>
      </c>
      <c r="P123">
        <v>18</v>
      </c>
      <c r="Q123">
        <v>12</v>
      </c>
      <c r="R123">
        <v>9</v>
      </c>
      <c r="S123">
        <v>29423452</v>
      </c>
      <c r="T123">
        <v>71</v>
      </c>
      <c r="U123">
        <v>187</v>
      </c>
      <c r="V123">
        <v>30433.404868631082</v>
      </c>
      <c r="W123">
        <v>29423452.15209388</v>
      </c>
      <c r="X123">
        <v>3650.694</v>
      </c>
      <c r="Y123">
        <f>VLOOKUP(AB123,'2000 Seattle Tracts'!$C$2:$Z$374,24,FALSE)</f>
        <v>4057514.5649999999</v>
      </c>
      <c r="Z123">
        <f t="shared" si="2"/>
        <v>8.9973651148187556E-4</v>
      </c>
      <c r="AA123" t="s">
        <v>167</v>
      </c>
      <c r="AB123" t="str">
        <f t="shared" si="3"/>
        <v>Census Tract 108, King County, Washington</v>
      </c>
      <c r="AC123" s="3">
        <f>VLOOKUP($AB123,'2000 Seattle Tracts'!$C$2:$Y$374,AC$1,FALSE)*$Z123</f>
        <v>3.9660385426121074</v>
      </c>
      <c r="AD123" s="3">
        <f>VLOOKUP($AB123,'2000 Seattle Tracts'!$C$2:$Y$374,AD$1,FALSE)*$Z123</f>
        <v>2.7163045281637825</v>
      </c>
      <c r="AE123" s="3">
        <f>VLOOKUP($AB123,'2000 Seattle Tracts'!$C$2:$Y$374,AE$1,FALSE)*$Z123</f>
        <v>1.2497340144483251</v>
      </c>
      <c r="AF123" s="3">
        <f>VLOOKUP($AB123,'2000 Seattle Tracts'!$C$2:$Y$374,AF$1,FALSE)*$Z123</f>
        <v>3.9660385426121074</v>
      </c>
      <c r="AG123" s="3">
        <f>VLOOKUP($AB123,'2000 Seattle Tracts'!$C$2:$Y$374,AG$1,FALSE)*$Z123</f>
        <v>2.7163045281637825</v>
      </c>
      <c r="AH123" s="3">
        <f>VLOOKUP($AB123,'2000 Seattle Tracts'!$C$2:$Y$374,AH$1,FALSE)*$Z123</f>
        <v>1.2497340144483251</v>
      </c>
      <c r="AI123" s="3">
        <f>VLOOKUP($AB123,'2000 Seattle Tracts'!$C$2:$Y$374,AI$1,FALSE)*$Z123</f>
        <v>1.6879056955399985</v>
      </c>
      <c r="AJ123" s="3">
        <f>VLOOKUP($AB123,'2000 Seattle Tracts'!$C$2:$Y$374,AJ$1,FALSE)*$Z123</f>
        <v>8.2775759056332554E-2</v>
      </c>
      <c r="AK123" s="3">
        <f>VLOOKUP($AB123,'2000 Seattle Tracts'!$C$2:$Y$374,AK$1,FALSE)*$Z123</f>
        <v>4.9485508131503153E-2</v>
      </c>
      <c r="AL123" s="3">
        <f>VLOOKUP($AB123,'2000 Seattle Tracts'!$C$2:$Y$374,AL$1,FALSE)*$Z123</f>
        <v>2.5192622321492514E-2</v>
      </c>
      <c r="AM123" s="3">
        <f>VLOOKUP($AB123,'2000 Seattle Tracts'!$C$2:$Y$374,AM$1,FALSE)*$Z123</f>
        <v>0.28521647413975454</v>
      </c>
      <c r="AN123" s="3">
        <f>VLOOKUP($AB123,'2000 Seattle Tracts'!$C$2:$Y$374,AN$1,FALSE)*$Z123</f>
        <v>4.0488143016684401E-2</v>
      </c>
      <c r="AO123" s="3">
        <f>VLOOKUP($AB123,'2000 Seattle Tracts'!$C$2:$Y$374,AO$1,FALSE)*$Z123</f>
        <v>6.5680765338176919E-2</v>
      </c>
      <c r="AP123" s="3">
        <f>VLOOKUP($AB123,'2000 Seattle Tracts'!$C$2:$Y$374,AP$1,FALSE)*$Z123</f>
        <v>0</v>
      </c>
      <c r="AQ123" s="3">
        <f>VLOOKUP($AB123,'2000 Seattle Tracts'!$C$2:$Y$374,AQ$1,FALSE)*$Z123</f>
        <v>0.27621910902493579</v>
      </c>
      <c r="AR123" s="3">
        <f>VLOOKUP($AB123,'2000 Seattle Tracts'!$C$2:$Y$374,AR$1,FALSE)*$Z123</f>
        <v>0.90693440357373056</v>
      </c>
      <c r="AS123" s="3">
        <f>VLOOKUP($AB123,'2000 Seattle Tracts'!$C$2:$Y$374,AS$1,FALSE)*$Z123</f>
        <v>4.4986825574093781E-2</v>
      </c>
      <c r="AT123" s="3">
        <f>VLOOKUP($AB123,'2000 Seattle Tracts'!$C$2:$Y$374,AT$1,FALSE)*$Z123</f>
        <v>0</v>
      </c>
      <c r="AU123" s="3">
        <f>VLOOKUP($AB123,'2000 Seattle Tracts'!$C$2:$Y$374,AU$1,FALSE)*$Z123</f>
        <v>0.13046179416487197</v>
      </c>
      <c r="AV123" s="3">
        <f>VLOOKUP($AB123,'2000 Seattle Tracts'!$C$2:$Y$374,AV$1,FALSE)*$Z123</f>
        <v>0.10886811788930695</v>
      </c>
      <c r="AW123" s="3">
        <f>VLOOKUP($AB123,'2000 Seattle Tracts'!$C$2:$Y$374,AW$1,FALSE)*$Z123</f>
        <v>0.17634835625044762</v>
      </c>
      <c r="AX123" s="3">
        <f>VLOOKUP($AB123,'2000 Seattle Tracts'!$C$2:$Y$374,AX$1,FALSE)*$Z123</f>
        <v>8.5474968590778175E-2</v>
      </c>
    </row>
    <row r="124" spans="1:50" x14ac:dyDescent="0.25">
      <c r="A124" t="s">
        <v>2917</v>
      </c>
      <c r="B124" t="s">
        <v>2918</v>
      </c>
      <c r="C124" t="s">
        <v>2969</v>
      </c>
      <c r="D124" t="s">
        <v>2851</v>
      </c>
      <c r="E124" t="s">
        <v>2852</v>
      </c>
      <c r="F124" t="s">
        <v>2853</v>
      </c>
      <c r="G124" t="s">
        <v>2920</v>
      </c>
      <c r="H124" t="s">
        <v>2921</v>
      </c>
      <c r="I124">
        <v>4093693</v>
      </c>
      <c r="J124">
        <v>330621</v>
      </c>
      <c r="K124" t="s">
        <v>2970</v>
      </c>
      <c r="L124" t="s">
        <v>2971</v>
      </c>
      <c r="M124">
        <v>89</v>
      </c>
      <c r="N124">
        <v>31111.062999999998</v>
      </c>
      <c r="O124" t="s">
        <v>191</v>
      </c>
      <c r="P124">
        <v>20</v>
      </c>
      <c r="Q124">
        <v>10</v>
      </c>
      <c r="R124">
        <v>23</v>
      </c>
      <c r="S124">
        <v>39810332</v>
      </c>
      <c r="T124">
        <v>91</v>
      </c>
      <c r="U124">
        <v>188</v>
      </c>
      <c r="V124">
        <v>31111.063083771449</v>
      </c>
      <c r="W124">
        <v>39810333.415949456</v>
      </c>
      <c r="X124">
        <v>3896.2979999999998</v>
      </c>
      <c r="Y124">
        <f>VLOOKUP(AB124,'2000 Seattle Tracts'!$C$2:$Z$374,24,FALSE)</f>
        <v>4057514.5649999999</v>
      </c>
      <c r="Z124">
        <f t="shared" si="2"/>
        <v>9.6026716295964795E-4</v>
      </c>
      <c r="AA124" t="s">
        <v>190</v>
      </c>
      <c r="AB124" t="str">
        <f t="shared" si="3"/>
        <v>Census Tract 108, King County, Washington</v>
      </c>
      <c r="AC124" s="3">
        <f>VLOOKUP($AB124,'2000 Seattle Tracts'!$C$2:$Y$374,AC$1,FALSE)*$Z124</f>
        <v>4.2328576543261285</v>
      </c>
      <c r="AD124" s="3">
        <f>VLOOKUP($AB124,'2000 Seattle Tracts'!$C$2:$Y$374,AD$1,FALSE)*$Z124</f>
        <v>2.8990465649751771</v>
      </c>
      <c r="AE124" s="3">
        <f>VLOOKUP($AB124,'2000 Seattle Tracts'!$C$2:$Y$374,AE$1,FALSE)*$Z124</f>
        <v>1.3338110893509509</v>
      </c>
      <c r="AF124" s="3">
        <f>VLOOKUP($AB124,'2000 Seattle Tracts'!$C$2:$Y$374,AF$1,FALSE)*$Z124</f>
        <v>4.2328576543261285</v>
      </c>
      <c r="AG124" s="3">
        <f>VLOOKUP($AB124,'2000 Seattle Tracts'!$C$2:$Y$374,AG$1,FALSE)*$Z124</f>
        <v>2.8990465649751771</v>
      </c>
      <c r="AH124" s="3">
        <f>VLOOKUP($AB124,'2000 Seattle Tracts'!$C$2:$Y$374,AH$1,FALSE)*$Z124</f>
        <v>1.3338110893509509</v>
      </c>
      <c r="AI124" s="3">
        <f>VLOOKUP($AB124,'2000 Seattle Tracts'!$C$2:$Y$374,AI$1,FALSE)*$Z124</f>
        <v>1.8014611977122996</v>
      </c>
      <c r="AJ124" s="3">
        <f>VLOOKUP($AB124,'2000 Seattle Tracts'!$C$2:$Y$374,AJ$1,FALSE)*$Z124</f>
        <v>8.8344578992287606E-2</v>
      </c>
      <c r="AK124" s="3">
        <f>VLOOKUP($AB124,'2000 Seattle Tracts'!$C$2:$Y$374,AK$1,FALSE)*$Z124</f>
        <v>5.2814693962780636E-2</v>
      </c>
      <c r="AL124" s="3">
        <f>VLOOKUP($AB124,'2000 Seattle Tracts'!$C$2:$Y$374,AL$1,FALSE)*$Z124</f>
        <v>2.6887480562870141E-2</v>
      </c>
      <c r="AM124" s="3">
        <f>VLOOKUP($AB124,'2000 Seattle Tracts'!$C$2:$Y$374,AM$1,FALSE)*$Z124</f>
        <v>0.30440469065820841</v>
      </c>
      <c r="AN124" s="3">
        <f>VLOOKUP($AB124,'2000 Seattle Tracts'!$C$2:$Y$374,AN$1,FALSE)*$Z124</f>
        <v>4.3212022333184157E-2</v>
      </c>
      <c r="AO124" s="3">
        <f>VLOOKUP($AB124,'2000 Seattle Tracts'!$C$2:$Y$374,AO$1,FALSE)*$Z124</f>
        <v>7.0099502896054294E-2</v>
      </c>
      <c r="AP124" s="3">
        <f>VLOOKUP($AB124,'2000 Seattle Tracts'!$C$2:$Y$374,AP$1,FALSE)*$Z124</f>
        <v>0</v>
      </c>
      <c r="AQ124" s="3">
        <f>VLOOKUP($AB124,'2000 Seattle Tracts'!$C$2:$Y$374,AQ$1,FALSE)*$Z124</f>
        <v>0.29480201902861192</v>
      </c>
      <c r="AR124" s="3">
        <f>VLOOKUP($AB124,'2000 Seattle Tracts'!$C$2:$Y$374,AR$1,FALSE)*$Z124</f>
        <v>0.96794930026332515</v>
      </c>
      <c r="AS124" s="3">
        <f>VLOOKUP($AB124,'2000 Seattle Tracts'!$C$2:$Y$374,AS$1,FALSE)*$Z124</f>
        <v>4.8013358147982396E-2</v>
      </c>
      <c r="AT124" s="3">
        <f>VLOOKUP($AB124,'2000 Seattle Tracts'!$C$2:$Y$374,AT$1,FALSE)*$Z124</f>
        <v>0</v>
      </c>
      <c r="AU124" s="3">
        <f>VLOOKUP($AB124,'2000 Seattle Tracts'!$C$2:$Y$374,AU$1,FALSE)*$Z124</f>
        <v>0.13923873862914896</v>
      </c>
      <c r="AV124" s="3">
        <f>VLOOKUP($AB124,'2000 Seattle Tracts'!$C$2:$Y$374,AV$1,FALSE)*$Z124</f>
        <v>0.1161923267181174</v>
      </c>
      <c r="AW124" s="3">
        <f>VLOOKUP($AB124,'2000 Seattle Tracts'!$C$2:$Y$374,AW$1,FALSE)*$Z124</f>
        <v>0.188212363940091</v>
      </c>
      <c r="AX124" s="3">
        <f>VLOOKUP($AB124,'2000 Seattle Tracts'!$C$2:$Y$374,AX$1,FALSE)*$Z124</f>
        <v>9.122538048116656E-2</v>
      </c>
    </row>
    <row r="125" spans="1:50" x14ac:dyDescent="0.25">
      <c r="A125" t="s">
        <v>2917</v>
      </c>
      <c r="B125" t="s">
        <v>2918</v>
      </c>
      <c r="C125" t="s">
        <v>2969</v>
      </c>
      <c r="D125" t="s">
        <v>2851</v>
      </c>
      <c r="E125" t="s">
        <v>2852</v>
      </c>
      <c r="F125" t="s">
        <v>2853</v>
      </c>
      <c r="G125" t="s">
        <v>2920</v>
      </c>
      <c r="H125" t="s">
        <v>2921</v>
      </c>
      <c r="I125">
        <v>4093693</v>
      </c>
      <c r="J125">
        <v>330621</v>
      </c>
      <c r="K125" t="s">
        <v>2970</v>
      </c>
      <c r="L125" t="s">
        <v>2971</v>
      </c>
      <c r="M125">
        <v>90</v>
      </c>
      <c r="N125">
        <v>23549.932000000001</v>
      </c>
      <c r="O125" t="s">
        <v>191</v>
      </c>
      <c r="P125">
        <v>20</v>
      </c>
      <c r="Q125">
        <v>10</v>
      </c>
      <c r="R125">
        <v>23</v>
      </c>
      <c r="S125">
        <v>29454656</v>
      </c>
      <c r="T125">
        <v>92</v>
      </c>
      <c r="U125">
        <v>174</v>
      </c>
      <c r="V125">
        <v>23549.93136663039</v>
      </c>
      <c r="W125">
        <v>29454656.567178611</v>
      </c>
      <c r="X125">
        <v>284247.55200000003</v>
      </c>
      <c r="Y125">
        <f>VLOOKUP(AB125,'2000 Seattle Tracts'!$C$2:$Z$374,24,FALSE)</f>
        <v>4057514.5649999999</v>
      </c>
      <c r="Z125">
        <f t="shared" si="2"/>
        <v>7.0054598066489018E-2</v>
      </c>
      <c r="AA125" t="s">
        <v>192</v>
      </c>
      <c r="AB125" t="str">
        <f t="shared" si="3"/>
        <v>Census Tract 108, King County, Washington</v>
      </c>
      <c r="AC125" s="3">
        <f>VLOOKUP($AB125,'2000 Seattle Tracts'!$C$2:$Y$374,AC$1,FALSE)*$Z125</f>
        <v>308.80066827708362</v>
      </c>
      <c r="AD125" s="3">
        <f>VLOOKUP($AB125,'2000 Seattle Tracts'!$C$2:$Y$374,AD$1,FALSE)*$Z125</f>
        <v>211.49483156273035</v>
      </c>
      <c r="AE125" s="3">
        <f>VLOOKUP($AB125,'2000 Seattle Tracts'!$C$2:$Y$374,AE$1,FALSE)*$Z125</f>
        <v>97.305836714353248</v>
      </c>
      <c r="AF125" s="3">
        <f>VLOOKUP($AB125,'2000 Seattle Tracts'!$C$2:$Y$374,AF$1,FALSE)*$Z125</f>
        <v>308.80066827708362</v>
      </c>
      <c r="AG125" s="3">
        <f>VLOOKUP($AB125,'2000 Seattle Tracts'!$C$2:$Y$374,AG$1,FALSE)*$Z125</f>
        <v>211.49483156273035</v>
      </c>
      <c r="AH125" s="3">
        <f>VLOOKUP($AB125,'2000 Seattle Tracts'!$C$2:$Y$374,AH$1,FALSE)*$Z125</f>
        <v>97.305836714353248</v>
      </c>
      <c r="AI125" s="3">
        <f>VLOOKUP($AB125,'2000 Seattle Tracts'!$C$2:$Y$374,AI$1,FALSE)*$Z125</f>
        <v>131.42242597273341</v>
      </c>
      <c r="AJ125" s="3">
        <f>VLOOKUP($AB125,'2000 Seattle Tracts'!$C$2:$Y$374,AJ$1,FALSE)*$Z125</f>
        <v>6.44502302211699</v>
      </c>
      <c r="AK125" s="3">
        <f>VLOOKUP($AB125,'2000 Seattle Tracts'!$C$2:$Y$374,AK$1,FALSE)*$Z125</f>
        <v>3.8530028936568961</v>
      </c>
      <c r="AL125" s="3">
        <f>VLOOKUP($AB125,'2000 Seattle Tracts'!$C$2:$Y$374,AL$1,FALSE)*$Z125</f>
        <v>1.9615287458616926</v>
      </c>
      <c r="AM125" s="3">
        <f>VLOOKUP($AB125,'2000 Seattle Tracts'!$C$2:$Y$374,AM$1,FALSE)*$Z125</f>
        <v>22.207307587077018</v>
      </c>
      <c r="AN125" s="3">
        <f>VLOOKUP($AB125,'2000 Seattle Tracts'!$C$2:$Y$374,AN$1,FALSE)*$Z125</f>
        <v>3.1524569129920059</v>
      </c>
      <c r="AO125" s="3">
        <f>VLOOKUP($AB125,'2000 Seattle Tracts'!$C$2:$Y$374,AO$1,FALSE)*$Z125</f>
        <v>5.1139856588536983</v>
      </c>
      <c r="AP125" s="3">
        <f>VLOOKUP($AB125,'2000 Seattle Tracts'!$C$2:$Y$374,AP$1,FALSE)*$Z125</f>
        <v>0</v>
      </c>
      <c r="AQ125" s="3">
        <f>VLOOKUP($AB125,'2000 Seattle Tracts'!$C$2:$Y$374,AQ$1,FALSE)*$Z125</f>
        <v>21.50676160641213</v>
      </c>
      <c r="AR125" s="3">
        <f>VLOOKUP($AB125,'2000 Seattle Tracts'!$C$2:$Y$374,AR$1,FALSE)*$Z125</f>
        <v>70.615034851020937</v>
      </c>
      <c r="AS125" s="3">
        <f>VLOOKUP($AB125,'2000 Seattle Tracts'!$C$2:$Y$374,AS$1,FALSE)*$Z125</f>
        <v>3.5027299033244508</v>
      </c>
      <c r="AT125" s="3">
        <f>VLOOKUP($AB125,'2000 Seattle Tracts'!$C$2:$Y$374,AT$1,FALSE)*$Z125</f>
        <v>0</v>
      </c>
      <c r="AU125" s="3">
        <f>VLOOKUP($AB125,'2000 Seattle Tracts'!$C$2:$Y$374,AU$1,FALSE)*$Z125</f>
        <v>10.157916719640907</v>
      </c>
      <c r="AV125" s="3">
        <f>VLOOKUP($AB125,'2000 Seattle Tracts'!$C$2:$Y$374,AV$1,FALSE)*$Z125</f>
        <v>8.4766063660451714</v>
      </c>
      <c r="AW125" s="3">
        <f>VLOOKUP($AB125,'2000 Seattle Tracts'!$C$2:$Y$374,AW$1,FALSE)*$Z125</f>
        <v>13.730701221031847</v>
      </c>
      <c r="AX125" s="3">
        <f>VLOOKUP($AB125,'2000 Seattle Tracts'!$C$2:$Y$374,AX$1,FALSE)*$Z125</f>
        <v>6.6551868163164567</v>
      </c>
    </row>
    <row r="126" spans="1:50" x14ac:dyDescent="0.25">
      <c r="A126" t="s">
        <v>2917</v>
      </c>
      <c r="B126" t="s">
        <v>2918</v>
      </c>
      <c r="C126" t="s">
        <v>2969</v>
      </c>
      <c r="D126" t="s">
        <v>2851</v>
      </c>
      <c r="E126" t="s">
        <v>2852</v>
      </c>
      <c r="F126" t="s">
        <v>2853</v>
      </c>
      <c r="G126" t="s">
        <v>2920</v>
      </c>
      <c r="H126" t="s">
        <v>2921</v>
      </c>
      <c r="I126">
        <v>4093693</v>
      </c>
      <c r="J126">
        <v>330621</v>
      </c>
      <c r="K126" t="s">
        <v>2970</v>
      </c>
      <c r="L126" t="s">
        <v>2971</v>
      </c>
      <c r="M126">
        <v>91</v>
      </c>
      <c r="N126">
        <v>25917.116999999998</v>
      </c>
      <c r="O126" t="s">
        <v>191</v>
      </c>
      <c r="P126">
        <v>20</v>
      </c>
      <c r="Q126">
        <v>10</v>
      </c>
      <c r="R126">
        <v>24</v>
      </c>
      <c r="S126">
        <v>33038268</v>
      </c>
      <c r="T126">
        <v>93</v>
      </c>
      <c r="U126">
        <v>180</v>
      </c>
      <c r="V126">
        <v>25917.117639101471</v>
      </c>
      <c r="W126">
        <v>33038267.192843691</v>
      </c>
      <c r="X126">
        <v>3007707.1120000002</v>
      </c>
      <c r="Y126">
        <f>VLOOKUP(AB126,'2000 Seattle Tracts'!$C$2:$Z$374,24,FALSE)</f>
        <v>4057514.5649999999</v>
      </c>
      <c r="Z126">
        <f t="shared" si="2"/>
        <v>0.74126834637745787</v>
      </c>
      <c r="AA126" t="s">
        <v>193</v>
      </c>
      <c r="AB126" t="str">
        <f t="shared" si="3"/>
        <v>Census Tract 108, King County, Washington</v>
      </c>
      <c r="AC126" s="3">
        <f>VLOOKUP($AB126,'2000 Seattle Tracts'!$C$2:$Y$374,AC$1,FALSE)*$Z126</f>
        <v>3267.5108708318344</v>
      </c>
      <c r="AD126" s="3">
        <f>VLOOKUP($AB126,'2000 Seattle Tracts'!$C$2:$Y$374,AD$1,FALSE)*$Z126</f>
        <v>2237.8891377135451</v>
      </c>
      <c r="AE126" s="3">
        <f>VLOOKUP($AB126,'2000 Seattle Tracts'!$C$2:$Y$374,AE$1,FALSE)*$Z126</f>
        <v>1029.6217331182891</v>
      </c>
      <c r="AF126" s="3">
        <f>VLOOKUP($AB126,'2000 Seattle Tracts'!$C$2:$Y$374,AF$1,FALSE)*$Z126</f>
        <v>3267.5108708318344</v>
      </c>
      <c r="AG126" s="3">
        <f>VLOOKUP($AB126,'2000 Seattle Tracts'!$C$2:$Y$374,AG$1,FALSE)*$Z126</f>
        <v>2237.8891377135451</v>
      </c>
      <c r="AH126" s="3">
        <f>VLOOKUP($AB126,'2000 Seattle Tracts'!$C$2:$Y$374,AH$1,FALSE)*$Z126</f>
        <v>1029.6217331182891</v>
      </c>
      <c r="AI126" s="3">
        <f>VLOOKUP($AB126,'2000 Seattle Tracts'!$C$2:$Y$374,AI$1,FALSE)*$Z126</f>
        <v>1390.619417804111</v>
      </c>
      <c r="AJ126" s="3">
        <f>VLOOKUP($AB126,'2000 Seattle Tracts'!$C$2:$Y$374,AJ$1,FALSE)*$Z126</f>
        <v>68.196687866726123</v>
      </c>
      <c r="AK126" s="3">
        <f>VLOOKUP($AB126,'2000 Seattle Tracts'!$C$2:$Y$374,AK$1,FALSE)*$Z126</f>
        <v>40.769759050760186</v>
      </c>
      <c r="AL126" s="3">
        <f>VLOOKUP($AB126,'2000 Seattle Tracts'!$C$2:$Y$374,AL$1,FALSE)*$Z126</f>
        <v>20.755513698568819</v>
      </c>
      <c r="AM126" s="3">
        <f>VLOOKUP($AB126,'2000 Seattle Tracts'!$C$2:$Y$374,AM$1,FALSE)*$Z126</f>
        <v>234.98206580165413</v>
      </c>
      <c r="AN126" s="3">
        <f>VLOOKUP($AB126,'2000 Seattle Tracts'!$C$2:$Y$374,AN$1,FALSE)*$Z126</f>
        <v>33.357075586985601</v>
      </c>
      <c r="AO126" s="3">
        <f>VLOOKUP($AB126,'2000 Seattle Tracts'!$C$2:$Y$374,AO$1,FALSE)*$Z126</f>
        <v>54.112589285554421</v>
      </c>
      <c r="AP126" s="3">
        <f>VLOOKUP($AB126,'2000 Seattle Tracts'!$C$2:$Y$374,AP$1,FALSE)*$Z126</f>
        <v>0</v>
      </c>
      <c r="AQ126" s="3">
        <f>VLOOKUP($AB126,'2000 Seattle Tracts'!$C$2:$Y$374,AQ$1,FALSE)*$Z126</f>
        <v>227.56938233787957</v>
      </c>
      <c r="AR126" s="3">
        <f>VLOOKUP($AB126,'2000 Seattle Tracts'!$C$2:$Y$374,AR$1,FALSE)*$Z126</f>
        <v>747.1984931484775</v>
      </c>
      <c r="AS126" s="3">
        <f>VLOOKUP($AB126,'2000 Seattle Tracts'!$C$2:$Y$374,AS$1,FALSE)*$Z126</f>
        <v>37.063417318872894</v>
      </c>
      <c r="AT126" s="3">
        <f>VLOOKUP($AB126,'2000 Seattle Tracts'!$C$2:$Y$374,AT$1,FALSE)*$Z126</f>
        <v>0</v>
      </c>
      <c r="AU126" s="3">
        <f>VLOOKUP($AB126,'2000 Seattle Tracts'!$C$2:$Y$374,AU$1,FALSE)*$Z126</f>
        <v>107.48391022473139</v>
      </c>
      <c r="AV126" s="3">
        <f>VLOOKUP($AB126,'2000 Seattle Tracts'!$C$2:$Y$374,AV$1,FALSE)*$Z126</f>
        <v>89.693469911672395</v>
      </c>
      <c r="AW126" s="3">
        <f>VLOOKUP($AB126,'2000 Seattle Tracts'!$C$2:$Y$374,AW$1,FALSE)*$Z126</f>
        <v>145.28859588998174</v>
      </c>
      <c r="AX126" s="3">
        <f>VLOOKUP($AB126,'2000 Seattle Tracts'!$C$2:$Y$374,AX$1,FALSE)*$Z126</f>
        <v>70.420492905858495</v>
      </c>
    </row>
    <row r="127" spans="1:50" x14ac:dyDescent="0.25">
      <c r="A127" t="s">
        <v>2917</v>
      </c>
      <c r="B127" t="s">
        <v>2918</v>
      </c>
      <c r="C127" t="s">
        <v>2969</v>
      </c>
      <c r="D127" t="s">
        <v>2851</v>
      </c>
      <c r="E127" t="s">
        <v>2852</v>
      </c>
      <c r="F127" t="s">
        <v>2853</v>
      </c>
      <c r="G127" t="s">
        <v>2920</v>
      </c>
      <c r="H127" t="s">
        <v>2921</v>
      </c>
      <c r="I127">
        <v>4093693</v>
      </c>
      <c r="J127">
        <v>330621</v>
      </c>
      <c r="K127" t="s">
        <v>2970</v>
      </c>
      <c r="L127" t="s">
        <v>2971</v>
      </c>
      <c r="M127">
        <v>92</v>
      </c>
      <c r="N127">
        <v>23180.396000000001</v>
      </c>
      <c r="O127" t="s">
        <v>191</v>
      </c>
      <c r="P127">
        <v>20</v>
      </c>
      <c r="Q127">
        <v>10</v>
      </c>
      <c r="R127">
        <v>95</v>
      </c>
      <c r="S127">
        <v>23343008</v>
      </c>
      <c r="T127">
        <v>94</v>
      </c>
      <c r="U127">
        <v>182</v>
      </c>
      <c r="V127">
        <v>23180.396359671431</v>
      </c>
      <c r="W127">
        <v>23343008.336782061</v>
      </c>
      <c r="X127">
        <v>650.47199999999998</v>
      </c>
      <c r="Y127">
        <f>VLOOKUP(AB127,'2000 Seattle Tracts'!$C$2:$Z$374,24,FALSE)</f>
        <v>4057514.5649999999</v>
      </c>
      <c r="Z127">
        <f t="shared" si="2"/>
        <v>1.6031291806342535E-4</v>
      </c>
      <c r="AA127" t="s">
        <v>194</v>
      </c>
      <c r="AB127" t="str">
        <f t="shared" si="3"/>
        <v>Census Tract 108, King County, Washington</v>
      </c>
      <c r="AC127" s="3">
        <f>VLOOKUP($AB127,'2000 Seattle Tracts'!$C$2:$Y$374,AC$1,FALSE)*$Z127</f>
        <v>0.7066593428235789</v>
      </c>
      <c r="AD127" s="3">
        <f>VLOOKUP($AB127,'2000 Seattle Tracts'!$C$2:$Y$374,AD$1,FALSE)*$Z127</f>
        <v>0.48398469963348112</v>
      </c>
      <c r="AE127" s="3">
        <f>VLOOKUP($AB127,'2000 Seattle Tracts'!$C$2:$Y$374,AE$1,FALSE)*$Z127</f>
        <v>0.2226746431900978</v>
      </c>
      <c r="AF127" s="3">
        <f>VLOOKUP($AB127,'2000 Seattle Tracts'!$C$2:$Y$374,AF$1,FALSE)*$Z127</f>
        <v>0.7066593428235789</v>
      </c>
      <c r="AG127" s="3">
        <f>VLOOKUP($AB127,'2000 Seattle Tracts'!$C$2:$Y$374,AG$1,FALSE)*$Z127</f>
        <v>0.48398469963348112</v>
      </c>
      <c r="AH127" s="3">
        <f>VLOOKUP($AB127,'2000 Seattle Tracts'!$C$2:$Y$374,AH$1,FALSE)*$Z127</f>
        <v>0.2226746431900978</v>
      </c>
      <c r="AI127" s="3">
        <f>VLOOKUP($AB127,'2000 Seattle Tracts'!$C$2:$Y$374,AI$1,FALSE)*$Z127</f>
        <v>0.30074703428698596</v>
      </c>
      <c r="AJ127" s="3">
        <f>VLOOKUP($AB127,'2000 Seattle Tracts'!$C$2:$Y$374,AJ$1,FALSE)*$Z127</f>
        <v>1.4748788461835131E-2</v>
      </c>
      <c r="AK127" s="3">
        <f>VLOOKUP($AB127,'2000 Seattle Tracts'!$C$2:$Y$374,AK$1,FALSE)*$Z127</f>
        <v>8.8172104934883949E-3</v>
      </c>
      <c r="AL127" s="3">
        <f>VLOOKUP($AB127,'2000 Seattle Tracts'!$C$2:$Y$374,AL$1,FALSE)*$Z127</f>
        <v>4.4887617057759099E-3</v>
      </c>
      <c r="AM127" s="3">
        <f>VLOOKUP($AB127,'2000 Seattle Tracts'!$C$2:$Y$374,AM$1,FALSE)*$Z127</f>
        <v>5.0819195026105837E-2</v>
      </c>
      <c r="AN127" s="3">
        <f>VLOOKUP($AB127,'2000 Seattle Tracts'!$C$2:$Y$374,AN$1,FALSE)*$Z127</f>
        <v>7.2140813128541408E-3</v>
      </c>
      <c r="AO127" s="3">
        <f>VLOOKUP($AB127,'2000 Seattle Tracts'!$C$2:$Y$374,AO$1,FALSE)*$Z127</f>
        <v>1.170284301863005E-2</v>
      </c>
      <c r="AP127" s="3">
        <f>VLOOKUP($AB127,'2000 Seattle Tracts'!$C$2:$Y$374,AP$1,FALSE)*$Z127</f>
        <v>0</v>
      </c>
      <c r="AQ127" s="3">
        <f>VLOOKUP($AB127,'2000 Seattle Tracts'!$C$2:$Y$374,AQ$1,FALSE)*$Z127</f>
        <v>4.9216065845471585E-2</v>
      </c>
      <c r="AR127" s="3">
        <f>VLOOKUP($AB127,'2000 Seattle Tracts'!$C$2:$Y$374,AR$1,FALSE)*$Z127</f>
        <v>0.16159542140793276</v>
      </c>
      <c r="AS127" s="3">
        <f>VLOOKUP($AB127,'2000 Seattle Tracts'!$C$2:$Y$374,AS$1,FALSE)*$Z127</f>
        <v>8.015645903171267E-3</v>
      </c>
      <c r="AT127" s="3">
        <f>VLOOKUP($AB127,'2000 Seattle Tracts'!$C$2:$Y$374,AT$1,FALSE)*$Z127</f>
        <v>0</v>
      </c>
      <c r="AU127" s="3">
        <f>VLOOKUP($AB127,'2000 Seattle Tracts'!$C$2:$Y$374,AU$1,FALSE)*$Z127</f>
        <v>2.3245373119196677E-2</v>
      </c>
      <c r="AV127" s="3">
        <f>VLOOKUP($AB127,'2000 Seattle Tracts'!$C$2:$Y$374,AV$1,FALSE)*$Z127</f>
        <v>1.9397863085674469E-2</v>
      </c>
      <c r="AW127" s="3">
        <f>VLOOKUP($AB127,'2000 Seattle Tracts'!$C$2:$Y$374,AW$1,FALSE)*$Z127</f>
        <v>3.1421331940431368E-2</v>
      </c>
      <c r="AX127" s="3">
        <f>VLOOKUP($AB127,'2000 Seattle Tracts'!$C$2:$Y$374,AX$1,FALSE)*$Z127</f>
        <v>1.5229727216025408E-2</v>
      </c>
    </row>
    <row r="128" spans="1:50" x14ac:dyDescent="0.25">
      <c r="A128" t="s">
        <v>2917</v>
      </c>
      <c r="B128" t="s">
        <v>2918</v>
      </c>
      <c r="C128" t="s">
        <v>2969</v>
      </c>
      <c r="D128" t="s">
        <v>2851</v>
      </c>
      <c r="E128" t="s">
        <v>2852</v>
      </c>
      <c r="F128" t="s">
        <v>2853</v>
      </c>
      <c r="G128" t="s">
        <v>2920</v>
      </c>
      <c r="H128" t="s">
        <v>2921</v>
      </c>
      <c r="I128">
        <v>4093693</v>
      </c>
      <c r="J128">
        <v>330621</v>
      </c>
      <c r="K128" t="s">
        <v>2970</v>
      </c>
      <c r="L128" t="s">
        <v>2971</v>
      </c>
      <c r="M128">
        <v>93</v>
      </c>
      <c r="N128">
        <v>23416.34</v>
      </c>
      <c r="O128" t="s">
        <v>191</v>
      </c>
      <c r="P128">
        <v>20</v>
      </c>
      <c r="Q128">
        <v>10</v>
      </c>
      <c r="R128">
        <v>94</v>
      </c>
      <c r="S128">
        <v>17923316</v>
      </c>
      <c r="T128">
        <v>95</v>
      </c>
      <c r="U128">
        <v>190</v>
      </c>
      <c r="V128">
        <v>23416.340535979401</v>
      </c>
      <c r="W128">
        <v>17923316.223963421</v>
      </c>
      <c r="X128">
        <v>295.58100000000002</v>
      </c>
      <c r="Y128">
        <f>VLOOKUP(AB128,'2000 Seattle Tracts'!$C$2:$Z$374,24,FALSE)</f>
        <v>4057514.5649999999</v>
      </c>
      <c r="Z128">
        <f t="shared" si="2"/>
        <v>7.2847797651713427E-5</v>
      </c>
      <c r="AA128" t="s">
        <v>195</v>
      </c>
      <c r="AB128" t="str">
        <f t="shared" si="3"/>
        <v>Census Tract 108, King County, Washington</v>
      </c>
      <c r="AC128" s="3">
        <f>VLOOKUP($AB128,'2000 Seattle Tracts'!$C$2:$Y$374,AC$1,FALSE)*$Z128</f>
        <v>0.32111309204875277</v>
      </c>
      <c r="AD128" s="3">
        <f>VLOOKUP($AB128,'2000 Seattle Tracts'!$C$2:$Y$374,AD$1,FALSE)*$Z128</f>
        <v>0.21992750111052284</v>
      </c>
      <c r="AE128" s="3">
        <f>VLOOKUP($AB128,'2000 Seattle Tracts'!$C$2:$Y$374,AE$1,FALSE)*$Z128</f>
        <v>0.10118559093822994</v>
      </c>
      <c r="AF128" s="3">
        <f>VLOOKUP($AB128,'2000 Seattle Tracts'!$C$2:$Y$374,AF$1,FALSE)*$Z128</f>
        <v>0.32111309204875277</v>
      </c>
      <c r="AG128" s="3">
        <f>VLOOKUP($AB128,'2000 Seattle Tracts'!$C$2:$Y$374,AG$1,FALSE)*$Z128</f>
        <v>0.21992750111052284</v>
      </c>
      <c r="AH128" s="3">
        <f>VLOOKUP($AB128,'2000 Seattle Tracts'!$C$2:$Y$374,AH$1,FALSE)*$Z128</f>
        <v>0.10118559093822994</v>
      </c>
      <c r="AI128" s="3">
        <f>VLOOKUP($AB128,'2000 Seattle Tracts'!$C$2:$Y$374,AI$1,FALSE)*$Z128</f>
        <v>0.13666246839461438</v>
      </c>
      <c r="AJ128" s="3">
        <f>VLOOKUP($AB128,'2000 Seattle Tracts'!$C$2:$Y$374,AJ$1,FALSE)*$Z128</f>
        <v>6.7019973839576351E-3</v>
      </c>
      <c r="AK128" s="3">
        <f>VLOOKUP($AB128,'2000 Seattle Tracts'!$C$2:$Y$374,AK$1,FALSE)*$Z128</f>
        <v>4.0066288708442387E-3</v>
      </c>
      <c r="AL128" s="3">
        <f>VLOOKUP($AB128,'2000 Seattle Tracts'!$C$2:$Y$374,AL$1,FALSE)*$Z128</f>
        <v>2.0397383342479758E-3</v>
      </c>
      <c r="AM128" s="3">
        <f>VLOOKUP($AB128,'2000 Seattle Tracts'!$C$2:$Y$374,AM$1,FALSE)*$Z128</f>
        <v>2.3092751855593157E-2</v>
      </c>
      <c r="AN128" s="3">
        <f>VLOOKUP($AB128,'2000 Seattle Tracts'!$C$2:$Y$374,AN$1,FALSE)*$Z128</f>
        <v>3.2781508943271042E-3</v>
      </c>
      <c r="AO128" s="3">
        <f>VLOOKUP($AB128,'2000 Seattle Tracts'!$C$2:$Y$374,AO$1,FALSE)*$Z128</f>
        <v>5.31788922857508E-3</v>
      </c>
      <c r="AP128" s="3">
        <f>VLOOKUP($AB128,'2000 Seattle Tracts'!$C$2:$Y$374,AP$1,FALSE)*$Z128</f>
        <v>0</v>
      </c>
      <c r="AQ128" s="3">
        <f>VLOOKUP($AB128,'2000 Seattle Tracts'!$C$2:$Y$374,AQ$1,FALSE)*$Z128</f>
        <v>2.2364273879076021E-2</v>
      </c>
      <c r="AR128" s="3">
        <f>VLOOKUP($AB128,'2000 Seattle Tracts'!$C$2:$Y$374,AR$1,FALSE)*$Z128</f>
        <v>7.3430580032927129E-2</v>
      </c>
      <c r="AS128" s="3">
        <f>VLOOKUP($AB128,'2000 Seattle Tracts'!$C$2:$Y$374,AS$1,FALSE)*$Z128</f>
        <v>3.6423898825856714E-3</v>
      </c>
      <c r="AT128" s="3">
        <f>VLOOKUP($AB128,'2000 Seattle Tracts'!$C$2:$Y$374,AT$1,FALSE)*$Z128</f>
        <v>0</v>
      </c>
      <c r="AU128" s="3">
        <f>VLOOKUP($AB128,'2000 Seattle Tracts'!$C$2:$Y$374,AU$1,FALSE)*$Z128</f>
        <v>1.0562930659498447E-2</v>
      </c>
      <c r="AV128" s="3">
        <f>VLOOKUP($AB128,'2000 Seattle Tracts'!$C$2:$Y$374,AV$1,FALSE)*$Z128</f>
        <v>8.8145835158573247E-3</v>
      </c>
      <c r="AW128" s="3">
        <f>VLOOKUP($AB128,'2000 Seattle Tracts'!$C$2:$Y$374,AW$1,FALSE)*$Z128</f>
        <v>1.4278168339735832E-2</v>
      </c>
      <c r="AX128" s="3">
        <f>VLOOKUP($AB128,'2000 Seattle Tracts'!$C$2:$Y$374,AX$1,FALSE)*$Z128</f>
        <v>6.9205407769127756E-3</v>
      </c>
    </row>
    <row r="129" spans="1:50" x14ac:dyDescent="0.25">
      <c r="A129" t="s">
        <v>2917</v>
      </c>
      <c r="B129" t="s">
        <v>2918</v>
      </c>
      <c r="C129" t="s">
        <v>2969</v>
      </c>
      <c r="D129" t="s">
        <v>2851</v>
      </c>
      <c r="E129" t="s">
        <v>2852</v>
      </c>
      <c r="F129" t="s">
        <v>2853</v>
      </c>
      <c r="G129" t="s">
        <v>2920</v>
      </c>
      <c r="H129" t="s">
        <v>2921</v>
      </c>
      <c r="I129">
        <v>4093693</v>
      </c>
      <c r="J129">
        <v>330621</v>
      </c>
      <c r="K129" t="s">
        <v>2970</v>
      </c>
      <c r="L129" t="s">
        <v>2971</v>
      </c>
      <c r="M129">
        <v>107</v>
      </c>
      <c r="N129">
        <v>58047.309000000001</v>
      </c>
      <c r="O129" t="s">
        <v>122</v>
      </c>
      <c r="P129">
        <v>18</v>
      </c>
      <c r="Q129">
        <v>12</v>
      </c>
      <c r="R129">
        <v>95</v>
      </c>
      <c r="S129">
        <v>24681990</v>
      </c>
      <c r="T129">
        <v>109</v>
      </c>
      <c r="U129">
        <v>198</v>
      </c>
      <c r="V129">
        <v>58047.307413870847</v>
      </c>
      <c r="W129">
        <v>24681989.600617379</v>
      </c>
      <c r="X129">
        <v>686056.86600000004</v>
      </c>
      <c r="Y129">
        <f>VLOOKUP(AB129,'2000 Seattle Tracts'!$C$2:$Z$374,24,FALSE)</f>
        <v>4057514.5649999999</v>
      </c>
      <c r="Z129">
        <f t="shared" si="2"/>
        <v>0.16908303223798779</v>
      </c>
      <c r="AA129" t="s">
        <v>165</v>
      </c>
      <c r="AB129" t="str">
        <f t="shared" si="3"/>
        <v>Census Tract 108, King County, Washington</v>
      </c>
      <c r="AC129" s="3">
        <f>VLOOKUP($AB129,'2000 Seattle Tracts'!$C$2:$Y$374,AC$1,FALSE)*$Z129</f>
        <v>745.31800610505013</v>
      </c>
      <c r="AD129" s="3">
        <f>VLOOKUP($AB129,'2000 Seattle Tracts'!$C$2:$Y$374,AD$1,FALSE)*$Z129</f>
        <v>510.46167432648514</v>
      </c>
      <c r="AE129" s="3">
        <f>VLOOKUP($AB129,'2000 Seattle Tracts'!$C$2:$Y$374,AE$1,FALSE)*$Z129</f>
        <v>234.85633177856505</v>
      </c>
      <c r="AF129" s="3">
        <f>VLOOKUP($AB129,'2000 Seattle Tracts'!$C$2:$Y$374,AF$1,FALSE)*$Z129</f>
        <v>745.31800610505013</v>
      </c>
      <c r="AG129" s="3">
        <f>VLOOKUP($AB129,'2000 Seattle Tracts'!$C$2:$Y$374,AG$1,FALSE)*$Z129</f>
        <v>510.46167432648514</v>
      </c>
      <c r="AH129" s="3">
        <f>VLOOKUP($AB129,'2000 Seattle Tracts'!$C$2:$Y$374,AH$1,FALSE)*$Z129</f>
        <v>234.85633177856505</v>
      </c>
      <c r="AI129" s="3">
        <f>VLOOKUP($AB129,'2000 Seattle Tracts'!$C$2:$Y$374,AI$1,FALSE)*$Z129</f>
        <v>317.1997684784651</v>
      </c>
      <c r="AJ129" s="3">
        <f>VLOOKUP($AB129,'2000 Seattle Tracts'!$C$2:$Y$374,AJ$1,FALSE)*$Z129</f>
        <v>15.555638965894877</v>
      </c>
      <c r="AK129" s="3">
        <f>VLOOKUP($AB129,'2000 Seattle Tracts'!$C$2:$Y$374,AK$1,FALSE)*$Z129</f>
        <v>9.2995667730893281</v>
      </c>
      <c r="AL129" s="3">
        <f>VLOOKUP($AB129,'2000 Seattle Tracts'!$C$2:$Y$374,AL$1,FALSE)*$Z129</f>
        <v>4.7343249026636585</v>
      </c>
      <c r="AM129" s="3">
        <f>VLOOKUP($AB129,'2000 Seattle Tracts'!$C$2:$Y$374,AM$1,FALSE)*$Z129</f>
        <v>53.599321219442132</v>
      </c>
      <c r="AN129" s="3">
        <f>VLOOKUP($AB129,'2000 Seattle Tracts'!$C$2:$Y$374,AN$1,FALSE)*$Z129</f>
        <v>7.6087364507094506</v>
      </c>
      <c r="AO129" s="3">
        <f>VLOOKUP($AB129,'2000 Seattle Tracts'!$C$2:$Y$374,AO$1,FALSE)*$Z129</f>
        <v>12.343061353373109</v>
      </c>
      <c r="AP129" s="3">
        <f>VLOOKUP($AB129,'2000 Seattle Tracts'!$C$2:$Y$374,AP$1,FALSE)*$Z129</f>
        <v>0</v>
      </c>
      <c r="AQ129" s="3">
        <f>VLOOKUP($AB129,'2000 Seattle Tracts'!$C$2:$Y$374,AQ$1,FALSE)*$Z129</f>
        <v>51.908490897062251</v>
      </c>
      <c r="AR129" s="3">
        <f>VLOOKUP($AB129,'2000 Seattle Tracts'!$C$2:$Y$374,AR$1,FALSE)*$Z129</f>
        <v>170.4356964958917</v>
      </c>
      <c r="AS129" s="3">
        <f>VLOOKUP($AB129,'2000 Seattle Tracts'!$C$2:$Y$374,AS$1,FALSE)*$Z129</f>
        <v>8.4541516118993894</v>
      </c>
      <c r="AT129" s="3">
        <f>VLOOKUP($AB129,'2000 Seattle Tracts'!$C$2:$Y$374,AT$1,FALSE)*$Z129</f>
        <v>0</v>
      </c>
      <c r="AU129" s="3">
        <f>VLOOKUP($AB129,'2000 Seattle Tracts'!$C$2:$Y$374,AU$1,FALSE)*$Z129</f>
        <v>24.517039674508229</v>
      </c>
      <c r="AV129" s="3">
        <f>VLOOKUP($AB129,'2000 Seattle Tracts'!$C$2:$Y$374,AV$1,FALSE)*$Z129</f>
        <v>20.459046900796523</v>
      </c>
      <c r="AW129" s="3">
        <f>VLOOKUP($AB129,'2000 Seattle Tracts'!$C$2:$Y$374,AW$1,FALSE)*$Z129</f>
        <v>33.140274318645609</v>
      </c>
      <c r="AX129" s="3">
        <f>VLOOKUP($AB129,'2000 Seattle Tracts'!$C$2:$Y$374,AX$1,FALSE)*$Z129</f>
        <v>16.062888062608842</v>
      </c>
    </row>
    <row r="130" spans="1:50" x14ac:dyDescent="0.25">
      <c r="A130" t="s">
        <v>2917</v>
      </c>
      <c r="B130" t="s">
        <v>2918</v>
      </c>
      <c r="C130" t="s">
        <v>2969</v>
      </c>
      <c r="D130" t="s">
        <v>2851</v>
      </c>
      <c r="E130" t="s">
        <v>2852</v>
      </c>
      <c r="F130" t="s">
        <v>2853</v>
      </c>
      <c r="G130" t="s">
        <v>2920</v>
      </c>
      <c r="H130" t="s">
        <v>2921</v>
      </c>
      <c r="I130">
        <v>4093693</v>
      </c>
      <c r="J130">
        <v>330621</v>
      </c>
      <c r="K130" t="s">
        <v>2970</v>
      </c>
      <c r="L130" t="s">
        <v>2971</v>
      </c>
      <c r="M130">
        <v>109</v>
      </c>
      <c r="N130">
        <v>3664.7449999999999</v>
      </c>
      <c r="P130">
        <v>0</v>
      </c>
      <c r="Q130">
        <v>0</v>
      </c>
      <c r="R130">
        <v>0</v>
      </c>
      <c r="S130">
        <v>581389.125</v>
      </c>
      <c r="T130">
        <v>111</v>
      </c>
      <c r="U130">
        <v>0</v>
      </c>
      <c r="V130">
        <v>3664.7450842386988</v>
      </c>
      <c r="W130">
        <v>581389.11535830784</v>
      </c>
      <c r="X130">
        <v>51882.258999999998</v>
      </c>
      <c r="Y130">
        <f>VLOOKUP(AB130,'2000 Seattle Tracts'!$C$2:$Z$374,24,FALSE)</f>
        <v>4057514.5649999999</v>
      </c>
      <c r="Z130">
        <f t="shared" si="2"/>
        <v>1.2786709244998114E-2</v>
      </c>
      <c r="AB130" t="str">
        <f t="shared" si="3"/>
        <v>Census Tract 108, King County, Washington</v>
      </c>
      <c r="AC130" s="3">
        <f>VLOOKUP($AB130,'2000 Seattle Tracts'!$C$2:$Y$374,AC$1,FALSE)*$Z130</f>
        <v>56.363814351951689</v>
      </c>
      <c r="AD130" s="3">
        <f>VLOOKUP($AB130,'2000 Seattle Tracts'!$C$2:$Y$374,AD$1,FALSE)*$Z130</f>
        <v>38.603075210649308</v>
      </c>
      <c r="AE130" s="3">
        <f>VLOOKUP($AB130,'2000 Seattle Tracts'!$C$2:$Y$374,AE$1,FALSE)*$Z130</f>
        <v>17.760739141302381</v>
      </c>
      <c r="AF130" s="3">
        <f>VLOOKUP($AB130,'2000 Seattle Tracts'!$C$2:$Y$374,AF$1,FALSE)*$Z130</f>
        <v>56.363814351951689</v>
      </c>
      <c r="AG130" s="3">
        <f>VLOOKUP($AB130,'2000 Seattle Tracts'!$C$2:$Y$374,AG$1,FALSE)*$Z130</f>
        <v>38.603075210649308</v>
      </c>
      <c r="AH130" s="3">
        <f>VLOOKUP($AB130,'2000 Seattle Tracts'!$C$2:$Y$374,AH$1,FALSE)*$Z130</f>
        <v>17.760739141302381</v>
      </c>
      <c r="AI130" s="3">
        <f>VLOOKUP($AB130,'2000 Seattle Tracts'!$C$2:$Y$374,AI$1,FALSE)*$Z130</f>
        <v>23.987866543616462</v>
      </c>
      <c r="AJ130" s="3">
        <f>VLOOKUP($AB130,'2000 Seattle Tracts'!$C$2:$Y$374,AJ$1,FALSE)*$Z130</f>
        <v>1.1763772505398264</v>
      </c>
      <c r="AK130" s="3">
        <f>VLOOKUP($AB130,'2000 Seattle Tracts'!$C$2:$Y$374,AK$1,FALSE)*$Z130</f>
        <v>0.70326900847489626</v>
      </c>
      <c r="AL130" s="3">
        <f>VLOOKUP($AB130,'2000 Seattle Tracts'!$C$2:$Y$374,AL$1,FALSE)*$Z130</f>
        <v>0.3580278588599472</v>
      </c>
      <c r="AM130" s="3">
        <f>VLOOKUP($AB130,'2000 Seattle Tracts'!$C$2:$Y$374,AM$1,FALSE)*$Z130</f>
        <v>4.0533868306644019</v>
      </c>
      <c r="AN130" s="3">
        <f>VLOOKUP($AB130,'2000 Seattle Tracts'!$C$2:$Y$374,AN$1,FALSE)*$Z130</f>
        <v>0.57540191602491508</v>
      </c>
      <c r="AO130" s="3">
        <f>VLOOKUP($AB130,'2000 Seattle Tracts'!$C$2:$Y$374,AO$1,FALSE)*$Z130</f>
        <v>0.93342977488486234</v>
      </c>
      <c r="AP130" s="3">
        <f>VLOOKUP($AB130,'2000 Seattle Tracts'!$C$2:$Y$374,AP$1,FALSE)*$Z130</f>
        <v>0</v>
      </c>
      <c r="AQ130" s="3">
        <f>VLOOKUP($AB130,'2000 Seattle Tracts'!$C$2:$Y$374,AQ$1,FALSE)*$Z130</f>
        <v>3.9255197382144211</v>
      </c>
      <c r="AR130" s="3">
        <f>VLOOKUP($AB130,'2000 Seattle Tracts'!$C$2:$Y$374,AR$1,FALSE)*$Z130</f>
        <v>12.889002918958099</v>
      </c>
      <c r="AS130" s="3">
        <f>VLOOKUP($AB130,'2000 Seattle Tracts'!$C$2:$Y$374,AS$1,FALSE)*$Z130</f>
        <v>0.63933546224990567</v>
      </c>
      <c r="AT130" s="3">
        <f>VLOOKUP($AB130,'2000 Seattle Tracts'!$C$2:$Y$374,AT$1,FALSE)*$Z130</f>
        <v>0</v>
      </c>
      <c r="AU130" s="3">
        <f>VLOOKUP($AB130,'2000 Seattle Tracts'!$C$2:$Y$374,AU$1,FALSE)*$Z130</f>
        <v>1.8540728405247267</v>
      </c>
      <c r="AV130" s="3">
        <f>VLOOKUP($AB130,'2000 Seattle Tracts'!$C$2:$Y$374,AV$1,FALSE)*$Z130</f>
        <v>1.5471918186447717</v>
      </c>
      <c r="AW130" s="3">
        <f>VLOOKUP($AB130,'2000 Seattle Tracts'!$C$2:$Y$374,AW$1,FALSE)*$Z130</f>
        <v>2.5061950120196306</v>
      </c>
      <c r="AX130" s="3">
        <f>VLOOKUP($AB130,'2000 Seattle Tracts'!$C$2:$Y$374,AX$1,FALSE)*$Z130</f>
        <v>1.2147373782748208</v>
      </c>
    </row>
    <row r="131" spans="1:50" x14ac:dyDescent="0.25">
      <c r="A131" t="s">
        <v>2917</v>
      </c>
      <c r="B131" t="s">
        <v>2918</v>
      </c>
      <c r="C131" t="s">
        <v>3401</v>
      </c>
      <c r="D131" t="s">
        <v>3402</v>
      </c>
      <c r="E131" t="s">
        <v>3403</v>
      </c>
      <c r="F131" t="s">
        <v>3404</v>
      </c>
      <c r="G131" t="s">
        <v>2920</v>
      </c>
      <c r="H131" t="s">
        <v>2921</v>
      </c>
      <c r="I131">
        <v>2237508</v>
      </c>
      <c r="J131">
        <v>3664</v>
      </c>
      <c r="K131" t="s">
        <v>3405</v>
      </c>
      <c r="L131" t="s">
        <v>3406</v>
      </c>
      <c r="M131">
        <v>90</v>
      </c>
      <c r="N131">
        <v>23549.932000000001</v>
      </c>
      <c r="O131" t="s">
        <v>191</v>
      </c>
      <c r="P131">
        <v>20</v>
      </c>
      <c r="Q131">
        <v>10</v>
      </c>
      <c r="R131">
        <v>23</v>
      </c>
      <c r="S131">
        <v>29454656</v>
      </c>
      <c r="T131">
        <v>92</v>
      </c>
      <c r="U131">
        <v>174</v>
      </c>
      <c r="V131">
        <v>23549.93136663039</v>
      </c>
      <c r="W131">
        <v>29454656.567178611</v>
      </c>
      <c r="X131">
        <v>2203.991</v>
      </c>
      <c r="Y131">
        <f>VLOOKUP(AB131,'2000 Seattle Tracts'!$C$2:$Z$374,24,FALSE)</f>
        <v>2237504.2480000001</v>
      </c>
      <c r="Z131">
        <f t="shared" si="2"/>
        <v>9.850220405034063E-4</v>
      </c>
      <c r="AA131" t="s">
        <v>192</v>
      </c>
      <c r="AB131" t="str">
        <f t="shared" si="3"/>
        <v>Census Tract 107, King County, Washington</v>
      </c>
      <c r="AC131" s="3">
        <f>VLOOKUP($AB131,'2000 Seattle Tracts'!$C$2:$Y$374,AC$1,FALSE)*$Z131</f>
        <v>6.048035328690915</v>
      </c>
      <c r="AD131" s="3">
        <f>VLOOKUP($AB131,'2000 Seattle Tracts'!$C$2:$Y$374,AD$1,FALSE)*$Z131</f>
        <v>4.2789357439467972</v>
      </c>
      <c r="AE131" s="3">
        <f>VLOOKUP($AB131,'2000 Seattle Tracts'!$C$2:$Y$374,AE$1,FALSE)*$Z131</f>
        <v>1.7690995847441178</v>
      </c>
      <c r="AF131" s="3">
        <f>VLOOKUP($AB131,'2000 Seattle Tracts'!$C$2:$Y$374,AF$1,FALSE)*$Z131</f>
        <v>6.048035328690915</v>
      </c>
      <c r="AG131" s="3">
        <f>VLOOKUP($AB131,'2000 Seattle Tracts'!$C$2:$Y$374,AG$1,FALSE)*$Z131</f>
        <v>4.2789357439467972</v>
      </c>
      <c r="AH131" s="3">
        <f>VLOOKUP($AB131,'2000 Seattle Tracts'!$C$2:$Y$374,AH$1,FALSE)*$Z131</f>
        <v>1.7690995847441178</v>
      </c>
      <c r="AI131" s="3">
        <f>VLOOKUP($AB131,'2000 Seattle Tracts'!$C$2:$Y$374,AI$1,FALSE)*$Z131</f>
        <v>1.6046009039800488</v>
      </c>
      <c r="AJ131" s="3">
        <f>VLOOKUP($AB131,'2000 Seattle Tracts'!$C$2:$Y$374,AJ$1,FALSE)*$Z131</f>
        <v>0.12805286526544282</v>
      </c>
      <c r="AK131" s="3">
        <f>VLOOKUP($AB131,'2000 Seattle Tracts'!$C$2:$Y$374,AK$1,FALSE)*$Z131</f>
        <v>6.0086344470707785E-2</v>
      </c>
      <c r="AL131" s="3">
        <f>VLOOKUP($AB131,'2000 Seattle Tracts'!$C$2:$Y$374,AL$1,FALSE)*$Z131</f>
        <v>1.083524244553747E-2</v>
      </c>
      <c r="AM131" s="3">
        <f>VLOOKUP($AB131,'2000 Seattle Tracts'!$C$2:$Y$374,AM$1,FALSE)*$Z131</f>
        <v>1.1357304127004275</v>
      </c>
      <c r="AN131" s="3">
        <f>VLOOKUP($AB131,'2000 Seattle Tracts'!$C$2:$Y$374,AN$1,FALSE)*$Z131</f>
        <v>0.16252863668306203</v>
      </c>
      <c r="AO131" s="3">
        <f>VLOOKUP($AB131,'2000 Seattle Tracts'!$C$2:$Y$374,AO$1,FALSE)*$Z131</f>
        <v>0.26398590685491291</v>
      </c>
      <c r="AP131" s="3">
        <f>VLOOKUP($AB131,'2000 Seattle Tracts'!$C$2:$Y$374,AP$1,FALSE)*$Z131</f>
        <v>4.6296035903660097E-2</v>
      </c>
      <c r="AQ131" s="3">
        <f>VLOOKUP($AB131,'2000 Seattle Tracts'!$C$2:$Y$374,AQ$1,FALSE)*$Z131</f>
        <v>0.44325991822653282</v>
      </c>
      <c r="AR131" s="3">
        <f>VLOOKUP($AB131,'2000 Seattle Tracts'!$C$2:$Y$374,AR$1,FALSE)*$Z131</f>
        <v>1.1317903245384138</v>
      </c>
      <c r="AS131" s="3">
        <f>VLOOKUP($AB131,'2000 Seattle Tracts'!$C$2:$Y$374,AS$1,FALSE)*$Z131</f>
        <v>0.11623260077940194</v>
      </c>
      <c r="AT131" s="3">
        <f>VLOOKUP($AB131,'2000 Seattle Tracts'!$C$2:$Y$374,AT$1,FALSE)*$Z131</f>
        <v>6.6981498754231622E-2</v>
      </c>
      <c r="AU131" s="3">
        <f>VLOOKUP($AB131,'2000 Seattle Tracts'!$C$2:$Y$374,AU$1,FALSE)*$Z131</f>
        <v>0.25709075257138903</v>
      </c>
      <c r="AV131" s="3">
        <f>VLOOKUP($AB131,'2000 Seattle Tracts'!$C$2:$Y$374,AV$1,FALSE)*$Z131</f>
        <v>8.8651983645306562E-2</v>
      </c>
      <c r="AW131" s="3">
        <f>VLOOKUP($AB131,'2000 Seattle Tracts'!$C$2:$Y$374,AW$1,FALSE)*$Z131</f>
        <v>0.39794890436337615</v>
      </c>
      <c r="AX131" s="3">
        <f>VLOOKUP($AB131,'2000 Seattle Tracts'!$C$2:$Y$374,AX$1,FALSE)*$Z131</f>
        <v>0.13396299750846324</v>
      </c>
    </row>
    <row r="132" spans="1:50" x14ac:dyDescent="0.25">
      <c r="A132" t="s">
        <v>2917</v>
      </c>
      <c r="B132" t="s">
        <v>2918</v>
      </c>
      <c r="C132" t="s">
        <v>3401</v>
      </c>
      <c r="D132" t="s">
        <v>3402</v>
      </c>
      <c r="E132" t="s">
        <v>3403</v>
      </c>
      <c r="F132" t="s">
        <v>3404</v>
      </c>
      <c r="G132" t="s">
        <v>2920</v>
      </c>
      <c r="H132" t="s">
        <v>2921</v>
      </c>
      <c r="I132">
        <v>2237508</v>
      </c>
      <c r="J132">
        <v>3664</v>
      </c>
      <c r="K132" t="s">
        <v>3405</v>
      </c>
      <c r="L132" t="s">
        <v>3406</v>
      </c>
      <c r="M132">
        <v>91</v>
      </c>
      <c r="N132">
        <v>25917.116999999998</v>
      </c>
      <c r="O132" t="s">
        <v>191</v>
      </c>
      <c r="P132">
        <v>20</v>
      </c>
      <c r="Q132">
        <v>10</v>
      </c>
      <c r="R132">
        <v>24</v>
      </c>
      <c r="S132">
        <v>33038268</v>
      </c>
      <c r="T132">
        <v>93</v>
      </c>
      <c r="U132">
        <v>180</v>
      </c>
      <c r="V132">
        <v>25917.117639101471</v>
      </c>
      <c r="W132">
        <v>33038267.192843691</v>
      </c>
      <c r="X132">
        <v>38769.269999999997</v>
      </c>
      <c r="Y132">
        <f>VLOOKUP(AB132,'2000 Seattle Tracts'!$C$2:$Z$374,24,FALSE)</f>
        <v>2237504.2480000001</v>
      </c>
      <c r="Z132">
        <f t="shared" ref="Z132:Z195" si="4">X132/Y132</f>
        <v>1.7327015148531685E-2</v>
      </c>
      <c r="AA132" t="s">
        <v>193</v>
      </c>
      <c r="AB132" t="str">
        <f t="shared" ref="AB132:AB195" si="5">_xlfn.CONCAT(F132, ", King County, Washington")</f>
        <v>Census Tract 107, King County, Washington</v>
      </c>
      <c r="AC132" s="3">
        <f>VLOOKUP($AB132,'2000 Seattle Tracts'!$C$2:$Y$374,AC$1,FALSE)*$Z132</f>
        <v>106.38787301198454</v>
      </c>
      <c r="AD132" s="3">
        <f>VLOOKUP($AB132,'2000 Seattle Tracts'!$C$2:$Y$374,AD$1,FALSE)*$Z132</f>
        <v>75.268553805221643</v>
      </c>
      <c r="AE132" s="3">
        <f>VLOOKUP($AB132,'2000 Seattle Tracts'!$C$2:$Y$374,AE$1,FALSE)*$Z132</f>
        <v>31.119319206762906</v>
      </c>
      <c r="AF132" s="3">
        <f>VLOOKUP($AB132,'2000 Seattle Tracts'!$C$2:$Y$374,AF$1,FALSE)*$Z132</f>
        <v>106.38787301198454</v>
      </c>
      <c r="AG132" s="3">
        <f>VLOOKUP($AB132,'2000 Seattle Tracts'!$C$2:$Y$374,AG$1,FALSE)*$Z132</f>
        <v>75.268553805221643</v>
      </c>
      <c r="AH132" s="3">
        <f>VLOOKUP($AB132,'2000 Seattle Tracts'!$C$2:$Y$374,AH$1,FALSE)*$Z132</f>
        <v>31.119319206762906</v>
      </c>
      <c r="AI132" s="3">
        <f>VLOOKUP($AB132,'2000 Seattle Tracts'!$C$2:$Y$374,AI$1,FALSE)*$Z132</f>
        <v>28.225707676958113</v>
      </c>
      <c r="AJ132" s="3">
        <f>VLOOKUP($AB132,'2000 Seattle Tracts'!$C$2:$Y$374,AJ$1,FALSE)*$Z132</f>
        <v>2.2525119693091189</v>
      </c>
      <c r="AK132" s="3">
        <f>VLOOKUP($AB132,'2000 Seattle Tracts'!$C$2:$Y$374,AK$1,FALSE)*$Z132</f>
        <v>1.0569479240604327</v>
      </c>
      <c r="AL132" s="3">
        <f>VLOOKUP($AB132,'2000 Seattle Tracts'!$C$2:$Y$374,AL$1,FALSE)*$Z132</f>
        <v>0.19059716663384854</v>
      </c>
      <c r="AM132" s="3">
        <f>VLOOKUP($AB132,'2000 Seattle Tracts'!$C$2:$Y$374,AM$1,FALSE)*$Z132</f>
        <v>19.978048466257032</v>
      </c>
      <c r="AN132" s="3">
        <f>VLOOKUP($AB132,'2000 Seattle Tracts'!$C$2:$Y$374,AN$1,FALSE)*$Z132</f>
        <v>2.8589574995077278</v>
      </c>
      <c r="AO132" s="3">
        <f>VLOOKUP($AB132,'2000 Seattle Tracts'!$C$2:$Y$374,AO$1,FALSE)*$Z132</f>
        <v>4.6436400598064917</v>
      </c>
      <c r="AP132" s="3">
        <f>VLOOKUP($AB132,'2000 Seattle Tracts'!$C$2:$Y$374,AP$1,FALSE)*$Z132</f>
        <v>0.81436971198098917</v>
      </c>
      <c r="AQ132" s="3">
        <f>VLOOKUP($AB132,'2000 Seattle Tracts'!$C$2:$Y$374,AQ$1,FALSE)*$Z132</f>
        <v>7.7971568168392578</v>
      </c>
      <c r="AR132" s="3">
        <f>VLOOKUP($AB132,'2000 Seattle Tracts'!$C$2:$Y$374,AR$1,FALSE)*$Z132</f>
        <v>19.908740405662904</v>
      </c>
      <c r="AS132" s="3">
        <f>VLOOKUP($AB132,'2000 Seattle Tracts'!$C$2:$Y$374,AS$1,FALSE)*$Z132</f>
        <v>2.0445877875267389</v>
      </c>
      <c r="AT132" s="3">
        <f>VLOOKUP($AB132,'2000 Seattle Tracts'!$C$2:$Y$374,AT$1,FALSE)*$Z132</f>
        <v>1.1782370301001546</v>
      </c>
      <c r="AU132" s="3">
        <f>VLOOKUP($AB132,'2000 Seattle Tracts'!$C$2:$Y$374,AU$1,FALSE)*$Z132</f>
        <v>4.5223509537667699</v>
      </c>
      <c r="AV132" s="3">
        <f>VLOOKUP($AB132,'2000 Seattle Tracts'!$C$2:$Y$374,AV$1,FALSE)*$Z132</f>
        <v>1.5594313633678516</v>
      </c>
      <c r="AW132" s="3">
        <f>VLOOKUP($AB132,'2000 Seattle Tracts'!$C$2:$Y$374,AW$1,FALSE)*$Z132</f>
        <v>7.0001141200068009</v>
      </c>
      <c r="AX132" s="3">
        <f>VLOOKUP($AB132,'2000 Seattle Tracts'!$C$2:$Y$374,AX$1,FALSE)*$Z132</f>
        <v>2.3564740602003091</v>
      </c>
    </row>
    <row r="133" spans="1:50" x14ac:dyDescent="0.25">
      <c r="A133" t="s">
        <v>2917</v>
      </c>
      <c r="B133" t="s">
        <v>2918</v>
      </c>
      <c r="C133" t="s">
        <v>3401</v>
      </c>
      <c r="D133" t="s">
        <v>3402</v>
      </c>
      <c r="E133" t="s">
        <v>3403</v>
      </c>
      <c r="F133" t="s">
        <v>3404</v>
      </c>
      <c r="G133" t="s">
        <v>2920</v>
      </c>
      <c r="H133" t="s">
        <v>2921</v>
      </c>
      <c r="I133">
        <v>2237508</v>
      </c>
      <c r="J133">
        <v>3664</v>
      </c>
      <c r="K133" t="s">
        <v>3405</v>
      </c>
      <c r="L133" t="s">
        <v>3406</v>
      </c>
      <c r="M133">
        <v>92</v>
      </c>
      <c r="N133">
        <v>23180.396000000001</v>
      </c>
      <c r="O133" t="s">
        <v>191</v>
      </c>
      <c r="P133">
        <v>20</v>
      </c>
      <c r="Q133">
        <v>10</v>
      </c>
      <c r="R133">
        <v>95</v>
      </c>
      <c r="S133">
        <v>23343008</v>
      </c>
      <c r="T133">
        <v>94</v>
      </c>
      <c r="U133">
        <v>182</v>
      </c>
      <c r="V133">
        <v>23180.396359671431</v>
      </c>
      <c r="W133">
        <v>23343008.336782061</v>
      </c>
      <c r="X133">
        <v>2077905.395</v>
      </c>
      <c r="Y133">
        <f>VLOOKUP(AB133,'2000 Seattle Tracts'!$C$2:$Z$374,24,FALSE)</f>
        <v>2237504.2480000001</v>
      </c>
      <c r="Z133">
        <f t="shared" si="4"/>
        <v>0.92867103910857018</v>
      </c>
      <c r="AA133" t="s">
        <v>194</v>
      </c>
      <c r="AB133" t="str">
        <f t="shared" si="5"/>
        <v>Census Tract 107, King County, Washington</v>
      </c>
      <c r="AC133" s="3">
        <f>VLOOKUP($AB133,'2000 Seattle Tracts'!$C$2:$Y$374,AC$1,FALSE)*$Z133</f>
        <v>5702.0401801266207</v>
      </c>
      <c r="AD133" s="3">
        <f>VLOOKUP($AB133,'2000 Seattle Tracts'!$C$2:$Y$374,AD$1,FALSE)*$Z133</f>
        <v>4034.1469938876289</v>
      </c>
      <c r="AE133" s="3">
        <f>VLOOKUP($AB133,'2000 Seattle Tracts'!$C$2:$Y$374,AE$1,FALSE)*$Z133</f>
        <v>1667.893186238992</v>
      </c>
      <c r="AF133" s="3">
        <f>VLOOKUP($AB133,'2000 Seattle Tracts'!$C$2:$Y$374,AF$1,FALSE)*$Z133</f>
        <v>5702.0401801266207</v>
      </c>
      <c r="AG133" s="3">
        <f>VLOOKUP($AB133,'2000 Seattle Tracts'!$C$2:$Y$374,AG$1,FALSE)*$Z133</f>
        <v>4034.1469938876289</v>
      </c>
      <c r="AH133" s="3">
        <f>VLOOKUP($AB133,'2000 Seattle Tracts'!$C$2:$Y$374,AH$1,FALSE)*$Z133</f>
        <v>1667.893186238992</v>
      </c>
      <c r="AI133" s="3">
        <f>VLOOKUP($AB133,'2000 Seattle Tracts'!$C$2:$Y$374,AI$1,FALSE)*$Z133</f>
        <v>1512.8051227078608</v>
      </c>
      <c r="AJ133" s="3">
        <f>VLOOKUP($AB133,'2000 Seattle Tracts'!$C$2:$Y$374,AJ$1,FALSE)*$Z133</f>
        <v>120.72723508411413</v>
      </c>
      <c r="AK133" s="3">
        <f>VLOOKUP($AB133,'2000 Seattle Tracts'!$C$2:$Y$374,AK$1,FALSE)*$Z133</f>
        <v>56.648933385622783</v>
      </c>
      <c r="AL133" s="3">
        <f>VLOOKUP($AB133,'2000 Seattle Tracts'!$C$2:$Y$374,AL$1,FALSE)*$Z133</f>
        <v>10.215381430194272</v>
      </c>
      <c r="AM133" s="3">
        <f>VLOOKUP($AB133,'2000 Seattle Tracts'!$C$2:$Y$374,AM$1,FALSE)*$Z133</f>
        <v>1070.7577080921815</v>
      </c>
      <c r="AN133" s="3">
        <f>VLOOKUP($AB133,'2000 Seattle Tracts'!$C$2:$Y$374,AN$1,FALSE)*$Z133</f>
        <v>153.23072145291408</v>
      </c>
      <c r="AO133" s="3">
        <f>VLOOKUP($AB133,'2000 Seattle Tracts'!$C$2:$Y$374,AO$1,FALSE)*$Z133</f>
        <v>248.8838384810968</v>
      </c>
      <c r="AP133" s="3">
        <f>VLOOKUP($AB133,'2000 Seattle Tracts'!$C$2:$Y$374,AP$1,FALSE)*$Z133</f>
        <v>43.647538838102797</v>
      </c>
      <c r="AQ133" s="3">
        <f>VLOOKUP($AB133,'2000 Seattle Tracts'!$C$2:$Y$374,AQ$1,FALSE)*$Z133</f>
        <v>417.90196759885657</v>
      </c>
      <c r="AR133" s="3">
        <f>VLOOKUP($AB133,'2000 Seattle Tracts'!$C$2:$Y$374,AR$1,FALSE)*$Z133</f>
        <v>1067.0430239357472</v>
      </c>
      <c r="AS133" s="3">
        <f>VLOOKUP($AB133,'2000 Seattle Tracts'!$C$2:$Y$374,AS$1,FALSE)*$Z133</f>
        <v>109.58318261481128</v>
      </c>
      <c r="AT133" s="3">
        <f>VLOOKUP($AB133,'2000 Seattle Tracts'!$C$2:$Y$374,AT$1,FALSE)*$Z133</f>
        <v>63.149630659382773</v>
      </c>
      <c r="AU133" s="3">
        <f>VLOOKUP($AB133,'2000 Seattle Tracts'!$C$2:$Y$374,AU$1,FALSE)*$Z133</f>
        <v>242.38314120733682</v>
      </c>
      <c r="AV133" s="3">
        <f>VLOOKUP($AB133,'2000 Seattle Tracts'!$C$2:$Y$374,AV$1,FALSE)*$Z133</f>
        <v>83.58039351977132</v>
      </c>
      <c r="AW133" s="3">
        <f>VLOOKUP($AB133,'2000 Seattle Tracts'!$C$2:$Y$374,AW$1,FALSE)*$Z133</f>
        <v>375.18309979986236</v>
      </c>
      <c r="AX133" s="3">
        <f>VLOOKUP($AB133,'2000 Seattle Tracts'!$C$2:$Y$374,AX$1,FALSE)*$Z133</f>
        <v>126.29926131876555</v>
      </c>
    </row>
    <row r="134" spans="1:50" x14ac:dyDescent="0.25">
      <c r="A134" t="s">
        <v>2917</v>
      </c>
      <c r="B134" t="s">
        <v>2918</v>
      </c>
      <c r="C134" t="s">
        <v>3401</v>
      </c>
      <c r="D134" t="s">
        <v>3402</v>
      </c>
      <c r="E134" t="s">
        <v>3403</v>
      </c>
      <c r="F134" t="s">
        <v>3404</v>
      </c>
      <c r="G134" t="s">
        <v>2920</v>
      </c>
      <c r="H134" t="s">
        <v>2921</v>
      </c>
      <c r="I134">
        <v>2237508</v>
      </c>
      <c r="J134">
        <v>3664</v>
      </c>
      <c r="K134" t="s">
        <v>3405</v>
      </c>
      <c r="L134" t="s">
        <v>3406</v>
      </c>
      <c r="M134">
        <v>93</v>
      </c>
      <c r="N134">
        <v>23416.34</v>
      </c>
      <c r="O134" t="s">
        <v>191</v>
      </c>
      <c r="P134">
        <v>20</v>
      </c>
      <c r="Q134">
        <v>10</v>
      </c>
      <c r="R134">
        <v>94</v>
      </c>
      <c r="S134">
        <v>17923316</v>
      </c>
      <c r="T134">
        <v>95</v>
      </c>
      <c r="U134">
        <v>190</v>
      </c>
      <c r="V134">
        <v>23416.340535979401</v>
      </c>
      <c r="W134">
        <v>17923316.223963421</v>
      </c>
      <c r="X134">
        <v>1746.6210000000001</v>
      </c>
      <c r="Y134">
        <f>VLOOKUP(AB134,'2000 Seattle Tracts'!$C$2:$Z$374,24,FALSE)</f>
        <v>2237504.2480000001</v>
      </c>
      <c r="Z134">
        <f t="shared" si="4"/>
        <v>7.8061125540263108E-4</v>
      </c>
      <c r="AA134" t="s">
        <v>195</v>
      </c>
      <c r="AB134" t="str">
        <f t="shared" si="5"/>
        <v>Census Tract 107, King County, Washington</v>
      </c>
      <c r="AC134" s="3">
        <f>VLOOKUP($AB134,'2000 Seattle Tracts'!$C$2:$Y$374,AC$1,FALSE)*$Z134</f>
        <v>4.7929531081721546</v>
      </c>
      <c r="AD134" s="3">
        <f>VLOOKUP($AB134,'2000 Seattle Tracts'!$C$2:$Y$374,AD$1,FALSE)*$Z134</f>
        <v>3.3909752934690296</v>
      </c>
      <c r="AE134" s="3">
        <f>VLOOKUP($AB134,'2000 Seattle Tracts'!$C$2:$Y$374,AE$1,FALSE)*$Z134</f>
        <v>1.4019778147031254</v>
      </c>
      <c r="AF134" s="3">
        <f>VLOOKUP($AB134,'2000 Seattle Tracts'!$C$2:$Y$374,AF$1,FALSE)*$Z134</f>
        <v>4.7929531081721546</v>
      </c>
      <c r="AG134" s="3">
        <f>VLOOKUP($AB134,'2000 Seattle Tracts'!$C$2:$Y$374,AG$1,FALSE)*$Z134</f>
        <v>3.3909752934690296</v>
      </c>
      <c r="AH134" s="3">
        <f>VLOOKUP($AB134,'2000 Seattle Tracts'!$C$2:$Y$374,AH$1,FALSE)*$Z134</f>
        <v>1.4019778147031254</v>
      </c>
      <c r="AI134" s="3">
        <f>VLOOKUP($AB134,'2000 Seattle Tracts'!$C$2:$Y$374,AI$1,FALSE)*$Z134</f>
        <v>1.2716157350508861</v>
      </c>
      <c r="AJ134" s="3">
        <f>VLOOKUP($AB134,'2000 Seattle Tracts'!$C$2:$Y$374,AJ$1,FALSE)*$Z134</f>
        <v>0.10147946320234204</v>
      </c>
      <c r="AK134" s="3">
        <f>VLOOKUP($AB134,'2000 Seattle Tracts'!$C$2:$Y$374,AK$1,FALSE)*$Z134</f>
        <v>4.7617286579560499E-2</v>
      </c>
      <c r="AL134" s="3">
        <f>VLOOKUP($AB134,'2000 Seattle Tracts'!$C$2:$Y$374,AL$1,FALSE)*$Z134</f>
        <v>8.5867238094289415E-3</v>
      </c>
      <c r="AM134" s="3">
        <f>VLOOKUP($AB134,'2000 Seattle Tracts'!$C$2:$Y$374,AM$1,FALSE)*$Z134</f>
        <v>0.90004477747923362</v>
      </c>
      <c r="AN134" s="3">
        <f>VLOOKUP($AB134,'2000 Seattle Tracts'!$C$2:$Y$374,AN$1,FALSE)*$Z134</f>
        <v>0.12880085714143413</v>
      </c>
      <c r="AO134" s="3">
        <f>VLOOKUP($AB134,'2000 Seattle Tracts'!$C$2:$Y$374,AO$1,FALSE)*$Z134</f>
        <v>0.20920381644790512</v>
      </c>
      <c r="AP134" s="3">
        <f>VLOOKUP($AB134,'2000 Seattle Tracts'!$C$2:$Y$374,AP$1,FALSE)*$Z134</f>
        <v>3.6688729003923663E-2</v>
      </c>
      <c r="AQ134" s="3">
        <f>VLOOKUP($AB134,'2000 Seattle Tracts'!$C$2:$Y$374,AQ$1,FALSE)*$Z134</f>
        <v>0.35127506493118399</v>
      </c>
      <c r="AR134" s="3">
        <f>VLOOKUP($AB134,'2000 Seattle Tracts'!$C$2:$Y$374,AR$1,FALSE)*$Z134</f>
        <v>0.89692233245762309</v>
      </c>
      <c r="AS134" s="3">
        <f>VLOOKUP($AB134,'2000 Seattle Tracts'!$C$2:$Y$374,AS$1,FALSE)*$Z134</f>
        <v>9.2112128137510463E-2</v>
      </c>
      <c r="AT134" s="3">
        <f>VLOOKUP($AB134,'2000 Seattle Tracts'!$C$2:$Y$374,AT$1,FALSE)*$Z134</f>
        <v>5.3081565367378916E-2</v>
      </c>
      <c r="AU134" s="3">
        <f>VLOOKUP($AB134,'2000 Seattle Tracts'!$C$2:$Y$374,AU$1,FALSE)*$Z134</f>
        <v>0.20373953766008671</v>
      </c>
      <c r="AV134" s="3">
        <f>VLOOKUP($AB134,'2000 Seattle Tracts'!$C$2:$Y$374,AV$1,FALSE)*$Z134</f>
        <v>7.0255012986236792E-2</v>
      </c>
      <c r="AW134" s="3">
        <f>VLOOKUP($AB134,'2000 Seattle Tracts'!$C$2:$Y$374,AW$1,FALSE)*$Z134</f>
        <v>0.31536694718266295</v>
      </c>
      <c r="AX134" s="3">
        <f>VLOOKUP($AB134,'2000 Seattle Tracts'!$C$2:$Y$374,AX$1,FALSE)*$Z134</f>
        <v>0.10616313073475783</v>
      </c>
    </row>
    <row r="135" spans="1:50" x14ac:dyDescent="0.25">
      <c r="A135" t="s">
        <v>2917</v>
      </c>
      <c r="B135" t="s">
        <v>2918</v>
      </c>
      <c r="C135" t="s">
        <v>3401</v>
      </c>
      <c r="D135" t="s">
        <v>3402</v>
      </c>
      <c r="E135" t="s">
        <v>3403</v>
      </c>
      <c r="F135" t="s">
        <v>3404</v>
      </c>
      <c r="G135" t="s">
        <v>2920</v>
      </c>
      <c r="H135" t="s">
        <v>2921</v>
      </c>
      <c r="I135">
        <v>2237508</v>
      </c>
      <c r="J135">
        <v>3664</v>
      </c>
      <c r="K135" t="s">
        <v>3405</v>
      </c>
      <c r="L135" t="s">
        <v>3406</v>
      </c>
      <c r="M135">
        <v>94</v>
      </c>
      <c r="N135">
        <v>22360.046999999999</v>
      </c>
      <c r="O135" t="s">
        <v>191</v>
      </c>
      <c r="P135">
        <v>20</v>
      </c>
      <c r="Q135">
        <v>10</v>
      </c>
      <c r="R135">
        <v>0</v>
      </c>
      <c r="S135">
        <v>18781060</v>
      </c>
      <c r="T135">
        <v>96</v>
      </c>
      <c r="U135">
        <v>191</v>
      </c>
      <c r="V135">
        <v>22360.047228914489</v>
      </c>
      <c r="W135">
        <v>18781059.844160609</v>
      </c>
      <c r="X135">
        <v>116879.02</v>
      </c>
      <c r="Y135">
        <f>VLOOKUP(AB135,'2000 Seattle Tracts'!$C$2:$Z$374,24,FALSE)</f>
        <v>2237504.2480000001</v>
      </c>
      <c r="Z135">
        <f t="shared" si="4"/>
        <v>5.223633434639182E-2</v>
      </c>
      <c r="AA135" t="s">
        <v>196</v>
      </c>
      <c r="AB135" t="str">
        <f t="shared" si="5"/>
        <v>Census Tract 107, King County, Washington</v>
      </c>
      <c r="AC135" s="3">
        <f>VLOOKUP($AB135,'2000 Seattle Tracts'!$C$2:$Y$374,AC$1,FALSE)*$Z135</f>
        <v>320.73109288684577</v>
      </c>
      <c r="AD135" s="3">
        <f>VLOOKUP($AB135,'2000 Seattle Tracts'!$C$2:$Y$374,AD$1,FALSE)*$Z135</f>
        <v>226.91463640072607</v>
      </c>
      <c r="AE135" s="3">
        <f>VLOOKUP($AB135,'2000 Seattle Tracts'!$C$2:$Y$374,AE$1,FALSE)*$Z135</f>
        <v>93.816456486119705</v>
      </c>
      <c r="AF135" s="3">
        <f>VLOOKUP($AB135,'2000 Seattle Tracts'!$C$2:$Y$374,AF$1,FALSE)*$Z135</f>
        <v>320.73109288684577</v>
      </c>
      <c r="AG135" s="3">
        <f>VLOOKUP($AB135,'2000 Seattle Tracts'!$C$2:$Y$374,AG$1,FALSE)*$Z135</f>
        <v>226.91463640072607</v>
      </c>
      <c r="AH135" s="3">
        <f>VLOOKUP($AB135,'2000 Seattle Tracts'!$C$2:$Y$374,AH$1,FALSE)*$Z135</f>
        <v>93.816456486119705</v>
      </c>
      <c r="AI135" s="3">
        <f>VLOOKUP($AB135,'2000 Seattle Tracts'!$C$2:$Y$374,AI$1,FALSE)*$Z135</f>
        <v>85.092988650272275</v>
      </c>
      <c r="AJ135" s="3">
        <f>VLOOKUP($AB135,'2000 Seattle Tracts'!$C$2:$Y$374,AJ$1,FALSE)*$Z135</f>
        <v>6.7907234650309363</v>
      </c>
      <c r="AK135" s="3">
        <f>VLOOKUP($AB135,'2000 Seattle Tracts'!$C$2:$Y$374,AK$1,FALSE)*$Z135</f>
        <v>3.1864163951299012</v>
      </c>
      <c r="AL135" s="3">
        <f>VLOOKUP($AB135,'2000 Seattle Tracts'!$C$2:$Y$374,AL$1,FALSE)*$Z135</f>
        <v>0.57459967781031007</v>
      </c>
      <c r="AM135" s="3">
        <f>VLOOKUP($AB135,'2000 Seattle Tracts'!$C$2:$Y$374,AM$1,FALSE)*$Z135</f>
        <v>60.228493501389771</v>
      </c>
      <c r="AN135" s="3">
        <f>VLOOKUP($AB135,'2000 Seattle Tracts'!$C$2:$Y$374,AN$1,FALSE)*$Z135</f>
        <v>8.618995167154651</v>
      </c>
      <c r="AO135" s="3">
        <f>VLOOKUP($AB135,'2000 Seattle Tracts'!$C$2:$Y$374,AO$1,FALSE)*$Z135</f>
        <v>13.999337604833007</v>
      </c>
      <c r="AP135" s="3">
        <f>VLOOKUP($AB135,'2000 Seattle Tracts'!$C$2:$Y$374,AP$1,FALSE)*$Z135</f>
        <v>2.4551077142804156</v>
      </c>
      <c r="AQ135" s="3">
        <f>VLOOKUP($AB135,'2000 Seattle Tracts'!$C$2:$Y$374,AQ$1,FALSE)*$Z135</f>
        <v>23.506350455876319</v>
      </c>
      <c r="AR135" s="3">
        <f>VLOOKUP($AB135,'2000 Seattle Tracts'!$C$2:$Y$374,AR$1,FALSE)*$Z135</f>
        <v>60.019548164004199</v>
      </c>
      <c r="AS135" s="3">
        <f>VLOOKUP($AB135,'2000 Seattle Tracts'!$C$2:$Y$374,AS$1,FALSE)*$Z135</f>
        <v>6.1638874528742349</v>
      </c>
      <c r="AT135" s="3">
        <f>VLOOKUP($AB135,'2000 Seattle Tracts'!$C$2:$Y$374,AT$1,FALSE)*$Z135</f>
        <v>3.5520707355546439</v>
      </c>
      <c r="AU135" s="3">
        <f>VLOOKUP($AB135,'2000 Seattle Tracts'!$C$2:$Y$374,AU$1,FALSE)*$Z135</f>
        <v>13.633683264408266</v>
      </c>
      <c r="AV135" s="3">
        <f>VLOOKUP($AB135,'2000 Seattle Tracts'!$C$2:$Y$374,AV$1,FALSE)*$Z135</f>
        <v>4.7012700911752638</v>
      </c>
      <c r="AW135" s="3">
        <f>VLOOKUP($AB135,'2000 Seattle Tracts'!$C$2:$Y$374,AW$1,FALSE)*$Z135</f>
        <v>21.103479075942296</v>
      </c>
      <c r="AX135" s="3">
        <f>VLOOKUP($AB135,'2000 Seattle Tracts'!$C$2:$Y$374,AX$1,FALSE)*$Z135</f>
        <v>7.1041414711092878</v>
      </c>
    </row>
    <row r="136" spans="1:50" x14ac:dyDescent="0.25">
      <c r="A136" t="s">
        <v>2917</v>
      </c>
      <c r="B136" t="s">
        <v>2918</v>
      </c>
      <c r="C136" t="s">
        <v>2966</v>
      </c>
      <c r="D136" t="s">
        <v>2860</v>
      </c>
      <c r="E136" t="s">
        <v>2861</v>
      </c>
      <c r="F136" t="s">
        <v>2862</v>
      </c>
      <c r="G136" t="s">
        <v>2920</v>
      </c>
      <c r="H136" t="s">
        <v>2921</v>
      </c>
      <c r="I136">
        <v>2594296</v>
      </c>
      <c r="J136">
        <v>6733327</v>
      </c>
      <c r="K136" t="s">
        <v>3407</v>
      </c>
      <c r="L136" t="s">
        <v>3408</v>
      </c>
      <c r="M136">
        <v>71</v>
      </c>
      <c r="N136">
        <v>23122.263999999999</v>
      </c>
      <c r="O136" t="s">
        <v>170</v>
      </c>
      <c r="P136">
        <v>19</v>
      </c>
      <c r="Q136">
        <v>9</v>
      </c>
      <c r="R136">
        <v>19</v>
      </c>
      <c r="S136">
        <v>18463062</v>
      </c>
      <c r="T136">
        <v>73</v>
      </c>
      <c r="U136">
        <v>178</v>
      </c>
      <c r="V136">
        <v>23122.264003256802</v>
      </c>
      <c r="W136">
        <v>18463061.7979086</v>
      </c>
      <c r="X136">
        <v>1138374.6839999999</v>
      </c>
      <c r="Y136">
        <f>VLOOKUP(AB136,'2000 Seattle Tracts'!$C$2:$Z$374,24,FALSE)</f>
        <v>2515784.2540000002</v>
      </c>
      <c r="Z136">
        <f t="shared" si="4"/>
        <v>0.45249296802379929</v>
      </c>
      <c r="AA136" t="s">
        <v>169</v>
      </c>
      <c r="AB136" t="str">
        <f t="shared" si="5"/>
        <v>Census Tract 106, King County, Washington</v>
      </c>
      <c r="AC136" s="3">
        <f>VLOOKUP($AB136,'2000 Seattle Tracts'!$C$2:$Y$374,AC$1,FALSE)*$Z136</f>
        <v>3201.3877487683799</v>
      </c>
      <c r="AD136" s="3">
        <f>VLOOKUP($AB136,'2000 Seattle Tracts'!$C$2:$Y$374,AD$1,FALSE)*$Z136</f>
        <v>2886.9051359918394</v>
      </c>
      <c r="AE136" s="3">
        <f>VLOOKUP($AB136,'2000 Seattle Tracts'!$C$2:$Y$374,AE$1,FALSE)*$Z136</f>
        <v>314.48261277654052</v>
      </c>
      <c r="AF136" s="3">
        <f>VLOOKUP($AB136,'2000 Seattle Tracts'!$C$2:$Y$374,AF$1,FALSE)*$Z136</f>
        <v>3201.3877487683799</v>
      </c>
      <c r="AG136" s="3">
        <f>VLOOKUP($AB136,'2000 Seattle Tracts'!$C$2:$Y$374,AG$1,FALSE)*$Z136</f>
        <v>2886.9051359918394</v>
      </c>
      <c r="AH136" s="3">
        <f>VLOOKUP($AB136,'2000 Seattle Tracts'!$C$2:$Y$374,AH$1,FALSE)*$Z136</f>
        <v>314.48261277654052</v>
      </c>
      <c r="AI136" s="3">
        <f>VLOOKUP($AB136,'2000 Seattle Tracts'!$C$2:$Y$374,AI$1,FALSE)*$Z136</f>
        <v>2542.1054943577046</v>
      </c>
      <c r="AJ136" s="3">
        <f>VLOOKUP($AB136,'2000 Seattle Tracts'!$C$2:$Y$374,AJ$1,FALSE)*$Z136</f>
        <v>176.47225752928173</v>
      </c>
      <c r="AK136" s="3">
        <f>VLOOKUP($AB136,'2000 Seattle Tracts'!$C$2:$Y$374,AK$1,FALSE)*$Z136</f>
        <v>52.941677258784516</v>
      </c>
      <c r="AL136" s="3">
        <f>VLOOKUP($AB136,'2000 Seattle Tracts'!$C$2:$Y$374,AL$1,FALSE)*$Z136</f>
        <v>23.077141369213763</v>
      </c>
      <c r="AM136" s="3">
        <f>VLOOKUP($AB136,'2000 Seattle Tracts'!$C$2:$Y$374,AM$1,FALSE)*$Z136</f>
        <v>82.806213148355269</v>
      </c>
      <c r="AN136" s="3">
        <f>VLOOKUP($AB136,'2000 Seattle Tracts'!$C$2:$Y$374,AN$1,FALSE)*$Z136</f>
        <v>9.5023523284997857</v>
      </c>
      <c r="AO136" s="3">
        <f>VLOOKUP($AB136,'2000 Seattle Tracts'!$C$2:$Y$374,AO$1,FALSE)*$Z136</f>
        <v>42.534338994237132</v>
      </c>
      <c r="AP136" s="3">
        <f>VLOOKUP($AB136,'2000 Seattle Tracts'!$C$2:$Y$374,AP$1,FALSE)*$Z136</f>
        <v>9.5023523284997857</v>
      </c>
      <c r="AQ136" s="3">
        <f>VLOOKUP($AB136,'2000 Seattle Tracts'!$C$2:$Y$374,AQ$1,FALSE)*$Z136</f>
        <v>42.534338994237132</v>
      </c>
      <c r="AR136" s="3">
        <f>VLOOKUP($AB136,'2000 Seattle Tracts'!$C$2:$Y$374,AR$1,FALSE)*$Z136</f>
        <v>57.014113970998707</v>
      </c>
      <c r="AS136" s="3">
        <f>VLOOKUP($AB136,'2000 Seattle Tracts'!$C$2:$Y$374,AS$1,FALSE)*$Z136</f>
        <v>0</v>
      </c>
      <c r="AT136" s="3">
        <f>VLOOKUP($AB136,'2000 Seattle Tracts'!$C$2:$Y$374,AT$1,FALSE)*$Z136</f>
        <v>0</v>
      </c>
      <c r="AU136" s="3">
        <f>VLOOKUP($AB136,'2000 Seattle Tracts'!$C$2:$Y$374,AU$1,FALSE)*$Z136</f>
        <v>23.529634337237564</v>
      </c>
      <c r="AV136" s="3">
        <f>VLOOKUP($AB136,'2000 Seattle Tracts'!$C$2:$Y$374,AV$1,FALSE)*$Z136</f>
        <v>14.932267944785377</v>
      </c>
      <c r="AW136" s="3">
        <f>VLOOKUP($AB136,'2000 Seattle Tracts'!$C$2:$Y$374,AW$1,FALSE)*$Z136</f>
        <v>100.45343890128345</v>
      </c>
      <c r="AX136" s="3">
        <f>VLOOKUP($AB136,'2000 Seattle Tracts'!$C$2:$Y$374,AX$1,FALSE)*$Z136</f>
        <v>23.982127305261361</v>
      </c>
    </row>
    <row r="137" spans="1:50" x14ac:dyDescent="0.25">
      <c r="A137" t="s">
        <v>2917</v>
      </c>
      <c r="B137" t="s">
        <v>2918</v>
      </c>
      <c r="C137" t="s">
        <v>2966</v>
      </c>
      <c r="D137" t="s">
        <v>2860</v>
      </c>
      <c r="E137" t="s">
        <v>2861</v>
      </c>
      <c r="F137" t="s">
        <v>2862</v>
      </c>
      <c r="G137" t="s">
        <v>2920</v>
      </c>
      <c r="H137" t="s">
        <v>2921</v>
      </c>
      <c r="I137">
        <v>2594296</v>
      </c>
      <c r="J137">
        <v>6733327</v>
      </c>
      <c r="K137" t="s">
        <v>3407</v>
      </c>
      <c r="L137" t="s">
        <v>3408</v>
      </c>
      <c r="M137">
        <v>72</v>
      </c>
      <c r="N137">
        <v>23801.266</v>
      </c>
      <c r="O137" t="s">
        <v>170</v>
      </c>
      <c r="P137">
        <v>19</v>
      </c>
      <c r="Q137">
        <v>9</v>
      </c>
      <c r="R137">
        <v>81</v>
      </c>
      <c r="S137">
        <v>22821708</v>
      </c>
      <c r="T137">
        <v>74</v>
      </c>
      <c r="U137">
        <v>184</v>
      </c>
      <c r="V137">
        <v>23801.264700512202</v>
      </c>
      <c r="W137">
        <v>22821707.468856081</v>
      </c>
      <c r="X137">
        <v>839916.451</v>
      </c>
      <c r="Y137">
        <f>VLOOKUP(AB137,'2000 Seattle Tracts'!$C$2:$Z$374,24,FALSE)</f>
        <v>2515784.2540000002</v>
      </c>
      <c r="Z137">
        <f t="shared" si="4"/>
        <v>0.33385869621553005</v>
      </c>
      <c r="AA137" t="s">
        <v>171</v>
      </c>
      <c r="AB137" t="str">
        <f t="shared" si="5"/>
        <v>Census Tract 106, King County, Washington</v>
      </c>
      <c r="AC137" s="3">
        <f>VLOOKUP($AB137,'2000 Seattle Tracts'!$C$2:$Y$374,AC$1,FALSE)*$Z137</f>
        <v>2362.0502757248751</v>
      </c>
      <c r="AD137" s="3">
        <f>VLOOKUP($AB137,'2000 Seattle Tracts'!$C$2:$Y$374,AD$1,FALSE)*$Z137</f>
        <v>2130.0184818550815</v>
      </c>
      <c r="AE137" s="3">
        <f>VLOOKUP($AB137,'2000 Seattle Tracts'!$C$2:$Y$374,AE$1,FALSE)*$Z137</f>
        <v>232.03179386979338</v>
      </c>
      <c r="AF137" s="3">
        <f>VLOOKUP($AB137,'2000 Seattle Tracts'!$C$2:$Y$374,AF$1,FALSE)*$Z137</f>
        <v>2362.0502757248751</v>
      </c>
      <c r="AG137" s="3">
        <f>VLOOKUP($AB137,'2000 Seattle Tracts'!$C$2:$Y$374,AG$1,FALSE)*$Z137</f>
        <v>2130.0184818550815</v>
      </c>
      <c r="AH137" s="3">
        <f>VLOOKUP($AB137,'2000 Seattle Tracts'!$C$2:$Y$374,AH$1,FALSE)*$Z137</f>
        <v>232.03179386979338</v>
      </c>
      <c r="AI137" s="3">
        <f>VLOOKUP($AB137,'2000 Seattle Tracts'!$C$2:$Y$374,AI$1,FALSE)*$Z137</f>
        <v>1875.6181553388478</v>
      </c>
      <c r="AJ137" s="3">
        <f>VLOOKUP($AB137,'2000 Seattle Tracts'!$C$2:$Y$374,AJ$1,FALSE)*$Z137</f>
        <v>130.20489152405671</v>
      </c>
      <c r="AK137" s="3">
        <f>VLOOKUP($AB137,'2000 Seattle Tracts'!$C$2:$Y$374,AK$1,FALSE)*$Z137</f>
        <v>39.061467457217013</v>
      </c>
      <c r="AL137" s="3">
        <f>VLOOKUP($AB137,'2000 Seattle Tracts'!$C$2:$Y$374,AL$1,FALSE)*$Z137</f>
        <v>17.026793506992032</v>
      </c>
      <c r="AM137" s="3">
        <f>VLOOKUP($AB137,'2000 Seattle Tracts'!$C$2:$Y$374,AM$1,FALSE)*$Z137</f>
        <v>61.096141407441998</v>
      </c>
      <c r="AN137" s="3">
        <f>VLOOKUP($AB137,'2000 Seattle Tracts'!$C$2:$Y$374,AN$1,FALSE)*$Z137</f>
        <v>7.0110326205261311</v>
      </c>
      <c r="AO137" s="3">
        <f>VLOOKUP($AB137,'2000 Seattle Tracts'!$C$2:$Y$374,AO$1,FALSE)*$Z137</f>
        <v>31.382717444259825</v>
      </c>
      <c r="AP137" s="3">
        <f>VLOOKUP($AB137,'2000 Seattle Tracts'!$C$2:$Y$374,AP$1,FALSE)*$Z137</f>
        <v>7.0110326205261311</v>
      </c>
      <c r="AQ137" s="3">
        <f>VLOOKUP($AB137,'2000 Seattle Tracts'!$C$2:$Y$374,AQ$1,FALSE)*$Z137</f>
        <v>31.382717444259825</v>
      </c>
      <c r="AR137" s="3">
        <f>VLOOKUP($AB137,'2000 Seattle Tracts'!$C$2:$Y$374,AR$1,FALSE)*$Z137</f>
        <v>42.066195723156788</v>
      </c>
      <c r="AS137" s="3">
        <f>VLOOKUP($AB137,'2000 Seattle Tracts'!$C$2:$Y$374,AS$1,FALSE)*$Z137</f>
        <v>0</v>
      </c>
      <c r="AT137" s="3">
        <f>VLOOKUP($AB137,'2000 Seattle Tracts'!$C$2:$Y$374,AT$1,FALSE)*$Z137</f>
        <v>0</v>
      </c>
      <c r="AU137" s="3">
        <f>VLOOKUP($AB137,'2000 Seattle Tracts'!$C$2:$Y$374,AU$1,FALSE)*$Z137</f>
        <v>17.360652203207561</v>
      </c>
      <c r="AV137" s="3">
        <f>VLOOKUP($AB137,'2000 Seattle Tracts'!$C$2:$Y$374,AV$1,FALSE)*$Z137</f>
        <v>11.017336975112492</v>
      </c>
      <c r="AW137" s="3">
        <f>VLOOKUP($AB137,'2000 Seattle Tracts'!$C$2:$Y$374,AW$1,FALSE)*$Z137</f>
        <v>74.116630559847664</v>
      </c>
      <c r="AX137" s="3">
        <f>VLOOKUP($AB137,'2000 Seattle Tracts'!$C$2:$Y$374,AX$1,FALSE)*$Z137</f>
        <v>17.694510899423094</v>
      </c>
    </row>
    <row r="138" spans="1:50" x14ac:dyDescent="0.25">
      <c r="A138" t="s">
        <v>2917</v>
      </c>
      <c r="B138" t="s">
        <v>2918</v>
      </c>
      <c r="C138" t="s">
        <v>2966</v>
      </c>
      <c r="D138" t="s">
        <v>2860</v>
      </c>
      <c r="E138" t="s">
        <v>2861</v>
      </c>
      <c r="F138" t="s">
        <v>2862</v>
      </c>
      <c r="G138" t="s">
        <v>2920</v>
      </c>
      <c r="H138" t="s">
        <v>2921</v>
      </c>
      <c r="I138">
        <v>2594296</v>
      </c>
      <c r="J138">
        <v>6733327</v>
      </c>
      <c r="K138" t="s">
        <v>3407</v>
      </c>
      <c r="L138" t="s">
        <v>3408</v>
      </c>
      <c r="M138">
        <v>74</v>
      </c>
      <c r="N138">
        <v>45568.137000000002</v>
      </c>
      <c r="O138" t="s">
        <v>170</v>
      </c>
      <c r="P138">
        <v>19</v>
      </c>
      <c r="Q138">
        <v>9</v>
      </c>
      <c r="R138">
        <v>81</v>
      </c>
      <c r="S138">
        <v>24583470</v>
      </c>
      <c r="T138">
        <v>76</v>
      </c>
      <c r="U138">
        <v>168</v>
      </c>
      <c r="V138">
        <v>45568.137853690583</v>
      </c>
      <c r="W138">
        <v>24583469.184015442</v>
      </c>
      <c r="X138">
        <v>67.727999999999994</v>
      </c>
      <c r="Y138">
        <f>VLOOKUP(AB138,'2000 Seattle Tracts'!$C$2:$Z$374,24,FALSE)</f>
        <v>2515784.2540000002</v>
      </c>
      <c r="Z138">
        <f t="shared" si="4"/>
        <v>2.6921227403468752E-5</v>
      </c>
      <c r="AA138" t="s">
        <v>173</v>
      </c>
      <c r="AB138" t="str">
        <f t="shared" si="5"/>
        <v>Census Tract 106, King County, Washington</v>
      </c>
      <c r="AC138" s="3">
        <f>VLOOKUP($AB138,'2000 Seattle Tracts'!$C$2:$Y$374,AC$1,FALSE)*$Z138</f>
        <v>0.19046768387954141</v>
      </c>
      <c r="AD138" s="3">
        <f>VLOOKUP($AB138,'2000 Seattle Tracts'!$C$2:$Y$374,AD$1,FALSE)*$Z138</f>
        <v>0.17175743083413064</v>
      </c>
      <c r="AE138" s="3">
        <f>VLOOKUP($AB138,'2000 Seattle Tracts'!$C$2:$Y$374,AE$1,FALSE)*$Z138</f>
        <v>1.8710253045410782E-2</v>
      </c>
      <c r="AF138" s="3">
        <f>VLOOKUP($AB138,'2000 Seattle Tracts'!$C$2:$Y$374,AF$1,FALSE)*$Z138</f>
        <v>0.19046768387954141</v>
      </c>
      <c r="AG138" s="3">
        <f>VLOOKUP($AB138,'2000 Seattle Tracts'!$C$2:$Y$374,AG$1,FALSE)*$Z138</f>
        <v>0.17175743083413064</v>
      </c>
      <c r="AH138" s="3">
        <f>VLOOKUP($AB138,'2000 Seattle Tracts'!$C$2:$Y$374,AH$1,FALSE)*$Z138</f>
        <v>1.8710253045410782E-2</v>
      </c>
      <c r="AI138" s="3">
        <f>VLOOKUP($AB138,'2000 Seattle Tracts'!$C$2:$Y$374,AI$1,FALSE)*$Z138</f>
        <v>0.15124345555268745</v>
      </c>
      <c r="AJ138" s="3">
        <f>VLOOKUP($AB138,'2000 Seattle Tracts'!$C$2:$Y$374,AJ$1,FALSE)*$Z138</f>
        <v>1.0499278687352813E-2</v>
      </c>
      <c r="AK138" s="3">
        <f>VLOOKUP($AB138,'2000 Seattle Tracts'!$C$2:$Y$374,AK$1,FALSE)*$Z138</f>
        <v>3.149783606205844E-3</v>
      </c>
      <c r="AL138" s="3">
        <f>VLOOKUP($AB138,'2000 Seattle Tracts'!$C$2:$Y$374,AL$1,FALSE)*$Z138</f>
        <v>1.3729825975769064E-3</v>
      </c>
      <c r="AM138" s="3">
        <f>VLOOKUP($AB138,'2000 Seattle Tracts'!$C$2:$Y$374,AM$1,FALSE)*$Z138</f>
        <v>4.9265846148347815E-3</v>
      </c>
      <c r="AN138" s="3">
        <f>VLOOKUP($AB138,'2000 Seattle Tracts'!$C$2:$Y$374,AN$1,FALSE)*$Z138</f>
        <v>5.6534577547284379E-4</v>
      </c>
      <c r="AO138" s="3">
        <f>VLOOKUP($AB138,'2000 Seattle Tracts'!$C$2:$Y$374,AO$1,FALSE)*$Z138</f>
        <v>2.5305953759260625E-3</v>
      </c>
      <c r="AP138" s="3">
        <f>VLOOKUP($AB138,'2000 Seattle Tracts'!$C$2:$Y$374,AP$1,FALSE)*$Z138</f>
        <v>5.6534577547284379E-4</v>
      </c>
      <c r="AQ138" s="3">
        <f>VLOOKUP($AB138,'2000 Seattle Tracts'!$C$2:$Y$374,AQ$1,FALSE)*$Z138</f>
        <v>2.5305953759260625E-3</v>
      </c>
      <c r="AR138" s="3">
        <f>VLOOKUP($AB138,'2000 Seattle Tracts'!$C$2:$Y$374,AR$1,FALSE)*$Z138</f>
        <v>3.3920746528370628E-3</v>
      </c>
      <c r="AS138" s="3">
        <f>VLOOKUP($AB138,'2000 Seattle Tracts'!$C$2:$Y$374,AS$1,FALSE)*$Z138</f>
        <v>0</v>
      </c>
      <c r="AT138" s="3">
        <f>VLOOKUP($AB138,'2000 Seattle Tracts'!$C$2:$Y$374,AT$1,FALSE)*$Z138</f>
        <v>0</v>
      </c>
      <c r="AU138" s="3">
        <f>VLOOKUP($AB138,'2000 Seattle Tracts'!$C$2:$Y$374,AU$1,FALSE)*$Z138</f>
        <v>1.3999038249803751E-3</v>
      </c>
      <c r="AV138" s="3">
        <f>VLOOKUP($AB138,'2000 Seattle Tracts'!$C$2:$Y$374,AV$1,FALSE)*$Z138</f>
        <v>8.8840050431446878E-4</v>
      </c>
      <c r="AW138" s="3">
        <f>VLOOKUP($AB138,'2000 Seattle Tracts'!$C$2:$Y$374,AW$1,FALSE)*$Z138</f>
        <v>5.9765124835700631E-3</v>
      </c>
      <c r="AX138" s="3">
        <f>VLOOKUP($AB138,'2000 Seattle Tracts'!$C$2:$Y$374,AX$1,FALSE)*$Z138</f>
        <v>1.4268250523838438E-3</v>
      </c>
    </row>
    <row r="139" spans="1:50" x14ac:dyDescent="0.25">
      <c r="A139" t="s">
        <v>2917</v>
      </c>
      <c r="B139" t="s">
        <v>2918</v>
      </c>
      <c r="C139" t="s">
        <v>2966</v>
      </c>
      <c r="D139" t="s">
        <v>2860</v>
      </c>
      <c r="E139" t="s">
        <v>2861</v>
      </c>
      <c r="F139" t="s">
        <v>2862</v>
      </c>
      <c r="G139" t="s">
        <v>2920</v>
      </c>
      <c r="H139" t="s">
        <v>2921</v>
      </c>
      <c r="I139">
        <v>2594296</v>
      </c>
      <c r="J139">
        <v>6733327</v>
      </c>
      <c r="K139" t="s">
        <v>3407</v>
      </c>
      <c r="L139" t="s">
        <v>3408</v>
      </c>
      <c r="M139">
        <v>76</v>
      </c>
      <c r="N139">
        <v>24955.713</v>
      </c>
      <c r="O139" t="s">
        <v>170</v>
      </c>
      <c r="P139">
        <v>19</v>
      </c>
      <c r="Q139">
        <v>9</v>
      </c>
      <c r="R139">
        <v>9</v>
      </c>
      <c r="S139">
        <v>16153900</v>
      </c>
      <c r="T139">
        <v>78</v>
      </c>
      <c r="U139">
        <v>176</v>
      </c>
      <c r="V139">
        <v>24955.712841425851</v>
      </c>
      <c r="W139">
        <v>16153900.097700959</v>
      </c>
      <c r="X139">
        <v>533560.36600000004</v>
      </c>
      <c r="Y139">
        <f>VLOOKUP(AB139,'2000 Seattle Tracts'!$C$2:$Z$374,24,FALSE)</f>
        <v>2515784.2540000002</v>
      </c>
      <c r="Z139">
        <f t="shared" si="4"/>
        <v>0.21208510433740874</v>
      </c>
      <c r="AA139" t="s">
        <v>175</v>
      </c>
      <c r="AB139" t="str">
        <f t="shared" si="5"/>
        <v>Census Tract 106, King County, Washington</v>
      </c>
      <c r="AC139" s="3">
        <f>VLOOKUP($AB139,'2000 Seattle Tracts'!$C$2:$Y$374,AC$1,FALSE)*$Z139</f>
        <v>1500.5021131871667</v>
      </c>
      <c r="AD139" s="3">
        <f>VLOOKUP($AB139,'2000 Seattle Tracts'!$C$2:$Y$374,AD$1,FALSE)*$Z139</f>
        <v>1353.1029656726678</v>
      </c>
      <c r="AE139" s="3">
        <f>VLOOKUP($AB139,'2000 Seattle Tracts'!$C$2:$Y$374,AE$1,FALSE)*$Z139</f>
        <v>147.39914751449908</v>
      </c>
      <c r="AF139" s="3">
        <f>VLOOKUP($AB139,'2000 Seattle Tracts'!$C$2:$Y$374,AF$1,FALSE)*$Z139</f>
        <v>1500.5021131871667</v>
      </c>
      <c r="AG139" s="3">
        <f>VLOOKUP($AB139,'2000 Seattle Tracts'!$C$2:$Y$374,AG$1,FALSE)*$Z139</f>
        <v>1353.1029656726678</v>
      </c>
      <c r="AH139" s="3">
        <f>VLOOKUP($AB139,'2000 Seattle Tracts'!$C$2:$Y$374,AH$1,FALSE)*$Z139</f>
        <v>147.39914751449908</v>
      </c>
      <c r="AI139" s="3">
        <f>VLOOKUP($AB139,'2000 Seattle Tracts'!$C$2:$Y$374,AI$1,FALSE)*$Z139</f>
        <v>1191.4941161675622</v>
      </c>
      <c r="AJ139" s="3">
        <f>VLOOKUP($AB139,'2000 Seattle Tracts'!$C$2:$Y$374,AJ$1,FALSE)*$Z139</f>
        <v>82.713190691589404</v>
      </c>
      <c r="AK139" s="3">
        <f>VLOOKUP($AB139,'2000 Seattle Tracts'!$C$2:$Y$374,AK$1,FALSE)*$Z139</f>
        <v>24.813957207476822</v>
      </c>
      <c r="AL139" s="3">
        <f>VLOOKUP($AB139,'2000 Seattle Tracts'!$C$2:$Y$374,AL$1,FALSE)*$Z139</f>
        <v>10.816340321207846</v>
      </c>
      <c r="AM139" s="3">
        <f>VLOOKUP($AB139,'2000 Seattle Tracts'!$C$2:$Y$374,AM$1,FALSE)*$Z139</f>
        <v>38.811574093745797</v>
      </c>
      <c r="AN139" s="3">
        <f>VLOOKUP($AB139,'2000 Seattle Tracts'!$C$2:$Y$374,AN$1,FALSE)*$Z139</f>
        <v>4.4537871910855831</v>
      </c>
      <c r="AO139" s="3">
        <f>VLOOKUP($AB139,'2000 Seattle Tracts'!$C$2:$Y$374,AO$1,FALSE)*$Z139</f>
        <v>19.935999807716421</v>
      </c>
      <c r="AP139" s="3">
        <f>VLOOKUP($AB139,'2000 Seattle Tracts'!$C$2:$Y$374,AP$1,FALSE)*$Z139</f>
        <v>4.4537871910855831</v>
      </c>
      <c r="AQ139" s="3">
        <f>VLOOKUP($AB139,'2000 Seattle Tracts'!$C$2:$Y$374,AQ$1,FALSE)*$Z139</f>
        <v>19.935999807716421</v>
      </c>
      <c r="AR139" s="3">
        <f>VLOOKUP($AB139,'2000 Seattle Tracts'!$C$2:$Y$374,AR$1,FALSE)*$Z139</f>
        <v>26.722723146513502</v>
      </c>
      <c r="AS139" s="3">
        <f>VLOOKUP($AB139,'2000 Seattle Tracts'!$C$2:$Y$374,AS$1,FALSE)*$Z139</f>
        <v>0</v>
      </c>
      <c r="AT139" s="3">
        <f>VLOOKUP($AB139,'2000 Seattle Tracts'!$C$2:$Y$374,AT$1,FALSE)*$Z139</f>
        <v>0</v>
      </c>
      <c r="AU139" s="3">
        <f>VLOOKUP($AB139,'2000 Seattle Tracts'!$C$2:$Y$374,AU$1,FALSE)*$Z139</f>
        <v>11.028425425545255</v>
      </c>
      <c r="AV139" s="3">
        <f>VLOOKUP($AB139,'2000 Seattle Tracts'!$C$2:$Y$374,AV$1,FALSE)*$Z139</f>
        <v>6.9988084431344886</v>
      </c>
      <c r="AW139" s="3">
        <f>VLOOKUP($AB139,'2000 Seattle Tracts'!$C$2:$Y$374,AW$1,FALSE)*$Z139</f>
        <v>47.082893162904739</v>
      </c>
      <c r="AX139" s="3">
        <f>VLOOKUP($AB139,'2000 Seattle Tracts'!$C$2:$Y$374,AX$1,FALSE)*$Z139</f>
        <v>11.240510529882663</v>
      </c>
    </row>
    <row r="140" spans="1:50" x14ac:dyDescent="0.25">
      <c r="A140" t="s">
        <v>2917</v>
      </c>
      <c r="B140" t="s">
        <v>2918</v>
      </c>
      <c r="C140" t="s">
        <v>2966</v>
      </c>
      <c r="D140" t="s">
        <v>2860</v>
      </c>
      <c r="E140" t="s">
        <v>2861</v>
      </c>
      <c r="F140" t="s">
        <v>2862</v>
      </c>
      <c r="G140" t="s">
        <v>2920</v>
      </c>
      <c r="H140" t="s">
        <v>2921</v>
      </c>
      <c r="I140">
        <v>2594296</v>
      </c>
      <c r="J140">
        <v>6733327</v>
      </c>
      <c r="K140" t="s">
        <v>3407</v>
      </c>
      <c r="L140" t="s">
        <v>3408</v>
      </c>
      <c r="M140">
        <v>92</v>
      </c>
      <c r="N140">
        <v>23180.396000000001</v>
      </c>
      <c r="O140" t="s">
        <v>191</v>
      </c>
      <c r="P140">
        <v>20</v>
      </c>
      <c r="Q140">
        <v>10</v>
      </c>
      <c r="R140">
        <v>95</v>
      </c>
      <c r="S140">
        <v>23343008</v>
      </c>
      <c r="T140">
        <v>94</v>
      </c>
      <c r="U140">
        <v>182</v>
      </c>
      <c r="V140">
        <v>23180.396359671431</v>
      </c>
      <c r="W140">
        <v>23343008.336782061</v>
      </c>
      <c r="X140">
        <v>2058.3440000000001</v>
      </c>
      <c r="Y140">
        <f>VLOOKUP(AB140,'2000 Seattle Tracts'!$C$2:$Z$374,24,FALSE)</f>
        <v>2515784.2540000002</v>
      </c>
      <c r="Z140">
        <f t="shared" si="4"/>
        <v>8.1817190672344505E-4</v>
      </c>
      <c r="AA140" t="s">
        <v>194</v>
      </c>
      <c r="AB140" t="str">
        <f t="shared" si="5"/>
        <v>Census Tract 106, King County, Washington</v>
      </c>
      <c r="AC140" s="3">
        <f>VLOOKUP($AB140,'2000 Seattle Tracts'!$C$2:$Y$374,AC$1,FALSE)*$Z140</f>
        <v>5.7885662400683735</v>
      </c>
      <c r="AD140" s="3">
        <f>VLOOKUP($AB140,'2000 Seattle Tracts'!$C$2:$Y$374,AD$1,FALSE)*$Z140</f>
        <v>5.2199367648955795</v>
      </c>
      <c r="AE140" s="3">
        <f>VLOOKUP($AB140,'2000 Seattle Tracts'!$C$2:$Y$374,AE$1,FALSE)*$Z140</f>
        <v>0.56862947517279427</v>
      </c>
      <c r="AF140" s="3">
        <f>VLOOKUP($AB140,'2000 Seattle Tracts'!$C$2:$Y$374,AF$1,FALSE)*$Z140</f>
        <v>5.7885662400683735</v>
      </c>
      <c r="AG140" s="3">
        <f>VLOOKUP($AB140,'2000 Seattle Tracts'!$C$2:$Y$374,AG$1,FALSE)*$Z140</f>
        <v>5.2199367648955795</v>
      </c>
      <c r="AH140" s="3">
        <f>VLOOKUP($AB140,'2000 Seattle Tracts'!$C$2:$Y$374,AH$1,FALSE)*$Z140</f>
        <v>0.56862947517279427</v>
      </c>
      <c r="AI140" s="3">
        <f>VLOOKUP($AB140,'2000 Seattle Tracts'!$C$2:$Y$374,AI$1,FALSE)*$Z140</f>
        <v>4.5964897719723146</v>
      </c>
      <c r="AJ140" s="3">
        <f>VLOOKUP($AB140,'2000 Seattle Tracts'!$C$2:$Y$374,AJ$1,FALSE)*$Z140</f>
        <v>0.31908704362214357</v>
      </c>
      <c r="AK140" s="3">
        <f>VLOOKUP($AB140,'2000 Seattle Tracts'!$C$2:$Y$374,AK$1,FALSE)*$Z140</f>
        <v>9.5726113086643069E-2</v>
      </c>
      <c r="AL140" s="3">
        <f>VLOOKUP($AB140,'2000 Seattle Tracts'!$C$2:$Y$374,AL$1,FALSE)*$Z140</f>
        <v>4.1726767242895695E-2</v>
      </c>
      <c r="AM140" s="3">
        <f>VLOOKUP($AB140,'2000 Seattle Tracts'!$C$2:$Y$374,AM$1,FALSE)*$Z140</f>
        <v>0.14972545893039044</v>
      </c>
      <c r="AN140" s="3">
        <f>VLOOKUP($AB140,'2000 Seattle Tracts'!$C$2:$Y$374,AN$1,FALSE)*$Z140</f>
        <v>1.7181610041192345E-2</v>
      </c>
      <c r="AO140" s="3">
        <f>VLOOKUP($AB140,'2000 Seattle Tracts'!$C$2:$Y$374,AO$1,FALSE)*$Z140</f>
        <v>7.6908159232003837E-2</v>
      </c>
      <c r="AP140" s="3">
        <f>VLOOKUP($AB140,'2000 Seattle Tracts'!$C$2:$Y$374,AP$1,FALSE)*$Z140</f>
        <v>1.7181610041192345E-2</v>
      </c>
      <c r="AQ140" s="3">
        <f>VLOOKUP($AB140,'2000 Seattle Tracts'!$C$2:$Y$374,AQ$1,FALSE)*$Z140</f>
        <v>7.6908159232003837E-2</v>
      </c>
      <c r="AR140" s="3">
        <f>VLOOKUP($AB140,'2000 Seattle Tracts'!$C$2:$Y$374,AR$1,FALSE)*$Z140</f>
        <v>0.10308966024715407</v>
      </c>
      <c r="AS140" s="3">
        <f>VLOOKUP($AB140,'2000 Seattle Tracts'!$C$2:$Y$374,AS$1,FALSE)*$Z140</f>
        <v>0</v>
      </c>
      <c r="AT140" s="3">
        <f>VLOOKUP($AB140,'2000 Seattle Tracts'!$C$2:$Y$374,AT$1,FALSE)*$Z140</f>
        <v>0</v>
      </c>
      <c r="AU140" s="3">
        <f>VLOOKUP($AB140,'2000 Seattle Tracts'!$C$2:$Y$374,AU$1,FALSE)*$Z140</f>
        <v>4.254493914961914E-2</v>
      </c>
      <c r="AV140" s="3">
        <f>VLOOKUP($AB140,'2000 Seattle Tracts'!$C$2:$Y$374,AV$1,FALSE)*$Z140</f>
        <v>2.6999672921873687E-2</v>
      </c>
      <c r="AW140" s="3">
        <f>VLOOKUP($AB140,'2000 Seattle Tracts'!$C$2:$Y$374,AW$1,FALSE)*$Z140</f>
        <v>0.18163416329260479</v>
      </c>
      <c r="AX140" s="3">
        <f>VLOOKUP($AB140,'2000 Seattle Tracts'!$C$2:$Y$374,AX$1,FALSE)*$Z140</f>
        <v>4.3363111056342586E-2</v>
      </c>
    </row>
    <row r="141" spans="1:50" x14ac:dyDescent="0.25">
      <c r="A141" t="s">
        <v>2917</v>
      </c>
      <c r="B141" t="s">
        <v>2918</v>
      </c>
      <c r="C141" t="s">
        <v>3011</v>
      </c>
      <c r="D141" t="s">
        <v>2863</v>
      </c>
      <c r="E141" t="s">
        <v>2864</v>
      </c>
      <c r="F141" t="s">
        <v>2865</v>
      </c>
      <c r="G141" t="s">
        <v>2920</v>
      </c>
      <c r="H141" t="s">
        <v>2921</v>
      </c>
      <c r="I141">
        <v>1717929</v>
      </c>
      <c r="J141">
        <v>0</v>
      </c>
      <c r="K141" t="s">
        <v>3012</v>
      </c>
      <c r="L141" t="s">
        <v>3013</v>
      </c>
      <c r="M141">
        <v>71</v>
      </c>
      <c r="N141">
        <v>23122.263999999999</v>
      </c>
      <c r="O141" t="s">
        <v>170</v>
      </c>
      <c r="P141">
        <v>19</v>
      </c>
      <c r="Q141">
        <v>9</v>
      </c>
      <c r="R141">
        <v>19</v>
      </c>
      <c r="S141">
        <v>18463062</v>
      </c>
      <c r="T141">
        <v>73</v>
      </c>
      <c r="U141">
        <v>178</v>
      </c>
      <c r="V141">
        <v>23122.264003256802</v>
      </c>
      <c r="W141">
        <v>18463061.7979086</v>
      </c>
      <c r="X141">
        <v>526605.58900000004</v>
      </c>
      <c r="Y141">
        <f>VLOOKUP(AB141,'2000 Seattle Tracts'!$C$2:$Z$374,24,FALSE)</f>
        <v>1717922.3259999999</v>
      </c>
      <c r="Z141">
        <f t="shared" si="4"/>
        <v>0.30653632066482617</v>
      </c>
      <c r="AA141" t="s">
        <v>169</v>
      </c>
      <c r="AB141" t="str">
        <f t="shared" si="5"/>
        <v>Census Tract 105, King County, Washington</v>
      </c>
      <c r="AC141" s="3">
        <f>VLOOKUP($AB141,'2000 Seattle Tracts'!$C$2:$Y$374,AC$1,FALSE)*$Z141</f>
        <v>1680.1255735639122</v>
      </c>
      <c r="AD141" s="3">
        <f>VLOOKUP($AB141,'2000 Seattle Tracts'!$C$2:$Y$374,AD$1,FALSE)*$Z141</f>
        <v>1508.1586976709448</v>
      </c>
      <c r="AE141" s="3">
        <f>VLOOKUP($AB141,'2000 Seattle Tracts'!$C$2:$Y$374,AE$1,FALSE)*$Z141</f>
        <v>171.96687589296749</v>
      </c>
      <c r="AF141" s="3">
        <f>VLOOKUP($AB141,'2000 Seattle Tracts'!$C$2:$Y$374,AF$1,FALSE)*$Z141</f>
        <v>1680.1255735639122</v>
      </c>
      <c r="AG141" s="3">
        <f>VLOOKUP($AB141,'2000 Seattle Tracts'!$C$2:$Y$374,AG$1,FALSE)*$Z141</f>
        <v>1508.1586976709448</v>
      </c>
      <c r="AH141" s="3">
        <f>VLOOKUP($AB141,'2000 Seattle Tracts'!$C$2:$Y$374,AH$1,FALSE)*$Z141</f>
        <v>171.96687589296749</v>
      </c>
      <c r="AI141" s="3">
        <f>VLOOKUP($AB141,'2000 Seattle Tracts'!$C$2:$Y$374,AI$1,FALSE)*$Z141</f>
        <v>1330.0610953646808</v>
      </c>
      <c r="AJ141" s="3">
        <f>VLOOKUP($AB141,'2000 Seattle Tracts'!$C$2:$Y$374,AJ$1,FALSE)*$Z141</f>
        <v>69.890281111580364</v>
      </c>
      <c r="AK141" s="3">
        <f>VLOOKUP($AB141,'2000 Seattle Tracts'!$C$2:$Y$374,AK$1,FALSE)*$Z141</f>
        <v>19.005251881219223</v>
      </c>
      <c r="AL141" s="3">
        <f>VLOOKUP($AB141,'2000 Seattle Tracts'!$C$2:$Y$374,AL$1,FALSE)*$Z141</f>
        <v>3.3718995273130878</v>
      </c>
      <c r="AM141" s="3">
        <f>VLOOKUP($AB141,'2000 Seattle Tracts'!$C$2:$Y$374,AM$1,FALSE)*$Z141</f>
        <v>34.638604235125356</v>
      </c>
      <c r="AN141" s="3">
        <f>VLOOKUP($AB141,'2000 Seattle Tracts'!$C$2:$Y$374,AN$1,FALSE)*$Z141</f>
        <v>10.422234902604089</v>
      </c>
      <c r="AO141" s="3">
        <f>VLOOKUP($AB141,'2000 Seattle Tracts'!$C$2:$Y$374,AO$1,FALSE)*$Z141</f>
        <v>11.648380185263395</v>
      </c>
      <c r="AP141" s="3">
        <f>VLOOKUP($AB141,'2000 Seattle Tracts'!$C$2:$Y$374,AP$1,FALSE)*$Z141</f>
        <v>0</v>
      </c>
      <c r="AQ141" s="3">
        <f>VLOOKUP($AB141,'2000 Seattle Tracts'!$C$2:$Y$374,AQ$1,FALSE)*$Z141</f>
        <v>22.070615087867484</v>
      </c>
      <c r="AR141" s="3">
        <f>VLOOKUP($AB141,'2000 Seattle Tracts'!$C$2:$Y$374,AR$1,FALSE)*$Z141</f>
        <v>56.096146681663186</v>
      </c>
      <c r="AS141" s="3">
        <f>VLOOKUP($AB141,'2000 Seattle Tracts'!$C$2:$Y$374,AS$1,FALSE)*$Z141</f>
        <v>4.598044809972393</v>
      </c>
      <c r="AT141" s="3">
        <f>VLOOKUP($AB141,'2000 Seattle Tracts'!$C$2:$Y$374,AT$1,FALSE)*$Z141</f>
        <v>0</v>
      </c>
      <c r="AU141" s="3">
        <f>VLOOKUP($AB141,'2000 Seattle Tracts'!$C$2:$Y$374,AU$1,FALSE)*$Z141</f>
        <v>30.040559425152964</v>
      </c>
      <c r="AV141" s="3">
        <f>VLOOKUP($AB141,'2000 Seattle Tracts'!$C$2:$Y$374,AV$1,FALSE)*$Z141</f>
        <v>24.216369332521268</v>
      </c>
      <c r="AW141" s="3">
        <f>VLOOKUP($AB141,'2000 Seattle Tracts'!$C$2:$Y$374,AW$1,FALSE)*$Z141</f>
        <v>56.096146681663186</v>
      </c>
      <c r="AX141" s="3">
        <f>VLOOKUP($AB141,'2000 Seattle Tracts'!$C$2:$Y$374,AX$1,FALSE)*$Z141</f>
        <v>7.9699443372854804</v>
      </c>
    </row>
    <row r="142" spans="1:50" x14ac:dyDescent="0.25">
      <c r="A142" t="s">
        <v>2917</v>
      </c>
      <c r="B142" t="s">
        <v>2918</v>
      </c>
      <c r="C142" t="s">
        <v>3011</v>
      </c>
      <c r="D142" t="s">
        <v>2863</v>
      </c>
      <c r="E142" t="s">
        <v>2864</v>
      </c>
      <c r="F142" t="s">
        <v>2865</v>
      </c>
      <c r="G142" t="s">
        <v>2920</v>
      </c>
      <c r="H142" t="s">
        <v>2921</v>
      </c>
      <c r="I142">
        <v>1717929</v>
      </c>
      <c r="J142">
        <v>0</v>
      </c>
      <c r="K142" t="s">
        <v>3012</v>
      </c>
      <c r="L142" t="s">
        <v>3013</v>
      </c>
      <c r="M142">
        <v>74</v>
      </c>
      <c r="N142">
        <v>45568.137000000002</v>
      </c>
      <c r="O142" t="s">
        <v>170</v>
      </c>
      <c r="P142">
        <v>19</v>
      </c>
      <c r="Q142">
        <v>9</v>
      </c>
      <c r="R142">
        <v>81</v>
      </c>
      <c r="S142">
        <v>24583470</v>
      </c>
      <c r="T142">
        <v>76</v>
      </c>
      <c r="U142">
        <v>168</v>
      </c>
      <c r="V142">
        <v>45568.137853690583</v>
      </c>
      <c r="W142">
        <v>24583469.184015442</v>
      </c>
      <c r="X142">
        <v>3.3439999999999999</v>
      </c>
      <c r="Y142">
        <f>VLOOKUP(AB142,'2000 Seattle Tracts'!$C$2:$Z$374,24,FALSE)</f>
        <v>1717922.3259999999</v>
      </c>
      <c r="Z142">
        <f t="shared" si="4"/>
        <v>1.9465373663232783E-6</v>
      </c>
      <c r="AA142" t="s">
        <v>173</v>
      </c>
      <c r="AB142" t="str">
        <f t="shared" si="5"/>
        <v>Census Tract 105, King County, Washington</v>
      </c>
      <c r="AC142" s="3">
        <f>VLOOKUP($AB142,'2000 Seattle Tracts'!$C$2:$Y$374,AC$1,FALSE)*$Z142</f>
        <v>1.0668971304817889E-2</v>
      </c>
      <c r="AD142" s="3">
        <f>VLOOKUP($AB142,'2000 Seattle Tracts'!$C$2:$Y$374,AD$1,FALSE)*$Z142</f>
        <v>9.5769638423105295E-3</v>
      </c>
      <c r="AE142" s="3">
        <f>VLOOKUP($AB142,'2000 Seattle Tracts'!$C$2:$Y$374,AE$1,FALSE)*$Z142</f>
        <v>1.0920074625073591E-3</v>
      </c>
      <c r="AF142" s="3">
        <f>VLOOKUP($AB142,'2000 Seattle Tracts'!$C$2:$Y$374,AF$1,FALSE)*$Z142</f>
        <v>1.0668971304817889E-2</v>
      </c>
      <c r="AG142" s="3">
        <f>VLOOKUP($AB142,'2000 Seattle Tracts'!$C$2:$Y$374,AG$1,FALSE)*$Z142</f>
        <v>9.5769638423105295E-3</v>
      </c>
      <c r="AH142" s="3">
        <f>VLOOKUP($AB142,'2000 Seattle Tracts'!$C$2:$Y$374,AH$1,FALSE)*$Z142</f>
        <v>1.0920074625073591E-3</v>
      </c>
      <c r="AI142" s="3">
        <f>VLOOKUP($AB142,'2000 Seattle Tracts'!$C$2:$Y$374,AI$1,FALSE)*$Z142</f>
        <v>8.4460256324767041E-3</v>
      </c>
      <c r="AJ142" s="3">
        <f>VLOOKUP($AB142,'2000 Seattle Tracts'!$C$2:$Y$374,AJ$1,FALSE)*$Z142</f>
        <v>4.4381051952170744E-4</v>
      </c>
      <c r="AK142" s="3">
        <f>VLOOKUP($AB142,'2000 Seattle Tracts'!$C$2:$Y$374,AK$1,FALSE)*$Z142</f>
        <v>1.2068531671204326E-4</v>
      </c>
      <c r="AL142" s="3">
        <f>VLOOKUP($AB142,'2000 Seattle Tracts'!$C$2:$Y$374,AL$1,FALSE)*$Z142</f>
        <v>2.141191102955606E-5</v>
      </c>
      <c r="AM142" s="3">
        <f>VLOOKUP($AB142,'2000 Seattle Tracts'!$C$2:$Y$374,AM$1,FALSE)*$Z142</f>
        <v>2.1995872239453045E-4</v>
      </c>
      <c r="AN142" s="3">
        <f>VLOOKUP($AB142,'2000 Seattle Tracts'!$C$2:$Y$374,AN$1,FALSE)*$Z142</f>
        <v>6.6182270454991462E-5</v>
      </c>
      <c r="AO142" s="3">
        <f>VLOOKUP($AB142,'2000 Seattle Tracts'!$C$2:$Y$374,AO$1,FALSE)*$Z142</f>
        <v>7.3968419920284573E-5</v>
      </c>
      <c r="AP142" s="3">
        <f>VLOOKUP($AB142,'2000 Seattle Tracts'!$C$2:$Y$374,AP$1,FALSE)*$Z142</f>
        <v>0</v>
      </c>
      <c r="AQ142" s="3">
        <f>VLOOKUP($AB142,'2000 Seattle Tracts'!$C$2:$Y$374,AQ$1,FALSE)*$Z142</f>
        <v>1.4015069037527604E-4</v>
      </c>
      <c r="AR142" s="3">
        <f>VLOOKUP($AB142,'2000 Seattle Tracts'!$C$2:$Y$374,AR$1,FALSE)*$Z142</f>
        <v>3.5621633803715992E-4</v>
      </c>
      <c r="AS142" s="3">
        <f>VLOOKUP($AB142,'2000 Seattle Tracts'!$C$2:$Y$374,AS$1,FALSE)*$Z142</f>
        <v>2.9198060494849175E-5</v>
      </c>
      <c r="AT142" s="3">
        <f>VLOOKUP($AB142,'2000 Seattle Tracts'!$C$2:$Y$374,AT$1,FALSE)*$Z142</f>
        <v>0</v>
      </c>
      <c r="AU142" s="3">
        <f>VLOOKUP($AB142,'2000 Seattle Tracts'!$C$2:$Y$374,AU$1,FALSE)*$Z142</f>
        <v>1.9076066189968127E-4</v>
      </c>
      <c r="AV142" s="3">
        <f>VLOOKUP($AB142,'2000 Seattle Tracts'!$C$2:$Y$374,AV$1,FALSE)*$Z142</f>
        <v>1.5377645193953899E-4</v>
      </c>
      <c r="AW142" s="3">
        <f>VLOOKUP($AB142,'2000 Seattle Tracts'!$C$2:$Y$374,AW$1,FALSE)*$Z142</f>
        <v>3.5621633803715992E-4</v>
      </c>
      <c r="AX142" s="3">
        <f>VLOOKUP($AB142,'2000 Seattle Tracts'!$C$2:$Y$374,AX$1,FALSE)*$Z142</f>
        <v>5.0609971524405239E-5</v>
      </c>
    </row>
    <row r="143" spans="1:50" x14ac:dyDescent="0.25">
      <c r="A143" t="s">
        <v>2917</v>
      </c>
      <c r="B143" t="s">
        <v>2918</v>
      </c>
      <c r="C143" t="s">
        <v>3011</v>
      </c>
      <c r="D143" t="s">
        <v>2863</v>
      </c>
      <c r="E143" t="s">
        <v>2864</v>
      </c>
      <c r="F143" t="s">
        <v>2865</v>
      </c>
      <c r="G143" t="s">
        <v>2920</v>
      </c>
      <c r="H143" t="s">
        <v>2921</v>
      </c>
      <c r="I143">
        <v>1717929</v>
      </c>
      <c r="J143">
        <v>0</v>
      </c>
      <c r="K143" t="s">
        <v>3012</v>
      </c>
      <c r="L143" t="s">
        <v>3013</v>
      </c>
      <c r="M143">
        <v>76</v>
      </c>
      <c r="N143">
        <v>24955.713</v>
      </c>
      <c r="O143" t="s">
        <v>170</v>
      </c>
      <c r="P143">
        <v>19</v>
      </c>
      <c r="Q143">
        <v>9</v>
      </c>
      <c r="R143">
        <v>9</v>
      </c>
      <c r="S143">
        <v>16153900</v>
      </c>
      <c r="T143">
        <v>78</v>
      </c>
      <c r="U143">
        <v>176</v>
      </c>
      <c r="V143">
        <v>24955.712841425851</v>
      </c>
      <c r="W143">
        <v>16153900.097700959</v>
      </c>
      <c r="X143">
        <v>812750.83799999999</v>
      </c>
      <c r="Y143">
        <f>VLOOKUP(AB143,'2000 Seattle Tracts'!$C$2:$Z$374,24,FALSE)</f>
        <v>1717922.3259999999</v>
      </c>
      <c r="Z143">
        <f t="shared" si="4"/>
        <v>0.47310103937725995</v>
      </c>
      <c r="AA143" t="s">
        <v>175</v>
      </c>
      <c r="AB143" t="str">
        <f t="shared" si="5"/>
        <v>Census Tract 105, King County, Washington</v>
      </c>
      <c r="AC143" s="3">
        <f>VLOOKUP($AB143,'2000 Seattle Tracts'!$C$2:$Y$374,AC$1,FALSE)*$Z143</f>
        <v>2593.0667968267617</v>
      </c>
      <c r="AD143" s="3">
        <f>VLOOKUP($AB143,'2000 Seattle Tracts'!$C$2:$Y$374,AD$1,FALSE)*$Z143</f>
        <v>2327.6571137361188</v>
      </c>
      <c r="AE143" s="3">
        <f>VLOOKUP($AB143,'2000 Seattle Tracts'!$C$2:$Y$374,AE$1,FALSE)*$Z143</f>
        <v>265.40968309064283</v>
      </c>
      <c r="AF143" s="3">
        <f>VLOOKUP($AB143,'2000 Seattle Tracts'!$C$2:$Y$374,AF$1,FALSE)*$Z143</f>
        <v>2593.0667968267617</v>
      </c>
      <c r="AG143" s="3">
        <f>VLOOKUP($AB143,'2000 Seattle Tracts'!$C$2:$Y$374,AG$1,FALSE)*$Z143</f>
        <v>2327.6571137361188</v>
      </c>
      <c r="AH143" s="3">
        <f>VLOOKUP($AB143,'2000 Seattle Tracts'!$C$2:$Y$374,AH$1,FALSE)*$Z143</f>
        <v>265.40968309064283</v>
      </c>
      <c r="AI143" s="3">
        <f>VLOOKUP($AB143,'2000 Seattle Tracts'!$C$2:$Y$374,AI$1,FALSE)*$Z143</f>
        <v>2052.785409857931</v>
      </c>
      <c r="AJ143" s="3">
        <f>VLOOKUP($AB143,'2000 Seattle Tracts'!$C$2:$Y$374,AJ$1,FALSE)*$Z143</f>
        <v>107.86703697801526</v>
      </c>
      <c r="AK143" s="3">
        <f>VLOOKUP($AB143,'2000 Seattle Tracts'!$C$2:$Y$374,AK$1,FALSE)*$Z143</f>
        <v>29.332264441390116</v>
      </c>
      <c r="AL143" s="3">
        <f>VLOOKUP($AB143,'2000 Seattle Tracts'!$C$2:$Y$374,AL$1,FALSE)*$Z143</f>
        <v>5.2041114331498592</v>
      </c>
      <c r="AM143" s="3">
        <f>VLOOKUP($AB143,'2000 Seattle Tracts'!$C$2:$Y$374,AM$1,FALSE)*$Z143</f>
        <v>53.460417449630377</v>
      </c>
      <c r="AN143" s="3">
        <f>VLOOKUP($AB143,'2000 Seattle Tracts'!$C$2:$Y$374,AN$1,FALSE)*$Z143</f>
        <v>16.085435338826837</v>
      </c>
      <c r="AO143" s="3">
        <f>VLOOKUP($AB143,'2000 Seattle Tracts'!$C$2:$Y$374,AO$1,FALSE)*$Z143</f>
        <v>17.977839496335879</v>
      </c>
      <c r="AP143" s="3">
        <f>VLOOKUP($AB143,'2000 Seattle Tracts'!$C$2:$Y$374,AP$1,FALSE)*$Z143</f>
        <v>0</v>
      </c>
      <c r="AQ143" s="3">
        <f>VLOOKUP($AB143,'2000 Seattle Tracts'!$C$2:$Y$374,AQ$1,FALSE)*$Z143</f>
        <v>34.063274835162716</v>
      </c>
      <c r="AR143" s="3">
        <f>VLOOKUP($AB143,'2000 Seattle Tracts'!$C$2:$Y$374,AR$1,FALSE)*$Z143</f>
        <v>86.577490206038576</v>
      </c>
      <c r="AS143" s="3">
        <f>VLOOKUP($AB143,'2000 Seattle Tracts'!$C$2:$Y$374,AS$1,FALSE)*$Z143</f>
        <v>7.0965155906588988</v>
      </c>
      <c r="AT143" s="3">
        <f>VLOOKUP($AB143,'2000 Seattle Tracts'!$C$2:$Y$374,AT$1,FALSE)*$Z143</f>
        <v>0</v>
      </c>
      <c r="AU143" s="3">
        <f>VLOOKUP($AB143,'2000 Seattle Tracts'!$C$2:$Y$374,AU$1,FALSE)*$Z143</f>
        <v>46.363901858971474</v>
      </c>
      <c r="AV143" s="3">
        <f>VLOOKUP($AB143,'2000 Seattle Tracts'!$C$2:$Y$374,AV$1,FALSE)*$Z143</f>
        <v>37.374982110803536</v>
      </c>
      <c r="AW143" s="3">
        <f>VLOOKUP($AB143,'2000 Seattle Tracts'!$C$2:$Y$374,AW$1,FALSE)*$Z143</f>
        <v>86.577490206038576</v>
      </c>
      <c r="AX143" s="3">
        <f>VLOOKUP($AB143,'2000 Seattle Tracts'!$C$2:$Y$374,AX$1,FALSE)*$Z143</f>
        <v>12.300627023808758</v>
      </c>
    </row>
    <row r="144" spans="1:50" x14ac:dyDescent="0.25">
      <c r="A144" t="s">
        <v>2917</v>
      </c>
      <c r="B144" t="s">
        <v>2918</v>
      </c>
      <c r="C144" t="s">
        <v>3011</v>
      </c>
      <c r="D144" t="s">
        <v>2863</v>
      </c>
      <c r="E144" t="s">
        <v>2864</v>
      </c>
      <c r="F144" t="s">
        <v>2865</v>
      </c>
      <c r="G144" t="s">
        <v>2920</v>
      </c>
      <c r="H144" t="s">
        <v>2921</v>
      </c>
      <c r="I144">
        <v>1717929</v>
      </c>
      <c r="J144">
        <v>0</v>
      </c>
      <c r="K144" t="s">
        <v>3012</v>
      </c>
      <c r="L144" t="s">
        <v>3013</v>
      </c>
      <c r="M144">
        <v>77</v>
      </c>
      <c r="N144">
        <v>19870.868999999999</v>
      </c>
      <c r="O144" t="s">
        <v>170</v>
      </c>
      <c r="P144">
        <v>19</v>
      </c>
      <c r="Q144">
        <v>9</v>
      </c>
      <c r="R144">
        <v>95</v>
      </c>
      <c r="S144">
        <v>21164976</v>
      </c>
      <c r="T144">
        <v>79</v>
      </c>
      <c r="U144">
        <v>175</v>
      </c>
      <c r="V144">
        <v>19870.86960892408</v>
      </c>
      <c r="W144">
        <v>21164976.581290629</v>
      </c>
      <c r="X144">
        <v>376519.19799999997</v>
      </c>
      <c r="Y144">
        <f>VLOOKUP(AB144,'2000 Seattle Tracts'!$C$2:$Z$374,24,FALSE)</f>
        <v>1717922.3259999999</v>
      </c>
      <c r="Z144">
        <f t="shared" si="4"/>
        <v>0.21917125838668447</v>
      </c>
      <c r="AA144" t="s">
        <v>176</v>
      </c>
      <c r="AB144" t="str">
        <f t="shared" si="5"/>
        <v>Census Tract 105, King County, Washington</v>
      </c>
      <c r="AC144" s="3">
        <f>VLOOKUP($AB144,'2000 Seattle Tracts'!$C$2:$Y$374,AC$1,FALSE)*$Z144</f>
        <v>1201.2776672174175</v>
      </c>
      <c r="AD144" s="3">
        <f>VLOOKUP($AB144,'2000 Seattle Tracts'!$C$2:$Y$374,AD$1,FALSE)*$Z144</f>
        <v>1078.3225912624875</v>
      </c>
      <c r="AE144" s="3">
        <f>VLOOKUP($AB144,'2000 Seattle Tracts'!$C$2:$Y$374,AE$1,FALSE)*$Z144</f>
        <v>122.95507595492998</v>
      </c>
      <c r="AF144" s="3">
        <f>VLOOKUP($AB144,'2000 Seattle Tracts'!$C$2:$Y$374,AF$1,FALSE)*$Z144</f>
        <v>1201.2776672174175</v>
      </c>
      <c r="AG144" s="3">
        <f>VLOOKUP($AB144,'2000 Seattle Tracts'!$C$2:$Y$374,AG$1,FALSE)*$Z144</f>
        <v>1078.3225912624875</v>
      </c>
      <c r="AH144" s="3">
        <f>VLOOKUP($AB144,'2000 Seattle Tracts'!$C$2:$Y$374,AH$1,FALSE)*$Z144</f>
        <v>122.95507595492998</v>
      </c>
      <c r="AI144" s="3">
        <f>VLOOKUP($AB144,'2000 Seattle Tracts'!$C$2:$Y$374,AI$1,FALSE)*$Z144</f>
        <v>950.98409013982393</v>
      </c>
      <c r="AJ144" s="3">
        <f>VLOOKUP($AB144,'2000 Seattle Tracts'!$C$2:$Y$374,AJ$1,FALSE)*$Z144</f>
        <v>49.971046912164056</v>
      </c>
      <c r="AK144" s="3">
        <f>VLOOKUP($AB144,'2000 Seattle Tracts'!$C$2:$Y$374,AK$1,FALSE)*$Z144</f>
        <v>13.588618019974437</v>
      </c>
      <c r="AL144" s="3">
        <f>VLOOKUP($AB144,'2000 Seattle Tracts'!$C$2:$Y$374,AL$1,FALSE)*$Z144</f>
        <v>2.4108838422535293</v>
      </c>
      <c r="AM144" s="3">
        <f>VLOOKUP($AB144,'2000 Seattle Tracts'!$C$2:$Y$374,AM$1,FALSE)*$Z144</f>
        <v>24.766352197695344</v>
      </c>
      <c r="AN144" s="3">
        <f>VLOOKUP($AB144,'2000 Seattle Tracts'!$C$2:$Y$374,AN$1,FALSE)*$Z144</f>
        <v>7.4518227851472716</v>
      </c>
      <c r="AO144" s="3">
        <f>VLOOKUP($AB144,'2000 Seattle Tracts'!$C$2:$Y$374,AO$1,FALSE)*$Z144</f>
        <v>8.3285078186940105</v>
      </c>
      <c r="AP144" s="3">
        <f>VLOOKUP($AB144,'2000 Seattle Tracts'!$C$2:$Y$374,AP$1,FALSE)*$Z144</f>
        <v>0</v>
      </c>
      <c r="AQ144" s="3">
        <f>VLOOKUP($AB144,'2000 Seattle Tracts'!$C$2:$Y$374,AQ$1,FALSE)*$Z144</f>
        <v>15.780330603841282</v>
      </c>
      <c r="AR144" s="3">
        <f>VLOOKUP($AB144,'2000 Seattle Tracts'!$C$2:$Y$374,AR$1,FALSE)*$Z144</f>
        <v>40.108340284763258</v>
      </c>
      <c r="AS144" s="3">
        <f>VLOOKUP($AB144,'2000 Seattle Tracts'!$C$2:$Y$374,AS$1,FALSE)*$Z144</f>
        <v>3.2875688758002672</v>
      </c>
      <c r="AT144" s="3">
        <f>VLOOKUP($AB144,'2000 Seattle Tracts'!$C$2:$Y$374,AT$1,FALSE)*$Z144</f>
        <v>0</v>
      </c>
      <c r="AU144" s="3">
        <f>VLOOKUP($AB144,'2000 Seattle Tracts'!$C$2:$Y$374,AU$1,FALSE)*$Z144</f>
        <v>21.478783321895079</v>
      </c>
      <c r="AV144" s="3">
        <f>VLOOKUP($AB144,'2000 Seattle Tracts'!$C$2:$Y$374,AV$1,FALSE)*$Z144</f>
        <v>17.314529412548072</v>
      </c>
      <c r="AW144" s="3">
        <f>VLOOKUP($AB144,'2000 Seattle Tracts'!$C$2:$Y$374,AW$1,FALSE)*$Z144</f>
        <v>40.108340284763258</v>
      </c>
      <c r="AX144" s="3">
        <f>VLOOKUP($AB144,'2000 Seattle Tracts'!$C$2:$Y$374,AX$1,FALSE)*$Z144</f>
        <v>5.6984527180537965</v>
      </c>
    </row>
    <row r="145" spans="1:50" x14ac:dyDescent="0.25">
      <c r="A145" t="s">
        <v>2917</v>
      </c>
      <c r="B145" t="s">
        <v>2918</v>
      </c>
      <c r="C145" t="s">
        <v>3011</v>
      </c>
      <c r="D145" t="s">
        <v>2863</v>
      </c>
      <c r="E145" t="s">
        <v>2864</v>
      </c>
      <c r="F145" t="s">
        <v>2865</v>
      </c>
      <c r="G145" t="s">
        <v>2920</v>
      </c>
      <c r="H145" t="s">
        <v>2921</v>
      </c>
      <c r="I145">
        <v>1717929</v>
      </c>
      <c r="J145">
        <v>0</v>
      </c>
      <c r="K145" t="s">
        <v>3012</v>
      </c>
      <c r="L145" t="s">
        <v>3013</v>
      </c>
      <c r="M145">
        <v>90</v>
      </c>
      <c r="N145">
        <v>23549.932000000001</v>
      </c>
      <c r="O145" t="s">
        <v>191</v>
      </c>
      <c r="P145">
        <v>20</v>
      </c>
      <c r="Q145">
        <v>10</v>
      </c>
      <c r="R145">
        <v>23</v>
      </c>
      <c r="S145">
        <v>29454656</v>
      </c>
      <c r="T145">
        <v>92</v>
      </c>
      <c r="U145">
        <v>174</v>
      </c>
      <c r="V145">
        <v>23549.93136663039</v>
      </c>
      <c r="W145">
        <v>29454656.567178611</v>
      </c>
      <c r="X145">
        <v>1797.259</v>
      </c>
      <c r="Y145">
        <f>VLOOKUP(AB145,'2000 Seattle Tracts'!$C$2:$Z$374,24,FALSE)</f>
        <v>1717922.3259999999</v>
      </c>
      <c r="Z145">
        <f t="shared" si="4"/>
        <v>1.0461817585110075E-3</v>
      </c>
      <c r="AA145" t="s">
        <v>192</v>
      </c>
      <c r="AB145" t="str">
        <f t="shared" si="5"/>
        <v>Census Tract 105, King County, Washington</v>
      </c>
      <c r="AC145" s="3">
        <f>VLOOKUP($AB145,'2000 Seattle Tracts'!$C$2:$Y$374,AC$1,FALSE)*$Z145</f>
        <v>5.7341222183988316</v>
      </c>
      <c r="AD145" s="3">
        <f>VLOOKUP($AB145,'2000 Seattle Tracts'!$C$2:$Y$374,AD$1,FALSE)*$Z145</f>
        <v>5.147214251874157</v>
      </c>
      <c r="AE145" s="3">
        <f>VLOOKUP($AB145,'2000 Seattle Tracts'!$C$2:$Y$374,AE$1,FALSE)*$Z145</f>
        <v>0.58690796652467514</v>
      </c>
      <c r="AF145" s="3">
        <f>VLOOKUP($AB145,'2000 Seattle Tracts'!$C$2:$Y$374,AF$1,FALSE)*$Z145</f>
        <v>5.7341222183988316</v>
      </c>
      <c r="AG145" s="3">
        <f>VLOOKUP($AB145,'2000 Seattle Tracts'!$C$2:$Y$374,AG$1,FALSE)*$Z145</f>
        <v>5.147214251874157</v>
      </c>
      <c r="AH145" s="3">
        <f>VLOOKUP($AB145,'2000 Seattle Tracts'!$C$2:$Y$374,AH$1,FALSE)*$Z145</f>
        <v>0.58690796652467514</v>
      </c>
      <c r="AI145" s="3">
        <f>VLOOKUP($AB145,'2000 Seattle Tracts'!$C$2:$Y$374,AI$1,FALSE)*$Z145</f>
        <v>4.5393826501792613</v>
      </c>
      <c r="AJ145" s="3">
        <f>VLOOKUP($AB145,'2000 Seattle Tracts'!$C$2:$Y$374,AJ$1,FALSE)*$Z145</f>
        <v>0.23852944094050971</v>
      </c>
      <c r="AK145" s="3">
        <f>VLOOKUP($AB145,'2000 Seattle Tracts'!$C$2:$Y$374,AK$1,FALSE)*$Z145</f>
        <v>6.4863269027682469E-2</v>
      </c>
      <c r="AL145" s="3">
        <f>VLOOKUP($AB145,'2000 Seattle Tracts'!$C$2:$Y$374,AL$1,FALSE)*$Z145</f>
        <v>1.1507999343621083E-2</v>
      </c>
      <c r="AM145" s="3">
        <f>VLOOKUP($AB145,'2000 Seattle Tracts'!$C$2:$Y$374,AM$1,FALSE)*$Z145</f>
        <v>0.11821853871174384</v>
      </c>
      <c r="AN145" s="3">
        <f>VLOOKUP($AB145,'2000 Seattle Tracts'!$C$2:$Y$374,AN$1,FALSE)*$Z145</f>
        <v>3.5570179789374254E-2</v>
      </c>
      <c r="AO145" s="3">
        <f>VLOOKUP($AB145,'2000 Seattle Tracts'!$C$2:$Y$374,AO$1,FALSE)*$Z145</f>
        <v>3.9754906823418285E-2</v>
      </c>
      <c r="AP145" s="3">
        <f>VLOOKUP($AB145,'2000 Seattle Tracts'!$C$2:$Y$374,AP$1,FALSE)*$Z145</f>
        <v>0</v>
      </c>
      <c r="AQ145" s="3">
        <f>VLOOKUP($AB145,'2000 Seattle Tracts'!$C$2:$Y$374,AQ$1,FALSE)*$Z145</f>
        <v>7.5325086612792538E-2</v>
      </c>
      <c r="AR145" s="3">
        <f>VLOOKUP($AB145,'2000 Seattle Tracts'!$C$2:$Y$374,AR$1,FALSE)*$Z145</f>
        <v>0.19145126180751437</v>
      </c>
      <c r="AS145" s="3">
        <f>VLOOKUP($AB145,'2000 Seattle Tracts'!$C$2:$Y$374,AS$1,FALSE)*$Z145</f>
        <v>1.5692726377665112E-2</v>
      </c>
      <c r="AT145" s="3">
        <f>VLOOKUP($AB145,'2000 Seattle Tracts'!$C$2:$Y$374,AT$1,FALSE)*$Z145</f>
        <v>0</v>
      </c>
      <c r="AU145" s="3">
        <f>VLOOKUP($AB145,'2000 Seattle Tracts'!$C$2:$Y$374,AU$1,FALSE)*$Z145</f>
        <v>0.10252581233407873</v>
      </c>
      <c r="AV145" s="3">
        <f>VLOOKUP($AB145,'2000 Seattle Tracts'!$C$2:$Y$374,AV$1,FALSE)*$Z145</f>
        <v>8.2648358922369589E-2</v>
      </c>
      <c r="AW145" s="3">
        <f>VLOOKUP($AB145,'2000 Seattle Tracts'!$C$2:$Y$374,AW$1,FALSE)*$Z145</f>
        <v>0.19145126180751437</v>
      </c>
      <c r="AX145" s="3">
        <f>VLOOKUP($AB145,'2000 Seattle Tracts'!$C$2:$Y$374,AX$1,FALSE)*$Z145</f>
        <v>2.7200725721286192E-2</v>
      </c>
    </row>
    <row r="146" spans="1:50" x14ac:dyDescent="0.25">
      <c r="A146" t="s">
        <v>2917</v>
      </c>
      <c r="B146" t="s">
        <v>2918</v>
      </c>
      <c r="C146" t="s">
        <v>3011</v>
      </c>
      <c r="D146" t="s">
        <v>2863</v>
      </c>
      <c r="E146" t="s">
        <v>2864</v>
      </c>
      <c r="F146" t="s">
        <v>2865</v>
      </c>
      <c r="G146" t="s">
        <v>2920</v>
      </c>
      <c r="H146" t="s">
        <v>2921</v>
      </c>
      <c r="I146">
        <v>1717929</v>
      </c>
      <c r="J146">
        <v>0</v>
      </c>
      <c r="K146" t="s">
        <v>3012</v>
      </c>
      <c r="L146" t="s">
        <v>3013</v>
      </c>
      <c r="M146">
        <v>92</v>
      </c>
      <c r="N146">
        <v>23180.396000000001</v>
      </c>
      <c r="O146" t="s">
        <v>191</v>
      </c>
      <c r="P146">
        <v>20</v>
      </c>
      <c r="Q146">
        <v>10</v>
      </c>
      <c r="R146">
        <v>95</v>
      </c>
      <c r="S146">
        <v>23343008</v>
      </c>
      <c r="T146">
        <v>94</v>
      </c>
      <c r="U146">
        <v>182</v>
      </c>
      <c r="V146">
        <v>23180.396359671431</v>
      </c>
      <c r="W146">
        <v>23343008.336782061</v>
      </c>
      <c r="X146">
        <v>246.09700000000001</v>
      </c>
      <c r="Y146">
        <f>VLOOKUP(AB146,'2000 Seattle Tracts'!$C$2:$Z$374,24,FALSE)</f>
        <v>1717922.3259999999</v>
      </c>
      <c r="Z146">
        <f t="shared" si="4"/>
        <v>1.4325269325360639E-4</v>
      </c>
      <c r="AA146" t="s">
        <v>194</v>
      </c>
      <c r="AB146" t="str">
        <f t="shared" si="5"/>
        <v>Census Tract 105, King County, Washington</v>
      </c>
      <c r="AC146" s="3">
        <f>VLOOKUP($AB146,'2000 Seattle Tracts'!$C$2:$Y$374,AC$1,FALSE)*$Z146</f>
        <v>0.78516801172301665</v>
      </c>
      <c r="AD146" s="3">
        <f>VLOOKUP($AB146,'2000 Seattle Tracts'!$C$2:$Y$374,AD$1,FALSE)*$Z146</f>
        <v>0.70480325080774342</v>
      </c>
      <c r="AE146" s="3">
        <f>VLOOKUP($AB146,'2000 Seattle Tracts'!$C$2:$Y$374,AE$1,FALSE)*$Z146</f>
        <v>8.0364760915273184E-2</v>
      </c>
      <c r="AF146" s="3">
        <f>VLOOKUP($AB146,'2000 Seattle Tracts'!$C$2:$Y$374,AF$1,FALSE)*$Z146</f>
        <v>0.78516801172301665</v>
      </c>
      <c r="AG146" s="3">
        <f>VLOOKUP($AB146,'2000 Seattle Tracts'!$C$2:$Y$374,AG$1,FALSE)*$Z146</f>
        <v>0.70480325080774342</v>
      </c>
      <c r="AH146" s="3">
        <f>VLOOKUP($AB146,'2000 Seattle Tracts'!$C$2:$Y$374,AH$1,FALSE)*$Z146</f>
        <v>8.0364760915273184E-2</v>
      </c>
      <c r="AI146" s="3">
        <f>VLOOKUP($AB146,'2000 Seattle Tracts'!$C$2:$Y$374,AI$1,FALSE)*$Z146</f>
        <v>0.62157343602739812</v>
      </c>
      <c r="AJ146" s="3">
        <f>VLOOKUP($AB146,'2000 Seattle Tracts'!$C$2:$Y$374,AJ$1,FALSE)*$Z146</f>
        <v>3.2661614061822261E-2</v>
      </c>
      <c r="AK146" s="3">
        <f>VLOOKUP($AB146,'2000 Seattle Tracts'!$C$2:$Y$374,AK$1,FALSE)*$Z146</f>
        <v>8.8816669817235964E-3</v>
      </c>
      <c r="AL146" s="3">
        <f>VLOOKUP($AB146,'2000 Seattle Tracts'!$C$2:$Y$374,AL$1,FALSE)*$Z146</f>
        <v>1.5757796257896703E-3</v>
      </c>
      <c r="AM146" s="3">
        <f>VLOOKUP($AB146,'2000 Seattle Tracts'!$C$2:$Y$374,AM$1,FALSE)*$Z146</f>
        <v>1.6187554337657523E-2</v>
      </c>
      <c r="AN146" s="3">
        <f>VLOOKUP($AB146,'2000 Seattle Tracts'!$C$2:$Y$374,AN$1,FALSE)*$Z146</f>
        <v>4.8705915706226174E-3</v>
      </c>
      <c r="AO146" s="3">
        <f>VLOOKUP($AB146,'2000 Seattle Tracts'!$C$2:$Y$374,AO$1,FALSE)*$Z146</f>
        <v>5.4436023436370429E-3</v>
      </c>
      <c r="AP146" s="3">
        <f>VLOOKUP($AB146,'2000 Seattle Tracts'!$C$2:$Y$374,AP$1,FALSE)*$Z146</f>
        <v>0</v>
      </c>
      <c r="AQ146" s="3">
        <f>VLOOKUP($AB146,'2000 Seattle Tracts'!$C$2:$Y$374,AQ$1,FALSE)*$Z146</f>
        <v>1.031419391425966E-2</v>
      </c>
      <c r="AR146" s="3">
        <f>VLOOKUP($AB146,'2000 Seattle Tracts'!$C$2:$Y$374,AR$1,FALSE)*$Z146</f>
        <v>2.6215242865409969E-2</v>
      </c>
      <c r="AS146" s="3">
        <f>VLOOKUP($AB146,'2000 Seattle Tracts'!$C$2:$Y$374,AS$1,FALSE)*$Z146</f>
        <v>2.1487903988040959E-3</v>
      </c>
      <c r="AT146" s="3">
        <f>VLOOKUP($AB146,'2000 Seattle Tracts'!$C$2:$Y$374,AT$1,FALSE)*$Z146</f>
        <v>0</v>
      </c>
      <c r="AU146" s="3">
        <f>VLOOKUP($AB146,'2000 Seattle Tracts'!$C$2:$Y$374,AU$1,FALSE)*$Z146</f>
        <v>1.4038763938853427E-2</v>
      </c>
      <c r="AV146" s="3">
        <f>VLOOKUP($AB146,'2000 Seattle Tracts'!$C$2:$Y$374,AV$1,FALSE)*$Z146</f>
        <v>1.1316962767034904E-2</v>
      </c>
      <c r="AW146" s="3">
        <f>VLOOKUP($AB146,'2000 Seattle Tracts'!$C$2:$Y$374,AW$1,FALSE)*$Z146</f>
        <v>2.6215242865409969E-2</v>
      </c>
      <c r="AX146" s="3">
        <f>VLOOKUP($AB146,'2000 Seattle Tracts'!$C$2:$Y$374,AX$1,FALSE)*$Z146</f>
        <v>3.7245700245937662E-3</v>
      </c>
    </row>
    <row r="147" spans="1:50" x14ac:dyDescent="0.25">
      <c r="A147" t="s">
        <v>2917</v>
      </c>
      <c r="B147" t="s">
        <v>2918</v>
      </c>
      <c r="C147" t="s">
        <v>3409</v>
      </c>
      <c r="D147" t="s">
        <v>3410</v>
      </c>
      <c r="E147" t="s">
        <v>3411</v>
      </c>
      <c r="F147" t="s">
        <v>3412</v>
      </c>
      <c r="G147" t="s">
        <v>2920</v>
      </c>
      <c r="H147" t="s">
        <v>2921</v>
      </c>
      <c r="I147">
        <v>3415758</v>
      </c>
      <c r="J147">
        <v>0</v>
      </c>
      <c r="K147" t="s">
        <v>3413</v>
      </c>
      <c r="L147" t="s">
        <v>3414</v>
      </c>
      <c r="M147">
        <v>67</v>
      </c>
      <c r="N147">
        <v>49792.156000000003</v>
      </c>
      <c r="O147" t="s">
        <v>122</v>
      </c>
      <c r="P147">
        <v>18</v>
      </c>
      <c r="Q147">
        <v>12</v>
      </c>
      <c r="R147">
        <v>23</v>
      </c>
      <c r="S147">
        <v>82845392</v>
      </c>
      <c r="T147">
        <v>69</v>
      </c>
      <c r="U147">
        <v>167</v>
      </c>
      <c r="V147">
        <v>49792.15483538049</v>
      </c>
      <c r="W147">
        <v>82845389.347022861</v>
      </c>
      <c r="X147">
        <v>3854.402</v>
      </c>
      <c r="Y147">
        <f>VLOOKUP(AB147,'2000 Seattle Tracts'!$C$2:$Z$374,24,FALSE)</f>
        <v>3415757.8480000002</v>
      </c>
      <c r="Z147">
        <f t="shared" si="4"/>
        <v>1.1284178128308584E-3</v>
      </c>
      <c r="AA147" t="s">
        <v>165</v>
      </c>
      <c r="AB147" t="str">
        <f t="shared" si="5"/>
        <v>Census Tract 104, King County, Washington</v>
      </c>
      <c r="AC147" s="3">
        <f>VLOOKUP($AB147,'2000 Seattle Tracts'!$C$2:$Y$374,AC$1,FALSE)*$Z147</f>
        <v>10.158017151103389</v>
      </c>
      <c r="AD147" s="3">
        <f>VLOOKUP($AB147,'2000 Seattle Tracts'!$C$2:$Y$374,AD$1,FALSE)*$Z147</f>
        <v>5.5721271597587787</v>
      </c>
      <c r="AE147" s="3">
        <f>VLOOKUP($AB147,'2000 Seattle Tracts'!$C$2:$Y$374,AE$1,FALSE)*$Z147</f>
        <v>4.585889991344609</v>
      </c>
      <c r="AF147" s="3">
        <f>VLOOKUP($AB147,'2000 Seattle Tracts'!$C$2:$Y$374,AF$1,FALSE)*$Z147</f>
        <v>10.158017151103389</v>
      </c>
      <c r="AG147" s="3">
        <f>VLOOKUP($AB147,'2000 Seattle Tracts'!$C$2:$Y$374,AG$1,FALSE)*$Z147</f>
        <v>5.5721271597587787</v>
      </c>
      <c r="AH147" s="3">
        <f>VLOOKUP($AB147,'2000 Seattle Tracts'!$C$2:$Y$374,AH$1,FALSE)*$Z147</f>
        <v>4.585889991344609</v>
      </c>
      <c r="AI147" s="3">
        <f>VLOOKUP($AB147,'2000 Seattle Tracts'!$C$2:$Y$374,AI$1,FALSE)*$Z147</f>
        <v>1.7806433086470945</v>
      </c>
      <c r="AJ147" s="3">
        <f>VLOOKUP($AB147,'2000 Seattle Tracts'!$C$2:$Y$374,AJ$1,FALSE)*$Z147</f>
        <v>6.9961904395513225E-2</v>
      </c>
      <c r="AK147" s="3">
        <f>VLOOKUP($AB147,'2000 Seattle Tracts'!$C$2:$Y$374,AK$1,FALSE)*$Z147</f>
        <v>6.7705068769851502E-3</v>
      </c>
      <c r="AL147" s="3">
        <f>VLOOKUP($AB147,'2000 Seattle Tracts'!$C$2:$Y$374,AL$1,FALSE)*$Z147</f>
        <v>4.5136712513234339E-2</v>
      </c>
      <c r="AM147" s="3">
        <f>VLOOKUP($AB147,'2000 Seattle Tracts'!$C$2:$Y$374,AM$1,FALSE)*$Z147</f>
        <v>1.3574866288355227</v>
      </c>
      <c r="AN147" s="3">
        <f>VLOOKUP($AB147,'2000 Seattle Tracts'!$C$2:$Y$374,AN$1,FALSE)*$Z147</f>
        <v>8.1246082523821803E-2</v>
      </c>
      <c r="AO147" s="3">
        <f>VLOOKUP($AB147,'2000 Seattle Tracts'!$C$2:$Y$374,AO$1,FALSE)*$Z147</f>
        <v>1.8054685005293735E-2</v>
      </c>
      <c r="AP147" s="3">
        <f>VLOOKUP($AB147,'2000 Seattle Tracts'!$C$2:$Y$374,AP$1,FALSE)*$Z147</f>
        <v>0</v>
      </c>
      <c r="AQ147" s="3">
        <f>VLOOKUP($AB147,'2000 Seattle Tracts'!$C$2:$Y$374,AQ$1,FALSE)*$Z147</f>
        <v>1.7230940001927209</v>
      </c>
      <c r="AR147" s="3">
        <f>VLOOKUP($AB147,'2000 Seattle Tracts'!$C$2:$Y$374,AR$1,FALSE)*$Z147</f>
        <v>4.102927167453001</v>
      </c>
      <c r="AS147" s="3">
        <f>VLOOKUP($AB147,'2000 Seattle Tracts'!$C$2:$Y$374,AS$1,FALSE)*$Z147</f>
        <v>0.10945652784459327</v>
      </c>
      <c r="AT147" s="3">
        <f>VLOOKUP($AB147,'2000 Seattle Tracts'!$C$2:$Y$374,AT$1,FALSE)*$Z147</f>
        <v>2.4825191882278885E-2</v>
      </c>
      <c r="AU147" s="3">
        <f>VLOOKUP($AB147,'2000 Seattle Tracts'!$C$2:$Y$374,AU$1,FALSE)*$Z147</f>
        <v>0.15459324035782759</v>
      </c>
      <c r="AV147" s="3">
        <f>VLOOKUP($AB147,'2000 Seattle Tracts'!$C$2:$Y$374,AV$1,FALSE)*$Z147</f>
        <v>0.10381443878043897</v>
      </c>
      <c r="AW147" s="3">
        <f>VLOOKUP($AB147,'2000 Seattle Tracts'!$C$2:$Y$374,AW$1,FALSE)*$Z147</f>
        <v>0.42202826199874105</v>
      </c>
      <c r="AX147" s="3">
        <f>VLOOKUP($AB147,'2000 Seattle Tracts'!$C$2:$Y$374,AX$1,FALSE)*$Z147</f>
        <v>0.15797849379632017</v>
      </c>
    </row>
    <row r="148" spans="1:50" x14ac:dyDescent="0.25">
      <c r="A148" t="s">
        <v>2917</v>
      </c>
      <c r="B148" t="s">
        <v>2918</v>
      </c>
      <c r="C148" t="s">
        <v>3409</v>
      </c>
      <c r="D148" t="s">
        <v>3410</v>
      </c>
      <c r="E148" t="s">
        <v>3411</v>
      </c>
      <c r="F148" t="s">
        <v>3412</v>
      </c>
      <c r="G148" t="s">
        <v>2920</v>
      </c>
      <c r="H148" t="s">
        <v>2921</v>
      </c>
      <c r="I148">
        <v>3415758</v>
      </c>
      <c r="J148">
        <v>0</v>
      </c>
      <c r="K148" t="s">
        <v>3413</v>
      </c>
      <c r="L148" t="s">
        <v>3414</v>
      </c>
      <c r="M148">
        <v>68</v>
      </c>
      <c r="N148">
        <v>45963.663999999997</v>
      </c>
      <c r="O148" t="s">
        <v>122</v>
      </c>
      <c r="P148">
        <v>18</v>
      </c>
      <c r="Q148">
        <v>12</v>
      </c>
      <c r="R148">
        <v>81</v>
      </c>
      <c r="S148">
        <v>51305072</v>
      </c>
      <c r="T148">
        <v>70</v>
      </c>
      <c r="U148">
        <v>177</v>
      </c>
      <c r="V148">
        <v>45963.665676960663</v>
      </c>
      <c r="W148">
        <v>51305072.646258257</v>
      </c>
      <c r="X148">
        <v>1064.548</v>
      </c>
      <c r="Y148">
        <f>VLOOKUP(AB148,'2000 Seattle Tracts'!$C$2:$Z$374,24,FALSE)</f>
        <v>3415757.8480000002</v>
      </c>
      <c r="Z148">
        <f t="shared" si="4"/>
        <v>3.1165792406019524E-4</v>
      </c>
      <c r="AA148" t="s">
        <v>166</v>
      </c>
      <c r="AB148" t="str">
        <f t="shared" si="5"/>
        <v>Census Tract 104, King County, Washington</v>
      </c>
      <c r="AC148" s="3">
        <f>VLOOKUP($AB148,'2000 Seattle Tracts'!$C$2:$Y$374,AC$1,FALSE)*$Z148</f>
        <v>2.8055446323898776</v>
      </c>
      <c r="AD148" s="3">
        <f>VLOOKUP($AB148,'2000 Seattle Tracts'!$C$2:$Y$374,AD$1,FALSE)*$Z148</f>
        <v>1.5389668290092442</v>
      </c>
      <c r="AE148" s="3">
        <f>VLOOKUP($AB148,'2000 Seattle Tracts'!$C$2:$Y$374,AE$1,FALSE)*$Z148</f>
        <v>1.2665778033806334</v>
      </c>
      <c r="AF148" s="3">
        <f>VLOOKUP($AB148,'2000 Seattle Tracts'!$C$2:$Y$374,AF$1,FALSE)*$Z148</f>
        <v>2.8055446323898776</v>
      </c>
      <c r="AG148" s="3">
        <f>VLOOKUP($AB148,'2000 Seattle Tracts'!$C$2:$Y$374,AG$1,FALSE)*$Z148</f>
        <v>1.5389668290092442</v>
      </c>
      <c r="AH148" s="3">
        <f>VLOOKUP($AB148,'2000 Seattle Tracts'!$C$2:$Y$374,AH$1,FALSE)*$Z148</f>
        <v>1.2665778033806334</v>
      </c>
      <c r="AI148" s="3">
        <f>VLOOKUP($AB148,'2000 Seattle Tracts'!$C$2:$Y$374,AI$1,FALSE)*$Z148</f>
        <v>0.4917962041669881</v>
      </c>
      <c r="AJ148" s="3">
        <f>VLOOKUP($AB148,'2000 Seattle Tracts'!$C$2:$Y$374,AJ$1,FALSE)*$Z148</f>
        <v>1.9322791291732106E-2</v>
      </c>
      <c r="AK148" s="3">
        <f>VLOOKUP($AB148,'2000 Seattle Tracts'!$C$2:$Y$374,AK$1,FALSE)*$Z148</f>
        <v>1.8699475443611714E-3</v>
      </c>
      <c r="AL148" s="3">
        <f>VLOOKUP($AB148,'2000 Seattle Tracts'!$C$2:$Y$374,AL$1,FALSE)*$Z148</f>
        <v>1.246631696240781E-2</v>
      </c>
      <c r="AM148" s="3">
        <f>VLOOKUP($AB148,'2000 Seattle Tracts'!$C$2:$Y$374,AM$1,FALSE)*$Z148</f>
        <v>0.37492448264441486</v>
      </c>
      <c r="AN148" s="3">
        <f>VLOOKUP($AB148,'2000 Seattle Tracts'!$C$2:$Y$374,AN$1,FALSE)*$Z148</f>
        <v>2.2439370532334059E-2</v>
      </c>
      <c r="AO148" s="3">
        <f>VLOOKUP($AB148,'2000 Seattle Tracts'!$C$2:$Y$374,AO$1,FALSE)*$Z148</f>
        <v>4.9865267849631238E-3</v>
      </c>
      <c r="AP148" s="3">
        <f>VLOOKUP($AB148,'2000 Seattle Tracts'!$C$2:$Y$374,AP$1,FALSE)*$Z148</f>
        <v>0</v>
      </c>
      <c r="AQ148" s="3">
        <f>VLOOKUP($AB148,'2000 Seattle Tracts'!$C$2:$Y$374,AQ$1,FALSE)*$Z148</f>
        <v>0.47590165003991813</v>
      </c>
      <c r="AR148" s="3">
        <f>VLOOKUP($AB148,'2000 Seattle Tracts'!$C$2:$Y$374,AR$1,FALSE)*$Z148</f>
        <v>1.1331882118828698</v>
      </c>
      <c r="AS148" s="3">
        <f>VLOOKUP($AB148,'2000 Seattle Tracts'!$C$2:$Y$374,AS$1,FALSE)*$Z148</f>
        <v>3.0230818633838939E-2</v>
      </c>
      <c r="AT148" s="3">
        <f>VLOOKUP($AB148,'2000 Seattle Tracts'!$C$2:$Y$374,AT$1,FALSE)*$Z148</f>
        <v>6.8564743293242948E-3</v>
      </c>
      <c r="AU148" s="3">
        <f>VLOOKUP($AB148,'2000 Seattle Tracts'!$C$2:$Y$374,AU$1,FALSE)*$Z148</f>
        <v>4.2697135596246751E-2</v>
      </c>
      <c r="AV148" s="3">
        <f>VLOOKUP($AB148,'2000 Seattle Tracts'!$C$2:$Y$374,AV$1,FALSE)*$Z148</f>
        <v>2.8672529013537961E-2</v>
      </c>
      <c r="AW148" s="3">
        <f>VLOOKUP($AB148,'2000 Seattle Tracts'!$C$2:$Y$374,AW$1,FALSE)*$Z148</f>
        <v>0.11656006359851302</v>
      </c>
      <c r="AX148" s="3">
        <f>VLOOKUP($AB148,'2000 Seattle Tracts'!$C$2:$Y$374,AX$1,FALSE)*$Z148</f>
        <v>4.3632109368427333E-2</v>
      </c>
    </row>
    <row r="149" spans="1:50" x14ac:dyDescent="0.25">
      <c r="A149" t="s">
        <v>2917</v>
      </c>
      <c r="B149" t="s">
        <v>2918</v>
      </c>
      <c r="C149" t="s">
        <v>3409</v>
      </c>
      <c r="D149" t="s">
        <v>3410</v>
      </c>
      <c r="E149" t="s">
        <v>3411</v>
      </c>
      <c r="F149" t="s">
        <v>3412</v>
      </c>
      <c r="G149" t="s">
        <v>2920</v>
      </c>
      <c r="H149" t="s">
        <v>2921</v>
      </c>
      <c r="I149">
        <v>3415758</v>
      </c>
      <c r="J149">
        <v>0</v>
      </c>
      <c r="K149" t="s">
        <v>3413</v>
      </c>
      <c r="L149" t="s">
        <v>3414</v>
      </c>
      <c r="M149">
        <v>79</v>
      </c>
      <c r="N149">
        <v>33865.487999999998</v>
      </c>
      <c r="O149" t="s">
        <v>179</v>
      </c>
      <c r="P149">
        <v>17</v>
      </c>
      <c r="Q149">
        <v>5</v>
      </c>
      <c r="R149">
        <v>9</v>
      </c>
      <c r="S149">
        <v>48475916</v>
      </c>
      <c r="T149">
        <v>81</v>
      </c>
      <c r="U149">
        <v>166</v>
      </c>
      <c r="V149">
        <v>33865.489173990143</v>
      </c>
      <c r="W149">
        <v>48475914.455668777</v>
      </c>
      <c r="X149">
        <v>86.65</v>
      </c>
      <c r="Y149">
        <f>VLOOKUP(AB149,'2000 Seattle Tracts'!$C$2:$Z$374,24,FALSE)</f>
        <v>3415757.8480000002</v>
      </c>
      <c r="Z149">
        <f t="shared" si="4"/>
        <v>2.5367723315262364E-5</v>
      </c>
      <c r="AA149" t="s">
        <v>178</v>
      </c>
      <c r="AB149" t="str">
        <f t="shared" si="5"/>
        <v>Census Tract 104, King County, Washington</v>
      </c>
      <c r="AC149" s="3">
        <f>VLOOKUP($AB149,'2000 Seattle Tracts'!$C$2:$Y$374,AC$1,FALSE)*$Z149</f>
        <v>0.22836024528399179</v>
      </c>
      <c r="AD149" s="3">
        <f>VLOOKUP($AB149,'2000 Seattle Tracts'!$C$2:$Y$374,AD$1,FALSE)*$Z149</f>
        <v>0.12526581773076556</v>
      </c>
      <c r="AE149" s="3">
        <f>VLOOKUP($AB149,'2000 Seattle Tracts'!$C$2:$Y$374,AE$1,FALSE)*$Z149</f>
        <v>0.10309442755322624</v>
      </c>
      <c r="AF149" s="3">
        <f>VLOOKUP($AB149,'2000 Seattle Tracts'!$C$2:$Y$374,AF$1,FALSE)*$Z149</f>
        <v>0.22836024528399179</v>
      </c>
      <c r="AG149" s="3">
        <f>VLOOKUP($AB149,'2000 Seattle Tracts'!$C$2:$Y$374,AG$1,FALSE)*$Z149</f>
        <v>0.12526581773076556</v>
      </c>
      <c r="AH149" s="3">
        <f>VLOOKUP($AB149,'2000 Seattle Tracts'!$C$2:$Y$374,AH$1,FALSE)*$Z149</f>
        <v>0.10309442755322624</v>
      </c>
      <c r="AI149" s="3">
        <f>VLOOKUP($AB149,'2000 Seattle Tracts'!$C$2:$Y$374,AI$1,FALSE)*$Z149</f>
        <v>4.0030267391484013E-2</v>
      </c>
      <c r="AJ149" s="3">
        <f>VLOOKUP($AB149,'2000 Seattle Tracts'!$C$2:$Y$374,AJ$1,FALSE)*$Z149</f>
        <v>1.5727988455462665E-3</v>
      </c>
      <c r="AK149" s="3">
        <f>VLOOKUP($AB149,'2000 Seattle Tracts'!$C$2:$Y$374,AK$1,FALSE)*$Z149</f>
        <v>1.522063398915742E-4</v>
      </c>
      <c r="AL149" s="3">
        <f>VLOOKUP($AB149,'2000 Seattle Tracts'!$C$2:$Y$374,AL$1,FALSE)*$Z149</f>
        <v>1.0147089326104945E-3</v>
      </c>
      <c r="AM149" s="3">
        <f>VLOOKUP($AB149,'2000 Seattle Tracts'!$C$2:$Y$374,AM$1,FALSE)*$Z149</f>
        <v>3.0517371148260624E-2</v>
      </c>
      <c r="AN149" s="3">
        <f>VLOOKUP($AB149,'2000 Seattle Tracts'!$C$2:$Y$374,AN$1,FALSE)*$Z149</f>
        <v>1.8264760786988901E-3</v>
      </c>
      <c r="AO149" s="3">
        <f>VLOOKUP($AB149,'2000 Seattle Tracts'!$C$2:$Y$374,AO$1,FALSE)*$Z149</f>
        <v>4.0588357304419782E-4</v>
      </c>
      <c r="AP149" s="3">
        <f>VLOOKUP($AB149,'2000 Seattle Tracts'!$C$2:$Y$374,AP$1,FALSE)*$Z149</f>
        <v>0</v>
      </c>
      <c r="AQ149" s="3">
        <f>VLOOKUP($AB149,'2000 Seattle Tracts'!$C$2:$Y$374,AQ$1,FALSE)*$Z149</f>
        <v>3.8736513502405631E-2</v>
      </c>
      <c r="AR149" s="3">
        <f>VLOOKUP($AB149,'2000 Seattle Tracts'!$C$2:$Y$374,AR$1,FALSE)*$Z149</f>
        <v>9.2237041974293957E-2</v>
      </c>
      <c r="AS149" s="3">
        <f>VLOOKUP($AB149,'2000 Seattle Tracts'!$C$2:$Y$374,AS$1,FALSE)*$Z149</f>
        <v>2.4606691615804491E-3</v>
      </c>
      <c r="AT149" s="3">
        <f>VLOOKUP($AB149,'2000 Seattle Tracts'!$C$2:$Y$374,AT$1,FALSE)*$Z149</f>
        <v>5.5808991293577201E-4</v>
      </c>
      <c r="AU149" s="3">
        <f>VLOOKUP($AB149,'2000 Seattle Tracts'!$C$2:$Y$374,AU$1,FALSE)*$Z149</f>
        <v>3.475378094190944E-3</v>
      </c>
      <c r="AV149" s="3">
        <f>VLOOKUP($AB149,'2000 Seattle Tracts'!$C$2:$Y$374,AV$1,FALSE)*$Z149</f>
        <v>2.3338305450041376E-3</v>
      </c>
      <c r="AW149" s="3">
        <f>VLOOKUP($AB149,'2000 Seattle Tracts'!$C$2:$Y$374,AW$1,FALSE)*$Z149</f>
        <v>9.4875285199081238E-3</v>
      </c>
      <c r="AX149" s="3">
        <f>VLOOKUP($AB149,'2000 Seattle Tracts'!$C$2:$Y$374,AX$1,FALSE)*$Z149</f>
        <v>3.5514812641367307E-3</v>
      </c>
    </row>
    <row r="150" spans="1:50" x14ac:dyDescent="0.25">
      <c r="A150" t="s">
        <v>2917</v>
      </c>
      <c r="B150" t="s">
        <v>2918</v>
      </c>
      <c r="C150" t="s">
        <v>3409</v>
      </c>
      <c r="D150" t="s">
        <v>3410</v>
      </c>
      <c r="E150" t="s">
        <v>3411</v>
      </c>
      <c r="F150" t="s">
        <v>3412</v>
      </c>
      <c r="G150" t="s">
        <v>2920</v>
      </c>
      <c r="H150" t="s">
        <v>2921</v>
      </c>
      <c r="I150">
        <v>3415758</v>
      </c>
      <c r="J150">
        <v>0</v>
      </c>
      <c r="K150" t="s">
        <v>3413</v>
      </c>
      <c r="L150" t="s">
        <v>3414</v>
      </c>
      <c r="M150">
        <v>80</v>
      </c>
      <c r="N150">
        <v>40522.184000000001</v>
      </c>
      <c r="O150" t="s">
        <v>179</v>
      </c>
      <c r="P150">
        <v>17</v>
      </c>
      <c r="Q150">
        <v>5</v>
      </c>
      <c r="R150">
        <v>95</v>
      </c>
      <c r="S150">
        <v>52620472</v>
      </c>
      <c r="T150">
        <v>82</v>
      </c>
      <c r="U150">
        <v>172</v>
      </c>
      <c r="V150">
        <v>40522.182927532267</v>
      </c>
      <c r="W150">
        <v>52620470.788550943</v>
      </c>
      <c r="X150">
        <v>3366355.9419999998</v>
      </c>
      <c r="Y150">
        <f>VLOOKUP(AB150,'2000 Seattle Tracts'!$C$2:$Z$374,24,FALSE)</f>
        <v>3415757.8480000002</v>
      </c>
      <c r="Z150">
        <f t="shared" si="4"/>
        <v>0.98553705848061612</v>
      </c>
      <c r="AA150" t="s">
        <v>180</v>
      </c>
      <c r="AB150" t="str">
        <f t="shared" si="5"/>
        <v>Census Tract 104, King County, Washington</v>
      </c>
      <c r="AC150" s="3">
        <f>VLOOKUP($AB150,'2000 Seattle Tracts'!$C$2:$Y$374,AC$1,FALSE)*$Z150</f>
        <v>8871.8046004425069</v>
      </c>
      <c r="AD150" s="3">
        <f>VLOOKUP($AB150,'2000 Seattle Tracts'!$C$2:$Y$374,AD$1,FALSE)*$Z150</f>
        <v>4866.5819947772825</v>
      </c>
      <c r="AE150" s="3">
        <f>VLOOKUP($AB150,'2000 Seattle Tracts'!$C$2:$Y$374,AE$1,FALSE)*$Z150</f>
        <v>4005.2226056652239</v>
      </c>
      <c r="AF150" s="3">
        <f>VLOOKUP($AB150,'2000 Seattle Tracts'!$C$2:$Y$374,AF$1,FALSE)*$Z150</f>
        <v>8871.8046004425069</v>
      </c>
      <c r="AG150" s="3">
        <f>VLOOKUP($AB150,'2000 Seattle Tracts'!$C$2:$Y$374,AG$1,FALSE)*$Z150</f>
        <v>4866.5819947772825</v>
      </c>
      <c r="AH150" s="3">
        <f>VLOOKUP($AB150,'2000 Seattle Tracts'!$C$2:$Y$374,AH$1,FALSE)*$Z150</f>
        <v>4005.2226056652239</v>
      </c>
      <c r="AI150" s="3">
        <f>VLOOKUP($AB150,'2000 Seattle Tracts'!$C$2:$Y$374,AI$1,FALSE)*$Z150</f>
        <v>1555.1774782824123</v>
      </c>
      <c r="AJ150" s="3">
        <f>VLOOKUP($AB150,'2000 Seattle Tracts'!$C$2:$Y$374,AJ$1,FALSE)*$Z150</f>
        <v>61.103297625798199</v>
      </c>
      <c r="AK150" s="3">
        <f>VLOOKUP($AB150,'2000 Seattle Tracts'!$C$2:$Y$374,AK$1,FALSE)*$Z150</f>
        <v>5.9132223508836965</v>
      </c>
      <c r="AL150" s="3">
        <f>VLOOKUP($AB150,'2000 Seattle Tracts'!$C$2:$Y$374,AL$1,FALSE)*$Z150</f>
        <v>39.421482339224646</v>
      </c>
      <c r="AM150" s="3">
        <f>VLOOKUP($AB150,'2000 Seattle Tracts'!$C$2:$Y$374,AM$1,FALSE)*$Z150</f>
        <v>1185.6010813521812</v>
      </c>
      <c r="AN150" s="3">
        <f>VLOOKUP($AB150,'2000 Seattle Tracts'!$C$2:$Y$374,AN$1,FALSE)*$Z150</f>
        <v>70.958668210604358</v>
      </c>
      <c r="AO150" s="3">
        <f>VLOOKUP($AB150,'2000 Seattle Tracts'!$C$2:$Y$374,AO$1,FALSE)*$Z150</f>
        <v>15.768592935689858</v>
      </c>
      <c r="AP150" s="3">
        <f>VLOOKUP($AB150,'2000 Seattle Tracts'!$C$2:$Y$374,AP$1,FALSE)*$Z150</f>
        <v>0</v>
      </c>
      <c r="AQ150" s="3">
        <f>VLOOKUP($AB150,'2000 Seattle Tracts'!$C$2:$Y$374,AQ$1,FALSE)*$Z150</f>
        <v>1504.9150882999008</v>
      </c>
      <c r="AR150" s="3">
        <f>VLOOKUP($AB150,'2000 Seattle Tracts'!$C$2:$Y$374,AR$1,FALSE)*$Z150</f>
        <v>3583.4127446355201</v>
      </c>
      <c r="AS150" s="3">
        <f>VLOOKUP($AB150,'2000 Seattle Tracts'!$C$2:$Y$374,AS$1,FALSE)*$Z150</f>
        <v>95.597094672619761</v>
      </c>
      <c r="AT150" s="3">
        <f>VLOOKUP($AB150,'2000 Seattle Tracts'!$C$2:$Y$374,AT$1,FALSE)*$Z150</f>
        <v>21.681815286573556</v>
      </c>
      <c r="AU150" s="3">
        <f>VLOOKUP($AB150,'2000 Seattle Tracts'!$C$2:$Y$374,AU$1,FALSE)*$Z150</f>
        <v>135.0185770118444</v>
      </c>
      <c r="AV150" s="3">
        <f>VLOOKUP($AB150,'2000 Seattle Tracts'!$C$2:$Y$374,AV$1,FALSE)*$Z150</f>
        <v>90.669409380216678</v>
      </c>
      <c r="AW150" s="3">
        <f>VLOOKUP($AB150,'2000 Seattle Tracts'!$C$2:$Y$374,AW$1,FALSE)*$Z150</f>
        <v>368.59085987175041</v>
      </c>
      <c r="AX150" s="3">
        <f>VLOOKUP($AB150,'2000 Seattle Tracts'!$C$2:$Y$374,AX$1,FALSE)*$Z150</f>
        <v>137.97518818728625</v>
      </c>
    </row>
    <row r="151" spans="1:50" x14ac:dyDescent="0.25">
      <c r="A151" t="s">
        <v>2917</v>
      </c>
      <c r="B151" t="s">
        <v>2918</v>
      </c>
      <c r="C151" t="s">
        <v>3409</v>
      </c>
      <c r="D151" t="s">
        <v>3410</v>
      </c>
      <c r="E151" t="s">
        <v>3411</v>
      </c>
      <c r="F151" t="s">
        <v>3412</v>
      </c>
      <c r="G151" t="s">
        <v>2920</v>
      </c>
      <c r="H151" t="s">
        <v>2921</v>
      </c>
      <c r="I151">
        <v>3415758</v>
      </c>
      <c r="J151">
        <v>0</v>
      </c>
      <c r="K151" t="s">
        <v>3413</v>
      </c>
      <c r="L151" t="s">
        <v>3414</v>
      </c>
      <c r="M151">
        <v>81</v>
      </c>
      <c r="N151">
        <v>38996.714999999997</v>
      </c>
      <c r="O151" t="s">
        <v>179</v>
      </c>
      <c r="P151">
        <v>17</v>
      </c>
      <c r="Q151">
        <v>5</v>
      </c>
      <c r="R151">
        <v>23</v>
      </c>
      <c r="S151">
        <v>38448828</v>
      </c>
      <c r="T151">
        <v>83</v>
      </c>
      <c r="U151">
        <v>183</v>
      </c>
      <c r="V151">
        <v>38996.715107084907</v>
      </c>
      <c r="W151">
        <v>38448826.89896398</v>
      </c>
      <c r="X151">
        <v>43892.733</v>
      </c>
      <c r="Y151">
        <f>VLOOKUP(AB151,'2000 Seattle Tracts'!$C$2:$Z$374,24,FALSE)</f>
        <v>3415757.8480000002</v>
      </c>
      <c r="Z151">
        <f t="shared" si="4"/>
        <v>1.285007162486654E-2</v>
      </c>
      <c r="AA151" t="s">
        <v>181</v>
      </c>
      <c r="AB151" t="str">
        <f t="shared" si="5"/>
        <v>Census Tract 104, King County, Washington</v>
      </c>
      <c r="AC151" s="3">
        <f>VLOOKUP($AB151,'2000 Seattle Tracts'!$C$2:$Y$374,AC$1,FALSE)*$Z151</f>
        <v>115.67634476704859</v>
      </c>
      <c r="AD151" s="3">
        <f>VLOOKUP($AB151,'2000 Seattle Tracts'!$C$2:$Y$374,AD$1,FALSE)*$Z151</f>
        <v>63.453653683590971</v>
      </c>
      <c r="AE151" s="3">
        <f>VLOOKUP($AB151,'2000 Seattle Tracts'!$C$2:$Y$374,AE$1,FALSE)*$Z151</f>
        <v>52.222691083457619</v>
      </c>
      <c r="AF151" s="3">
        <f>VLOOKUP($AB151,'2000 Seattle Tracts'!$C$2:$Y$374,AF$1,FALSE)*$Z151</f>
        <v>115.67634476704859</v>
      </c>
      <c r="AG151" s="3">
        <f>VLOOKUP($AB151,'2000 Seattle Tracts'!$C$2:$Y$374,AG$1,FALSE)*$Z151</f>
        <v>63.453653683590971</v>
      </c>
      <c r="AH151" s="3">
        <f>VLOOKUP($AB151,'2000 Seattle Tracts'!$C$2:$Y$374,AH$1,FALSE)*$Z151</f>
        <v>52.222691083457619</v>
      </c>
      <c r="AI151" s="3">
        <f>VLOOKUP($AB151,'2000 Seattle Tracts'!$C$2:$Y$374,AI$1,FALSE)*$Z151</f>
        <v>20.277413024039401</v>
      </c>
      <c r="AJ151" s="3">
        <f>VLOOKUP($AB151,'2000 Seattle Tracts'!$C$2:$Y$374,AJ$1,FALSE)*$Z151</f>
        <v>0.79670444074172542</v>
      </c>
      <c r="AK151" s="3">
        <f>VLOOKUP($AB151,'2000 Seattle Tracts'!$C$2:$Y$374,AK$1,FALSE)*$Z151</f>
        <v>7.7100429749199242E-2</v>
      </c>
      <c r="AL151" s="3">
        <f>VLOOKUP($AB151,'2000 Seattle Tracts'!$C$2:$Y$374,AL$1,FALSE)*$Z151</f>
        <v>0.51400286499466163</v>
      </c>
      <c r="AM151" s="3">
        <f>VLOOKUP($AB151,'2000 Seattle Tracts'!$C$2:$Y$374,AM$1,FALSE)*$Z151</f>
        <v>15.458636164714447</v>
      </c>
      <c r="AN151" s="3">
        <f>VLOOKUP($AB151,'2000 Seattle Tracts'!$C$2:$Y$374,AN$1,FALSE)*$Z151</f>
        <v>0.92520515699039085</v>
      </c>
      <c r="AO151" s="3">
        <f>VLOOKUP($AB151,'2000 Seattle Tracts'!$C$2:$Y$374,AO$1,FALSE)*$Z151</f>
        <v>0.20560114599786464</v>
      </c>
      <c r="AP151" s="3">
        <f>VLOOKUP($AB151,'2000 Seattle Tracts'!$C$2:$Y$374,AP$1,FALSE)*$Z151</f>
        <v>0</v>
      </c>
      <c r="AQ151" s="3">
        <f>VLOOKUP($AB151,'2000 Seattle Tracts'!$C$2:$Y$374,AQ$1,FALSE)*$Z151</f>
        <v>19.622059371171208</v>
      </c>
      <c r="AR151" s="3">
        <f>VLOOKUP($AB151,'2000 Seattle Tracts'!$C$2:$Y$374,AR$1,FALSE)*$Z151</f>
        <v>46.722860428014741</v>
      </c>
      <c r="AS151" s="3">
        <f>VLOOKUP($AB151,'2000 Seattle Tracts'!$C$2:$Y$374,AS$1,FALSE)*$Z151</f>
        <v>1.2464569476120544</v>
      </c>
      <c r="AT151" s="3">
        <f>VLOOKUP($AB151,'2000 Seattle Tracts'!$C$2:$Y$374,AT$1,FALSE)*$Z151</f>
        <v>0.28270157574706389</v>
      </c>
      <c r="AU151" s="3">
        <f>VLOOKUP($AB151,'2000 Seattle Tracts'!$C$2:$Y$374,AU$1,FALSE)*$Z151</f>
        <v>1.7604598126067159</v>
      </c>
      <c r="AV151" s="3">
        <f>VLOOKUP($AB151,'2000 Seattle Tracts'!$C$2:$Y$374,AV$1,FALSE)*$Z151</f>
        <v>1.1822065894877216</v>
      </c>
      <c r="AW151" s="3">
        <f>VLOOKUP($AB151,'2000 Seattle Tracts'!$C$2:$Y$374,AW$1,FALSE)*$Z151</f>
        <v>4.805926787700086</v>
      </c>
      <c r="AX151" s="3">
        <f>VLOOKUP($AB151,'2000 Seattle Tracts'!$C$2:$Y$374,AX$1,FALSE)*$Z151</f>
        <v>1.7990100274813157</v>
      </c>
    </row>
    <row r="152" spans="1:50" x14ac:dyDescent="0.25">
      <c r="A152" t="s">
        <v>2917</v>
      </c>
      <c r="B152" t="s">
        <v>2918</v>
      </c>
      <c r="C152" t="s">
        <v>3409</v>
      </c>
      <c r="D152" t="s">
        <v>3410</v>
      </c>
      <c r="E152" t="s">
        <v>3411</v>
      </c>
      <c r="F152" t="s">
        <v>3412</v>
      </c>
      <c r="G152" t="s">
        <v>2920</v>
      </c>
      <c r="H152" t="s">
        <v>2921</v>
      </c>
      <c r="I152">
        <v>3415758</v>
      </c>
      <c r="J152">
        <v>0</v>
      </c>
      <c r="K152" t="s">
        <v>3413</v>
      </c>
      <c r="L152" t="s">
        <v>3414</v>
      </c>
      <c r="M152">
        <v>88</v>
      </c>
      <c r="N152">
        <v>35177.063000000002</v>
      </c>
      <c r="O152" t="s">
        <v>184</v>
      </c>
      <c r="P152">
        <v>15</v>
      </c>
      <c r="Q152">
        <v>4</v>
      </c>
      <c r="R152">
        <v>94</v>
      </c>
      <c r="S152">
        <v>37406576</v>
      </c>
      <c r="T152">
        <v>90</v>
      </c>
      <c r="U152">
        <v>179</v>
      </c>
      <c r="V152">
        <v>35177.060803967521</v>
      </c>
      <c r="W152">
        <v>37406576.492632188</v>
      </c>
      <c r="X152">
        <v>503.62700000000001</v>
      </c>
      <c r="Y152">
        <f>VLOOKUP(AB152,'2000 Seattle Tracts'!$C$2:$Z$374,24,FALSE)</f>
        <v>3415757.8480000002</v>
      </c>
      <c r="Z152">
        <f t="shared" si="4"/>
        <v>1.4744224339406393E-4</v>
      </c>
      <c r="AA152" t="s">
        <v>189</v>
      </c>
      <c r="AB152" t="str">
        <f t="shared" si="5"/>
        <v>Census Tract 104, King County, Washington</v>
      </c>
      <c r="AC152" s="3">
        <f>VLOOKUP($AB152,'2000 Seattle Tracts'!$C$2:$Y$374,AC$1,FALSE)*$Z152</f>
        <v>1.3272750750333635</v>
      </c>
      <c r="AD152" s="3">
        <f>VLOOKUP($AB152,'2000 Seattle Tracts'!$C$2:$Y$374,AD$1,FALSE)*$Z152</f>
        <v>0.72806979787988768</v>
      </c>
      <c r="AE152" s="3">
        <f>VLOOKUP($AB152,'2000 Seattle Tracts'!$C$2:$Y$374,AE$1,FALSE)*$Z152</f>
        <v>0.59920527715347582</v>
      </c>
      <c r="AF152" s="3">
        <f>VLOOKUP($AB152,'2000 Seattle Tracts'!$C$2:$Y$374,AF$1,FALSE)*$Z152</f>
        <v>1.3272750750333635</v>
      </c>
      <c r="AG152" s="3">
        <f>VLOOKUP($AB152,'2000 Seattle Tracts'!$C$2:$Y$374,AG$1,FALSE)*$Z152</f>
        <v>0.72806979787988768</v>
      </c>
      <c r="AH152" s="3">
        <f>VLOOKUP($AB152,'2000 Seattle Tracts'!$C$2:$Y$374,AH$1,FALSE)*$Z152</f>
        <v>0.59920527715347582</v>
      </c>
      <c r="AI152" s="3">
        <f>VLOOKUP($AB152,'2000 Seattle Tracts'!$C$2:$Y$374,AI$1,FALSE)*$Z152</f>
        <v>0.23266386007583287</v>
      </c>
      <c r="AJ152" s="3">
        <f>VLOOKUP($AB152,'2000 Seattle Tracts'!$C$2:$Y$374,AJ$1,FALSE)*$Z152</f>
        <v>9.1414190904319636E-3</v>
      </c>
      <c r="AK152" s="3">
        <f>VLOOKUP($AB152,'2000 Seattle Tracts'!$C$2:$Y$374,AK$1,FALSE)*$Z152</f>
        <v>8.8465346036438355E-4</v>
      </c>
      <c r="AL152" s="3">
        <f>VLOOKUP($AB152,'2000 Seattle Tracts'!$C$2:$Y$374,AL$1,FALSE)*$Z152</f>
        <v>5.897689735762557E-3</v>
      </c>
      <c r="AM152" s="3">
        <f>VLOOKUP($AB152,'2000 Seattle Tracts'!$C$2:$Y$374,AM$1,FALSE)*$Z152</f>
        <v>0.17737301880305889</v>
      </c>
      <c r="AN152" s="3">
        <f>VLOOKUP($AB152,'2000 Seattle Tracts'!$C$2:$Y$374,AN$1,FALSE)*$Z152</f>
        <v>1.0615841524372602E-2</v>
      </c>
      <c r="AO152" s="3">
        <f>VLOOKUP($AB152,'2000 Seattle Tracts'!$C$2:$Y$374,AO$1,FALSE)*$Z152</f>
        <v>2.3590758943050228E-3</v>
      </c>
      <c r="AP152" s="3">
        <f>VLOOKUP($AB152,'2000 Seattle Tracts'!$C$2:$Y$374,AP$1,FALSE)*$Z152</f>
        <v>0</v>
      </c>
      <c r="AQ152" s="3">
        <f>VLOOKUP($AB152,'2000 Seattle Tracts'!$C$2:$Y$374,AQ$1,FALSE)*$Z152</f>
        <v>0.22514430566273561</v>
      </c>
      <c r="AR152" s="3">
        <f>VLOOKUP($AB152,'2000 Seattle Tracts'!$C$2:$Y$374,AR$1,FALSE)*$Z152</f>
        <v>0.53609999698081645</v>
      </c>
      <c r="AS152" s="3">
        <f>VLOOKUP($AB152,'2000 Seattle Tracts'!$C$2:$Y$374,AS$1,FALSE)*$Z152</f>
        <v>1.4301897609224202E-2</v>
      </c>
      <c r="AT152" s="3">
        <f>VLOOKUP($AB152,'2000 Seattle Tracts'!$C$2:$Y$374,AT$1,FALSE)*$Z152</f>
        <v>3.2437293546694066E-3</v>
      </c>
      <c r="AU152" s="3">
        <f>VLOOKUP($AB152,'2000 Seattle Tracts'!$C$2:$Y$374,AU$1,FALSE)*$Z152</f>
        <v>2.0199587344986759E-2</v>
      </c>
      <c r="AV152" s="3">
        <f>VLOOKUP($AB152,'2000 Seattle Tracts'!$C$2:$Y$374,AV$1,FALSE)*$Z152</f>
        <v>1.3564686392253882E-2</v>
      </c>
      <c r="AW152" s="3">
        <f>VLOOKUP($AB152,'2000 Seattle Tracts'!$C$2:$Y$374,AW$1,FALSE)*$Z152</f>
        <v>5.5143399029379911E-2</v>
      </c>
      <c r="AX152" s="3">
        <f>VLOOKUP($AB152,'2000 Seattle Tracts'!$C$2:$Y$374,AX$1,FALSE)*$Z152</f>
        <v>2.0641914075168948E-2</v>
      </c>
    </row>
    <row r="153" spans="1:50" x14ac:dyDescent="0.25">
      <c r="A153" t="s">
        <v>2917</v>
      </c>
      <c r="B153" t="s">
        <v>2918</v>
      </c>
      <c r="C153" t="s">
        <v>2963</v>
      </c>
      <c r="D153" t="s">
        <v>2872</v>
      </c>
      <c r="E153" t="s">
        <v>2873</v>
      </c>
      <c r="F153" t="s">
        <v>2874</v>
      </c>
      <c r="G153" t="s">
        <v>2920</v>
      </c>
      <c r="H153" t="s">
        <v>2921</v>
      </c>
      <c r="I153">
        <v>1660245</v>
      </c>
      <c r="J153">
        <v>0</v>
      </c>
      <c r="K153" t="s">
        <v>2964</v>
      </c>
      <c r="L153" t="s">
        <v>2965</v>
      </c>
      <c r="M153">
        <v>80</v>
      </c>
      <c r="N153">
        <v>40522.184000000001</v>
      </c>
      <c r="O153" t="s">
        <v>179</v>
      </c>
      <c r="P153">
        <v>17</v>
      </c>
      <c r="Q153">
        <v>5</v>
      </c>
      <c r="R153">
        <v>95</v>
      </c>
      <c r="S153">
        <v>52620472</v>
      </c>
      <c r="T153">
        <v>82</v>
      </c>
      <c r="U153">
        <v>172</v>
      </c>
      <c r="V153">
        <v>40522.182927532267</v>
      </c>
      <c r="W153">
        <v>52620470.788550943</v>
      </c>
      <c r="X153">
        <v>1292.701</v>
      </c>
      <c r="Y153">
        <f>VLOOKUP(AB153,'2000 Seattle Tracts'!$C$2:$Z$374,24,FALSE)</f>
        <v>1660241.7420000001</v>
      </c>
      <c r="Z153">
        <f t="shared" si="4"/>
        <v>7.7862215320689127E-4</v>
      </c>
      <c r="AA153" t="s">
        <v>180</v>
      </c>
      <c r="AB153" t="str">
        <f t="shared" si="5"/>
        <v>Census Tract 103, King County, Washington</v>
      </c>
      <c r="AC153" s="3">
        <f>VLOOKUP($AB153,'2000 Seattle Tracts'!$C$2:$Y$374,AC$1,FALSE)*$Z153</f>
        <v>4.810327662512174</v>
      </c>
      <c r="AD153" s="3">
        <f>VLOOKUP($AB153,'2000 Seattle Tracts'!$C$2:$Y$374,AD$1,FALSE)*$Z153</f>
        <v>3.1752211407777025</v>
      </c>
      <c r="AE153" s="3">
        <f>VLOOKUP($AB153,'2000 Seattle Tracts'!$C$2:$Y$374,AE$1,FALSE)*$Z153</f>
        <v>1.6351065217344716</v>
      </c>
      <c r="AF153" s="3">
        <f>VLOOKUP($AB153,'2000 Seattle Tracts'!$C$2:$Y$374,AF$1,FALSE)*$Z153</f>
        <v>4.810327662512174</v>
      </c>
      <c r="AG153" s="3">
        <f>VLOOKUP($AB153,'2000 Seattle Tracts'!$C$2:$Y$374,AG$1,FALSE)*$Z153</f>
        <v>3.1752211407777025</v>
      </c>
      <c r="AH153" s="3">
        <f>VLOOKUP($AB153,'2000 Seattle Tracts'!$C$2:$Y$374,AH$1,FALSE)*$Z153</f>
        <v>1.6351065217344716</v>
      </c>
      <c r="AI153" s="3">
        <f>VLOOKUP($AB153,'2000 Seattle Tracts'!$C$2:$Y$374,AI$1,FALSE)*$Z153</f>
        <v>0.9724990693554072</v>
      </c>
      <c r="AJ153" s="3">
        <f>VLOOKUP($AB153,'2000 Seattle Tracts'!$C$2:$Y$374,AJ$1,FALSE)*$Z153</f>
        <v>4.5160084885999693E-2</v>
      </c>
      <c r="AK153" s="3">
        <f>VLOOKUP($AB153,'2000 Seattle Tracts'!$C$2:$Y$374,AK$1,FALSE)*$Z153</f>
        <v>3.7373863353930781E-2</v>
      </c>
      <c r="AL153" s="3">
        <f>VLOOKUP($AB153,'2000 Seattle Tracts'!$C$2:$Y$374,AL$1,FALSE)*$Z153</f>
        <v>8.9541547618792489E-2</v>
      </c>
      <c r="AM153" s="3">
        <f>VLOOKUP($AB153,'2000 Seattle Tracts'!$C$2:$Y$374,AM$1,FALSE)*$Z153</f>
        <v>1.3999626314659905</v>
      </c>
      <c r="AN153" s="3">
        <f>VLOOKUP($AB153,'2000 Seattle Tracts'!$C$2:$Y$374,AN$1,FALSE)*$Z153</f>
        <v>0.1339230103515853</v>
      </c>
      <c r="AO153" s="3">
        <f>VLOOKUP($AB153,'2000 Seattle Tracts'!$C$2:$Y$374,AO$1,FALSE)*$Z153</f>
        <v>2.6473153209034303E-2</v>
      </c>
      <c r="AP153" s="3">
        <f>VLOOKUP($AB153,'2000 Seattle Tracts'!$C$2:$Y$374,AP$1,FALSE)*$Z153</f>
        <v>0</v>
      </c>
      <c r="AQ153" s="3">
        <f>VLOOKUP($AB153,'2000 Seattle Tracts'!$C$2:$Y$374,AQ$1,FALSE)*$Z153</f>
        <v>0.44692911594075557</v>
      </c>
      <c r="AR153" s="3">
        <f>VLOOKUP($AB153,'2000 Seattle Tracts'!$C$2:$Y$374,AR$1,FALSE)*$Z153</f>
        <v>0.8471409026890977</v>
      </c>
      <c r="AS153" s="3">
        <f>VLOOKUP($AB153,'2000 Seattle Tracts'!$C$2:$Y$374,AS$1,FALSE)*$Z153</f>
        <v>2.7251775362241194E-2</v>
      </c>
      <c r="AT153" s="3">
        <f>VLOOKUP($AB153,'2000 Seattle Tracts'!$C$2:$Y$374,AT$1,FALSE)*$Z153</f>
        <v>9.1877414078413169E-2</v>
      </c>
      <c r="AU153" s="3">
        <f>VLOOKUP($AB153,'2000 Seattle Tracts'!$C$2:$Y$374,AU$1,FALSE)*$Z153</f>
        <v>5.0610439958447932E-2</v>
      </c>
      <c r="AV153" s="3">
        <f>VLOOKUP($AB153,'2000 Seattle Tracts'!$C$2:$Y$374,AV$1,FALSE)*$Z153</f>
        <v>0.20088451552737796</v>
      </c>
      <c r="AW153" s="3">
        <f>VLOOKUP($AB153,'2000 Seattle Tracts'!$C$2:$Y$374,AW$1,FALSE)*$Z153</f>
        <v>0.21412109213189509</v>
      </c>
      <c r="AX153" s="3">
        <f>VLOOKUP($AB153,'2000 Seattle Tracts'!$C$2:$Y$374,AX$1,FALSE)*$Z153</f>
        <v>0.22657904658320535</v>
      </c>
    </row>
    <row r="154" spans="1:50" x14ac:dyDescent="0.25">
      <c r="A154" t="s">
        <v>2917</v>
      </c>
      <c r="B154" t="s">
        <v>2918</v>
      </c>
      <c r="C154" t="s">
        <v>2963</v>
      </c>
      <c r="D154" t="s">
        <v>2872</v>
      </c>
      <c r="E154" t="s">
        <v>2873</v>
      </c>
      <c r="F154" t="s">
        <v>2874</v>
      </c>
      <c r="G154" t="s">
        <v>2920</v>
      </c>
      <c r="H154" t="s">
        <v>2921</v>
      </c>
      <c r="I154">
        <v>1660245</v>
      </c>
      <c r="J154">
        <v>0</v>
      </c>
      <c r="K154" t="s">
        <v>2964</v>
      </c>
      <c r="L154" t="s">
        <v>2965</v>
      </c>
      <c r="M154">
        <v>83</v>
      </c>
      <c r="N154">
        <v>18911.330000000002</v>
      </c>
      <c r="O154" t="s">
        <v>184</v>
      </c>
      <c r="P154">
        <v>15</v>
      </c>
      <c r="Q154">
        <v>4</v>
      </c>
      <c r="R154">
        <v>19</v>
      </c>
      <c r="S154">
        <v>18366938</v>
      </c>
      <c r="T154">
        <v>85</v>
      </c>
      <c r="U154">
        <v>185</v>
      </c>
      <c r="V154">
        <v>18911.329349083731</v>
      </c>
      <c r="W154">
        <v>18366938.27518687</v>
      </c>
      <c r="X154">
        <v>79.39</v>
      </c>
      <c r="Y154">
        <f>VLOOKUP(AB154,'2000 Seattle Tracts'!$C$2:$Z$374,24,FALSE)</f>
        <v>1660241.7420000001</v>
      </c>
      <c r="Z154">
        <f t="shared" si="4"/>
        <v>4.7818337529788477E-5</v>
      </c>
      <c r="AA154" t="s">
        <v>183</v>
      </c>
      <c r="AB154" t="str">
        <f t="shared" si="5"/>
        <v>Census Tract 103, King County, Washington</v>
      </c>
      <c r="AC154" s="3">
        <f>VLOOKUP($AB154,'2000 Seattle Tracts'!$C$2:$Y$374,AC$1,FALSE)*$Z154</f>
        <v>0.29542168925903323</v>
      </c>
      <c r="AD154" s="3">
        <f>VLOOKUP($AB154,'2000 Seattle Tracts'!$C$2:$Y$374,AD$1,FALSE)*$Z154</f>
        <v>0.19500318044647741</v>
      </c>
      <c r="AE154" s="3">
        <f>VLOOKUP($AB154,'2000 Seattle Tracts'!$C$2:$Y$374,AE$1,FALSE)*$Z154</f>
        <v>0.1004185088125558</v>
      </c>
      <c r="AF154" s="3">
        <f>VLOOKUP($AB154,'2000 Seattle Tracts'!$C$2:$Y$374,AF$1,FALSE)*$Z154</f>
        <v>0.29542168925903323</v>
      </c>
      <c r="AG154" s="3">
        <f>VLOOKUP($AB154,'2000 Seattle Tracts'!$C$2:$Y$374,AG$1,FALSE)*$Z154</f>
        <v>0.19500318044647741</v>
      </c>
      <c r="AH154" s="3">
        <f>VLOOKUP($AB154,'2000 Seattle Tracts'!$C$2:$Y$374,AH$1,FALSE)*$Z154</f>
        <v>0.1004185088125558</v>
      </c>
      <c r="AI154" s="3">
        <f>VLOOKUP($AB154,'2000 Seattle Tracts'!$C$2:$Y$374,AI$1,FALSE)*$Z154</f>
        <v>5.9725103574705805E-2</v>
      </c>
      <c r="AJ154" s="3">
        <f>VLOOKUP($AB154,'2000 Seattle Tracts'!$C$2:$Y$374,AJ$1,FALSE)*$Z154</f>
        <v>2.7734635767277319E-3</v>
      </c>
      <c r="AK154" s="3">
        <f>VLOOKUP($AB154,'2000 Seattle Tracts'!$C$2:$Y$374,AK$1,FALSE)*$Z154</f>
        <v>2.295280201429847E-3</v>
      </c>
      <c r="AL154" s="3">
        <f>VLOOKUP($AB154,'2000 Seattle Tracts'!$C$2:$Y$374,AL$1,FALSE)*$Z154</f>
        <v>5.4991088159256751E-3</v>
      </c>
      <c r="AM154" s="3">
        <f>VLOOKUP($AB154,'2000 Seattle Tracts'!$C$2:$Y$374,AM$1,FALSE)*$Z154</f>
        <v>8.5977370878559681E-2</v>
      </c>
      <c r="AN154" s="3">
        <f>VLOOKUP($AB154,'2000 Seattle Tracts'!$C$2:$Y$374,AN$1,FALSE)*$Z154</f>
        <v>8.2247540551236183E-3</v>
      </c>
      <c r="AO154" s="3">
        <f>VLOOKUP($AB154,'2000 Seattle Tracts'!$C$2:$Y$374,AO$1,FALSE)*$Z154</f>
        <v>1.6258234760128081E-3</v>
      </c>
      <c r="AP154" s="3">
        <f>VLOOKUP($AB154,'2000 Seattle Tracts'!$C$2:$Y$374,AP$1,FALSE)*$Z154</f>
        <v>0</v>
      </c>
      <c r="AQ154" s="3">
        <f>VLOOKUP($AB154,'2000 Seattle Tracts'!$C$2:$Y$374,AQ$1,FALSE)*$Z154</f>
        <v>2.7447725742098587E-2</v>
      </c>
      <c r="AR154" s="3">
        <f>VLOOKUP($AB154,'2000 Seattle Tracts'!$C$2:$Y$374,AR$1,FALSE)*$Z154</f>
        <v>5.2026351232409861E-2</v>
      </c>
      <c r="AS154" s="3">
        <f>VLOOKUP($AB154,'2000 Seattle Tracts'!$C$2:$Y$374,AS$1,FALSE)*$Z154</f>
        <v>1.6736418135425966E-3</v>
      </c>
      <c r="AT154" s="3">
        <f>VLOOKUP($AB154,'2000 Seattle Tracts'!$C$2:$Y$374,AT$1,FALSE)*$Z154</f>
        <v>5.6425638285150402E-3</v>
      </c>
      <c r="AU154" s="3">
        <f>VLOOKUP($AB154,'2000 Seattle Tracts'!$C$2:$Y$374,AU$1,FALSE)*$Z154</f>
        <v>3.1081919394362512E-3</v>
      </c>
      <c r="AV154" s="3">
        <f>VLOOKUP($AB154,'2000 Seattle Tracts'!$C$2:$Y$374,AV$1,FALSE)*$Z154</f>
        <v>1.2337131082685427E-2</v>
      </c>
      <c r="AW154" s="3">
        <f>VLOOKUP($AB154,'2000 Seattle Tracts'!$C$2:$Y$374,AW$1,FALSE)*$Z154</f>
        <v>1.3150042820691831E-2</v>
      </c>
      <c r="AX154" s="3">
        <f>VLOOKUP($AB154,'2000 Seattle Tracts'!$C$2:$Y$374,AX$1,FALSE)*$Z154</f>
        <v>1.3915136221168446E-2</v>
      </c>
    </row>
    <row r="155" spans="1:50" x14ac:dyDescent="0.25">
      <c r="A155" t="s">
        <v>2917</v>
      </c>
      <c r="B155" t="s">
        <v>2918</v>
      </c>
      <c r="C155" t="s">
        <v>2963</v>
      </c>
      <c r="D155" t="s">
        <v>2872</v>
      </c>
      <c r="E155" t="s">
        <v>2873</v>
      </c>
      <c r="F155" t="s">
        <v>2874</v>
      </c>
      <c r="G155" t="s">
        <v>2920</v>
      </c>
      <c r="H155" t="s">
        <v>2921</v>
      </c>
      <c r="I155">
        <v>1660245</v>
      </c>
      <c r="J155">
        <v>0</v>
      </c>
      <c r="K155" t="s">
        <v>2964</v>
      </c>
      <c r="L155" t="s">
        <v>2965</v>
      </c>
      <c r="M155">
        <v>88</v>
      </c>
      <c r="N155">
        <v>35177.063000000002</v>
      </c>
      <c r="O155" t="s">
        <v>184</v>
      </c>
      <c r="P155">
        <v>15</v>
      </c>
      <c r="Q155">
        <v>4</v>
      </c>
      <c r="R155">
        <v>94</v>
      </c>
      <c r="S155">
        <v>37406576</v>
      </c>
      <c r="T155">
        <v>90</v>
      </c>
      <c r="U155">
        <v>179</v>
      </c>
      <c r="V155">
        <v>35177.060803967521</v>
      </c>
      <c r="W155">
        <v>37406576.492632188</v>
      </c>
      <c r="X155">
        <v>1658832.9709999999</v>
      </c>
      <c r="Y155">
        <f>VLOOKUP(AB155,'2000 Seattle Tracts'!$C$2:$Z$374,24,FALSE)</f>
        <v>1660241.7420000001</v>
      </c>
      <c r="Z155">
        <f t="shared" si="4"/>
        <v>0.99915146634109853</v>
      </c>
      <c r="AA155" t="s">
        <v>189</v>
      </c>
      <c r="AB155" t="str">
        <f t="shared" si="5"/>
        <v>Census Tract 103, King County, Washington</v>
      </c>
      <c r="AC155" s="3">
        <f>VLOOKUP($AB155,'2000 Seattle Tracts'!$C$2:$Y$374,AC$1,FALSE)*$Z155</f>
        <v>6172.7577590553065</v>
      </c>
      <c r="AD155" s="3">
        <f>VLOOKUP($AB155,'2000 Seattle Tracts'!$C$2:$Y$374,AD$1,FALSE)*$Z155</f>
        <v>4074.5396797389999</v>
      </c>
      <c r="AE155" s="3">
        <f>VLOOKUP($AB155,'2000 Seattle Tracts'!$C$2:$Y$374,AE$1,FALSE)*$Z155</f>
        <v>2098.218079316307</v>
      </c>
      <c r="AF155" s="3">
        <f>VLOOKUP($AB155,'2000 Seattle Tracts'!$C$2:$Y$374,AF$1,FALSE)*$Z155</f>
        <v>6172.7577590553065</v>
      </c>
      <c r="AG155" s="3">
        <f>VLOOKUP($AB155,'2000 Seattle Tracts'!$C$2:$Y$374,AG$1,FALSE)*$Z155</f>
        <v>4074.5396797389999</v>
      </c>
      <c r="AH155" s="3">
        <f>VLOOKUP($AB155,'2000 Seattle Tracts'!$C$2:$Y$374,AH$1,FALSE)*$Z155</f>
        <v>2098.218079316307</v>
      </c>
      <c r="AI155" s="3">
        <f>VLOOKUP($AB155,'2000 Seattle Tracts'!$C$2:$Y$374,AI$1,FALSE)*$Z155</f>
        <v>1247.9401814600321</v>
      </c>
      <c r="AJ155" s="3">
        <f>VLOOKUP($AB155,'2000 Seattle Tracts'!$C$2:$Y$374,AJ$1,FALSE)*$Z155</f>
        <v>57.950785047783711</v>
      </c>
      <c r="AK155" s="3">
        <f>VLOOKUP($AB155,'2000 Seattle Tracts'!$C$2:$Y$374,AK$1,FALSE)*$Z155</f>
        <v>47.959270384372729</v>
      </c>
      <c r="AL155" s="3">
        <f>VLOOKUP($AB155,'2000 Seattle Tracts'!$C$2:$Y$374,AL$1,FALSE)*$Z155</f>
        <v>114.90241862922633</v>
      </c>
      <c r="AM155" s="3">
        <f>VLOOKUP($AB155,'2000 Seattle Tracts'!$C$2:$Y$374,AM$1,FALSE)*$Z155</f>
        <v>1796.474336481295</v>
      </c>
      <c r="AN155" s="3">
        <f>VLOOKUP($AB155,'2000 Seattle Tracts'!$C$2:$Y$374,AN$1,FALSE)*$Z155</f>
        <v>171.85405221066895</v>
      </c>
      <c r="AO155" s="3">
        <f>VLOOKUP($AB155,'2000 Seattle Tracts'!$C$2:$Y$374,AO$1,FALSE)*$Z155</f>
        <v>33.971149855597346</v>
      </c>
      <c r="AP155" s="3">
        <f>VLOOKUP($AB155,'2000 Seattle Tracts'!$C$2:$Y$374,AP$1,FALSE)*$Z155</f>
        <v>0</v>
      </c>
      <c r="AQ155" s="3">
        <f>VLOOKUP($AB155,'2000 Seattle Tracts'!$C$2:$Y$374,AQ$1,FALSE)*$Z155</f>
        <v>573.51294167979052</v>
      </c>
      <c r="AR155" s="3">
        <f>VLOOKUP($AB155,'2000 Seattle Tracts'!$C$2:$Y$374,AR$1,FALSE)*$Z155</f>
        <v>1087.0767953791151</v>
      </c>
      <c r="AS155" s="3">
        <f>VLOOKUP($AB155,'2000 Seattle Tracts'!$C$2:$Y$374,AS$1,FALSE)*$Z155</f>
        <v>34.97030132193845</v>
      </c>
      <c r="AT155" s="3">
        <f>VLOOKUP($AB155,'2000 Seattle Tracts'!$C$2:$Y$374,AT$1,FALSE)*$Z155</f>
        <v>117.89987302824963</v>
      </c>
      <c r="AU155" s="3">
        <f>VLOOKUP($AB155,'2000 Seattle Tracts'!$C$2:$Y$374,AU$1,FALSE)*$Z155</f>
        <v>64.94484531217141</v>
      </c>
      <c r="AV155" s="3">
        <f>VLOOKUP($AB155,'2000 Seattle Tracts'!$C$2:$Y$374,AV$1,FALSE)*$Z155</f>
        <v>257.7810783160034</v>
      </c>
      <c r="AW155" s="3">
        <f>VLOOKUP($AB155,'2000 Seattle Tracts'!$C$2:$Y$374,AW$1,FALSE)*$Z155</f>
        <v>274.76665324380207</v>
      </c>
      <c r="AX155" s="3">
        <f>VLOOKUP($AB155,'2000 Seattle Tracts'!$C$2:$Y$374,AX$1,FALSE)*$Z155</f>
        <v>290.75307670525967</v>
      </c>
    </row>
    <row r="156" spans="1:50" x14ac:dyDescent="0.25">
      <c r="A156" t="s">
        <v>2917</v>
      </c>
      <c r="B156" t="s">
        <v>2918</v>
      </c>
      <c r="C156" t="s">
        <v>2963</v>
      </c>
      <c r="D156" t="s">
        <v>2872</v>
      </c>
      <c r="E156" t="s">
        <v>2873</v>
      </c>
      <c r="F156" t="s">
        <v>2874</v>
      </c>
      <c r="G156" t="s">
        <v>2920</v>
      </c>
      <c r="H156" t="s">
        <v>2921</v>
      </c>
      <c r="I156">
        <v>1660245</v>
      </c>
      <c r="J156">
        <v>0</v>
      </c>
      <c r="K156" t="s">
        <v>2964</v>
      </c>
      <c r="L156" t="s">
        <v>2965</v>
      </c>
      <c r="M156">
        <v>95</v>
      </c>
      <c r="N156">
        <v>52212.785000000003</v>
      </c>
      <c r="O156" t="s">
        <v>198</v>
      </c>
      <c r="P156">
        <v>16</v>
      </c>
      <c r="Q156">
        <v>11</v>
      </c>
      <c r="R156">
        <v>95</v>
      </c>
      <c r="S156">
        <v>43835280</v>
      </c>
      <c r="T156">
        <v>97</v>
      </c>
      <c r="U156">
        <v>173</v>
      </c>
      <c r="V156">
        <v>52212.786810353093</v>
      </c>
      <c r="W156">
        <v>43835279.005916066</v>
      </c>
      <c r="X156">
        <v>36.68</v>
      </c>
      <c r="Y156">
        <f>VLOOKUP(AB156,'2000 Seattle Tracts'!$C$2:$Z$374,24,FALSE)</f>
        <v>1660241.7420000001</v>
      </c>
      <c r="Z156">
        <f t="shared" si="4"/>
        <v>2.2093168164663577E-5</v>
      </c>
      <c r="AA156" t="s">
        <v>197</v>
      </c>
      <c r="AB156" t="str">
        <f t="shared" si="5"/>
        <v>Census Tract 103, King County, Washington</v>
      </c>
      <c r="AC156" s="3">
        <f>VLOOKUP($AB156,'2000 Seattle Tracts'!$C$2:$Y$374,AC$1,FALSE)*$Z156</f>
        <v>0.13649159292129159</v>
      </c>
      <c r="AD156" s="3">
        <f>VLOOKUP($AB156,'2000 Seattle Tracts'!$C$2:$Y$374,AD$1,FALSE)*$Z156</f>
        <v>9.0095939775498068E-2</v>
      </c>
      <c r="AE156" s="3">
        <f>VLOOKUP($AB156,'2000 Seattle Tracts'!$C$2:$Y$374,AE$1,FALSE)*$Z156</f>
        <v>4.6395653145793511E-2</v>
      </c>
      <c r="AF156" s="3">
        <f>VLOOKUP($AB156,'2000 Seattle Tracts'!$C$2:$Y$374,AF$1,FALSE)*$Z156</f>
        <v>0.13649159292129159</v>
      </c>
      <c r="AG156" s="3">
        <f>VLOOKUP($AB156,'2000 Seattle Tracts'!$C$2:$Y$374,AG$1,FALSE)*$Z156</f>
        <v>9.0095939775498068E-2</v>
      </c>
      <c r="AH156" s="3">
        <f>VLOOKUP($AB156,'2000 Seattle Tracts'!$C$2:$Y$374,AH$1,FALSE)*$Z156</f>
        <v>4.6395653145793511E-2</v>
      </c>
      <c r="AI156" s="3">
        <f>VLOOKUP($AB156,'2000 Seattle Tracts'!$C$2:$Y$374,AI$1,FALSE)*$Z156</f>
        <v>2.7594367037664807E-2</v>
      </c>
      <c r="AJ156" s="3">
        <f>VLOOKUP($AB156,'2000 Seattle Tracts'!$C$2:$Y$374,AJ$1,FALSE)*$Z156</f>
        <v>1.2814037535504874E-3</v>
      </c>
      <c r="AK156" s="3">
        <f>VLOOKUP($AB156,'2000 Seattle Tracts'!$C$2:$Y$374,AK$1,FALSE)*$Z156</f>
        <v>1.0604720719038516E-3</v>
      </c>
      <c r="AL156" s="3">
        <f>VLOOKUP($AB156,'2000 Seattle Tracts'!$C$2:$Y$374,AL$1,FALSE)*$Z156</f>
        <v>2.5407143389363112E-3</v>
      </c>
      <c r="AM156" s="3">
        <f>VLOOKUP($AB156,'2000 Seattle Tracts'!$C$2:$Y$374,AM$1,FALSE)*$Z156</f>
        <v>3.972351636006511E-2</v>
      </c>
      <c r="AN156" s="3">
        <f>VLOOKUP($AB156,'2000 Seattle Tracts'!$C$2:$Y$374,AN$1,FALSE)*$Z156</f>
        <v>3.8000249243221353E-3</v>
      </c>
      <c r="AO156" s="3">
        <f>VLOOKUP($AB156,'2000 Seattle Tracts'!$C$2:$Y$374,AO$1,FALSE)*$Z156</f>
        <v>7.5116771759856159E-4</v>
      </c>
      <c r="AP156" s="3">
        <f>VLOOKUP($AB156,'2000 Seattle Tracts'!$C$2:$Y$374,AP$1,FALSE)*$Z156</f>
        <v>0</v>
      </c>
      <c r="AQ156" s="3">
        <f>VLOOKUP($AB156,'2000 Seattle Tracts'!$C$2:$Y$374,AQ$1,FALSE)*$Z156</f>
        <v>1.2681478526516894E-2</v>
      </c>
      <c r="AR156" s="3">
        <f>VLOOKUP($AB156,'2000 Seattle Tracts'!$C$2:$Y$374,AR$1,FALSE)*$Z156</f>
        <v>2.4037366963153971E-2</v>
      </c>
      <c r="AS156" s="3">
        <f>VLOOKUP($AB156,'2000 Seattle Tracts'!$C$2:$Y$374,AS$1,FALSE)*$Z156</f>
        <v>7.7326088576322525E-4</v>
      </c>
      <c r="AT156" s="3">
        <f>VLOOKUP($AB156,'2000 Seattle Tracts'!$C$2:$Y$374,AT$1,FALSE)*$Z156</f>
        <v>2.6069938434303023E-3</v>
      </c>
      <c r="AU156" s="3">
        <f>VLOOKUP($AB156,'2000 Seattle Tracts'!$C$2:$Y$374,AU$1,FALSE)*$Z156</f>
        <v>1.4360559307031325E-3</v>
      </c>
      <c r="AV156" s="3">
        <f>VLOOKUP($AB156,'2000 Seattle Tracts'!$C$2:$Y$374,AV$1,FALSE)*$Z156</f>
        <v>5.7000373864832029E-3</v>
      </c>
      <c r="AW156" s="3">
        <f>VLOOKUP($AB156,'2000 Seattle Tracts'!$C$2:$Y$374,AW$1,FALSE)*$Z156</f>
        <v>6.0756212452824834E-3</v>
      </c>
      <c r="AX156" s="3">
        <f>VLOOKUP($AB156,'2000 Seattle Tracts'!$C$2:$Y$374,AX$1,FALSE)*$Z156</f>
        <v>6.4291119359171011E-3</v>
      </c>
    </row>
    <row r="157" spans="1:50" x14ac:dyDescent="0.25">
      <c r="A157" t="s">
        <v>2917</v>
      </c>
      <c r="B157" t="s">
        <v>2918</v>
      </c>
      <c r="C157" t="s">
        <v>2960</v>
      </c>
      <c r="D157" t="s">
        <v>2875</v>
      </c>
      <c r="E157" t="s">
        <v>2876</v>
      </c>
      <c r="F157" t="s">
        <v>2877</v>
      </c>
      <c r="G157" t="s">
        <v>2920</v>
      </c>
      <c r="H157" t="s">
        <v>2921</v>
      </c>
      <c r="I157">
        <v>2781085</v>
      </c>
      <c r="J157">
        <v>1399183</v>
      </c>
      <c r="K157" t="s">
        <v>3415</v>
      </c>
      <c r="L157" t="s">
        <v>3416</v>
      </c>
      <c r="M157">
        <v>83</v>
      </c>
      <c r="N157">
        <v>18911.330000000002</v>
      </c>
      <c r="O157" t="s">
        <v>184</v>
      </c>
      <c r="P157">
        <v>15</v>
      </c>
      <c r="Q157">
        <v>4</v>
      </c>
      <c r="R157">
        <v>19</v>
      </c>
      <c r="S157">
        <v>18366938</v>
      </c>
      <c r="T157">
        <v>85</v>
      </c>
      <c r="U157">
        <v>185</v>
      </c>
      <c r="V157">
        <v>18911.329349083731</v>
      </c>
      <c r="W157">
        <v>18366938.27518687</v>
      </c>
      <c r="X157">
        <v>4.3529999999999998</v>
      </c>
      <c r="Y157">
        <f>VLOOKUP(AB157,'2000 Seattle Tracts'!$C$2:$Z$374,24,FALSE)</f>
        <v>2749743.26</v>
      </c>
      <c r="Z157">
        <f t="shared" si="4"/>
        <v>1.5830568850998839E-6</v>
      </c>
      <c r="AA157" t="s">
        <v>183</v>
      </c>
      <c r="AB157" t="str">
        <f t="shared" si="5"/>
        <v>Census Tract 102, King County, Washington</v>
      </c>
      <c r="AC157" s="3">
        <f>VLOOKUP($AB157,'2000 Seattle Tracts'!$C$2:$Y$374,AC$1,FALSE)*$Z157</f>
        <v>7.7094870304364347E-3</v>
      </c>
      <c r="AD157" s="3">
        <f>VLOOKUP($AB157,'2000 Seattle Tracts'!$C$2:$Y$374,AD$1,FALSE)*$Z157</f>
        <v>6.2087491033617449E-3</v>
      </c>
      <c r="AE157" s="3">
        <f>VLOOKUP($AB157,'2000 Seattle Tracts'!$C$2:$Y$374,AE$1,FALSE)*$Z157</f>
        <v>1.5007379270746901E-3</v>
      </c>
      <c r="AF157" s="3">
        <f>VLOOKUP($AB157,'2000 Seattle Tracts'!$C$2:$Y$374,AF$1,FALSE)*$Z157</f>
        <v>7.7094870304364347E-3</v>
      </c>
      <c r="AG157" s="3">
        <f>VLOOKUP($AB157,'2000 Seattle Tracts'!$C$2:$Y$374,AG$1,FALSE)*$Z157</f>
        <v>6.2087491033617449E-3</v>
      </c>
      <c r="AH157" s="3">
        <f>VLOOKUP($AB157,'2000 Seattle Tracts'!$C$2:$Y$374,AH$1,FALSE)*$Z157</f>
        <v>1.5007379270746901E-3</v>
      </c>
      <c r="AI157" s="3">
        <f>VLOOKUP($AB157,'2000 Seattle Tracts'!$C$2:$Y$374,AI$1,FALSE)*$Z157</f>
        <v>3.6014544136022358E-3</v>
      </c>
      <c r="AJ157" s="3">
        <f>VLOOKUP($AB157,'2000 Seattle Tracts'!$C$2:$Y$374,AJ$1,FALSE)*$Z157</f>
        <v>2.7545189800737979E-4</v>
      </c>
      <c r="AK157" s="3">
        <f>VLOOKUP($AB157,'2000 Seattle Tracts'!$C$2:$Y$374,AK$1,FALSE)*$Z157</f>
        <v>8.2318958025193959E-5</v>
      </c>
      <c r="AL157" s="3">
        <f>VLOOKUP($AB157,'2000 Seattle Tracts'!$C$2:$Y$374,AL$1,FALSE)*$Z157</f>
        <v>0</v>
      </c>
      <c r="AM157" s="3">
        <f>VLOOKUP($AB157,'2000 Seattle Tracts'!$C$2:$Y$374,AM$1,FALSE)*$Z157</f>
        <v>1.2996897026670048E-3</v>
      </c>
      <c r="AN157" s="3">
        <f>VLOOKUP($AB157,'2000 Seattle Tracts'!$C$2:$Y$374,AN$1,FALSE)*$Z157</f>
        <v>1.8521765555668641E-4</v>
      </c>
      <c r="AO157" s="3">
        <f>VLOOKUP($AB157,'2000 Seattle Tracts'!$C$2:$Y$374,AO$1,FALSE)*$Z157</f>
        <v>1.1081398195699188E-5</v>
      </c>
      <c r="AP157" s="3">
        <f>VLOOKUP($AB157,'2000 Seattle Tracts'!$C$2:$Y$374,AP$1,FALSE)*$Z157</f>
        <v>0</v>
      </c>
      <c r="AQ157" s="3">
        <f>VLOOKUP($AB157,'2000 Seattle Tracts'!$C$2:$Y$374,AQ$1,FALSE)*$Z157</f>
        <v>7.0762642763964813E-4</v>
      </c>
      <c r="AR157" s="3">
        <f>VLOOKUP($AB157,'2000 Seattle Tracts'!$C$2:$Y$374,AR$1,FALSE)*$Z157</f>
        <v>9.8307832564702787E-4</v>
      </c>
      <c r="AS157" s="3">
        <f>VLOOKUP($AB157,'2000 Seattle Tracts'!$C$2:$Y$374,AS$1,FALSE)*$Z157</f>
        <v>0</v>
      </c>
      <c r="AT157" s="3">
        <f>VLOOKUP($AB157,'2000 Seattle Tracts'!$C$2:$Y$374,AT$1,FALSE)*$Z157</f>
        <v>0</v>
      </c>
      <c r="AU157" s="3">
        <f>VLOOKUP($AB157,'2000 Seattle Tracts'!$C$2:$Y$374,AU$1,FALSE)*$Z157</f>
        <v>3.3244194587097563E-5</v>
      </c>
      <c r="AV157" s="3">
        <f>VLOOKUP($AB157,'2000 Seattle Tracts'!$C$2:$Y$374,AV$1,FALSE)*$Z157</f>
        <v>0</v>
      </c>
      <c r="AW157" s="3">
        <f>VLOOKUP($AB157,'2000 Seattle Tracts'!$C$2:$Y$374,AW$1,FALSE)*$Z157</f>
        <v>4.7333400864486532E-4</v>
      </c>
      <c r="AX157" s="3">
        <f>VLOOKUP($AB157,'2000 Seattle Tracts'!$C$2:$Y$374,AX$1,FALSE)*$Z157</f>
        <v>5.6990047863595819E-5</v>
      </c>
    </row>
    <row r="158" spans="1:50" x14ac:dyDescent="0.25">
      <c r="A158" t="s">
        <v>2917</v>
      </c>
      <c r="B158" t="s">
        <v>2918</v>
      </c>
      <c r="C158" t="s">
        <v>2960</v>
      </c>
      <c r="D158" t="s">
        <v>2875</v>
      </c>
      <c r="E158" t="s">
        <v>2876</v>
      </c>
      <c r="F158" t="s">
        <v>2877</v>
      </c>
      <c r="G158" t="s">
        <v>2920</v>
      </c>
      <c r="H158" t="s">
        <v>2921</v>
      </c>
      <c r="I158">
        <v>2781085</v>
      </c>
      <c r="J158">
        <v>1399183</v>
      </c>
      <c r="K158" t="s">
        <v>3415</v>
      </c>
      <c r="L158" t="s">
        <v>3416</v>
      </c>
      <c r="M158">
        <v>88</v>
      </c>
      <c r="N158">
        <v>35177.063000000002</v>
      </c>
      <c r="O158" t="s">
        <v>184</v>
      </c>
      <c r="P158">
        <v>15</v>
      </c>
      <c r="Q158">
        <v>4</v>
      </c>
      <c r="R158">
        <v>94</v>
      </c>
      <c r="S158">
        <v>37406576</v>
      </c>
      <c r="T158">
        <v>90</v>
      </c>
      <c r="U158">
        <v>179</v>
      </c>
      <c r="V158">
        <v>35177.060803967521</v>
      </c>
      <c r="W158">
        <v>37406576.492632188</v>
      </c>
      <c r="X158">
        <v>283212.429</v>
      </c>
      <c r="Y158">
        <f>VLOOKUP(AB158,'2000 Seattle Tracts'!$C$2:$Z$374,24,FALSE)</f>
        <v>2749743.26</v>
      </c>
      <c r="Z158">
        <f t="shared" si="4"/>
        <v>0.10299595352040249</v>
      </c>
      <c r="AA158" t="s">
        <v>189</v>
      </c>
      <c r="AB158" t="str">
        <f t="shared" si="5"/>
        <v>Census Tract 102, King County, Washington</v>
      </c>
      <c r="AC158" s="3">
        <f>VLOOKUP($AB158,'2000 Seattle Tracts'!$C$2:$Y$374,AC$1,FALSE)*$Z158</f>
        <v>501.59029364436009</v>
      </c>
      <c r="AD158" s="3">
        <f>VLOOKUP($AB158,'2000 Seattle Tracts'!$C$2:$Y$374,AD$1,FALSE)*$Z158</f>
        <v>403.95012970701856</v>
      </c>
      <c r="AE158" s="3">
        <f>VLOOKUP($AB158,'2000 Seattle Tracts'!$C$2:$Y$374,AE$1,FALSE)*$Z158</f>
        <v>97.640163937341555</v>
      </c>
      <c r="AF158" s="3">
        <f>VLOOKUP($AB158,'2000 Seattle Tracts'!$C$2:$Y$374,AF$1,FALSE)*$Z158</f>
        <v>501.59029364436009</v>
      </c>
      <c r="AG158" s="3">
        <f>VLOOKUP($AB158,'2000 Seattle Tracts'!$C$2:$Y$374,AG$1,FALSE)*$Z158</f>
        <v>403.95012970701856</v>
      </c>
      <c r="AH158" s="3">
        <f>VLOOKUP($AB158,'2000 Seattle Tracts'!$C$2:$Y$374,AH$1,FALSE)*$Z158</f>
        <v>97.640163937341555</v>
      </c>
      <c r="AI158" s="3">
        <f>VLOOKUP($AB158,'2000 Seattle Tracts'!$C$2:$Y$374,AI$1,FALSE)*$Z158</f>
        <v>234.31579425891564</v>
      </c>
      <c r="AJ158" s="3">
        <f>VLOOKUP($AB158,'2000 Seattle Tracts'!$C$2:$Y$374,AJ$1,FALSE)*$Z158</f>
        <v>17.921295912550033</v>
      </c>
      <c r="AK158" s="3">
        <f>VLOOKUP($AB158,'2000 Seattle Tracts'!$C$2:$Y$374,AK$1,FALSE)*$Z158</f>
        <v>5.355789583060929</v>
      </c>
      <c r="AL158" s="3">
        <f>VLOOKUP($AB158,'2000 Seattle Tracts'!$C$2:$Y$374,AL$1,FALSE)*$Z158</f>
        <v>0</v>
      </c>
      <c r="AM158" s="3">
        <f>VLOOKUP($AB158,'2000 Seattle Tracts'!$C$2:$Y$374,AM$1,FALSE)*$Z158</f>
        <v>84.559677840250444</v>
      </c>
      <c r="AN158" s="3">
        <f>VLOOKUP($AB158,'2000 Seattle Tracts'!$C$2:$Y$374,AN$1,FALSE)*$Z158</f>
        <v>12.050526561887091</v>
      </c>
      <c r="AO158" s="3">
        <f>VLOOKUP($AB158,'2000 Seattle Tracts'!$C$2:$Y$374,AO$1,FALSE)*$Z158</f>
        <v>0.72097167464281742</v>
      </c>
      <c r="AP158" s="3">
        <f>VLOOKUP($AB158,'2000 Seattle Tracts'!$C$2:$Y$374,AP$1,FALSE)*$Z158</f>
        <v>0</v>
      </c>
      <c r="AQ158" s="3">
        <f>VLOOKUP($AB158,'2000 Seattle Tracts'!$C$2:$Y$374,AQ$1,FALSE)*$Z158</f>
        <v>46.039191223619909</v>
      </c>
      <c r="AR158" s="3">
        <f>VLOOKUP($AB158,'2000 Seattle Tracts'!$C$2:$Y$374,AR$1,FALSE)*$Z158</f>
        <v>63.960487136169945</v>
      </c>
      <c r="AS158" s="3">
        <f>VLOOKUP($AB158,'2000 Seattle Tracts'!$C$2:$Y$374,AS$1,FALSE)*$Z158</f>
        <v>0</v>
      </c>
      <c r="AT158" s="3">
        <f>VLOOKUP($AB158,'2000 Seattle Tracts'!$C$2:$Y$374,AT$1,FALSE)*$Z158</f>
        <v>0</v>
      </c>
      <c r="AU158" s="3">
        <f>VLOOKUP($AB158,'2000 Seattle Tracts'!$C$2:$Y$374,AU$1,FALSE)*$Z158</f>
        <v>2.162915023928452</v>
      </c>
      <c r="AV158" s="3">
        <f>VLOOKUP($AB158,'2000 Seattle Tracts'!$C$2:$Y$374,AV$1,FALSE)*$Z158</f>
        <v>0</v>
      </c>
      <c r="AW158" s="3">
        <f>VLOOKUP($AB158,'2000 Seattle Tracts'!$C$2:$Y$374,AW$1,FALSE)*$Z158</f>
        <v>30.795790102600343</v>
      </c>
      <c r="AX158" s="3">
        <f>VLOOKUP($AB158,'2000 Seattle Tracts'!$C$2:$Y$374,AX$1,FALSE)*$Z158</f>
        <v>3.7078543267344894</v>
      </c>
    </row>
    <row r="159" spans="1:50" x14ac:dyDescent="0.25">
      <c r="A159" t="s">
        <v>2917</v>
      </c>
      <c r="B159" t="s">
        <v>2918</v>
      </c>
      <c r="C159" t="s">
        <v>2960</v>
      </c>
      <c r="D159" t="s">
        <v>2875</v>
      </c>
      <c r="E159" t="s">
        <v>2876</v>
      </c>
      <c r="F159" t="s">
        <v>2877</v>
      </c>
      <c r="G159" t="s">
        <v>2920</v>
      </c>
      <c r="H159" t="s">
        <v>2921</v>
      </c>
      <c r="I159">
        <v>2781085</v>
      </c>
      <c r="J159">
        <v>1399183</v>
      </c>
      <c r="K159" t="s">
        <v>3415</v>
      </c>
      <c r="L159" t="s">
        <v>3416</v>
      </c>
      <c r="M159">
        <v>95</v>
      </c>
      <c r="N159">
        <v>52212.785000000003</v>
      </c>
      <c r="O159" t="s">
        <v>198</v>
      </c>
      <c r="P159">
        <v>16</v>
      </c>
      <c r="Q159">
        <v>11</v>
      </c>
      <c r="R159">
        <v>95</v>
      </c>
      <c r="S159">
        <v>43835280</v>
      </c>
      <c r="T159">
        <v>97</v>
      </c>
      <c r="U159">
        <v>173</v>
      </c>
      <c r="V159">
        <v>52212.786810353093</v>
      </c>
      <c r="W159">
        <v>43835279.005916066</v>
      </c>
      <c r="X159">
        <v>2455654.997</v>
      </c>
      <c r="Y159">
        <f>VLOOKUP(AB159,'2000 Seattle Tracts'!$C$2:$Z$374,24,FALSE)</f>
        <v>2749743.26</v>
      </c>
      <c r="Z159">
        <f t="shared" si="4"/>
        <v>0.89304882849317369</v>
      </c>
      <c r="AA159" t="s">
        <v>197</v>
      </c>
      <c r="AB159" t="str">
        <f t="shared" si="5"/>
        <v>Census Tract 102, King County, Washington</v>
      </c>
      <c r="AC159" s="3">
        <f>VLOOKUP($AB159,'2000 Seattle Tracts'!$C$2:$Y$374,AC$1,FALSE)*$Z159</f>
        <v>4349.1477947617559</v>
      </c>
      <c r="AD159" s="3">
        <f>VLOOKUP($AB159,'2000 Seattle Tracts'!$C$2:$Y$374,AD$1,FALSE)*$Z159</f>
        <v>3502.5375053502271</v>
      </c>
      <c r="AE159" s="3">
        <f>VLOOKUP($AB159,'2000 Seattle Tracts'!$C$2:$Y$374,AE$1,FALSE)*$Z159</f>
        <v>846.6102894115287</v>
      </c>
      <c r="AF159" s="3">
        <f>VLOOKUP($AB159,'2000 Seattle Tracts'!$C$2:$Y$374,AF$1,FALSE)*$Z159</f>
        <v>4349.1477947617559</v>
      </c>
      <c r="AG159" s="3">
        <f>VLOOKUP($AB159,'2000 Seattle Tracts'!$C$2:$Y$374,AG$1,FALSE)*$Z159</f>
        <v>3502.5375053502271</v>
      </c>
      <c r="AH159" s="3">
        <f>VLOOKUP($AB159,'2000 Seattle Tracts'!$C$2:$Y$374,AH$1,FALSE)*$Z159</f>
        <v>846.6102894115287</v>
      </c>
      <c r="AI159" s="3">
        <f>VLOOKUP($AB159,'2000 Seattle Tracts'!$C$2:$Y$374,AI$1,FALSE)*$Z159</f>
        <v>2031.6860848219701</v>
      </c>
      <c r="AJ159" s="3">
        <f>VLOOKUP($AB159,'2000 Seattle Tracts'!$C$2:$Y$374,AJ$1,FALSE)*$Z159</f>
        <v>155.39049615781221</v>
      </c>
      <c r="AK159" s="3">
        <f>VLOOKUP($AB159,'2000 Seattle Tracts'!$C$2:$Y$374,AK$1,FALSE)*$Z159</f>
        <v>46.438539081645033</v>
      </c>
      <c r="AL159" s="3">
        <f>VLOOKUP($AB159,'2000 Seattle Tracts'!$C$2:$Y$374,AL$1,FALSE)*$Z159</f>
        <v>0</v>
      </c>
      <c r="AM159" s="3">
        <f>VLOOKUP($AB159,'2000 Seattle Tracts'!$C$2:$Y$374,AM$1,FALSE)*$Z159</f>
        <v>733.19308819289563</v>
      </c>
      <c r="AN159" s="3">
        <f>VLOOKUP($AB159,'2000 Seattle Tracts'!$C$2:$Y$374,AN$1,FALSE)*$Z159</f>
        <v>104.48671293370133</v>
      </c>
      <c r="AO159" s="3">
        <f>VLOOKUP($AB159,'2000 Seattle Tracts'!$C$2:$Y$374,AO$1,FALSE)*$Z159</f>
        <v>6.2513417994522156</v>
      </c>
      <c r="AP159" s="3">
        <f>VLOOKUP($AB159,'2000 Seattle Tracts'!$C$2:$Y$374,AP$1,FALSE)*$Z159</f>
        <v>0</v>
      </c>
      <c r="AQ159" s="3">
        <f>VLOOKUP($AB159,'2000 Seattle Tracts'!$C$2:$Y$374,AQ$1,FALSE)*$Z159</f>
        <v>399.19282633644866</v>
      </c>
      <c r="AR159" s="3">
        <f>VLOOKUP($AB159,'2000 Seattle Tracts'!$C$2:$Y$374,AR$1,FALSE)*$Z159</f>
        <v>554.58332249426087</v>
      </c>
      <c r="AS159" s="3">
        <f>VLOOKUP($AB159,'2000 Seattle Tracts'!$C$2:$Y$374,AS$1,FALSE)*$Z159</f>
        <v>0</v>
      </c>
      <c r="AT159" s="3">
        <f>VLOOKUP($AB159,'2000 Seattle Tracts'!$C$2:$Y$374,AT$1,FALSE)*$Z159</f>
        <v>0</v>
      </c>
      <c r="AU159" s="3">
        <f>VLOOKUP($AB159,'2000 Seattle Tracts'!$C$2:$Y$374,AU$1,FALSE)*$Z159</f>
        <v>18.754025398356646</v>
      </c>
      <c r="AV159" s="3">
        <f>VLOOKUP($AB159,'2000 Seattle Tracts'!$C$2:$Y$374,AV$1,FALSE)*$Z159</f>
        <v>0</v>
      </c>
      <c r="AW159" s="3">
        <f>VLOOKUP($AB159,'2000 Seattle Tracts'!$C$2:$Y$374,AW$1,FALSE)*$Z159</f>
        <v>267.02159971945895</v>
      </c>
      <c r="AX159" s="3">
        <f>VLOOKUP($AB159,'2000 Seattle Tracts'!$C$2:$Y$374,AX$1,FALSE)*$Z159</f>
        <v>32.14975782575425</v>
      </c>
    </row>
    <row r="160" spans="1:50" x14ac:dyDescent="0.25">
      <c r="A160" t="s">
        <v>2917</v>
      </c>
      <c r="B160" t="s">
        <v>2918</v>
      </c>
      <c r="C160" t="s">
        <v>2957</v>
      </c>
      <c r="D160" t="s">
        <v>2878</v>
      </c>
      <c r="E160" t="s">
        <v>2879</v>
      </c>
      <c r="F160" t="s">
        <v>2880</v>
      </c>
      <c r="G160" t="s">
        <v>2920</v>
      </c>
      <c r="H160" t="s">
        <v>2921</v>
      </c>
      <c r="I160">
        <v>2509594</v>
      </c>
      <c r="J160">
        <v>1534926</v>
      </c>
      <c r="K160" t="s">
        <v>3417</v>
      </c>
      <c r="L160" t="s">
        <v>3418</v>
      </c>
      <c r="M160">
        <v>25</v>
      </c>
      <c r="N160">
        <v>730.19799999999998</v>
      </c>
      <c r="P160">
        <v>0</v>
      </c>
      <c r="Q160">
        <v>0</v>
      </c>
      <c r="R160">
        <v>0</v>
      </c>
      <c r="S160">
        <v>35565.781000000003</v>
      </c>
      <c r="T160">
        <v>27</v>
      </c>
      <c r="U160">
        <v>0</v>
      </c>
      <c r="V160">
        <v>730.19833529257301</v>
      </c>
      <c r="W160">
        <v>35565.786815697182</v>
      </c>
      <c r="X160">
        <v>3304.2570000000001</v>
      </c>
      <c r="Y160">
        <f>VLOOKUP(AB160,'2000 Seattle Tracts'!$C$2:$Z$374,24,FALSE)</f>
        <v>2482464.2779999999</v>
      </c>
      <c r="Z160">
        <f t="shared" si="4"/>
        <v>1.3310390925995834E-3</v>
      </c>
      <c r="AA160" t="s">
        <v>115</v>
      </c>
      <c r="AB160" t="str">
        <f t="shared" si="5"/>
        <v>Census Tract 101, King County, Washington</v>
      </c>
      <c r="AC160" s="3">
        <f>VLOOKUP($AB160,'2000 Seattle Tracts'!$C$2:$Y$374,AC$1,FALSE)*$Z160</f>
        <v>7.9103653273193242</v>
      </c>
      <c r="AD160" s="3">
        <f>VLOOKUP($AB160,'2000 Seattle Tracts'!$C$2:$Y$374,AD$1,FALSE)*$Z160</f>
        <v>5.739440567289404</v>
      </c>
      <c r="AE160" s="3">
        <f>VLOOKUP($AB160,'2000 Seattle Tracts'!$C$2:$Y$374,AE$1,FALSE)*$Z160</f>
        <v>2.1709247600299206</v>
      </c>
      <c r="AF160" s="3">
        <f>VLOOKUP($AB160,'2000 Seattle Tracts'!$C$2:$Y$374,AF$1,FALSE)*$Z160</f>
        <v>7.9103653273193242</v>
      </c>
      <c r="AG160" s="3">
        <f>VLOOKUP($AB160,'2000 Seattle Tracts'!$C$2:$Y$374,AG$1,FALSE)*$Z160</f>
        <v>5.739440567289404</v>
      </c>
      <c r="AH160" s="3">
        <f>VLOOKUP($AB160,'2000 Seattle Tracts'!$C$2:$Y$374,AH$1,FALSE)*$Z160</f>
        <v>2.1709247600299206</v>
      </c>
      <c r="AI160" s="3">
        <f>VLOOKUP($AB160,'2000 Seattle Tracts'!$C$2:$Y$374,AI$1,FALSE)*$Z160</f>
        <v>2.6274711687915775</v>
      </c>
      <c r="AJ160" s="3">
        <f>VLOOKUP($AB160,'2000 Seattle Tracts'!$C$2:$Y$374,AJ$1,FALSE)*$Z160</f>
        <v>0.14774533927855377</v>
      </c>
      <c r="AK160" s="3">
        <f>VLOOKUP($AB160,'2000 Seattle Tracts'!$C$2:$Y$374,AK$1,FALSE)*$Z160</f>
        <v>0.10914520559316584</v>
      </c>
      <c r="AL160" s="3">
        <f>VLOOKUP($AB160,'2000 Seattle Tracts'!$C$2:$Y$374,AL$1,FALSE)*$Z160</f>
        <v>3.0613899129790418E-2</v>
      </c>
      <c r="AM160" s="3">
        <f>VLOOKUP($AB160,'2000 Seattle Tracts'!$C$2:$Y$374,AM$1,FALSE)*$Z160</f>
        <v>1.8155373223058318</v>
      </c>
      <c r="AN160" s="3">
        <f>VLOOKUP($AB160,'2000 Seattle Tracts'!$C$2:$Y$374,AN$1,FALSE)*$Z160</f>
        <v>0.35405639863148919</v>
      </c>
      <c r="AO160" s="3">
        <f>VLOOKUP($AB160,'2000 Seattle Tracts'!$C$2:$Y$374,AO$1,FALSE)*$Z160</f>
        <v>0</v>
      </c>
      <c r="AP160" s="3">
        <f>VLOOKUP($AB160,'2000 Seattle Tracts'!$C$2:$Y$374,AP$1,FALSE)*$Z160</f>
        <v>0</v>
      </c>
      <c r="AQ160" s="3">
        <f>VLOOKUP($AB160,'2000 Seattle Tracts'!$C$2:$Y$374,AQ$1,FALSE)*$Z160</f>
        <v>0.52842251976203458</v>
      </c>
      <c r="AR160" s="3">
        <f>VLOOKUP($AB160,'2000 Seattle Tracts'!$C$2:$Y$374,AR$1,FALSE)*$Z160</f>
        <v>1.3257149362291851</v>
      </c>
      <c r="AS160" s="3">
        <f>VLOOKUP($AB160,'2000 Seattle Tracts'!$C$2:$Y$374,AS$1,FALSE)*$Z160</f>
        <v>1.9965586388993751E-2</v>
      </c>
      <c r="AT160" s="3">
        <f>VLOOKUP($AB160,'2000 Seattle Tracts'!$C$2:$Y$374,AT$1,FALSE)*$Z160</f>
        <v>7.9862345555975003E-3</v>
      </c>
      <c r="AU160" s="3">
        <f>VLOOKUP($AB160,'2000 Seattle Tracts'!$C$2:$Y$374,AU$1,FALSE)*$Z160</f>
        <v>0.16371780838974875</v>
      </c>
      <c r="AV160" s="3">
        <f>VLOOKUP($AB160,'2000 Seattle Tracts'!$C$2:$Y$374,AV$1,FALSE)*$Z160</f>
        <v>0.14641430018595417</v>
      </c>
      <c r="AW160" s="3">
        <f>VLOOKUP($AB160,'2000 Seattle Tracts'!$C$2:$Y$374,AW$1,FALSE)*$Z160</f>
        <v>0.47518095605805127</v>
      </c>
      <c r="AX160" s="3">
        <f>VLOOKUP($AB160,'2000 Seattle Tracts'!$C$2:$Y$374,AX$1,FALSE)*$Z160</f>
        <v>0.15839365201935043</v>
      </c>
    </row>
    <row r="161" spans="1:50" x14ac:dyDescent="0.25">
      <c r="A161" t="s">
        <v>2917</v>
      </c>
      <c r="B161" t="s">
        <v>2918</v>
      </c>
      <c r="C161" t="s">
        <v>2957</v>
      </c>
      <c r="D161" t="s">
        <v>2878</v>
      </c>
      <c r="E161" t="s">
        <v>2879</v>
      </c>
      <c r="F161" t="s">
        <v>2880</v>
      </c>
      <c r="G161" t="s">
        <v>2920</v>
      </c>
      <c r="H161" t="s">
        <v>2921</v>
      </c>
      <c r="I161">
        <v>2509594</v>
      </c>
      <c r="J161">
        <v>1534926</v>
      </c>
      <c r="K161" t="s">
        <v>3417</v>
      </c>
      <c r="L161" t="s">
        <v>3418</v>
      </c>
      <c r="M161">
        <v>80</v>
      </c>
      <c r="N161">
        <v>40522.184000000001</v>
      </c>
      <c r="O161" t="s">
        <v>179</v>
      </c>
      <c r="P161">
        <v>17</v>
      </c>
      <c r="Q161">
        <v>5</v>
      </c>
      <c r="R161">
        <v>95</v>
      </c>
      <c r="S161">
        <v>52620472</v>
      </c>
      <c r="T161">
        <v>82</v>
      </c>
      <c r="U161">
        <v>172</v>
      </c>
      <c r="V161">
        <v>40522.182927532267</v>
      </c>
      <c r="W161">
        <v>52620470.788550943</v>
      </c>
      <c r="X161">
        <v>1.579</v>
      </c>
      <c r="Y161">
        <f>VLOOKUP(AB161,'2000 Seattle Tracts'!$C$2:$Z$374,24,FALSE)</f>
        <v>2482464.2779999999</v>
      </c>
      <c r="Z161">
        <f t="shared" si="4"/>
        <v>6.3606151919016662E-7</v>
      </c>
      <c r="AA161" t="s">
        <v>180</v>
      </c>
      <c r="AB161" t="str">
        <f t="shared" si="5"/>
        <v>Census Tract 101, King County, Washington</v>
      </c>
      <c r="AC161" s="3">
        <f>VLOOKUP($AB161,'2000 Seattle Tracts'!$C$2:$Y$374,AC$1,FALSE)*$Z161</f>
        <v>3.7801136085471605E-3</v>
      </c>
      <c r="AD161" s="3">
        <f>VLOOKUP($AB161,'2000 Seattle Tracts'!$C$2:$Y$374,AD$1,FALSE)*$Z161</f>
        <v>2.7426972707479983E-3</v>
      </c>
      <c r="AE161" s="3">
        <f>VLOOKUP($AB161,'2000 Seattle Tracts'!$C$2:$Y$374,AE$1,FALSE)*$Z161</f>
        <v>1.0374163377991617E-3</v>
      </c>
      <c r="AF161" s="3">
        <f>VLOOKUP($AB161,'2000 Seattle Tracts'!$C$2:$Y$374,AF$1,FALSE)*$Z161</f>
        <v>3.7801136085471605E-3</v>
      </c>
      <c r="AG161" s="3">
        <f>VLOOKUP($AB161,'2000 Seattle Tracts'!$C$2:$Y$374,AG$1,FALSE)*$Z161</f>
        <v>2.7426972707479983E-3</v>
      </c>
      <c r="AH161" s="3">
        <f>VLOOKUP($AB161,'2000 Seattle Tracts'!$C$2:$Y$374,AH$1,FALSE)*$Z161</f>
        <v>1.0374163377991617E-3</v>
      </c>
      <c r="AI161" s="3">
        <f>VLOOKUP($AB161,'2000 Seattle Tracts'!$C$2:$Y$374,AI$1,FALSE)*$Z161</f>
        <v>1.2555854388813889E-3</v>
      </c>
      <c r="AJ161" s="3">
        <f>VLOOKUP($AB161,'2000 Seattle Tracts'!$C$2:$Y$374,AJ$1,FALSE)*$Z161</f>
        <v>7.0602828630108498E-5</v>
      </c>
      <c r="AK161" s="3">
        <f>VLOOKUP($AB161,'2000 Seattle Tracts'!$C$2:$Y$374,AK$1,FALSE)*$Z161</f>
        <v>5.2157044573593665E-5</v>
      </c>
      <c r="AL161" s="3">
        <f>VLOOKUP($AB161,'2000 Seattle Tracts'!$C$2:$Y$374,AL$1,FALSE)*$Z161</f>
        <v>1.4629414941373833E-5</v>
      </c>
      <c r="AM161" s="3">
        <f>VLOOKUP($AB161,'2000 Seattle Tracts'!$C$2:$Y$374,AM$1,FALSE)*$Z161</f>
        <v>8.6758791217538727E-4</v>
      </c>
      <c r="AN161" s="3">
        <f>VLOOKUP($AB161,'2000 Seattle Tracts'!$C$2:$Y$374,AN$1,FALSE)*$Z161</f>
        <v>1.6919236410458432E-4</v>
      </c>
      <c r="AO161" s="3">
        <f>VLOOKUP($AB161,'2000 Seattle Tracts'!$C$2:$Y$374,AO$1,FALSE)*$Z161</f>
        <v>0</v>
      </c>
      <c r="AP161" s="3">
        <f>VLOOKUP($AB161,'2000 Seattle Tracts'!$C$2:$Y$374,AP$1,FALSE)*$Z161</f>
        <v>0</v>
      </c>
      <c r="AQ161" s="3">
        <f>VLOOKUP($AB161,'2000 Seattle Tracts'!$C$2:$Y$374,AQ$1,FALSE)*$Z161</f>
        <v>2.5251642311849612E-4</v>
      </c>
      <c r="AR161" s="3">
        <f>VLOOKUP($AB161,'2000 Seattle Tracts'!$C$2:$Y$374,AR$1,FALSE)*$Z161</f>
        <v>6.3351727311340591E-4</v>
      </c>
      <c r="AS161" s="3">
        <f>VLOOKUP($AB161,'2000 Seattle Tracts'!$C$2:$Y$374,AS$1,FALSE)*$Z161</f>
        <v>9.540922787852499E-6</v>
      </c>
      <c r="AT161" s="3">
        <f>VLOOKUP($AB161,'2000 Seattle Tracts'!$C$2:$Y$374,AT$1,FALSE)*$Z161</f>
        <v>3.8163691151409999E-6</v>
      </c>
      <c r="AU161" s="3">
        <f>VLOOKUP($AB161,'2000 Seattle Tracts'!$C$2:$Y$374,AU$1,FALSE)*$Z161</f>
        <v>7.8235566860390495E-5</v>
      </c>
      <c r="AV161" s="3">
        <f>VLOOKUP($AB161,'2000 Seattle Tracts'!$C$2:$Y$374,AV$1,FALSE)*$Z161</f>
        <v>6.9966767110918326E-5</v>
      </c>
      <c r="AW161" s="3">
        <f>VLOOKUP($AB161,'2000 Seattle Tracts'!$C$2:$Y$374,AW$1,FALSE)*$Z161</f>
        <v>2.2707396235088949E-4</v>
      </c>
      <c r="AX161" s="3">
        <f>VLOOKUP($AB161,'2000 Seattle Tracts'!$C$2:$Y$374,AX$1,FALSE)*$Z161</f>
        <v>7.5691320783629834E-5</v>
      </c>
    </row>
    <row r="162" spans="1:50" x14ac:dyDescent="0.25">
      <c r="A162" t="s">
        <v>2917</v>
      </c>
      <c r="B162" t="s">
        <v>2918</v>
      </c>
      <c r="C162" t="s">
        <v>2957</v>
      </c>
      <c r="D162" t="s">
        <v>2878</v>
      </c>
      <c r="E162" t="s">
        <v>2879</v>
      </c>
      <c r="F162" t="s">
        <v>2880</v>
      </c>
      <c r="G162" t="s">
        <v>2920</v>
      </c>
      <c r="H162" t="s">
        <v>2921</v>
      </c>
      <c r="I162">
        <v>2509594</v>
      </c>
      <c r="J162">
        <v>1534926</v>
      </c>
      <c r="K162" t="s">
        <v>3417</v>
      </c>
      <c r="L162" t="s">
        <v>3418</v>
      </c>
      <c r="M162">
        <v>87</v>
      </c>
      <c r="N162">
        <v>26318.982</v>
      </c>
      <c r="O162" t="s">
        <v>184</v>
      </c>
      <c r="P162">
        <v>15</v>
      </c>
      <c r="Q162">
        <v>4</v>
      </c>
      <c r="R162">
        <v>23</v>
      </c>
      <c r="S162">
        <v>28986996</v>
      </c>
      <c r="T162">
        <v>89</v>
      </c>
      <c r="U162">
        <v>170</v>
      </c>
      <c r="V162">
        <v>26318.98190548713</v>
      </c>
      <c r="W162">
        <v>28986995.234481908</v>
      </c>
      <c r="X162">
        <v>762812.14800000004</v>
      </c>
      <c r="Y162">
        <f>VLOOKUP(AB162,'2000 Seattle Tracts'!$C$2:$Z$374,24,FALSE)</f>
        <v>2482464.2779999999</v>
      </c>
      <c r="Z162">
        <f t="shared" si="4"/>
        <v>0.30728021134489819</v>
      </c>
      <c r="AA162" t="s">
        <v>188</v>
      </c>
      <c r="AB162" t="str">
        <f t="shared" si="5"/>
        <v>Census Tract 101, King County, Washington</v>
      </c>
      <c r="AC162" s="3">
        <f>VLOOKUP($AB162,'2000 Seattle Tracts'!$C$2:$Y$374,AC$1,FALSE)*$Z162</f>
        <v>1826.16629602273</v>
      </c>
      <c r="AD162" s="3">
        <f>VLOOKUP($AB162,'2000 Seattle Tracts'!$C$2:$Y$374,AD$1,FALSE)*$Z162</f>
        <v>1324.9922713192011</v>
      </c>
      <c r="AE162" s="3">
        <f>VLOOKUP($AB162,'2000 Seattle Tracts'!$C$2:$Y$374,AE$1,FALSE)*$Z162</f>
        <v>501.17402470352897</v>
      </c>
      <c r="AF162" s="3">
        <f>VLOOKUP($AB162,'2000 Seattle Tracts'!$C$2:$Y$374,AF$1,FALSE)*$Z162</f>
        <v>1826.16629602273</v>
      </c>
      <c r="AG162" s="3">
        <f>VLOOKUP($AB162,'2000 Seattle Tracts'!$C$2:$Y$374,AG$1,FALSE)*$Z162</f>
        <v>1324.9922713192011</v>
      </c>
      <c r="AH162" s="3">
        <f>VLOOKUP($AB162,'2000 Seattle Tracts'!$C$2:$Y$374,AH$1,FALSE)*$Z162</f>
        <v>501.17402470352897</v>
      </c>
      <c r="AI162" s="3">
        <f>VLOOKUP($AB162,'2000 Seattle Tracts'!$C$2:$Y$374,AI$1,FALSE)*$Z162</f>
        <v>606.57113719482902</v>
      </c>
      <c r="AJ162" s="3">
        <f>VLOOKUP($AB162,'2000 Seattle Tracts'!$C$2:$Y$374,AJ$1,FALSE)*$Z162</f>
        <v>34.108103459283697</v>
      </c>
      <c r="AK162" s="3">
        <f>VLOOKUP($AB162,'2000 Seattle Tracts'!$C$2:$Y$374,AK$1,FALSE)*$Z162</f>
        <v>25.196977330281651</v>
      </c>
      <c r="AL162" s="3">
        <f>VLOOKUP($AB162,'2000 Seattle Tracts'!$C$2:$Y$374,AL$1,FALSE)*$Z162</f>
        <v>7.0674448609326586</v>
      </c>
      <c r="AM162" s="3">
        <f>VLOOKUP($AB162,'2000 Seattle Tracts'!$C$2:$Y$374,AM$1,FALSE)*$Z162</f>
        <v>419.13020827444115</v>
      </c>
      <c r="AN162" s="3">
        <f>VLOOKUP($AB162,'2000 Seattle Tracts'!$C$2:$Y$374,AN$1,FALSE)*$Z162</f>
        <v>81.736536217742923</v>
      </c>
      <c r="AO162" s="3">
        <f>VLOOKUP($AB162,'2000 Seattle Tracts'!$C$2:$Y$374,AO$1,FALSE)*$Z162</f>
        <v>0</v>
      </c>
      <c r="AP162" s="3">
        <f>VLOOKUP($AB162,'2000 Seattle Tracts'!$C$2:$Y$374,AP$1,FALSE)*$Z162</f>
        <v>0</v>
      </c>
      <c r="AQ162" s="3">
        <f>VLOOKUP($AB162,'2000 Seattle Tracts'!$C$2:$Y$374,AQ$1,FALSE)*$Z162</f>
        <v>121.99024390392458</v>
      </c>
      <c r="AR162" s="3">
        <f>VLOOKUP($AB162,'2000 Seattle Tracts'!$C$2:$Y$374,AR$1,FALSE)*$Z162</f>
        <v>306.05109049951858</v>
      </c>
      <c r="AS162" s="3">
        <f>VLOOKUP($AB162,'2000 Seattle Tracts'!$C$2:$Y$374,AS$1,FALSE)*$Z162</f>
        <v>4.6092031701734726</v>
      </c>
      <c r="AT162" s="3">
        <f>VLOOKUP($AB162,'2000 Seattle Tracts'!$C$2:$Y$374,AT$1,FALSE)*$Z162</f>
        <v>1.843681268069389</v>
      </c>
      <c r="AU162" s="3">
        <f>VLOOKUP($AB162,'2000 Seattle Tracts'!$C$2:$Y$374,AU$1,FALSE)*$Z162</f>
        <v>37.795465995422475</v>
      </c>
      <c r="AV162" s="3">
        <f>VLOOKUP($AB162,'2000 Seattle Tracts'!$C$2:$Y$374,AV$1,FALSE)*$Z162</f>
        <v>33.800823247938801</v>
      </c>
      <c r="AW162" s="3">
        <f>VLOOKUP($AB162,'2000 Seattle Tracts'!$C$2:$Y$374,AW$1,FALSE)*$Z162</f>
        <v>109.69903545012865</v>
      </c>
      <c r="AX162" s="3">
        <f>VLOOKUP($AB162,'2000 Seattle Tracts'!$C$2:$Y$374,AX$1,FALSE)*$Z162</f>
        <v>36.566345150042885</v>
      </c>
    </row>
    <row r="163" spans="1:50" x14ac:dyDescent="0.25">
      <c r="A163" t="s">
        <v>2917</v>
      </c>
      <c r="B163" t="s">
        <v>2918</v>
      </c>
      <c r="C163" t="s">
        <v>2957</v>
      </c>
      <c r="D163" t="s">
        <v>2878</v>
      </c>
      <c r="E163" t="s">
        <v>2879</v>
      </c>
      <c r="F163" t="s">
        <v>2880</v>
      </c>
      <c r="G163" t="s">
        <v>2920</v>
      </c>
      <c r="H163" t="s">
        <v>2921</v>
      </c>
      <c r="I163">
        <v>2509594</v>
      </c>
      <c r="J163">
        <v>1534926</v>
      </c>
      <c r="K163" t="s">
        <v>3417</v>
      </c>
      <c r="L163" t="s">
        <v>3418</v>
      </c>
      <c r="M163">
        <v>88</v>
      </c>
      <c r="N163">
        <v>35177.063000000002</v>
      </c>
      <c r="O163" t="s">
        <v>184</v>
      </c>
      <c r="P163">
        <v>15</v>
      </c>
      <c r="Q163">
        <v>4</v>
      </c>
      <c r="R163">
        <v>94</v>
      </c>
      <c r="S163">
        <v>37406576</v>
      </c>
      <c r="T163">
        <v>90</v>
      </c>
      <c r="U163">
        <v>179</v>
      </c>
      <c r="V163">
        <v>35177.060803967521</v>
      </c>
      <c r="W163">
        <v>37406576.492632188</v>
      </c>
      <c r="X163">
        <v>980312.16299999994</v>
      </c>
      <c r="Y163">
        <f>VLOOKUP(AB163,'2000 Seattle Tracts'!$C$2:$Z$374,24,FALSE)</f>
        <v>2482464.2779999999</v>
      </c>
      <c r="Z163">
        <f t="shared" si="4"/>
        <v>0.39489477117060051</v>
      </c>
      <c r="AA163" t="s">
        <v>189</v>
      </c>
      <c r="AB163" t="str">
        <f t="shared" si="5"/>
        <v>Census Tract 101, King County, Washington</v>
      </c>
      <c r="AC163" s="3">
        <f>VLOOKUP($AB163,'2000 Seattle Tracts'!$C$2:$Y$374,AC$1,FALSE)*$Z163</f>
        <v>2346.8596250668788</v>
      </c>
      <c r="AD163" s="3">
        <f>VLOOKUP($AB163,'2000 Seattle Tracts'!$C$2:$Y$374,AD$1,FALSE)*$Z163</f>
        <v>1702.7862532876295</v>
      </c>
      <c r="AE163" s="3">
        <f>VLOOKUP($AB163,'2000 Seattle Tracts'!$C$2:$Y$374,AE$1,FALSE)*$Z163</f>
        <v>644.07337177924944</v>
      </c>
      <c r="AF163" s="3">
        <f>VLOOKUP($AB163,'2000 Seattle Tracts'!$C$2:$Y$374,AF$1,FALSE)*$Z163</f>
        <v>2346.8596250668788</v>
      </c>
      <c r="AG163" s="3">
        <f>VLOOKUP($AB163,'2000 Seattle Tracts'!$C$2:$Y$374,AG$1,FALSE)*$Z163</f>
        <v>1702.7862532876295</v>
      </c>
      <c r="AH163" s="3">
        <f>VLOOKUP($AB163,'2000 Seattle Tracts'!$C$2:$Y$374,AH$1,FALSE)*$Z163</f>
        <v>644.07337177924944</v>
      </c>
      <c r="AI163" s="3">
        <f>VLOOKUP($AB163,'2000 Seattle Tracts'!$C$2:$Y$374,AI$1,FALSE)*$Z163</f>
        <v>779.52227829076537</v>
      </c>
      <c r="AJ163" s="3">
        <f>VLOOKUP($AB163,'2000 Seattle Tracts'!$C$2:$Y$374,AJ$1,FALSE)*$Z163</f>
        <v>43.833319599936658</v>
      </c>
      <c r="AK163" s="3">
        <f>VLOOKUP($AB163,'2000 Seattle Tracts'!$C$2:$Y$374,AK$1,FALSE)*$Z163</f>
        <v>32.381371235989242</v>
      </c>
      <c r="AL163" s="3">
        <f>VLOOKUP($AB163,'2000 Seattle Tracts'!$C$2:$Y$374,AL$1,FALSE)*$Z163</f>
        <v>9.0825797369238117</v>
      </c>
      <c r="AM163" s="3">
        <f>VLOOKUP($AB163,'2000 Seattle Tracts'!$C$2:$Y$374,AM$1,FALSE)*$Z163</f>
        <v>538.63646787669904</v>
      </c>
      <c r="AN163" s="3">
        <f>VLOOKUP($AB163,'2000 Seattle Tracts'!$C$2:$Y$374,AN$1,FALSE)*$Z163</f>
        <v>105.04200913137974</v>
      </c>
      <c r="AO163" s="3">
        <f>VLOOKUP($AB163,'2000 Seattle Tracts'!$C$2:$Y$374,AO$1,FALSE)*$Z163</f>
        <v>0</v>
      </c>
      <c r="AP163" s="3">
        <f>VLOOKUP($AB163,'2000 Seattle Tracts'!$C$2:$Y$374,AP$1,FALSE)*$Z163</f>
        <v>0</v>
      </c>
      <c r="AQ163" s="3">
        <f>VLOOKUP($AB163,'2000 Seattle Tracts'!$C$2:$Y$374,AQ$1,FALSE)*$Z163</f>
        <v>156.77322415472841</v>
      </c>
      <c r="AR163" s="3">
        <f>VLOOKUP($AB163,'2000 Seattle Tracts'!$C$2:$Y$374,AR$1,FALSE)*$Z163</f>
        <v>393.31519208591811</v>
      </c>
      <c r="AS163" s="3">
        <f>VLOOKUP($AB163,'2000 Seattle Tracts'!$C$2:$Y$374,AS$1,FALSE)*$Z163</f>
        <v>5.9234215675590081</v>
      </c>
      <c r="AT163" s="3">
        <f>VLOOKUP($AB163,'2000 Seattle Tracts'!$C$2:$Y$374,AT$1,FALSE)*$Z163</f>
        <v>2.369368627023603</v>
      </c>
      <c r="AU163" s="3">
        <f>VLOOKUP($AB163,'2000 Seattle Tracts'!$C$2:$Y$374,AU$1,FALSE)*$Z163</f>
        <v>48.57205685398386</v>
      </c>
      <c r="AV163" s="3">
        <f>VLOOKUP($AB163,'2000 Seattle Tracts'!$C$2:$Y$374,AV$1,FALSE)*$Z163</f>
        <v>43.43842482876606</v>
      </c>
      <c r="AW163" s="3">
        <f>VLOOKUP($AB163,'2000 Seattle Tracts'!$C$2:$Y$374,AW$1,FALSE)*$Z163</f>
        <v>140.97743330790439</v>
      </c>
      <c r="AX163" s="3">
        <f>VLOOKUP($AB163,'2000 Seattle Tracts'!$C$2:$Y$374,AX$1,FALSE)*$Z163</f>
        <v>46.992477769301459</v>
      </c>
    </row>
    <row r="164" spans="1:50" x14ac:dyDescent="0.25">
      <c r="A164" t="s">
        <v>2917</v>
      </c>
      <c r="B164" t="s">
        <v>2918</v>
      </c>
      <c r="C164" t="s">
        <v>2957</v>
      </c>
      <c r="D164" t="s">
        <v>2878</v>
      </c>
      <c r="E164" t="s">
        <v>2879</v>
      </c>
      <c r="F164" t="s">
        <v>2880</v>
      </c>
      <c r="G164" t="s">
        <v>2920</v>
      </c>
      <c r="H164" t="s">
        <v>2921</v>
      </c>
      <c r="I164">
        <v>2509594</v>
      </c>
      <c r="J164">
        <v>1534926</v>
      </c>
      <c r="K164" t="s">
        <v>3417</v>
      </c>
      <c r="L164" t="s">
        <v>3418</v>
      </c>
      <c r="M164">
        <v>95</v>
      </c>
      <c r="N164">
        <v>52212.785000000003</v>
      </c>
      <c r="O164" t="s">
        <v>198</v>
      </c>
      <c r="P164">
        <v>16</v>
      </c>
      <c r="Q164">
        <v>11</v>
      </c>
      <c r="R164">
        <v>95</v>
      </c>
      <c r="S164">
        <v>43835280</v>
      </c>
      <c r="T164">
        <v>97</v>
      </c>
      <c r="U164">
        <v>173</v>
      </c>
      <c r="V164">
        <v>52212.786810353093</v>
      </c>
      <c r="W164">
        <v>43835279.005916066</v>
      </c>
      <c r="X164">
        <v>733176.38699999999</v>
      </c>
      <c r="Y164">
        <f>VLOOKUP(AB164,'2000 Seattle Tracts'!$C$2:$Z$374,24,FALSE)</f>
        <v>2482464.2779999999</v>
      </c>
      <c r="Z164">
        <f t="shared" si="4"/>
        <v>0.29534217007572988</v>
      </c>
      <c r="AA164" t="s">
        <v>197</v>
      </c>
      <c r="AB164" t="str">
        <f t="shared" si="5"/>
        <v>Census Tract 101, King County, Washington</v>
      </c>
      <c r="AC164" s="3">
        <f>VLOOKUP($AB164,'2000 Seattle Tracts'!$C$2:$Y$374,AC$1,FALSE)*$Z164</f>
        <v>1755.2185167600626</v>
      </c>
      <c r="AD164" s="3">
        <f>VLOOKUP($AB164,'2000 Seattle Tracts'!$C$2:$Y$374,AD$1,FALSE)*$Z164</f>
        <v>1273.5154373665473</v>
      </c>
      <c r="AE164" s="3">
        <f>VLOOKUP($AB164,'2000 Seattle Tracts'!$C$2:$Y$374,AE$1,FALSE)*$Z164</f>
        <v>481.70307939351545</v>
      </c>
      <c r="AF164" s="3">
        <f>VLOOKUP($AB164,'2000 Seattle Tracts'!$C$2:$Y$374,AF$1,FALSE)*$Z164</f>
        <v>1755.2185167600626</v>
      </c>
      <c r="AG164" s="3">
        <f>VLOOKUP($AB164,'2000 Seattle Tracts'!$C$2:$Y$374,AG$1,FALSE)*$Z164</f>
        <v>1273.5154373665473</v>
      </c>
      <c r="AH164" s="3">
        <f>VLOOKUP($AB164,'2000 Seattle Tracts'!$C$2:$Y$374,AH$1,FALSE)*$Z164</f>
        <v>481.70307939351545</v>
      </c>
      <c r="AI164" s="3">
        <f>VLOOKUP($AB164,'2000 Seattle Tracts'!$C$2:$Y$374,AI$1,FALSE)*$Z164</f>
        <v>583.00544372949082</v>
      </c>
      <c r="AJ164" s="3">
        <f>VLOOKUP($AB164,'2000 Seattle Tracts'!$C$2:$Y$374,AJ$1,FALSE)*$Z164</f>
        <v>32.782980878406015</v>
      </c>
      <c r="AK164" s="3">
        <f>VLOOKUP($AB164,'2000 Seattle Tracts'!$C$2:$Y$374,AK$1,FALSE)*$Z164</f>
        <v>24.21805794620985</v>
      </c>
      <c r="AL164" s="3">
        <f>VLOOKUP($AB164,'2000 Seattle Tracts'!$C$2:$Y$374,AL$1,FALSE)*$Z164</f>
        <v>6.7928699117417874</v>
      </c>
      <c r="AM164" s="3">
        <f>VLOOKUP($AB164,'2000 Seattle Tracts'!$C$2:$Y$374,AM$1,FALSE)*$Z164</f>
        <v>402.84671998329554</v>
      </c>
      <c r="AN164" s="3">
        <f>VLOOKUP($AB164,'2000 Seattle Tracts'!$C$2:$Y$374,AN$1,FALSE)*$Z164</f>
        <v>78.561017240144153</v>
      </c>
      <c r="AO164" s="3">
        <f>VLOOKUP($AB164,'2000 Seattle Tracts'!$C$2:$Y$374,AO$1,FALSE)*$Z164</f>
        <v>0</v>
      </c>
      <c r="AP164" s="3">
        <f>VLOOKUP($AB164,'2000 Seattle Tracts'!$C$2:$Y$374,AP$1,FALSE)*$Z164</f>
        <v>0</v>
      </c>
      <c r="AQ164" s="3">
        <f>VLOOKUP($AB164,'2000 Seattle Tracts'!$C$2:$Y$374,AQ$1,FALSE)*$Z164</f>
        <v>117.25084152006477</v>
      </c>
      <c r="AR164" s="3">
        <f>VLOOKUP($AB164,'2000 Seattle Tracts'!$C$2:$Y$374,AR$1,FALSE)*$Z164</f>
        <v>294.16080139542697</v>
      </c>
      <c r="AS164" s="3">
        <f>VLOOKUP($AB164,'2000 Seattle Tracts'!$C$2:$Y$374,AS$1,FALSE)*$Z164</f>
        <v>4.4301325511359479</v>
      </c>
      <c r="AT164" s="3">
        <f>VLOOKUP($AB164,'2000 Seattle Tracts'!$C$2:$Y$374,AT$1,FALSE)*$Z164</f>
        <v>1.7720530204543792</v>
      </c>
      <c r="AU164" s="3">
        <f>VLOOKUP($AB164,'2000 Seattle Tracts'!$C$2:$Y$374,AU$1,FALSE)*$Z164</f>
        <v>36.327086919314773</v>
      </c>
      <c r="AV164" s="3">
        <f>VLOOKUP($AB164,'2000 Seattle Tracts'!$C$2:$Y$374,AV$1,FALSE)*$Z164</f>
        <v>32.487638708330287</v>
      </c>
      <c r="AW164" s="3">
        <f>VLOOKUP($AB164,'2000 Seattle Tracts'!$C$2:$Y$374,AW$1,FALSE)*$Z164</f>
        <v>105.43715471703557</v>
      </c>
      <c r="AX164" s="3">
        <f>VLOOKUP($AB164,'2000 Seattle Tracts'!$C$2:$Y$374,AX$1,FALSE)*$Z164</f>
        <v>35.145718239011856</v>
      </c>
    </row>
    <row r="165" spans="1:50" x14ac:dyDescent="0.25">
      <c r="A165" t="s">
        <v>2917</v>
      </c>
      <c r="B165" t="s">
        <v>2918</v>
      </c>
      <c r="C165" t="s">
        <v>3419</v>
      </c>
      <c r="D165" t="s">
        <v>3420</v>
      </c>
      <c r="E165" t="s">
        <v>3421</v>
      </c>
      <c r="F165" t="s">
        <v>3422</v>
      </c>
      <c r="G165" t="s">
        <v>2920</v>
      </c>
      <c r="H165" t="s">
        <v>2921</v>
      </c>
      <c r="I165">
        <v>3202093</v>
      </c>
      <c r="J165">
        <v>60359</v>
      </c>
      <c r="K165" t="s">
        <v>3270</v>
      </c>
      <c r="L165" t="s">
        <v>3271</v>
      </c>
      <c r="M165">
        <v>58</v>
      </c>
      <c r="N165">
        <v>25426.23</v>
      </c>
      <c r="O165" t="s">
        <v>149</v>
      </c>
      <c r="P165">
        <v>14</v>
      </c>
      <c r="Q165">
        <v>8</v>
      </c>
      <c r="R165">
        <v>24</v>
      </c>
      <c r="S165">
        <v>20664986</v>
      </c>
      <c r="T165">
        <v>60</v>
      </c>
      <c r="U165">
        <v>165</v>
      </c>
      <c r="V165">
        <v>25426.231162667511</v>
      </c>
      <c r="W165">
        <v>20664986.272921581</v>
      </c>
      <c r="X165">
        <v>0.52600000000000002</v>
      </c>
      <c r="Y165">
        <f>VLOOKUP(AB165,'2000 Seattle Tracts'!$C$2:$Z$374,24,FALSE)</f>
        <v>3193901.5589999999</v>
      </c>
      <c r="Z165">
        <f t="shared" si="4"/>
        <v>1.6468885790102088E-7</v>
      </c>
      <c r="AA165" t="s">
        <v>154</v>
      </c>
      <c r="AB165" t="str">
        <f t="shared" si="5"/>
        <v>Census Tract 100, King County, Washington</v>
      </c>
      <c r="AC165" s="3">
        <f>VLOOKUP($AB165,'2000 Seattle Tracts'!$C$2:$Y$374,AC$1,FALSE)*$Z165</f>
        <v>1.340402614456409E-3</v>
      </c>
      <c r="AD165" s="3">
        <f>VLOOKUP($AB165,'2000 Seattle Tracts'!$C$2:$Y$374,AD$1,FALSE)*$Z165</f>
        <v>7.7156729926628278E-4</v>
      </c>
      <c r="AE165" s="3">
        <f>VLOOKUP($AB165,'2000 Seattle Tracts'!$C$2:$Y$374,AE$1,FALSE)*$Z165</f>
        <v>5.6883531519012613E-4</v>
      </c>
      <c r="AF165" s="3">
        <f>VLOOKUP($AB165,'2000 Seattle Tracts'!$C$2:$Y$374,AF$1,FALSE)*$Z165</f>
        <v>1.340402614456409E-3</v>
      </c>
      <c r="AG165" s="3">
        <f>VLOOKUP($AB165,'2000 Seattle Tracts'!$C$2:$Y$374,AG$1,FALSE)*$Z165</f>
        <v>7.7156729926628278E-4</v>
      </c>
      <c r="AH165" s="3">
        <f>VLOOKUP($AB165,'2000 Seattle Tracts'!$C$2:$Y$374,AH$1,FALSE)*$Z165</f>
        <v>5.6883531519012613E-4</v>
      </c>
      <c r="AI165" s="3">
        <f>VLOOKUP($AB165,'2000 Seattle Tracts'!$C$2:$Y$374,AI$1,FALSE)*$Z165</f>
        <v>2.8672330160567735E-4</v>
      </c>
      <c r="AJ165" s="3">
        <f>VLOOKUP($AB165,'2000 Seattle Tracts'!$C$2:$Y$374,AJ$1,FALSE)*$Z165</f>
        <v>1.8280463227013318E-5</v>
      </c>
      <c r="AK165" s="3">
        <f>VLOOKUP($AB165,'2000 Seattle Tracts'!$C$2:$Y$374,AK$1,FALSE)*$Z165</f>
        <v>2.6514906122064362E-5</v>
      </c>
      <c r="AL165" s="3">
        <f>VLOOKUP($AB165,'2000 Seattle Tracts'!$C$2:$Y$374,AL$1,FALSE)*$Z165</f>
        <v>1.8445152084914338E-5</v>
      </c>
      <c r="AM165" s="3">
        <f>VLOOKUP($AB165,'2000 Seattle Tracts'!$C$2:$Y$374,AM$1,FALSE)*$Z165</f>
        <v>1.4970217183202797E-4</v>
      </c>
      <c r="AN165" s="3">
        <f>VLOOKUP($AB165,'2000 Seattle Tracts'!$C$2:$Y$374,AN$1,FALSE)*$Z165</f>
        <v>2.6679594979965381E-5</v>
      </c>
      <c r="AO165" s="3">
        <f>VLOOKUP($AB165,'2000 Seattle Tracts'!$C$2:$Y$374,AO$1,FALSE)*$Z165</f>
        <v>8.3991317529520648E-6</v>
      </c>
      <c r="AP165" s="3">
        <f>VLOOKUP($AB165,'2000 Seattle Tracts'!$C$2:$Y$374,AP$1,FALSE)*$Z165</f>
        <v>2.2232995816637819E-5</v>
      </c>
      <c r="AQ165" s="3">
        <f>VLOOKUP($AB165,'2000 Seattle Tracts'!$C$2:$Y$374,AQ$1,FALSE)*$Z165</f>
        <v>1.7555832252248826E-4</v>
      </c>
      <c r="AR165" s="3">
        <f>VLOOKUP($AB165,'2000 Seattle Tracts'!$C$2:$Y$374,AR$1,FALSE)*$Z165</f>
        <v>4.1056932274724506E-4</v>
      </c>
      <c r="AS165" s="3">
        <f>VLOOKUP($AB165,'2000 Seattle Tracts'!$C$2:$Y$374,AS$1,FALSE)*$Z165</f>
        <v>1.4492619495289837E-5</v>
      </c>
      <c r="AT165" s="3">
        <f>VLOOKUP($AB165,'2000 Seattle Tracts'!$C$2:$Y$374,AT$1,FALSE)*$Z165</f>
        <v>6.916932031842877E-6</v>
      </c>
      <c r="AU165" s="3">
        <f>VLOOKUP($AB165,'2000 Seattle Tracts'!$C$2:$Y$374,AU$1,FALSE)*$Z165</f>
        <v>2.4538639827252111E-5</v>
      </c>
      <c r="AV165" s="3">
        <f>VLOOKUP($AB165,'2000 Seattle Tracts'!$C$2:$Y$374,AV$1,FALSE)*$Z165</f>
        <v>2.5362084116757215E-5</v>
      </c>
      <c r="AW165" s="3">
        <f>VLOOKUP($AB165,'2000 Seattle Tracts'!$C$2:$Y$374,AW$1,FALSE)*$Z165</f>
        <v>8.5638206108530859E-5</v>
      </c>
      <c r="AX165" s="3">
        <f>VLOOKUP($AB165,'2000 Seattle Tracts'!$C$2:$Y$374,AX$1,FALSE)*$Z165</f>
        <v>4.0348770185750118E-5</v>
      </c>
    </row>
    <row r="166" spans="1:50" x14ac:dyDescent="0.25">
      <c r="A166" t="s">
        <v>2917</v>
      </c>
      <c r="B166" t="s">
        <v>2918</v>
      </c>
      <c r="C166" t="s">
        <v>3419</v>
      </c>
      <c r="D166" t="s">
        <v>3420</v>
      </c>
      <c r="E166" t="s">
        <v>3421</v>
      </c>
      <c r="F166" t="s">
        <v>3422</v>
      </c>
      <c r="G166" t="s">
        <v>2920</v>
      </c>
      <c r="H166" t="s">
        <v>2921</v>
      </c>
      <c r="I166">
        <v>3202093</v>
      </c>
      <c r="J166">
        <v>60359</v>
      </c>
      <c r="K166" t="s">
        <v>3270</v>
      </c>
      <c r="L166" t="s">
        <v>3271</v>
      </c>
      <c r="M166">
        <v>79</v>
      </c>
      <c r="N166">
        <v>33865.487999999998</v>
      </c>
      <c r="O166" t="s">
        <v>179</v>
      </c>
      <c r="P166">
        <v>17</v>
      </c>
      <c r="Q166">
        <v>5</v>
      </c>
      <c r="R166">
        <v>9</v>
      </c>
      <c r="S166">
        <v>48475916</v>
      </c>
      <c r="T166">
        <v>81</v>
      </c>
      <c r="U166">
        <v>166</v>
      </c>
      <c r="V166">
        <v>33865.489173990143</v>
      </c>
      <c r="W166">
        <v>48475914.455668777</v>
      </c>
      <c r="X166">
        <v>2416357.4840000002</v>
      </c>
      <c r="Y166">
        <f>VLOOKUP(AB166,'2000 Seattle Tracts'!$C$2:$Z$374,24,FALSE)</f>
        <v>3193901.5589999999</v>
      </c>
      <c r="Z166">
        <f t="shared" si="4"/>
        <v>0.75655352532422881</v>
      </c>
      <c r="AA166" t="s">
        <v>178</v>
      </c>
      <c r="AB166" t="str">
        <f t="shared" si="5"/>
        <v>Census Tract 100, King County, Washington</v>
      </c>
      <c r="AC166" s="3">
        <f>VLOOKUP($AB166,'2000 Seattle Tracts'!$C$2:$Y$374,AC$1,FALSE)*$Z166</f>
        <v>6157.5891426138987</v>
      </c>
      <c r="AD166" s="3">
        <f>VLOOKUP($AB166,'2000 Seattle Tracts'!$C$2:$Y$374,AD$1,FALSE)*$Z166</f>
        <v>3544.4532661440121</v>
      </c>
      <c r="AE166" s="3">
        <f>VLOOKUP($AB166,'2000 Seattle Tracts'!$C$2:$Y$374,AE$1,FALSE)*$Z166</f>
        <v>2613.1358764698862</v>
      </c>
      <c r="AF166" s="3">
        <f>VLOOKUP($AB166,'2000 Seattle Tracts'!$C$2:$Y$374,AF$1,FALSE)*$Z166</f>
        <v>6157.5891426138987</v>
      </c>
      <c r="AG166" s="3">
        <f>VLOOKUP($AB166,'2000 Seattle Tracts'!$C$2:$Y$374,AG$1,FALSE)*$Z166</f>
        <v>3544.4532661440121</v>
      </c>
      <c r="AH166" s="3">
        <f>VLOOKUP($AB166,'2000 Seattle Tracts'!$C$2:$Y$374,AH$1,FALSE)*$Z166</f>
        <v>2613.1358764698862</v>
      </c>
      <c r="AI166" s="3">
        <f>VLOOKUP($AB166,'2000 Seattle Tracts'!$C$2:$Y$374,AI$1,FALSE)*$Z166</f>
        <v>1317.1596875894825</v>
      </c>
      <c r="AJ166" s="3">
        <f>VLOOKUP($AB166,'2000 Seattle Tracts'!$C$2:$Y$374,AJ$1,FALSE)*$Z166</f>
        <v>83.977441310989406</v>
      </c>
      <c r="AK166" s="3">
        <f>VLOOKUP($AB166,'2000 Seattle Tracts'!$C$2:$Y$374,AK$1,FALSE)*$Z166</f>
        <v>121.80511757720083</v>
      </c>
      <c r="AL166" s="3">
        <f>VLOOKUP($AB166,'2000 Seattle Tracts'!$C$2:$Y$374,AL$1,FALSE)*$Z166</f>
        <v>84.733994836313627</v>
      </c>
      <c r="AM166" s="3">
        <f>VLOOKUP($AB166,'2000 Seattle Tracts'!$C$2:$Y$374,AM$1,FALSE)*$Z166</f>
        <v>687.70715451972399</v>
      </c>
      <c r="AN166" s="3">
        <f>VLOOKUP($AB166,'2000 Seattle Tracts'!$C$2:$Y$374,AN$1,FALSE)*$Z166</f>
        <v>122.56167110252507</v>
      </c>
      <c r="AO166" s="3">
        <f>VLOOKUP($AB166,'2000 Seattle Tracts'!$C$2:$Y$374,AO$1,FALSE)*$Z166</f>
        <v>38.58422979153567</v>
      </c>
      <c r="AP166" s="3">
        <f>VLOOKUP($AB166,'2000 Seattle Tracts'!$C$2:$Y$374,AP$1,FALSE)*$Z166</f>
        <v>102.1347259187709</v>
      </c>
      <c r="AQ166" s="3">
        <f>VLOOKUP($AB166,'2000 Seattle Tracts'!$C$2:$Y$374,AQ$1,FALSE)*$Z166</f>
        <v>806.4860579956279</v>
      </c>
      <c r="AR166" s="3">
        <f>VLOOKUP($AB166,'2000 Seattle Tracts'!$C$2:$Y$374,AR$1,FALSE)*$Z166</f>
        <v>1886.0879386333024</v>
      </c>
      <c r="AS166" s="3">
        <f>VLOOKUP($AB166,'2000 Seattle Tracts'!$C$2:$Y$374,AS$1,FALSE)*$Z166</f>
        <v>66.576710228532136</v>
      </c>
      <c r="AT166" s="3">
        <f>VLOOKUP($AB166,'2000 Seattle Tracts'!$C$2:$Y$374,AT$1,FALSE)*$Z166</f>
        <v>31.77524806361761</v>
      </c>
      <c r="AU166" s="3">
        <f>VLOOKUP($AB166,'2000 Seattle Tracts'!$C$2:$Y$374,AU$1,FALSE)*$Z166</f>
        <v>112.72647527331009</v>
      </c>
      <c r="AV166" s="3">
        <f>VLOOKUP($AB166,'2000 Seattle Tracts'!$C$2:$Y$374,AV$1,FALSE)*$Z166</f>
        <v>116.50924289993124</v>
      </c>
      <c r="AW166" s="3">
        <f>VLOOKUP($AB166,'2000 Seattle Tracts'!$C$2:$Y$374,AW$1,FALSE)*$Z166</f>
        <v>393.40783316859898</v>
      </c>
      <c r="AX166" s="3">
        <f>VLOOKUP($AB166,'2000 Seattle Tracts'!$C$2:$Y$374,AX$1,FALSE)*$Z166</f>
        <v>185.35561370443605</v>
      </c>
    </row>
    <row r="167" spans="1:50" x14ac:dyDescent="0.25">
      <c r="A167" t="s">
        <v>2917</v>
      </c>
      <c r="B167" t="s">
        <v>2918</v>
      </c>
      <c r="C167" t="s">
        <v>3419</v>
      </c>
      <c r="D167" t="s">
        <v>3420</v>
      </c>
      <c r="E167" t="s">
        <v>3421</v>
      </c>
      <c r="F167" t="s">
        <v>3422</v>
      </c>
      <c r="G167" t="s">
        <v>2920</v>
      </c>
      <c r="H167" t="s">
        <v>2921</v>
      </c>
      <c r="I167">
        <v>3202093</v>
      </c>
      <c r="J167">
        <v>60359</v>
      </c>
      <c r="K167" t="s">
        <v>3270</v>
      </c>
      <c r="L167" t="s">
        <v>3271</v>
      </c>
      <c r="M167">
        <v>80</v>
      </c>
      <c r="N167">
        <v>40522.184000000001</v>
      </c>
      <c r="O167" t="s">
        <v>179</v>
      </c>
      <c r="P167">
        <v>17</v>
      </c>
      <c r="Q167">
        <v>5</v>
      </c>
      <c r="R167">
        <v>95</v>
      </c>
      <c r="S167">
        <v>52620472</v>
      </c>
      <c r="T167">
        <v>82</v>
      </c>
      <c r="U167">
        <v>172</v>
      </c>
      <c r="V167">
        <v>40522.182927532267</v>
      </c>
      <c r="W167">
        <v>52620470.788550943</v>
      </c>
      <c r="X167">
        <v>277988.22899999999</v>
      </c>
      <c r="Y167">
        <f>VLOOKUP(AB167,'2000 Seattle Tracts'!$C$2:$Z$374,24,FALSE)</f>
        <v>3193901.5589999999</v>
      </c>
      <c r="Z167">
        <f t="shared" si="4"/>
        <v>8.7037193809767016E-2</v>
      </c>
      <c r="AA167" t="s">
        <v>180</v>
      </c>
      <c r="AB167" t="str">
        <f t="shared" si="5"/>
        <v>Census Tract 100, King County, Washington</v>
      </c>
      <c r="AC167" s="3">
        <f>VLOOKUP($AB167,'2000 Seattle Tracts'!$C$2:$Y$374,AC$1,FALSE)*$Z167</f>
        <v>708.39572041769372</v>
      </c>
      <c r="AD167" s="3">
        <f>VLOOKUP($AB167,'2000 Seattle Tracts'!$C$2:$Y$374,AD$1,FALSE)*$Z167</f>
        <v>407.76925299875847</v>
      </c>
      <c r="AE167" s="3">
        <f>VLOOKUP($AB167,'2000 Seattle Tracts'!$C$2:$Y$374,AE$1,FALSE)*$Z167</f>
        <v>300.62646741893525</v>
      </c>
      <c r="AF167" s="3">
        <f>VLOOKUP($AB167,'2000 Seattle Tracts'!$C$2:$Y$374,AF$1,FALSE)*$Z167</f>
        <v>708.39572041769372</v>
      </c>
      <c r="AG167" s="3">
        <f>VLOOKUP($AB167,'2000 Seattle Tracts'!$C$2:$Y$374,AG$1,FALSE)*$Z167</f>
        <v>407.76925299875847</v>
      </c>
      <c r="AH167" s="3">
        <f>VLOOKUP($AB167,'2000 Seattle Tracts'!$C$2:$Y$374,AH$1,FALSE)*$Z167</f>
        <v>300.62646741893525</v>
      </c>
      <c r="AI167" s="3">
        <f>VLOOKUP($AB167,'2000 Seattle Tracts'!$C$2:$Y$374,AI$1,FALSE)*$Z167</f>
        <v>151.53175442280437</v>
      </c>
      <c r="AJ167" s="3">
        <f>VLOOKUP($AB167,'2000 Seattle Tracts'!$C$2:$Y$374,AJ$1,FALSE)*$Z167</f>
        <v>9.6611285128841384</v>
      </c>
      <c r="AK167" s="3">
        <f>VLOOKUP($AB167,'2000 Seattle Tracts'!$C$2:$Y$374,AK$1,FALSE)*$Z167</f>
        <v>14.01298820337249</v>
      </c>
      <c r="AL167" s="3">
        <f>VLOOKUP($AB167,'2000 Seattle Tracts'!$C$2:$Y$374,AL$1,FALSE)*$Z167</f>
        <v>9.7481657066939054</v>
      </c>
      <c r="AM167" s="3">
        <f>VLOOKUP($AB167,'2000 Seattle Tracts'!$C$2:$Y$374,AM$1,FALSE)*$Z167</f>
        <v>79.116809173078224</v>
      </c>
      <c r="AN167" s="3">
        <f>VLOOKUP($AB167,'2000 Seattle Tracts'!$C$2:$Y$374,AN$1,FALSE)*$Z167</f>
        <v>14.100025397182257</v>
      </c>
      <c r="AO167" s="3">
        <f>VLOOKUP($AB167,'2000 Seattle Tracts'!$C$2:$Y$374,AO$1,FALSE)*$Z167</f>
        <v>4.438896884298118</v>
      </c>
      <c r="AP167" s="3">
        <f>VLOOKUP($AB167,'2000 Seattle Tracts'!$C$2:$Y$374,AP$1,FALSE)*$Z167</f>
        <v>11.750021164318547</v>
      </c>
      <c r="AQ167" s="3">
        <f>VLOOKUP($AB167,'2000 Seattle Tracts'!$C$2:$Y$374,AQ$1,FALSE)*$Z167</f>
        <v>92.781648601211643</v>
      </c>
      <c r="AR167" s="3">
        <f>VLOOKUP($AB167,'2000 Seattle Tracts'!$C$2:$Y$374,AR$1,FALSE)*$Z167</f>
        <v>216.98372416774916</v>
      </c>
      <c r="AS167" s="3">
        <f>VLOOKUP($AB167,'2000 Seattle Tracts'!$C$2:$Y$374,AS$1,FALSE)*$Z167</f>
        <v>7.6592730552594972</v>
      </c>
      <c r="AT167" s="3">
        <f>VLOOKUP($AB167,'2000 Seattle Tracts'!$C$2:$Y$374,AT$1,FALSE)*$Z167</f>
        <v>3.6555621400102147</v>
      </c>
      <c r="AU167" s="3">
        <f>VLOOKUP($AB167,'2000 Seattle Tracts'!$C$2:$Y$374,AU$1,FALSE)*$Z167</f>
        <v>12.968541877655285</v>
      </c>
      <c r="AV167" s="3">
        <f>VLOOKUP($AB167,'2000 Seattle Tracts'!$C$2:$Y$374,AV$1,FALSE)*$Z167</f>
        <v>13.40372784670412</v>
      </c>
      <c r="AW167" s="3">
        <f>VLOOKUP($AB167,'2000 Seattle Tracts'!$C$2:$Y$374,AW$1,FALSE)*$Z167</f>
        <v>45.259340781078848</v>
      </c>
      <c r="AX167" s="3">
        <f>VLOOKUP($AB167,'2000 Seattle Tracts'!$C$2:$Y$374,AX$1,FALSE)*$Z167</f>
        <v>21.32411248339292</v>
      </c>
    </row>
    <row r="168" spans="1:50" x14ac:dyDescent="0.25">
      <c r="A168" t="s">
        <v>2917</v>
      </c>
      <c r="B168" t="s">
        <v>2918</v>
      </c>
      <c r="C168" t="s">
        <v>3419</v>
      </c>
      <c r="D168" t="s">
        <v>3420</v>
      </c>
      <c r="E168" t="s">
        <v>3421</v>
      </c>
      <c r="F168" t="s">
        <v>3422</v>
      </c>
      <c r="G168" t="s">
        <v>2920</v>
      </c>
      <c r="H168" t="s">
        <v>2921</v>
      </c>
      <c r="I168">
        <v>3202093</v>
      </c>
      <c r="J168">
        <v>60359</v>
      </c>
      <c r="K168" t="s">
        <v>3270</v>
      </c>
      <c r="L168" t="s">
        <v>3271</v>
      </c>
      <c r="M168">
        <v>88</v>
      </c>
      <c r="N168">
        <v>35177.063000000002</v>
      </c>
      <c r="O168" t="s">
        <v>184</v>
      </c>
      <c r="P168">
        <v>15</v>
      </c>
      <c r="Q168">
        <v>4</v>
      </c>
      <c r="R168">
        <v>94</v>
      </c>
      <c r="S168">
        <v>37406576</v>
      </c>
      <c r="T168">
        <v>90</v>
      </c>
      <c r="U168">
        <v>179</v>
      </c>
      <c r="V168">
        <v>35177.060803967521</v>
      </c>
      <c r="W168">
        <v>37406576.492632188</v>
      </c>
      <c r="X168">
        <v>499555.27500000002</v>
      </c>
      <c r="Y168">
        <f>VLOOKUP(AB168,'2000 Seattle Tracts'!$C$2:$Z$374,24,FALSE)</f>
        <v>3193901.5589999999</v>
      </c>
      <c r="Z168">
        <f t="shared" si="4"/>
        <v>0.15640910208779546</v>
      </c>
      <c r="AA168" t="s">
        <v>189</v>
      </c>
      <c r="AB168" t="str">
        <f t="shared" si="5"/>
        <v>Census Tract 100, King County, Washington</v>
      </c>
      <c r="AC168" s="3">
        <f>VLOOKUP($AB168,'2000 Seattle Tracts'!$C$2:$Y$374,AC$1,FALSE)*$Z168</f>
        <v>1273.0136818925673</v>
      </c>
      <c r="AD168" s="3">
        <f>VLOOKUP($AB168,'2000 Seattle Tracts'!$C$2:$Y$374,AD$1,FALSE)*$Z168</f>
        <v>732.77664328132175</v>
      </c>
      <c r="AE168" s="3">
        <f>VLOOKUP($AB168,'2000 Seattle Tracts'!$C$2:$Y$374,AE$1,FALSE)*$Z168</f>
        <v>540.23703861124557</v>
      </c>
      <c r="AF168" s="3">
        <f>VLOOKUP($AB168,'2000 Seattle Tracts'!$C$2:$Y$374,AF$1,FALSE)*$Z168</f>
        <v>1273.0136818925673</v>
      </c>
      <c r="AG168" s="3">
        <f>VLOOKUP($AB168,'2000 Seattle Tracts'!$C$2:$Y$374,AG$1,FALSE)*$Z168</f>
        <v>732.77664328132175</v>
      </c>
      <c r="AH168" s="3">
        <f>VLOOKUP($AB168,'2000 Seattle Tracts'!$C$2:$Y$374,AH$1,FALSE)*$Z168</f>
        <v>540.23703861124557</v>
      </c>
      <c r="AI168" s="3">
        <f>VLOOKUP($AB168,'2000 Seattle Tracts'!$C$2:$Y$374,AI$1,FALSE)*$Z168</f>
        <v>272.30824673485188</v>
      </c>
      <c r="AJ168" s="3">
        <f>VLOOKUP($AB168,'2000 Seattle Tracts'!$C$2:$Y$374,AJ$1,FALSE)*$Z168</f>
        <v>17.361410331745297</v>
      </c>
      <c r="AK168" s="3">
        <f>VLOOKUP($AB168,'2000 Seattle Tracts'!$C$2:$Y$374,AK$1,FALSE)*$Z168</f>
        <v>25.18186543613507</v>
      </c>
      <c r="AL168" s="3">
        <f>VLOOKUP($AB168,'2000 Seattle Tracts'!$C$2:$Y$374,AL$1,FALSE)*$Z168</f>
        <v>17.51781943383309</v>
      </c>
      <c r="AM168" s="3">
        <f>VLOOKUP($AB168,'2000 Seattle Tracts'!$C$2:$Y$374,AM$1,FALSE)*$Z168</f>
        <v>142.17587379780608</v>
      </c>
      <c r="AN168" s="3">
        <f>VLOOKUP($AB168,'2000 Seattle Tracts'!$C$2:$Y$374,AN$1,FALSE)*$Z168</f>
        <v>25.338274538222866</v>
      </c>
      <c r="AO168" s="3">
        <f>VLOOKUP($AB168,'2000 Seattle Tracts'!$C$2:$Y$374,AO$1,FALSE)*$Z168</f>
        <v>7.9768642064775683</v>
      </c>
      <c r="AP168" s="3">
        <f>VLOOKUP($AB168,'2000 Seattle Tracts'!$C$2:$Y$374,AP$1,FALSE)*$Z168</f>
        <v>21.115228781852387</v>
      </c>
      <c r="AQ168" s="3">
        <f>VLOOKUP($AB168,'2000 Seattle Tracts'!$C$2:$Y$374,AQ$1,FALSE)*$Z168</f>
        <v>166.73210282558995</v>
      </c>
      <c r="AR168" s="3">
        <f>VLOOKUP($AB168,'2000 Seattle Tracts'!$C$2:$Y$374,AR$1,FALSE)*$Z168</f>
        <v>389.92789150487408</v>
      </c>
      <c r="AS168" s="3">
        <f>VLOOKUP($AB168,'2000 Seattle Tracts'!$C$2:$Y$374,AS$1,FALSE)*$Z168</f>
        <v>13.764000983726</v>
      </c>
      <c r="AT168" s="3">
        <f>VLOOKUP($AB168,'2000 Seattle Tracts'!$C$2:$Y$374,AT$1,FALSE)*$Z168</f>
        <v>6.5691822876874095</v>
      </c>
      <c r="AU168" s="3">
        <f>VLOOKUP($AB168,'2000 Seattle Tracts'!$C$2:$Y$374,AU$1,FALSE)*$Z168</f>
        <v>23.304956211081524</v>
      </c>
      <c r="AV168" s="3">
        <f>VLOOKUP($AB168,'2000 Seattle Tracts'!$C$2:$Y$374,AV$1,FALSE)*$Z168</f>
        <v>24.087001721520501</v>
      </c>
      <c r="AW168" s="3">
        <f>VLOOKUP($AB168,'2000 Seattle Tracts'!$C$2:$Y$374,AW$1,FALSE)*$Z168</f>
        <v>81.332733085653643</v>
      </c>
      <c r="AX168" s="3">
        <f>VLOOKUP($AB168,'2000 Seattle Tracts'!$C$2:$Y$374,AX$1,FALSE)*$Z168</f>
        <v>38.320230011509885</v>
      </c>
    </row>
    <row r="169" spans="1:50" x14ac:dyDescent="0.25">
      <c r="A169" t="s">
        <v>2917</v>
      </c>
      <c r="B169" t="s">
        <v>2918</v>
      </c>
      <c r="C169" t="s">
        <v>2954</v>
      </c>
      <c r="D169" t="s">
        <v>2497</v>
      </c>
      <c r="E169" t="s">
        <v>2498</v>
      </c>
      <c r="F169" t="s">
        <v>2499</v>
      </c>
      <c r="G169" t="s">
        <v>2920</v>
      </c>
      <c r="H169" t="s">
        <v>2921</v>
      </c>
      <c r="I169">
        <v>6566273</v>
      </c>
      <c r="J169">
        <v>3355175</v>
      </c>
      <c r="K169" t="s">
        <v>3423</v>
      </c>
      <c r="L169" t="s">
        <v>3424</v>
      </c>
      <c r="M169">
        <v>70</v>
      </c>
      <c r="N169">
        <v>24381.296999999999</v>
      </c>
      <c r="O169" t="s">
        <v>122</v>
      </c>
      <c r="P169">
        <v>18</v>
      </c>
      <c r="Q169">
        <v>12</v>
      </c>
      <c r="R169">
        <v>81</v>
      </c>
      <c r="S169">
        <v>17832300</v>
      </c>
      <c r="T169">
        <v>72</v>
      </c>
      <c r="U169">
        <v>197</v>
      </c>
      <c r="V169">
        <v>24381.296628060059</v>
      </c>
      <c r="W169">
        <v>17832300.735466979</v>
      </c>
      <c r="X169">
        <v>1628732.193</v>
      </c>
      <c r="Y169">
        <f>VLOOKUP(AB169,'2000 Seattle Tracts'!$C$2:$Z$374,24,FALSE)</f>
        <v>6506275.5999999996</v>
      </c>
      <c r="Z169">
        <f t="shared" si="4"/>
        <v>0.25033249329309076</v>
      </c>
      <c r="AA169" t="s">
        <v>168</v>
      </c>
      <c r="AB169" t="str">
        <f t="shared" si="5"/>
        <v>Census Tract 99, King County, Washington</v>
      </c>
      <c r="AC169" s="3">
        <f>VLOOKUP($AB169,'2000 Seattle Tracts'!$C$2:$Y$374,AC$1,FALSE)*$Z169</f>
        <v>1085.9423559054278</v>
      </c>
      <c r="AD169" s="3">
        <f>VLOOKUP($AB169,'2000 Seattle Tracts'!$C$2:$Y$374,AD$1,FALSE)*$Z169</f>
        <v>927.48188765090129</v>
      </c>
      <c r="AE169" s="3">
        <f>VLOOKUP($AB169,'2000 Seattle Tracts'!$C$2:$Y$374,AE$1,FALSE)*$Z169</f>
        <v>158.46046825452646</v>
      </c>
      <c r="AF169" s="3">
        <f>VLOOKUP($AB169,'2000 Seattle Tracts'!$C$2:$Y$374,AF$1,FALSE)*$Z169</f>
        <v>1085.9423559054278</v>
      </c>
      <c r="AG169" s="3">
        <f>VLOOKUP($AB169,'2000 Seattle Tracts'!$C$2:$Y$374,AG$1,FALSE)*$Z169</f>
        <v>927.48188765090129</v>
      </c>
      <c r="AH169" s="3">
        <f>VLOOKUP($AB169,'2000 Seattle Tracts'!$C$2:$Y$374,AH$1,FALSE)*$Z169</f>
        <v>158.46046825452646</v>
      </c>
      <c r="AI169" s="3">
        <f>VLOOKUP($AB169,'2000 Seattle Tracts'!$C$2:$Y$374,AI$1,FALSE)*$Z169</f>
        <v>707.18929355298144</v>
      </c>
      <c r="AJ169" s="3">
        <f>VLOOKUP($AB169,'2000 Seattle Tracts'!$C$2:$Y$374,AJ$1,FALSE)*$Z169</f>
        <v>43.057188846411613</v>
      </c>
      <c r="AK169" s="3">
        <f>VLOOKUP($AB169,'2000 Seattle Tracts'!$C$2:$Y$374,AK$1,FALSE)*$Z169</f>
        <v>16.772277050637083</v>
      </c>
      <c r="AL169" s="3">
        <f>VLOOKUP($AB169,'2000 Seattle Tracts'!$C$2:$Y$374,AL$1,FALSE)*$Z169</f>
        <v>16.021279570757809</v>
      </c>
      <c r="AM169" s="3">
        <f>VLOOKUP($AB169,'2000 Seattle Tracts'!$C$2:$Y$374,AM$1,FALSE)*$Z169</f>
        <v>79.105067880616687</v>
      </c>
      <c r="AN169" s="3">
        <f>VLOOKUP($AB169,'2000 Seattle Tracts'!$C$2:$Y$374,AN$1,FALSE)*$Z169</f>
        <v>5.5073148524479967</v>
      </c>
      <c r="AO169" s="3">
        <f>VLOOKUP($AB169,'2000 Seattle Tracts'!$C$2:$Y$374,AO$1,FALSE)*$Z169</f>
        <v>14.268952117706174</v>
      </c>
      <c r="AP169" s="3">
        <f>VLOOKUP($AB169,'2000 Seattle Tracts'!$C$2:$Y$374,AP$1,FALSE)*$Z169</f>
        <v>0</v>
      </c>
      <c r="AQ169" s="3">
        <f>VLOOKUP($AB169,'2000 Seattle Tracts'!$C$2:$Y$374,AQ$1,FALSE)*$Z169</f>
        <v>64.085118283031235</v>
      </c>
      <c r="AR169" s="3">
        <f>VLOOKUP($AB169,'2000 Seattle Tracts'!$C$2:$Y$374,AR$1,FALSE)*$Z169</f>
        <v>58.828135923876332</v>
      </c>
      <c r="AS169" s="3">
        <f>VLOOKUP($AB169,'2000 Seattle Tracts'!$C$2:$Y$374,AS$1,FALSE)*$Z169</f>
        <v>0</v>
      </c>
      <c r="AT169" s="3">
        <f>VLOOKUP($AB169,'2000 Seattle Tracts'!$C$2:$Y$374,AT$1,FALSE)*$Z169</f>
        <v>0</v>
      </c>
      <c r="AU169" s="3">
        <f>VLOOKUP($AB169,'2000 Seattle Tracts'!$C$2:$Y$374,AU$1,FALSE)*$Z169</f>
        <v>13.768287131119992</v>
      </c>
      <c r="AV169" s="3">
        <f>VLOOKUP($AB169,'2000 Seattle Tracts'!$C$2:$Y$374,AV$1,FALSE)*$Z169</f>
        <v>35.046549061032707</v>
      </c>
      <c r="AW169" s="3">
        <f>VLOOKUP($AB169,'2000 Seattle Tracts'!$C$2:$Y$374,AW$1,FALSE)*$Z169</f>
        <v>32.292891634808711</v>
      </c>
      <c r="AX169" s="3">
        <f>VLOOKUP($AB169,'2000 Seattle Tracts'!$C$2:$Y$374,AX$1,FALSE)*$Z169</f>
        <v>0</v>
      </c>
    </row>
    <row r="170" spans="1:50" x14ac:dyDescent="0.25">
      <c r="A170" t="s">
        <v>2917</v>
      </c>
      <c r="B170" t="s">
        <v>2918</v>
      </c>
      <c r="C170" t="s">
        <v>2954</v>
      </c>
      <c r="D170" t="s">
        <v>2497</v>
      </c>
      <c r="E170" t="s">
        <v>2498</v>
      </c>
      <c r="F170" t="s">
        <v>2499</v>
      </c>
      <c r="G170" t="s">
        <v>2920</v>
      </c>
      <c r="H170" t="s">
        <v>2921</v>
      </c>
      <c r="I170">
        <v>6566273</v>
      </c>
      <c r="J170">
        <v>3355175</v>
      </c>
      <c r="K170" t="s">
        <v>3423</v>
      </c>
      <c r="L170" t="s">
        <v>3424</v>
      </c>
      <c r="M170">
        <v>75</v>
      </c>
      <c r="N170">
        <v>30687.785</v>
      </c>
      <c r="O170" t="s">
        <v>170</v>
      </c>
      <c r="P170">
        <v>19</v>
      </c>
      <c r="Q170">
        <v>9</v>
      </c>
      <c r="R170">
        <v>24</v>
      </c>
      <c r="S170">
        <v>48581416</v>
      </c>
      <c r="T170">
        <v>77</v>
      </c>
      <c r="U170">
        <v>169</v>
      </c>
      <c r="V170">
        <v>30687.78447008365</v>
      </c>
      <c r="W170">
        <v>48581416.320232317</v>
      </c>
      <c r="X170">
        <v>612078.67700000003</v>
      </c>
      <c r="Y170">
        <f>VLOOKUP(AB170,'2000 Seattle Tracts'!$C$2:$Z$374,24,FALSE)</f>
        <v>6506275.5999999996</v>
      </c>
      <c r="Z170">
        <f t="shared" si="4"/>
        <v>9.4075122947450934E-2</v>
      </c>
      <c r="AA170" t="s">
        <v>174</v>
      </c>
      <c r="AB170" t="str">
        <f t="shared" si="5"/>
        <v>Census Tract 99, King County, Washington</v>
      </c>
      <c r="AC170" s="3">
        <f>VLOOKUP($AB170,'2000 Seattle Tracts'!$C$2:$Y$374,AC$1,FALSE)*$Z170</f>
        <v>408.09788334604218</v>
      </c>
      <c r="AD170" s="3">
        <f>VLOOKUP($AB170,'2000 Seattle Tracts'!$C$2:$Y$374,AD$1,FALSE)*$Z170</f>
        <v>348.54833052030574</v>
      </c>
      <c r="AE170" s="3">
        <f>VLOOKUP($AB170,'2000 Seattle Tracts'!$C$2:$Y$374,AE$1,FALSE)*$Z170</f>
        <v>59.549552825736441</v>
      </c>
      <c r="AF170" s="3">
        <f>VLOOKUP($AB170,'2000 Seattle Tracts'!$C$2:$Y$374,AF$1,FALSE)*$Z170</f>
        <v>408.09788334604218</v>
      </c>
      <c r="AG170" s="3">
        <f>VLOOKUP($AB170,'2000 Seattle Tracts'!$C$2:$Y$374,AG$1,FALSE)*$Z170</f>
        <v>348.54833052030574</v>
      </c>
      <c r="AH170" s="3">
        <f>VLOOKUP($AB170,'2000 Seattle Tracts'!$C$2:$Y$374,AH$1,FALSE)*$Z170</f>
        <v>59.549552825736441</v>
      </c>
      <c r="AI170" s="3">
        <f>VLOOKUP($AB170,'2000 Seattle Tracts'!$C$2:$Y$374,AI$1,FALSE)*$Z170</f>
        <v>265.76222232654891</v>
      </c>
      <c r="AJ170" s="3">
        <f>VLOOKUP($AB170,'2000 Seattle Tracts'!$C$2:$Y$374,AJ$1,FALSE)*$Z170</f>
        <v>16.180921146961559</v>
      </c>
      <c r="AK170" s="3">
        <f>VLOOKUP($AB170,'2000 Seattle Tracts'!$C$2:$Y$374,AK$1,FALSE)*$Z170</f>
        <v>6.3030332374792124</v>
      </c>
      <c r="AL170" s="3">
        <f>VLOOKUP($AB170,'2000 Seattle Tracts'!$C$2:$Y$374,AL$1,FALSE)*$Z170</f>
        <v>6.0208078686368598</v>
      </c>
      <c r="AM170" s="3">
        <f>VLOOKUP($AB170,'2000 Seattle Tracts'!$C$2:$Y$374,AM$1,FALSE)*$Z170</f>
        <v>29.727738851394495</v>
      </c>
      <c r="AN170" s="3">
        <f>VLOOKUP($AB170,'2000 Seattle Tracts'!$C$2:$Y$374,AN$1,FALSE)*$Z170</f>
        <v>2.0696527048439206</v>
      </c>
      <c r="AO170" s="3">
        <f>VLOOKUP($AB170,'2000 Seattle Tracts'!$C$2:$Y$374,AO$1,FALSE)*$Z170</f>
        <v>5.3622820080047031</v>
      </c>
      <c r="AP170" s="3">
        <f>VLOOKUP($AB170,'2000 Seattle Tracts'!$C$2:$Y$374,AP$1,FALSE)*$Z170</f>
        <v>0</v>
      </c>
      <c r="AQ170" s="3">
        <f>VLOOKUP($AB170,'2000 Seattle Tracts'!$C$2:$Y$374,AQ$1,FALSE)*$Z170</f>
        <v>24.083231474547439</v>
      </c>
      <c r="AR170" s="3">
        <f>VLOOKUP($AB170,'2000 Seattle Tracts'!$C$2:$Y$374,AR$1,FALSE)*$Z170</f>
        <v>22.107653892650969</v>
      </c>
      <c r="AS170" s="3">
        <f>VLOOKUP($AB170,'2000 Seattle Tracts'!$C$2:$Y$374,AS$1,FALSE)*$Z170</f>
        <v>0</v>
      </c>
      <c r="AT170" s="3">
        <f>VLOOKUP($AB170,'2000 Seattle Tracts'!$C$2:$Y$374,AT$1,FALSE)*$Z170</f>
        <v>0</v>
      </c>
      <c r="AU170" s="3">
        <f>VLOOKUP($AB170,'2000 Seattle Tracts'!$C$2:$Y$374,AU$1,FALSE)*$Z170</f>
        <v>5.1741317621098011</v>
      </c>
      <c r="AV170" s="3">
        <f>VLOOKUP($AB170,'2000 Seattle Tracts'!$C$2:$Y$374,AV$1,FALSE)*$Z170</f>
        <v>13.17051721264313</v>
      </c>
      <c r="AW170" s="3">
        <f>VLOOKUP($AB170,'2000 Seattle Tracts'!$C$2:$Y$374,AW$1,FALSE)*$Z170</f>
        <v>12.135690860221171</v>
      </c>
      <c r="AX170" s="3">
        <f>VLOOKUP($AB170,'2000 Seattle Tracts'!$C$2:$Y$374,AX$1,FALSE)*$Z170</f>
        <v>0</v>
      </c>
    </row>
    <row r="171" spans="1:50" x14ac:dyDescent="0.25">
      <c r="A171" t="s">
        <v>2917</v>
      </c>
      <c r="B171" t="s">
        <v>2918</v>
      </c>
      <c r="C171" t="s">
        <v>2954</v>
      </c>
      <c r="D171" t="s">
        <v>2497</v>
      </c>
      <c r="E171" t="s">
        <v>2498</v>
      </c>
      <c r="F171" t="s">
        <v>2499</v>
      </c>
      <c r="G171" t="s">
        <v>2920</v>
      </c>
      <c r="H171" t="s">
        <v>2921</v>
      </c>
      <c r="I171">
        <v>6566273</v>
      </c>
      <c r="J171">
        <v>3355175</v>
      </c>
      <c r="K171" t="s">
        <v>3423</v>
      </c>
      <c r="L171" t="s">
        <v>3424</v>
      </c>
      <c r="M171">
        <v>76</v>
      </c>
      <c r="N171">
        <v>24955.713</v>
      </c>
      <c r="O171" t="s">
        <v>170</v>
      </c>
      <c r="P171">
        <v>19</v>
      </c>
      <c r="Q171">
        <v>9</v>
      </c>
      <c r="R171">
        <v>9</v>
      </c>
      <c r="S171">
        <v>16153900</v>
      </c>
      <c r="T171">
        <v>78</v>
      </c>
      <c r="U171">
        <v>176</v>
      </c>
      <c r="V171">
        <v>24955.712841425851</v>
      </c>
      <c r="W171">
        <v>16153900.097700959</v>
      </c>
      <c r="X171">
        <v>147274.152</v>
      </c>
      <c r="Y171">
        <f>VLOOKUP(AB171,'2000 Seattle Tracts'!$C$2:$Z$374,24,FALSE)</f>
        <v>6506275.5999999996</v>
      </c>
      <c r="Z171">
        <f t="shared" si="4"/>
        <v>2.2635707592835449E-2</v>
      </c>
      <c r="AA171" t="s">
        <v>175</v>
      </c>
      <c r="AB171" t="str">
        <f t="shared" si="5"/>
        <v>Census Tract 99, King County, Washington</v>
      </c>
      <c r="AC171" s="3">
        <f>VLOOKUP($AB171,'2000 Seattle Tracts'!$C$2:$Y$374,AC$1,FALSE)*$Z171</f>
        <v>98.193699537720178</v>
      </c>
      <c r="AD171" s="3">
        <f>VLOOKUP($AB171,'2000 Seattle Tracts'!$C$2:$Y$374,AD$1,FALSE)*$Z171</f>
        <v>83.865296631455337</v>
      </c>
      <c r="AE171" s="3">
        <f>VLOOKUP($AB171,'2000 Seattle Tracts'!$C$2:$Y$374,AE$1,FALSE)*$Z171</f>
        <v>14.32840290626484</v>
      </c>
      <c r="AF171" s="3">
        <f>VLOOKUP($AB171,'2000 Seattle Tracts'!$C$2:$Y$374,AF$1,FALSE)*$Z171</f>
        <v>98.193699537720178</v>
      </c>
      <c r="AG171" s="3">
        <f>VLOOKUP($AB171,'2000 Seattle Tracts'!$C$2:$Y$374,AG$1,FALSE)*$Z171</f>
        <v>83.865296631455337</v>
      </c>
      <c r="AH171" s="3">
        <f>VLOOKUP($AB171,'2000 Seattle Tracts'!$C$2:$Y$374,AH$1,FALSE)*$Z171</f>
        <v>14.32840290626484</v>
      </c>
      <c r="AI171" s="3">
        <f>VLOOKUP($AB171,'2000 Seattle Tracts'!$C$2:$Y$374,AI$1,FALSE)*$Z171</f>
        <v>63.945873949760141</v>
      </c>
      <c r="AJ171" s="3">
        <f>VLOOKUP($AB171,'2000 Seattle Tracts'!$C$2:$Y$374,AJ$1,FALSE)*$Z171</f>
        <v>3.8933417059676971</v>
      </c>
      <c r="AK171" s="3">
        <f>VLOOKUP($AB171,'2000 Seattle Tracts'!$C$2:$Y$374,AK$1,FALSE)*$Z171</f>
        <v>1.5165924087199751</v>
      </c>
      <c r="AL171" s="3">
        <f>VLOOKUP($AB171,'2000 Seattle Tracts'!$C$2:$Y$374,AL$1,FALSE)*$Z171</f>
        <v>1.4486852859414687</v>
      </c>
      <c r="AM171" s="3">
        <f>VLOOKUP($AB171,'2000 Seattle Tracts'!$C$2:$Y$374,AM$1,FALSE)*$Z171</f>
        <v>7.1528835993360023</v>
      </c>
      <c r="AN171" s="3">
        <f>VLOOKUP($AB171,'2000 Seattle Tracts'!$C$2:$Y$374,AN$1,FALSE)*$Z171</f>
        <v>0.4979855670423799</v>
      </c>
      <c r="AO171" s="3">
        <f>VLOOKUP($AB171,'2000 Seattle Tracts'!$C$2:$Y$374,AO$1,FALSE)*$Z171</f>
        <v>1.2902353327916205</v>
      </c>
      <c r="AP171" s="3">
        <f>VLOOKUP($AB171,'2000 Seattle Tracts'!$C$2:$Y$374,AP$1,FALSE)*$Z171</f>
        <v>0</v>
      </c>
      <c r="AQ171" s="3">
        <f>VLOOKUP($AB171,'2000 Seattle Tracts'!$C$2:$Y$374,AQ$1,FALSE)*$Z171</f>
        <v>5.7947411437658749</v>
      </c>
      <c r="AR171" s="3">
        <f>VLOOKUP($AB171,'2000 Seattle Tracts'!$C$2:$Y$374,AR$1,FALSE)*$Z171</f>
        <v>5.3193912843163309</v>
      </c>
      <c r="AS171" s="3">
        <f>VLOOKUP($AB171,'2000 Seattle Tracts'!$C$2:$Y$374,AS$1,FALSE)*$Z171</f>
        <v>0</v>
      </c>
      <c r="AT171" s="3">
        <f>VLOOKUP($AB171,'2000 Seattle Tracts'!$C$2:$Y$374,AT$1,FALSE)*$Z171</f>
        <v>0</v>
      </c>
      <c r="AU171" s="3">
        <f>VLOOKUP($AB171,'2000 Seattle Tracts'!$C$2:$Y$374,AU$1,FALSE)*$Z171</f>
        <v>1.2449639176059497</v>
      </c>
      <c r="AV171" s="3">
        <f>VLOOKUP($AB171,'2000 Seattle Tracts'!$C$2:$Y$374,AV$1,FALSE)*$Z171</f>
        <v>3.1689990629969627</v>
      </c>
      <c r="AW171" s="3">
        <f>VLOOKUP($AB171,'2000 Seattle Tracts'!$C$2:$Y$374,AW$1,FALSE)*$Z171</f>
        <v>2.9200062794757731</v>
      </c>
      <c r="AX171" s="3">
        <f>VLOOKUP($AB171,'2000 Seattle Tracts'!$C$2:$Y$374,AX$1,FALSE)*$Z171</f>
        <v>0</v>
      </c>
    </row>
    <row r="172" spans="1:50" x14ac:dyDescent="0.25">
      <c r="A172" t="s">
        <v>2917</v>
      </c>
      <c r="B172" t="s">
        <v>2918</v>
      </c>
      <c r="C172" t="s">
        <v>2954</v>
      </c>
      <c r="D172" t="s">
        <v>2497</v>
      </c>
      <c r="E172" t="s">
        <v>2498</v>
      </c>
      <c r="F172" t="s">
        <v>2499</v>
      </c>
      <c r="G172" t="s">
        <v>2920</v>
      </c>
      <c r="H172" t="s">
        <v>2921</v>
      </c>
      <c r="I172">
        <v>6566273</v>
      </c>
      <c r="J172">
        <v>3355175</v>
      </c>
      <c r="K172" t="s">
        <v>3423</v>
      </c>
      <c r="L172" t="s">
        <v>3424</v>
      </c>
      <c r="M172">
        <v>77</v>
      </c>
      <c r="N172">
        <v>19870.868999999999</v>
      </c>
      <c r="O172" t="s">
        <v>170</v>
      </c>
      <c r="P172">
        <v>19</v>
      </c>
      <c r="Q172">
        <v>9</v>
      </c>
      <c r="R172">
        <v>95</v>
      </c>
      <c r="S172">
        <v>21164976</v>
      </c>
      <c r="T172">
        <v>79</v>
      </c>
      <c r="U172">
        <v>175</v>
      </c>
      <c r="V172">
        <v>19870.86960892408</v>
      </c>
      <c r="W172">
        <v>21164976.581290629</v>
      </c>
      <c r="X172">
        <v>103671.82399999999</v>
      </c>
      <c r="Y172">
        <f>VLOOKUP(AB172,'2000 Seattle Tracts'!$C$2:$Z$374,24,FALSE)</f>
        <v>6506275.5999999996</v>
      </c>
      <c r="Z172">
        <f t="shared" si="4"/>
        <v>1.5934127352367305E-2</v>
      </c>
      <c r="AA172" t="s">
        <v>176</v>
      </c>
      <c r="AB172" t="str">
        <f t="shared" si="5"/>
        <v>Census Tract 99, King County, Washington</v>
      </c>
      <c r="AC172" s="3">
        <f>VLOOKUP($AB172,'2000 Seattle Tracts'!$C$2:$Y$374,AC$1,FALSE)*$Z172</f>
        <v>69.122244454569369</v>
      </c>
      <c r="AD172" s="3">
        <f>VLOOKUP($AB172,'2000 Seattle Tracts'!$C$2:$Y$374,AD$1,FALSE)*$Z172</f>
        <v>59.035941840520863</v>
      </c>
      <c r="AE172" s="3">
        <f>VLOOKUP($AB172,'2000 Seattle Tracts'!$C$2:$Y$374,AE$1,FALSE)*$Z172</f>
        <v>10.086302614048504</v>
      </c>
      <c r="AF172" s="3">
        <f>VLOOKUP($AB172,'2000 Seattle Tracts'!$C$2:$Y$374,AF$1,FALSE)*$Z172</f>
        <v>69.122244454569369</v>
      </c>
      <c r="AG172" s="3">
        <f>VLOOKUP($AB172,'2000 Seattle Tracts'!$C$2:$Y$374,AG$1,FALSE)*$Z172</f>
        <v>59.035941840520863</v>
      </c>
      <c r="AH172" s="3">
        <f>VLOOKUP($AB172,'2000 Seattle Tracts'!$C$2:$Y$374,AH$1,FALSE)*$Z172</f>
        <v>10.086302614048504</v>
      </c>
      <c r="AI172" s="3">
        <f>VLOOKUP($AB172,'2000 Seattle Tracts'!$C$2:$Y$374,AI$1,FALSE)*$Z172</f>
        <v>45.013909770437635</v>
      </c>
      <c r="AJ172" s="3">
        <f>VLOOKUP($AB172,'2000 Seattle Tracts'!$C$2:$Y$374,AJ$1,FALSE)*$Z172</f>
        <v>2.7406699046071763</v>
      </c>
      <c r="AK172" s="3">
        <f>VLOOKUP($AB172,'2000 Seattle Tracts'!$C$2:$Y$374,AK$1,FALSE)*$Z172</f>
        <v>1.0675865326086094</v>
      </c>
      <c r="AL172" s="3">
        <f>VLOOKUP($AB172,'2000 Seattle Tracts'!$C$2:$Y$374,AL$1,FALSE)*$Z172</f>
        <v>1.0197841505515075</v>
      </c>
      <c r="AM172" s="3">
        <f>VLOOKUP($AB172,'2000 Seattle Tracts'!$C$2:$Y$374,AM$1,FALSE)*$Z172</f>
        <v>5.035184243348068</v>
      </c>
      <c r="AN172" s="3">
        <f>VLOOKUP($AB172,'2000 Seattle Tracts'!$C$2:$Y$374,AN$1,FALSE)*$Z172</f>
        <v>0.3505508017520807</v>
      </c>
      <c r="AO172" s="3">
        <f>VLOOKUP($AB172,'2000 Seattle Tracts'!$C$2:$Y$374,AO$1,FALSE)*$Z172</f>
        <v>0.90824525908493636</v>
      </c>
      <c r="AP172" s="3">
        <f>VLOOKUP($AB172,'2000 Seattle Tracts'!$C$2:$Y$374,AP$1,FALSE)*$Z172</f>
        <v>0</v>
      </c>
      <c r="AQ172" s="3">
        <f>VLOOKUP($AB172,'2000 Seattle Tracts'!$C$2:$Y$374,AQ$1,FALSE)*$Z172</f>
        <v>4.07913660220603</v>
      </c>
      <c r="AR172" s="3">
        <f>VLOOKUP($AB172,'2000 Seattle Tracts'!$C$2:$Y$374,AR$1,FALSE)*$Z172</f>
        <v>3.7445199278063166</v>
      </c>
      <c r="AS172" s="3">
        <f>VLOOKUP($AB172,'2000 Seattle Tracts'!$C$2:$Y$374,AS$1,FALSE)*$Z172</f>
        <v>0</v>
      </c>
      <c r="AT172" s="3">
        <f>VLOOKUP($AB172,'2000 Seattle Tracts'!$C$2:$Y$374,AT$1,FALSE)*$Z172</f>
        <v>0</v>
      </c>
      <c r="AU172" s="3">
        <f>VLOOKUP($AB172,'2000 Seattle Tracts'!$C$2:$Y$374,AU$1,FALSE)*$Z172</f>
        <v>0.87637700438020172</v>
      </c>
      <c r="AV172" s="3">
        <f>VLOOKUP($AB172,'2000 Seattle Tracts'!$C$2:$Y$374,AV$1,FALSE)*$Z172</f>
        <v>2.2307778293314229</v>
      </c>
      <c r="AW172" s="3">
        <f>VLOOKUP($AB172,'2000 Seattle Tracts'!$C$2:$Y$374,AW$1,FALSE)*$Z172</f>
        <v>2.0555024284553824</v>
      </c>
      <c r="AX172" s="3">
        <f>VLOOKUP($AB172,'2000 Seattle Tracts'!$C$2:$Y$374,AX$1,FALSE)*$Z172</f>
        <v>0</v>
      </c>
    </row>
    <row r="173" spans="1:50" x14ac:dyDescent="0.25">
      <c r="A173" t="s">
        <v>2917</v>
      </c>
      <c r="B173" t="s">
        <v>2918</v>
      </c>
      <c r="C173" t="s">
        <v>2954</v>
      </c>
      <c r="D173" t="s">
        <v>2497</v>
      </c>
      <c r="E173" t="s">
        <v>2498</v>
      </c>
      <c r="F173" t="s">
        <v>2499</v>
      </c>
      <c r="G173" t="s">
        <v>2920</v>
      </c>
      <c r="H173" t="s">
        <v>2921</v>
      </c>
      <c r="I173">
        <v>6566273</v>
      </c>
      <c r="J173">
        <v>3355175</v>
      </c>
      <c r="K173" t="s">
        <v>3423</v>
      </c>
      <c r="L173" t="s">
        <v>3424</v>
      </c>
      <c r="M173">
        <v>90</v>
      </c>
      <c r="N173">
        <v>23549.932000000001</v>
      </c>
      <c r="O173" t="s">
        <v>191</v>
      </c>
      <c r="P173">
        <v>20</v>
      </c>
      <c r="Q173">
        <v>10</v>
      </c>
      <c r="R173">
        <v>23</v>
      </c>
      <c r="S173">
        <v>29454656</v>
      </c>
      <c r="T173">
        <v>92</v>
      </c>
      <c r="U173">
        <v>174</v>
      </c>
      <c r="V173">
        <v>23549.93136663039</v>
      </c>
      <c r="W173">
        <v>29454656.567178611</v>
      </c>
      <c r="X173">
        <v>2445509.1910000001</v>
      </c>
      <c r="Y173">
        <f>VLOOKUP(AB173,'2000 Seattle Tracts'!$C$2:$Z$374,24,FALSE)</f>
        <v>6506275.5999999996</v>
      </c>
      <c r="Z173">
        <f t="shared" si="4"/>
        <v>0.37586929010507952</v>
      </c>
      <c r="AA173" t="s">
        <v>192</v>
      </c>
      <c r="AB173" t="str">
        <f t="shared" si="5"/>
        <v>Census Tract 99, King County, Washington</v>
      </c>
      <c r="AC173" s="3">
        <f>VLOOKUP($AB173,'2000 Seattle Tracts'!$C$2:$Y$374,AC$1,FALSE)*$Z173</f>
        <v>1630.5209804758349</v>
      </c>
      <c r="AD173" s="3">
        <f>VLOOKUP($AB173,'2000 Seattle Tracts'!$C$2:$Y$374,AD$1,FALSE)*$Z173</f>
        <v>1392.5957198393196</v>
      </c>
      <c r="AE173" s="3">
        <f>VLOOKUP($AB173,'2000 Seattle Tracts'!$C$2:$Y$374,AE$1,FALSE)*$Z173</f>
        <v>237.92526063651533</v>
      </c>
      <c r="AF173" s="3">
        <f>VLOOKUP($AB173,'2000 Seattle Tracts'!$C$2:$Y$374,AF$1,FALSE)*$Z173</f>
        <v>1630.5209804758349</v>
      </c>
      <c r="AG173" s="3">
        <f>VLOOKUP($AB173,'2000 Seattle Tracts'!$C$2:$Y$374,AG$1,FALSE)*$Z173</f>
        <v>1392.5957198393196</v>
      </c>
      <c r="AH173" s="3">
        <f>VLOOKUP($AB173,'2000 Seattle Tracts'!$C$2:$Y$374,AH$1,FALSE)*$Z173</f>
        <v>237.92526063651533</v>
      </c>
      <c r="AI173" s="3">
        <f>VLOOKUP($AB173,'2000 Seattle Tracts'!$C$2:$Y$374,AI$1,FALSE)*$Z173</f>
        <v>1061.8307445468497</v>
      </c>
      <c r="AJ173" s="3">
        <f>VLOOKUP($AB173,'2000 Seattle Tracts'!$C$2:$Y$374,AJ$1,FALSE)*$Z173</f>
        <v>64.649517898073682</v>
      </c>
      <c r="AK173" s="3">
        <f>VLOOKUP($AB173,'2000 Seattle Tracts'!$C$2:$Y$374,AK$1,FALSE)*$Z173</f>
        <v>25.183242437040327</v>
      </c>
      <c r="AL173" s="3">
        <f>VLOOKUP($AB173,'2000 Seattle Tracts'!$C$2:$Y$374,AL$1,FALSE)*$Z173</f>
        <v>24.055634566725089</v>
      </c>
      <c r="AM173" s="3">
        <f>VLOOKUP($AB173,'2000 Seattle Tracts'!$C$2:$Y$374,AM$1,FALSE)*$Z173</f>
        <v>118.77469567320513</v>
      </c>
      <c r="AN173" s="3">
        <f>VLOOKUP($AB173,'2000 Seattle Tracts'!$C$2:$Y$374,AN$1,FALSE)*$Z173</f>
        <v>8.26912438231175</v>
      </c>
      <c r="AO173" s="3">
        <f>VLOOKUP($AB173,'2000 Seattle Tracts'!$C$2:$Y$374,AO$1,FALSE)*$Z173</f>
        <v>21.424549535989534</v>
      </c>
      <c r="AP173" s="3">
        <f>VLOOKUP($AB173,'2000 Seattle Tracts'!$C$2:$Y$374,AP$1,FALSE)*$Z173</f>
        <v>0</v>
      </c>
      <c r="AQ173" s="3">
        <f>VLOOKUP($AB173,'2000 Seattle Tracts'!$C$2:$Y$374,AQ$1,FALSE)*$Z173</f>
        <v>96.222538266900358</v>
      </c>
      <c r="AR173" s="3">
        <f>VLOOKUP($AB173,'2000 Seattle Tracts'!$C$2:$Y$374,AR$1,FALSE)*$Z173</f>
        <v>88.329283174693686</v>
      </c>
      <c r="AS173" s="3">
        <f>VLOOKUP($AB173,'2000 Seattle Tracts'!$C$2:$Y$374,AS$1,FALSE)*$Z173</f>
        <v>0</v>
      </c>
      <c r="AT173" s="3">
        <f>VLOOKUP($AB173,'2000 Seattle Tracts'!$C$2:$Y$374,AT$1,FALSE)*$Z173</f>
        <v>0</v>
      </c>
      <c r="AU173" s="3">
        <f>VLOOKUP($AB173,'2000 Seattle Tracts'!$C$2:$Y$374,AU$1,FALSE)*$Z173</f>
        <v>20.672810955779372</v>
      </c>
      <c r="AV173" s="3">
        <f>VLOOKUP($AB173,'2000 Seattle Tracts'!$C$2:$Y$374,AV$1,FALSE)*$Z173</f>
        <v>52.621700614711131</v>
      </c>
      <c r="AW173" s="3">
        <f>VLOOKUP($AB173,'2000 Seattle Tracts'!$C$2:$Y$374,AW$1,FALSE)*$Z173</f>
        <v>48.487138423555258</v>
      </c>
      <c r="AX173" s="3">
        <f>VLOOKUP($AB173,'2000 Seattle Tracts'!$C$2:$Y$374,AX$1,FALSE)*$Z173</f>
        <v>0</v>
      </c>
    </row>
    <row r="174" spans="1:50" x14ac:dyDescent="0.25">
      <c r="A174" t="s">
        <v>2917</v>
      </c>
      <c r="B174" t="s">
        <v>2918</v>
      </c>
      <c r="C174" t="s">
        <v>2954</v>
      </c>
      <c r="D174" t="s">
        <v>2497</v>
      </c>
      <c r="E174" t="s">
        <v>2498</v>
      </c>
      <c r="F174" t="s">
        <v>2499</v>
      </c>
      <c r="G174" t="s">
        <v>2920</v>
      </c>
      <c r="H174" t="s">
        <v>2921</v>
      </c>
      <c r="I174">
        <v>6566273</v>
      </c>
      <c r="J174">
        <v>3355175</v>
      </c>
      <c r="K174" t="s">
        <v>3423</v>
      </c>
      <c r="L174" t="s">
        <v>3424</v>
      </c>
      <c r="M174">
        <v>91</v>
      </c>
      <c r="N174">
        <v>25917.116999999998</v>
      </c>
      <c r="O174" t="s">
        <v>191</v>
      </c>
      <c r="P174">
        <v>20</v>
      </c>
      <c r="Q174">
        <v>10</v>
      </c>
      <c r="R174">
        <v>24</v>
      </c>
      <c r="S174">
        <v>33038268</v>
      </c>
      <c r="T174">
        <v>93</v>
      </c>
      <c r="U174">
        <v>180</v>
      </c>
      <c r="V174">
        <v>25917.117639101471</v>
      </c>
      <c r="W174">
        <v>33038267.192843691</v>
      </c>
      <c r="X174">
        <v>20760.344000000001</v>
      </c>
      <c r="Y174">
        <f>VLOOKUP(AB174,'2000 Seattle Tracts'!$C$2:$Z$374,24,FALSE)</f>
        <v>6506275.5999999996</v>
      </c>
      <c r="Z174">
        <f t="shared" si="4"/>
        <v>3.1908184153773018E-3</v>
      </c>
      <c r="AA174" t="s">
        <v>193</v>
      </c>
      <c r="AB174" t="str">
        <f t="shared" si="5"/>
        <v>Census Tract 99, King County, Washington</v>
      </c>
      <c r="AC174" s="3">
        <f>VLOOKUP($AB174,'2000 Seattle Tracts'!$C$2:$Y$374,AC$1,FALSE)*$Z174</f>
        <v>13.841770285906735</v>
      </c>
      <c r="AD174" s="3">
        <f>VLOOKUP($AB174,'2000 Seattle Tracts'!$C$2:$Y$374,AD$1,FALSE)*$Z174</f>
        <v>11.821982228972903</v>
      </c>
      <c r="AE174" s="3">
        <f>VLOOKUP($AB174,'2000 Seattle Tracts'!$C$2:$Y$374,AE$1,FALSE)*$Z174</f>
        <v>2.019788056933832</v>
      </c>
      <c r="AF174" s="3">
        <f>VLOOKUP($AB174,'2000 Seattle Tracts'!$C$2:$Y$374,AF$1,FALSE)*$Z174</f>
        <v>13.841770285906735</v>
      </c>
      <c r="AG174" s="3">
        <f>VLOOKUP($AB174,'2000 Seattle Tracts'!$C$2:$Y$374,AG$1,FALSE)*$Z174</f>
        <v>11.821982228972903</v>
      </c>
      <c r="AH174" s="3">
        <f>VLOOKUP($AB174,'2000 Seattle Tracts'!$C$2:$Y$374,AH$1,FALSE)*$Z174</f>
        <v>2.019788056933832</v>
      </c>
      <c r="AI174" s="3">
        <f>VLOOKUP($AB174,'2000 Seattle Tracts'!$C$2:$Y$374,AI$1,FALSE)*$Z174</f>
        <v>9.0140620234408768</v>
      </c>
      <c r="AJ174" s="3">
        <f>VLOOKUP($AB174,'2000 Seattle Tracts'!$C$2:$Y$374,AJ$1,FALSE)*$Z174</f>
        <v>0.54882076744489594</v>
      </c>
      <c r="AK174" s="3">
        <f>VLOOKUP($AB174,'2000 Seattle Tracts'!$C$2:$Y$374,AK$1,FALSE)*$Z174</f>
        <v>0.21378483383027921</v>
      </c>
      <c r="AL174" s="3">
        <f>VLOOKUP($AB174,'2000 Seattle Tracts'!$C$2:$Y$374,AL$1,FALSE)*$Z174</f>
        <v>0.20421237858414731</v>
      </c>
      <c r="AM174" s="3">
        <f>VLOOKUP($AB174,'2000 Seattle Tracts'!$C$2:$Y$374,AM$1,FALSE)*$Z174</f>
        <v>1.0082986192592274</v>
      </c>
      <c r="AN174" s="3">
        <f>VLOOKUP($AB174,'2000 Seattle Tracts'!$C$2:$Y$374,AN$1,FALSE)*$Z174</f>
        <v>7.0198005138300643E-2</v>
      </c>
      <c r="AO174" s="3">
        <f>VLOOKUP($AB174,'2000 Seattle Tracts'!$C$2:$Y$374,AO$1,FALSE)*$Z174</f>
        <v>0.18187664967650621</v>
      </c>
      <c r="AP174" s="3">
        <f>VLOOKUP($AB174,'2000 Seattle Tracts'!$C$2:$Y$374,AP$1,FALSE)*$Z174</f>
        <v>0</v>
      </c>
      <c r="AQ174" s="3">
        <f>VLOOKUP($AB174,'2000 Seattle Tracts'!$C$2:$Y$374,AQ$1,FALSE)*$Z174</f>
        <v>0.81684951433658926</v>
      </c>
      <c r="AR174" s="3">
        <f>VLOOKUP($AB174,'2000 Seattle Tracts'!$C$2:$Y$374,AR$1,FALSE)*$Z174</f>
        <v>0.74984232761366587</v>
      </c>
      <c r="AS174" s="3">
        <f>VLOOKUP($AB174,'2000 Seattle Tracts'!$C$2:$Y$374,AS$1,FALSE)*$Z174</f>
        <v>0</v>
      </c>
      <c r="AT174" s="3">
        <f>VLOOKUP($AB174,'2000 Seattle Tracts'!$C$2:$Y$374,AT$1,FALSE)*$Z174</f>
        <v>0</v>
      </c>
      <c r="AU174" s="3">
        <f>VLOOKUP($AB174,'2000 Seattle Tracts'!$C$2:$Y$374,AU$1,FALSE)*$Z174</f>
        <v>0.17549501284575159</v>
      </c>
      <c r="AV174" s="3">
        <f>VLOOKUP($AB174,'2000 Seattle Tracts'!$C$2:$Y$374,AV$1,FALSE)*$Z174</f>
        <v>0.44671457815282223</v>
      </c>
      <c r="AW174" s="3">
        <f>VLOOKUP($AB174,'2000 Seattle Tracts'!$C$2:$Y$374,AW$1,FALSE)*$Z174</f>
        <v>0.41161557558367196</v>
      </c>
      <c r="AX174" s="3">
        <f>VLOOKUP($AB174,'2000 Seattle Tracts'!$C$2:$Y$374,AX$1,FALSE)*$Z174</f>
        <v>0</v>
      </c>
    </row>
    <row r="175" spans="1:50" x14ac:dyDescent="0.25">
      <c r="A175" t="s">
        <v>2917</v>
      </c>
      <c r="B175" t="s">
        <v>2918</v>
      </c>
      <c r="C175" t="s">
        <v>2954</v>
      </c>
      <c r="D175" t="s">
        <v>2497</v>
      </c>
      <c r="E175" t="s">
        <v>2498</v>
      </c>
      <c r="F175" t="s">
        <v>2499</v>
      </c>
      <c r="G175" t="s">
        <v>2920</v>
      </c>
      <c r="H175" t="s">
        <v>2921</v>
      </c>
      <c r="I175">
        <v>6566273</v>
      </c>
      <c r="J175">
        <v>3355175</v>
      </c>
      <c r="K175" t="s">
        <v>3423</v>
      </c>
      <c r="L175" t="s">
        <v>3424</v>
      </c>
      <c r="M175">
        <v>92</v>
      </c>
      <c r="N175">
        <v>23180.396000000001</v>
      </c>
      <c r="O175" t="s">
        <v>191</v>
      </c>
      <c r="P175">
        <v>20</v>
      </c>
      <c r="Q175">
        <v>10</v>
      </c>
      <c r="R175">
        <v>95</v>
      </c>
      <c r="S175">
        <v>23343008</v>
      </c>
      <c r="T175">
        <v>94</v>
      </c>
      <c r="U175">
        <v>182</v>
      </c>
      <c r="V175">
        <v>23180.396359671431</v>
      </c>
      <c r="W175">
        <v>23343008.336782061</v>
      </c>
      <c r="X175">
        <v>592.80499999999995</v>
      </c>
      <c r="Y175">
        <f>VLOOKUP(AB175,'2000 Seattle Tracts'!$C$2:$Z$374,24,FALSE)</f>
        <v>6506275.5999999996</v>
      </c>
      <c r="Z175">
        <f t="shared" si="4"/>
        <v>9.1112801923115577E-5</v>
      </c>
      <c r="AA175" t="s">
        <v>194</v>
      </c>
      <c r="AB175" t="str">
        <f t="shared" si="5"/>
        <v>Census Tract 99, King County, Washington</v>
      </c>
      <c r="AC175" s="3">
        <f>VLOOKUP($AB175,'2000 Seattle Tracts'!$C$2:$Y$374,AC$1,FALSE)*$Z175</f>
        <v>0.39524733474247536</v>
      </c>
      <c r="AD175" s="3">
        <f>VLOOKUP($AB175,'2000 Seattle Tracts'!$C$2:$Y$374,AD$1,FALSE)*$Z175</f>
        <v>0.33757293112514319</v>
      </c>
      <c r="AE175" s="3">
        <f>VLOOKUP($AB175,'2000 Seattle Tracts'!$C$2:$Y$374,AE$1,FALSE)*$Z175</f>
        <v>5.7674403617332157E-2</v>
      </c>
      <c r="AF175" s="3">
        <f>VLOOKUP($AB175,'2000 Seattle Tracts'!$C$2:$Y$374,AF$1,FALSE)*$Z175</f>
        <v>0.39524733474247536</v>
      </c>
      <c r="AG175" s="3">
        <f>VLOOKUP($AB175,'2000 Seattle Tracts'!$C$2:$Y$374,AG$1,FALSE)*$Z175</f>
        <v>0.33757293112514319</v>
      </c>
      <c r="AH175" s="3">
        <f>VLOOKUP($AB175,'2000 Seattle Tracts'!$C$2:$Y$374,AH$1,FALSE)*$Z175</f>
        <v>5.7674403617332157E-2</v>
      </c>
      <c r="AI175" s="3">
        <f>VLOOKUP($AB175,'2000 Seattle Tracts'!$C$2:$Y$374,AI$1,FALSE)*$Z175</f>
        <v>0.25739366543280151</v>
      </c>
      <c r="AJ175" s="3">
        <f>VLOOKUP($AB175,'2000 Seattle Tracts'!$C$2:$Y$374,AJ$1,FALSE)*$Z175</f>
        <v>1.5671401930775878E-2</v>
      </c>
      <c r="AK175" s="3">
        <f>VLOOKUP($AB175,'2000 Seattle Tracts'!$C$2:$Y$374,AK$1,FALSE)*$Z175</f>
        <v>6.1045577288487436E-3</v>
      </c>
      <c r="AL175" s="3">
        <f>VLOOKUP($AB175,'2000 Seattle Tracts'!$C$2:$Y$374,AL$1,FALSE)*$Z175</f>
        <v>5.8312193230793969E-3</v>
      </c>
      <c r="AM175" s="3">
        <f>VLOOKUP($AB175,'2000 Seattle Tracts'!$C$2:$Y$374,AM$1,FALSE)*$Z175</f>
        <v>2.8791645407704521E-2</v>
      </c>
      <c r="AN175" s="3">
        <f>VLOOKUP($AB175,'2000 Seattle Tracts'!$C$2:$Y$374,AN$1,FALSE)*$Z175</f>
        <v>2.0044816423085425E-3</v>
      </c>
      <c r="AO175" s="3">
        <f>VLOOKUP($AB175,'2000 Seattle Tracts'!$C$2:$Y$374,AO$1,FALSE)*$Z175</f>
        <v>5.1934297096175881E-3</v>
      </c>
      <c r="AP175" s="3">
        <f>VLOOKUP($AB175,'2000 Seattle Tracts'!$C$2:$Y$374,AP$1,FALSE)*$Z175</f>
        <v>0</v>
      </c>
      <c r="AQ175" s="3">
        <f>VLOOKUP($AB175,'2000 Seattle Tracts'!$C$2:$Y$374,AQ$1,FALSE)*$Z175</f>
        <v>2.3324877292317588E-2</v>
      </c>
      <c r="AR175" s="3">
        <f>VLOOKUP($AB175,'2000 Seattle Tracts'!$C$2:$Y$374,AR$1,FALSE)*$Z175</f>
        <v>2.1411508451932161E-2</v>
      </c>
      <c r="AS175" s="3">
        <f>VLOOKUP($AB175,'2000 Seattle Tracts'!$C$2:$Y$374,AS$1,FALSE)*$Z175</f>
        <v>0</v>
      </c>
      <c r="AT175" s="3">
        <f>VLOOKUP($AB175,'2000 Seattle Tracts'!$C$2:$Y$374,AT$1,FALSE)*$Z175</f>
        <v>0</v>
      </c>
      <c r="AU175" s="3">
        <f>VLOOKUP($AB175,'2000 Seattle Tracts'!$C$2:$Y$374,AU$1,FALSE)*$Z175</f>
        <v>5.011204105771357E-3</v>
      </c>
      <c r="AV175" s="3">
        <f>VLOOKUP($AB175,'2000 Seattle Tracts'!$C$2:$Y$374,AV$1,FALSE)*$Z175</f>
        <v>1.275579226923618E-2</v>
      </c>
      <c r="AW175" s="3">
        <f>VLOOKUP($AB175,'2000 Seattle Tracts'!$C$2:$Y$374,AW$1,FALSE)*$Z175</f>
        <v>1.1753551448081909E-2</v>
      </c>
      <c r="AX175" s="3">
        <f>VLOOKUP($AB175,'2000 Seattle Tracts'!$C$2:$Y$374,AX$1,FALSE)*$Z175</f>
        <v>0</v>
      </c>
    </row>
    <row r="176" spans="1:50" x14ac:dyDescent="0.25">
      <c r="A176" t="s">
        <v>2917</v>
      </c>
      <c r="B176" t="s">
        <v>2918</v>
      </c>
      <c r="C176" t="s">
        <v>2954</v>
      </c>
      <c r="D176" t="s">
        <v>2497</v>
      </c>
      <c r="E176" t="s">
        <v>2498</v>
      </c>
      <c r="F176" t="s">
        <v>2499</v>
      </c>
      <c r="G176" t="s">
        <v>2920</v>
      </c>
      <c r="H176" t="s">
        <v>2921</v>
      </c>
      <c r="I176">
        <v>6566273</v>
      </c>
      <c r="J176">
        <v>3355175</v>
      </c>
      <c r="K176" t="s">
        <v>3423</v>
      </c>
      <c r="L176" t="s">
        <v>3424</v>
      </c>
      <c r="M176">
        <v>107</v>
      </c>
      <c r="N176">
        <v>58047.309000000001</v>
      </c>
      <c r="O176" t="s">
        <v>122</v>
      </c>
      <c r="P176">
        <v>18</v>
      </c>
      <c r="Q176">
        <v>12</v>
      </c>
      <c r="R176">
        <v>95</v>
      </c>
      <c r="S176">
        <v>24681990</v>
      </c>
      <c r="T176">
        <v>109</v>
      </c>
      <c r="U176">
        <v>198</v>
      </c>
      <c r="V176">
        <v>58047.307413870847</v>
      </c>
      <c r="W176">
        <v>24681989.600617379</v>
      </c>
      <c r="X176">
        <v>1515490.132</v>
      </c>
      <c r="Y176">
        <f>VLOOKUP(AB176,'2000 Seattle Tracts'!$C$2:$Z$374,24,FALSE)</f>
        <v>6506275.5999999996</v>
      </c>
      <c r="Z176">
        <f t="shared" si="4"/>
        <v>0.2329274419300652</v>
      </c>
      <c r="AA176" t="s">
        <v>165</v>
      </c>
      <c r="AB176" t="str">
        <f t="shared" si="5"/>
        <v>Census Tract 99, King County, Washington</v>
      </c>
      <c r="AC176" s="3">
        <f>VLOOKUP($AB176,'2000 Seattle Tracts'!$C$2:$Y$374,AC$1,FALSE)*$Z176</f>
        <v>1010.4392430926229</v>
      </c>
      <c r="AD176" s="3">
        <f>VLOOKUP($AB176,'2000 Seattle Tracts'!$C$2:$Y$374,AD$1,FALSE)*$Z176</f>
        <v>862.99617235089158</v>
      </c>
      <c r="AE176" s="3">
        <f>VLOOKUP($AB176,'2000 Seattle Tracts'!$C$2:$Y$374,AE$1,FALSE)*$Z176</f>
        <v>147.44307074173128</v>
      </c>
      <c r="AF176" s="3">
        <f>VLOOKUP($AB176,'2000 Seattle Tracts'!$C$2:$Y$374,AF$1,FALSE)*$Z176</f>
        <v>1010.4392430926229</v>
      </c>
      <c r="AG176" s="3">
        <f>VLOOKUP($AB176,'2000 Seattle Tracts'!$C$2:$Y$374,AG$1,FALSE)*$Z176</f>
        <v>862.99617235089158</v>
      </c>
      <c r="AH176" s="3">
        <f>VLOOKUP($AB176,'2000 Seattle Tracts'!$C$2:$Y$374,AH$1,FALSE)*$Z176</f>
        <v>147.44307074173128</v>
      </c>
      <c r="AI176" s="3">
        <f>VLOOKUP($AB176,'2000 Seattle Tracts'!$C$2:$Y$374,AI$1,FALSE)*$Z176</f>
        <v>658.0200234524342</v>
      </c>
      <c r="AJ176" s="3">
        <f>VLOOKUP($AB176,'2000 Seattle Tracts'!$C$2:$Y$374,AJ$1,FALSE)*$Z176</f>
        <v>40.063520011971214</v>
      </c>
      <c r="AK176" s="3">
        <f>VLOOKUP($AB176,'2000 Seattle Tracts'!$C$2:$Y$374,AK$1,FALSE)*$Z176</f>
        <v>15.606138609314369</v>
      </c>
      <c r="AL176" s="3">
        <f>VLOOKUP($AB176,'2000 Seattle Tracts'!$C$2:$Y$374,AL$1,FALSE)*$Z176</f>
        <v>14.907356283524173</v>
      </c>
      <c r="AM176" s="3">
        <f>VLOOKUP($AB176,'2000 Seattle Tracts'!$C$2:$Y$374,AM$1,FALSE)*$Z176</f>
        <v>73.605071649900609</v>
      </c>
      <c r="AN176" s="3">
        <f>VLOOKUP($AB176,'2000 Seattle Tracts'!$C$2:$Y$374,AN$1,FALSE)*$Z176</f>
        <v>5.1244037224614347</v>
      </c>
      <c r="AO176" s="3">
        <f>VLOOKUP($AB176,'2000 Seattle Tracts'!$C$2:$Y$374,AO$1,FALSE)*$Z176</f>
        <v>13.276864190013717</v>
      </c>
      <c r="AP176" s="3">
        <f>VLOOKUP($AB176,'2000 Seattle Tracts'!$C$2:$Y$374,AP$1,FALSE)*$Z176</f>
        <v>0</v>
      </c>
      <c r="AQ176" s="3">
        <f>VLOOKUP($AB176,'2000 Seattle Tracts'!$C$2:$Y$374,AQ$1,FALSE)*$Z176</f>
        <v>59.629425134096692</v>
      </c>
      <c r="AR176" s="3">
        <f>VLOOKUP($AB176,'2000 Seattle Tracts'!$C$2:$Y$374,AR$1,FALSE)*$Z176</f>
        <v>54.737948853565321</v>
      </c>
      <c r="AS176" s="3">
        <f>VLOOKUP($AB176,'2000 Seattle Tracts'!$C$2:$Y$374,AS$1,FALSE)*$Z176</f>
        <v>0</v>
      </c>
      <c r="AT176" s="3">
        <f>VLOOKUP($AB176,'2000 Seattle Tracts'!$C$2:$Y$374,AT$1,FALSE)*$Z176</f>
        <v>0</v>
      </c>
      <c r="AU176" s="3">
        <f>VLOOKUP($AB176,'2000 Seattle Tracts'!$C$2:$Y$374,AU$1,FALSE)*$Z176</f>
        <v>12.811009306153586</v>
      </c>
      <c r="AV176" s="3">
        <f>VLOOKUP($AB176,'2000 Seattle Tracts'!$C$2:$Y$374,AV$1,FALSE)*$Z176</f>
        <v>32.609841870209131</v>
      </c>
      <c r="AW176" s="3">
        <f>VLOOKUP($AB176,'2000 Seattle Tracts'!$C$2:$Y$374,AW$1,FALSE)*$Z176</f>
        <v>30.047640008978412</v>
      </c>
      <c r="AX176" s="3">
        <f>VLOOKUP($AB176,'2000 Seattle Tracts'!$C$2:$Y$374,AX$1,FALSE)*$Z176</f>
        <v>0</v>
      </c>
    </row>
    <row r="177" spans="1:50" x14ac:dyDescent="0.25">
      <c r="A177" t="s">
        <v>2917</v>
      </c>
      <c r="B177" t="s">
        <v>2918</v>
      </c>
      <c r="C177" t="s">
        <v>2951</v>
      </c>
      <c r="D177" t="s">
        <v>2500</v>
      </c>
      <c r="E177" t="s">
        <v>2501</v>
      </c>
      <c r="F177" t="s">
        <v>2502</v>
      </c>
      <c r="G177" t="s">
        <v>2920</v>
      </c>
      <c r="H177" t="s">
        <v>2921</v>
      </c>
      <c r="I177">
        <v>1930639</v>
      </c>
      <c r="J177">
        <v>0</v>
      </c>
      <c r="K177" t="s">
        <v>2952</v>
      </c>
      <c r="L177" t="s">
        <v>2953</v>
      </c>
      <c r="M177">
        <v>75</v>
      </c>
      <c r="N177">
        <v>30687.785</v>
      </c>
      <c r="O177" t="s">
        <v>170</v>
      </c>
      <c r="P177">
        <v>19</v>
      </c>
      <c r="Q177">
        <v>9</v>
      </c>
      <c r="R177">
        <v>24</v>
      </c>
      <c r="S177">
        <v>48581416</v>
      </c>
      <c r="T177">
        <v>77</v>
      </c>
      <c r="U177">
        <v>169</v>
      </c>
      <c r="V177">
        <v>30687.78447008365</v>
      </c>
      <c r="W177">
        <v>48581416.320232317</v>
      </c>
      <c r="X177">
        <v>1152010.2620000001</v>
      </c>
      <c r="Y177">
        <f>VLOOKUP(AB177,'2000 Seattle Tracts'!$C$2:$Z$374,24,FALSE)</f>
        <v>1930637.115</v>
      </c>
      <c r="Z177">
        <f t="shared" si="4"/>
        <v>0.59669953149118871</v>
      </c>
      <c r="AA177" t="s">
        <v>174</v>
      </c>
      <c r="AB177" t="str">
        <f t="shared" si="5"/>
        <v>Census Tract 98, King County, Washington</v>
      </c>
      <c r="AC177" s="3">
        <f>VLOOKUP($AB177,'2000 Seattle Tracts'!$C$2:$Y$374,AC$1,FALSE)*$Z177</f>
        <v>3472.7912732787181</v>
      </c>
      <c r="AD177" s="3">
        <f>VLOOKUP($AB177,'2000 Seattle Tracts'!$C$2:$Y$374,AD$1,FALSE)*$Z177</f>
        <v>3146.3966295530381</v>
      </c>
      <c r="AE177" s="3">
        <f>VLOOKUP($AB177,'2000 Seattle Tracts'!$C$2:$Y$374,AE$1,FALSE)*$Z177</f>
        <v>326.39464372568023</v>
      </c>
      <c r="AF177" s="3">
        <f>VLOOKUP($AB177,'2000 Seattle Tracts'!$C$2:$Y$374,AF$1,FALSE)*$Z177</f>
        <v>3472.7912732787181</v>
      </c>
      <c r="AG177" s="3">
        <f>VLOOKUP($AB177,'2000 Seattle Tracts'!$C$2:$Y$374,AG$1,FALSE)*$Z177</f>
        <v>3146.3966295530381</v>
      </c>
      <c r="AH177" s="3">
        <f>VLOOKUP($AB177,'2000 Seattle Tracts'!$C$2:$Y$374,AH$1,FALSE)*$Z177</f>
        <v>326.39464372568023</v>
      </c>
      <c r="AI177" s="3">
        <f>VLOOKUP($AB177,'2000 Seattle Tracts'!$C$2:$Y$374,AI$1,FALSE)*$Z177</f>
        <v>2790.7637087842895</v>
      </c>
      <c r="AJ177" s="3">
        <f>VLOOKUP($AB177,'2000 Seattle Tracts'!$C$2:$Y$374,AJ$1,FALSE)*$Z177</f>
        <v>183.78345569928612</v>
      </c>
      <c r="AK177" s="3">
        <f>VLOOKUP($AB177,'2000 Seattle Tracts'!$C$2:$Y$374,AK$1,FALSE)*$Z177</f>
        <v>57.879854554645306</v>
      </c>
      <c r="AL177" s="3">
        <f>VLOOKUP($AB177,'2000 Seattle Tracts'!$C$2:$Y$374,AL$1,FALSE)*$Z177</f>
        <v>14.320788755788529</v>
      </c>
      <c r="AM177" s="3">
        <f>VLOOKUP($AB177,'2000 Seattle Tracts'!$C$2:$Y$374,AM$1,FALSE)*$Z177</f>
        <v>91.295028318151878</v>
      </c>
      <c r="AN177" s="3">
        <f>VLOOKUP($AB177,'2000 Seattle Tracts'!$C$2:$Y$374,AN$1,FALSE)*$Z177</f>
        <v>25.061380322629926</v>
      </c>
      <c r="AO177" s="3">
        <f>VLOOKUP($AB177,'2000 Seattle Tracts'!$C$2:$Y$374,AO$1,FALSE)*$Z177</f>
        <v>39.382169078418457</v>
      </c>
      <c r="AP177" s="3">
        <f>VLOOKUP($AB177,'2000 Seattle Tracts'!$C$2:$Y$374,AP$1,FALSE)*$Z177</f>
        <v>0</v>
      </c>
      <c r="AQ177" s="3">
        <f>VLOOKUP($AB177,'2000 Seattle Tracts'!$C$2:$Y$374,AQ$1,FALSE)*$Z177</f>
        <v>68.023746589995511</v>
      </c>
      <c r="AR177" s="3">
        <f>VLOOKUP($AB177,'2000 Seattle Tracts'!$C$2:$Y$374,AR$1,FALSE)*$Z177</f>
        <v>81.151136282801659</v>
      </c>
      <c r="AS177" s="3">
        <f>VLOOKUP($AB177,'2000 Seattle Tracts'!$C$2:$Y$374,AS$1,FALSE)*$Z177</f>
        <v>0</v>
      </c>
      <c r="AT177" s="3">
        <f>VLOOKUP($AB177,'2000 Seattle Tracts'!$C$2:$Y$374,AT$1,FALSE)*$Z177</f>
        <v>5.9669953149118875</v>
      </c>
      <c r="AU177" s="3">
        <f>VLOOKUP($AB177,'2000 Seattle Tracts'!$C$2:$Y$374,AU$1,FALSE)*$Z177</f>
        <v>38.785469546927267</v>
      </c>
      <c r="AV177" s="3">
        <f>VLOOKUP($AB177,'2000 Seattle Tracts'!$C$2:$Y$374,AV$1,FALSE)*$Z177</f>
        <v>11.337291098332585</v>
      </c>
      <c r="AW177" s="3">
        <f>VLOOKUP($AB177,'2000 Seattle Tracts'!$C$2:$Y$374,AW$1,FALSE)*$Z177</f>
        <v>60.266652680610058</v>
      </c>
      <c r="AX177" s="3">
        <f>VLOOKUP($AB177,'2000 Seattle Tracts'!$C$2:$Y$374,AX$1,FALSE)*$Z177</f>
        <v>4.7735962519295096</v>
      </c>
    </row>
    <row r="178" spans="1:50" x14ac:dyDescent="0.25">
      <c r="A178" t="s">
        <v>2917</v>
      </c>
      <c r="B178" t="s">
        <v>2918</v>
      </c>
      <c r="C178" t="s">
        <v>2951</v>
      </c>
      <c r="D178" t="s">
        <v>2500</v>
      </c>
      <c r="E178" t="s">
        <v>2501</v>
      </c>
      <c r="F178" t="s">
        <v>2502</v>
      </c>
      <c r="G178" t="s">
        <v>2920</v>
      </c>
      <c r="H178" t="s">
        <v>2921</v>
      </c>
      <c r="I178">
        <v>1930639</v>
      </c>
      <c r="J178">
        <v>0</v>
      </c>
      <c r="K178" t="s">
        <v>2952</v>
      </c>
      <c r="L178" t="s">
        <v>2953</v>
      </c>
      <c r="M178">
        <v>76</v>
      </c>
      <c r="N178">
        <v>24955.713</v>
      </c>
      <c r="O178" t="s">
        <v>170</v>
      </c>
      <c r="P178">
        <v>19</v>
      </c>
      <c r="Q178">
        <v>9</v>
      </c>
      <c r="R178">
        <v>9</v>
      </c>
      <c r="S178">
        <v>16153900</v>
      </c>
      <c r="T178">
        <v>78</v>
      </c>
      <c r="U178">
        <v>176</v>
      </c>
      <c r="V178">
        <v>24955.712841425851</v>
      </c>
      <c r="W178">
        <v>16153900.097700959</v>
      </c>
      <c r="X178">
        <v>7195.6850000000004</v>
      </c>
      <c r="Y178">
        <f>VLOOKUP(AB178,'2000 Seattle Tracts'!$C$2:$Z$374,24,FALSE)</f>
        <v>1930637.115</v>
      </c>
      <c r="Z178">
        <f t="shared" si="4"/>
        <v>3.7271038374293349E-3</v>
      </c>
      <c r="AA178" t="s">
        <v>175</v>
      </c>
      <c r="AB178" t="str">
        <f t="shared" si="5"/>
        <v>Census Tract 98, King County, Washington</v>
      </c>
      <c r="AC178" s="3">
        <f>VLOOKUP($AB178,'2000 Seattle Tracts'!$C$2:$Y$374,AC$1,FALSE)*$Z178</f>
        <v>21.691744333838731</v>
      </c>
      <c r="AD178" s="3">
        <f>VLOOKUP($AB178,'2000 Seattle Tracts'!$C$2:$Y$374,AD$1,FALSE)*$Z178</f>
        <v>19.653018534764882</v>
      </c>
      <c r="AE178" s="3">
        <f>VLOOKUP($AB178,'2000 Seattle Tracts'!$C$2:$Y$374,AE$1,FALSE)*$Z178</f>
        <v>2.0387257990738461</v>
      </c>
      <c r="AF178" s="3">
        <f>VLOOKUP($AB178,'2000 Seattle Tracts'!$C$2:$Y$374,AF$1,FALSE)*$Z178</f>
        <v>21.691744333838731</v>
      </c>
      <c r="AG178" s="3">
        <f>VLOOKUP($AB178,'2000 Seattle Tracts'!$C$2:$Y$374,AG$1,FALSE)*$Z178</f>
        <v>19.653018534764882</v>
      </c>
      <c r="AH178" s="3">
        <f>VLOOKUP($AB178,'2000 Seattle Tracts'!$C$2:$Y$374,AH$1,FALSE)*$Z178</f>
        <v>2.0387257990738461</v>
      </c>
      <c r="AI178" s="3">
        <f>VLOOKUP($AB178,'2000 Seattle Tracts'!$C$2:$Y$374,AI$1,FALSE)*$Z178</f>
        <v>17.431664647656998</v>
      </c>
      <c r="AJ178" s="3">
        <f>VLOOKUP($AB178,'2000 Seattle Tracts'!$C$2:$Y$374,AJ$1,FALSE)*$Z178</f>
        <v>1.1479479819282352</v>
      </c>
      <c r="AK178" s="3">
        <f>VLOOKUP($AB178,'2000 Seattle Tracts'!$C$2:$Y$374,AK$1,FALSE)*$Z178</f>
        <v>0.36152907223064551</v>
      </c>
      <c r="AL178" s="3">
        <f>VLOOKUP($AB178,'2000 Seattle Tracts'!$C$2:$Y$374,AL$1,FALSE)*$Z178</f>
        <v>8.9450492098304038E-2</v>
      </c>
      <c r="AM178" s="3">
        <f>VLOOKUP($AB178,'2000 Seattle Tracts'!$C$2:$Y$374,AM$1,FALSE)*$Z178</f>
        <v>0.57024688712668825</v>
      </c>
      <c r="AN178" s="3">
        <f>VLOOKUP($AB178,'2000 Seattle Tracts'!$C$2:$Y$374,AN$1,FALSE)*$Z178</f>
        <v>0.15653836117203207</v>
      </c>
      <c r="AO178" s="3">
        <f>VLOOKUP($AB178,'2000 Seattle Tracts'!$C$2:$Y$374,AO$1,FALSE)*$Z178</f>
        <v>0.24598885327033609</v>
      </c>
      <c r="AP178" s="3">
        <f>VLOOKUP($AB178,'2000 Seattle Tracts'!$C$2:$Y$374,AP$1,FALSE)*$Z178</f>
        <v>0</v>
      </c>
      <c r="AQ178" s="3">
        <f>VLOOKUP($AB178,'2000 Seattle Tracts'!$C$2:$Y$374,AQ$1,FALSE)*$Z178</f>
        <v>0.4248898374669442</v>
      </c>
      <c r="AR178" s="3">
        <f>VLOOKUP($AB178,'2000 Seattle Tracts'!$C$2:$Y$374,AR$1,FALSE)*$Z178</f>
        <v>0.50688612189038951</v>
      </c>
      <c r="AS178" s="3">
        <f>VLOOKUP($AB178,'2000 Seattle Tracts'!$C$2:$Y$374,AS$1,FALSE)*$Z178</f>
        <v>0</v>
      </c>
      <c r="AT178" s="3">
        <f>VLOOKUP($AB178,'2000 Seattle Tracts'!$C$2:$Y$374,AT$1,FALSE)*$Z178</f>
        <v>3.7271038374293353E-2</v>
      </c>
      <c r="AU178" s="3">
        <f>VLOOKUP($AB178,'2000 Seattle Tracts'!$C$2:$Y$374,AU$1,FALSE)*$Z178</f>
        <v>0.24226174943290676</v>
      </c>
      <c r="AV178" s="3">
        <f>VLOOKUP($AB178,'2000 Seattle Tracts'!$C$2:$Y$374,AV$1,FALSE)*$Z178</f>
        <v>7.0814972911157362E-2</v>
      </c>
      <c r="AW178" s="3">
        <f>VLOOKUP($AB178,'2000 Seattle Tracts'!$C$2:$Y$374,AW$1,FALSE)*$Z178</f>
        <v>0.37643748758036283</v>
      </c>
      <c r="AX178" s="3">
        <f>VLOOKUP($AB178,'2000 Seattle Tracts'!$C$2:$Y$374,AX$1,FALSE)*$Z178</f>
        <v>2.9816830699434679E-2</v>
      </c>
    </row>
    <row r="179" spans="1:50" x14ac:dyDescent="0.25">
      <c r="A179" t="s">
        <v>2917</v>
      </c>
      <c r="B179" t="s">
        <v>2918</v>
      </c>
      <c r="C179" t="s">
        <v>2951</v>
      </c>
      <c r="D179" t="s">
        <v>2500</v>
      </c>
      <c r="E179" t="s">
        <v>2501</v>
      </c>
      <c r="F179" t="s">
        <v>2502</v>
      </c>
      <c r="G179" t="s">
        <v>2920</v>
      </c>
      <c r="H179" t="s">
        <v>2921</v>
      </c>
      <c r="I179">
        <v>1930639</v>
      </c>
      <c r="J179">
        <v>0</v>
      </c>
      <c r="K179" t="s">
        <v>2952</v>
      </c>
      <c r="L179" t="s">
        <v>2953</v>
      </c>
      <c r="M179">
        <v>77</v>
      </c>
      <c r="N179">
        <v>19870.868999999999</v>
      </c>
      <c r="O179" t="s">
        <v>170</v>
      </c>
      <c r="P179">
        <v>19</v>
      </c>
      <c r="Q179">
        <v>9</v>
      </c>
      <c r="R179">
        <v>95</v>
      </c>
      <c r="S179">
        <v>21164976</v>
      </c>
      <c r="T179">
        <v>79</v>
      </c>
      <c r="U179">
        <v>175</v>
      </c>
      <c r="V179">
        <v>19870.86960892408</v>
      </c>
      <c r="W179">
        <v>21164976.581290629</v>
      </c>
      <c r="X179">
        <v>771431.16899999999</v>
      </c>
      <c r="Y179">
        <f>VLOOKUP(AB179,'2000 Seattle Tracts'!$C$2:$Z$374,24,FALSE)</f>
        <v>1930637.115</v>
      </c>
      <c r="Z179">
        <f t="shared" si="4"/>
        <v>0.39957336518934577</v>
      </c>
      <c r="AA179" t="s">
        <v>176</v>
      </c>
      <c r="AB179" t="str">
        <f t="shared" si="5"/>
        <v>Census Tract 98, King County, Washington</v>
      </c>
      <c r="AC179" s="3">
        <f>VLOOKUP($AB179,'2000 Seattle Tracts'!$C$2:$Y$374,AC$1,FALSE)*$Z179</f>
        <v>2325.5169854019923</v>
      </c>
      <c r="AD179" s="3">
        <f>VLOOKUP($AB179,'2000 Seattle Tracts'!$C$2:$Y$374,AD$1,FALSE)*$Z179</f>
        <v>2106.9503546434203</v>
      </c>
      <c r="AE179" s="3">
        <f>VLOOKUP($AB179,'2000 Seattle Tracts'!$C$2:$Y$374,AE$1,FALSE)*$Z179</f>
        <v>218.56663075857213</v>
      </c>
      <c r="AF179" s="3">
        <f>VLOOKUP($AB179,'2000 Seattle Tracts'!$C$2:$Y$374,AF$1,FALSE)*$Z179</f>
        <v>2325.5169854019923</v>
      </c>
      <c r="AG179" s="3">
        <f>VLOOKUP($AB179,'2000 Seattle Tracts'!$C$2:$Y$374,AG$1,FALSE)*$Z179</f>
        <v>2106.9503546434203</v>
      </c>
      <c r="AH179" s="3">
        <f>VLOOKUP($AB179,'2000 Seattle Tracts'!$C$2:$Y$374,AH$1,FALSE)*$Z179</f>
        <v>218.56663075857213</v>
      </c>
      <c r="AI179" s="3">
        <f>VLOOKUP($AB179,'2000 Seattle Tracts'!$C$2:$Y$374,AI$1,FALSE)*$Z179</f>
        <v>1868.8046289905701</v>
      </c>
      <c r="AJ179" s="3">
        <f>VLOOKUP($AB179,'2000 Seattle Tracts'!$C$2:$Y$374,AJ$1,FALSE)*$Z179</f>
        <v>123.0685964783185</v>
      </c>
      <c r="AK179" s="3">
        <f>VLOOKUP($AB179,'2000 Seattle Tracts'!$C$2:$Y$374,AK$1,FALSE)*$Z179</f>
        <v>38.75861642336654</v>
      </c>
      <c r="AL179" s="3">
        <f>VLOOKUP($AB179,'2000 Seattle Tracts'!$C$2:$Y$374,AL$1,FALSE)*$Z179</f>
        <v>9.5897607645442982</v>
      </c>
      <c r="AM179" s="3">
        <f>VLOOKUP($AB179,'2000 Seattle Tracts'!$C$2:$Y$374,AM$1,FALSE)*$Z179</f>
        <v>61.134724873969901</v>
      </c>
      <c r="AN179" s="3">
        <f>VLOOKUP($AB179,'2000 Seattle Tracts'!$C$2:$Y$374,AN$1,FALSE)*$Z179</f>
        <v>16.782081337952523</v>
      </c>
      <c r="AO179" s="3">
        <f>VLOOKUP($AB179,'2000 Seattle Tracts'!$C$2:$Y$374,AO$1,FALSE)*$Z179</f>
        <v>26.371842102496821</v>
      </c>
      <c r="AP179" s="3">
        <f>VLOOKUP($AB179,'2000 Seattle Tracts'!$C$2:$Y$374,AP$1,FALSE)*$Z179</f>
        <v>0</v>
      </c>
      <c r="AQ179" s="3">
        <f>VLOOKUP($AB179,'2000 Seattle Tracts'!$C$2:$Y$374,AQ$1,FALSE)*$Z179</f>
        <v>45.551363631585417</v>
      </c>
      <c r="AR179" s="3">
        <f>VLOOKUP($AB179,'2000 Seattle Tracts'!$C$2:$Y$374,AR$1,FALSE)*$Z179</f>
        <v>54.341977665751024</v>
      </c>
      <c r="AS179" s="3">
        <f>VLOOKUP($AB179,'2000 Seattle Tracts'!$C$2:$Y$374,AS$1,FALSE)*$Z179</f>
        <v>0</v>
      </c>
      <c r="AT179" s="3">
        <f>VLOOKUP($AB179,'2000 Seattle Tracts'!$C$2:$Y$374,AT$1,FALSE)*$Z179</f>
        <v>3.9957336518934579</v>
      </c>
      <c r="AU179" s="3">
        <f>VLOOKUP($AB179,'2000 Seattle Tracts'!$C$2:$Y$374,AU$1,FALSE)*$Z179</f>
        <v>25.972268737307477</v>
      </c>
      <c r="AV179" s="3">
        <f>VLOOKUP($AB179,'2000 Seattle Tracts'!$C$2:$Y$374,AV$1,FALSE)*$Z179</f>
        <v>7.5918939385975701</v>
      </c>
      <c r="AW179" s="3">
        <f>VLOOKUP($AB179,'2000 Seattle Tracts'!$C$2:$Y$374,AW$1,FALSE)*$Z179</f>
        <v>40.356909884123922</v>
      </c>
      <c r="AX179" s="3">
        <f>VLOOKUP($AB179,'2000 Seattle Tracts'!$C$2:$Y$374,AX$1,FALSE)*$Z179</f>
        <v>3.1965869215147662</v>
      </c>
    </row>
    <row r="180" spans="1:50" x14ac:dyDescent="0.25">
      <c r="A180" t="s">
        <v>2917</v>
      </c>
      <c r="B180" t="s">
        <v>2918</v>
      </c>
      <c r="C180" t="s">
        <v>2948</v>
      </c>
      <c r="D180" t="s">
        <v>2503</v>
      </c>
      <c r="E180" t="s">
        <v>2504</v>
      </c>
      <c r="F180" t="s">
        <v>2505</v>
      </c>
      <c r="G180" t="s">
        <v>2920</v>
      </c>
      <c r="H180" t="s">
        <v>2921</v>
      </c>
      <c r="I180">
        <v>2219066</v>
      </c>
      <c r="J180">
        <v>0</v>
      </c>
      <c r="K180" t="s">
        <v>2949</v>
      </c>
      <c r="L180" t="s">
        <v>2950</v>
      </c>
      <c r="M180">
        <v>71</v>
      </c>
      <c r="N180">
        <v>23122.263999999999</v>
      </c>
      <c r="O180" t="s">
        <v>170</v>
      </c>
      <c r="P180">
        <v>19</v>
      </c>
      <c r="Q180">
        <v>9</v>
      </c>
      <c r="R180">
        <v>19</v>
      </c>
      <c r="S180">
        <v>18463062</v>
      </c>
      <c r="T180">
        <v>73</v>
      </c>
      <c r="U180">
        <v>178</v>
      </c>
      <c r="V180">
        <v>23122.264003256802</v>
      </c>
      <c r="W180">
        <v>18463061.7979086</v>
      </c>
      <c r="X180">
        <v>42468.805999999997</v>
      </c>
      <c r="Y180">
        <f>VLOOKUP(AB180,'2000 Seattle Tracts'!$C$2:$Z$374,24,FALSE)</f>
        <v>2219067.2319999998</v>
      </c>
      <c r="Z180">
        <f t="shared" si="4"/>
        <v>1.9138133981512463E-2</v>
      </c>
      <c r="AA180" t="s">
        <v>169</v>
      </c>
      <c r="AB180" t="str">
        <f t="shared" si="5"/>
        <v>Census Tract 97.02, King County, Washington</v>
      </c>
      <c r="AC180" s="3">
        <f>VLOOKUP($AB180,'2000 Seattle Tracts'!$C$2:$Y$374,AC$1,FALSE)*$Z180</f>
        <v>95.901189381358947</v>
      </c>
      <c r="AD180" s="3">
        <f>VLOOKUP($AB180,'2000 Seattle Tracts'!$C$2:$Y$374,AD$1,FALSE)*$Z180</f>
        <v>85.566597031342226</v>
      </c>
      <c r="AE180" s="3">
        <f>VLOOKUP($AB180,'2000 Seattle Tracts'!$C$2:$Y$374,AE$1,FALSE)*$Z180</f>
        <v>10.334592350016731</v>
      </c>
      <c r="AF180" s="3">
        <f>VLOOKUP($AB180,'2000 Seattle Tracts'!$C$2:$Y$374,AF$1,FALSE)*$Z180</f>
        <v>95.901189381358947</v>
      </c>
      <c r="AG180" s="3">
        <f>VLOOKUP($AB180,'2000 Seattle Tracts'!$C$2:$Y$374,AG$1,FALSE)*$Z180</f>
        <v>85.566597031342226</v>
      </c>
      <c r="AH180" s="3">
        <f>VLOOKUP($AB180,'2000 Seattle Tracts'!$C$2:$Y$374,AH$1,FALSE)*$Z180</f>
        <v>10.334592350016731</v>
      </c>
      <c r="AI180" s="3">
        <f>VLOOKUP($AB180,'2000 Seattle Tracts'!$C$2:$Y$374,AI$1,FALSE)*$Z180</f>
        <v>75.002347073547341</v>
      </c>
      <c r="AJ180" s="3">
        <f>VLOOKUP($AB180,'2000 Seattle Tracts'!$C$2:$Y$374,AJ$1,FALSE)*$Z180</f>
        <v>5.9710978022318884</v>
      </c>
      <c r="AK180" s="3">
        <f>VLOOKUP($AB180,'2000 Seattle Tracts'!$C$2:$Y$374,AK$1,FALSE)*$Z180</f>
        <v>1.32053124472436</v>
      </c>
      <c r="AL180" s="3">
        <f>VLOOKUP($AB180,'2000 Seattle Tracts'!$C$2:$Y$374,AL$1,FALSE)*$Z180</f>
        <v>1.3779456466688973</v>
      </c>
      <c r="AM180" s="3">
        <f>VLOOKUP($AB180,'2000 Seattle Tracts'!$C$2:$Y$374,AM$1,FALSE)*$Z180</f>
        <v>0.61242028740839882</v>
      </c>
      <c r="AN180" s="3">
        <f>VLOOKUP($AB180,'2000 Seattle Tracts'!$C$2:$Y$374,AN$1,FALSE)*$Z180</f>
        <v>0</v>
      </c>
      <c r="AO180" s="3">
        <f>VLOOKUP($AB180,'2000 Seattle Tracts'!$C$2:$Y$374,AO$1,FALSE)*$Z180</f>
        <v>1.4162219146319224</v>
      </c>
      <c r="AP180" s="3">
        <f>VLOOKUP($AB180,'2000 Seattle Tracts'!$C$2:$Y$374,AP$1,FALSE)*$Z180</f>
        <v>0.17224320583361216</v>
      </c>
      <c r="AQ180" s="3">
        <f>VLOOKUP($AB180,'2000 Seattle Tracts'!$C$2:$Y$374,AQ$1,FALSE)*$Z180</f>
        <v>1.6076032544470469</v>
      </c>
      <c r="AR180" s="3">
        <f>VLOOKUP($AB180,'2000 Seattle Tracts'!$C$2:$Y$374,AR$1,FALSE)*$Z180</f>
        <v>1.7798464602806592</v>
      </c>
      <c r="AS180" s="3">
        <f>VLOOKUP($AB180,'2000 Seattle Tracts'!$C$2:$Y$374,AS$1,FALSE)*$Z180</f>
        <v>0</v>
      </c>
      <c r="AT180" s="3">
        <f>VLOOKUP($AB180,'2000 Seattle Tracts'!$C$2:$Y$374,AT$1,FALSE)*$Z180</f>
        <v>0.15310507185209971</v>
      </c>
      <c r="AU180" s="3">
        <f>VLOOKUP($AB180,'2000 Seattle Tracts'!$C$2:$Y$374,AU$1,FALSE)*$Z180</f>
        <v>0.19138133981512462</v>
      </c>
      <c r="AV180" s="3">
        <f>VLOOKUP($AB180,'2000 Seattle Tracts'!$C$2:$Y$374,AV$1,FALSE)*$Z180</f>
        <v>0</v>
      </c>
      <c r="AW180" s="3">
        <f>VLOOKUP($AB180,'2000 Seattle Tracts'!$C$2:$Y$374,AW$1,FALSE)*$Z180</f>
        <v>5.4160919167680275</v>
      </c>
      <c r="AX180" s="3">
        <f>VLOOKUP($AB180,'2000 Seattle Tracts'!$C$2:$Y$374,AX$1,FALSE)*$Z180</f>
        <v>0.88035416314957327</v>
      </c>
    </row>
    <row r="181" spans="1:50" x14ac:dyDescent="0.25">
      <c r="A181" t="s">
        <v>2917</v>
      </c>
      <c r="B181" t="s">
        <v>2918</v>
      </c>
      <c r="C181" t="s">
        <v>2948</v>
      </c>
      <c r="D181" t="s">
        <v>2503</v>
      </c>
      <c r="E181" t="s">
        <v>2504</v>
      </c>
      <c r="F181" t="s">
        <v>2505</v>
      </c>
      <c r="G181" t="s">
        <v>2920</v>
      </c>
      <c r="H181" t="s">
        <v>2921</v>
      </c>
      <c r="I181">
        <v>2219066</v>
      </c>
      <c r="J181">
        <v>0</v>
      </c>
      <c r="K181" t="s">
        <v>2949</v>
      </c>
      <c r="L181" t="s">
        <v>2950</v>
      </c>
      <c r="M181">
        <v>74</v>
      </c>
      <c r="N181">
        <v>45568.137000000002</v>
      </c>
      <c r="O181" t="s">
        <v>170</v>
      </c>
      <c r="P181">
        <v>19</v>
      </c>
      <c r="Q181">
        <v>9</v>
      </c>
      <c r="R181">
        <v>81</v>
      </c>
      <c r="S181">
        <v>24583470</v>
      </c>
      <c r="T181">
        <v>76</v>
      </c>
      <c r="U181">
        <v>168</v>
      </c>
      <c r="V181">
        <v>45568.137853690583</v>
      </c>
      <c r="W181">
        <v>24583469.184015442</v>
      </c>
      <c r="X181">
        <v>140869.97399999999</v>
      </c>
      <c r="Y181">
        <f>VLOOKUP(AB181,'2000 Seattle Tracts'!$C$2:$Z$374,24,FALSE)</f>
        <v>2219067.2319999998</v>
      </c>
      <c r="Z181">
        <f t="shared" si="4"/>
        <v>6.3481616045060862E-2</v>
      </c>
      <c r="AA181" t="s">
        <v>173</v>
      </c>
      <c r="AB181" t="str">
        <f t="shared" si="5"/>
        <v>Census Tract 97.02, King County, Washington</v>
      </c>
      <c r="AC181" s="3">
        <f>VLOOKUP($AB181,'2000 Seattle Tracts'!$C$2:$Y$374,AC$1,FALSE)*$Z181</f>
        <v>318.10637800179995</v>
      </c>
      <c r="AD181" s="3">
        <f>VLOOKUP($AB181,'2000 Seattle Tracts'!$C$2:$Y$374,AD$1,FALSE)*$Z181</f>
        <v>283.82630533746709</v>
      </c>
      <c r="AE181" s="3">
        <f>VLOOKUP($AB181,'2000 Seattle Tracts'!$C$2:$Y$374,AE$1,FALSE)*$Z181</f>
        <v>34.280072664332863</v>
      </c>
      <c r="AF181" s="3">
        <f>VLOOKUP($AB181,'2000 Seattle Tracts'!$C$2:$Y$374,AF$1,FALSE)*$Z181</f>
        <v>318.10637800179995</v>
      </c>
      <c r="AG181" s="3">
        <f>VLOOKUP($AB181,'2000 Seattle Tracts'!$C$2:$Y$374,AG$1,FALSE)*$Z181</f>
        <v>283.82630533746709</v>
      </c>
      <c r="AH181" s="3">
        <f>VLOOKUP($AB181,'2000 Seattle Tracts'!$C$2:$Y$374,AH$1,FALSE)*$Z181</f>
        <v>34.280072664332863</v>
      </c>
      <c r="AI181" s="3">
        <f>VLOOKUP($AB181,'2000 Seattle Tracts'!$C$2:$Y$374,AI$1,FALSE)*$Z181</f>
        <v>248.78445328059351</v>
      </c>
      <c r="AJ181" s="3">
        <f>VLOOKUP($AB181,'2000 Seattle Tracts'!$C$2:$Y$374,AJ$1,FALSE)*$Z181</f>
        <v>19.806264206058991</v>
      </c>
      <c r="AK181" s="3">
        <f>VLOOKUP($AB181,'2000 Seattle Tracts'!$C$2:$Y$374,AK$1,FALSE)*$Z181</f>
        <v>4.3802315071091993</v>
      </c>
      <c r="AL181" s="3">
        <f>VLOOKUP($AB181,'2000 Seattle Tracts'!$C$2:$Y$374,AL$1,FALSE)*$Z181</f>
        <v>4.5706763552443821</v>
      </c>
      <c r="AM181" s="3">
        <f>VLOOKUP($AB181,'2000 Seattle Tracts'!$C$2:$Y$374,AM$1,FALSE)*$Z181</f>
        <v>2.0314117134419476</v>
      </c>
      <c r="AN181" s="3">
        <f>VLOOKUP($AB181,'2000 Seattle Tracts'!$C$2:$Y$374,AN$1,FALSE)*$Z181</f>
        <v>0</v>
      </c>
      <c r="AO181" s="3">
        <f>VLOOKUP($AB181,'2000 Seattle Tracts'!$C$2:$Y$374,AO$1,FALSE)*$Z181</f>
        <v>4.6976395873345034</v>
      </c>
      <c r="AP181" s="3">
        <f>VLOOKUP($AB181,'2000 Seattle Tracts'!$C$2:$Y$374,AP$1,FALSE)*$Z181</f>
        <v>0.57133454440554776</v>
      </c>
      <c r="AQ181" s="3">
        <f>VLOOKUP($AB181,'2000 Seattle Tracts'!$C$2:$Y$374,AQ$1,FALSE)*$Z181</f>
        <v>5.3324557477851124</v>
      </c>
      <c r="AR181" s="3">
        <f>VLOOKUP($AB181,'2000 Seattle Tracts'!$C$2:$Y$374,AR$1,FALSE)*$Z181</f>
        <v>5.90379029219066</v>
      </c>
      <c r="AS181" s="3">
        <f>VLOOKUP($AB181,'2000 Seattle Tracts'!$C$2:$Y$374,AS$1,FALSE)*$Z181</f>
        <v>0</v>
      </c>
      <c r="AT181" s="3">
        <f>VLOOKUP($AB181,'2000 Seattle Tracts'!$C$2:$Y$374,AT$1,FALSE)*$Z181</f>
        <v>0.5078529283604869</v>
      </c>
      <c r="AU181" s="3">
        <f>VLOOKUP($AB181,'2000 Seattle Tracts'!$C$2:$Y$374,AU$1,FALSE)*$Z181</f>
        <v>0.63481616045060862</v>
      </c>
      <c r="AV181" s="3">
        <f>VLOOKUP($AB181,'2000 Seattle Tracts'!$C$2:$Y$374,AV$1,FALSE)*$Z181</f>
        <v>0</v>
      </c>
      <c r="AW181" s="3">
        <f>VLOOKUP($AB181,'2000 Seattle Tracts'!$C$2:$Y$374,AW$1,FALSE)*$Z181</f>
        <v>17.965297340752223</v>
      </c>
      <c r="AX181" s="3">
        <f>VLOOKUP($AB181,'2000 Seattle Tracts'!$C$2:$Y$374,AX$1,FALSE)*$Z181</f>
        <v>2.9201543380727997</v>
      </c>
    </row>
    <row r="182" spans="1:50" x14ac:dyDescent="0.25">
      <c r="A182" t="s">
        <v>2917</v>
      </c>
      <c r="B182" t="s">
        <v>2918</v>
      </c>
      <c r="C182" t="s">
        <v>2948</v>
      </c>
      <c r="D182" t="s">
        <v>2503</v>
      </c>
      <c r="E182" t="s">
        <v>2504</v>
      </c>
      <c r="F182" t="s">
        <v>2505</v>
      </c>
      <c r="G182" t="s">
        <v>2920</v>
      </c>
      <c r="H182" t="s">
        <v>2921</v>
      </c>
      <c r="I182">
        <v>2219066</v>
      </c>
      <c r="J182">
        <v>0</v>
      </c>
      <c r="K182" t="s">
        <v>2949</v>
      </c>
      <c r="L182" t="s">
        <v>2950</v>
      </c>
      <c r="M182">
        <v>75</v>
      </c>
      <c r="N182">
        <v>30687.785</v>
      </c>
      <c r="O182" t="s">
        <v>170</v>
      </c>
      <c r="P182">
        <v>19</v>
      </c>
      <c r="Q182">
        <v>9</v>
      </c>
      <c r="R182">
        <v>24</v>
      </c>
      <c r="S182">
        <v>48581416</v>
      </c>
      <c r="T182">
        <v>77</v>
      </c>
      <c r="U182">
        <v>169</v>
      </c>
      <c r="V182">
        <v>30687.78447008365</v>
      </c>
      <c r="W182">
        <v>48581416.320232317</v>
      </c>
      <c r="X182">
        <v>1321089.649</v>
      </c>
      <c r="Y182">
        <f>VLOOKUP(AB182,'2000 Seattle Tracts'!$C$2:$Z$374,24,FALSE)</f>
        <v>2219067.2319999998</v>
      </c>
      <c r="Z182">
        <f t="shared" si="4"/>
        <v>0.59533556710191649</v>
      </c>
      <c r="AA182" t="s">
        <v>174</v>
      </c>
      <c r="AB182" t="str">
        <f t="shared" si="5"/>
        <v>Census Tract 97.02, King County, Washington</v>
      </c>
      <c r="AC182" s="3">
        <f>VLOOKUP($AB182,'2000 Seattle Tracts'!$C$2:$Y$374,AC$1,FALSE)*$Z182</f>
        <v>2983.2265267477037</v>
      </c>
      <c r="AD182" s="3">
        <f>VLOOKUP($AB182,'2000 Seattle Tracts'!$C$2:$Y$374,AD$1,FALSE)*$Z182</f>
        <v>2661.7453205126685</v>
      </c>
      <c r="AE182" s="3">
        <f>VLOOKUP($AB182,'2000 Seattle Tracts'!$C$2:$Y$374,AE$1,FALSE)*$Z182</f>
        <v>321.4812062350349</v>
      </c>
      <c r="AF182" s="3">
        <f>VLOOKUP($AB182,'2000 Seattle Tracts'!$C$2:$Y$374,AF$1,FALSE)*$Z182</f>
        <v>2983.2265267477037</v>
      </c>
      <c r="AG182" s="3">
        <f>VLOOKUP($AB182,'2000 Seattle Tracts'!$C$2:$Y$374,AG$1,FALSE)*$Z182</f>
        <v>2661.7453205126685</v>
      </c>
      <c r="AH182" s="3">
        <f>VLOOKUP($AB182,'2000 Seattle Tracts'!$C$2:$Y$374,AH$1,FALSE)*$Z182</f>
        <v>321.4812062350349</v>
      </c>
      <c r="AI182" s="3">
        <f>VLOOKUP($AB182,'2000 Seattle Tracts'!$C$2:$Y$374,AI$1,FALSE)*$Z182</f>
        <v>2333.1200874724109</v>
      </c>
      <c r="AJ182" s="3">
        <f>VLOOKUP($AB182,'2000 Seattle Tracts'!$C$2:$Y$374,AJ$1,FALSE)*$Z182</f>
        <v>185.74469693579795</v>
      </c>
      <c r="AK182" s="3">
        <f>VLOOKUP($AB182,'2000 Seattle Tracts'!$C$2:$Y$374,AK$1,FALSE)*$Z182</f>
        <v>41.078154130032239</v>
      </c>
      <c r="AL182" s="3">
        <f>VLOOKUP($AB182,'2000 Seattle Tracts'!$C$2:$Y$374,AL$1,FALSE)*$Z182</f>
        <v>42.864160831337983</v>
      </c>
      <c r="AM182" s="3">
        <f>VLOOKUP($AB182,'2000 Seattle Tracts'!$C$2:$Y$374,AM$1,FALSE)*$Z182</f>
        <v>19.050738147261328</v>
      </c>
      <c r="AN182" s="3">
        <f>VLOOKUP($AB182,'2000 Seattle Tracts'!$C$2:$Y$374,AN$1,FALSE)*$Z182</f>
        <v>0</v>
      </c>
      <c r="AO182" s="3">
        <f>VLOOKUP($AB182,'2000 Seattle Tracts'!$C$2:$Y$374,AO$1,FALSE)*$Z182</f>
        <v>44.054831965541823</v>
      </c>
      <c r="AP182" s="3">
        <f>VLOOKUP($AB182,'2000 Seattle Tracts'!$C$2:$Y$374,AP$1,FALSE)*$Z182</f>
        <v>5.3580201039172479</v>
      </c>
      <c r="AQ182" s="3">
        <f>VLOOKUP($AB182,'2000 Seattle Tracts'!$C$2:$Y$374,AQ$1,FALSE)*$Z182</f>
        <v>50.008187636560983</v>
      </c>
      <c r="AR182" s="3">
        <f>VLOOKUP($AB182,'2000 Seattle Tracts'!$C$2:$Y$374,AR$1,FALSE)*$Z182</f>
        <v>55.366207740478231</v>
      </c>
      <c r="AS182" s="3">
        <f>VLOOKUP($AB182,'2000 Seattle Tracts'!$C$2:$Y$374,AS$1,FALSE)*$Z182</f>
        <v>0</v>
      </c>
      <c r="AT182" s="3">
        <f>VLOOKUP($AB182,'2000 Seattle Tracts'!$C$2:$Y$374,AT$1,FALSE)*$Z182</f>
        <v>4.7626845368153319</v>
      </c>
      <c r="AU182" s="3">
        <f>VLOOKUP($AB182,'2000 Seattle Tracts'!$C$2:$Y$374,AU$1,FALSE)*$Z182</f>
        <v>5.9533556710191649</v>
      </c>
      <c r="AV182" s="3">
        <f>VLOOKUP($AB182,'2000 Seattle Tracts'!$C$2:$Y$374,AV$1,FALSE)*$Z182</f>
        <v>0</v>
      </c>
      <c r="AW182" s="3">
        <f>VLOOKUP($AB182,'2000 Seattle Tracts'!$C$2:$Y$374,AW$1,FALSE)*$Z182</f>
        <v>168.47996548984236</v>
      </c>
      <c r="AX182" s="3">
        <f>VLOOKUP($AB182,'2000 Seattle Tracts'!$C$2:$Y$374,AX$1,FALSE)*$Z182</f>
        <v>27.385436086688159</v>
      </c>
    </row>
    <row r="183" spans="1:50" x14ac:dyDescent="0.25">
      <c r="A183" t="s">
        <v>2917</v>
      </c>
      <c r="B183" t="s">
        <v>2918</v>
      </c>
      <c r="C183" t="s">
        <v>2948</v>
      </c>
      <c r="D183" t="s">
        <v>2503</v>
      </c>
      <c r="E183" t="s">
        <v>2504</v>
      </c>
      <c r="F183" t="s">
        <v>2505</v>
      </c>
      <c r="G183" t="s">
        <v>2920</v>
      </c>
      <c r="H183" t="s">
        <v>2921</v>
      </c>
      <c r="I183">
        <v>2219066</v>
      </c>
      <c r="J183">
        <v>0</v>
      </c>
      <c r="K183" t="s">
        <v>2949</v>
      </c>
      <c r="L183" t="s">
        <v>2950</v>
      </c>
      <c r="M183">
        <v>77</v>
      </c>
      <c r="N183">
        <v>19870.868999999999</v>
      </c>
      <c r="O183" t="s">
        <v>170</v>
      </c>
      <c r="P183">
        <v>19</v>
      </c>
      <c r="Q183">
        <v>9</v>
      </c>
      <c r="R183">
        <v>95</v>
      </c>
      <c r="S183">
        <v>21164976</v>
      </c>
      <c r="T183">
        <v>79</v>
      </c>
      <c r="U183">
        <v>175</v>
      </c>
      <c r="V183">
        <v>19870.86960892408</v>
      </c>
      <c r="W183">
        <v>21164976.581290629</v>
      </c>
      <c r="X183">
        <v>714638.79799999995</v>
      </c>
      <c r="Y183">
        <f>VLOOKUP(AB183,'2000 Seattle Tracts'!$C$2:$Z$374,24,FALSE)</f>
        <v>2219067.2319999998</v>
      </c>
      <c r="Z183">
        <f t="shared" si="4"/>
        <v>0.32204468061831126</v>
      </c>
      <c r="AA183" t="s">
        <v>176</v>
      </c>
      <c r="AB183" t="str">
        <f t="shared" si="5"/>
        <v>Census Tract 97.02, King County, Washington</v>
      </c>
      <c r="AC183" s="3">
        <f>VLOOKUP($AB183,'2000 Seattle Tracts'!$C$2:$Y$374,AC$1,FALSE)*$Z183</f>
        <v>1613.7658945783578</v>
      </c>
      <c r="AD183" s="3">
        <f>VLOOKUP($AB183,'2000 Seattle Tracts'!$C$2:$Y$374,AD$1,FALSE)*$Z183</f>
        <v>1439.8617670444696</v>
      </c>
      <c r="AE183" s="3">
        <f>VLOOKUP($AB183,'2000 Seattle Tracts'!$C$2:$Y$374,AE$1,FALSE)*$Z183</f>
        <v>173.90412753388807</v>
      </c>
      <c r="AF183" s="3">
        <f>VLOOKUP($AB183,'2000 Seattle Tracts'!$C$2:$Y$374,AF$1,FALSE)*$Z183</f>
        <v>1613.7658945783578</v>
      </c>
      <c r="AG183" s="3">
        <f>VLOOKUP($AB183,'2000 Seattle Tracts'!$C$2:$Y$374,AG$1,FALSE)*$Z183</f>
        <v>1439.8617670444696</v>
      </c>
      <c r="AH183" s="3">
        <f>VLOOKUP($AB183,'2000 Seattle Tracts'!$C$2:$Y$374,AH$1,FALSE)*$Z183</f>
        <v>173.90412753388807</v>
      </c>
      <c r="AI183" s="3">
        <f>VLOOKUP($AB183,'2000 Seattle Tracts'!$C$2:$Y$374,AI$1,FALSE)*$Z183</f>
        <v>1262.0931033431618</v>
      </c>
      <c r="AJ183" s="3">
        <f>VLOOKUP($AB183,'2000 Seattle Tracts'!$C$2:$Y$374,AJ$1,FALSE)*$Z183</f>
        <v>100.47794035291311</v>
      </c>
      <c r="AK183" s="3">
        <f>VLOOKUP($AB183,'2000 Seattle Tracts'!$C$2:$Y$374,AK$1,FALSE)*$Z183</f>
        <v>22.221082962663477</v>
      </c>
      <c r="AL183" s="3">
        <f>VLOOKUP($AB183,'2000 Seattle Tracts'!$C$2:$Y$374,AL$1,FALSE)*$Z183</f>
        <v>23.187217004518409</v>
      </c>
      <c r="AM183" s="3">
        <f>VLOOKUP($AB183,'2000 Seattle Tracts'!$C$2:$Y$374,AM$1,FALSE)*$Z183</f>
        <v>10.30542977978596</v>
      </c>
      <c r="AN183" s="3">
        <f>VLOOKUP($AB183,'2000 Seattle Tracts'!$C$2:$Y$374,AN$1,FALSE)*$Z183</f>
        <v>0</v>
      </c>
      <c r="AO183" s="3">
        <f>VLOOKUP($AB183,'2000 Seattle Tracts'!$C$2:$Y$374,AO$1,FALSE)*$Z183</f>
        <v>23.831306365755033</v>
      </c>
      <c r="AP183" s="3">
        <f>VLOOKUP($AB183,'2000 Seattle Tracts'!$C$2:$Y$374,AP$1,FALSE)*$Z183</f>
        <v>2.8984021255648011</v>
      </c>
      <c r="AQ183" s="3">
        <f>VLOOKUP($AB183,'2000 Seattle Tracts'!$C$2:$Y$374,AQ$1,FALSE)*$Z183</f>
        <v>27.051753171938145</v>
      </c>
      <c r="AR183" s="3">
        <f>VLOOKUP($AB183,'2000 Seattle Tracts'!$C$2:$Y$374,AR$1,FALSE)*$Z183</f>
        <v>29.950155297502949</v>
      </c>
      <c r="AS183" s="3">
        <f>VLOOKUP($AB183,'2000 Seattle Tracts'!$C$2:$Y$374,AS$1,FALSE)*$Z183</f>
        <v>0</v>
      </c>
      <c r="AT183" s="3">
        <f>VLOOKUP($AB183,'2000 Seattle Tracts'!$C$2:$Y$374,AT$1,FALSE)*$Z183</f>
        <v>2.5763574449464901</v>
      </c>
      <c r="AU183" s="3">
        <f>VLOOKUP($AB183,'2000 Seattle Tracts'!$C$2:$Y$374,AU$1,FALSE)*$Z183</f>
        <v>3.2204468061831126</v>
      </c>
      <c r="AV183" s="3">
        <f>VLOOKUP($AB183,'2000 Seattle Tracts'!$C$2:$Y$374,AV$1,FALSE)*$Z183</f>
        <v>0</v>
      </c>
      <c r="AW183" s="3">
        <f>VLOOKUP($AB183,'2000 Seattle Tracts'!$C$2:$Y$374,AW$1,FALSE)*$Z183</f>
        <v>91.138644614982084</v>
      </c>
      <c r="AX183" s="3">
        <f>VLOOKUP($AB183,'2000 Seattle Tracts'!$C$2:$Y$374,AX$1,FALSE)*$Z183</f>
        <v>14.814055308442319</v>
      </c>
    </row>
    <row r="184" spans="1:50" x14ac:dyDescent="0.25">
      <c r="A184" t="s">
        <v>2917</v>
      </c>
      <c r="B184" t="s">
        <v>2918</v>
      </c>
      <c r="C184" t="s">
        <v>2945</v>
      </c>
      <c r="D184" t="s">
        <v>2506</v>
      </c>
      <c r="E184" t="s">
        <v>2507</v>
      </c>
      <c r="F184" t="s">
        <v>2508</v>
      </c>
      <c r="G184" t="s">
        <v>2920</v>
      </c>
      <c r="H184" t="s">
        <v>2921</v>
      </c>
      <c r="I184">
        <v>1857984</v>
      </c>
      <c r="J184">
        <v>14279988</v>
      </c>
      <c r="K184" t="s">
        <v>3425</v>
      </c>
      <c r="L184" t="s">
        <v>3426</v>
      </c>
      <c r="M184">
        <v>71</v>
      </c>
      <c r="N184">
        <v>23122.263999999999</v>
      </c>
      <c r="O184" t="s">
        <v>170</v>
      </c>
      <c r="P184">
        <v>19</v>
      </c>
      <c r="Q184">
        <v>9</v>
      </c>
      <c r="R184">
        <v>19</v>
      </c>
      <c r="S184">
        <v>18463062</v>
      </c>
      <c r="T184">
        <v>73</v>
      </c>
      <c r="U184">
        <v>178</v>
      </c>
      <c r="V184">
        <v>23122.264003256802</v>
      </c>
      <c r="W184">
        <v>18463061.7979086</v>
      </c>
      <c r="X184">
        <v>333.63900000000001</v>
      </c>
      <c r="Y184">
        <f>VLOOKUP(AB184,'2000 Seattle Tracts'!$C$2:$Z$374,24,FALSE)</f>
        <v>1757145.872</v>
      </c>
      <c r="Z184">
        <f t="shared" si="4"/>
        <v>1.8987552787535445E-4</v>
      </c>
      <c r="AA184" t="s">
        <v>169</v>
      </c>
      <c r="AB184" t="str">
        <f t="shared" si="5"/>
        <v>Census Tract 97.01, King County, Washington</v>
      </c>
      <c r="AC184" s="3">
        <f>VLOOKUP($AB184,'2000 Seattle Tracts'!$C$2:$Y$374,AC$1,FALSE)*$Z184</f>
        <v>1.0107074348805118</v>
      </c>
      <c r="AD184" s="3">
        <f>VLOOKUP($AB184,'2000 Seattle Tracts'!$C$2:$Y$374,AD$1,FALSE)*$Z184</f>
        <v>0.92013680808396769</v>
      </c>
      <c r="AE184" s="3">
        <f>VLOOKUP($AB184,'2000 Seattle Tracts'!$C$2:$Y$374,AE$1,FALSE)*$Z184</f>
        <v>9.0570626796544068E-2</v>
      </c>
      <c r="AF184" s="3">
        <f>VLOOKUP($AB184,'2000 Seattle Tracts'!$C$2:$Y$374,AF$1,FALSE)*$Z184</f>
        <v>1.0107074348805118</v>
      </c>
      <c r="AG184" s="3">
        <f>VLOOKUP($AB184,'2000 Seattle Tracts'!$C$2:$Y$374,AG$1,FALSE)*$Z184</f>
        <v>0.92013680808396769</v>
      </c>
      <c r="AH184" s="3">
        <f>VLOOKUP($AB184,'2000 Seattle Tracts'!$C$2:$Y$374,AH$1,FALSE)*$Z184</f>
        <v>9.0570626796544068E-2</v>
      </c>
      <c r="AI184" s="3">
        <f>VLOOKUP($AB184,'2000 Seattle Tracts'!$C$2:$Y$374,AI$1,FALSE)*$Z184</f>
        <v>0.83905995768119135</v>
      </c>
      <c r="AJ184" s="3">
        <f>VLOOKUP($AB184,'2000 Seattle Tracts'!$C$2:$Y$374,AJ$1,FALSE)*$Z184</f>
        <v>5.0127139359093575E-2</v>
      </c>
      <c r="AK184" s="3">
        <f>VLOOKUP($AB184,'2000 Seattle Tracts'!$C$2:$Y$374,AK$1,FALSE)*$Z184</f>
        <v>1.5190042230028357E-2</v>
      </c>
      <c r="AL184" s="3">
        <f>VLOOKUP($AB184,'2000 Seattle Tracts'!$C$2:$Y$374,AL$1,FALSE)*$Z184</f>
        <v>7.5950211150141781E-4</v>
      </c>
      <c r="AM184" s="3">
        <f>VLOOKUP($AB184,'2000 Seattle Tracts'!$C$2:$Y$374,AM$1,FALSE)*$Z184</f>
        <v>7.9747721707648864E-3</v>
      </c>
      <c r="AN184" s="3">
        <f>VLOOKUP($AB184,'2000 Seattle Tracts'!$C$2:$Y$374,AN$1,FALSE)*$Z184</f>
        <v>9.4937763937677228E-4</v>
      </c>
      <c r="AO184" s="3">
        <f>VLOOKUP($AB184,'2000 Seattle Tracts'!$C$2:$Y$374,AO$1,FALSE)*$Z184</f>
        <v>1.1202656144645913E-2</v>
      </c>
      <c r="AP184" s="3">
        <f>VLOOKUP($AB184,'2000 Seattle Tracts'!$C$2:$Y$374,AP$1,FALSE)*$Z184</f>
        <v>0</v>
      </c>
      <c r="AQ184" s="3">
        <f>VLOOKUP($AB184,'2000 Seattle Tracts'!$C$2:$Y$374,AQ$1,FALSE)*$Z184</f>
        <v>1.7088797508781901E-2</v>
      </c>
      <c r="AR184" s="3">
        <f>VLOOKUP($AB184,'2000 Seattle Tracts'!$C$2:$Y$374,AR$1,FALSE)*$Z184</f>
        <v>2.3734440984419305E-2</v>
      </c>
      <c r="AS184" s="3">
        <f>VLOOKUP($AB184,'2000 Seattle Tracts'!$C$2:$Y$374,AS$1,FALSE)*$Z184</f>
        <v>0</v>
      </c>
      <c r="AT184" s="3">
        <f>VLOOKUP($AB184,'2000 Seattle Tracts'!$C$2:$Y$374,AT$1,FALSE)*$Z184</f>
        <v>0</v>
      </c>
      <c r="AU184" s="3">
        <f>VLOOKUP($AB184,'2000 Seattle Tracts'!$C$2:$Y$374,AU$1,FALSE)*$Z184</f>
        <v>7.4051455871388238E-3</v>
      </c>
      <c r="AV184" s="3">
        <f>VLOOKUP($AB184,'2000 Seattle Tracts'!$C$2:$Y$374,AV$1,FALSE)*$Z184</f>
        <v>7.0253945313881148E-3</v>
      </c>
      <c r="AW184" s="3">
        <f>VLOOKUP($AB184,'2000 Seattle Tracts'!$C$2:$Y$374,AW$1,FALSE)*$Z184</f>
        <v>2.221543676141647E-2</v>
      </c>
      <c r="AX184" s="3">
        <f>VLOOKUP($AB184,'2000 Seattle Tracts'!$C$2:$Y$374,AX$1,FALSE)*$Z184</f>
        <v>7.9747721707648864E-3</v>
      </c>
    </row>
    <row r="185" spans="1:50" x14ac:dyDescent="0.25">
      <c r="A185" t="s">
        <v>2917</v>
      </c>
      <c r="B185" t="s">
        <v>2918</v>
      </c>
      <c r="C185" t="s">
        <v>2945</v>
      </c>
      <c r="D185" t="s">
        <v>2506</v>
      </c>
      <c r="E185" t="s">
        <v>2507</v>
      </c>
      <c r="F185" t="s">
        <v>2508</v>
      </c>
      <c r="G185" t="s">
        <v>2920</v>
      </c>
      <c r="H185" t="s">
        <v>2921</v>
      </c>
      <c r="I185">
        <v>1857984</v>
      </c>
      <c r="J185">
        <v>14279988</v>
      </c>
      <c r="K185" t="s">
        <v>3425</v>
      </c>
      <c r="L185" t="s">
        <v>3426</v>
      </c>
      <c r="M185">
        <v>74</v>
      </c>
      <c r="N185">
        <v>45568.137000000002</v>
      </c>
      <c r="O185" t="s">
        <v>170</v>
      </c>
      <c r="P185">
        <v>19</v>
      </c>
      <c r="Q185">
        <v>9</v>
      </c>
      <c r="R185">
        <v>81</v>
      </c>
      <c r="S185">
        <v>24583470</v>
      </c>
      <c r="T185">
        <v>76</v>
      </c>
      <c r="U185">
        <v>168</v>
      </c>
      <c r="V185">
        <v>45568.137853690583</v>
      </c>
      <c r="W185">
        <v>24583469.184015442</v>
      </c>
      <c r="X185">
        <v>1754189.1939999999</v>
      </c>
      <c r="Y185">
        <f>VLOOKUP(AB185,'2000 Seattle Tracts'!$C$2:$Z$374,24,FALSE)</f>
        <v>1757145.872</v>
      </c>
      <c r="Z185">
        <f t="shared" si="4"/>
        <v>0.9983173406106377</v>
      </c>
      <c r="AA185" t="s">
        <v>173</v>
      </c>
      <c r="AB185" t="str">
        <f t="shared" si="5"/>
        <v>Census Tract 97.01, King County, Washington</v>
      </c>
      <c r="AC185" s="3">
        <f>VLOOKUP($AB185,'2000 Seattle Tracts'!$C$2:$Y$374,AC$1,FALSE)*$Z185</f>
        <v>5314.0432040704245</v>
      </c>
      <c r="AD185" s="3">
        <f>VLOOKUP($AB185,'2000 Seattle Tracts'!$C$2:$Y$374,AD$1,FALSE)*$Z185</f>
        <v>4837.8458325991505</v>
      </c>
      <c r="AE185" s="3">
        <f>VLOOKUP($AB185,'2000 Seattle Tracts'!$C$2:$Y$374,AE$1,FALSE)*$Z185</f>
        <v>476.19737147127421</v>
      </c>
      <c r="AF185" s="3">
        <f>VLOOKUP($AB185,'2000 Seattle Tracts'!$C$2:$Y$374,AF$1,FALSE)*$Z185</f>
        <v>5314.0432040704245</v>
      </c>
      <c r="AG185" s="3">
        <f>VLOOKUP($AB185,'2000 Seattle Tracts'!$C$2:$Y$374,AG$1,FALSE)*$Z185</f>
        <v>4837.8458325991505</v>
      </c>
      <c r="AH185" s="3">
        <f>VLOOKUP($AB185,'2000 Seattle Tracts'!$C$2:$Y$374,AH$1,FALSE)*$Z185</f>
        <v>476.19737147127421</v>
      </c>
      <c r="AI185" s="3">
        <f>VLOOKUP($AB185,'2000 Seattle Tracts'!$C$2:$Y$374,AI$1,FALSE)*$Z185</f>
        <v>4411.564328158408</v>
      </c>
      <c r="AJ185" s="3">
        <f>VLOOKUP($AB185,'2000 Seattle Tracts'!$C$2:$Y$374,AJ$1,FALSE)*$Z185</f>
        <v>263.55577792120835</v>
      </c>
      <c r="AK185" s="3">
        <f>VLOOKUP($AB185,'2000 Seattle Tracts'!$C$2:$Y$374,AK$1,FALSE)*$Z185</f>
        <v>79.865387248851022</v>
      </c>
      <c r="AL185" s="3">
        <f>VLOOKUP($AB185,'2000 Seattle Tracts'!$C$2:$Y$374,AL$1,FALSE)*$Z185</f>
        <v>3.9932693624425508</v>
      </c>
      <c r="AM185" s="3">
        <f>VLOOKUP($AB185,'2000 Seattle Tracts'!$C$2:$Y$374,AM$1,FALSE)*$Z185</f>
        <v>41.929328305646784</v>
      </c>
      <c r="AN185" s="3">
        <f>VLOOKUP($AB185,'2000 Seattle Tracts'!$C$2:$Y$374,AN$1,FALSE)*$Z185</f>
        <v>4.9915867030531889</v>
      </c>
      <c r="AO185" s="3">
        <f>VLOOKUP($AB185,'2000 Seattle Tracts'!$C$2:$Y$374,AO$1,FALSE)*$Z185</f>
        <v>58.900723096027626</v>
      </c>
      <c r="AP185" s="3">
        <f>VLOOKUP($AB185,'2000 Seattle Tracts'!$C$2:$Y$374,AP$1,FALSE)*$Z185</f>
        <v>0</v>
      </c>
      <c r="AQ185" s="3">
        <f>VLOOKUP($AB185,'2000 Seattle Tracts'!$C$2:$Y$374,AQ$1,FALSE)*$Z185</f>
        <v>89.848560654957396</v>
      </c>
      <c r="AR185" s="3">
        <f>VLOOKUP($AB185,'2000 Seattle Tracts'!$C$2:$Y$374,AR$1,FALSE)*$Z185</f>
        <v>124.78966757632972</v>
      </c>
      <c r="AS185" s="3">
        <f>VLOOKUP($AB185,'2000 Seattle Tracts'!$C$2:$Y$374,AS$1,FALSE)*$Z185</f>
        <v>0</v>
      </c>
      <c r="AT185" s="3">
        <f>VLOOKUP($AB185,'2000 Seattle Tracts'!$C$2:$Y$374,AT$1,FALSE)*$Z185</f>
        <v>0</v>
      </c>
      <c r="AU185" s="3">
        <f>VLOOKUP($AB185,'2000 Seattle Tracts'!$C$2:$Y$374,AU$1,FALSE)*$Z185</f>
        <v>38.934376283814871</v>
      </c>
      <c r="AV185" s="3">
        <f>VLOOKUP($AB185,'2000 Seattle Tracts'!$C$2:$Y$374,AV$1,FALSE)*$Z185</f>
        <v>36.937741602593597</v>
      </c>
      <c r="AW185" s="3">
        <f>VLOOKUP($AB185,'2000 Seattle Tracts'!$C$2:$Y$374,AW$1,FALSE)*$Z185</f>
        <v>116.80312885144461</v>
      </c>
      <c r="AX185" s="3">
        <f>VLOOKUP($AB185,'2000 Seattle Tracts'!$C$2:$Y$374,AX$1,FALSE)*$Z185</f>
        <v>41.929328305646784</v>
      </c>
    </row>
    <row r="186" spans="1:50" x14ac:dyDescent="0.25">
      <c r="A186" t="s">
        <v>2917</v>
      </c>
      <c r="B186" t="s">
        <v>2918</v>
      </c>
      <c r="C186" t="s">
        <v>2945</v>
      </c>
      <c r="D186" t="s">
        <v>2506</v>
      </c>
      <c r="E186" t="s">
        <v>2507</v>
      </c>
      <c r="F186" t="s">
        <v>2508</v>
      </c>
      <c r="G186" t="s">
        <v>2920</v>
      </c>
      <c r="H186" t="s">
        <v>2921</v>
      </c>
      <c r="I186">
        <v>1857984</v>
      </c>
      <c r="J186">
        <v>14279988</v>
      </c>
      <c r="K186" t="s">
        <v>3425</v>
      </c>
      <c r="L186" t="s">
        <v>3426</v>
      </c>
      <c r="M186">
        <v>75</v>
      </c>
      <c r="N186">
        <v>30687.785</v>
      </c>
      <c r="O186" t="s">
        <v>170</v>
      </c>
      <c r="P186">
        <v>19</v>
      </c>
      <c r="Q186">
        <v>9</v>
      </c>
      <c r="R186">
        <v>24</v>
      </c>
      <c r="S186">
        <v>48581416</v>
      </c>
      <c r="T186">
        <v>77</v>
      </c>
      <c r="U186">
        <v>169</v>
      </c>
      <c r="V186">
        <v>30687.78447008365</v>
      </c>
      <c r="W186">
        <v>48581416.320232317</v>
      </c>
      <c r="X186">
        <v>1874.37</v>
      </c>
      <c r="Y186">
        <f>VLOOKUP(AB186,'2000 Seattle Tracts'!$C$2:$Z$374,24,FALSE)</f>
        <v>1757145.872</v>
      </c>
      <c r="Z186">
        <f t="shared" si="4"/>
        <v>1.0667128039099989E-3</v>
      </c>
      <c r="AA186" t="s">
        <v>174</v>
      </c>
      <c r="AB186" t="str">
        <f t="shared" si="5"/>
        <v>Census Tract 97.01, King County, Washington</v>
      </c>
      <c r="AC186" s="3">
        <f>VLOOKUP($AB186,'2000 Seattle Tracts'!$C$2:$Y$374,AC$1,FALSE)*$Z186</f>
        <v>5.6781122552129242</v>
      </c>
      <c r="AD186" s="3">
        <f>VLOOKUP($AB186,'2000 Seattle Tracts'!$C$2:$Y$374,AD$1,FALSE)*$Z186</f>
        <v>5.1692902477478553</v>
      </c>
      <c r="AE186" s="3">
        <f>VLOOKUP($AB186,'2000 Seattle Tracts'!$C$2:$Y$374,AE$1,FALSE)*$Z186</f>
        <v>0.50882200746506945</v>
      </c>
      <c r="AF186" s="3">
        <f>VLOOKUP($AB186,'2000 Seattle Tracts'!$C$2:$Y$374,AF$1,FALSE)*$Z186</f>
        <v>5.6781122552129242</v>
      </c>
      <c r="AG186" s="3">
        <f>VLOOKUP($AB186,'2000 Seattle Tracts'!$C$2:$Y$374,AG$1,FALSE)*$Z186</f>
        <v>5.1692902477478553</v>
      </c>
      <c r="AH186" s="3">
        <f>VLOOKUP($AB186,'2000 Seattle Tracts'!$C$2:$Y$374,AH$1,FALSE)*$Z186</f>
        <v>0.50882200746506945</v>
      </c>
      <c r="AI186" s="3">
        <f>VLOOKUP($AB186,'2000 Seattle Tracts'!$C$2:$Y$374,AI$1,FALSE)*$Z186</f>
        <v>4.7138038804782854</v>
      </c>
      <c r="AJ186" s="3">
        <f>VLOOKUP($AB186,'2000 Seattle Tracts'!$C$2:$Y$374,AJ$1,FALSE)*$Z186</f>
        <v>0.28161218023223972</v>
      </c>
      <c r="AK186" s="3">
        <f>VLOOKUP($AB186,'2000 Seattle Tracts'!$C$2:$Y$374,AK$1,FALSE)*$Z186</f>
        <v>8.5337024312799908E-2</v>
      </c>
      <c r="AL186" s="3">
        <f>VLOOKUP($AB186,'2000 Seattle Tracts'!$C$2:$Y$374,AL$1,FALSE)*$Z186</f>
        <v>4.2668512156399958E-3</v>
      </c>
      <c r="AM186" s="3">
        <f>VLOOKUP($AB186,'2000 Seattle Tracts'!$C$2:$Y$374,AM$1,FALSE)*$Z186</f>
        <v>4.4801937764219958E-2</v>
      </c>
      <c r="AN186" s="3">
        <f>VLOOKUP($AB186,'2000 Seattle Tracts'!$C$2:$Y$374,AN$1,FALSE)*$Z186</f>
        <v>5.3335640195499943E-3</v>
      </c>
      <c r="AO186" s="3">
        <f>VLOOKUP($AB186,'2000 Seattle Tracts'!$C$2:$Y$374,AO$1,FALSE)*$Z186</f>
        <v>6.2936055430689933E-2</v>
      </c>
      <c r="AP186" s="3">
        <f>VLOOKUP($AB186,'2000 Seattle Tracts'!$C$2:$Y$374,AP$1,FALSE)*$Z186</f>
        <v>0</v>
      </c>
      <c r="AQ186" s="3">
        <f>VLOOKUP($AB186,'2000 Seattle Tracts'!$C$2:$Y$374,AQ$1,FALSE)*$Z186</f>
        <v>9.6004152351899907E-2</v>
      </c>
      <c r="AR186" s="3">
        <f>VLOOKUP($AB186,'2000 Seattle Tracts'!$C$2:$Y$374,AR$1,FALSE)*$Z186</f>
        <v>0.13333910048874986</v>
      </c>
      <c r="AS186" s="3">
        <f>VLOOKUP($AB186,'2000 Seattle Tracts'!$C$2:$Y$374,AS$1,FALSE)*$Z186</f>
        <v>0</v>
      </c>
      <c r="AT186" s="3">
        <f>VLOOKUP($AB186,'2000 Seattle Tracts'!$C$2:$Y$374,AT$1,FALSE)*$Z186</f>
        <v>0</v>
      </c>
      <c r="AU186" s="3">
        <f>VLOOKUP($AB186,'2000 Seattle Tracts'!$C$2:$Y$374,AU$1,FALSE)*$Z186</f>
        <v>4.1601799352489956E-2</v>
      </c>
      <c r="AV186" s="3">
        <f>VLOOKUP($AB186,'2000 Seattle Tracts'!$C$2:$Y$374,AV$1,FALSE)*$Z186</f>
        <v>3.9468373744669959E-2</v>
      </c>
      <c r="AW186" s="3">
        <f>VLOOKUP($AB186,'2000 Seattle Tracts'!$C$2:$Y$374,AW$1,FALSE)*$Z186</f>
        <v>0.12480539805746987</v>
      </c>
      <c r="AX186" s="3">
        <f>VLOOKUP($AB186,'2000 Seattle Tracts'!$C$2:$Y$374,AX$1,FALSE)*$Z186</f>
        <v>4.4801937764219958E-2</v>
      </c>
    </row>
    <row r="187" spans="1:50" x14ac:dyDescent="0.25">
      <c r="A187" t="s">
        <v>2917</v>
      </c>
      <c r="B187" t="s">
        <v>2918</v>
      </c>
      <c r="C187" t="s">
        <v>2945</v>
      </c>
      <c r="D187" t="s">
        <v>2506</v>
      </c>
      <c r="E187" t="s">
        <v>2507</v>
      </c>
      <c r="F187" t="s">
        <v>2508</v>
      </c>
      <c r="G187" t="s">
        <v>2920</v>
      </c>
      <c r="H187" t="s">
        <v>2921</v>
      </c>
      <c r="I187">
        <v>1857984</v>
      </c>
      <c r="J187">
        <v>14279988</v>
      </c>
      <c r="K187" t="s">
        <v>3425</v>
      </c>
      <c r="L187" t="s">
        <v>3426</v>
      </c>
      <c r="M187">
        <v>77</v>
      </c>
      <c r="N187">
        <v>19870.868999999999</v>
      </c>
      <c r="O187" t="s">
        <v>170</v>
      </c>
      <c r="P187">
        <v>19</v>
      </c>
      <c r="Q187">
        <v>9</v>
      </c>
      <c r="R187">
        <v>95</v>
      </c>
      <c r="S187">
        <v>21164976</v>
      </c>
      <c r="T187">
        <v>79</v>
      </c>
      <c r="U187">
        <v>175</v>
      </c>
      <c r="V187">
        <v>19870.86960892408</v>
      </c>
      <c r="W187">
        <v>21164976.581290629</v>
      </c>
      <c r="X187">
        <v>84.078999999999994</v>
      </c>
      <c r="Y187">
        <f>VLOOKUP(AB187,'2000 Seattle Tracts'!$C$2:$Z$374,24,FALSE)</f>
        <v>1757145.872</v>
      </c>
      <c r="Z187">
        <f t="shared" si="4"/>
        <v>4.7849755299086515E-5</v>
      </c>
      <c r="AA187" t="s">
        <v>176</v>
      </c>
      <c r="AB187" t="str">
        <f t="shared" si="5"/>
        <v>Census Tract 97.01, King County, Washington</v>
      </c>
      <c r="AC187" s="3">
        <f>VLOOKUP($AB187,'2000 Seattle Tracts'!$C$2:$Y$374,AC$1,FALSE)*$Z187</f>
        <v>0.25470424745703751</v>
      </c>
      <c r="AD187" s="3">
        <f>VLOOKUP($AB187,'2000 Seattle Tracts'!$C$2:$Y$374,AD$1,FALSE)*$Z187</f>
        <v>0.23187991417937326</v>
      </c>
      <c r="AE187" s="3">
        <f>VLOOKUP($AB187,'2000 Seattle Tracts'!$C$2:$Y$374,AE$1,FALSE)*$Z187</f>
        <v>2.2824333277664269E-2</v>
      </c>
      <c r="AF187" s="3">
        <f>VLOOKUP($AB187,'2000 Seattle Tracts'!$C$2:$Y$374,AF$1,FALSE)*$Z187</f>
        <v>0.25470424745703751</v>
      </c>
      <c r="AG187" s="3">
        <f>VLOOKUP($AB187,'2000 Seattle Tracts'!$C$2:$Y$374,AG$1,FALSE)*$Z187</f>
        <v>0.23187991417937326</v>
      </c>
      <c r="AH187" s="3">
        <f>VLOOKUP($AB187,'2000 Seattle Tracts'!$C$2:$Y$374,AH$1,FALSE)*$Z187</f>
        <v>2.2824333277664269E-2</v>
      </c>
      <c r="AI187" s="3">
        <f>VLOOKUP($AB187,'2000 Seattle Tracts'!$C$2:$Y$374,AI$1,FALSE)*$Z187</f>
        <v>0.2114480686666633</v>
      </c>
      <c r="AJ187" s="3">
        <f>VLOOKUP($AB187,'2000 Seattle Tracts'!$C$2:$Y$374,AJ$1,FALSE)*$Z187</f>
        <v>1.263233539895884E-2</v>
      </c>
      <c r="AK187" s="3">
        <f>VLOOKUP($AB187,'2000 Seattle Tracts'!$C$2:$Y$374,AK$1,FALSE)*$Z187</f>
        <v>3.8279804239269213E-3</v>
      </c>
      <c r="AL187" s="3">
        <f>VLOOKUP($AB187,'2000 Seattle Tracts'!$C$2:$Y$374,AL$1,FALSE)*$Z187</f>
        <v>1.9139902119634606E-4</v>
      </c>
      <c r="AM187" s="3">
        <f>VLOOKUP($AB187,'2000 Seattle Tracts'!$C$2:$Y$374,AM$1,FALSE)*$Z187</f>
        <v>2.0096897225616336E-3</v>
      </c>
      <c r="AN187" s="3">
        <f>VLOOKUP($AB187,'2000 Seattle Tracts'!$C$2:$Y$374,AN$1,FALSE)*$Z187</f>
        <v>2.3924877649543258E-4</v>
      </c>
      <c r="AO187" s="3">
        <f>VLOOKUP($AB187,'2000 Seattle Tracts'!$C$2:$Y$374,AO$1,FALSE)*$Z187</f>
        <v>2.8231355626461042E-3</v>
      </c>
      <c r="AP187" s="3">
        <f>VLOOKUP($AB187,'2000 Seattle Tracts'!$C$2:$Y$374,AP$1,FALSE)*$Z187</f>
        <v>0</v>
      </c>
      <c r="AQ187" s="3">
        <f>VLOOKUP($AB187,'2000 Seattle Tracts'!$C$2:$Y$374,AQ$1,FALSE)*$Z187</f>
        <v>4.3064779769177866E-3</v>
      </c>
      <c r="AR187" s="3">
        <f>VLOOKUP($AB187,'2000 Seattle Tracts'!$C$2:$Y$374,AR$1,FALSE)*$Z187</f>
        <v>5.9812194123858142E-3</v>
      </c>
      <c r="AS187" s="3">
        <f>VLOOKUP($AB187,'2000 Seattle Tracts'!$C$2:$Y$374,AS$1,FALSE)*$Z187</f>
        <v>0</v>
      </c>
      <c r="AT187" s="3">
        <f>VLOOKUP($AB187,'2000 Seattle Tracts'!$C$2:$Y$374,AT$1,FALSE)*$Z187</f>
        <v>0</v>
      </c>
      <c r="AU187" s="3">
        <f>VLOOKUP($AB187,'2000 Seattle Tracts'!$C$2:$Y$374,AU$1,FALSE)*$Z187</f>
        <v>1.8661404566643741E-3</v>
      </c>
      <c r="AV187" s="3">
        <f>VLOOKUP($AB187,'2000 Seattle Tracts'!$C$2:$Y$374,AV$1,FALSE)*$Z187</f>
        <v>1.7704409460662009E-3</v>
      </c>
      <c r="AW187" s="3">
        <f>VLOOKUP($AB187,'2000 Seattle Tracts'!$C$2:$Y$374,AW$1,FALSE)*$Z187</f>
        <v>5.5984213699931222E-3</v>
      </c>
      <c r="AX187" s="3">
        <f>VLOOKUP($AB187,'2000 Seattle Tracts'!$C$2:$Y$374,AX$1,FALSE)*$Z187</f>
        <v>2.0096897225616336E-3</v>
      </c>
    </row>
    <row r="188" spans="1:50" x14ac:dyDescent="0.25">
      <c r="A188" t="s">
        <v>2917</v>
      </c>
      <c r="B188" t="s">
        <v>2918</v>
      </c>
      <c r="C188" t="s">
        <v>2942</v>
      </c>
      <c r="D188" t="s">
        <v>2509</v>
      </c>
      <c r="E188" t="s">
        <v>2510</v>
      </c>
      <c r="F188" t="s">
        <v>2511</v>
      </c>
      <c r="G188" t="s">
        <v>2920</v>
      </c>
      <c r="H188" t="s">
        <v>2921</v>
      </c>
      <c r="I188">
        <v>1936670</v>
      </c>
      <c r="J188">
        <v>5755384</v>
      </c>
      <c r="K188" t="s">
        <v>3427</v>
      </c>
      <c r="L188" t="s">
        <v>3428</v>
      </c>
      <c r="M188">
        <v>74</v>
      </c>
      <c r="N188">
        <v>45568.137000000002</v>
      </c>
      <c r="O188" t="s">
        <v>170</v>
      </c>
      <c r="P188">
        <v>19</v>
      </c>
      <c r="Q188">
        <v>9</v>
      </c>
      <c r="R188">
        <v>81</v>
      </c>
      <c r="S188">
        <v>24583470</v>
      </c>
      <c r="T188">
        <v>76</v>
      </c>
      <c r="U188">
        <v>168</v>
      </c>
      <c r="V188">
        <v>45568.137853690583</v>
      </c>
      <c r="W188">
        <v>24583469.184015442</v>
      </c>
      <c r="X188">
        <v>306453.96600000001</v>
      </c>
      <c r="Y188">
        <f>VLOOKUP(AB188,'2000 Seattle Tracts'!$C$2:$Z$374,24,FALSE)</f>
        <v>1777292.192</v>
      </c>
      <c r="Z188">
        <f t="shared" si="4"/>
        <v>0.17242745305438217</v>
      </c>
      <c r="AA188" t="s">
        <v>173</v>
      </c>
      <c r="AB188" t="str">
        <f t="shared" si="5"/>
        <v>Census Tract 96, King County, Washington</v>
      </c>
      <c r="AC188" s="3">
        <f>VLOOKUP($AB188,'2000 Seattle Tracts'!$C$2:$Y$374,AC$1,FALSE)*$Z188</f>
        <v>848.17064157450591</v>
      </c>
      <c r="AD188" s="3">
        <f>VLOOKUP($AB188,'2000 Seattle Tracts'!$C$2:$Y$374,AD$1,FALSE)*$Z188</f>
        <v>768.50915826338132</v>
      </c>
      <c r="AE188" s="3">
        <f>VLOOKUP($AB188,'2000 Seattle Tracts'!$C$2:$Y$374,AE$1,FALSE)*$Z188</f>
        <v>79.66148331112457</v>
      </c>
      <c r="AF188" s="3">
        <f>VLOOKUP($AB188,'2000 Seattle Tracts'!$C$2:$Y$374,AF$1,FALSE)*$Z188</f>
        <v>848.17064157450591</v>
      </c>
      <c r="AG188" s="3">
        <f>VLOOKUP($AB188,'2000 Seattle Tracts'!$C$2:$Y$374,AG$1,FALSE)*$Z188</f>
        <v>768.50915826338132</v>
      </c>
      <c r="AH188" s="3">
        <f>VLOOKUP($AB188,'2000 Seattle Tracts'!$C$2:$Y$374,AH$1,FALSE)*$Z188</f>
        <v>79.66148331112457</v>
      </c>
      <c r="AI188" s="3">
        <f>VLOOKUP($AB188,'2000 Seattle Tracts'!$C$2:$Y$374,AI$1,FALSE)*$Z188</f>
        <v>701.60730647828109</v>
      </c>
      <c r="AJ188" s="3">
        <f>VLOOKUP($AB188,'2000 Seattle Tracts'!$C$2:$Y$374,AJ$1,FALSE)*$Z188</f>
        <v>58.452906585435557</v>
      </c>
      <c r="AK188" s="3">
        <f>VLOOKUP($AB188,'2000 Seattle Tracts'!$C$2:$Y$374,AK$1,FALSE)*$Z188</f>
        <v>13.44934133824181</v>
      </c>
      <c r="AL188" s="3">
        <f>VLOOKUP($AB188,'2000 Seattle Tracts'!$C$2:$Y$374,AL$1,FALSE)*$Z188</f>
        <v>3.4485490610876433</v>
      </c>
      <c r="AM188" s="3">
        <f>VLOOKUP($AB188,'2000 Seattle Tracts'!$C$2:$Y$374,AM$1,FALSE)*$Z188</f>
        <v>9.4835099179910198</v>
      </c>
      <c r="AN188" s="3">
        <f>VLOOKUP($AB188,'2000 Seattle Tracts'!$C$2:$Y$374,AN$1,FALSE)*$Z188</f>
        <v>0</v>
      </c>
      <c r="AO188" s="3">
        <f>VLOOKUP($AB188,'2000 Seattle Tracts'!$C$2:$Y$374,AO$1,FALSE)*$Z188</f>
        <v>5.0003961385770834</v>
      </c>
      <c r="AP188" s="3">
        <f>VLOOKUP($AB188,'2000 Seattle Tracts'!$C$2:$Y$374,AP$1,FALSE)*$Z188</f>
        <v>0</v>
      </c>
      <c r="AQ188" s="3">
        <f>VLOOKUP($AB188,'2000 Seattle Tracts'!$C$2:$Y$374,AQ$1,FALSE)*$Z188</f>
        <v>17.242745305438216</v>
      </c>
      <c r="AR188" s="3">
        <f>VLOOKUP($AB188,'2000 Seattle Tracts'!$C$2:$Y$374,AR$1,FALSE)*$Z188</f>
        <v>12.759631526024281</v>
      </c>
      <c r="AS188" s="3">
        <f>VLOOKUP($AB188,'2000 Seattle Tracts'!$C$2:$Y$374,AS$1,FALSE)*$Z188</f>
        <v>2.4139843427613505</v>
      </c>
      <c r="AT188" s="3">
        <f>VLOOKUP($AB188,'2000 Seattle Tracts'!$C$2:$Y$374,AT$1,FALSE)*$Z188</f>
        <v>0</v>
      </c>
      <c r="AU188" s="3">
        <f>VLOOKUP($AB188,'2000 Seattle Tracts'!$C$2:$Y$374,AU$1,FALSE)*$Z188</f>
        <v>3.6209765141420256</v>
      </c>
      <c r="AV188" s="3">
        <f>VLOOKUP($AB188,'2000 Seattle Tracts'!$C$2:$Y$374,AV$1,FALSE)*$Z188</f>
        <v>1.5518470774894395</v>
      </c>
      <c r="AW188" s="3">
        <f>VLOOKUP($AB188,'2000 Seattle Tracts'!$C$2:$Y$374,AW$1,FALSE)*$Z188</f>
        <v>15.690898227948777</v>
      </c>
      <c r="AX188" s="3">
        <f>VLOOKUP($AB188,'2000 Seattle Tracts'!$C$2:$Y$374,AX$1,FALSE)*$Z188</f>
        <v>3.4485490610876433</v>
      </c>
    </row>
    <row r="189" spans="1:50" x14ac:dyDescent="0.25">
      <c r="A189" t="s">
        <v>2917</v>
      </c>
      <c r="B189" t="s">
        <v>2918</v>
      </c>
      <c r="C189" t="s">
        <v>2942</v>
      </c>
      <c r="D189" t="s">
        <v>2509</v>
      </c>
      <c r="E189" t="s">
        <v>2510</v>
      </c>
      <c r="F189" t="s">
        <v>2511</v>
      </c>
      <c r="G189" t="s">
        <v>2920</v>
      </c>
      <c r="H189" t="s">
        <v>2921</v>
      </c>
      <c r="I189">
        <v>1936670</v>
      </c>
      <c r="J189">
        <v>5755384</v>
      </c>
      <c r="K189" t="s">
        <v>3427</v>
      </c>
      <c r="L189" t="s">
        <v>3428</v>
      </c>
      <c r="M189">
        <v>75</v>
      </c>
      <c r="N189">
        <v>30687.785</v>
      </c>
      <c r="O189" t="s">
        <v>170</v>
      </c>
      <c r="P189">
        <v>19</v>
      </c>
      <c r="Q189">
        <v>9</v>
      </c>
      <c r="R189">
        <v>24</v>
      </c>
      <c r="S189">
        <v>48581416</v>
      </c>
      <c r="T189">
        <v>77</v>
      </c>
      <c r="U189">
        <v>169</v>
      </c>
      <c r="V189">
        <v>30687.78447008365</v>
      </c>
      <c r="W189">
        <v>48581416.320232317</v>
      </c>
      <c r="X189">
        <v>1426450.4680000001</v>
      </c>
      <c r="Y189">
        <f>VLOOKUP(AB189,'2000 Seattle Tracts'!$C$2:$Z$374,24,FALSE)</f>
        <v>1777292.192</v>
      </c>
      <c r="Z189">
        <f t="shared" si="4"/>
        <v>0.802597611366764</v>
      </c>
      <c r="AA189" t="s">
        <v>174</v>
      </c>
      <c r="AB189" t="str">
        <f t="shared" si="5"/>
        <v>Census Tract 96, King County, Washington</v>
      </c>
      <c r="AC189" s="3">
        <f>VLOOKUP($AB189,'2000 Seattle Tracts'!$C$2:$Y$374,AC$1,FALSE)*$Z189</f>
        <v>3947.977650313112</v>
      </c>
      <c r="AD189" s="3">
        <f>VLOOKUP($AB189,'2000 Seattle Tracts'!$C$2:$Y$374,AD$1,FALSE)*$Z189</f>
        <v>3577.1775538616671</v>
      </c>
      <c r="AE189" s="3">
        <f>VLOOKUP($AB189,'2000 Seattle Tracts'!$C$2:$Y$374,AE$1,FALSE)*$Z189</f>
        <v>370.80009645144497</v>
      </c>
      <c r="AF189" s="3">
        <f>VLOOKUP($AB189,'2000 Seattle Tracts'!$C$2:$Y$374,AF$1,FALSE)*$Z189</f>
        <v>3947.977650313112</v>
      </c>
      <c r="AG189" s="3">
        <f>VLOOKUP($AB189,'2000 Seattle Tracts'!$C$2:$Y$374,AG$1,FALSE)*$Z189</f>
        <v>3577.1775538616671</v>
      </c>
      <c r="AH189" s="3">
        <f>VLOOKUP($AB189,'2000 Seattle Tracts'!$C$2:$Y$374,AH$1,FALSE)*$Z189</f>
        <v>370.80009645144497</v>
      </c>
      <c r="AI189" s="3">
        <f>VLOOKUP($AB189,'2000 Seattle Tracts'!$C$2:$Y$374,AI$1,FALSE)*$Z189</f>
        <v>3265.7696806513627</v>
      </c>
      <c r="AJ189" s="3">
        <f>VLOOKUP($AB189,'2000 Seattle Tracts'!$C$2:$Y$374,AJ$1,FALSE)*$Z189</f>
        <v>272.08059025333301</v>
      </c>
      <c r="AK189" s="3">
        <f>VLOOKUP($AB189,'2000 Seattle Tracts'!$C$2:$Y$374,AK$1,FALSE)*$Z189</f>
        <v>62.60261368660759</v>
      </c>
      <c r="AL189" s="3">
        <f>VLOOKUP($AB189,'2000 Seattle Tracts'!$C$2:$Y$374,AL$1,FALSE)*$Z189</f>
        <v>16.051952227335281</v>
      </c>
      <c r="AM189" s="3">
        <f>VLOOKUP($AB189,'2000 Seattle Tracts'!$C$2:$Y$374,AM$1,FALSE)*$Z189</f>
        <v>44.142868625172021</v>
      </c>
      <c r="AN189" s="3">
        <f>VLOOKUP($AB189,'2000 Seattle Tracts'!$C$2:$Y$374,AN$1,FALSE)*$Z189</f>
        <v>0</v>
      </c>
      <c r="AO189" s="3">
        <f>VLOOKUP($AB189,'2000 Seattle Tracts'!$C$2:$Y$374,AO$1,FALSE)*$Z189</f>
        <v>23.275330729636156</v>
      </c>
      <c r="AP189" s="3">
        <f>VLOOKUP($AB189,'2000 Seattle Tracts'!$C$2:$Y$374,AP$1,FALSE)*$Z189</f>
        <v>0</v>
      </c>
      <c r="AQ189" s="3">
        <f>VLOOKUP($AB189,'2000 Seattle Tracts'!$C$2:$Y$374,AQ$1,FALSE)*$Z189</f>
        <v>80.259761136676403</v>
      </c>
      <c r="AR189" s="3">
        <f>VLOOKUP($AB189,'2000 Seattle Tracts'!$C$2:$Y$374,AR$1,FALSE)*$Z189</f>
        <v>59.392223241140535</v>
      </c>
      <c r="AS189" s="3">
        <f>VLOOKUP($AB189,'2000 Seattle Tracts'!$C$2:$Y$374,AS$1,FALSE)*$Z189</f>
        <v>11.236366559134696</v>
      </c>
      <c r="AT189" s="3">
        <f>VLOOKUP($AB189,'2000 Seattle Tracts'!$C$2:$Y$374,AT$1,FALSE)*$Z189</f>
        <v>0</v>
      </c>
      <c r="AU189" s="3">
        <f>VLOOKUP($AB189,'2000 Seattle Tracts'!$C$2:$Y$374,AU$1,FALSE)*$Z189</f>
        <v>16.854549838702045</v>
      </c>
      <c r="AV189" s="3">
        <f>VLOOKUP($AB189,'2000 Seattle Tracts'!$C$2:$Y$374,AV$1,FALSE)*$Z189</f>
        <v>7.2233785023008759</v>
      </c>
      <c r="AW189" s="3">
        <f>VLOOKUP($AB189,'2000 Seattle Tracts'!$C$2:$Y$374,AW$1,FALSE)*$Z189</f>
        <v>73.036382634375528</v>
      </c>
      <c r="AX189" s="3">
        <f>VLOOKUP($AB189,'2000 Seattle Tracts'!$C$2:$Y$374,AX$1,FALSE)*$Z189</f>
        <v>16.051952227335281</v>
      </c>
    </row>
    <row r="190" spans="1:50" x14ac:dyDescent="0.25">
      <c r="A190" t="s">
        <v>2917</v>
      </c>
      <c r="B190" t="s">
        <v>2918</v>
      </c>
      <c r="C190" t="s">
        <v>2942</v>
      </c>
      <c r="D190" t="s">
        <v>2509</v>
      </c>
      <c r="E190" t="s">
        <v>2510</v>
      </c>
      <c r="F190" t="s">
        <v>2511</v>
      </c>
      <c r="G190" t="s">
        <v>2920</v>
      </c>
      <c r="H190" t="s">
        <v>2921</v>
      </c>
      <c r="I190">
        <v>1936670</v>
      </c>
      <c r="J190">
        <v>5755384</v>
      </c>
      <c r="K190" t="s">
        <v>3427</v>
      </c>
      <c r="L190" t="s">
        <v>3428</v>
      </c>
      <c r="M190">
        <v>107</v>
      </c>
      <c r="N190">
        <v>58047.309000000001</v>
      </c>
      <c r="O190" t="s">
        <v>122</v>
      </c>
      <c r="P190">
        <v>18</v>
      </c>
      <c r="Q190">
        <v>12</v>
      </c>
      <c r="R190">
        <v>95</v>
      </c>
      <c r="S190">
        <v>24681990</v>
      </c>
      <c r="T190">
        <v>109</v>
      </c>
      <c r="U190">
        <v>198</v>
      </c>
      <c r="V190">
        <v>58047.307413870847</v>
      </c>
      <c r="W190">
        <v>24681989.600617379</v>
      </c>
      <c r="X190">
        <v>43824.196000000004</v>
      </c>
      <c r="Y190">
        <f>VLOOKUP(AB190,'2000 Seattle Tracts'!$C$2:$Z$374,24,FALSE)</f>
        <v>1777292.192</v>
      </c>
      <c r="Z190">
        <f t="shared" si="4"/>
        <v>2.4657845343192732E-2</v>
      </c>
      <c r="AA190" t="s">
        <v>165</v>
      </c>
      <c r="AB190" t="str">
        <f t="shared" si="5"/>
        <v>Census Tract 96, King County, Washington</v>
      </c>
      <c r="AC190" s="3">
        <f>VLOOKUP($AB190,'2000 Seattle Tracts'!$C$2:$Y$374,AC$1,FALSE)*$Z190</f>
        <v>121.29194124316506</v>
      </c>
      <c r="AD190" s="3">
        <f>VLOOKUP($AB190,'2000 Seattle Tracts'!$C$2:$Y$374,AD$1,FALSE)*$Z190</f>
        <v>109.90001669461</v>
      </c>
      <c r="AE190" s="3">
        <f>VLOOKUP($AB190,'2000 Seattle Tracts'!$C$2:$Y$374,AE$1,FALSE)*$Z190</f>
        <v>11.391924548555043</v>
      </c>
      <c r="AF190" s="3">
        <f>VLOOKUP($AB190,'2000 Seattle Tracts'!$C$2:$Y$374,AF$1,FALSE)*$Z190</f>
        <v>121.29194124316506</v>
      </c>
      <c r="AG190" s="3">
        <f>VLOOKUP($AB190,'2000 Seattle Tracts'!$C$2:$Y$374,AG$1,FALSE)*$Z190</f>
        <v>109.90001669461</v>
      </c>
      <c r="AH190" s="3">
        <f>VLOOKUP($AB190,'2000 Seattle Tracts'!$C$2:$Y$374,AH$1,FALSE)*$Z190</f>
        <v>11.391924548555043</v>
      </c>
      <c r="AI190" s="3">
        <f>VLOOKUP($AB190,'2000 Seattle Tracts'!$C$2:$Y$374,AI$1,FALSE)*$Z190</f>
        <v>100.33277270145123</v>
      </c>
      <c r="AJ190" s="3">
        <f>VLOOKUP($AB190,'2000 Seattle Tracts'!$C$2:$Y$374,AJ$1,FALSE)*$Z190</f>
        <v>8.3590095713423356</v>
      </c>
      <c r="AK190" s="3">
        <f>VLOOKUP($AB190,'2000 Seattle Tracts'!$C$2:$Y$374,AK$1,FALSE)*$Z190</f>
        <v>1.9233119367690332</v>
      </c>
      <c r="AL190" s="3">
        <f>VLOOKUP($AB190,'2000 Seattle Tracts'!$C$2:$Y$374,AL$1,FALSE)*$Z190</f>
        <v>0.49315690686385466</v>
      </c>
      <c r="AM190" s="3">
        <f>VLOOKUP($AB190,'2000 Seattle Tracts'!$C$2:$Y$374,AM$1,FALSE)*$Z190</f>
        <v>1.3561814938756003</v>
      </c>
      <c r="AN190" s="3">
        <f>VLOOKUP($AB190,'2000 Seattle Tracts'!$C$2:$Y$374,AN$1,FALSE)*$Z190</f>
        <v>0</v>
      </c>
      <c r="AO190" s="3">
        <f>VLOOKUP($AB190,'2000 Seattle Tracts'!$C$2:$Y$374,AO$1,FALSE)*$Z190</f>
        <v>0.7150775149525892</v>
      </c>
      <c r="AP190" s="3">
        <f>VLOOKUP($AB190,'2000 Seattle Tracts'!$C$2:$Y$374,AP$1,FALSE)*$Z190</f>
        <v>0</v>
      </c>
      <c r="AQ190" s="3">
        <f>VLOOKUP($AB190,'2000 Seattle Tracts'!$C$2:$Y$374,AQ$1,FALSE)*$Z190</f>
        <v>2.465784534319273</v>
      </c>
      <c r="AR190" s="3">
        <f>VLOOKUP($AB190,'2000 Seattle Tracts'!$C$2:$Y$374,AR$1,FALSE)*$Z190</f>
        <v>1.8246805553962622</v>
      </c>
      <c r="AS190" s="3">
        <f>VLOOKUP($AB190,'2000 Seattle Tracts'!$C$2:$Y$374,AS$1,FALSE)*$Z190</f>
        <v>0.34520983480469825</v>
      </c>
      <c r="AT190" s="3">
        <f>VLOOKUP($AB190,'2000 Seattle Tracts'!$C$2:$Y$374,AT$1,FALSE)*$Z190</f>
        <v>0</v>
      </c>
      <c r="AU190" s="3">
        <f>VLOOKUP($AB190,'2000 Seattle Tracts'!$C$2:$Y$374,AU$1,FALSE)*$Z190</f>
        <v>0.51781475220704742</v>
      </c>
      <c r="AV190" s="3">
        <f>VLOOKUP($AB190,'2000 Seattle Tracts'!$C$2:$Y$374,AV$1,FALSE)*$Z190</f>
        <v>0.22192060808873459</v>
      </c>
      <c r="AW190" s="3">
        <f>VLOOKUP($AB190,'2000 Seattle Tracts'!$C$2:$Y$374,AW$1,FALSE)*$Z190</f>
        <v>2.2438639262305387</v>
      </c>
      <c r="AX190" s="3">
        <f>VLOOKUP($AB190,'2000 Seattle Tracts'!$C$2:$Y$374,AX$1,FALSE)*$Z190</f>
        <v>0.49315690686385466</v>
      </c>
    </row>
    <row r="191" spans="1:50" x14ac:dyDescent="0.25">
      <c r="A191" t="s">
        <v>2917</v>
      </c>
      <c r="B191" t="s">
        <v>2918</v>
      </c>
      <c r="C191" t="s">
        <v>3314</v>
      </c>
      <c r="D191" t="s">
        <v>2512</v>
      </c>
      <c r="E191" t="s">
        <v>2513</v>
      </c>
      <c r="F191" t="s">
        <v>2514</v>
      </c>
      <c r="G191" t="s">
        <v>2920</v>
      </c>
      <c r="H191" t="s">
        <v>2921</v>
      </c>
      <c r="I191">
        <v>2596039</v>
      </c>
      <c r="J191">
        <v>2909196</v>
      </c>
      <c r="K191" t="s">
        <v>3315</v>
      </c>
      <c r="L191" t="s">
        <v>3316</v>
      </c>
      <c r="M191">
        <v>56</v>
      </c>
      <c r="N191">
        <v>20413.057000000001</v>
      </c>
      <c r="O191" t="s">
        <v>149</v>
      </c>
      <c r="P191">
        <v>14</v>
      </c>
      <c r="Q191">
        <v>8</v>
      </c>
      <c r="R191">
        <v>19</v>
      </c>
      <c r="S191">
        <v>18091742</v>
      </c>
      <c r="T191">
        <v>58</v>
      </c>
      <c r="U191">
        <v>161</v>
      </c>
      <c r="V191">
        <v>20413.056051688221</v>
      </c>
      <c r="W191">
        <v>18091741.376667041</v>
      </c>
      <c r="X191">
        <v>52978.476999999999</v>
      </c>
      <c r="Y191">
        <f>VLOOKUP(AB191,'2000 Seattle Tracts'!$C$2:$Z$374,24,FALSE)</f>
        <v>2523815.2829999998</v>
      </c>
      <c r="Z191">
        <f t="shared" si="4"/>
        <v>2.0991424117626282E-2</v>
      </c>
      <c r="AA191" t="s">
        <v>152</v>
      </c>
      <c r="AB191" t="str">
        <f t="shared" si="5"/>
        <v>Census Tract 95, King County, Washington</v>
      </c>
      <c r="AC191" s="3">
        <f>VLOOKUP($AB191,'2000 Seattle Tracts'!$C$2:$Y$374,AC$1,FALSE)*$Z191</f>
        <v>120.00797168046945</v>
      </c>
      <c r="AD191" s="3">
        <f>VLOOKUP($AB191,'2000 Seattle Tracts'!$C$2:$Y$374,AD$1,FALSE)*$Z191</f>
        <v>99.730255982842465</v>
      </c>
      <c r="AE191" s="3">
        <f>VLOOKUP($AB191,'2000 Seattle Tracts'!$C$2:$Y$374,AE$1,FALSE)*$Z191</f>
        <v>20.277715697626988</v>
      </c>
      <c r="AF191" s="3">
        <f>VLOOKUP($AB191,'2000 Seattle Tracts'!$C$2:$Y$374,AF$1,FALSE)*$Z191</f>
        <v>120.00797168046945</v>
      </c>
      <c r="AG191" s="3">
        <f>VLOOKUP($AB191,'2000 Seattle Tracts'!$C$2:$Y$374,AG$1,FALSE)*$Z191</f>
        <v>99.730255982842465</v>
      </c>
      <c r="AH191" s="3">
        <f>VLOOKUP($AB191,'2000 Seattle Tracts'!$C$2:$Y$374,AH$1,FALSE)*$Z191</f>
        <v>20.277715697626988</v>
      </c>
      <c r="AI191" s="3">
        <f>VLOOKUP($AB191,'2000 Seattle Tracts'!$C$2:$Y$374,AI$1,FALSE)*$Z191</f>
        <v>58.817970377588843</v>
      </c>
      <c r="AJ191" s="3">
        <f>VLOOKUP($AB191,'2000 Seattle Tracts'!$C$2:$Y$374,AJ$1,FALSE)*$Z191</f>
        <v>2.9597908005853055</v>
      </c>
      <c r="AK191" s="3">
        <f>VLOOKUP($AB191,'2000 Seattle Tracts'!$C$2:$Y$374,AK$1,FALSE)*$Z191</f>
        <v>0.77668269235217247</v>
      </c>
      <c r="AL191" s="3">
        <f>VLOOKUP($AB191,'2000 Seattle Tracts'!$C$2:$Y$374,AL$1,FALSE)*$Z191</f>
        <v>0.98659693352843525</v>
      </c>
      <c r="AM191" s="3">
        <f>VLOOKUP($AB191,'2000 Seattle Tracts'!$C$2:$Y$374,AM$1,FALSE)*$Z191</f>
        <v>27.456782745855175</v>
      </c>
      <c r="AN191" s="3">
        <f>VLOOKUP($AB191,'2000 Seattle Tracts'!$C$2:$Y$374,AN$1,FALSE)*$Z191</f>
        <v>0.8816398129403038</v>
      </c>
      <c r="AO191" s="3">
        <f>VLOOKUP($AB191,'2000 Seattle Tracts'!$C$2:$Y$374,AO$1,FALSE)*$Z191</f>
        <v>1.5323739605867186</v>
      </c>
      <c r="AP191" s="3">
        <f>VLOOKUP($AB191,'2000 Seattle Tracts'!$C$2:$Y$374,AP$1,FALSE)*$Z191</f>
        <v>0</v>
      </c>
      <c r="AQ191" s="3">
        <f>VLOOKUP($AB191,'2000 Seattle Tracts'!$C$2:$Y$374,AQ$1,FALSE)*$Z191</f>
        <v>6.2554443870526324</v>
      </c>
      <c r="AR191" s="3">
        <f>VLOOKUP($AB191,'2000 Seattle Tracts'!$C$2:$Y$374,AR$1,FALSE)*$Z191</f>
        <v>14.840936851161782</v>
      </c>
      <c r="AS191" s="3">
        <f>VLOOKUP($AB191,'2000 Seattle Tracts'!$C$2:$Y$374,AS$1,FALSE)*$Z191</f>
        <v>0</v>
      </c>
      <c r="AT191" s="3">
        <f>VLOOKUP($AB191,'2000 Seattle Tracts'!$C$2:$Y$374,AT$1,FALSE)*$Z191</f>
        <v>0</v>
      </c>
      <c r="AU191" s="3">
        <f>VLOOKUP($AB191,'2000 Seattle Tracts'!$C$2:$Y$374,AU$1,FALSE)*$Z191</f>
        <v>0.52478560294065701</v>
      </c>
      <c r="AV191" s="3">
        <f>VLOOKUP($AB191,'2000 Seattle Tracts'!$C$2:$Y$374,AV$1,FALSE)*$Z191</f>
        <v>0</v>
      </c>
      <c r="AW191" s="3">
        <f>VLOOKUP($AB191,'2000 Seattle Tracts'!$C$2:$Y$374,AW$1,FALSE)*$Z191</f>
        <v>4.3662162164662668</v>
      </c>
      <c r="AX191" s="3">
        <f>VLOOKUP($AB191,'2000 Seattle Tracts'!$C$2:$Y$374,AX$1,FALSE)*$Z191</f>
        <v>0.60875129941116213</v>
      </c>
    </row>
    <row r="192" spans="1:50" x14ac:dyDescent="0.25">
      <c r="A192" t="s">
        <v>2917</v>
      </c>
      <c r="B192" t="s">
        <v>2918</v>
      </c>
      <c r="C192" t="s">
        <v>3314</v>
      </c>
      <c r="D192" t="s">
        <v>2512</v>
      </c>
      <c r="E192" t="s">
        <v>2513</v>
      </c>
      <c r="F192" t="s">
        <v>2514</v>
      </c>
      <c r="G192" t="s">
        <v>2920</v>
      </c>
      <c r="H192" t="s">
        <v>2921</v>
      </c>
      <c r="I192">
        <v>2596039</v>
      </c>
      <c r="J192">
        <v>2909196</v>
      </c>
      <c r="K192" t="s">
        <v>3315</v>
      </c>
      <c r="L192" t="s">
        <v>3316</v>
      </c>
      <c r="M192">
        <v>58</v>
      </c>
      <c r="N192">
        <v>25426.23</v>
      </c>
      <c r="O192" t="s">
        <v>149</v>
      </c>
      <c r="P192">
        <v>14</v>
      </c>
      <c r="Q192">
        <v>8</v>
      </c>
      <c r="R192">
        <v>24</v>
      </c>
      <c r="S192">
        <v>20664986</v>
      </c>
      <c r="T192">
        <v>60</v>
      </c>
      <c r="U192">
        <v>165</v>
      </c>
      <c r="V192">
        <v>25426.231162667511</v>
      </c>
      <c r="W192">
        <v>20664986.272921581</v>
      </c>
      <c r="X192">
        <v>487528.83</v>
      </c>
      <c r="Y192">
        <f>VLOOKUP(AB192,'2000 Seattle Tracts'!$C$2:$Z$374,24,FALSE)</f>
        <v>2523815.2829999998</v>
      </c>
      <c r="Z192">
        <f t="shared" si="4"/>
        <v>0.19317135975992902</v>
      </c>
      <c r="AA192" t="s">
        <v>154</v>
      </c>
      <c r="AB192" t="str">
        <f t="shared" si="5"/>
        <v>Census Tract 95, King County, Washington</v>
      </c>
      <c r="AC192" s="3">
        <f>VLOOKUP($AB192,'2000 Seattle Tracts'!$C$2:$Y$374,AC$1,FALSE)*$Z192</f>
        <v>1104.3606637475143</v>
      </c>
      <c r="AD192" s="3">
        <f>VLOOKUP($AB192,'2000 Seattle Tracts'!$C$2:$Y$374,AD$1,FALSE)*$Z192</f>
        <v>917.75713021942283</v>
      </c>
      <c r="AE192" s="3">
        <f>VLOOKUP($AB192,'2000 Seattle Tracts'!$C$2:$Y$374,AE$1,FALSE)*$Z192</f>
        <v>186.60353352809145</v>
      </c>
      <c r="AF192" s="3">
        <f>VLOOKUP($AB192,'2000 Seattle Tracts'!$C$2:$Y$374,AF$1,FALSE)*$Z192</f>
        <v>1104.3606637475143</v>
      </c>
      <c r="AG192" s="3">
        <f>VLOOKUP($AB192,'2000 Seattle Tracts'!$C$2:$Y$374,AG$1,FALSE)*$Z192</f>
        <v>917.75713021942283</v>
      </c>
      <c r="AH192" s="3">
        <f>VLOOKUP($AB192,'2000 Seattle Tracts'!$C$2:$Y$374,AH$1,FALSE)*$Z192</f>
        <v>186.60353352809145</v>
      </c>
      <c r="AI192" s="3">
        <f>VLOOKUP($AB192,'2000 Seattle Tracts'!$C$2:$Y$374,AI$1,FALSE)*$Z192</f>
        <v>541.26615004732116</v>
      </c>
      <c r="AJ192" s="3">
        <f>VLOOKUP($AB192,'2000 Seattle Tracts'!$C$2:$Y$374,AJ$1,FALSE)*$Z192</f>
        <v>27.237161726149992</v>
      </c>
      <c r="AK192" s="3">
        <f>VLOOKUP($AB192,'2000 Seattle Tracts'!$C$2:$Y$374,AK$1,FALSE)*$Z192</f>
        <v>7.1473403111173734</v>
      </c>
      <c r="AL192" s="3">
        <f>VLOOKUP($AB192,'2000 Seattle Tracts'!$C$2:$Y$374,AL$1,FALSE)*$Z192</f>
        <v>9.0790539087166646</v>
      </c>
      <c r="AM192" s="3">
        <f>VLOOKUP($AB192,'2000 Seattle Tracts'!$C$2:$Y$374,AM$1,FALSE)*$Z192</f>
        <v>252.66813856598716</v>
      </c>
      <c r="AN192" s="3">
        <f>VLOOKUP($AB192,'2000 Seattle Tracts'!$C$2:$Y$374,AN$1,FALSE)*$Z192</f>
        <v>8.113197109917019</v>
      </c>
      <c r="AO192" s="3">
        <f>VLOOKUP($AB192,'2000 Seattle Tracts'!$C$2:$Y$374,AO$1,FALSE)*$Z192</f>
        <v>14.101509262474819</v>
      </c>
      <c r="AP192" s="3">
        <f>VLOOKUP($AB192,'2000 Seattle Tracts'!$C$2:$Y$374,AP$1,FALSE)*$Z192</f>
        <v>0</v>
      </c>
      <c r="AQ192" s="3">
        <f>VLOOKUP($AB192,'2000 Seattle Tracts'!$C$2:$Y$374,AQ$1,FALSE)*$Z192</f>
        <v>57.565065208458847</v>
      </c>
      <c r="AR192" s="3">
        <f>VLOOKUP($AB192,'2000 Seattle Tracts'!$C$2:$Y$374,AR$1,FALSE)*$Z192</f>
        <v>136.57215135026982</v>
      </c>
      <c r="AS192" s="3">
        <f>VLOOKUP($AB192,'2000 Seattle Tracts'!$C$2:$Y$374,AS$1,FALSE)*$Z192</f>
        <v>0</v>
      </c>
      <c r="AT192" s="3">
        <f>VLOOKUP($AB192,'2000 Seattle Tracts'!$C$2:$Y$374,AT$1,FALSE)*$Z192</f>
        <v>0</v>
      </c>
      <c r="AU192" s="3">
        <f>VLOOKUP($AB192,'2000 Seattle Tracts'!$C$2:$Y$374,AU$1,FALSE)*$Z192</f>
        <v>4.8292839939982253</v>
      </c>
      <c r="AV192" s="3">
        <f>VLOOKUP($AB192,'2000 Seattle Tracts'!$C$2:$Y$374,AV$1,FALSE)*$Z192</f>
        <v>0</v>
      </c>
      <c r="AW192" s="3">
        <f>VLOOKUP($AB192,'2000 Seattle Tracts'!$C$2:$Y$374,AW$1,FALSE)*$Z192</f>
        <v>40.179642830065234</v>
      </c>
      <c r="AX192" s="3">
        <f>VLOOKUP($AB192,'2000 Seattle Tracts'!$C$2:$Y$374,AX$1,FALSE)*$Z192</f>
        <v>5.6019694330379419</v>
      </c>
    </row>
    <row r="193" spans="1:50" x14ac:dyDescent="0.25">
      <c r="A193" t="s">
        <v>2917</v>
      </c>
      <c r="B193" t="s">
        <v>2918</v>
      </c>
      <c r="C193" t="s">
        <v>3314</v>
      </c>
      <c r="D193" t="s">
        <v>2512</v>
      </c>
      <c r="E193" t="s">
        <v>2513</v>
      </c>
      <c r="F193" t="s">
        <v>2514</v>
      </c>
      <c r="G193" t="s">
        <v>2920</v>
      </c>
      <c r="H193" t="s">
        <v>2921</v>
      </c>
      <c r="I193">
        <v>2596039</v>
      </c>
      <c r="J193">
        <v>2909196</v>
      </c>
      <c r="K193" t="s">
        <v>3315</v>
      </c>
      <c r="L193" t="s">
        <v>3316</v>
      </c>
      <c r="M193">
        <v>79</v>
      </c>
      <c r="N193">
        <v>33865.487999999998</v>
      </c>
      <c r="O193" t="s">
        <v>179</v>
      </c>
      <c r="P193">
        <v>17</v>
      </c>
      <c r="Q193">
        <v>5</v>
      </c>
      <c r="R193">
        <v>9</v>
      </c>
      <c r="S193">
        <v>48475916</v>
      </c>
      <c r="T193">
        <v>81</v>
      </c>
      <c r="U193">
        <v>166</v>
      </c>
      <c r="V193">
        <v>33865.489173990143</v>
      </c>
      <c r="W193">
        <v>48475914.455668777</v>
      </c>
      <c r="X193">
        <v>456.24400000000003</v>
      </c>
      <c r="Y193">
        <f>VLOOKUP(AB193,'2000 Seattle Tracts'!$C$2:$Z$374,24,FALSE)</f>
        <v>2523815.2829999998</v>
      </c>
      <c r="Z193">
        <f t="shared" si="4"/>
        <v>1.8077551200881609E-4</v>
      </c>
      <c r="AA193" t="s">
        <v>178</v>
      </c>
      <c r="AB193" t="str">
        <f t="shared" si="5"/>
        <v>Census Tract 95, King County, Washington</v>
      </c>
      <c r="AC193" s="3">
        <f>VLOOKUP($AB193,'2000 Seattle Tracts'!$C$2:$Y$374,AC$1,FALSE)*$Z193</f>
        <v>1.0334936021544017</v>
      </c>
      <c r="AD193" s="3">
        <f>VLOOKUP($AB193,'2000 Seattle Tracts'!$C$2:$Y$374,AD$1,FALSE)*$Z193</f>
        <v>0.85886445755388519</v>
      </c>
      <c r="AE193" s="3">
        <f>VLOOKUP($AB193,'2000 Seattle Tracts'!$C$2:$Y$374,AE$1,FALSE)*$Z193</f>
        <v>0.17462914460051635</v>
      </c>
      <c r="AF193" s="3">
        <f>VLOOKUP($AB193,'2000 Seattle Tracts'!$C$2:$Y$374,AF$1,FALSE)*$Z193</f>
        <v>1.0334936021544017</v>
      </c>
      <c r="AG193" s="3">
        <f>VLOOKUP($AB193,'2000 Seattle Tracts'!$C$2:$Y$374,AG$1,FALSE)*$Z193</f>
        <v>0.85886445755388519</v>
      </c>
      <c r="AH193" s="3">
        <f>VLOOKUP($AB193,'2000 Seattle Tracts'!$C$2:$Y$374,AH$1,FALSE)*$Z193</f>
        <v>0.17462914460051635</v>
      </c>
      <c r="AI193" s="3">
        <f>VLOOKUP($AB193,'2000 Seattle Tracts'!$C$2:$Y$374,AI$1,FALSE)*$Z193</f>
        <v>0.50653298464870267</v>
      </c>
      <c r="AJ193" s="3">
        <f>VLOOKUP($AB193,'2000 Seattle Tracts'!$C$2:$Y$374,AJ$1,FALSE)*$Z193</f>
        <v>2.5489347193243066E-2</v>
      </c>
      <c r="AK193" s="3">
        <f>VLOOKUP($AB193,'2000 Seattle Tracts'!$C$2:$Y$374,AK$1,FALSE)*$Z193</f>
        <v>6.6886939443261953E-3</v>
      </c>
      <c r="AL193" s="3">
        <f>VLOOKUP($AB193,'2000 Seattle Tracts'!$C$2:$Y$374,AL$1,FALSE)*$Z193</f>
        <v>8.4964490644143555E-3</v>
      </c>
      <c r="AM193" s="3">
        <f>VLOOKUP($AB193,'2000 Seattle Tracts'!$C$2:$Y$374,AM$1,FALSE)*$Z193</f>
        <v>0.23645436970753145</v>
      </c>
      <c r="AN193" s="3">
        <f>VLOOKUP($AB193,'2000 Seattle Tracts'!$C$2:$Y$374,AN$1,FALSE)*$Z193</f>
        <v>7.5925715043702758E-3</v>
      </c>
      <c r="AO193" s="3">
        <f>VLOOKUP($AB193,'2000 Seattle Tracts'!$C$2:$Y$374,AO$1,FALSE)*$Z193</f>
        <v>1.3196612376643574E-2</v>
      </c>
      <c r="AP193" s="3">
        <f>VLOOKUP($AB193,'2000 Seattle Tracts'!$C$2:$Y$374,AP$1,FALSE)*$Z193</f>
        <v>0</v>
      </c>
      <c r="AQ193" s="3">
        <f>VLOOKUP($AB193,'2000 Seattle Tracts'!$C$2:$Y$374,AQ$1,FALSE)*$Z193</f>
        <v>5.3871102578627192E-2</v>
      </c>
      <c r="AR193" s="3">
        <f>VLOOKUP($AB193,'2000 Seattle Tracts'!$C$2:$Y$374,AR$1,FALSE)*$Z193</f>
        <v>0.12780828699023297</v>
      </c>
      <c r="AS193" s="3">
        <f>VLOOKUP($AB193,'2000 Seattle Tracts'!$C$2:$Y$374,AS$1,FALSE)*$Z193</f>
        <v>0</v>
      </c>
      <c r="AT193" s="3">
        <f>VLOOKUP($AB193,'2000 Seattle Tracts'!$C$2:$Y$374,AT$1,FALSE)*$Z193</f>
        <v>0</v>
      </c>
      <c r="AU193" s="3">
        <f>VLOOKUP($AB193,'2000 Seattle Tracts'!$C$2:$Y$374,AU$1,FALSE)*$Z193</f>
        <v>4.5193878002204018E-3</v>
      </c>
      <c r="AV193" s="3">
        <f>VLOOKUP($AB193,'2000 Seattle Tracts'!$C$2:$Y$374,AV$1,FALSE)*$Z193</f>
        <v>0</v>
      </c>
      <c r="AW193" s="3">
        <f>VLOOKUP($AB193,'2000 Seattle Tracts'!$C$2:$Y$374,AW$1,FALSE)*$Z193</f>
        <v>3.7601306497833747E-2</v>
      </c>
      <c r="AX193" s="3">
        <f>VLOOKUP($AB193,'2000 Seattle Tracts'!$C$2:$Y$374,AX$1,FALSE)*$Z193</f>
        <v>5.2424898482556666E-3</v>
      </c>
    </row>
    <row r="194" spans="1:50" x14ac:dyDescent="0.25">
      <c r="A194" t="s">
        <v>2917</v>
      </c>
      <c r="B194" t="s">
        <v>2918</v>
      </c>
      <c r="C194" t="s">
        <v>3314</v>
      </c>
      <c r="D194" t="s">
        <v>2512</v>
      </c>
      <c r="E194" t="s">
        <v>2513</v>
      </c>
      <c r="F194" t="s">
        <v>2514</v>
      </c>
      <c r="G194" t="s">
        <v>2920</v>
      </c>
      <c r="H194" t="s">
        <v>2921</v>
      </c>
      <c r="I194">
        <v>2596039</v>
      </c>
      <c r="J194">
        <v>2909196</v>
      </c>
      <c r="K194" t="s">
        <v>3315</v>
      </c>
      <c r="L194" t="s">
        <v>3316</v>
      </c>
      <c r="M194">
        <v>87</v>
      </c>
      <c r="N194">
        <v>26318.982</v>
      </c>
      <c r="O194" t="s">
        <v>184</v>
      </c>
      <c r="P194">
        <v>15</v>
      </c>
      <c r="Q194">
        <v>4</v>
      </c>
      <c r="R194">
        <v>23</v>
      </c>
      <c r="S194">
        <v>28986996</v>
      </c>
      <c r="T194">
        <v>89</v>
      </c>
      <c r="U194">
        <v>170</v>
      </c>
      <c r="V194">
        <v>26318.98190548713</v>
      </c>
      <c r="W194">
        <v>28986995.234481908</v>
      </c>
      <c r="X194">
        <v>1909310.8160000001</v>
      </c>
      <c r="Y194">
        <f>VLOOKUP(AB194,'2000 Seattle Tracts'!$C$2:$Z$374,24,FALSE)</f>
        <v>2523815.2829999998</v>
      </c>
      <c r="Z194">
        <f t="shared" si="4"/>
        <v>0.75651765359406464</v>
      </c>
      <c r="AA194" t="s">
        <v>188</v>
      </c>
      <c r="AB194" t="str">
        <f t="shared" si="5"/>
        <v>Census Tract 95, King County, Washington</v>
      </c>
      <c r="AC194" s="3">
        <f>VLOOKUP($AB194,'2000 Seattle Tracts'!$C$2:$Y$374,AC$1,FALSE)*$Z194</f>
        <v>4325.0114255972676</v>
      </c>
      <c r="AD194" s="3">
        <f>VLOOKUP($AB194,'2000 Seattle Tracts'!$C$2:$Y$374,AD$1,FALSE)*$Z194</f>
        <v>3594.2153722254011</v>
      </c>
      <c r="AE194" s="3">
        <f>VLOOKUP($AB194,'2000 Seattle Tracts'!$C$2:$Y$374,AE$1,FALSE)*$Z194</f>
        <v>730.79605337186649</v>
      </c>
      <c r="AF194" s="3">
        <f>VLOOKUP($AB194,'2000 Seattle Tracts'!$C$2:$Y$374,AF$1,FALSE)*$Z194</f>
        <v>4325.0114255972676</v>
      </c>
      <c r="AG194" s="3">
        <f>VLOOKUP($AB194,'2000 Seattle Tracts'!$C$2:$Y$374,AG$1,FALSE)*$Z194</f>
        <v>3594.2153722254011</v>
      </c>
      <c r="AH194" s="3">
        <f>VLOOKUP($AB194,'2000 Seattle Tracts'!$C$2:$Y$374,AH$1,FALSE)*$Z194</f>
        <v>730.79605337186649</v>
      </c>
      <c r="AI194" s="3">
        <f>VLOOKUP($AB194,'2000 Seattle Tracts'!$C$2:$Y$374,AI$1,FALSE)*$Z194</f>
        <v>2119.7624653705693</v>
      </c>
      <c r="AJ194" s="3">
        <f>VLOOKUP($AB194,'2000 Seattle Tracts'!$C$2:$Y$374,AJ$1,FALSE)*$Z194</f>
        <v>106.66898915676312</v>
      </c>
      <c r="AK194" s="3">
        <f>VLOOKUP($AB194,'2000 Seattle Tracts'!$C$2:$Y$374,AK$1,FALSE)*$Z194</f>
        <v>27.991153182980391</v>
      </c>
      <c r="AL194" s="3">
        <f>VLOOKUP($AB194,'2000 Seattle Tracts'!$C$2:$Y$374,AL$1,FALSE)*$Z194</f>
        <v>35.556329718921042</v>
      </c>
      <c r="AM194" s="3">
        <f>VLOOKUP($AB194,'2000 Seattle Tracts'!$C$2:$Y$374,AM$1,FALSE)*$Z194</f>
        <v>989.52509090103661</v>
      </c>
      <c r="AN194" s="3">
        <f>VLOOKUP($AB194,'2000 Seattle Tracts'!$C$2:$Y$374,AN$1,FALSE)*$Z194</f>
        <v>31.773741450950716</v>
      </c>
      <c r="AO194" s="3">
        <f>VLOOKUP($AB194,'2000 Seattle Tracts'!$C$2:$Y$374,AO$1,FALSE)*$Z194</f>
        <v>55.225788712366722</v>
      </c>
      <c r="AP194" s="3">
        <f>VLOOKUP($AB194,'2000 Seattle Tracts'!$C$2:$Y$374,AP$1,FALSE)*$Z194</f>
        <v>0</v>
      </c>
      <c r="AQ194" s="3">
        <f>VLOOKUP($AB194,'2000 Seattle Tracts'!$C$2:$Y$374,AQ$1,FALSE)*$Z194</f>
        <v>225.44226077103127</v>
      </c>
      <c r="AR194" s="3">
        <f>VLOOKUP($AB194,'2000 Seattle Tracts'!$C$2:$Y$374,AR$1,FALSE)*$Z194</f>
        <v>534.85798109100369</v>
      </c>
      <c r="AS194" s="3">
        <f>VLOOKUP($AB194,'2000 Seattle Tracts'!$C$2:$Y$374,AS$1,FALSE)*$Z194</f>
        <v>0</v>
      </c>
      <c r="AT194" s="3">
        <f>VLOOKUP($AB194,'2000 Seattle Tracts'!$C$2:$Y$374,AT$1,FALSE)*$Z194</f>
        <v>0</v>
      </c>
      <c r="AU194" s="3">
        <f>VLOOKUP($AB194,'2000 Seattle Tracts'!$C$2:$Y$374,AU$1,FALSE)*$Z194</f>
        <v>18.912941339851617</v>
      </c>
      <c r="AV194" s="3">
        <f>VLOOKUP($AB194,'2000 Seattle Tracts'!$C$2:$Y$374,AV$1,FALSE)*$Z194</f>
        <v>0</v>
      </c>
      <c r="AW194" s="3">
        <f>VLOOKUP($AB194,'2000 Seattle Tracts'!$C$2:$Y$374,AW$1,FALSE)*$Z194</f>
        <v>157.35567194756544</v>
      </c>
      <c r="AX194" s="3">
        <f>VLOOKUP($AB194,'2000 Seattle Tracts'!$C$2:$Y$374,AX$1,FALSE)*$Z194</f>
        <v>21.939011954227876</v>
      </c>
    </row>
    <row r="195" spans="1:50" x14ac:dyDescent="0.25">
      <c r="A195" t="s">
        <v>2917</v>
      </c>
      <c r="B195" t="s">
        <v>2918</v>
      </c>
      <c r="C195" t="s">
        <v>3314</v>
      </c>
      <c r="D195" t="s">
        <v>2512</v>
      </c>
      <c r="E195" t="s">
        <v>2513</v>
      </c>
      <c r="F195" t="s">
        <v>2514</v>
      </c>
      <c r="G195" t="s">
        <v>2920</v>
      </c>
      <c r="H195" t="s">
        <v>2921</v>
      </c>
      <c r="I195">
        <v>2596039</v>
      </c>
      <c r="J195">
        <v>2909196</v>
      </c>
      <c r="K195" t="s">
        <v>3315</v>
      </c>
      <c r="L195" t="s">
        <v>3316</v>
      </c>
      <c r="M195">
        <v>88</v>
      </c>
      <c r="N195">
        <v>35177.063000000002</v>
      </c>
      <c r="O195" t="s">
        <v>184</v>
      </c>
      <c r="P195">
        <v>15</v>
      </c>
      <c r="Q195">
        <v>4</v>
      </c>
      <c r="R195">
        <v>94</v>
      </c>
      <c r="S195">
        <v>37406576</v>
      </c>
      <c r="T195">
        <v>90</v>
      </c>
      <c r="U195">
        <v>179</v>
      </c>
      <c r="V195">
        <v>35177.060803967521</v>
      </c>
      <c r="W195">
        <v>37406576.492632188</v>
      </c>
      <c r="X195">
        <v>52702.838000000003</v>
      </c>
      <c r="Y195">
        <f>VLOOKUP(AB195,'2000 Seattle Tracts'!$C$2:$Z$374,24,FALSE)</f>
        <v>2523815.2829999998</v>
      </c>
      <c r="Z195">
        <f t="shared" si="4"/>
        <v>2.0882208914019009E-2</v>
      </c>
      <c r="AA195" t="s">
        <v>189</v>
      </c>
      <c r="AB195" t="str">
        <f t="shared" si="5"/>
        <v>Census Tract 95, King County, Washington</v>
      </c>
      <c r="AC195" s="3">
        <f>VLOOKUP($AB195,'2000 Seattle Tracts'!$C$2:$Y$374,AC$1,FALSE)*$Z195</f>
        <v>119.38358836144667</v>
      </c>
      <c r="AD195" s="3">
        <f>VLOOKUP($AB195,'2000 Seattle Tracts'!$C$2:$Y$374,AD$1,FALSE)*$Z195</f>
        <v>99.211374550504317</v>
      </c>
      <c r="AE195" s="3">
        <f>VLOOKUP($AB195,'2000 Seattle Tracts'!$C$2:$Y$374,AE$1,FALSE)*$Z195</f>
        <v>20.172213810942363</v>
      </c>
      <c r="AF195" s="3">
        <f>VLOOKUP($AB195,'2000 Seattle Tracts'!$C$2:$Y$374,AF$1,FALSE)*$Z195</f>
        <v>119.38358836144667</v>
      </c>
      <c r="AG195" s="3">
        <f>VLOOKUP($AB195,'2000 Seattle Tracts'!$C$2:$Y$374,AG$1,FALSE)*$Z195</f>
        <v>99.211374550504317</v>
      </c>
      <c r="AH195" s="3">
        <f>VLOOKUP($AB195,'2000 Seattle Tracts'!$C$2:$Y$374,AH$1,FALSE)*$Z195</f>
        <v>20.172213810942363</v>
      </c>
      <c r="AI195" s="3">
        <f>VLOOKUP($AB195,'2000 Seattle Tracts'!$C$2:$Y$374,AI$1,FALSE)*$Z195</f>
        <v>58.511949377081265</v>
      </c>
      <c r="AJ195" s="3">
        <f>VLOOKUP($AB195,'2000 Seattle Tracts'!$C$2:$Y$374,AJ$1,FALSE)*$Z195</f>
        <v>2.9443914568766805</v>
      </c>
      <c r="AK195" s="3">
        <f>VLOOKUP($AB195,'2000 Seattle Tracts'!$C$2:$Y$374,AK$1,FALSE)*$Z195</f>
        <v>0.77264172981870338</v>
      </c>
      <c r="AL195" s="3">
        <f>VLOOKUP($AB195,'2000 Seattle Tracts'!$C$2:$Y$374,AL$1,FALSE)*$Z195</f>
        <v>0.98146381895889345</v>
      </c>
      <c r="AM195" s="3">
        <f>VLOOKUP($AB195,'2000 Seattle Tracts'!$C$2:$Y$374,AM$1,FALSE)*$Z195</f>
        <v>27.313929259536863</v>
      </c>
      <c r="AN195" s="3">
        <f>VLOOKUP($AB195,'2000 Seattle Tracts'!$C$2:$Y$374,AN$1,FALSE)*$Z195</f>
        <v>0.87705277438879836</v>
      </c>
      <c r="AO195" s="3">
        <f>VLOOKUP($AB195,'2000 Seattle Tracts'!$C$2:$Y$374,AO$1,FALSE)*$Z195</f>
        <v>1.5244012507233877</v>
      </c>
      <c r="AP195" s="3">
        <f>VLOOKUP($AB195,'2000 Seattle Tracts'!$C$2:$Y$374,AP$1,FALSE)*$Z195</f>
        <v>0</v>
      </c>
      <c r="AQ195" s="3">
        <f>VLOOKUP($AB195,'2000 Seattle Tracts'!$C$2:$Y$374,AQ$1,FALSE)*$Z195</f>
        <v>6.2228982563776647</v>
      </c>
      <c r="AR195" s="3">
        <f>VLOOKUP($AB195,'2000 Seattle Tracts'!$C$2:$Y$374,AR$1,FALSE)*$Z195</f>
        <v>14.76372170221144</v>
      </c>
      <c r="AS195" s="3">
        <f>VLOOKUP($AB195,'2000 Seattle Tracts'!$C$2:$Y$374,AS$1,FALSE)*$Z195</f>
        <v>0</v>
      </c>
      <c r="AT195" s="3">
        <f>VLOOKUP($AB195,'2000 Seattle Tracts'!$C$2:$Y$374,AT$1,FALSE)*$Z195</f>
        <v>0</v>
      </c>
      <c r="AU195" s="3">
        <f>VLOOKUP($AB195,'2000 Seattle Tracts'!$C$2:$Y$374,AU$1,FALSE)*$Z195</f>
        <v>0.52205522285047523</v>
      </c>
      <c r="AV195" s="3">
        <f>VLOOKUP($AB195,'2000 Seattle Tracts'!$C$2:$Y$374,AV$1,FALSE)*$Z195</f>
        <v>0</v>
      </c>
      <c r="AW195" s="3">
        <f>VLOOKUP($AB195,'2000 Seattle Tracts'!$C$2:$Y$374,AW$1,FALSE)*$Z195</f>
        <v>4.3434994541159542</v>
      </c>
      <c r="AX195" s="3">
        <f>VLOOKUP($AB195,'2000 Seattle Tracts'!$C$2:$Y$374,AX$1,FALSE)*$Z195</f>
        <v>0.60558405850655128</v>
      </c>
    </row>
    <row r="196" spans="1:50" x14ac:dyDescent="0.25">
      <c r="A196" t="s">
        <v>2917</v>
      </c>
      <c r="B196" t="s">
        <v>2918</v>
      </c>
      <c r="C196" t="s">
        <v>3314</v>
      </c>
      <c r="D196" t="s">
        <v>2512</v>
      </c>
      <c r="E196" t="s">
        <v>2513</v>
      </c>
      <c r="F196" t="s">
        <v>2514</v>
      </c>
      <c r="G196" t="s">
        <v>2920</v>
      </c>
      <c r="H196" t="s">
        <v>2921</v>
      </c>
      <c r="I196">
        <v>2596039</v>
      </c>
      <c r="J196">
        <v>2909196</v>
      </c>
      <c r="K196" t="s">
        <v>3315</v>
      </c>
      <c r="L196" t="s">
        <v>3316</v>
      </c>
      <c r="M196">
        <v>95</v>
      </c>
      <c r="N196">
        <v>52212.785000000003</v>
      </c>
      <c r="O196" t="s">
        <v>198</v>
      </c>
      <c r="P196">
        <v>16</v>
      </c>
      <c r="Q196">
        <v>11</v>
      </c>
      <c r="R196">
        <v>95</v>
      </c>
      <c r="S196">
        <v>43835280</v>
      </c>
      <c r="T196">
        <v>97</v>
      </c>
      <c r="U196">
        <v>173</v>
      </c>
      <c r="V196">
        <v>52212.786810353093</v>
      </c>
      <c r="W196">
        <v>43835279.005916066</v>
      </c>
      <c r="X196">
        <v>20536.439999999999</v>
      </c>
      <c r="Y196">
        <f>VLOOKUP(AB196,'2000 Seattle Tracts'!$C$2:$Z$374,24,FALSE)</f>
        <v>2523815.2829999998</v>
      </c>
      <c r="Z196">
        <f t="shared" ref="Z196:Z259" si="6">X196/Y196</f>
        <v>8.1370614316864012E-3</v>
      </c>
      <c r="AA196" t="s">
        <v>197</v>
      </c>
      <c r="AB196" t="str">
        <f t="shared" ref="AB196:AB259" si="7">_xlfn.CONCAT(F196, ", King County, Washington")</f>
        <v>Census Tract 95, King County, Washington</v>
      </c>
      <c r="AC196" s="3">
        <f>VLOOKUP($AB196,'2000 Seattle Tracts'!$C$2:$Y$374,AC$1,FALSE)*$Z196</f>
        <v>46.519580204951154</v>
      </c>
      <c r="AD196" s="3">
        <f>VLOOKUP($AB196,'2000 Seattle Tracts'!$C$2:$Y$374,AD$1,FALSE)*$Z196</f>
        <v>38.659178861942095</v>
      </c>
      <c r="AE196" s="3">
        <f>VLOOKUP($AB196,'2000 Seattle Tracts'!$C$2:$Y$374,AE$1,FALSE)*$Z196</f>
        <v>7.8604013430090633</v>
      </c>
      <c r="AF196" s="3">
        <f>VLOOKUP($AB196,'2000 Seattle Tracts'!$C$2:$Y$374,AF$1,FALSE)*$Z196</f>
        <v>46.519580204951154</v>
      </c>
      <c r="AG196" s="3">
        <f>VLOOKUP($AB196,'2000 Seattle Tracts'!$C$2:$Y$374,AG$1,FALSE)*$Z196</f>
        <v>38.659178861942095</v>
      </c>
      <c r="AH196" s="3">
        <f>VLOOKUP($AB196,'2000 Seattle Tracts'!$C$2:$Y$374,AH$1,FALSE)*$Z196</f>
        <v>7.8604013430090633</v>
      </c>
      <c r="AI196" s="3">
        <f>VLOOKUP($AB196,'2000 Seattle Tracts'!$C$2:$Y$374,AI$1,FALSE)*$Z196</f>
        <v>22.800046131585297</v>
      </c>
      <c r="AJ196" s="3">
        <f>VLOOKUP($AB196,'2000 Seattle Tracts'!$C$2:$Y$374,AJ$1,FALSE)*$Z196</f>
        <v>1.1473256618677825</v>
      </c>
      <c r="AK196" s="3">
        <f>VLOOKUP($AB196,'2000 Seattle Tracts'!$C$2:$Y$374,AK$1,FALSE)*$Z196</f>
        <v>0.30107127297239683</v>
      </c>
      <c r="AL196" s="3">
        <f>VLOOKUP($AB196,'2000 Seattle Tracts'!$C$2:$Y$374,AL$1,FALSE)*$Z196</f>
        <v>0.38244188728926087</v>
      </c>
      <c r="AM196" s="3">
        <f>VLOOKUP($AB196,'2000 Seattle Tracts'!$C$2:$Y$374,AM$1,FALSE)*$Z196</f>
        <v>10.643276352645813</v>
      </c>
      <c r="AN196" s="3">
        <f>VLOOKUP($AB196,'2000 Seattle Tracts'!$C$2:$Y$374,AN$1,FALSE)*$Z196</f>
        <v>0.34175658013082882</v>
      </c>
      <c r="AO196" s="3">
        <f>VLOOKUP($AB196,'2000 Seattle Tracts'!$C$2:$Y$374,AO$1,FALSE)*$Z196</f>
        <v>0.59400548451310731</v>
      </c>
      <c r="AP196" s="3">
        <f>VLOOKUP($AB196,'2000 Seattle Tracts'!$C$2:$Y$374,AP$1,FALSE)*$Z196</f>
        <v>0</v>
      </c>
      <c r="AQ196" s="3">
        <f>VLOOKUP($AB196,'2000 Seattle Tracts'!$C$2:$Y$374,AQ$1,FALSE)*$Z196</f>
        <v>2.4248443066425476</v>
      </c>
      <c r="AR196" s="3">
        <f>VLOOKUP($AB196,'2000 Seattle Tracts'!$C$2:$Y$374,AR$1,FALSE)*$Z196</f>
        <v>5.7529024322022853</v>
      </c>
      <c r="AS196" s="3">
        <f>VLOOKUP($AB196,'2000 Seattle Tracts'!$C$2:$Y$374,AS$1,FALSE)*$Z196</f>
        <v>0</v>
      </c>
      <c r="AT196" s="3">
        <f>VLOOKUP($AB196,'2000 Seattle Tracts'!$C$2:$Y$374,AT$1,FALSE)*$Z196</f>
        <v>0</v>
      </c>
      <c r="AU196" s="3">
        <f>VLOOKUP($AB196,'2000 Seattle Tracts'!$C$2:$Y$374,AU$1,FALSE)*$Z196</f>
        <v>0.20342653579216002</v>
      </c>
      <c r="AV196" s="3">
        <f>VLOOKUP($AB196,'2000 Seattle Tracts'!$C$2:$Y$374,AV$1,FALSE)*$Z196</f>
        <v>0</v>
      </c>
      <c r="AW196" s="3">
        <f>VLOOKUP($AB196,'2000 Seattle Tracts'!$C$2:$Y$374,AW$1,FALSE)*$Z196</f>
        <v>1.6925087777907715</v>
      </c>
      <c r="AX196" s="3">
        <f>VLOOKUP($AB196,'2000 Seattle Tracts'!$C$2:$Y$374,AX$1,FALSE)*$Z196</f>
        <v>0.23597478151890564</v>
      </c>
    </row>
    <row r="197" spans="1:50" x14ac:dyDescent="0.25">
      <c r="A197" t="s">
        <v>2917</v>
      </c>
      <c r="B197" t="s">
        <v>2918</v>
      </c>
      <c r="C197" t="s">
        <v>3311</v>
      </c>
      <c r="D197" t="s">
        <v>2515</v>
      </c>
      <c r="E197" t="s">
        <v>2516</v>
      </c>
      <c r="F197" t="s">
        <v>2517</v>
      </c>
      <c r="G197" t="s">
        <v>2920</v>
      </c>
      <c r="H197" t="s">
        <v>2921</v>
      </c>
      <c r="I197">
        <v>1722400</v>
      </c>
      <c r="J197">
        <v>0</v>
      </c>
      <c r="K197" t="s">
        <v>3429</v>
      </c>
      <c r="L197" t="s">
        <v>3430</v>
      </c>
      <c r="M197">
        <v>58</v>
      </c>
      <c r="N197">
        <v>25426.23</v>
      </c>
      <c r="O197" t="s">
        <v>149</v>
      </c>
      <c r="P197">
        <v>14</v>
      </c>
      <c r="Q197">
        <v>8</v>
      </c>
      <c r="R197">
        <v>24</v>
      </c>
      <c r="S197">
        <v>20664986</v>
      </c>
      <c r="T197">
        <v>60</v>
      </c>
      <c r="U197">
        <v>165</v>
      </c>
      <c r="V197">
        <v>25426.231162667511</v>
      </c>
      <c r="W197">
        <v>20664986.272921581</v>
      </c>
      <c r="X197">
        <v>352430.70699999999</v>
      </c>
      <c r="Y197">
        <f>VLOOKUP(AB197,'2000 Seattle Tracts'!$C$2:$Z$374,24,FALSE)</f>
        <v>1722395.432</v>
      </c>
      <c r="Z197">
        <f t="shared" si="6"/>
        <v>0.20461660571798357</v>
      </c>
      <c r="AA197" t="s">
        <v>154</v>
      </c>
      <c r="AB197" t="str">
        <f t="shared" si="7"/>
        <v>Census Tract 94, King County, Washington</v>
      </c>
      <c r="AC197" s="3">
        <f>VLOOKUP($AB197,'2000 Seattle Tracts'!$C$2:$Y$374,AC$1,FALSE)*$Z197</f>
        <v>1072.6002471736699</v>
      </c>
      <c r="AD197" s="3">
        <f>VLOOKUP($AB197,'2000 Seattle Tracts'!$C$2:$Y$374,AD$1,FALSE)*$Z197</f>
        <v>577.22344473043165</v>
      </c>
      <c r="AE197" s="3">
        <f>VLOOKUP($AB197,'2000 Seattle Tracts'!$C$2:$Y$374,AE$1,FALSE)*$Z197</f>
        <v>495.3768024432382</v>
      </c>
      <c r="AF197" s="3">
        <f>VLOOKUP($AB197,'2000 Seattle Tracts'!$C$2:$Y$374,AF$1,FALSE)*$Z197</f>
        <v>1072.6002471736699</v>
      </c>
      <c r="AG197" s="3">
        <f>VLOOKUP($AB197,'2000 Seattle Tracts'!$C$2:$Y$374,AG$1,FALSE)*$Z197</f>
        <v>577.22344473043165</v>
      </c>
      <c r="AH197" s="3">
        <f>VLOOKUP($AB197,'2000 Seattle Tracts'!$C$2:$Y$374,AH$1,FALSE)*$Z197</f>
        <v>495.3768024432382</v>
      </c>
      <c r="AI197" s="3">
        <f>VLOOKUP($AB197,'2000 Seattle Tracts'!$C$2:$Y$374,AI$1,FALSE)*$Z197</f>
        <v>185.99649459764706</v>
      </c>
      <c r="AJ197" s="3">
        <f>VLOOKUP($AB197,'2000 Seattle Tracts'!$C$2:$Y$374,AJ$1,FALSE)*$Z197</f>
        <v>12.686229554514981</v>
      </c>
      <c r="AK197" s="3">
        <f>VLOOKUP($AB197,'2000 Seattle Tracts'!$C$2:$Y$374,AK$1,FALSE)*$Z197</f>
        <v>17.801644697464571</v>
      </c>
      <c r="AL197" s="3">
        <f>VLOOKUP($AB197,'2000 Seattle Tracts'!$C$2:$Y$374,AL$1,FALSE)*$Z197</f>
        <v>13.504695977386916</v>
      </c>
      <c r="AM197" s="3">
        <f>VLOOKUP($AB197,'2000 Seattle Tracts'!$C$2:$Y$374,AM$1,FALSE)*$Z197</f>
        <v>121.13303058504627</v>
      </c>
      <c r="AN197" s="3">
        <f>VLOOKUP($AB197,'2000 Seattle Tracts'!$C$2:$Y$374,AN$1,FALSE)*$Z197</f>
        <v>35.603289394929142</v>
      </c>
      <c r="AO197" s="3">
        <f>VLOOKUP($AB197,'2000 Seattle Tracts'!$C$2:$Y$374,AO$1,FALSE)*$Z197</f>
        <v>18.006261303182555</v>
      </c>
      <c r="AP197" s="3">
        <f>VLOOKUP($AB197,'2000 Seattle Tracts'!$C$2:$Y$374,AP$1,FALSE)*$Z197</f>
        <v>1.2276996343079014</v>
      </c>
      <c r="AQ197" s="3">
        <f>VLOOKUP($AB197,'2000 Seattle Tracts'!$C$2:$Y$374,AQ$1,FALSE)*$Z197</f>
        <v>150.8024384141539</v>
      </c>
      <c r="AR197" s="3">
        <f>VLOOKUP($AB197,'2000 Seattle Tracts'!$C$2:$Y$374,AR$1,FALSE)*$Z197</f>
        <v>367.49142386949848</v>
      </c>
      <c r="AS197" s="3">
        <f>VLOOKUP($AB197,'2000 Seattle Tracts'!$C$2:$Y$374,AS$1,FALSE)*$Z197</f>
        <v>2.6600158743337863</v>
      </c>
      <c r="AT197" s="3">
        <f>VLOOKUP($AB197,'2000 Seattle Tracts'!$C$2:$Y$374,AT$1,FALSE)*$Z197</f>
        <v>0</v>
      </c>
      <c r="AU197" s="3">
        <f>VLOOKUP($AB197,'2000 Seattle Tracts'!$C$2:$Y$374,AU$1,FALSE)*$Z197</f>
        <v>44.197186835084452</v>
      </c>
      <c r="AV197" s="3">
        <f>VLOOKUP($AB197,'2000 Seattle Tracts'!$C$2:$Y$374,AV$1,FALSE)*$Z197</f>
        <v>33.352506732031323</v>
      </c>
      <c r="AW197" s="3">
        <f>VLOOKUP($AB197,'2000 Seattle Tracts'!$C$2:$Y$374,AW$1,FALSE)*$Z197</f>
        <v>36.626372423519058</v>
      </c>
      <c r="AX197" s="3">
        <f>VLOOKUP($AB197,'2000 Seattle Tracts'!$C$2:$Y$374,AX$1,FALSE)*$Z197</f>
        <v>31.510957280569471</v>
      </c>
    </row>
    <row r="198" spans="1:50" x14ac:dyDescent="0.25">
      <c r="A198" t="s">
        <v>2917</v>
      </c>
      <c r="B198" t="s">
        <v>2918</v>
      </c>
      <c r="C198" t="s">
        <v>3311</v>
      </c>
      <c r="D198" t="s">
        <v>2515</v>
      </c>
      <c r="E198" t="s">
        <v>2516</v>
      </c>
      <c r="F198" t="s">
        <v>2517</v>
      </c>
      <c r="G198" t="s">
        <v>2920</v>
      </c>
      <c r="H198" t="s">
        <v>2921</v>
      </c>
      <c r="I198">
        <v>1722400</v>
      </c>
      <c r="J198">
        <v>0</v>
      </c>
      <c r="K198" t="s">
        <v>3429</v>
      </c>
      <c r="L198" t="s">
        <v>3430</v>
      </c>
      <c r="M198">
        <v>61</v>
      </c>
      <c r="N198">
        <v>11772.387000000001</v>
      </c>
      <c r="O198" t="s">
        <v>156</v>
      </c>
      <c r="P198">
        <v>13</v>
      </c>
      <c r="Q198">
        <v>11</v>
      </c>
      <c r="R198">
        <v>94</v>
      </c>
      <c r="S198">
        <v>6169376</v>
      </c>
      <c r="T198">
        <v>63</v>
      </c>
      <c r="U198">
        <v>164</v>
      </c>
      <c r="V198">
        <v>11772.387141002069</v>
      </c>
      <c r="W198">
        <v>6169375.8166330215</v>
      </c>
      <c r="X198">
        <v>0</v>
      </c>
      <c r="Y198">
        <f>VLOOKUP(AB198,'2000 Seattle Tracts'!$C$2:$Z$374,24,FALSE)</f>
        <v>1722395.432</v>
      </c>
      <c r="Z198">
        <f t="shared" si="6"/>
        <v>0</v>
      </c>
      <c r="AA198" t="s">
        <v>158</v>
      </c>
      <c r="AB198" t="str">
        <f t="shared" si="7"/>
        <v>Census Tract 94, King County, Washington</v>
      </c>
      <c r="AC198" s="3">
        <f>VLOOKUP($AB198,'2000 Seattle Tracts'!$C$2:$Y$374,AC$1,FALSE)*$Z198</f>
        <v>0</v>
      </c>
      <c r="AD198" s="3">
        <f>VLOOKUP($AB198,'2000 Seattle Tracts'!$C$2:$Y$374,AD$1,FALSE)*$Z198</f>
        <v>0</v>
      </c>
      <c r="AE198" s="3">
        <f>VLOOKUP($AB198,'2000 Seattle Tracts'!$C$2:$Y$374,AE$1,FALSE)*$Z198</f>
        <v>0</v>
      </c>
      <c r="AF198" s="3">
        <f>VLOOKUP($AB198,'2000 Seattle Tracts'!$C$2:$Y$374,AF$1,FALSE)*$Z198</f>
        <v>0</v>
      </c>
      <c r="AG198" s="3">
        <f>VLOOKUP($AB198,'2000 Seattle Tracts'!$C$2:$Y$374,AG$1,FALSE)*$Z198</f>
        <v>0</v>
      </c>
      <c r="AH198" s="3">
        <f>VLOOKUP($AB198,'2000 Seattle Tracts'!$C$2:$Y$374,AH$1,FALSE)*$Z198</f>
        <v>0</v>
      </c>
      <c r="AI198" s="3">
        <f>VLOOKUP($AB198,'2000 Seattle Tracts'!$C$2:$Y$374,AI$1,FALSE)*$Z198</f>
        <v>0</v>
      </c>
      <c r="AJ198" s="3">
        <f>VLOOKUP($AB198,'2000 Seattle Tracts'!$C$2:$Y$374,AJ$1,FALSE)*$Z198</f>
        <v>0</v>
      </c>
      <c r="AK198" s="3">
        <f>VLOOKUP($AB198,'2000 Seattle Tracts'!$C$2:$Y$374,AK$1,FALSE)*$Z198</f>
        <v>0</v>
      </c>
      <c r="AL198" s="3">
        <f>VLOOKUP($AB198,'2000 Seattle Tracts'!$C$2:$Y$374,AL$1,FALSE)*$Z198</f>
        <v>0</v>
      </c>
      <c r="AM198" s="3">
        <f>VLOOKUP($AB198,'2000 Seattle Tracts'!$C$2:$Y$374,AM$1,FALSE)*$Z198</f>
        <v>0</v>
      </c>
      <c r="AN198" s="3">
        <f>VLOOKUP($AB198,'2000 Seattle Tracts'!$C$2:$Y$374,AN$1,FALSE)*$Z198</f>
        <v>0</v>
      </c>
      <c r="AO198" s="3">
        <f>VLOOKUP($AB198,'2000 Seattle Tracts'!$C$2:$Y$374,AO$1,FALSE)*$Z198</f>
        <v>0</v>
      </c>
      <c r="AP198" s="3">
        <f>VLOOKUP($AB198,'2000 Seattle Tracts'!$C$2:$Y$374,AP$1,FALSE)*$Z198</f>
        <v>0</v>
      </c>
      <c r="AQ198" s="3">
        <f>VLOOKUP($AB198,'2000 Seattle Tracts'!$C$2:$Y$374,AQ$1,FALSE)*$Z198</f>
        <v>0</v>
      </c>
      <c r="AR198" s="3">
        <f>VLOOKUP($AB198,'2000 Seattle Tracts'!$C$2:$Y$374,AR$1,FALSE)*$Z198</f>
        <v>0</v>
      </c>
      <c r="AS198" s="3">
        <f>VLOOKUP($AB198,'2000 Seattle Tracts'!$C$2:$Y$374,AS$1,FALSE)*$Z198</f>
        <v>0</v>
      </c>
      <c r="AT198" s="3">
        <f>VLOOKUP($AB198,'2000 Seattle Tracts'!$C$2:$Y$374,AT$1,FALSE)*$Z198</f>
        <v>0</v>
      </c>
      <c r="AU198" s="3">
        <f>VLOOKUP($AB198,'2000 Seattle Tracts'!$C$2:$Y$374,AU$1,FALSE)*$Z198</f>
        <v>0</v>
      </c>
      <c r="AV198" s="3">
        <f>VLOOKUP($AB198,'2000 Seattle Tracts'!$C$2:$Y$374,AV$1,FALSE)*$Z198</f>
        <v>0</v>
      </c>
      <c r="AW198" s="3">
        <f>VLOOKUP($AB198,'2000 Seattle Tracts'!$C$2:$Y$374,AW$1,FALSE)*$Z198</f>
        <v>0</v>
      </c>
      <c r="AX198" s="3">
        <f>VLOOKUP($AB198,'2000 Seattle Tracts'!$C$2:$Y$374,AX$1,FALSE)*$Z198</f>
        <v>0</v>
      </c>
    </row>
    <row r="199" spans="1:50" x14ac:dyDescent="0.25">
      <c r="A199" t="s">
        <v>2917</v>
      </c>
      <c r="B199" t="s">
        <v>2918</v>
      </c>
      <c r="C199" t="s">
        <v>3311</v>
      </c>
      <c r="D199" t="s">
        <v>2515</v>
      </c>
      <c r="E199" t="s">
        <v>2516</v>
      </c>
      <c r="F199" t="s">
        <v>2517</v>
      </c>
      <c r="G199" t="s">
        <v>2920</v>
      </c>
      <c r="H199" t="s">
        <v>2921</v>
      </c>
      <c r="I199">
        <v>1722400</v>
      </c>
      <c r="J199">
        <v>0</v>
      </c>
      <c r="K199" t="s">
        <v>3429</v>
      </c>
      <c r="L199" t="s">
        <v>3430</v>
      </c>
      <c r="M199">
        <v>79</v>
      </c>
      <c r="N199">
        <v>33865.487999999998</v>
      </c>
      <c r="O199" t="s">
        <v>179</v>
      </c>
      <c r="P199">
        <v>17</v>
      </c>
      <c r="Q199">
        <v>5</v>
      </c>
      <c r="R199">
        <v>9</v>
      </c>
      <c r="S199">
        <v>48475916</v>
      </c>
      <c r="T199">
        <v>81</v>
      </c>
      <c r="U199">
        <v>166</v>
      </c>
      <c r="V199">
        <v>33865.489173990143</v>
      </c>
      <c r="W199">
        <v>48475914.455668777</v>
      </c>
      <c r="X199">
        <v>1369964.726</v>
      </c>
      <c r="Y199">
        <f>VLOOKUP(AB199,'2000 Seattle Tracts'!$C$2:$Z$374,24,FALSE)</f>
        <v>1722395.432</v>
      </c>
      <c r="Z199">
        <f t="shared" si="6"/>
        <v>0.79538339486260323</v>
      </c>
      <c r="AA199" t="s">
        <v>178</v>
      </c>
      <c r="AB199" t="str">
        <f t="shared" si="7"/>
        <v>Census Tract 94, King County, Washington</v>
      </c>
      <c r="AC199" s="3">
        <f>VLOOKUP($AB199,'2000 Seattle Tracts'!$C$2:$Y$374,AC$1,FALSE)*$Z199</f>
        <v>4169.3997558697665</v>
      </c>
      <c r="AD199" s="3">
        <f>VLOOKUP($AB199,'2000 Seattle Tracts'!$C$2:$Y$374,AD$1,FALSE)*$Z199</f>
        <v>2243.7765569074036</v>
      </c>
      <c r="AE199" s="3">
        <f>VLOOKUP($AB199,'2000 Seattle Tracts'!$C$2:$Y$374,AE$1,FALSE)*$Z199</f>
        <v>1925.6231989623625</v>
      </c>
      <c r="AF199" s="3">
        <f>VLOOKUP($AB199,'2000 Seattle Tracts'!$C$2:$Y$374,AF$1,FALSE)*$Z199</f>
        <v>4169.3997558697665</v>
      </c>
      <c r="AG199" s="3">
        <f>VLOOKUP($AB199,'2000 Seattle Tracts'!$C$2:$Y$374,AG$1,FALSE)*$Z199</f>
        <v>2243.7765569074036</v>
      </c>
      <c r="AH199" s="3">
        <f>VLOOKUP($AB199,'2000 Seattle Tracts'!$C$2:$Y$374,AH$1,FALSE)*$Z199</f>
        <v>1925.6231989623625</v>
      </c>
      <c r="AI199" s="3">
        <f>VLOOKUP($AB199,'2000 Seattle Tracts'!$C$2:$Y$374,AI$1,FALSE)*$Z199</f>
        <v>723.00350593010637</v>
      </c>
      <c r="AJ199" s="3">
        <f>VLOOKUP($AB199,'2000 Seattle Tracts'!$C$2:$Y$374,AJ$1,FALSE)*$Z199</f>
        <v>49.313770481481399</v>
      </c>
      <c r="AK199" s="3">
        <f>VLOOKUP($AB199,'2000 Seattle Tracts'!$C$2:$Y$374,AK$1,FALSE)*$Z199</f>
        <v>69.19835535304648</v>
      </c>
      <c r="AL199" s="3">
        <f>VLOOKUP($AB199,'2000 Seattle Tracts'!$C$2:$Y$374,AL$1,FALSE)*$Z199</f>
        <v>52.495304060931815</v>
      </c>
      <c r="AM199" s="3">
        <f>VLOOKUP($AB199,'2000 Seattle Tracts'!$C$2:$Y$374,AM$1,FALSE)*$Z199</f>
        <v>470.86696975866113</v>
      </c>
      <c r="AN199" s="3">
        <f>VLOOKUP($AB199,'2000 Seattle Tracts'!$C$2:$Y$374,AN$1,FALSE)*$Z199</f>
        <v>138.39671070609296</v>
      </c>
      <c r="AO199" s="3">
        <f>VLOOKUP($AB199,'2000 Seattle Tracts'!$C$2:$Y$374,AO$1,FALSE)*$Z199</f>
        <v>69.993738747909077</v>
      </c>
      <c r="AP199" s="3">
        <f>VLOOKUP($AB199,'2000 Seattle Tracts'!$C$2:$Y$374,AP$1,FALSE)*$Z199</f>
        <v>4.7723003691756194</v>
      </c>
      <c r="AQ199" s="3">
        <f>VLOOKUP($AB199,'2000 Seattle Tracts'!$C$2:$Y$374,AQ$1,FALSE)*$Z199</f>
        <v>586.19756201373855</v>
      </c>
      <c r="AR199" s="3">
        <f>VLOOKUP($AB199,'2000 Seattle Tracts'!$C$2:$Y$374,AR$1,FALSE)*$Z199</f>
        <v>1428.5085771732354</v>
      </c>
      <c r="AS199" s="3">
        <f>VLOOKUP($AB199,'2000 Seattle Tracts'!$C$2:$Y$374,AS$1,FALSE)*$Z199</f>
        <v>10.339984133213843</v>
      </c>
      <c r="AT199" s="3">
        <f>VLOOKUP($AB199,'2000 Seattle Tracts'!$C$2:$Y$374,AT$1,FALSE)*$Z199</f>
        <v>0</v>
      </c>
      <c r="AU199" s="3">
        <f>VLOOKUP($AB199,'2000 Seattle Tracts'!$C$2:$Y$374,AU$1,FALSE)*$Z199</f>
        <v>171.80281329032229</v>
      </c>
      <c r="AV199" s="3">
        <f>VLOOKUP($AB199,'2000 Seattle Tracts'!$C$2:$Y$374,AV$1,FALSE)*$Z199</f>
        <v>129.64749336260434</v>
      </c>
      <c r="AW199" s="3">
        <f>VLOOKUP($AB199,'2000 Seattle Tracts'!$C$2:$Y$374,AW$1,FALSE)*$Z199</f>
        <v>142.37362768040597</v>
      </c>
      <c r="AX199" s="3">
        <f>VLOOKUP($AB199,'2000 Seattle Tracts'!$C$2:$Y$374,AX$1,FALSE)*$Z199</f>
        <v>122.48904280884089</v>
      </c>
    </row>
    <row r="200" spans="1:50" x14ac:dyDescent="0.25">
      <c r="A200" t="s">
        <v>2917</v>
      </c>
      <c r="B200" t="s">
        <v>2918</v>
      </c>
      <c r="C200" t="s">
        <v>3287</v>
      </c>
      <c r="D200" t="s">
        <v>2518</v>
      </c>
      <c r="E200" t="s">
        <v>2519</v>
      </c>
      <c r="F200" t="s">
        <v>2520</v>
      </c>
      <c r="G200" t="s">
        <v>2920</v>
      </c>
      <c r="H200" t="s">
        <v>2921</v>
      </c>
      <c r="I200">
        <v>9429739</v>
      </c>
      <c r="J200">
        <v>719984</v>
      </c>
      <c r="K200" t="s">
        <v>3431</v>
      </c>
      <c r="L200" t="s">
        <v>3432</v>
      </c>
      <c r="M200">
        <v>61</v>
      </c>
      <c r="N200">
        <v>11772.387000000001</v>
      </c>
      <c r="O200" t="s">
        <v>156</v>
      </c>
      <c r="P200">
        <v>13</v>
      </c>
      <c r="Q200">
        <v>11</v>
      </c>
      <c r="R200">
        <v>94</v>
      </c>
      <c r="S200">
        <v>6169376</v>
      </c>
      <c r="T200">
        <v>63</v>
      </c>
      <c r="U200">
        <v>164</v>
      </c>
      <c r="V200">
        <v>11772.387141002069</v>
      </c>
      <c r="W200">
        <v>6169375.8166330215</v>
      </c>
      <c r="X200">
        <v>33458.114000000001</v>
      </c>
      <c r="Y200">
        <f>VLOOKUP(AB200,'2000 Seattle Tracts'!$C$2:$Z$374,24,FALSE)</f>
        <v>9449275.4039999992</v>
      </c>
      <c r="Z200">
        <f t="shared" si="6"/>
        <v>3.5408126622954342E-3</v>
      </c>
      <c r="AA200" t="s">
        <v>158</v>
      </c>
      <c r="AB200" t="str">
        <f t="shared" si="7"/>
        <v>Census Tract 93, King County, Washington</v>
      </c>
      <c r="AC200" s="3">
        <f>VLOOKUP($AB200,'2000 Seattle Tracts'!$C$2:$Y$374,AC$1,FALSE)*$Z200</f>
        <v>9.0715620408009023</v>
      </c>
      <c r="AD200" s="3">
        <f>VLOOKUP($AB200,'2000 Seattle Tracts'!$C$2:$Y$374,AD$1,FALSE)*$Z200</f>
        <v>7.0816253245908687</v>
      </c>
      <c r="AE200" s="3">
        <f>VLOOKUP($AB200,'2000 Seattle Tracts'!$C$2:$Y$374,AE$1,FALSE)*$Z200</f>
        <v>1.9899367162100341</v>
      </c>
      <c r="AF200" s="3">
        <f>VLOOKUP($AB200,'2000 Seattle Tracts'!$C$2:$Y$374,AF$1,FALSE)*$Z200</f>
        <v>9.0715620408009023</v>
      </c>
      <c r="AG200" s="3">
        <f>VLOOKUP($AB200,'2000 Seattle Tracts'!$C$2:$Y$374,AG$1,FALSE)*$Z200</f>
        <v>7.0816253245908687</v>
      </c>
      <c r="AH200" s="3">
        <f>VLOOKUP($AB200,'2000 Seattle Tracts'!$C$2:$Y$374,AH$1,FALSE)*$Z200</f>
        <v>1.9899367162100341</v>
      </c>
      <c r="AI200" s="3">
        <f>VLOOKUP($AB200,'2000 Seattle Tracts'!$C$2:$Y$374,AI$1,FALSE)*$Z200</f>
        <v>3.8382409259282508</v>
      </c>
      <c r="AJ200" s="3">
        <f>VLOOKUP($AB200,'2000 Seattle Tracts'!$C$2:$Y$374,AJ$1,FALSE)*$Z200</f>
        <v>0.25493851168527126</v>
      </c>
      <c r="AK200" s="3">
        <f>VLOOKUP($AB200,'2000 Seattle Tracts'!$C$2:$Y$374,AK$1,FALSE)*$Z200</f>
        <v>0.19474469642624889</v>
      </c>
      <c r="AL200" s="3">
        <f>VLOOKUP($AB200,'2000 Seattle Tracts'!$C$2:$Y$374,AL$1,FALSE)*$Z200</f>
        <v>0.33637720291806622</v>
      </c>
      <c r="AM200" s="3">
        <f>VLOOKUP($AB200,'2000 Seattle Tracts'!$C$2:$Y$374,AM$1,FALSE)*$Z200</f>
        <v>1.0020499834296079</v>
      </c>
      <c r="AN200" s="3">
        <f>VLOOKUP($AB200,'2000 Seattle Tracts'!$C$2:$Y$374,AN$1,FALSE)*$Z200</f>
        <v>0.17704063311477169</v>
      </c>
      <c r="AO200" s="3">
        <f>VLOOKUP($AB200,'2000 Seattle Tracts'!$C$2:$Y$374,AO$1,FALSE)*$Z200</f>
        <v>0.22661201038690779</v>
      </c>
      <c r="AP200" s="3">
        <f>VLOOKUP($AB200,'2000 Seattle Tracts'!$C$2:$Y$374,AP$1,FALSE)*$Z200</f>
        <v>0</v>
      </c>
      <c r="AQ200" s="3">
        <f>VLOOKUP($AB200,'2000 Seattle Tracts'!$C$2:$Y$374,AQ$1,FALSE)*$Z200</f>
        <v>1.10119273797388</v>
      </c>
      <c r="AR200" s="3">
        <f>VLOOKUP($AB200,'2000 Seattle Tracts'!$C$2:$Y$374,AR$1,FALSE)*$Z200</f>
        <v>0.94893779349517637</v>
      </c>
      <c r="AS200" s="3">
        <f>VLOOKUP($AB200,'2000 Seattle Tracts'!$C$2:$Y$374,AS$1,FALSE)*$Z200</f>
        <v>0</v>
      </c>
      <c r="AT200" s="3">
        <f>VLOOKUP($AB200,'2000 Seattle Tracts'!$C$2:$Y$374,AT$1,FALSE)*$Z200</f>
        <v>0</v>
      </c>
      <c r="AU200" s="3">
        <f>VLOOKUP($AB200,'2000 Seattle Tracts'!$C$2:$Y$374,AU$1,FALSE)*$Z200</f>
        <v>0.40719345616397495</v>
      </c>
      <c r="AV200" s="3">
        <f>VLOOKUP($AB200,'2000 Seattle Tracts'!$C$2:$Y$374,AV$1,FALSE)*$Z200</f>
        <v>9.5601941881976724E-2</v>
      </c>
      <c r="AW200" s="3">
        <f>VLOOKUP($AB200,'2000 Seattle Tracts'!$C$2:$Y$374,AW$1,FALSE)*$Z200</f>
        <v>0.31159151428199822</v>
      </c>
      <c r="AX200" s="3">
        <f>VLOOKUP($AB200,'2000 Seattle Tracts'!$C$2:$Y$374,AX$1,FALSE)*$Z200</f>
        <v>0.17704063311477169</v>
      </c>
    </row>
    <row r="201" spans="1:50" x14ac:dyDescent="0.25">
      <c r="A201" t="s">
        <v>2917</v>
      </c>
      <c r="B201" t="s">
        <v>2918</v>
      </c>
      <c r="C201" t="s">
        <v>3287</v>
      </c>
      <c r="D201" t="s">
        <v>2518</v>
      </c>
      <c r="E201" t="s">
        <v>2519</v>
      </c>
      <c r="F201" t="s">
        <v>2520</v>
      </c>
      <c r="G201" t="s">
        <v>2920</v>
      </c>
      <c r="H201" t="s">
        <v>2921</v>
      </c>
      <c r="I201">
        <v>9429739</v>
      </c>
      <c r="J201">
        <v>719984</v>
      </c>
      <c r="K201" t="s">
        <v>3431</v>
      </c>
      <c r="L201" t="s">
        <v>3432</v>
      </c>
      <c r="M201">
        <v>65</v>
      </c>
      <c r="N201">
        <v>19289.812999999998</v>
      </c>
      <c r="O201" t="s">
        <v>156</v>
      </c>
      <c r="P201">
        <v>13</v>
      </c>
      <c r="Q201">
        <v>11</v>
      </c>
      <c r="R201">
        <v>33</v>
      </c>
      <c r="S201">
        <v>11474029</v>
      </c>
      <c r="T201">
        <v>67</v>
      </c>
      <c r="U201">
        <v>163</v>
      </c>
      <c r="V201">
        <v>19289.812175002899</v>
      </c>
      <c r="W201">
        <v>11474028.647624191</v>
      </c>
      <c r="X201">
        <v>686795.29200000002</v>
      </c>
      <c r="Y201">
        <f>VLOOKUP(AB201,'2000 Seattle Tracts'!$C$2:$Z$374,24,FALSE)</f>
        <v>9449275.4039999992</v>
      </c>
      <c r="Z201">
        <f t="shared" si="6"/>
        <v>7.2682323526020928E-2</v>
      </c>
      <c r="AA201" t="s">
        <v>162</v>
      </c>
      <c r="AB201" t="str">
        <f t="shared" si="7"/>
        <v>Census Tract 93, King County, Washington</v>
      </c>
      <c r="AC201" s="3">
        <f>VLOOKUP($AB201,'2000 Seattle Tracts'!$C$2:$Y$374,AC$1,FALSE)*$Z201</f>
        <v>186.21211287366563</v>
      </c>
      <c r="AD201" s="3">
        <f>VLOOKUP($AB201,'2000 Seattle Tracts'!$C$2:$Y$374,AD$1,FALSE)*$Z201</f>
        <v>145.36464705204185</v>
      </c>
      <c r="AE201" s="3">
        <f>VLOOKUP($AB201,'2000 Seattle Tracts'!$C$2:$Y$374,AE$1,FALSE)*$Z201</f>
        <v>40.847465821623764</v>
      </c>
      <c r="AF201" s="3">
        <f>VLOOKUP($AB201,'2000 Seattle Tracts'!$C$2:$Y$374,AF$1,FALSE)*$Z201</f>
        <v>186.21211287366563</v>
      </c>
      <c r="AG201" s="3">
        <f>VLOOKUP($AB201,'2000 Seattle Tracts'!$C$2:$Y$374,AG$1,FALSE)*$Z201</f>
        <v>145.36464705204185</v>
      </c>
      <c r="AH201" s="3">
        <f>VLOOKUP($AB201,'2000 Seattle Tracts'!$C$2:$Y$374,AH$1,FALSE)*$Z201</f>
        <v>40.847465821623764</v>
      </c>
      <c r="AI201" s="3">
        <f>VLOOKUP($AB201,'2000 Seattle Tracts'!$C$2:$Y$374,AI$1,FALSE)*$Z201</f>
        <v>78.787638702206692</v>
      </c>
      <c r="AJ201" s="3">
        <f>VLOOKUP($AB201,'2000 Seattle Tracts'!$C$2:$Y$374,AJ$1,FALSE)*$Z201</f>
        <v>5.2331272938735065</v>
      </c>
      <c r="AK201" s="3">
        <f>VLOOKUP($AB201,'2000 Seattle Tracts'!$C$2:$Y$374,AK$1,FALSE)*$Z201</f>
        <v>3.9975277939311509</v>
      </c>
      <c r="AL201" s="3">
        <f>VLOOKUP($AB201,'2000 Seattle Tracts'!$C$2:$Y$374,AL$1,FALSE)*$Z201</f>
        <v>6.9048207349719881</v>
      </c>
      <c r="AM201" s="3">
        <f>VLOOKUP($AB201,'2000 Seattle Tracts'!$C$2:$Y$374,AM$1,FALSE)*$Z201</f>
        <v>20.569097557863923</v>
      </c>
      <c r="AN201" s="3">
        <f>VLOOKUP($AB201,'2000 Seattle Tracts'!$C$2:$Y$374,AN$1,FALSE)*$Z201</f>
        <v>3.6341161763010463</v>
      </c>
      <c r="AO201" s="3">
        <f>VLOOKUP($AB201,'2000 Seattle Tracts'!$C$2:$Y$374,AO$1,FALSE)*$Z201</f>
        <v>4.6516687056653394</v>
      </c>
      <c r="AP201" s="3">
        <f>VLOOKUP($AB201,'2000 Seattle Tracts'!$C$2:$Y$374,AP$1,FALSE)*$Z201</f>
        <v>0</v>
      </c>
      <c r="AQ201" s="3">
        <f>VLOOKUP($AB201,'2000 Seattle Tracts'!$C$2:$Y$374,AQ$1,FALSE)*$Z201</f>
        <v>22.604202616592509</v>
      </c>
      <c r="AR201" s="3">
        <f>VLOOKUP($AB201,'2000 Seattle Tracts'!$C$2:$Y$374,AR$1,FALSE)*$Z201</f>
        <v>19.478862704973608</v>
      </c>
      <c r="AS201" s="3">
        <f>VLOOKUP($AB201,'2000 Seattle Tracts'!$C$2:$Y$374,AS$1,FALSE)*$Z201</f>
        <v>0</v>
      </c>
      <c r="AT201" s="3">
        <f>VLOOKUP($AB201,'2000 Seattle Tracts'!$C$2:$Y$374,AT$1,FALSE)*$Z201</f>
        <v>0</v>
      </c>
      <c r="AU201" s="3">
        <f>VLOOKUP($AB201,'2000 Seattle Tracts'!$C$2:$Y$374,AU$1,FALSE)*$Z201</f>
        <v>8.3584672054924063</v>
      </c>
      <c r="AV201" s="3">
        <f>VLOOKUP($AB201,'2000 Seattle Tracts'!$C$2:$Y$374,AV$1,FALSE)*$Z201</f>
        <v>1.9624227352025652</v>
      </c>
      <c r="AW201" s="3">
        <f>VLOOKUP($AB201,'2000 Seattle Tracts'!$C$2:$Y$374,AW$1,FALSE)*$Z201</f>
        <v>6.3960444702898416</v>
      </c>
      <c r="AX201" s="3">
        <f>VLOOKUP($AB201,'2000 Seattle Tracts'!$C$2:$Y$374,AX$1,FALSE)*$Z201</f>
        <v>3.6341161763010463</v>
      </c>
    </row>
    <row r="202" spans="1:50" x14ac:dyDescent="0.25">
      <c r="A202" t="s">
        <v>2917</v>
      </c>
      <c r="B202" t="s">
        <v>2918</v>
      </c>
      <c r="C202" t="s">
        <v>3287</v>
      </c>
      <c r="D202" t="s">
        <v>2518</v>
      </c>
      <c r="E202" t="s">
        <v>2519</v>
      </c>
      <c r="F202" t="s">
        <v>2520</v>
      </c>
      <c r="G202" t="s">
        <v>2920</v>
      </c>
      <c r="H202" t="s">
        <v>2921</v>
      </c>
      <c r="I202">
        <v>9429739</v>
      </c>
      <c r="J202">
        <v>719984</v>
      </c>
      <c r="K202" t="s">
        <v>3431</v>
      </c>
      <c r="L202" t="s">
        <v>3432</v>
      </c>
      <c r="M202">
        <v>67</v>
      </c>
      <c r="N202">
        <v>49792.156000000003</v>
      </c>
      <c r="O202" t="s">
        <v>122</v>
      </c>
      <c r="P202">
        <v>18</v>
      </c>
      <c r="Q202">
        <v>12</v>
      </c>
      <c r="R202">
        <v>23</v>
      </c>
      <c r="S202">
        <v>82845392</v>
      </c>
      <c r="T202">
        <v>69</v>
      </c>
      <c r="U202">
        <v>167</v>
      </c>
      <c r="V202">
        <v>49792.15483538049</v>
      </c>
      <c r="W202">
        <v>82845389.347022861</v>
      </c>
      <c r="X202">
        <v>7507732.6919999998</v>
      </c>
      <c r="Y202">
        <f>VLOOKUP(AB202,'2000 Seattle Tracts'!$C$2:$Z$374,24,FALSE)</f>
        <v>9449275.4039999992</v>
      </c>
      <c r="Z202">
        <f t="shared" si="6"/>
        <v>0.79452998997382174</v>
      </c>
      <c r="AA202" t="s">
        <v>165</v>
      </c>
      <c r="AB202" t="str">
        <f t="shared" si="7"/>
        <v>Census Tract 93, King County, Washington</v>
      </c>
      <c r="AC202" s="3">
        <f>VLOOKUP($AB202,'2000 Seattle Tracts'!$C$2:$Y$374,AC$1,FALSE)*$Z202</f>
        <v>2035.5858343129312</v>
      </c>
      <c r="AD202" s="3">
        <f>VLOOKUP($AB202,'2000 Seattle Tracts'!$C$2:$Y$374,AD$1,FALSE)*$Z202</f>
        <v>1589.0599799476436</v>
      </c>
      <c r="AE202" s="3">
        <f>VLOOKUP($AB202,'2000 Seattle Tracts'!$C$2:$Y$374,AE$1,FALSE)*$Z202</f>
        <v>446.52585436528784</v>
      </c>
      <c r="AF202" s="3">
        <f>VLOOKUP($AB202,'2000 Seattle Tracts'!$C$2:$Y$374,AF$1,FALSE)*$Z202</f>
        <v>2035.5858343129312</v>
      </c>
      <c r="AG202" s="3">
        <f>VLOOKUP($AB202,'2000 Seattle Tracts'!$C$2:$Y$374,AG$1,FALSE)*$Z202</f>
        <v>1589.0599799476436</v>
      </c>
      <c r="AH202" s="3">
        <f>VLOOKUP($AB202,'2000 Seattle Tracts'!$C$2:$Y$374,AH$1,FALSE)*$Z202</f>
        <v>446.52585436528784</v>
      </c>
      <c r="AI202" s="3">
        <f>VLOOKUP($AB202,'2000 Seattle Tracts'!$C$2:$Y$374,AI$1,FALSE)*$Z202</f>
        <v>861.27050913162282</v>
      </c>
      <c r="AJ202" s="3">
        <f>VLOOKUP($AB202,'2000 Seattle Tracts'!$C$2:$Y$374,AJ$1,FALSE)*$Z202</f>
        <v>57.206159278115166</v>
      </c>
      <c r="AK202" s="3">
        <f>VLOOKUP($AB202,'2000 Seattle Tracts'!$C$2:$Y$374,AK$1,FALSE)*$Z202</f>
        <v>43.699149448560199</v>
      </c>
      <c r="AL202" s="3">
        <f>VLOOKUP($AB202,'2000 Seattle Tracts'!$C$2:$Y$374,AL$1,FALSE)*$Z202</f>
        <v>75.480349047513059</v>
      </c>
      <c r="AM202" s="3">
        <f>VLOOKUP($AB202,'2000 Seattle Tracts'!$C$2:$Y$374,AM$1,FALSE)*$Z202</f>
        <v>224.85198716259154</v>
      </c>
      <c r="AN202" s="3">
        <f>VLOOKUP($AB202,'2000 Seattle Tracts'!$C$2:$Y$374,AN$1,FALSE)*$Z202</f>
        <v>39.726499498691084</v>
      </c>
      <c r="AO202" s="3">
        <f>VLOOKUP($AB202,'2000 Seattle Tracts'!$C$2:$Y$374,AO$1,FALSE)*$Z202</f>
        <v>50.849919358324591</v>
      </c>
      <c r="AP202" s="3">
        <f>VLOOKUP($AB202,'2000 Seattle Tracts'!$C$2:$Y$374,AP$1,FALSE)*$Z202</f>
        <v>0</v>
      </c>
      <c r="AQ202" s="3">
        <f>VLOOKUP($AB202,'2000 Seattle Tracts'!$C$2:$Y$374,AQ$1,FALSE)*$Z202</f>
        <v>247.09882688185857</v>
      </c>
      <c r="AR202" s="3">
        <f>VLOOKUP($AB202,'2000 Seattle Tracts'!$C$2:$Y$374,AR$1,FALSE)*$Z202</f>
        <v>212.93403731298423</v>
      </c>
      <c r="AS202" s="3">
        <f>VLOOKUP($AB202,'2000 Seattle Tracts'!$C$2:$Y$374,AS$1,FALSE)*$Z202</f>
        <v>0</v>
      </c>
      <c r="AT202" s="3">
        <f>VLOOKUP($AB202,'2000 Seattle Tracts'!$C$2:$Y$374,AT$1,FALSE)*$Z202</f>
        <v>0</v>
      </c>
      <c r="AU202" s="3">
        <f>VLOOKUP($AB202,'2000 Seattle Tracts'!$C$2:$Y$374,AU$1,FALSE)*$Z202</f>
        <v>91.370948846989506</v>
      </c>
      <c r="AV202" s="3">
        <f>VLOOKUP($AB202,'2000 Seattle Tracts'!$C$2:$Y$374,AV$1,FALSE)*$Z202</f>
        <v>21.452309729293187</v>
      </c>
      <c r="AW202" s="3">
        <f>VLOOKUP($AB202,'2000 Seattle Tracts'!$C$2:$Y$374,AW$1,FALSE)*$Z202</f>
        <v>69.918639117696316</v>
      </c>
      <c r="AX202" s="3">
        <f>VLOOKUP($AB202,'2000 Seattle Tracts'!$C$2:$Y$374,AX$1,FALSE)*$Z202</f>
        <v>39.726499498691084</v>
      </c>
    </row>
    <row r="203" spans="1:50" x14ac:dyDescent="0.25">
      <c r="A203" t="s">
        <v>2917</v>
      </c>
      <c r="B203" t="s">
        <v>2918</v>
      </c>
      <c r="C203" t="s">
        <v>3287</v>
      </c>
      <c r="D203" t="s">
        <v>2518</v>
      </c>
      <c r="E203" t="s">
        <v>2519</v>
      </c>
      <c r="F203" t="s">
        <v>2520</v>
      </c>
      <c r="G203" t="s">
        <v>2920</v>
      </c>
      <c r="H203" t="s">
        <v>2921</v>
      </c>
      <c r="I203">
        <v>9429739</v>
      </c>
      <c r="J203">
        <v>719984</v>
      </c>
      <c r="K203" t="s">
        <v>3431</v>
      </c>
      <c r="L203" t="s">
        <v>3432</v>
      </c>
      <c r="M203">
        <v>68</v>
      </c>
      <c r="N203">
        <v>45963.663999999997</v>
      </c>
      <c r="O203" t="s">
        <v>122</v>
      </c>
      <c r="P203">
        <v>18</v>
      </c>
      <c r="Q203">
        <v>12</v>
      </c>
      <c r="R203">
        <v>81</v>
      </c>
      <c r="S203">
        <v>51305072</v>
      </c>
      <c r="T203">
        <v>70</v>
      </c>
      <c r="U203">
        <v>177</v>
      </c>
      <c r="V203">
        <v>45963.665676960663</v>
      </c>
      <c r="W203">
        <v>51305072.646258257</v>
      </c>
      <c r="X203">
        <v>1936.489</v>
      </c>
      <c r="Y203">
        <f>VLOOKUP(AB203,'2000 Seattle Tracts'!$C$2:$Z$374,24,FALSE)</f>
        <v>9449275.4039999992</v>
      </c>
      <c r="Z203">
        <f t="shared" si="6"/>
        <v>2.0493518467884421E-4</v>
      </c>
      <c r="AA203" t="s">
        <v>166</v>
      </c>
      <c r="AB203" t="str">
        <f t="shared" si="7"/>
        <v>Census Tract 93, King County, Washington</v>
      </c>
      <c r="AC203" s="3">
        <f>VLOOKUP($AB203,'2000 Seattle Tracts'!$C$2:$Y$374,AC$1,FALSE)*$Z203</f>
        <v>0.52504394314719882</v>
      </c>
      <c r="AD203" s="3">
        <f>VLOOKUP($AB203,'2000 Seattle Tracts'!$C$2:$Y$374,AD$1,FALSE)*$Z203</f>
        <v>0.40987036935768845</v>
      </c>
      <c r="AE203" s="3">
        <f>VLOOKUP($AB203,'2000 Seattle Tracts'!$C$2:$Y$374,AE$1,FALSE)*$Z203</f>
        <v>0.11517357378951044</v>
      </c>
      <c r="AF203" s="3">
        <f>VLOOKUP($AB203,'2000 Seattle Tracts'!$C$2:$Y$374,AF$1,FALSE)*$Z203</f>
        <v>0.52504394314719882</v>
      </c>
      <c r="AG203" s="3">
        <f>VLOOKUP($AB203,'2000 Seattle Tracts'!$C$2:$Y$374,AG$1,FALSE)*$Z203</f>
        <v>0.40987036935768845</v>
      </c>
      <c r="AH203" s="3">
        <f>VLOOKUP($AB203,'2000 Seattle Tracts'!$C$2:$Y$374,AH$1,FALSE)*$Z203</f>
        <v>0.11517357378951044</v>
      </c>
      <c r="AI203" s="3">
        <f>VLOOKUP($AB203,'2000 Seattle Tracts'!$C$2:$Y$374,AI$1,FALSE)*$Z203</f>
        <v>0.22214974019186712</v>
      </c>
      <c r="AJ203" s="3">
        <f>VLOOKUP($AB203,'2000 Seattle Tracts'!$C$2:$Y$374,AJ$1,FALSE)*$Z203</f>
        <v>1.4755333296876783E-2</v>
      </c>
      <c r="AK203" s="3">
        <f>VLOOKUP($AB203,'2000 Seattle Tracts'!$C$2:$Y$374,AK$1,FALSE)*$Z203</f>
        <v>1.1271435157336432E-2</v>
      </c>
      <c r="AL203" s="3">
        <f>VLOOKUP($AB203,'2000 Seattle Tracts'!$C$2:$Y$374,AL$1,FALSE)*$Z203</f>
        <v>1.94688425444902E-2</v>
      </c>
      <c r="AM203" s="3">
        <f>VLOOKUP($AB203,'2000 Seattle Tracts'!$C$2:$Y$374,AM$1,FALSE)*$Z203</f>
        <v>5.7996657264112912E-2</v>
      </c>
      <c r="AN203" s="3">
        <f>VLOOKUP($AB203,'2000 Seattle Tracts'!$C$2:$Y$374,AN$1,FALSE)*$Z203</f>
        <v>1.024675923394221E-2</v>
      </c>
      <c r="AO203" s="3">
        <f>VLOOKUP($AB203,'2000 Seattle Tracts'!$C$2:$Y$374,AO$1,FALSE)*$Z203</f>
        <v>1.311585181944603E-2</v>
      </c>
      <c r="AP203" s="3">
        <f>VLOOKUP($AB203,'2000 Seattle Tracts'!$C$2:$Y$374,AP$1,FALSE)*$Z203</f>
        <v>0</v>
      </c>
      <c r="AQ203" s="3">
        <f>VLOOKUP($AB203,'2000 Seattle Tracts'!$C$2:$Y$374,AQ$1,FALSE)*$Z203</f>
        <v>6.3734842435120551E-2</v>
      </c>
      <c r="AR203" s="3">
        <f>VLOOKUP($AB203,'2000 Seattle Tracts'!$C$2:$Y$374,AR$1,FALSE)*$Z203</f>
        <v>5.4922629493930251E-2</v>
      </c>
      <c r="AS203" s="3">
        <f>VLOOKUP($AB203,'2000 Seattle Tracts'!$C$2:$Y$374,AS$1,FALSE)*$Z203</f>
        <v>0</v>
      </c>
      <c r="AT203" s="3">
        <f>VLOOKUP($AB203,'2000 Seattle Tracts'!$C$2:$Y$374,AT$1,FALSE)*$Z203</f>
        <v>0</v>
      </c>
      <c r="AU203" s="3">
        <f>VLOOKUP($AB203,'2000 Seattle Tracts'!$C$2:$Y$374,AU$1,FALSE)*$Z203</f>
        <v>2.3567546238067085E-2</v>
      </c>
      <c r="AV203" s="3">
        <f>VLOOKUP($AB203,'2000 Seattle Tracts'!$C$2:$Y$374,AV$1,FALSE)*$Z203</f>
        <v>5.5332499863287934E-3</v>
      </c>
      <c r="AW203" s="3">
        <f>VLOOKUP($AB203,'2000 Seattle Tracts'!$C$2:$Y$374,AW$1,FALSE)*$Z203</f>
        <v>1.8034296251738292E-2</v>
      </c>
      <c r="AX203" s="3">
        <f>VLOOKUP($AB203,'2000 Seattle Tracts'!$C$2:$Y$374,AX$1,FALSE)*$Z203</f>
        <v>1.024675923394221E-2</v>
      </c>
    </row>
    <row r="204" spans="1:50" x14ac:dyDescent="0.25">
      <c r="A204" t="s">
        <v>2917</v>
      </c>
      <c r="B204" t="s">
        <v>2918</v>
      </c>
      <c r="C204" t="s">
        <v>3287</v>
      </c>
      <c r="D204" t="s">
        <v>2518</v>
      </c>
      <c r="E204" t="s">
        <v>2519</v>
      </c>
      <c r="F204" t="s">
        <v>2520</v>
      </c>
      <c r="G204" t="s">
        <v>2920</v>
      </c>
      <c r="H204" t="s">
        <v>2921</v>
      </c>
      <c r="I204">
        <v>9429739</v>
      </c>
      <c r="J204">
        <v>719984</v>
      </c>
      <c r="K204" t="s">
        <v>3431</v>
      </c>
      <c r="L204" t="s">
        <v>3432</v>
      </c>
      <c r="M204">
        <v>79</v>
      </c>
      <c r="N204">
        <v>33865.487999999998</v>
      </c>
      <c r="O204" t="s">
        <v>179</v>
      </c>
      <c r="P204">
        <v>17</v>
      </c>
      <c r="Q204">
        <v>5</v>
      </c>
      <c r="R204">
        <v>9</v>
      </c>
      <c r="S204">
        <v>48475916</v>
      </c>
      <c r="T204">
        <v>81</v>
      </c>
      <c r="U204">
        <v>166</v>
      </c>
      <c r="V204">
        <v>33865.489173990143</v>
      </c>
      <c r="W204">
        <v>48475914.455668777</v>
      </c>
      <c r="X204">
        <v>648088.61100000003</v>
      </c>
      <c r="Y204">
        <f>VLOOKUP(AB204,'2000 Seattle Tracts'!$C$2:$Z$374,24,FALSE)</f>
        <v>9449275.4039999992</v>
      </c>
      <c r="Z204">
        <f t="shared" si="6"/>
        <v>6.8586064358506879E-2</v>
      </c>
      <c r="AA204" t="s">
        <v>178</v>
      </c>
      <c r="AB204" t="str">
        <f t="shared" si="7"/>
        <v>Census Tract 93, King County, Washington</v>
      </c>
      <c r="AC204" s="3">
        <f>VLOOKUP($AB204,'2000 Seattle Tracts'!$C$2:$Y$374,AC$1,FALSE)*$Z204</f>
        <v>175.71749688649462</v>
      </c>
      <c r="AD204" s="3">
        <f>VLOOKUP($AB204,'2000 Seattle Tracts'!$C$2:$Y$374,AD$1,FALSE)*$Z204</f>
        <v>137.17212871701375</v>
      </c>
      <c r="AE204" s="3">
        <f>VLOOKUP($AB204,'2000 Seattle Tracts'!$C$2:$Y$374,AE$1,FALSE)*$Z204</f>
        <v>38.545368169480867</v>
      </c>
      <c r="AF204" s="3">
        <f>VLOOKUP($AB204,'2000 Seattle Tracts'!$C$2:$Y$374,AF$1,FALSE)*$Z204</f>
        <v>175.71749688649462</v>
      </c>
      <c r="AG204" s="3">
        <f>VLOOKUP($AB204,'2000 Seattle Tracts'!$C$2:$Y$374,AG$1,FALSE)*$Z204</f>
        <v>137.17212871701375</v>
      </c>
      <c r="AH204" s="3">
        <f>VLOOKUP($AB204,'2000 Seattle Tracts'!$C$2:$Y$374,AH$1,FALSE)*$Z204</f>
        <v>38.545368169480867</v>
      </c>
      <c r="AI204" s="3">
        <f>VLOOKUP($AB204,'2000 Seattle Tracts'!$C$2:$Y$374,AI$1,FALSE)*$Z204</f>
        <v>74.347293764621455</v>
      </c>
      <c r="AJ204" s="3">
        <f>VLOOKUP($AB204,'2000 Seattle Tracts'!$C$2:$Y$374,AJ$1,FALSE)*$Z204</f>
        <v>4.9381966338124954</v>
      </c>
      <c r="AK204" s="3">
        <f>VLOOKUP($AB204,'2000 Seattle Tracts'!$C$2:$Y$374,AK$1,FALSE)*$Z204</f>
        <v>3.7722335397178783</v>
      </c>
      <c r="AL204" s="3">
        <f>VLOOKUP($AB204,'2000 Seattle Tracts'!$C$2:$Y$374,AL$1,FALSE)*$Z204</f>
        <v>6.5156761140581532</v>
      </c>
      <c r="AM204" s="3">
        <f>VLOOKUP($AB204,'2000 Seattle Tracts'!$C$2:$Y$374,AM$1,FALSE)*$Z204</f>
        <v>19.409856213457445</v>
      </c>
      <c r="AN204" s="3">
        <f>VLOOKUP($AB204,'2000 Seattle Tracts'!$C$2:$Y$374,AN$1,FALSE)*$Z204</f>
        <v>3.429303217925344</v>
      </c>
      <c r="AO204" s="3">
        <f>VLOOKUP($AB204,'2000 Seattle Tracts'!$C$2:$Y$374,AO$1,FALSE)*$Z204</f>
        <v>4.3895081189444403</v>
      </c>
      <c r="AP204" s="3">
        <f>VLOOKUP($AB204,'2000 Seattle Tracts'!$C$2:$Y$374,AP$1,FALSE)*$Z204</f>
        <v>0</v>
      </c>
      <c r="AQ204" s="3">
        <f>VLOOKUP($AB204,'2000 Seattle Tracts'!$C$2:$Y$374,AQ$1,FALSE)*$Z204</f>
        <v>21.330266015495638</v>
      </c>
      <c r="AR204" s="3">
        <f>VLOOKUP($AB204,'2000 Seattle Tracts'!$C$2:$Y$374,AR$1,FALSE)*$Z204</f>
        <v>18.381065248079842</v>
      </c>
      <c r="AS204" s="3">
        <f>VLOOKUP($AB204,'2000 Seattle Tracts'!$C$2:$Y$374,AS$1,FALSE)*$Z204</f>
        <v>0</v>
      </c>
      <c r="AT204" s="3">
        <f>VLOOKUP($AB204,'2000 Seattle Tracts'!$C$2:$Y$374,AT$1,FALSE)*$Z204</f>
        <v>0</v>
      </c>
      <c r="AU204" s="3">
        <f>VLOOKUP($AB204,'2000 Seattle Tracts'!$C$2:$Y$374,AU$1,FALSE)*$Z204</f>
        <v>7.8873974012282915</v>
      </c>
      <c r="AV204" s="3">
        <f>VLOOKUP($AB204,'2000 Seattle Tracts'!$C$2:$Y$374,AV$1,FALSE)*$Z204</f>
        <v>1.8518237376796858</v>
      </c>
      <c r="AW204" s="3">
        <f>VLOOKUP($AB204,'2000 Seattle Tracts'!$C$2:$Y$374,AW$1,FALSE)*$Z204</f>
        <v>6.0355736635486057</v>
      </c>
      <c r="AX204" s="3">
        <f>VLOOKUP($AB204,'2000 Seattle Tracts'!$C$2:$Y$374,AX$1,FALSE)*$Z204</f>
        <v>3.429303217925344</v>
      </c>
    </row>
    <row r="205" spans="1:50" x14ac:dyDescent="0.25">
      <c r="A205" t="s">
        <v>2917</v>
      </c>
      <c r="B205" t="s">
        <v>2918</v>
      </c>
      <c r="C205" t="s">
        <v>3287</v>
      </c>
      <c r="D205" t="s">
        <v>2518</v>
      </c>
      <c r="E205" t="s">
        <v>2519</v>
      </c>
      <c r="F205" t="s">
        <v>2520</v>
      </c>
      <c r="G205" t="s">
        <v>2920</v>
      </c>
      <c r="H205" t="s">
        <v>2921</v>
      </c>
      <c r="I205">
        <v>9429739</v>
      </c>
      <c r="J205">
        <v>719984</v>
      </c>
      <c r="K205" t="s">
        <v>3431</v>
      </c>
      <c r="L205" t="s">
        <v>3432</v>
      </c>
      <c r="M205">
        <v>80</v>
      </c>
      <c r="N205">
        <v>40522.184000000001</v>
      </c>
      <c r="O205" t="s">
        <v>179</v>
      </c>
      <c r="P205">
        <v>17</v>
      </c>
      <c r="Q205">
        <v>5</v>
      </c>
      <c r="R205">
        <v>95</v>
      </c>
      <c r="S205">
        <v>52620472</v>
      </c>
      <c r="T205">
        <v>82</v>
      </c>
      <c r="U205">
        <v>172</v>
      </c>
      <c r="V205">
        <v>40522.182927532267</v>
      </c>
      <c r="W205">
        <v>52620470.788550943</v>
      </c>
      <c r="X205">
        <v>561529.34299999999</v>
      </c>
      <c r="Y205">
        <f>VLOOKUP(AB205,'2000 Seattle Tracts'!$C$2:$Z$374,24,FALSE)</f>
        <v>9449275.4039999992</v>
      </c>
      <c r="Z205">
        <f t="shared" si="6"/>
        <v>5.9425651067625505E-2</v>
      </c>
      <c r="AA205" t="s">
        <v>180</v>
      </c>
      <c r="AB205" t="str">
        <f t="shared" si="7"/>
        <v>Census Tract 93, King County, Washington</v>
      </c>
      <c r="AC205" s="3">
        <f>VLOOKUP($AB205,'2000 Seattle Tracts'!$C$2:$Y$374,AC$1,FALSE)*$Z205</f>
        <v>152.24851803525655</v>
      </c>
      <c r="AD205" s="3">
        <f>VLOOKUP($AB205,'2000 Seattle Tracts'!$C$2:$Y$374,AD$1,FALSE)*$Z205</f>
        <v>118.851302135251</v>
      </c>
      <c r="AE205" s="3">
        <f>VLOOKUP($AB205,'2000 Seattle Tracts'!$C$2:$Y$374,AE$1,FALSE)*$Z205</f>
        <v>33.397215900005534</v>
      </c>
      <c r="AF205" s="3">
        <f>VLOOKUP($AB205,'2000 Seattle Tracts'!$C$2:$Y$374,AF$1,FALSE)*$Z205</f>
        <v>152.24851803525655</v>
      </c>
      <c r="AG205" s="3">
        <f>VLOOKUP($AB205,'2000 Seattle Tracts'!$C$2:$Y$374,AG$1,FALSE)*$Z205</f>
        <v>118.851302135251</v>
      </c>
      <c r="AH205" s="3">
        <f>VLOOKUP($AB205,'2000 Seattle Tracts'!$C$2:$Y$374,AH$1,FALSE)*$Z205</f>
        <v>33.397215900005534</v>
      </c>
      <c r="AI205" s="3">
        <f>VLOOKUP($AB205,'2000 Seattle Tracts'!$C$2:$Y$374,AI$1,FALSE)*$Z205</f>
        <v>64.417405757306042</v>
      </c>
      <c r="AJ205" s="3">
        <f>VLOOKUP($AB205,'2000 Seattle Tracts'!$C$2:$Y$374,AJ$1,FALSE)*$Z205</f>
        <v>4.2786468768690362</v>
      </c>
      <c r="AK205" s="3">
        <f>VLOOKUP($AB205,'2000 Seattle Tracts'!$C$2:$Y$374,AK$1,FALSE)*$Z205</f>
        <v>3.2684108087194028</v>
      </c>
      <c r="AL205" s="3">
        <f>VLOOKUP($AB205,'2000 Seattle Tracts'!$C$2:$Y$374,AL$1,FALSE)*$Z205</f>
        <v>5.6454368514244226</v>
      </c>
      <c r="AM205" s="3">
        <f>VLOOKUP($AB205,'2000 Seattle Tracts'!$C$2:$Y$374,AM$1,FALSE)*$Z205</f>
        <v>16.817459252138018</v>
      </c>
      <c r="AN205" s="3">
        <f>VLOOKUP($AB205,'2000 Seattle Tracts'!$C$2:$Y$374,AN$1,FALSE)*$Z205</f>
        <v>2.9712825533812754</v>
      </c>
      <c r="AO205" s="3">
        <f>VLOOKUP($AB205,'2000 Seattle Tracts'!$C$2:$Y$374,AO$1,FALSE)*$Z205</f>
        <v>3.8032416683280323</v>
      </c>
      <c r="AP205" s="3">
        <f>VLOOKUP($AB205,'2000 Seattle Tracts'!$C$2:$Y$374,AP$1,FALSE)*$Z205</f>
        <v>0</v>
      </c>
      <c r="AQ205" s="3">
        <f>VLOOKUP($AB205,'2000 Seattle Tracts'!$C$2:$Y$374,AQ$1,FALSE)*$Z205</f>
        <v>18.481377482031533</v>
      </c>
      <c r="AR205" s="3">
        <f>VLOOKUP($AB205,'2000 Seattle Tracts'!$C$2:$Y$374,AR$1,FALSE)*$Z205</f>
        <v>15.926074486123635</v>
      </c>
      <c r="AS205" s="3">
        <f>VLOOKUP($AB205,'2000 Seattle Tracts'!$C$2:$Y$374,AS$1,FALSE)*$Z205</f>
        <v>0</v>
      </c>
      <c r="AT205" s="3">
        <f>VLOOKUP($AB205,'2000 Seattle Tracts'!$C$2:$Y$374,AT$1,FALSE)*$Z205</f>
        <v>0</v>
      </c>
      <c r="AU205" s="3">
        <f>VLOOKUP($AB205,'2000 Seattle Tracts'!$C$2:$Y$374,AU$1,FALSE)*$Z205</f>
        <v>6.833949872776933</v>
      </c>
      <c r="AV205" s="3">
        <f>VLOOKUP($AB205,'2000 Seattle Tracts'!$C$2:$Y$374,AV$1,FALSE)*$Z205</f>
        <v>1.6044925788258886</v>
      </c>
      <c r="AW205" s="3">
        <f>VLOOKUP($AB205,'2000 Seattle Tracts'!$C$2:$Y$374,AW$1,FALSE)*$Z205</f>
        <v>5.2294572939510449</v>
      </c>
      <c r="AX205" s="3">
        <f>VLOOKUP($AB205,'2000 Seattle Tracts'!$C$2:$Y$374,AX$1,FALSE)*$Z205</f>
        <v>2.9712825533812754</v>
      </c>
    </row>
    <row r="206" spans="1:50" x14ac:dyDescent="0.25">
      <c r="A206" t="s">
        <v>2917</v>
      </c>
      <c r="B206" t="s">
        <v>2918</v>
      </c>
      <c r="C206" t="s">
        <v>3284</v>
      </c>
      <c r="D206" t="s">
        <v>2521</v>
      </c>
      <c r="E206" t="s">
        <v>2522</v>
      </c>
      <c r="F206" t="s">
        <v>2523</v>
      </c>
      <c r="G206" t="s">
        <v>2920</v>
      </c>
      <c r="H206" t="s">
        <v>2921</v>
      </c>
      <c r="I206">
        <v>330171</v>
      </c>
      <c r="J206">
        <v>154864</v>
      </c>
      <c r="K206" t="s">
        <v>3285</v>
      </c>
      <c r="L206" t="s">
        <v>3286</v>
      </c>
      <c r="M206">
        <v>61</v>
      </c>
      <c r="N206">
        <v>11772.387000000001</v>
      </c>
      <c r="O206" t="s">
        <v>156</v>
      </c>
      <c r="P206">
        <v>13</v>
      </c>
      <c r="Q206">
        <v>11</v>
      </c>
      <c r="R206">
        <v>94</v>
      </c>
      <c r="S206">
        <v>6169376</v>
      </c>
      <c r="T206">
        <v>63</v>
      </c>
      <c r="U206">
        <v>164</v>
      </c>
      <c r="V206">
        <v>11772.387141002069</v>
      </c>
      <c r="W206">
        <v>6169375.8166330215</v>
      </c>
      <c r="X206">
        <v>120490.95</v>
      </c>
      <c r="Y206">
        <f>VLOOKUP(AB206,'2000 Seattle Tracts'!$C$2:$Z$374,24,FALSE)</f>
        <v>305170.19099999999</v>
      </c>
      <c r="Z206">
        <f t="shared" si="6"/>
        <v>0.39483197754396659</v>
      </c>
      <c r="AA206" t="s">
        <v>158</v>
      </c>
      <c r="AB206" t="str">
        <f t="shared" si="7"/>
        <v>Census Tract 92, King County, Washington</v>
      </c>
      <c r="AC206" s="3">
        <f>VLOOKUP($AB206,'2000 Seattle Tracts'!$C$2:$Y$374,AC$1,FALSE)*$Z206</f>
        <v>776.63449982898226</v>
      </c>
      <c r="AD206" s="3">
        <f>VLOOKUP($AB206,'2000 Seattle Tracts'!$C$2:$Y$374,AD$1,FALSE)*$Z206</f>
        <v>442.60664682678657</v>
      </c>
      <c r="AE206" s="3">
        <f>VLOOKUP($AB206,'2000 Seattle Tracts'!$C$2:$Y$374,AE$1,FALSE)*$Z206</f>
        <v>334.02785300219574</v>
      </c>
      <c r="AF206" s="3">
        <f>VLOOKUP($AB206,'2000 Seattle Tracts'!$C$2:$Y$374,AF$1,FALSE)*$Z206</f>
        <v>776.63449982898226</v>
      </c>
      <c r="AG206" s="3">
        <f>VLOOKUP($AB206,'2000 Seattle Tracts'!$C$2:$Y$374,AG$1,FALSE)*$Z206</f>
        <v>442.60664682678657</v>
      </c>
      <c r="AH206" s="3">
        <f>VLOOKUP($AB206,'2000 Seattle Tracts'!$C$2:$Y$374,AH$1,FALSE)*$Z206</f>
        <v>334.02785300219574</v>
      </c>
      <c r="AI206" s="3">
        <f>VLOOKUP($AB206,'2000 Seattle Tracts'!$C$2:$Y$374,AI$1,FALSE)*$Z206</f>
        <v>304.41545468639822</v>
      </c>
      <c r="AJ206" s="3">
        <f>VLOOKUP($AB206,'2000 Seattle Tracts'!$C$2:$Y$374,AJ$1,FALSE)*$Z206</f>
        <v>28.822734360709561</v>
      </c>
      <c r="AK206" s="3">
        <f>VLOOKUP($AB206,'2000 Seattle Tracts'!$C$2:$Y$374,AK$1,FALSE)*$Z206</f>
        <v>10.265631416143131</v>
      </c>
      <c r="AL206" s="3">
        <f>VLOOKUP($AB206,'2000 Seattle Tracts'!$C$2:$Y$374,AL$1,FALSE)*$Z206</f>
        <v>32.771054136149225</v>
      </c>
      <c r="AM206" s="3">
        <f>VLOOKUP($AB206,'2000 Seattle Tracts'!$C$2:$Y$374,AM$1,FALSE)*$Z206</f>
        <v>60.409292564226888</v>
      </c>
      <c r="AN206" s="3">
        <f>VLOOKUP($AB206,'2000 Seattle Tracts'!$C$2:$Y$374,AN$1,FALSE)*$Z206</f>
        <v>11.055295371231065</v>
      </c>
      <c r="AO206" s="3">
        <f>VLOOKUP($AB206,'2000 Seattle Tracts'!$C$2:$Y$374,AO$1,FALSE)*$Z206</f>
        <v>25.664078540357828</v>
      </c>
      <c r="AP206" s="3">
        <f>VLOOKUP($AB206,'2000 Seattle Tracts'!$C$2:$Y$374,AP$1,FALSE)*$Z206</f>
        <v>3.9483197754396659</v>
      </c>
      <c r="AQ206" s="3">
        <f>VLOOKUP($AB206,'2000 Seattle Tracts'!$C$2:$Y$374,AQ$1,FALSE)*$Z206</f>
        <v>3.9483197754396659</v>
      </c>
      <c r="AR206" s="3">
        <f>VLOOKUP($AB206,'2000 Seattle Tracts'!$C$2:$Y$374,AR$1,FALSE)*$Z206</f>
        <v>216.36792369409369</v>
      </c>
      <c r="AS206" s="3">
        <f>VLOOKUP($AB206,'2000 Seattle Tracts'!$C$2:$Y$374,AS$1,FALSE)*$Z206</f>
        <v>0</v>
      </c>
      <c r="AT206" s="3">
        <f>VLOOKUP($AB206,'2000 Seattle Tracts'!$C$2:$Y$374,AT$1,FALSE)*$Z206</f>
        <v>0</v>
      </c>
      <c r="AU206" s="3">
        <f>VLOOKUP($AB206,'2000 Seattle Tracts'!$C$2:$Y$374,AU$1,FALSE)*$Z206</f>
        <v>4.3431517529836325</v>
      </c>
      <c r="AV206" s="3">
        <f>VLOOKUP($AB206,'2000 Seattle Tracts'!$C$2:$Y$374,AV$1,FALSE)*$Z206</f>
        <v>9.870799438599164</v>
      </c>
      <c r="AW206" s="3">
        <f>VLOOKUP($AB206,'2000 Seattle Tracts'!$C$2:$Y$374,AW$1,FALSE)*$Z206</f>
        <v>33.560718091237163</v>
      </c>
      <c r="AX206" s="3">
        <f>VLOOKUP($AB206,'2000 Seattle Tracts'!$C$2:$Y$374,AX$1,FALSE)*$Z206</f>
        <v>31.191726225973362</v>
      </c>
    </row>
    <row r="207" spans="1:50" x14ac:dyDescent="0.25">
      <c r="A207" t="s">
        <v>2917</v>
      </c>
      <c r="B207" t="s">
        <v>2918</v>
      </c>
      <c r="C207" t="s">
        <v>3284</v>
      </c>
      <c r="D207" t="s">
        <v>2521</v>
      </c>
      <c r="E207" t="s">
        <v>2522</v>
      </c>
      <c r="F207" t="s">
        <v>2523</v>
      </c>
      <c r="G207" t="s">
        <v>2920</v>
      </c>
      <c r="H207" t="s">
        <v>2921</v>
      </c>
      <c r="I207">
        <v>330171</v>
      </c>
      <c r="J207">
        <v>154864</v>
      </c>
      <c r="K207" t="s">
        <v>3285</v>
      </c>
      <c r="L207" t="s">
        <v>3286</v>
      </c>
      <c r="M207">
        <v>64</v>
      </c>
      <c r="N207">
        <v>9611.3540000000012</v>
      </c>
      <c r="O207" t="s">
        <v>156</v>
      </c>
      <c r="P207">
        <v>13</v>
      </c>
      <c r="Q207">
        <v>11</v>
      </c>
      <c r="R207">
        <v>81</v>
      </c>
      <c r="S207">
        <v>5348937.5</v>
      </c>
      <c r="T207">
        <v>66</v>
      </c>
      <c r="U207">
        <v>162</v>
      </c>
      <c r="V207">
        <v>9611.3535464166052</v>
      </c>
      <c r="W207">
        <v>5348937.2476122174</v>
      </c>
      <c r="X207">
        <v>4244.6710000000003</v>
      </c>
      <c r="Y207">
        <f>VLOOKUP(AB207,'2000 Seattle Tracts'!$C$2:$Z$374,24,FALSE)</f>
        <v>305170.19099999999</v>
      </c>
      <c r="Z207">
        <f t="shared" si="6"/>
        <v>1.3909192723217192E-2</v>
      </c>
      <c r="AA207" t="s">
        <v>161</v>
      </c>
      <c r="AB207" t="str">
        <f t="shared" si="7"/>
        <v>Census Tract 92, King County, Washington</v>
      </c>
      <c r="AC207" s="3">
        <f>VLOOKUP($AB207,'2000 Seattle Tracts'!$C$2:$Y$374,AC$1,FALSE)*$Z207</f>
        <v>27.359382086568218</v>
      </c>
      <c r="AD207" s="3">
        <f>VLOOKUP($AB207,'2000 Seattle Tracts'!$C$2:$Y$374,AD$1,FALSE)*$Z207</f>
        <v>15.592205042726471</v>
      </c>
      <c r="AE207" s="3">
        <f>VLOOKUP($AB207,'2000 Seattle Tracts'!$C$2:$Y$374,AE$1,FALSE)*$Z207</f>
        <v>11.767177043841745</v>
      </c>
      <c r="AF207" s="3">
        <f>VLOOKUP($AB207,'2000 Seattle Tracts'!$C$2:$Y$374,AF$1,FALSE)*$Z207</f>
        <v>27.359382086568218</v>
      </c>
      <c r="AG207" s="3">
        <f>VLOOKUP($AB207,'2000 Seattle Tracts'!$C$2:$Y$374,AG$1,FALSE)*$Z207</f>
        <v>15.592205042726471</v>
      </c>
      <c r="AH207" s="3">
        <f>VLOOKUP($AB207,'2000 Seattle Tracts'!$C$2:$Y$374,AH$1,FALSE)*$Z207</f>
        <v>11.767177043841745</v>
      </c>
      <c r="AI207" s="3">
        <f>VLOOKUP($AB207,'2000 Seattle Tracts'!$C$2:$Y$374,AI$1,FALSE)*$Z207</f>
        <v>10.723987589600455</v>
      </c>
      <c r="AJ207" s="3">
        <f>VLOOKUP($AB207,'2000 Seattle Tracts'!$C$2:$Y$374,AJ$1,FALSE)*$Z207</f>
        <v>1.0153710687948549</v>
      </c>
      <c r="AK207" s="3">
        <f>VLOOKUP($AB207,'2000 Seattle Tracts'!$C$2:$Y$374,AK$1,FALSE)*$Z207</f>
        <v>0.36163901080364697</v>
      </c>
      <c r="AL207" s="3">
        <f>VLOOKUP($AB207,'2000 Seattle Tracts'!$C$2:$Y$374,AL$1,FALSE)*$Z207</f>
        <v>1.154462996027027</v>
      </c>
      <c r="AM207" s="3">
        <f>VLOOKUP($AB207,'2000 Seattle Tracts'!$C$2:$Y$374,AM$1,FALSE)*$Z207</f>
        <v>2.1281064866522303</v>
      </c>
      <c r="AN207" s="3">
        <f>VLOOKUP($AB207,'2000 Seattle Tracts'!$C$2:$Y$374,AN$1,FALSE)*$Z207</f>
        <v>0.38945739625008136</v>
      </c>
      <c r="AO207" s="3">
        <f>VLOOKUP($AB207,'2000 Seattle Tracts'!$C$2:$Y$374,AO$1,FALSE)*$Z207</f>
        <v>0.9040975270091175</v>
      </c>
      <c r="AP207" s="3">
        <f>VLOOKUP($AB207,'2000 Seattle Tracts'!$C$2:$Y$374,AP$1,FALSE)*$Z207</f>
        <v>0.13909192723217192</v>
      </c>
      <c r="AQ207" s="3">
        <f>VLOOKUP($AB207,'2000 Seattle Tracts'!$C$2:$Y$374,AQ$1,FALSE)*$Z207</f>
        <v>0.13909192723217192</v>
      </c>
      <c r="AR207" s="3">
        <f>VLOOKUP($AB207,'2000 Seattle Tracts'!$C$2:$Y$374,AR$1,FALSE)*$Z207</f>
        <v>7.6222376123230209</v>
      </c>
      <c r="AS207" s="3">
        <f>VLOOKUP($AB207,'2000 Seattle Tracts'!$C$2:$Y$374,AS$1,FALSE)*$Z207</f>
        <v>0</v>
      </c>
      <c r="AT207" s="3">
        <f>VLOOKUP($AB207,'2000 Seattle Tracts'!$C$2:$Y$374,AT$1,FALSE)*$Z207</f>
        <v>0</v>
      </c>
      <c r="AU207" s="3">
        <f>VLOOKUP($AB207,'2000 Seattle Tracts'!$C$2:$Y$374,AU$1,FALSE)*$Z207</f>
        <v>0.15300111995538912</v>
      </c>
      <c r="AV207" s="3">
        <f>VLOOKUP($AB207,'2000 Seattle Tracts'!$C$2:$Y$374,AV$1,FALSE)*$Z207</f>
        <v>0.3477298180804298</v>
      </c>
      <c r="AW207" s="3">
        <f>VLOOKUP($AB207,'2000 Seattle Tracts'!$C$2:$Y$374,AW$1,FALSE)*$Z207</f>
        <v>1.1822813814734614</v>
      </c>
      <c r="AX207" s="3">
        <f>VLOOKUP($AB207,'2000 Seattle Tracts'!$C$2:$Y$374,AX$1,FALSE)*$Z207</f>
        <v>1.0988262251341581</v>
      </c>
    </row>
    <row r="208" spans="1:50" x14ac:dyDescent="0.25">
      <c r="A208" t="s">
        <v>2917</v>
      </c>
      <c r="B208" t="s">
        <v>2918</v>
      </c>
      <c r="C208" t="s">
        <v>3284</v>
      </c>
      <c r="D208" t="s">
        <v>2521</v>
      </c>
      <c r="E208" t="s">
        <v>2522</v>
      </c>
      <c r="F208" t="s">
        <v>2523</v>
      </c>
      <c r="G208" t="s">
        <v>2920</v>
      </c>
      <c r="H208" t="s">
        <v>2921</v>
      </c>
      <c r="I208">
        <v>330171</v>
      </c>
      <c r="J208">
        <v>154864</v>
      </c>
      <c r="K208" t="s">
        <v>3285</v>
      </c>
      <c r="L208" t="s">
        <v>3286</v>
      </c>
      <c r="M208">
        <v>65</v>
      </c>
      <c r="N208">
        <v>19289.812999999998</v>
      </c>
      <c r="O208" t="s">
        <v>156</v>
      </c>
      <c r="P208">
        <v>13</v>
      </c>
      <c r="Q208">
        <v>11</v>
      </c>
      <c r="R208">
        <v>33</v>
      </c>
      <c r="S208">
        <v>11474029</v>
      </c>
      <c r="T208">
        <v>67</v>
      </c>
      <c r="U208">
        <v>163</v>
      </c>
      <c r="V208">
        <v>19289.812175002899</v>
      </c>
      <c r="W208">
        <v>11474028.647624191</v>
      </c>
      <c r="X208">
        <v>180218.17300000001</v>
      </c>
      <c r="Y208">
        <f>VLOOKUP(AB208,'2000 Seattle Tracts'!$C$2:$Z$374,24,FALSE)</f>
        <v>305170.19099999999</v>
      </c>
      <c r="Z208">
        <f t="shared" si="6"/>
        <v>0.59054972705378039</v>
      </c>
      <c r="AA208" t="s">
        <v>162</v>
      </c>
      <c r="AB208" t="str">
        <f t="shared" si="7"/>
        <v>Census Tract 92, King County, Washington</v>
      </c>
      <c r="AC208" s="3">
        <f>VLOOKUP($AB208,'2000 Seattle Tracts'!$C$2:$Y$374,AC$1,FALSE)*$Z208</f>
        <v>1161.6113131147861</v>
      </c>
      <c r="AD208" s="3">
        <f>VLOOKUP($AB208,'2000 Seattle Tracts'!$C$2:$Y$374,AD$1,FALSE)*$Z208</f>
        <v>662.00624402728783</v>
      </c>
      <c r="AE208" s="3">
        <f>VLOOKUP($AB208,'2000 Seattle Tracts'!$C$2:$Y$374,AE$1,FALSE)*$Z208</f>
        <v>499.60506908749824</v>
      </c>
      <c r="AF208" s="3">
        <f>VLOOKUP($AB208,'2000 Seattle Tracts'!$C$2:$Y$374,AF$1,FALSE)*$Z208</f>
        <v>1161.6113131147861</v>
      </c>
      <c r="AG208" s="3">
        <f>VLOOKUP($AB208,'2000 Seattle Tracts'!$C$2:$Y$374,AG$1,FALSE)*$Z208</f>
        <v>662.00624402728783</v>
      </c>
      <c r="AH208" s="3">
        <f>VLOOKUP($AB208,'2000 Seattle Tracts'!$C$2:$Y$374,AH$1,FALSE)*$Z208</f>
        <v>499.60506908749824</v>
      </c>
      <c r="AI208" s="3">
        <f>VLOOKUP($AB208,'2000 Seattle Tracts'!$C$2:$Y$374,AI$1,FALSE)*$Z208</f>
        <v>455.31383955846468</v>
      </c>
      <c r="AJ208" s="3">
        <f>VLOOKUP($AB208,'2000 Seattle Tracts'!$C$2:$Y$374,AJ$1,FALSE)*$Z208</f>
        <v>43.110130074925969</v>
      </c>
      <c r="AK208" s="3">
        <f>VLOOKUP($AB208,'2000 Seattle Tracts'!$C$2:$Y$374,AK$1,FALSE)*$Z208</f>
        <v>15.35429290339829</v>
      </c>
      <c r="AL208" s="3">
        <f>VLOOKUP($AB208,'2000 Seattle Tracts'!$C$2:$Y$374,AL$1,FALSE)*$Z208</f>
        <v>49.01562734546377</v>
      </c>
      <c r="AM208" s="3">
        <f>VLOOKUP($AB208,'2000 Seattle Tracts'!$C$2:$Y$374,AM$1,FALSE)*$Z208</f>
        <v>90.354108239228395</v>
      </c>
      <c r="AN208" s="3">
        <f>VLOOKUP($AB208,'2000 Seattle Tracts'!$C$2:$Y$374,AN$1,FALSE)*$Z208</f>
        <v>16.535392357505852</v>
      </c>
      <c r="AO208" s="3">
        <f>VLOOKUP($AB208,'2000 Seattle Tracts'!$C$2:$Y$374,AO$1,FALSE)*$Z208</f>
        <v>38.385732258495729</v>
      </c>
      <c r="AP208" s="3">
        <f>VLOOKUP($AB208,'2000 Seattle Tracts'!$C$2:$Y$374,AP$1,FALSE)*$Z208</f>
        <v>5.9054972705378042</v>
      </c>
      <c r="AQ208" s="3">
        <f>VLOOKUP($AB208,'2000 Seattle Tracts'!$C$2:$Y$374,AQ$1,FALSE)*$Z208</f>
        <v>5.9054972705378042</v>
      </c>
      <c r="AR208" s="3">
        <f>VLOOKUP($AB208,'2000 Seattle Tracts'!$C$2:$Y$374,AR$1,FALSE)*$Z208</f>
        <v>323.62125042547166</v>
      </c>
      <c r="AS208" s="3">
        <f>VLOOKUP($AB208,'2000 Seattle Tracts'!$C$2:$Y$374,AS$1,FALSE)*$Z208</f>
        <v>0</v>
      </c>
      <c r="AT208" s="3">
        <f>VLOOKUP($AB208,'2000 Seattle Tracts'!$C$2:$Y$374,AT$1,FALSE)*$Z208</f>
        <v>0</v>
      </c>
      <c r="AU208" s="3">
        <f>VLOOKUP($AB208,'2000 Seattle Tracts'!$C$2:$Y$374,AU$1,FALSE)*$Z208</f>
        <v>6.4960469975915842</v>
      </c>
      <c r="AV208" s="3">
        <f>VLOOKUP($AB208,'2000 Seattle Tracts'!$C$2:$Y$374,AV$1,FALSE)*$Z208</f>
        <v>14.76374317634451</v>
      </c>
      <c r="AW208" s="3">
        <f>VLOOKUP($AB208,'2000 Seattle Tracts'!$C$2:$Y$374,AW$1,FALSE)*$Z208</f>
        <v>50.19672679957133</v>
      </c>
      <c r="AX208" s="3">
        <f>VLOOKUP($AB208,'2000 Seattle Tracts'!$C$2:$Y$374,AX$1,FALSE)*$Z208</f>
        <v>46.65342843724865</v>
      </c>
    </row>
    <row r="209" spans="1:50" x14ac:dyDescent="0.25">
      <c r="A209" t="s">
        <v>2917</v>
      </c>
      <c r="B209" t="s">
        <v>2918</v>
      </c>
      <c r="C209" t="s">
        <v>3104</v>
      </c>
      <c r="D209" t="s">
        <v>2524</v>
      </c>
      <c r="E209" t="s">
        <v>2525</v>
      </c>
      <c r="F209" t="s">
        <v>2526</v>
      </c>
      <c r="G209" t="s">
        <v>2920</v>
      </c>
      <c r="H209" t="s">
        <v>2921</v>
      </c>
      <c r="I209">
        <v>418836</v>
      </c>
      <c r="J209">
        <v>0</v>
      </c>
      <c r="K209" t="s">
        <v>3105</v>
      </c>
      <c r="L209" t="s">
        <v>3106</v>
      </c>
      <c r="M209">
        <v>58</v>
      </c>
      <c r="N209">
        <v>25426.23</v>
      </c>
      <c r="O209" t="s">
        <v>149</v>
      </c>
      <c r="P209">
        <v>14</v>
      </c>
      <c r="Q209">
        <v>8</v>
      </c>
      <c r="R209">
        <v>24</v>
      </c>
      <c r="S209">
        <v>20664986</v>
      </c>
      <c r="T209">
        <v>60</v>
      </c>
      <c r="U209">
        <v>165</v>
      </c>
      <c r="V209">
        <v>25426.231162667511</v>
      </c>
      <c r="W209">
        <v>20664986.272921581</v>
      </c>
      <c r="X209">
        <v>31.667999999999999</v>
      </c>
      <c r="Y209">
        <f>VLOOKUP(AB209,'2000 Seattle Tracts'!$C$2:$Z$374,24,FALSE)</f>
        <v>418832.28100000002</v>
      </c>
      <c r="Z209">
        <f t="shared" si="6"/>
        <v>7.5610217828458155E-5</v>
      </c>
      <c r="AA209" t="s">
        <v>154</v>
      </c>
      <c r="AB209" t="str">
        <f t="shared" si="7"/>
        <v>Census Tract 91, King County, Washington</v>
      </c>
      <c r="AC209" s="3">
        <f>VLOOKUP($AB209,'2000 Seattle Tracts'!$C$2:$Y$374,AC$1,FALSE)*$Z209</f>
        <v>0.14759114520115033</v>
      </c>
      <c r="AD209" s="3">
        <f>VLOOKUP($AB209,'2000 Seattle Tracts'!$C$2:$Y$374,AD$1,FALSE)*$Z209</f>
        <v>5.3758864876033749E-2</v>
      </c>
      <c r="AE209" s="3">
        <f>VLOOKUP($AB209,'2000 Seattle Tracts'!$C$2:$Y$374,AE$1,FALSE)*$Z209</f>
        <v>9.3832280325116577E-2</v>
      </c>
      <c r="AF209" s="3">
        <f>VLOOKUP($AB209,'2000 Seattle Tracts'!$C$2:$Y$374,AF$1,FALSE)*$Z209</f>
        <v>0.14759114520115033</v>
      </c>
      <c r="AG209" s="3">
        <f>VLOOKUP($AB209,'2000 Seattle Tracts'!$C$2:$Y$374,AG$1,FALSE)*$Z209</f>
        <v>5.3758864876033749E-2</v>
      </c>
      <c r="AH209" s="3">
        <f>VLOOKUP($AB209,'2000 Seattle Tracts'!$C$2:$Y$374,AH$1,FALSE)*$Z209</f>
        <v>9.3832280325116577E-2</v>
      </c>
      <c r="AI209" s="3">
        <f>VLOOKUP($AB209,'2000 Seattle Tracts'!$C$2:$Y$374,AI$1,FALSE)*$Z209</f>
        <v>1.9583046417570662E-2</v>
      </c>
      <c r="AJ209" s="3">
        <f>VLOOKUP($AB209,'2000 Seattle Tracts'!$C$2:$Y$374,AJ$1,FALSE)*$Z209</f>
        <v>7.5610217828458158E-4</v>
      </c>
      <c r="AK209" s="3">
        <f>VLOOKUP($AB209,'2000 Seattle Tracts'!$C$2:$Y$374,AK$1,FALSE)*$Z209</f>
        <v>0</v>
      </c>
      <c r="AL209" s="3">
        <f>VLOOKUP($AB209,'2000 Seattle Tracts'!$C$2:$Y$374,AL$1,FALSE)*$Z209</f>
        <v>0</v>
      </c>
      <c r="AM209" s="3">
        <f>VLOOKUP($AB209,'2000 Seattle Tracts'!$C$2:$Y$374,AM$1,FALSE)*$Z209</f>
        <v>1.7163519447060002E-2</v>
      </c>
      <c r="AN209" s="3">
        <f>VLOOKUP($AB209,'2000 Seattle Tracts'!$C$2:$Y$374,AN$1,FALSE)*$Z209</f>
        <v>1.4139110733921675E-2</v>
      </c>
      <c r="AO209" s="3">
        <f>VLOOKUP($AB209,'2000 Seattle Tracts'!$C$2:$Y$374,AO$1,FALSE)*$Z209</f>
        <v>9.8293283176995603E-4</v>
      </c>
      <c r="AP209" s="3">
        <f>VLOOKUP($AB209,'2000 Seattle Tracts'!$C$2:$Y$374,AP$1,FALSE)*$Z209</f>
        <v>0</v>
      </c>
      <c r="AQ209" s="3">
        <f>VLOOKUP($AB209,'2000 Seattle Tracts'!$C$2:$Y$374,AQ$1,FALSE)*$Z209</f>
        <v>1.3685449426950927E-2</v>
      </c>
      <c r="AR209" s="3">
        <f>VLOOKUP($AB209,'2000 Seattle Tracts'!$C$2:$Y$374,AR$1,FALSE)*$Z209</f>
        <v>7.2434588679662917E-2</v>
      </c>
      <c r="AS209" s="3">
        <f>VLOOKUP($AB209,'2000 Seattle Tracts'!$C$2:$Y$374,AS$1,FALSE)*$Z209</f>
        <v>0</v>
      </c>
      <c r="AT209" s="3">
        <f>VLOOKUP($AB209,'2000 Seattle Tracts'!$C$2:$Y$374,AT$1,FALSE)*$Z209</f>
        <v>0</v>
      </c>
      <c r="AU209" s="3">
        <f>VLOOKUP($AB209,'2000 Seattle Tracts'!$C$2:$Y$374,AU$1,FALSE)*$Z209</f>
        <v>4.536613069707489E-4</v>
      </c>
      <c r="AV209" s="3">
        <f>VLOOKUP($AB209,'2000 Seattle Tracts'!$C$2:$Y$374,AV$1,FALSE)*$Z209</f>
        <v>1.3609839209122467E-3</v>
      </c>
      <c r="AW209" s="3">
        <f>VLOOKUP($AB209,'2000 Seattle Tracts'!$C$2:$Y$374,AW$1,FALSE)*$Z209</f>
        <v>1.8902554457114538E-3</v>
      </c>
      <c r="AX209" s="3">
        <f>VLOOKUP($AB209,'2000 Seattle Tracts'!$C$2:$Y$374,AX$1,FALSE)*$Z209</f>
        <v>5.1414948123351548E-3</v>
      </c>
    </row>
    <row r="210" spans="1:50" x14ac:dyDescent="0.25">
      <c r="A210" t="s">
        <v>2917</v>
      </c>
      <c r="B210" t="s">
        <v>2918</v>
      </c>
      <c r="C210" t="s">
        <v>3104</v>
      </c>
      <c r="D210" t="s">
        <v>2524</v>
      </c>
      <c r="E210" t="s">
        <v>2525</v>
      </c>
      <c r="F210" t="s">
        <v>2526</v>
      </c>
      <c r="G210" t="s">
        <v>2920</v>
      </c>
      <c r="H210" t="s">
        <v>2921</v>
      </c>
      <c r="I210">
        <v>418836</v>
      </c>
      <c r="J210">
        <v>0</v>
      </c>
      <c r="K210" t="s">
        <v>3105</v>
      </c>
      <c r="L210" t="s">
        <v>3106</v>
      </c>
      <c r="M210">
        <v>61</v>
      </c>
      <c r="N210">
        <v>11772.387000000001</v>
      </c>
      <c r="O210" t="s">
        <v>156</v>
      </c>
      <c r="P210">
        <v>13</v>
      </c>
      <c r="Q210">
        <v>11</v>
      </c>
      <c r="R210">
        <v>94</v>
      </c>
      <c r="S210">
        <v>6169376</v>
      </c>
      <c r="T210">
        <v>63</v>
      </c>
      <c r="U210">
        <v>164</v>
      </c>
      <c r="V210">
        <v>11772.387141002069</v>
      </c>
      <c r="W210">
        <v>6169375.8166330215</v>
      </c>
      <c r="X210">
        <v>293190.90500000003</v>
      </c>
      <c r="Y210">
        <f>VLOOKUP(AB210,'2000 Seattle Tracts'!$C$2:$Z$374,24,FALSE)</f>
        <v>418832.28100000002</v>
      </c>
      <c r="Z210">
        <f t="shared" si="6"/>
        <v>0.70001983681864299</v>
      </c>
      <c r="AA210" t="s">
        <v>158</v>
      </c>
      <c r="AB210" t="str">
        <f t="shared" si="7"/>
        <v>Census Tract 91, King County, Washington</v>
      </c>
      <c r="AC210" s="3">
        <f>VLOOKUP($AB210,'2000 Seattle Tracts'!$C$2:$Y$374,AC$1,FALSE)*$Z210</f>
        <v>1366.4387214699912</v>
      </c>
      <c r="AD210" s="3">
        <f>VLOOKUP($AB210,'2000 Seattle Tracts'!$C$2:$Y$374,AD$1,FALSE)*$Z210</f>
        <v>497.71410397805516</v>
      </c>
      <c r="AE210" s="3">
        <f>VLOOKUP($AB210,'2000 Seattle Tracts'!$C$2:$Y$374,AE$1,FALSE)*$Z210</f>
        <v>868.72461749193599</v>
      </c>
      <c r="AF210" s="3">
        <f>VLOOKUP($AB210,'2000 Seattle Tracts'!$C$2:$Y$374,AF$1,FALSE)*$Z210</f>
        <v>1366.4387214699912</v>
      </c>
      <c r="AG210" s="3">
        <f>VLOOKUP($AB210,'2000 Seattle Tracts'!$C$2:$Y$374,AG$1,FALSE)*$Z210</f>
        <v>497.71410397805516</v>
      </c>
      <c r="AH210" s="3">
        <f>VLOOKUP($AB210,'2000 Seattle Tracts'!$C$2:$Y$374,AH$1,FALSE)*$Z210</f>
        <v>868.72461749193599</v>
      </c>
      <c r="AI210" s="3">
        <f>VLOOKUP($AB210,'2000 Seattle Tracts'!$C$2:$Y$374,AI$1,FALSE)*$Z210</f>
        <v>181.30513773602854</v>
      </c>
      <c r="AJ210" s="3">
        <f>VLOOKUP($AB210,'2000 Seattle Tracts'!$C$2:$Y$374,AJ$1,FALSE)*$Z210</f>
        <v>7.0001983681864299</v>
      </c>
      <c r="AK210" s="3">
        <f>VLOOKUP($AB210,'2000 Seattle Tracts'!$C$2:$Y$374,AK$1,FALSE)*$Z210</f>
        <v>0</v>
      </c>
      <c r="AL210" s="3">
        <f>VLOOKUP($AB210,'2000 Seattle Tracts'!$C$2:$Y$374,AL$1,FALSE)*$Z210</f>
        <v>0</v>
      </c>
      <c r="AM210" s="3">
        <f>VLOOKUP($AB210,'2000 Seattle Tracts'!$C$2:$Y$374,AM$1,FALSE)*$Z210</f>
        <v>158.90450295783197</v>
      </c>
      <c r="AN210" s="3">
        <f>VLOOKUP($AB210,'2000 Seattle Tracts'!$C$2:$Y$374,AN$1,FALSE)*$Z210</f>
        <v>130.90370948508624</v>
      </c>
      <c r="AO210" s="3">
        <f>VLOOKUP($AB210,'2000 Seattle Tracts'!$C$2:$Y$374,AO$1,FALSE)*$Z210</f>
        <v>9.1002578786423598</v>
      </c>
      <c r="AP210" s="3">
        <f>VLOOKUP($AB210,'2000 Seattle Tracts'!$C$2:$Y$374,AP$1,FALSE)*$Z210</f>
        <v>0</v>
      </c>
      <c r="AQ210" s="3">
        <f>VLOOKUP($AB210,'2000 Seattle Tracts'!$C$2:$Y$374,AQ$1,FALSE)*$Z210</f>
        <v>126.70359046417438</v>
      </c>
      <c r="AR210" s="3">
        <f>VLOOKUP($AB210,'2000 Seattle Tracts'!$C$2:$Y$374,AR$1,FALSE)*$Z210</f>
        <v>670.61900367225996</v>
      </c>
      <c r="AS210" s="3">
        <f>VLOOKUP($AB210,'2000 Seattle Tracts'!$C$2:$Y$374,AS$1,FALSE)*$Z210</f>
        <v>0</v>
      </c>
      <c r="AT210" s="3">
        <f>VLOOKUP($AB210,'2000 Seattle Tracts'!$C$2:$Y$374,AT$1,FALSE)*$Z210</f>
        <v>0</v>
      </c>
      <c r="AU210" s="3">
        <f>VLOOKUP($AB210,'2000 Seattle Tracts'!$C$2:$Y$374,AU$1,FALSE)*$Z210</f>
        <v>4.200119020911858</v>
      </c>
      <c r="AV210" s="3">
        <f>VLOOKUP($AB210,'2000 Seattle Tracts'!$C$2:$Y$374,AV$1,FALSE)*$Z210</f>
        <v>12.600357062735574</v>
      </c>
      <c r="AW210" s="3">
        <f>VLOOKUP($AB210,'2000 Seattle Tracts'!$C$2:$Y$374,AW$1,FALSE)*$Z210</f>
        <v>17.500495920466076</v>
      </c>
      <c r="AX210" s="3">
        <f>VLOOKUP($AB210,'2000 Seattle Tracts'!$C$2:$Y$374,AX$1,FALSE)*$Z210</f>
        <v>47.601348903667727</v>
      </c>
    </row>
    <row r="211" spans="1:50" x14ac:dyDescent="0.25">
      <c r="A211" t="s">
        <v>2917</v>
      </c>
      <c r="B211" t="s">
        <v>2918</v>
      </c>
      <c r="C211" t="s">
        <v>3104</v>
      </c>
      <c r="D211" t="s">
        <v>2524</v>
      </c>
      <c r="E211" t="s">
        <v>2525</v>
      </c>
      <c r="F211" t="s">
        <v>2526</v>
      </c>
      <c r="G211" t="s">
        <v>2920</v>
      </c>
      <c r="H211" t="s">
        <v>2921</v>
      </c>
      <c r="I211">
        <v>418836</v>
      </c>
      <c r="J211">
        <v>0</v>
      </c>
      <c r="K211" t="s">
        <v>3105</v>
      </c>
      <c r="L211" t="s">
        <v>3106</v>
      </c>
      <c r="M211">
        <v>64</v>
      </c>
      <c r="N211">
        <v>9611.3540000000012</v>
      </c>
      <c r="O211" t="s">
        <v>156</v>
      </c>
      <c r="P211">
        <v>13</v>
      </c>
      <c r="Q211">
        <v>11</v>
      </c>
      <c r="R211">
        <v>81</v>
      </c>
      <c r="S211">
        <v>5348937.5</v>
      </c>
      <c r="T211">
        <v>66</v>
      </c>
      <c r="U211">
        <v>162</v>
      </c>
      <c r="V211">
        <v>9611.3535464166052</v>
      </c>
      <c r="W211">
        <v>5348937.2476122174</v>
      </c>
      <c r="X211">
        <v>125459.45600000001</v>
      </c>
      <c r="Y211">
        <f>VLOOKUP(AB211,'2000 Seattle Tracts'!$C$2:$Z$374,24,FALSE)</f>
        <v>418832.28100000002</v>
      </c>
      <c r="Z211">
        <f t="shared" si="6"/>
        <v>0.29954581270682906</v>
      </c>
      <c r="AA211" t="s">
        <v>161</v>
      </c>
      <c r="AB211" t="str">
        <f t="shared" si="7"/>
        <v>Census Tract 91, King County, Washington</v>
      </c>
      <c r="AC211" s="3">
        <f>VLOOKUP($AB211,'2000 Seattle Tracts'!$C$2:$Y$374,AC$1,FALSE)*$Z211</f>
        <v>584.7134264037303</v>
      </c>
      <c r="AD211" s="3">
        <f>VLOOKUP($AB211,'2000 Seattle Tracts'!$C$2:$Y$374,AD$1,FALSE)*$Z211</f>
        <v>212.97707283455546</v>
      </c>
      <c r="AE211" s="3">
        <f>VLOOKUP($AB211,'2000 Seattle Tracts'!$C$2:$Y$374,AE$1,FALSE)*$Z211</f>
        <v>371.73635356917487</v>
      </c>
      <c r="AF211" s="3">
        <f>VLOOKUP($AB211,'2000 Seattle Tracts'!$C$2:$Y$374,AF$1,FALSE)*$Z211</f>
        <v>584.7134264037303</v>
      </c>
      <c r="AG211" s="3">
        <f>VLOOKUP($AB211,'2000 Seattle Tracts'!$C$2:$Y$374,AG$1,FALSE)*$Z211</f>
        <v>212.97707283455546</v>
      </c>
      <c r="AH211" s="3">
        <f>VLOOKUP($AB211,'2000 Seattle Tracts'!$C$2:$Y$374,AH$1,FALSE)*$Z211</f>
        <v>371.73635356917487</v>
      </c>
      <c r="AI211" s="3">
        <f>VLOOKUP($AB211,'2000 Seattle Tracts'!$C$2:$Y$374,AI$1,FALSE)*$Z211</f>
        <v>77.582365491068728</v>
      </c>
      <c r="AJ211" s="3">
        <f>VLOOKUP($AB211,'2000 Seattle Tracts'!$C$2:$Y$374,AJ$1,FALSE)*$Z211</f>
        <v>2.9954581270682907</v>
      </c>
      <c r="AK211" s="3">
        <f>VLOOKUP($AB211,'2000 Seattle Tracts'!$C$2:$Y$374,AK$1,FALSE)*$Z211</f>
        <v>0</v>
      </c>
      <c r="AL211" s="3">
        <f>VLOOKUP($AB211,'2000 Seattle Tracts'!$C$2:$Y$374,AL$1,FALSE)*$Z211</f>
        <v>0</v>
      </c>
      <c r="AM211" s="3">
        <f>VLOOKUP($AB211,'2000 Seattle Tracts'!$C$2:$Y$374,AM$1,FALSE)*$Z211</f>
        <v>67.996899484450196</v>
      </c>
      <c r="AN211" s="3">
        <f>VLOOKUP($AB211,'2000 Seattle Tracts'!$C$2:$Y$374,AN$1,FALSE)*$Z211</f>
        <v>56.015066976177032</v>
      </c>
      <c r="AO211" s="3">
        <f>VLOOKUP($AB211,'2000 Seattle Tracts'!$C$2:$Y$374,AO$1,FALSE)*$Z211</f>
        <v>3.8940955651887776</v>
      </c>
      <c r="AP211" s="3">
        <f>VLOOKUP($AB211,'2000 Seattle Tracts'!$C$2:$Y$374,AP$1,FALSE)*$Z211</f>
        <v>0</v>
      </c>
      <c r="AQ211" s="3">
        <f>VLOOKUP($AB211,'2000 Seattle Tracts'!$C$2:$Y$374,AQ$1,FALSE)*$Z211</f>
        <v>54.217792099936062</v>
      </c>
      <c r="AR211" s="3">
        <f>VLOOKUP($AB211,'2000 Seattle Tracts'!$C$2:$Y$374,AR$1,FALSE)*$Z211</f>
        <v>286.96488857314222</v>
      </c>
      <c r="AS211" s="3">
        <f>VLOOKUP($AB211,'2000 Seattle Tracts'!$C$2:$Y$374,AS$1,FALSE)*$Z211</f>
        <v>0</v>
      </c>
      <c r="AT211" s="3">
        <f>VLOOKUP($AB211,'2000 Seattle Tracts'!$C$2:$Y$374,AT$1,FALSE)*$Z211</f>
        <v>0</v>
      </c>
      <c r="AU211" s="3">
        <f>VLOOKUP($AB211,'2000 Seattle Tracts'!$C$2:$Y$374,AU$1,FALSE)*$Z211</f>
        <v>1.7972748762409743</v>
      </c>
      <c r="AV211" s="3">
        <f>VLOOKUP($AB211,'2000 Seattle Tracts'!$C$2:$Y$374,AV$1,FALSE)*$Z211</f>
        <v>5.3918246287229232</v>
      </c>
      <c r="AW211" s="3">
        <f>VLOOKUP($AB211,'2000 Seattle Tracts'!$C$2:$Y$374,AW$1,FALSE)*$Z211</f>
        <v>7.4886453176707262</v>
      </c>
      <c r="AX211" s="3">
        <f>VLOOKUP($AB211,'2000 Seattle Tracts'!$C$2:$Y$374,AX$1,FALSE)*$Z211</f>
        <v>20.369115264064376</v>
      </c>
    </row>
    <row r="212" spans="1:50" x14ac:dyDescent="0.25">
      <c r="A212" t="s">
        <v>2917</v>
      </c>
      <c r="B212" t="s">
        <v>2918</v>
      </c>
      <c r="C212" t="s">
        <v>3104</v>
      </c>
      <c r="D212" t="s">
        <v>2524</v>
      </c>
      <c r="E212" t="s">
        <v>2525</v>
      </c>
      <c r="F212" t="s">
        <v>2526</v>
      </c>
      <c r="G212" t="s">
        <v>2920</v>
      </c>
      <c r="H212" t="s">
        <v>2921</v>
      </c>
      <c r="I212">
        <v>418836</v>
      </c>
      <c r="J212">
        <v>0</v>
      </c>
      <c r="K212" t="s">
        <v>3105</v>
      </c>
      <c r="L212" t="s">
        <v>3106</v>
      </c>
      <c r="M212">
        <v>67</v>
      </c>
      <c r="N212">
        <v>49792.156000000003</v>
      </c>
      <c r="O212" t="s">
        <v>122</v>
      </c>
      <c r="P212">
        <v>18</v>
      </c>
      <c r="Q212">
        <v>12</v>
      </c>
      <c r="R212">
        <v>23</v>
      </c>
      <c r="S212">
        <v>82845392</v>
      </c>
      <c r="T212">
        <v>69</v>
      </c>
      <c r="U212">
        <v>167</v>
      </c>
      <c r="V212">
        <v>49792.15483538049</v>
      </c>
      <c r="W212">
        <v>82845389.347022861</v>
      </c>
      <c r="X212">
        <v>126.887</v>
      </c>
      <c r="Y212">
        <f>VLOOKUP(AB212,'2000 Seattle Tracts'!$C$2:$Z$374,24,FALSE)</f>
        <v>418832.28100000002</v>
      </c>
      <c r="Z212">
        <f t="shared" si="6"/>
        <v>3.0295420328405872E-4</v>
      </c>
      <c r="AA212" t="s">
        <v>165</v>
      </c>
      <c r="AB212" t="str">
        <f t="shared" si="7"/>
        <v>Census Tract 91, King County, Washington</v>
      </c>
      <c r="AC212" s="3">
        <f>VLOOKUP($AB212,'2000 Seattle Tracts'!$C$2:$Y$374,AC$1,FALSE)*$Z212</f>
        <v>0.59136660481048264</v>
      </c>
      <c r="AD212" s="3">
        <f>VLOOKUP($AB212,'2000 Seattle Tracts'!$C$2:$Y$374,AD$1,FALSE)*$Z212</f>
        <v>0.21540043853496574</v>
      </c>
      <c r="AE212" s="3">
        <f>VLOOKUP($AB212,'2000 Seattle Tracts'!$C$2:$Y$374,AE$1,FALSE)*$Z212</f>
        <v>0.37596616627551688</v>
      </c>
      <c r="AF212" s="3">
        <f>VLOOKUP($AB212,'2000 Seattle Tracts'!$C$2:$Y$374,AF$1,FALSE)*$Z212</f>
        <v>0.59136660481048264</v>
      </c>
      <c r="AG212" s="3">
        <f>VLOOKUP($AB212,'2000 Seattle Tracts'!$C$2:$Y$374,AG$1,FALSE)*$Z212</f>
        <v>0.21540043853496574</v>
      </c>
      <c r="AH212" s="3">
        <f>VLOOKUP($AB212,'2000 Seattle Tracts'!$C$2:$Y$374,AH$1,FALSE)*$Z212</f>
        <v>0.37596616627551688</v>
      </c>
      <c r="AI212" s="3">
        <f>VLOOKUP($AB212,'2000 Seattle Tracts'!$C$2:$Y$374,AI$1,FALSE)*$Z212</f>
        <v>7.8465138650571212E-2</v>
      </c>
      <c r="AJ212" s="3">
        <f>VLOOKUP($AB212,'2000 Seattle Tracts'!$C$2:$Y$374,AJ$1,FALSE)*$Z212</f>
        <v>3.0295420328405871E-3</v>
      </c>
      <c r="AK212" s="3">
        <f>VLOOKUP($AB212,'2000 Seattle Tracts'!$C$2:$Y$374,AK$1,FALSE)*$Z212</f>
        <v>0</v>
      </c>
      <c r="AL212" s="3">
        <f>VLOOKUP($AB212,'2000 Seattle Tracts'!$C$2:$Y$374,AL$1,FALSE)*$Z212</f>
        <v>0</v>
      </c>
      <c r="AM212" s="3">
        <f>VLOOKUP($AB212,'2000 Seattle Tracts'!$C$2:$Y$374,AM$1,FALSE)*$Z212</f>
        <v>6.8770604145481334E-2</v>
      </c>
      <c r="AN212" s="3">
        <f>VLOOKUP($AB212,'2000 Seattle Tracts'!$C$2:$Y$374,AN$1,FALSE)*$Z212</f>
        <v>5.6652436014118984E-2</v>
      </c>
      <c r="AO212" s="3">
        <f>VLOOKUP($AB212,'2000 Seattle Tracts'!$C$2:$Y$374,AO$1,FALSE)*$Z212</f>
        <v>3.9384046426927631E-3</v>
      </c>
      <c r="AP212" s="3">
        <f>VLOOKUP($AB212,'2000 Seattle Tracts'!$C$2:$Y$374,AP$1,FALSE)*$Z212</f>
        <v>0</v>
      </c>
      <c r="AQ212" s="3">
        <f>VLOOKUP($AB212,'2000 Seattle Tracts'!$C$2:$Y$374,AQ$1,FALSE)*$Z212</f>
        <v>5.4834710794414626E-2</v>
      </c>
      <c r="AR212" s="3">
        <f>VLOOKUP($AB212,'2000 Seattle Tracts'!$C$2:$Y$374,AR$1,FALSE)*$Z212</f>
        <v>0.29023012674612825</v>
      </c>
      <c r="AS212" s="3">
        <f>VLOOKUP($AB212,'2000 Seattle Tracts'!$C$2:$Y$374,AS$1,FALSE)*$Z212</f>
        <v>0</v>
      </c>
      <c r="AT212" s="3">
        <f>VLOOKUP($AB212,'2000 Seattle Tracts'!$C$2:$Y$374,AT$1,FALSE)*$Z212</f>
        <v>0</v>
      </c>
      <c r="AU212" s="3">
        <f>VLOOKUP($AB212,'2000 Seattle Tracts'!$C$2:$Y$374,AU$1,FALSE)*$Z212</f>
        <v>1.8177252197043524E-3</v>
      </c>
      <c r="AV212" s="3">
        <f>VLOOKUP($AB212,'2000 Seattle Tracts'!$C$2:$Y$374,AV$1,FALSE)*$Z212</f>
        <v>5.4531756591130569E-3</v>
      </c>
      <c r="AW212" s="3">
        <f>VLOOKUP($AB212,'2000 Seattle Tracts'!$C$2:$Y$374,AW$1,FALSE)*$Z212</f>
        <v>7.573855082101468E-3</v>
      </c>
      <c r="AX212" s="3">
        <f>VLOOKUP($AB212,'2000 Seattle Tracts'!$C$2:$Y$374,AX$1,FALSE)*$Z212</f>
        <v>2.0600885823315995E-2</v>
      </c>
    </row>
    <row r="213" spans="1:50" x14ac:dyDescent="0.25">
      <c r="A213" t="s">
        <v>2917</v>
      </c>
      <c r="B213" t="s">
        <v>2918</v>
      </c>
      <c r="C213" t="s">
        <v>3104</v>
      </c>
      <c r="D213" t="s">
        <v>2524</v>
      </c>
      <c r="E213" t="s">
        <v>2525</v>
      </c>
      <c r="F213" t="s">
        <v>2526</v>
      </c>
      <c r="G213" t="s">
        <v>2920</v>
      </c>
      <c r="H213" t="s">
        <v>2921</v>
      </c>
      <c r="I213">
        <v>418836</v>
      </c>
      <c r="J213">
        <v>0</v>
      </c>
      <c r="K213" t="s">
        <v>3105</v>
      </c>
      <c r="L213" t="s">
        <v>3106</v>
      </c>
      <c r="M213">
        <v>79</v>
      </c>
      <c r="N213">
        <v>33865.487999999998</v>
      </c>
      <c r="O213" t="s">
        <v>179</v>
      </c>
      <c r="P213">
        <v>17</v>
      </c>
      <c r="Q213">
        <v>5</v>
      </c>
      <c r="R213">
        <v>9</v>
      </c>
      <c r="S213">
        <v>48475916</v>
      </c>
      <c r="T213">
        <v>81</v>
      </c>
      <c r="U213">
        <v>166</v>
      </c>
      <c r="V213">
        <v>33865.489173990143</v>
      </c>
      <c r="W213">
        <v>48475914.455668777</v>
      </c>
      <c r="X213">
        <v>23.369</v>
      </c>
      <c r="Y213">
        <f>VLOOKUP(AB213,'2000 Seattle Tracts'!$C$2:$Z$374,24,FALSE)</f>
        <v>418832.28100000002</v>
      </c>
      <c r="Z213">
        <f t="shared" si="6"/>
        <v>5.5795603777732689E-5</v>
      </c>
      <c r="AA213" t="s">
        <v>178</v>
      </c>
      <c r="AB213" t="str">
        <f t="shared" si="7"/>
        <v>Census Tract 91, King County, Washington</v>
      </c>
      <c r="AC213" s="3">
        <f>VLOOKUP($AB213,'2000 Seattle Tracts'!$C$2:$Y$374,AC$1,FALSE)*$Z213</f>
        <v>0.10891301857413421</v>
      </c>
      <c r="AD213" s="3">
        <f>VLOOKUP($AB213,'2000 Seattle Tracts'!$C$2:$Y$374,AD$1,FALSE)*$Z213</f>
        <v>3.967067428596794E-2</v>
      </c>
      <c r="AE213" s="3">
        <f>VLOOKUP($AB213,'2000 Seattle Tracts'!$C$2:$Y$374,AE$1,FALSE)*$Z213</f>
        <v>6.9242344288166266E-2</v>
      </c>
      <c r="AF213" s="3">
        <f>VLOOKUP($AB213,'2000 Seattle Tracts'!$C$2:$Y$374,AF$1,FALSE)*$Z213</f>
        <v>0.10891301857413421</v>
      </c>
      <c r="AG213" s="3">
        <f>VLOOKUP($AB213,'2000 Seattle Tracts'!$C$2:$Y$374,AG$1,FALSE)*$Z213</f>
        <v>3.967067428596794E-2</v>
      </c>
      <c r="AH213" s="3">
        <f>VLOOKUP($AB213,'2000 Seattle Tracts'!$C$2:$Y$374,AH$1,FALSE)*$Z213</f>
        <v>6.9242344288166266E-2</v>
      </c>
      <c r="AI213" s="3">
        <f>VLOOKUP($AB213,'2000 Seattle Tracts'!$C$2:$Y$374,AI$1,FALSE)*$Z213</f>
        <v>1.4451061378432767E-2</v>
      </c>
      <c r="AJ213" s="3">
        <f>VLOOKUP($AB213,'2000 Seattle Tracts'!$C$2:$Y$374,AJ$1,FALSE)*$Z213</f>
        <v>5.5795603777732692E-4</v>
      </c>
      <c r="AK213" s="3">
        <f>VLOOKUP($AB213,'2000 Seattle Tracts'!$C$2:$Y$374,AK$1,FALSE)*$Z213</f>
        <v>0</v>
      </c>
      <c r="AL213" s="3">
        <f>VLOOKUP($AB213,'2000 Seattle Tracts'!$C$2:$Y$374,AL$1,FALSE)*$Z213</f>
        <v>0</v>
      </c>
      <c r="AM213" s="3">
        <f>VLOOKUP($AB213,'2000 Seattle Tracts'!$C$2:$Y$374,AM$1,FALSE)*$Z213</f>
        <v>1.2665602057545321E-2</v>
      </c>
      <c r="AN213" s="3">
        <f>VLOOKUP($AB213,'2000 Seattle Tracts'!$C$2:$Y$374,AN$1,FALSE)*$Z213</f>
        <v>1.0433777906436013E-2</v>
      </c>
      <c r="AO213" s="3">
        <f>VLOOKUP($AB213,'2000 Seattle Tracts'!$C$2:$Y$374,AO$1,FALSE)*$Z213</f>
        <v>7.2534284911052497E-4</v>
      </c>
      <c r="AP213" s="3">
        <f>VLOOKUP($AB213,'2000 Seattle Tracts'!$C$2:$Y$374,AP$1,FALSE)*$Z213</f>
        <v>0</v>
      </c>
      <c r="AQ213" s="3">
        <f>VLOOKUP($AB213,'2000 Seattle Tracts'!$C$2:$Y$374,AQ$1,FALSE)*$Z213</f>
        <v>1.0099004283769617E-2</v>
      </c>
      <c r="AR213" s="3">
        <f>VLOOKUP($AB213,'2000 Seattle Tracts'!$C$2:$Y$374,AR$1,FALSE)*$Z213</f>
        <v>5.3452188419067917E-2</v>
      </c>
      <c r="AS213" s="3">
        <f>VLOOKUP($AB213,'2000 Seattle Tracts'!$C$2:$Y$374,AS$1,FALSE)*$Z213</f>
        <v>0</v>
      </c>
      <c r="AT213" s="3">
        <f>VLOOKUP($AB213,'2000 Seattle Tracts'!$C$2:$Y$374,AT$1,FALSE)*$Z213</f>
        <v>0</v>
      </c>
      <c r="AU213" s="3">
        <f>VLOOKUP($AB213,'2000 Seattle Tracts'!$C$2:$Y$374,AU$1,FALSE)*$Z213</f>
        <v>3.3477362266639611E-4</v>
      </c>
      <c r="AV213" s="3">
        <f>VLOOKUP($AB213,'2000 Seattle Tracts'!$C$2:$Y$374,AV$1,FALSE)*$Z213</f>
        <v>1.0043208679991883E-3</v>
      </c>
      <c r="AW213" s="3">
        <f>VLOOKUP($AB213,'2000 Seattle Tracts'!$C$2:$Y$374,AW$1,FALSE)*$Z213</f>
        <v>1.3948900944433173E-3</v>
      </c>
      <c r="AX213" s="3">
        <f>VLOOKUP($AB213,'2000 Seattle Tracts'!$C$2:$Y$374,AX$1,FALSE)*$Z213</f>
        <v>3.7941010568858227E-3</v>
      </c>
    </row>
    <row r="214" spans="1:50" x14ac:dyDescent="0.25">
      <c r="A214" t="s">
        <v>2917</v>
      </c>
      <c r="B214" t="s">
        <v>2918</v>
      </c>
      <c r="C214" t="s">
        <v>3101</v>
      </c>
      <c r="D214" t="s">
        <v>2527</v>
      </c>
      <c r="E214" t="s">
        <v>2528</v>
      </c>
      <c r="F214" t="s">
        <v>2529</v>
      </c>
      <c r="G214" t="s">
        <v>2920</v>
      </c>
      <c r="H214" t="s">
        <v>2921</v>
      </c>
      <c r="I214">
        <v>820730</v>
      </c>
      <c r="J214">
        <v>0</v>
      </c>
      <c r="K214" t="s">
        <v>3102</v>
      </c>
      <c r="L214" t="s">
        <v>3103</v>
      </c>
      <c r="M214">
        <v>55</v>
      </c>
      <c r="N214">
        <v>18241.548999999999</v>
      </c>
      <c r="O214" t="s">
        <v>149</v>
      </c>
      <c r="P214">
        <v>14</v>
      </c>
      <c r="Q214">
        <v>8</v>
      </c>
      <c r="R214">
        <v>94</v>
      </c>
      <c r="S214">
        <v>17933144</v>
      </c>
      <c r="T214">
        <v>57</v>
      </c>
      <c r="U214">
        <v>157</v>
      </c>
      <c r="V214">
        <v>18241.548785981169</v>
      </c>
      <c r="W214">
        <v>17933144.708401948</v>
      </c>
      <c r="X214">
        <v>247.77</v>
      </c>
      <c r="Y214">
        <f>VLOOKUP(AB214,'2000 Seattle Tracts'!$C$2:$Z$374,24,FALSE)</f>
        <v>820731.29299999995</v>
      </c>
      <c r="Z214">
        <f t="shared" si="6"/>
        <v>3.0188930544409011E-4</v>
      </c>
      <c r="AA214" t="s">
        <v>151</v>
      </c>
      <c r="AB214" t="str">
        <f t="shared" si="7"/>
        <v>Census Tract 90, King County, Washington</v>
      </c>
      <c r="AC214" s="3">
        <f>VLOOKUP($AB214,'2000 Seattle Tracts'!$C$2:$Y$374,AC$1,FALSE)*$Z214</f>
        <v>0.65962813239533691</v>
      </c>
      <c r="AD214" s="3">
        <f>VLOOKUP($AB214,'2000 Seattle Tracts'!$C$2:$Y$374,AD$1,FALSE)*$Z214</f>
        <v>0.36256905583835225</v>
      </c>
      <c r="AE214" s="3">
        <f>VLOOKUP($AB214,'2000 Seattle Tracts'!$C$2:$Y$374,AE$1,FALSE)*$Z214</f>
        <v>0.29705907655698466</v>
      </c>
      <c r="AF214" s="3">
        <f>VLOOKUP($AB214,'2000 Seattle Tracts'!$C$2:$Y$374,AF$1,FALSE)*$Z214</f>
        <v>0.65962813239533691</v>
      </c>
      <c r="AG214" s="3">
        <f>VLOOKUP($AB214,'2000 Seattle Tracts'!$C$2:$Y$374,AG$1,FALSE)*$Z214</f>
        <v>0.36256905583835225</v>
      </c>
      <c r="AH214" s="3">
        <f>VLOOKUP($AB214,'2000 Seattle Tracts'!$C$2:$Y$374,AH$1,FALSE)*$Z214</f>
        <v>0.29705907655698466</v>
      </c>
      <c r="AI214" s="3">
        <f>VLOOKUP($AB214,'2000 Seattle Tracts'!$C$2:$Y$374,AI$1,FALSE)*$Z214</f>
        <v>6.550997928136755E-2</v>
      </c>
      <c r="AJ214" s="3">
        <f>VLOOKUP($AB214,'2000 Seattle Tracts'!$C$2:$Y$374,AJ$1,FALSE)*$Z214</f>
        <v>4.528339581661352E-3</v>
      </c>
      <c r="AK214" s="3">
        <f>VLOOKUP($AB214,'2000 Seattle Tracts'!$C$2:$Y$374,AK$1,FALSE)*$Z214</f>
        <v>2.0226583464754037E-2</v>
      </c>
      <c r="AL214" s="3">
        <f>VLOOKUP($AB214,'2000 Seattle Tracts'!$C$2:$Y$374,AL$1,FALSE)*$Z214</f>
        <v>2.8981373322632651E-2</v>
      </c>
      <c r="AM214" s="3">
        <f>VLOOKUP($AB214,'2000 Seattle Tracts'!$C$2:$Y$374,AM$1,FALSE)*$Z214</f>
        <v>0.1554729923037064</v>
      </c>
      <c r="AN214" s="3">
        <f>VLOOKUP($AB214,'2000 Seattle Tracts'!$C$2:$Y$374,AN$1,FALSE)*$Z214</f>
        <v>3.8038052485955355E-2</v>
      </c>
      <c r="AO214" s="3">
        <f>VLOOKUP($AB214,'2000 Seattle Tracts'!$C$2:$Y$374,AO$1,FALSE)*$Z214</f>
        <v>9.0566791633227034E-4</v>
      </c>
      <c r="AP214" s="3">
        <f>VLOOKUP($AB214,'2000 Seattle Tracts'!$C$2:$Y$374,AP$1,FALSE)*$Z214</f>
        <v>2.1132251381086307E-3</v>
      </c>
      <c r="AQ214" s="3">
        <f>VLOOKUP($AB214,'2000 Seattle Tracts'!$C$2:$Y$374,AQ$1,FALSE)*$Z214</f>
        <v>8.2415780386236606E-2</v>
      </c>
      <c r="AR214" s="3">
        <f>VLOOKUP($AB214,'2000 Seattle Tracts'!$C$2:$Y$374,AR$1,FALSE)*$Z214</f>
        <v>0.19260537687332949</v>
      </c>
      <c r="AS214" s="3">
        <f>VLOOKUP($AB214,'2000 Seattle Tracts'!$C$2:$Y$374,AS$1,FALSE)*$Z214</f>
        <v>0</v>
      </c>
      <c r="AT214" s="3">
        <f>VLOOKUP($AB214,'2000 Seattle Tracts'!$C$2:$Y$374,AT$1,FALSE)*$Z214</f>
        <v>2.1132251381086307E-3</v>
      </c>
      <c r="AU214" s="3">
        <f>VLOOKUP($AB214,'2000 Seattle Tracts'!$C$2:$Y$374,AU$1,FALSE)*$Z214</f>
        <v>9.6604577742108837E-3</v>
      </c>
      <c r="AV214" s="3">
        <f>VLOOKUP($AB214,'2000 Seattle Tracts'!$C$2:$Y$374,AV$1,FALSE)*$Z214</f>
        <v>1.8717136937533588E-2</v>
      </c>
      <c r="AW214" s="3">
        <f>VLOOKUP($AB214,'2000 Seattle Tracts'!$C$2:$Y$374,AW$1,FALSE)*$Z214</f>
        <v>2.8377594711744471E-2</v>
      </c>
      <c r="AX214" s="3">
        <f>VLOOKUP($AB214,'2000 Seattle Tracts'!$C$2:$Y$374,AX$1,FALSE)*$Z214</f>
        <v>9.9623470796549735E-3</v>
      </c>
    </row>
    <row r="215" spans="1:50" x14ac:dyDescent="0.25">
      <c r="A215" t="s">
        <v>2917</v>
      </c>
      <c r="B215" t="s">
        <v>2918</v>
      </c>
      <c r="C215" t="s">
        <v>3101</v>
      </c>
      <c r="D215" t="s">
        <v>2527</v>
      </c>
      <c r="E215" t="s">
        <v>2528</v>
      </c>
      <c r="F215" t="s">
        <v>2529</v>
      </c>
      <c r="G215" t="s">
        <v>2920</v>
      </c>
      <c r="H215" t="s">
        <v>2921</v>
      </c>
      <c r="I215">
        <v>820730</v>
      </c>
      <c r="J215">
        <v>0</v>
      </c>
      <c r="K215" t="s">
        <v>3102</v>
      </c>
      <c r="L215" t="s">
        <v>3103</v>
      </c>
      <c r="M215">
        <v>58</v>
      </c>
      <c r="N215">
        <v>25426.23</v>
      </c>
      <c r="O215" t="s">
        <v>149</v>
      </c>
      <c r="P215">
        <v>14</v>
      </c>
      <c r="Q215">
        <v>8</v>
      </c>
      <c r="R215">
        <v>24</v>
      </c>
      <c r="S215">
        <v>20664986</v>
      </c>
      <c r="T215">
        <v>60</v>
      </c>
      <c r="U215">
        <v>165</v>
      </c>
      <c r="V215">
        <v>25426.231162667511</v>
      </c>
      <c r="W215">
        <v>20664986.272921581</v>
      </c>
      <c r="X215">
        <v>694205.87</v>
      </c>
      <c r="Y215">
        <f>VLOOKUP(AB215,'2000 Seattle Tracts'!$C$2:$Z$374,24,FALSE)</f>
        <v>820731.29299999995</v>
      </c>
      <c r="Z215">
        <f t="shared" si="6"/>
        <v>0.84583818835819635</v>
      </c>
      <c r="AA215" t="s">
        <v>154</v>
      </c>
      <c r="AB215" t="str">
        <f t="shared" si="7"/>
        <v>Census Tract 90, King County, Washington</v>
      </c>
      <c r="AC215" s="3">
        <f>VLOOKUP($AB215,'2000 Seattle Tracts'!$C$2:$Y$374,AC$1,FALSE)*$Z215</f>
        <v>1848.156441562659</v>
      </c>
      <c r="AD215" s="3">
        <f>VLOOKUP($AB215,'2000 Seattle Tracts'!$C$2:$Y$374,AD$1,FALSE)*$Z215</f>
        <v>1015.8516642181938</v>
      </c>
      <c r="AE215" s="3">
        <f>VLOOKUP($AB215,'2000 Seattle Tracts'!$C$2:$Y$374,AE$1,FALSE)*$Z215</f>
        <v>832.30477734446526</v>
      </c>
      <c r="AF215" s="3">
        <f>VLOOKUP($AB215,'2000 Seattle Tracts'!$C$2:$Y$374,AF$1,FALSE)*$Z215</f>
        <v>1848.156441562659</v>
      </c>
      <c r="AG215" s="3">
        <f>VLOOKUP($AB215,'2000 Seattle Tracts'!$C$2:$Y$374,AG$1,FALSE)*$Z215</f>
        <v>1015.8516642181938</v>
      </c>
      <c r="AH215" s="3">
        <f>VLOOKUP($AB215,'2000 Seattle Tracts'!$C$2:$Y$374,AH$1,FALSE)*$Z215</f>
        <v>832.30477734446526</v>
      </c>
      <c r="AI215" s="3">
        <f>VLOOKUP($AB215,'2000 Seattle Tracts'!$C$2:$Y$374,AI$1,FALSE)*$Z215</f>
        <v>183.5468868737286</v>
      </c>
      <c r="AJ215" s="3">
        <f>VLOOKUP($AB215,'2000 Seattle Tracts'!$C$2:$Y$374,AJ$1,FALSE)*$Z215</f>
        <v>12.687572825372945</v>
      </c>
      <c r="AK215" s="3">
        <f>VLOOKUP($AB215,'2000 Seattle Tracts'!$C$2:$Y$374,AK$1,FALSE)*$Z215</f>
        <v>56.671158619999154</v>
      </c>
      <c r="AL215" s="3">
        <f>VLOOKUP($AB215,'2000 Seattle Tracts'!$C$2:$Y$374,AL$1,FALSE)*$Z215</f>
        <v>81.200466082386853</v>
      </c>
      <c r="AM215" s="3">
        <f>VLOOKUP($AB215,'2000 Seattle Tracts'!$C$2:$Y$374,AM$1,FALSE)*$Z215</f>
        <v>435.60666700447115</v>
      </c>
      <c r="AN215" s="3">
        <f>VLOOKUP($AB215,'2000 Seattle Tracts'!$C$2:$Y$374,AN$1,FALSE)*$Z215</f>
        <v>106.57561173313275</v>
      </c>
      <c r="AO215" s="3">
        <f>VLOOKUP($AB215,'2000 Seattle Tracts'!$C$2:$Y$374,AO$1,FALSE)*$Z215</f>
        <v>2.5375145650745892</v>
      </c>
      <c r="AP215" s="3">
        <f>VLOOKUP($AB215,'2000 Seattle Tracts'!$C$2:$Y$374,AP$1,FALSE)*$Z215</f>
        <v>5.9208673185073746</v>
      </c>
      <c r="AQ215" s="3">
        <f>VLOOKUP($AB215,'2000 Seattle Tracts'!$C$2:$Y$374,AQ$1,FALSE)*$Z215</f>
        <v>230.91382542178761</v>
      </c>
      <c r="AR215" s="3">
        <f>VLOOKUP($AB215,'2000 Seattle Tracts'!$C$2:$Y$374,AR$1,FALSE)*$Z215</f>
        <v>539.64476417252922</v>
      </c>
      <c r="AS215" s="3">
        <f>VLOOKUP($AB215,'2000 Seattle Tracts'!$C$2:$Y$374,AS$1,FALSE)*$Z215</f>
        <v>0</v>
      </c>
      <c r="AT215" s="3">
        <f>VLOOKUP($AB215,'2000 Seattle Tracts'!$C$2:$Y$374,AT$1,FALSE)*$Z215</f>
        <v>5.9208673185073746</v>
      </c>
      <c r="AU215" s="3">
        <f>VLOOKUP($AB215,'2000 Seattle Tracts'!$C$2:$Y$374,AU$1,FALSE)*$Z215</f>
        <v>27.066822027462283</v>
      </c>
      <c r="AV215" s="3">
        <f>VLOOKUP($AB215,'2000 Seattle Tracts'!$C$2:$Y$374,AV$1,FALSE)*$Z215</f>
        <v>52.441967678208172</v>
      </c>
      <c r="AW215" s="3">
        <f>VLOOKUP($AB215,'2000 Seattle Tracts'!$C$2:$Y$374,AW$1,FALSE)*$Z215</f>
        <v>79.508789705670452</v>
      </c>
      <c r="AX215" s="3">
        <f>VLOOKUP($AB215,'2000 Seattle Tracts'!$C$2:$Y$374,AX$1,FALSE)*$Z215</f>
        <v>27.91266021582048</v>
      </c>
    </row>
    <row r="216" spans="1:50" x14ac:dyDescent="0.25">
      <c r="A216" t="s">
        <v>2917</v>
      </c>
      <c r="B216" t="s">
        <v>2918</v>
      </c>
      <c r="C216" t="s">
        <v>3101</v>
      </c>
      <c r="D216" t="s">
        <v>2527</v>
      </c>
      <c r="E216" t="s">
        <v>2528</v>
      </c>
      <c r="F216" t="s">
        <v>2529</v>
      </c>
      <c r="G216" t="s">
        <v>2920</v>
      </c>
      <c r="H216" t="s">
        <v>2921</v>
      </c>
      <c r="I216">
        <v>820730</v>
      </c>
      <c r="J216">
        <v>0</v>
      </c>
      <c r="K216" t="s">
        <v>3102</v>
      </c>
      <c r="L216" t="s">
        <v>3103</v>
      </c>
      <c r="M216">
        <v>61</v>
      </c>
      <c r="N216">
        <v>11772.387000000001</v>
      </c>
      <c r="O216" t="s">
        <v>156</v>
      </c>
      <c r="P216">
        <v>13</v>
      </c>
      <c r="Q216">
        <v>11</v>
      </c>
      <c r="R216">
        <v>94</v>
      </c>
      <c r="S216">
        <v>6169376</v>
      </c>
      <c r="T216">
        <v>63</v>
      </c>
      <c r="U216">
        <v>164</v>
      </c>
      <c r="V216">
        <v>11772.387141002069</v>
      </c>
      <c r="W216">
        <v>6169375.8166330215</v>
      </c>
      <c r="X216">
        <v>126007.173</v>
      </c>
      <c r="Y216">
        <f>VLOOKUP(AB216,'2000 Seattle Tracts'!$C$2:$Z$374,24,FALSE)</f>
        <v>820731.29299999995</v>
      </c>
      <c r="Z216">
        <f t="shared" si="6"/>
        <v>0.15353036258604069</v>
      </c>
      <c r="AA216" t="s">
        <v>158</v>
      </c>
      <c r="AB216" t="str">
        <f t="shared" si="7"/>
        <v>Census Tract 90, King County, Washington</v>
      </c>
      <c r="AC216" s="3">
        <f>VLOOKUP($AB216,'2000 Seattle Tracts'!$C$2:$Y$374,AC$1,FALSE)*$Z216</f>
        <v>335.46384225049889</v>
      </c>
      <c r="AD216" s="3">
        <f>VLOOKUP($AB216,'2000 Seattle Tracts'!$C$2:$Y$374,AD$1,FALSE)*$Z216</f>
        <v>184.38996546583488</v>
      </c>
      <c r="AE216" s="3">
        <f>VLOOKUP($AB216,'2000 Seattle Tracts'!$C$2:$Y$374,AE$1,FALSE)*$Z216</f>
        <v>151.07387678466404</v>
      </c>
      <c r="AF216" s="3">
        <f>VLOOKUP($AB216,'2000 Seattle Tracts'!$C$2:$Y$374,AF$1,FALSE)*$Z216</f>
        <v>335.46384225049889</v>
      </c>
      <c r="AG216" s="3">
        <f>VLOOKUP($AB216,'2000 Seattle Tracts'!$C$2:$Y$374,AG$1,FALSE)*$Z216</f>
        <v>184.38996546583488</v>
      </c>
      <c r="AH216" s="3">
        <f>VLOOKUP($AB216,'2000 Seattle Tracts'!$C$2:$Y$374,AH$1,FALSE)*$Z216</f>
        <v>151.07387678466404</v>
      </c>
      <c r="AI216" s="3">
        <f>VLOOKUP($AB216,'2000 Seattle Tracts'!$C$2:$Y$374,AI$1,FALSE)*$Z216</f>
        <v>33.316088681170832</v>
      </c>
      <c r="AJ216" s="3">
        <f>VLOOKUP($AB216,'2000 Seattle Tracts'!$C$2:$Y$374,AJ$1,FALSE)*$Z216</f>
        <v>2.3029554387906104</v>
      </c>
      <c r="AK216" s="3">
        <f>VLOOKUP($AB216,'2000 Seattle Tracts'!$C$2:$Y$374,AK$1,FALSE)*$Z216</f>
        <v>10.286534293264726</v>
      </c>
      <c r="AL216" s="3">
        <f>VLOOKUP($AB216,'2000 Seattle Tracts'!$C$2:$Y$374,AL$1,FALSE)*$Z216</f>
        <v>14.738914808259906</v>
      </c>
      <c r="AM216" s="3">
        <f>VLOOKUP($AB216,'2000 Seattle Tracts'!$C$2:$Y$374,AM$1,FALSE)*$Z216</f>
        <v>79.068136731810952</v>
      </c>
      <c r="AN216" s="3">
        <f>VLOOKUP($AB216,'2000 Seattle Tracts'!$C$2:$Y$374,AN$1,FALSE)*$Z216</f>
        <v>19.344825685841126</v>
      </c>
      <c r="AO216" s="3">
        <f>VLOOKUP($AB216,'2000 Seattle Tracts'!$C$2:$Y$374,AO$1,FALSE)*$Z216</f>
        <v>0.46059108775812208</v>
      </c>
      <c r="AP216" s="3">
        <f>VLOOKUP($AB216,'2000 Seattle Tracts'!$C$2:$Y$374,AP$1,FALSE)*$Z216</f>
        <v>1.0747125381022848</v>
      </c>
      <c r="AQ216" s="3">
        <f>VLOOKUP($AB216,'2000 Seattle Tracts'!$C$2:$Y$374,AQ$1,FALSE)*$Z216</f>
        <v>41.913788985989108</v>
      </c>
      <c r="AR216" s="3">
        <f>VLOOKUP($AB216,'2000 Seattle Tracts'!$C$2:$Y$374,AR$1,FALSE)*$Z216</f>
        <v>97.952371329893964</v>
      </c>
      <c r="AS216" s="3">
        <f>VLOOKUP($AB216,'2000 Seattle Tracts'!$C$2:$Y$374,AS$1,FALSE)*$Z216</f>
        <v>0</v>
      </c>
      <c r="AT216" s="3">
        <f>VLOOKUP($AB216,'2000 Seattle Tracts'!$C$2:$Y$374,AT$1,FALSE)*$Z216</f>
        <v>1.0747125381022848</v>
      </c>
      <c r="AU216" s="3">
        <f>VLOOKUP($AB216,'2000 Seattle Tracts'!$C$2:$Y$374,AU$1,FALSE)*$Z216</f>
        <v>4.9129716027533021</v>
      </c>
      <c r="AV216" s="3">
        <f>VLOOKUP($AB216,'2000 Seattle Tracts'!$C$2:$Y$374,AV$1,FALSE)*$Z216</f>
        <v>9.518882480334522</v>
      </c>
      <c r="AW216" s="3">
        <f>VLOOKUP($AB216,'2000 Seattle Tracts'!$C$2:$Y$374,AW$1,FALSE)*$Z216</f>
        <v>14.431854083087824</v>
      </c>
      <c r="AX216" s="3">
        <f>VLOOKUP($AB216,'2000 Seattle Tracts'!$C$2:$Y$374,AX$1,FALSE)*$Z216</f>
        <v>5.0665019653393433</v>
      </c>
    </row>
    <row r="217" spans="1:50" x14ac:dyDescent="0.25">
      <c r="A217" t="s">
        <v>2917</v>
      </c>
      <c r="B217" t="s">
        <v>2918</v>
      </c>
      <c r="C217" t="s">
        <v>3101</v>
      </c>
      <c r="D217" t="s">
        <v>2527</v>
      </c>
      <c r="E217" t="s">
        <v>2528</v>
      </c>
      <c r="F217" t="s">
        <v>2529</v>
      </c>
      <c r="G217" t="s">
        <v>2920</v>
      </c>
      <c r="H217" t="s">
        <v>2921</v>
      </c>
      <c r="I217">
        <v>820730</v>
      </c>
      <c r="J217">
        <v>0</v>
      </c>
      <c r="K217" t="s">
        <v>3102</v>
      </c>
      <c r="L217" t="s">
        <v>3103</v>
      </c>
      <c r="M217">
        <v>64</v>
      </c>
      <c r="N217">
        <v>9611.3540000000012</v>
      </c>
      <c r="O217" t="s">
        <v>156</v>
      </c>
      <c r="P217">
        <v>13</v>
      </c>
      <c r="Q217">
        <v>11</v>
      </c>
      <c r="R217">
        <v>81</v>
      </c>
      <c r="S217">
        <v>5348937.5</v>
      </c>
      <c r="T217">
        <v>66</v>
      </c>
      <c r="U217">
        <v>162</v>
      </c>
      <c r="V217">
        <v>9611.3535464166052</v>
      </c>
      <c r="W217">
        <v>5348937.2476122174</v>
      </c>
      <c r="X217">
        <v>91.328999999999994</v>
      </c>
      <c r="Y217">
        <f>VLOOKUP(AB217,'2000 Seattle Tracts'!$C$2:$Z$374,24,FALSE)</f>
        <v>820731.29299999995</v>
      </c>
      <c r="Z217">
        <f t="shared" si="6"/>
        <v>1.1127758960690682E-4</v>
      </c>
      <c r="AA217" t="s">
        <v>161</v>
      </c>
      <c r="AB217" t="str">
        <f t="shared" si="7"/>
        <v>Census Tract 90, King County, Washington</v>
      </c>
      <c r="AC217" s="3">
        <f>VLOOKUP($AB217,'2000 Seattle Tracts'!$C$2:$Y$374,AC$1,FALSE)*$Z217</f>
        <v>0.24314153329109139</v>
      </c>
      <c r="AD217" s="3">
        <f>VLOOKUP($AB217,'2000 Seattle Tracts'!$C$2:$Y$374,AD$1,FALSE)*$Z217</f>
        <v>0.13364438511789509</v>
      </c>
      <c r="AE217" s="3">
        <f>VLOOKUP($AB217,'2000 Seattle Tracts'!$C$2:$Y$374,AE$1,FALSE)*$Z217</f>
        <v>0.10949714817319631</v>
      </c>
      <c r="AF217" s="3">
        <f>VLOOKUP($AB217,'2000 Seattle Tracts'!$C$2:$Y$374,AF$1,FALSE)*$Z217</f>
        <v>0.24314153329109139</v>
      </c>
      <c r="AG217" s="3">
        <f>VLOOKUP($AB217,'2000 Seattle Tracts'!$C$2:$Y$374,AG$1,FALSE)*$Z217</f>
        <v>0.13364438511789509</v>
      </c>
      <c r="AH217" s="3">
        <f>VLOOKUP($AB217,'2000 Seattle Tracts'!$C$2:$Y$374,AH$1,FALSE)*$Z217</f>
        <v>0.10949714817319631</v>
      </c>
      <c r="AI217" s="3">
        <f>VLOOKUP($AB217,'2000 Seattle Tracts'!$C$2:$Y$374,AI$1,FALSE)*$Z217</f>
        <v>2.414723694469878E-2</v>
      </c>
      <c r="AJ217" s="3">
        <f>VLOOKUP($AB217,'2000 Seattle Tracts'!$C$2:$Y$374,AJ$1,FALSE)*$Z217</f>
        <v>1.6691638441036023E-3</v>
      </c>
      <c r="AK217" s="3">
        <f>VLOOKUP($AB217,'2000 Seattle Tracts'!$C$2:$Y$374,AK$1,FALSE)*$Z217</f>
        <v>7.4555985036627572E-3</v>
      </c>
      <c r="AL217" s="3">
        <f>VLOOKUP($AB217,'2000 Seattle Tracts'!$C$2:$Y$374,AL$1,FALSE)*$Z217</f>
        <v>1.0682648602263055E-2</v>
      </c>
      <c r="AM217" s="3">
        <f>VLOOKUP($AB217,'2000 Seattle Tracts'!$C$2:$Y$374,AM$1,FALSE)*$Z217</f>
        <v>5.7307958647557014E-2</v>
      </c>
      <c r="AN217" s="3">
        <f>VLOOKUP($AB217,'2000 Seattle Tracts'!$C$2:$Y$374,AN$1,FALSE)*$Z217</f>
        <v>1.402097629047026E-2</v>
      </c>
      <c r="AO217" s="3">
        <f>VLOOKUP($AB217,'2000 Seattle Tracts'!$C$2:$Y$374,AO$1,FALSE)*$Z217</f>
        <v>3.3383276882072046E-4</v>
      </c>
      <c r="AP217" s="3">
        <f>VLOOKUP($AB217,'2000 Seattle Tracts'!$C$2:$Y$374,AP$1,FALSE)*$Z217</f>
        <v>7.7894312724834775E-4</v>
      </c>
      <c r="AQ217" s="3">
        <f>VLOOKUP($AB217,'2000 Seattle Tracts'!$C$2:$Y$374,AQ$1,FALSE)*$Z217</f>
        <v>3.0378781962685564E-2</v>
      </c>
      <c r="AR217" s="3">
        <f>VLOOKUP($AB217,'2000 Seattle Tracts'!$C$2:$Y$374,AR$1,FALSE)*$Z217</f>
        <v>7.0995102169206556E-2</v>
      </c>
      <c r="AS217" s="3">
        <f>VLOOKUP($AB217,'2000 Seattle Tracts'!$C$2:$Y$374,AS$1,FALSE)*$Z217</f>
        <v>0</v>
      </c>
      <c r="AT217" s="3">
        <f>VLOOKUP($AB217,'2000 Seattle Tracts'!$C$2:$Y$374,AT$1,FALSE)*$Z217</f>
        <v>7.7894312724834775E-4</v>
      </c>
      <c r="AU217" s="3">
        <f>VLOOKUP($AB217,'2000 Seattle Tracts'!$C$2:$Y$374,AU$1,FALSE)*$Z217</f>
        <v>3.5608828674210183E-3</v>
      </c>
      <c r="AV217" s="3">
        <f>VLOOKUP($AB217,'2000 Seattle Tracts'!$C$2:$Y$374,AV$1,FALSE)*$Z217</f>
        <v>6.8992105556282234E-3</v>
      </c>
      <c r="AW217" s="3">
        <f>VLOOKUP($AB217,'2000 Seattle Tracts'!$C$2:$Y$374,AW$1,FALSE)*$Z217</f>
        <v>1.0460093423049242E-2</v>
      </c>
      <c r="AX217" s="3">
        <f>VLOOKUP($AB217,'2000 Seattle Tracts'!$C$2:$Y$374,AX$1,FALSE)*$Z217</f>
        <v>3.6721604570279249E-3</v>
      </c>
    </row>
    <row r="218" spans="1:50" x14ac:dyDescent="0.25">
      <c r="A218" t="s">
        <v>2917</v>
      </c>
      <c r="B218" t="s">
        <v>2918</v>
      </c>
      <c r="C218" t="s">
        <v>3101</v>
      </c>
      <c r="D218" t="s">
        <v>2527</v>
      </c>
      <c r="E218" t="s">
        <v>2528</v>
      </c>
      <c r="F218" t="s">
        <v>2529</v>
      </c>
      <c r="G218" t="s">
        <v>2920</v>
      </c>
      <c r="H218" t="s">
        <v>2921</v>
      </c>
      <c r="I218">
        <v>820730</v>
      </c>
      <c r="J218">
        <v>0</v>
      </c>
      <c r="K218" t="s">
        <v>3102</v>
      </c>
      <c r="L218" t="s">
        <v>3103</v>
      </c>
      <c r="M218">
        <v>79</v>
      </c>
      <c r="N218">
        <v>33865.487999999998</v>
      </c>
      <c r="O218" t="s">
        <v>179</v>
      </c>
      <c r="P218">
        <v>17</v>
      </c>
      <c r="Q218">
        <v>5</v>
      </c>
      <c r="R218">
        <v>9</v>
      </c>
      <c r="S218">
        <v>48475916</v>
      </c>
      <c r="T218">
        <v>81</v>
      </c>
      <c r="U218">
        <v>166</v>
      </c>
      <c r="V218">
        <v>33865.489173990143</v>
      </c>
      <c r="W218">
        <v>48475914.455668777</v>
      </c>
      <c r="X218">
        <v>179.15100000000001</v>
      </c>
      <c r="Y218">
        <f>VLOOKUP(AB218,'2000 Seattle Tracts'!$C$2:$Z$374,24,FALSE)</f>
        <v>820731.29299999995</v>
      </c>
      <c r="Z218">
        <f t="shared" si="6"/>
        <v>2.1828216071200786E-4</v>
      </c>
      <c r="AA218" t="s">
        <v>178</v>
      </c>
      <c r="AB218" t="str">
        <f t="shared" si="7"/>
        <v>Census Tract 90, King County, Washington</v>
      </c>
      <c r="AC218" s="3">
        <f>VLOOKUP($AB218,'2000 Seattle Tracts'!$C$2:$Y$374,AC$1,FALSE)*$Z218</f>
        <v>0.47694652115573716</v>
      </c>
      <c r="AD218" s="3">
        <f>VLOOKUP($AB218,'2000 Seattle Tracts'!$C$2:$Y$374,AD$1,FALSE)*$Z218</f>
        <v>0.26215687501512147</v>
      </c>
      <c r="AE218" s="3">
        <f>VLOOKUP($AB218,'2000 Seattle Tracts'!$C$2:$Y$374,AE$1,FALSE)*$Z218</f>
        <v>0.21478964614061574</v>
      </c>
      <c r="AF218" s="3">
        <f>VLOOKUP($AB218,'2000 Seattle Tracts'!$C$2:$Y$374,AF$1,FALSE)*$Z218</f>
        <v>0.47694652115573716</v>
      </c>
      <c r="AG218" s="3">
        <f>VLOOKUP($AB218,'2000 Seattle Tracts'!$C$2:$Y$374,AG$1,FALSE)*$Z218</f>
        <v>0.26215687501512147</v>
      </c>
      <c r="AH218" s="3">
        <f>VLOOKUP($AB218,'2000 Seattle Tracts'!$C$2:$Y$374,AH$1,FALSE)*$Z218</f>
        <v>0.21478964614061574</v>
      </c>
      <c r="AI218" s="3">
        <f>VLOOKUP($AB218,'2000 Seattle Tracts'!$C$2:$Y$374,AI$1,FALSE)*$Z218</f>
        <v>4.7367228874505708E-2</v>
      </c>
      <c r="AJ218" s="3">
        <f>VLOOKUP($AB218,'2000 Seattle Tracts'!$C$2:$Y$374,AJ$1,FALSE)*$Z218</f>
        <v>3.2742324106801181E-3</v>
      </c>
      <c r="AK218" s="3">
        <f>VLOOKUP($AB218,'2000 Seattle Tracts'!$C$2:$Y$374,AK$1,FALSE)*$Z218</f>
        <v>1.4624904767704528E-2</v>
      </c>
      <c r="AL218" s="3">
        <f>VLOOKUP($AB218,'2000 Seattle Tracts'!$C$2:$Y$374,AL$1,FALSE)*$Z218</f>
        <v>2.0955087428352753E-2</v>
      </c>
      <c r="AM218" s="3">
        <f>VLOOKUP($AB218,'2000 Seattle Tracts'!$C$2:$Y$374,AM$1,FALSE)*$Z218</f>
        <v>0.11241531276668405</v>
      </c>
      <c r="AN218" s="3">
        <f>VLOOKUP($AB218,'2000 Seattle Tracts'!$C$2:$Y$374,AN$1,FALSE)*$Z218</f>
        <v>2.750355224971299E-2</v>
      </c>
      <c r="AO218" s="3">
        <f>VLOOKUP($AB218,'2000 Seattle Tracts'!$C$2:$Y$374,AO$1,FALSE)*$Z218</f>
        <v>6.5484648213602354E-4</v>
      </c>
      <c r="AP218" s="3">
        <f>VLOOKUP($AB218,'2000 Seattle Tracts'!$C$2:$Y$374,AP$1,FALSE)*$Z218</f>
        <v>1.527975124984055E-3</v>
      </c>
      <c r="AQ218" s="3">
        <f>VLOOKUP($AB218,'2000 Seattle Tracts'!$C$2:$Y$374,AQ$1,FALSE)*$Z218</f>
        <v>5.959102987437815E-2</v>
      </c>
      <c r="AR218" s="3">
        <f>VLOOKUP($AB218,'2000 Seattle Tracts'!$C$2:$Y$374,AR$1,FALSE)*$Z218</f>
        <v>0.13926401853426101</v>
      </c>
      <c r="AS218" s="3">
        <f>VLOOKUP($AB218,'2000 Seattle Tracts'!$C$2:$Y$374,AS$1,FALSE)*$Z218</f>
        <v>0</v>
      </c>
      <c r="AT218" s="3">
        <f>VLOOKUP($AB218,'2000 Seattle Tracts'!$C$2:$Y$374,AT$1,FALSE)*$Z218</f>
        <v>1.527975124984055E-3</v>
      </c>
      <c r="AU218" s="3">
        <f>VLOOKUP($AB218,'2000 Seattle Tracts'!$C$2:$Y$374,AU$1,FALSE)*$Z218</f>
        <v>6.9850291427842517E-3</v>
      </c>
      <c r="AV218" s="3">
        <f>VLOOKUP($AB218,'2000 Seattle Tracts'!$C$2:$Y$374,AV$1,FALSE)*$Z218</f>
        <v>1.3533493964144487E-2</v>
      </c>
      <c r="AW218" s="3">
        <f>VLOOKUP($AB218,'2000 Seattle Tracts'!$C$2:$Y$374,AW$1,FALSE)*$Z218</f>
        <v>2.051852310692874E-2</v>
      </c>
      <c r="AX218" s="3">
        <f>VLOOKUP($AB218,'2000 Seattle Tracts'!$C$2:$Y$374,AX$1,FALSE)*$Z218</f>
        <v>7.2033113034962598E-3</v>
      </c>
    </row>
    <row r="219" spans="1:50" x14ac:dyDescent="0.25">
      <c r="A219" t="s">
        <v>2917</v>
      </c>
      <c r="B219" t="s">
        <v>2918</v>
      </c>
      <c r="C219" t="s">
        <v>3098</v>
      </c>
      <c r="D219" t="s">
        <v>2533</v>
      </c>
      <c r="E219" t="s">
        <v>2534</v>
      </c>
      <c r="F219" t="s">
        <v>2535</v>
      </c>
      <c r="G219" t="s">
        <v>2920</v>
      </c>
      <c r="H219" t="s">
        <v>2921</v>
      </c>
      <c r="I219">
        <v>1280326</v>
      </c>
      <c r="J219">
        <v>1636171</v>
      </c>
      <c r="K219" t="s">
        <v>3433</v>
      </c>
      <c r="L219" t="s">
        <v>3434</v>
      </c>
      <c r="M219">
        <v>56</v>
      </c>
      <c r="N219">
        <v>20413.057000000001</v>
      </c>
      <c r="O219" t="s">
        <v>149</v>
      </c>
      <c r="P219">
        <v>14</v>
      </c>
      <c r="Q219">
        <v>8</v>
      </c>
      <c r="R219">
        <v>19</v>
      </c>
      <c r="S219">
        <v>18091742</v>
      </c>
      <c r="T219">
        <v>58</v>
      </c>
      <c r="U219">
        <v>161</v>
      </c>
      <c r="V219">
        <v>20413.056051688221</v>
      </c>
      <c r="W219">
        <v>18091741.376667041</v>
      </c>
      <c r="X219">
        <v>881834.07200000004</v>
      </c>
      <c r="Y219">
        <f>VLOOKUP(AB219,'2000 Seattle Tracts'!$C$2:$Z$374,24,FALSE)</f>
        <v>1267823.227</v>
      </c>
      <c r="Z219">
        <f t="shared" si="6"/>
        <v>0.69554970536913829</v>
      </c>
      <c r="AA219" t="s">
        <v>152</v>
      </c>
      <c r="AB219" t="str">
        <f t="shared" si="7"/>
        <v>Census Tract 89, King County, Washington</v>
      </c>
      <c r="AC219" s="3">
        <f>VLOOKUP($AB219,'2000 Seattle Tracts'!$C$2:$Y$374,AC$1,FALSE)*$Z219</f>
        <v>3161.2734109027338</v>
      </c>
      <c r="AD219" s="3">
        <f>VLOOKUP($AB219,'2000 Seattle Tracts'!$C$2:$Y$374,AD$1,FALSE)*$Z219</f>
        <v>2744.6391373866195</v>
      </c>
      <c r="AE219" s="3">
        <f>VLOOKUP($AB219,'2000 Seattle Tracts'!$C$2:$Y$374,AE$1,FALSE)*$Z219</f>
        <v>416.63427351611386</v>
      </c>
      <c r="AF219" s="3">
        <f>VLOOKUP($AB219,'2000 Seattle Tracts'!$C$2:$Y$374,AF$1,FALSE)*$Z219</f>
        <v>3161.2734109027338</v>
      </c>
      <c r="AG219" s="3">
        <f>VLOOKUP($AB219,'2000 Seattle Tracts'!$C$2:$Y$374,AG$1,FALSE)*$Z219</f>
        <v>2744.6391373866195</v>
      </c>
      <c r="AH219" s="3">
        <f>VLOOKUP($AB219,'2000 Seattle Tracts'!$C$2:$Y$374,AH$1,FALSE)*$Z219</f>
        <v>416.63427351611386</v>
      </c>
      <c r="AI219" s="3">
        <f>VLOOKUP($AB219,'2000 Seattle Tracts'!$C$2:$Y$374,AI$1,FALSE)*$Z219</f>
        <v>1231.8185282087438</v>
      </c>
      <c r="AJ219" s="3">
        <f>VLOOKUP($AB219,'2000 Seattle Tracts'!$C$2:$Y$374,AJ$1,FALSE)*$Z219</f>
        <v>96.681409046310222</v>
      </c>
      <c r="AK219" s="3">
        <f>VLOOKUP($AB219,'2000 Seattle Tracts'!$C$2:$Y$374,AK$1,FALSE)*$Z219</f>
        <v>15.302093518121042</v>
      </c>
      <c r="AL219" s="3">
        <f>VLOOKUP($AB219,'2000 Seattle Tracts'!$C$2:$Y$374,AL$1,FALSE)*$Z219</f>
        <v>25.039789393288977</v>
      </c>
      <c r="AM219" s="3">
        <f>VLOOKUP($AB219,'2000 Seattle Tracts'!$C$2:$Y$374,AM$1,FALSE)*$Z219</f>
        <v>1202.6054405832401</v>
      </c>
      <c r="AN219" s="3">
        <f>VLOOKUP($AB219,'2000 Seattle Tracts'!$C$2:$Y$374,AN$1,FALSE)*$Z219</f>
        <v>61.903923777853308</v>
      </c>
      <c r="AO219" s="3">
        <f>VLOOKUP($AB219,'2000 Seattle Tracts'!$C$2:$Y$374,AO$1,FALSE)*$Z219</f>
        <v>36.864134384564331</v>
      </c>
      <c r="AP219" s="3">
        <f>VLOOKUP($AB219,'2000 Seattle Tracts'!$C$2:$Y$374,AP$1,FALSE)*$Z219</f>
        <v>0</v>
      </c>
      <c r="AQ219" s="3">
        <f>VLOOKUP($AB219,'2000 Seattle Tracts'!$C$2:$Y$374,AQ$1,FALSE)*$Z219</f>
        <v>52.86177760805451</v>
      </c>
      <c r="AR219" s="3">
        <f>VLOOKUP($AB219,'2000 Seattle Tracts'!$C$2:$Y$374,AR$1,FALSE)*$Z219</f>
        <v>128.67669549329059</v>
      </c>
      <c r="AS219" s="3">
        <f>VLOOKUP($AB219,'2000 Seattle Tracts'!$C$2:$Y$374,AS$1,FALSE)*$Z219</f>
        <v>15.997643223490181</v>
      </c>
      <c r="AT219" s="3">
        <f>VLOOKUP($AB219,'2000 Seattle Tracts'!$C$2:$Y$374,AT$1,FALSE)*$Z219</f>
        <v>0</v>
      </c>
      <c r="AU219" s="3">
        <f>VLOOKUP($AB219,'2000 Seattle Tracts'!$C$2:$Y$374,AU$1,FALSE)*$Z219</f>
        <v>47.992929670470545</v>
      </c>
      <c r="AV219" s="3">
        <f>VLOOKUP($AB219,'2000 Seattle Tracts'!$C$2:$Y$374,AV$1,FALSE)*$Z219</f>
        <v>61.208374072484169</v>
      </c>
      <c r="AW219" s="3">
        <f>VLOOKUP($AB219,'2000 Seattle Tracts'!$C$2:$Y$374,AW$1,FALSE)*$Z219</f>
        <v>141.19659018993508</v>
      </c>
      <c r="AX219" s="3">
        <f>VLOOKUP($AB219,'2000 Seattle Tracts'!$C$2:$Y$374,AX$1,FALSE)*$Z219</f>
        <v>43.124081732886573</v>
      </c>
    </row>
    <row r="220" spans="1:50" x14ac:dyDescent="0.25">
      <c r="A220" t="s">
        <v>2917</v>
      </c>
      <c r="B220" t="s">
        <v>2918</v>
      </c>
      <c r="C220" t="s">
        <v>3098</v>
      </c>
      <c r="D220" t="s">
        <v>2533</v>
      </c>
      <c r="E220" t="s">
        <v>2534</v>
      </c>
      <c r="F220" t="s">
        <v>2535</v>
      </c>
      <c r="G220" t="s">
        <v>2920</v>
      </c>
      <c r="H220" t="s">
        <v>2921</v>
      </c>
      <c r="I220">
        <v>1280326</v>
      </c>
      <c r="J220">
        <v>1636171</v>
      </c>
      <c r="K220" t="s">
        <v>3433</v>
      </c>
      <c r="L220" t="s">
        <v>3434</v>
      </c>
      <c r="M220">
        <v>58</v>
      </c>
      <c r="N220">
        <v>25426.23</v>
      </c>
      <c r="O220" t="s">
        <v>149</v>
      </c>
      <c r="P220">
        <v>14</v>
      </c>
      <c r="Q220">
        <v>8</v>
      </c>
      <c r="R220">
        <v>24</v>
      </c>
      <c r="S220">
        <v>20664986</v>
      </c>
      <c r="T220">
        <v>60</v>
      </c>
      <c r="U220">
        <v>165</v>
      </c>
      <c r="V220">
        <v>25426.231162667511</v>
      </c>
      <c r="W220">
        <v>20664986.272921581</v>
      </c>
      <c r="X220">
        <v>384409.58</v>
      </c>
      <c r="Y220">
        <f>VLOOKUP(AB220,'2000 Seattle Tracts'!$C$2:$Z$374,24,FALSE)</f>
        <v>1267823.227</v>
      </c>
      <c r="Z220">
        <f t="shared" si="6"/>
        <v>0.30320439933066473</v>
      </c>
      <c r="AA220" t="s">
        <v>154</v>
      </c>
      <c r="AB220" t="str">
        <f t="shared" si="7"/>
        <v>Census Tract 89, King County, Washington</v>
      </c>
      <c r="AC220" s="3">
        <f>VLOOKUP($AB220,'2000 Seattle Tracts'!$C$2:$Y$374,AC$1,FALSE)*$Z220</f>
        <v>1378.0639949578713</v>
      </c>
      <c r="AD220" s="3">
        <f>VLOOKUP($AB220,'2000 Seattle Tracts'!$C$2:$Y$374,AD$1,FALSE)*$Z220</f>
        <v>1196.4445597588031</v>
      </c>
      <c r="AE220" s="3">
        <f>VLOOKUP($AB220,'2000 Seattle Tracts'!$C$2:$Y$374,AE$1,FALSE)*$Z220</f>
        <v>181.61943519906816</v>
      </c>
      <c r="AF220" s="3">
        <f>VLOOKUP($AB220,'2000 Seattle Tracts'!$C$2:$Y$374,AF$1,FALSE)*$Z220</f>
        <v>1378.0639949578713</v>
      </c>
      <c r="AG220" s="3">
        <f>VLOOKUP($AB220,'2000 Seattle Tracts'!$C$2:$Y$374,AG$1,FALSE)*$Z220</f>
        <v>1196.4445597588031</v>
      </c>
      <c r="AH220" s="3">
        <f>VLOOKUP($AB220,'2000 Seattle Tracts'!$C$2:$Y$374,AH$1,FALSE)*$Z220</f>
        <v>181.61943519906816</v>
      </c>
      <c r="AI220" s="3">
        <f>VLOOKUP($AB220,'2000 Seattle Tracts'!$C$2:$Y$374,AI$1,FALSE)*$Z220</f>
        <v>536.97499121460726</v>
      </c>
      <c r="AJ220" s="3">
        <f>VLOOKUP($AB220,'2000 Seattle Tracts'!$C$2:$Y$374,AJ$1,FALSE)*$Z220</f>
        <v>42.145411506962397</v>
      </c>
      <c r="AK220" s="3">
        <f>VLOOKUP($AB220,'2000 Seattle Tracts'!$C$2:$Y$374,AK$1,FALSE)*$Z220</f>
        <v>6.670496785274624</v>
      </c>
      <c r="AL220" s="3">
        <f>VLOOKUP($AB220,'2000 Seattle Tracts'!$C$2:$Y$374,AL$1,FALSE)*$Z220</f>
        <v>10.91535837590393</v>
      </c>
      <c r="AM220" s="3">
        <f>VLOOKUP($AB220,'2000 Seattle Tracts'!$C$2:$Y$374,AM$1,FALSE)*$Z220</f>
        <v>524.24040644271929</v>
      </c>
      <c r="AN220" s="3">
        <f>VLOOKUP($AB220,'2000 Seattle Tracts'!$C$2:$Y$374,AN$1,FALSE)*$Z220</f>
        <v>26.98519154042916</v>
      </c>
      <c r="AO220" s="3">
        <f>VLOOKUP($AB220,'2000 Seattle Tracts'!$C$2:$Y$374,AO$1,FALSE)*$Z220</f>
        <v>16.069833164525232</v>
      </c>
      <c r="AP220" s="3">
        <f>VLOOKUP($AB220,'2000 Seattle Tracts'!$C$2:$Y$374,AP$1,FALSE)*$Z220</f>
        <v>0</v>
      </c>
      <c r="AQ220" s="3">
        <f>VLOOKUP($AB220,'2000 Seattle Tracts'!$C$2:$Y$374,AQ$1,FALSE)*$Z220</f>
        <v>23.043534349130521</v>
      </c>
      <c r="AR220" s="3">
        <f>VLOOKUP($AB220,'2000 Seattle Tracts'!$C$2:$Y$374,AR$1,FALSE)*$Z220</f>
        <v>56.092813876172976</v>
      </c>
      <c r="AS220" s="3">
        <f>VLOOKUP($AB220,'2000 Seattle Tracts'!$C$2:$Y$374,AS$1,FALSE)*$Z220</f>
        <v>6.9737011846052885</v>
      </c>
      <c r="AT220" s="3">
        <f>VLOOKUP($AB220,'2000 Seattle Tracts'!$C$2:$Y$374,AT$1,FALSE)*$Z220</f>
        <v>0</v>
      </c>
      <c r="AU220" s="3">
        <f>VLOOKUP($AB220,'2000 Seattle Tracts'!$C$2:$Y$374,AU$1,FALSE)*$Z220</f>
        <v>20.921103553815865</v>
      </c>
      <c r="AV220" s="3">
        <f>VLOOKUP($AB220,'2000 Seattle Tracts'!$C$2:$Y$374,AV$1,FALSE)*$Z220</f>
        <v>26.681987141098496</v>
      </c>
      <c r="AW220" s="3">
        <f>VLOOKUP($AB220,'2000 Seattle Tracts'!$C$2:$Y$374,AW$1,FALSE)*$Z220</f>
        <v>61.550493064124943</v>
      </c>
      <c r="AX220" s="3">
        <f>VLOOKUP($AB220,'2000 Seattle Tracts'!$C$2:$Y$374,AX$1,FALSE)*$Z220</f>
        <v>18.798672758501212</v>
      </c>
    </row>
    <row r="221" spans="1:50" x14ac:dyDescent="0.25">
      <c r="A221" t="s">
        <v>2917</v>
      </c>
      <c r="B221" t="s">
        <v>2918</v>
      </c>
      <c r="C221" t="s">
        <v>3098</v>
      </c>
      <c r="D221" t="s">
        <v>2533</v>
      </c>
      <c r="E221" t="s">
        <v>2534</v>
      </c>
      <c r="F221" t="s">
        <v>2535</v>
      </c>
      <c r="G221" t="s">
        <v>2920</v>
      </c>
      <c r="H221" t="s">
        <v>2921</v>
      </c>
      <c r="I221">
        <v>1280326</v>
      </c>
      <c r="J221">
        <v>1636171</v>
      </c>
      <c r="K221" t="s">
        <v>3433</v>
      </c>
      <c r="L221" t="s">
        <v>3434</v>
      </c>
      <c r="M221">
        <v>87</v>
      </c>
      <c r="N221">
        <v>26318.982</v>
      </c>
      <c r="O221" t="s">
        <v>184</v>
      </c>
      <c r="P221">
        <v>15</v>
      </c>
      <c r="Q221">
        <v>4</v>
      </c>
      <c r="R221">
        <v>23</v>
      </c>
      <c r="S221">
        <v>28986996</v>
      </c>
      <c r="T221">
        <v>89</v>
      </c>
      <c r="U221">
        <v>170</v>
      </c>
      <c r="V221">
        <v>26318.98190548713</v>
      </c>
      <c r="W221">
        <v>28986995.234481908</v>
      </c>
      <c r="X221">
        <v>176.81899999999999</v>
      </c>
      <c r="Y221">
        <f>VLOOKUP(AB221,'2000 Seattle Tracts'!$C$2:$Z$374,24,FALSE)</f>
        <v>1267823.227</v>
      </c>
      <c r="Z221">
        <f t="shared" si="6"/>
        <v>1.3946660404573895E-4</v>
      </c>
      <c r="AA221" t="s">
        <v>188</v>
      </c>
      <c r="AB221" t="str">
        <f t="shared" si="7"/>
        <v>Census Tract 89, King County, Washington</v>
      </c>
      <c r="AC221" s="3">
        <f>VLOOKUP($AB221,'2000 Seattle Tracts'!$C$2:$Y$374,AC$1,FALSE)*$Z221</f>
        <v>0.63387571538788356</v>
      </c>
      <c r="AD221" s="3">
        <f>VLOOKUP($AB221,'2000 Seattle Tracts'!$C$2:$Y$374,AD$1,FALSE)*$Z221</f>
        <v>0.55033521956448583</v>
      </c>
      <c r="AE221" s="3">
        <f>VLOOKUP($AB221,'2000 Seattle Tracts'!$C$2:$Y$374,AE$1,FALSE)*$Z221</f>
        <v>8.3540495823397634E-2</v>
      </c>
      <c r="AF221" s="3">
        <f>VLOOKUP($AB221,'2000 Seattle Tracts'!$C$2:$Y$374,AF$1,FALSE)*$Z221</f>
        <v>0.63387571538788356</v>
      </c>
      <c r="AG221" s="3">
        <f>VLOOKUP($AB221,'2000 Seattle Tracts'!$C$2:$Y$374,AG$1,FALSE)*$Z221</f>
        <v>0.55033521956448583</v>
      </c>
      <c r="AH221" s="3">
        <f>VLOOKUP($AB221,'2000 Seattle Tracts'!$C$2:$Y$374,AH$1,FALSE)*$Z221</f>
        <v>8.3540495823397634E-2</v>
      </c>
      <c r="AI221" s="3">
        <f>VLOOKUP($AB221,'2000 Seattle Tracts'!$C$2:$Y$374,AI$1,FALSE)*$Z221</f>
        <v>0.24699535576500367</v>
      </c>
      <c r="AJ221" s="3">
        <f>VLOOKUP($AB221,'2000 Seattle Tracts'!$C$2:$Y$374,AJ$1,FALSE)*$Z221</f>
        <v>1.9385857962357714E-2</v>
      </c>
      <c r="AK221" s="3">
        <f>VLOOKUP($AB221,'2000 Seattle Tracts'!$C$2:$Y$374,AK$1,FALSE)*$Z221</f>
        <v>3.068265289006257E-3</v>
      </c>
      <c r="AL221" s="3">
        <f>VLOOKUP($AB221,'2000 Seattle Tracts'!$C$2:$Y$374,AL$1,FALSE)*$Z221</f>
        <v>5.0207977456466022E-3</v>
      </c>
      <c r="AM221" s="3">
        <f>VLOOKUP($AB221,'2000 Seattle Tracts'!$C$2:$Y$374,AM$1,FALSE)*$Z221</f>
        <v>0.24113775839508264</v>
      </c>
      <c r="AN221" s="3">
        <f>VLOOKUP($AB221,'2000 Seattle Tracts'!$C$2:$Y$374,AN$1,FALSE)*$Z221</f>
        <v>1.2412527760070766E-2</v>
      </c>
      <c r="AO221" s="3">
        <f>VLOOKUP($AB221,'2000 Seattle Tracts'!$C$2:$Y$374,AO$1,FALSE)*$Z221</f>
        <v>7.3917300144241641E-3</v>
      </c>
      <c r="AP221" s="3">
        <f>VLOOKUP($AB221,'2000 Seattle Tracts'!$C$2:$Y$374,AP$1,FALSE)*$Z221</f>
        <v>0</v>
      </c>
      <c r="AQ221" s="3">
        <f>VLOOKUP($AB221,'2000 Seattle Tracts'!$C$2:$Y$374,AQ$1,FALSE)*$Z221</f>
        <v>1.0599461907476159E-2</v>
      </c>
      <c r="AR221" s="3">
        <f>VLOOKUP($AB221,'2000 Seattle Tracts'!$C$2:$Y$374,AR$1,FALSE)*$Z221</f>
        <v>2.5801321748461704E-2</v>
      </c>
      <c r="AS221" s="3">
        <f>VLOOKUP($AB221,'2000 Seattle Tracts'!$C$2:$Y$374,AS$1,FALSE)*$Z221</f>
        <v>3.2077318930519958E-3</v>
      </c>
      <c r="AT221" s="3">
        <f>VLOOKUP($AB221,'2000 Seattle Tracts'!$C$2:$Y$374,AT$1,FALSE)*$Z221</f>
        <v>0</v>
      </c>
      <c r="AU221" s="3">
        <f>VLOOKUP($AB221,'2000 Seattle Tracts'!$C$2:$Y$374,AU$1,FALSE)*$Z221</f>
        <v>9.6231956791559877E-3</v>
      </c>
      <c r="AV221" s="3">
        <f>VLOOKUP($AB221,'2000 Seattle Tracts'!$C$2:$Y$374,AV$1,FALSE)*$Z221</f>
        <v>1.2273061156025028E-2</v>
      </c>
      <c r="AW221" s="3">
        <f>VLOOKUP($AB221,'2000 Seattle Tracts'!$C$2:$Y$374,AW$1,FALSE)*$Z221</f>
        <v>2.8311720621285005E-2</v>
      </c>
      <c r="AX221" s="3">
        <f>VLOOKUP($AB221,'2000 Seattle Tracts'!$C$2:$Y$374,AX$1,FALSE)*$Z221</f>
        <v>8.6469294508358142E-3</v>
      </c>
    </row>
    <row r="222" spans="1:50" x14ac:dyDescent="0.25">
      <c r="A222" t="s">
        <v>2917</v>
      </c>
      <c r="B222" t="s">
        <v>2918</v>
      </c>
      <c r="C222" t="s">
        <v>3095</v>
      </c>
      <c r="D222" t="s">
        <v>2536</v>
      </c>
      <c r="E222" t="s">
        <v>2537</v>
      </c>
      <c r="F222" t="s">
        <v>2538</v>
      </c>
      <c r="G222" t="s">
        <v>2920</v>
      </c>
      <c r="H222" t="s">
        <v>2921</v>
      </c>
      <c r="I222">
        <v>948580</v>
      </c>
      <c r="J222">
        <v>0</v>
      </c>
      <c r="K222" t="s">
        <v>3096</v>
      </c>
      <c r="L222" t="s">
        <v>3097</v>
      </c>
      <c r="M222">
        <v>53</v>
      </c>
      <c r="N222">
        <v>17052.942999999999</v>
      </c>
      <c r="O222" t="s">
        <v>149</v>
      </c>
      <c r="P222">
        <v>14</v>
      </c>
      <c r="Q222">
        <v>8</v>
      </c>
      <c r="R222">
        <v>0</v>
      </c>
      <c r="S222">
        <v>13845483</v>
      </c>
      <c r="T222">
        <v>55</v>
      </c>
      <c r="U222">
        <v>158</v>
      </c>
      <c r="V222">
        <v>17052.94270676927</v>
      </c>
      <c r="W222">
        <v>13845482.808370169</v>
      </c>
      <c r="X222">
        <v>150421.397</v>
      </c>
      <c r="Y222">
        <f>VLOOKUP(AB222,'2000 Seattle Tracts'!$C$2:$Z$374,24,FALSE)</f>
        <v>948580.94799999997</v>
      </c>
      <c r="Z222">
        <f t="shared" si="6"/>
        <v>0.15857518255785166</v>
      </c>
      <c r="AA222" t="s">
        <v>148</v>
      </c>
      <c r="AB222" t="str">
        <f t="shared" si="7"/>
        <v>Census Tract 88, King County, Washington</v>
      </c>
      <c r="AC222" s="3">
        <f>VLOOKUP($AB222,'2000 Seattle Tracts'!$C$2:$Y$374,AC$1,FALSE)*$Z222</f>
        <v>555.96459004782798</v>
      </c>
      <c r="AD222" s="3">
        <f>VLOOKUP($AB222,'2000 Seattle Tracts'!$C$2:$Y$374,AD$1,FALSE)*$Z222</f>
        <v>487.61868636539384</v>
      </c>
      <c r="AE222" s="3">
        <f>VLOOKUP($AB222,'2000 Seattle Tracts'!$C$2:$Y$374,AE$1,FALSE)*$Z222</f>
        <v>68.34590368243407</v>
      </c>
      <c r="AF222" s="3">
        <f>VLOOKUP($AB222,'2000 Seattle Tracts'!$C$2:$Y$374,AF$1,FALSE)*$Z222</f>
        <v>555.96459004782798</v>
      </c>
      <c r="AG222" s="3">
        <f>VLOOKUP($AB222,'2000 Seattle Tracts'!$C$2:$Y$374,AG$1,FALSE)*$Z222</f>
        <v>487.61868636539384</v>
      </c>
      <c r="AH222" s="3">
        <f>VLOOKUP($AB222,'2000 Seattle Tracts'!$C$2:$Y$374,AH$1,FALSE)*$Z222</f>
        <v>68.34590368243407</v>
      </c>
      <c r="AI222" s="3">
        <f>VLOOKUP($AB222,'2000 Seattle Tracts'!$C$2:$Y$374,AI$1,FALSE)*$Z222</f>
        <v>177.44562928223601</v>
      </c>
      <c r="AJ222" s="3">
        <f>VLOOKUP($AB222,'2000 Seattle Tracts'!$C$2:$Y$374,AJ$1,FALSE)*$Z222</f>
        <v>12.527439422070282</v>
      </c>
      <c r="AK222" s="3">
        <f>VLOOKUP($AB222,'2000 Seattle Tracts'!$C$2:$Y$374,AK$1,FALSE)*$Z222</f>
        <v>4.4401051116198467</v>
      </c>
      <c r="AL222" s="3">
        <f>VLOOKUP($AB222,'2000 Seattle Tracts'!$C$2:$Y$374,AL$1,FALSE)*$Z222</f>
        <v>13.637465699975243</v>
      </c>
      <c r="AM222" s="3">
        <f>VLOOKUP($AB222,'2000 Seattle Tracts'!$C$2:$Y$374,AM$1,FALSE)*$Z222</f>
        <v>271.16356217392632</v>
      </c>
      <c r="AN222" s="3">
        <f>VLOOKUP($AB222,'2000 Seattle Tracts'!$C$2:$Y$374,AN$1,FALSE)*$Z222</f>
        <v>8.0873343104504354</v>
      </c>
      <c r="AO222" s="3">
        <f>VLOOKUP($AB222,'2000 Seattle Tracts'!$C$2:$Y$374,AO$1,FALSE)*$Z222</f>
        <v>1.2686014604628133</v>
      </c>
      <c r="AP222" s="3">
        <f>VLOOKUP($AB222,'2000 Seattle Tracts'!$C$2:$Y$374,AP$1,FALSE)*$Z222</f>
        <v>0.47572554767355502</v>
      </c>
      <c r="AQ222" s="3">
        <f>VLOOKUP($AB222,'2000 Seattle Tracts'!$C$2:$Y$374,AQ$1,FALSE)*$Z222</f>
        <v>6.9773080325454728</v>
      </c>
      <c r="AR222" s="3">
        <f>VLOOKUP($AB222,'2000 Seattle Tracts'!$C$2:$Y$374,AR$1,FALSE)*$Z222</f>
        <v>12.844589787185985</v>
      </c>
      <c r="AS222" s="3">
        <f>VLOOKUP($AB222,'2000 Seattle Tracts'!$C$2:$Y$374,AS$1,FALSE)*$Z222</f>
        <v>0</v>
      </c>
      <c r="AT222" s="3">
        <f>VLOOKUP($AB222,'2000 Seattle Tracts'!$C$2:$Y$374,AT$1,FALSE)*$Z222</f>
        <v>0</v>
      </c>
      <c r="AU222" s="3">
        <f>VLOOKUP($AB222,'2000 Seattle Tracts'!$C$2:$Y$374,AU$1,FALSE)*$Z222</f>
        <v>9.3559357709132485</v>
      </c>
      <c r="AV222" s="3">
        <f>VLOOKUP($AB222,'2000 Seattle Tracts'!$C$2:$Y$374,AV$1,FALSE)*$Z222</f>
        <v>12.686014604628133</v>
      </c>
      <c r="AW222" s="3">
        <f>VLOOKUP($AB222,'2000 Seattle Tracts'!$C$2:$Y$374,AW$1,FALSE)*$Z222</f>
        <v>16.967544533690127</v>
      </c>
      <c r="AX222" s="3">
        <f>VLOOKUP($AB222,'2000 Seattle Tracts'!$C$2:$Y$374,AX$1,FALSE)*$Z222</f>
        <v>8.0873343104504354</v>
      </c>
    </row>
    <row r="223" spans="1:50" x14ac:dyDescent="0.25">
      <c r="A223" t="s">
        <v>2917</v>
      </c>
      <c r="B223" t="s">
        <v>2918</v>
      </c>
      <c r="C223" t="s">
        <v>3095</v>
      </c>
      <c r="D223" t="s">
        <v>2536</v>
      </c>
      <c r="E223" t="s">
        <v>2537</v>
      </c>
      <c r="F223" t="s">
        <v>2538</v>
      </c>
      <c r="G223" t="s">
        <v>2920</v>
      </c>
      <c r="H223" t="s">
        <v>2921</v>
      </c>
      <c r="I223">
        <v>948580</v>
      </c>
      <c r="J223">
        <v>0</v>
      </c>
      <c r="K223" t="s">
        <v>3096</v>
      </c>
      <c r="L223" t="s">
        <v>3097</v>
      </c>
      <c r="M223">
        <v>55</v>
      </c>
      <c r="N223">
        <v>18241.548999999999</v>
      </c>
      <c r="O223" t="s">
        <v>149</v>
      </c>
      <c r="P223">
        <v>14</v>
      </c>
      <c r="Q223">
        <v>8</v>
      </c>
      <c r="R223">
        <v>94</v>
      </c>
      <c r="S223">
        <v>17933144</v>
      </c>
      <c r="T223">
        <v>57</v>
      </c>
      <c r="U223">
        <v>157</v>
      </c>
      <c r="V223">
        <v>18241.548785981169</v>
      </c>
      <c r="W223">
        <v>17933144.708401948</v>
      </c>
      <c r="X223">
        <v>396.30700000000002</v>
      </c>
      <c r="Y223">
        <f>VLOOKUP(AB223,'2000 Seattle Tracts'!$C$2:$Z$374,24,FALSE)</f>
        <v>948580.94799999997</v>
      </c>
      <c r="Z223">
        <f t="shared" si="6"/>
        <v>4.1778933135393312E-4</v>
      </c>
      <c r="AA223" t="s">
        <v>151</v>
      </c>
      <c r="AB223" t="str">
        <f t="shared" si="7"/>
        <v>Census Tract 88, King County, Washington</v>
      </c>
      <c r="AC223" s="3">
        <f>VLOOKUP($AB223,'2000 Seattle Tracts'!$C$2:$Y$374,AC$1,FALSE)*$Z223</f>
        <v>1.4647693957268895</v>
      </c>
      <c r="AD223" s="3">
        <f>VLOOKUP($AB223,'2000 Seattle Tracts'!$C$2:$Y$374,AD$1,FALSE)*$Z223</f>
        <v>1.2847021939133443</v>
      </c>
      <c r="AE223" s="3">
        <f>VLOOKUP($AB223,'2000 Seattle Tracts'!$C$2:$Y$374,AE$1,FALSE)*$Z223</f>
        <v>0.18006720181354519</v>
      </c>
      <c r="AF223" s="3">
        <f>VLOOKUP($AB223,'2000 Seattle Tracts'!$C$2:$Y$374,AF$1,FALSE)*$Z223</f>
        <v>1.4647693957268895</v>
      </c>
      <c r="AG223" s="3">
        <f>VLOOKUP($AB223,'2000 Seattle Tracts'!$C$2:$Y$374,AG$1,FALSE)*$Z223</f>
        <v>1.2847021939133443</v>
      </c>
      <c r="AH223" s="3">
        <f>VLOOKUP($AB223,'2000 Seattle Tracts'!$C$2:$Y$374,AH$1,FALSE)*$Z223</f>
        <v>0.18006720181354519</v>
      </c>
      <c r="AI223" s="3">
        <f>VLOOKUP($AB223,'2000 Seattle Tracts'!$C$2:$Y$374,AI$1,FALSE)*$Z223</f>
        <v>0.46750626178505117</v>
      </c>
      <c r="AJ223" s="3">
        <f>VLOOKUP($AB223,'2000 Seattle Tracts'!$C$2:$Y$374,AJ$1,FALSE)*$Z223</f>
        <v>3.3005357176960716E-2</v>
      </c>
      <c r="AK223" s="3">
        <f>VLOOKUP($AB223,'2000 Seattle Tracts'!$C$2:$Y$374,AK$1,FALSE)*$Z223</f>
        <v>1.1698101277910128E-2</v>
      </c>
      <c r="AL223" s="3">
        <f>VLOOKUP($AB223,'2000 Seattle Tracts'!$C$2:$Y$374,AL$1,FALSE)*$Z223</f>
        <v>3.5929882496438248E-2</v>
      </c>
      <c r="AM223" s="3">
        <f>VLOOKUP($AB223,'2000 Seattle Tracts'!$C$2:$Y$374,AM$1,FALSE)*$Z223</f>
        <v>0.71441975661522561</v>
      </c>
      <c r="AN223" s="3">
        <f>VLOOKUP($AB223,'2000 Seattle Tracts'!$C$2:$Y$374,AN$1,FALSE)*$Z223</f>
        <v>2.1307255899050588E-2</v>
      </c>
      <c r="AO223" s="3">
        <f>VLOOKUP($AB223,'2000 Seattle Tracts'!$C$2:$Y$374,AO$1,FALSE)*$Z223</f>
        <v>3.342314650831465E-3</v>
      </c>
      <c r="AP223" s="3">
        <f>VLOOKUP($AB223,'2000 Seattle Tracts'!$C$2:$Y$374,AP$1,FALSE)*$Z223</f>
        <v>1.2533679940617995E-3</v>
      </c>
      <c r="AQ223" s="3">
        <f>VLOOKUP($AB223,'2000 Seattle Tracts'!$C$2:$Y$374,AQ$1,FALSE)*$Z223</f>
        <v>1.8382730579573056E-2</v>
      </c>
      <c r="AR223" s="3">
        <f>VLOOKUP($AB223,'2000 Seattle Tracts'!$C$2:$Y$374,AR$1,FALSE)*$Z223</f>
        <v>3.384093583966858E-2</v>
      </c>
      <c r="AS223" s="3">
        <f>VLOOKUP($AB223,'2000 Seattle Tracts'!$C$2:$Y$374,AS$1,FALSE)*$Z223</f>
        <v>0</v>
      </c>
      <c r="AT223" s="3">
        <f>VLOOKUP($AB223,'2000 Seattle Tracts'!$C$2:$Y$374,AT$1,FALSE)*$Z223</f>
        <v>0</v>
      </c>
      <c r="AU223" s="3">
        <f>VLOOKUP($AB223,'2000 Seattle Tracts'!$C$2:$Y$374,AU$1,FALSE)*$Z223</f>
        <v>2.4649570549882056E-2</v>
      </c>
      <c r="AV223" s="3">
        <f>VLOOKUP($AB223,'2000 Seattle Tracts'!$C$2:$Y$374,AV$1,FALSE)*$Z223</f>
        <v>3.3423146508314648E-2</v>
      </c>
      <c r="AW223" s="3">
        <f>VLOOKUP($AB223,'2000 Seattle Tracts'!$C$2:$Y$374,AW$1,FALSE)*$Z223</f>
        <v>4.4703458454870844E-2</v>
      </c>
      <c r="AX223" s="3">
        <f>VLOOKUP($AB223,'2000 Seattle Tracts'!$C$2:$Y$374,AX$1,FALSE)*$Z223</f>
        <v>2.1307255899050588E-2</v>
      </c>
    </row>
    <row r="224" spans="1:50" x14ac:dyDescent="0.25">
      <c r="A224" t="s">
        <v>2917</v>
      </c>
      <c r="B224" t="s">
        <v>2918</v>
      </c>
      <c r="C224" t="s">
        <v>3095</v>
      </c>
      <c r="D224" t="s">
        <v>2536</v>
      </c>
      <c r="E224" t="s">
        <v>2537</v>
      </c>
      <c r="F224" t="s">
        <v>2538</v>
      </c>
      <c r="G224" t="s">
        <v>2920</v>
      </c>
      <c r="H224" t="s">
        <v>2921</v>
      </c>
      <c r="I224">
        <v>948580</v>
      </c>
      <c r="J224">
        <v>0</v>
      </c>
      <c r="K224" t="s">
        <v>3096</v>
      </c>
      <c r="L224" t="s">
        <v>3097</v>
      </c>
      <c r="M224">
        <v>56</v>
      </c>
      <c r="N224">
        <v>20413.057000000001</v>
      </c>
      <c r="O224" t="s">
        <v>149</v>
      </c>
      <c r="P224">
        <v>14</v>
      </c>
      <c r="Q224">
        <v>8</v>
      </c>
      <c r="R224">
        <v>19</v>
      </c>
      <c r="S224">
        <v>18091742</v>
      </c>
      <c r="T224">
        <v>58</v>
      </c>
      <c r="U224">
        <v>161</v>
      </c>
      <c r="V224">
        <v>20413.056051688221</v>
      </c>
      <c r="W224">
        <v>18091741.376667041</v>
      </c>
      <c r="X224">
        <v>216809.75</v>
      </c>
      <c r="Y224">
        <f>VLOOKUP(AB224,'2000 Seattle Tracts'!$C$2:$Z$374,24,FALSE)</f>
        <v>948580.94799999997</v>
      </c>
      <c r="Z224">
        <f t="shared" si="6"/>
        <v>0.22856220173631403</v>
      </c>
      <c r="AA224" t="s">
        <v>152</v>
      </c>
      <c r="AB224" t="str">
        <f t="shared" si="7"/>
        <v>Census Tract 88, King County, Washington</v>
      </c>
      <c r="AC224" s="3">
        <f>VLOOKUP($AB224,'2000 Seattle Tracts'!$C$2:$Y$374,AC$1,FALSE)*$Z224</f>
        <v>801.33907928751694</v>
      </c>
      <c r="AD224" s="3">
        <f>VLOOKUP($AB224,'2000 Seattle Tracts'!$C$2:$Y$374,AD$1,FALSE)*$Z224</f>
        <v>702.82877033916566</v>
      </c>
      <c r="AE224" s="3">
        <f>VLOOKUP($AB224,'2000 Seattle Tracts'!$C$2:$Y$374,AE$1,FALSE)*$Z224</f>
        <v>98.510308948351351</v>
      </c>
      <c r="AF224" s="3">
        <f>VLOOKUP($AB224,'2000 Seattle Tracts'!$C$2:$Y$374,AF$1,FALSE)*$Z224</f>
        <v>801.33907928751694</v>
      </c>
      <c r="AG224" s="3">
        <f>VLOOKUP($AB224,'2000 Seattle Tracts'!$C$2:$Y$374,AG$1,FALSE)*$Z224</f>
        <v>702.82877033916566</v>
      </c>
      <c r="AH224" s="3">
        <f>VLOOKUP($AB224,'2000 Seattle Tracts'!$C$2:$Y$374,AH$1,FALSE)*$Z224</f>
        <v>98.510308948351351</v>
      </c>
      <c r="AI224" s="3">
        <f>VLOOKUP($AB224,'2000 Seattle Tracts'!$C$2:$Y$374,AI$1,FALSE)*$Z224</f>
        <v>255.7611037429354</v>
      </c>
      <c r="AJ224" s="3">
        <f>VLOOKUP($AB224,'2000 Seattle Tracts'!$C$2:$Y$374,AJ$1,FALSE)*$Z224</f>
        <v>18.056413937168809</v>
      </c>
      <c r="AK224" s="3">
        <f>VLOOKUP($AB224,'2000 Seattle Tracts'!$C$2:$Y$374,AK$1,FALSE)*$Z224</f>
        <v>6.3997416486167928</v>
      </c>
      <c r="AL224" s="3">
        <f>VLOOKUP($AB224,'2000 Seattle Tracts'!$C$2:$Y$374,AL$1,FALSE)*$Z224</f>
        <v>19.656349349323008</v>
      </c>
      <c r="AM224" s="3">
        <f>VLOOKUP($AB224,'2000 Seattle Tracts'!$C$2:$Y$374,AM$1,FALSE)*$Z224</f>
        <v>390.84136496909701</v>
      </c>
      <c r="AN224" s="3">
        <f>VLOOKUP($AB224,'2000 Seattle Tracts'!$C$2:$Y$374,AN$1,FALSE)*$Z224</f>
        <v>11.656672288552016</v>
      </c>
      <c r="AO224" s="3">
        <f>VLOOKUP($AB224,'2000 Seattle Tracts'!$C$2:$Y$374,AO$1,FALSE)*$Z224</f>
        <v>1.8284976138905122</v>
      </c>
      <c r="AP224" s="3">
        <f>VLOOKUP($AB224,'2000 Seattle Tracts'!$C$2:$Y$374,AP$1,FALSE)*$Z224</f>
        <v>0.68568660520894209</v>
      </c>
      <c r="AQ224" s="3">
        <f>VLOOKUP($AB224,'2000 Seattle Tracts'!$C$2:$Y$374,AQ$1,FALSE)*$Z224</f>
        <v>10.056736876397817</v>
      </c>
      <c r="AR224" s="3">
        <f>VLOOKUP($AB224,'2000 Seattle Tracts'!$C$2:$Y$374,AR$1,FALSE)*$Z224</f>
        <v>18.513538340641436</v>
      </c>
      <c r="AS224" s="3">
        <f>VLOOKUP($AB224,'2000 Seattle Tracts'!$C$2:$Y$374,AS$1,FALSE)*$Z224</f>
        <v>0</v>
      </c>
      <c r="AT224" s="3">
        <f>VLOOKUP($AB224,'2000 Seattle Tracts'!$C$2:$Y$374,AT$1,FALSE)*$Z224</f>
        <v>0</v>
      </c>
      <c r="AU224" s="3">
        <f>VLOOKUP($AB224,'2000 Seattle Tracts'!$C$2:$Y$374,AU$1,FALSE)*$Z224</f>
        <v>13.485169902442529</v>
      </c>
      <c r="AV224" s="3">
        <f>VLOOKUP($AB224,'2000 Seattle Tracts'!$C$2:$Y$374,AV$1,FALSE)*$Z224</f>
        <v>18.284976138905122</v>
      </c>
      <c r="AW224" s="3">
        <f>VLOOKUP($AB224,'2000 Seattle Tracts'!$C$2:$Y$374,AW$1,FALSE)*$Z224</f>
        <v>24.456155585785602</v>
      </c>
      <c r="AX224" s="3">
        <f>VLOOKUP($AB224,'2000 Seattle Tracts'!$C$2:$Y$374,AX$1,FALSE)*$Z224</f>
        <v>11.656672288552016</v>
      </c>
    </row>
    <row r="225" spans="1:50" x14ac:dyDescent="0.25">
      <c r="A225" t="s">
        <v>2917</v>
      </c>
      <c r="B225" t="s">
        <v>2918</v>
      </c>
      <c r="C225" t="s">
        <v>3095</v>
      </c>
      <c r="D225" t="s">
        <v>2536</v>
      </c>
      <c r="E225" t="s">
        <v>2537</v>
      </c>
      <c r="F225" t="s">
        <v>2538</v>
      </c>
      <c r="G225" t="s">
        <v>2920</v>
      </c>
      <c r="H225" t="s">
        <v>2921</v>
      </c>
      <c r="I225">
        <v>948580</v>
      </c>
      <c r="J225">
        <v>0</v>
      </c>
      <c r="K225" t="s">
        <v>3096</v>
      </c>
      <c r="L225" t="s">
        <v>3097</v>
      </c>
      <c r="M225">
        <v>57</v>
      </c>
      <c r="N225">
        <v>17843.105</v>
      </c>
      <c r="O225" t="s">
        <v>149</v>
      </c>
      <c r="P225">
        <v>14</v>
      </c>
      <c r="Q225">
        <v>8</v>
      </c>
      <c r="R225">
        <v>95</v>
      </c>
      <c r="S225">
        <v>11133829</v>
      </c>
      <c r="T225">
        <v>59</v>
      </c>
      <c r="U225">
        <v>155</v>
      </c>
      <c r="V225">
        <v>17843.105758736041</v>
      </c>
      <c r="W225">
        <v>11133828.86204724</v>
      </c>
      <c r="X225">
        <v>580342.03799999994</v>
      </c>
      <c r="Y225">
        <f>VLOOKUP(AB225,'2000 Seattle Tracts'!$C$2:$Z$374,24,FALSE)</f>
        <v>948580.94799999997</v>
      </c>
      <c r="Z225">
        <f t="shared" si="6"/>
        <v>0.61180022561448277</v>
      </c>
      <c r="AA225" t="s">
        <v>153</v>
      </c>
      <c r="AB225" t="str">
        <f t="shared" si="7"/>
        <v>Census Tract 88, King County, Washington</v>
      </c>
      <c r="AC225" s="3">
        <f>VLOOKUP($AB225,'2000 Seattle Tracts'!$C$2:$Y$374,AC$1,FALSE)*$Z225</f>
        <v>2144.9715910043765</v>
      </c>
      <c r="AD225" s="3">
        <f>VLOOKUP($AB225,'2000 Seattle Tracts'!$C$2:$Y$374,AD$1,FALSE)*$Z225</f>
        <v>1881.2856937645345</v>
      </c>
      <c r="AE225" s="3">
        <f>VLOOKUP($AB225,'2000 Seattle Tracts'!$C$2:$Y$374,AE$1,FALSE)*$Z225</f>
        <v>263.68589723984206</v>
      </c>
      <c r="AF225" s="3">
        <f>VLOOKUP($AB225,'2000 Seattle Tracts'!$C$2:$Y$374,AF$1,FALSE)*$Z225</f>
        <v>2144.9715910043765</v>
      </c>
      <c r="AG225" s="3">
        <f>VLOOKUP($AB225,'2000 Seattle Tracts'!$C$2:$Y$374,AG$1,FALSE)*$Z225</f>
        <v>1881.2856937645345</v>
      </c>
      <c r="AH225" s="3">
        <f>VLOOKUP($AB225,'2000 Seattle Tracts'!$C$2:$Y$374,AH$1,FALSE)*$Z225</f>
        <v>263.68589723984206</v>
      </c>
      <c r="AI225" s="3">
        <f>VLOOKUP($AB225,'2000 Seattle Tracts'!$C$2:$Y$374,AI$1,FALSE)*$Z225</f>
        <v>684.60445246260622</v>
      </c>
      <c r="AJ225" s="3">
        <f>VLOOKUP($AB225,'2000 Seattle Tracts'!$C$2:$Y$374,AJ$1,FALSE)*$Z225</f>
        <v>48.332217823544141</v>
      </c>
      <c r="AK225" s="3">
        <f>VLOOKUP($AB225,'2000 Seattle Tracts'!$C$2:$Y$374,AK$1,FALSE)*$Z225</f>
        <v>17.130406317205519</v>
      </c>
      <c r="AL225" s="3">
        <f>VLOOKUP($AB225,'2000 Seattle Tracts'!$C$2:$Y$374,AL$1,FALSE)*$Z225</f>
        <v>52.614819402845519</v>
      </c>
      <c r="AM225" s="3">
        <f>VLOOKUP($AB225,'2000 Seattle Tracts'!$C$2:$Y$374,AM$1,FALSE)*$Z225</f>
        <v>1046.1783858007655</v>
      </c>
      <c r="AN225" s="3">
        <f>VLOOKUP($AB225,'2000 Seattle Tracts'!$C$2:$Y$374,AN$1,FALSE)*$Z225</f>
        <v>31.201811506338622</v>
      </c>
      <c r="AO225" s="3">
        <f>VLOOKUP($AB225,'2000 Seattle Tracts'!$C$2:$Y$374,AO$1,FALSE)*$Z225</f>
        <v>4.8944018049158622</v>
      </c>
      <c r="AP225" s="3">
        <f>VLOOKUP($AB225,'2000 Seattle Tracts'!$C$2:$Y$374,AP$1,FALSE)*$Z225</f>
        <v>1.8354006768434483</v>
      </c>
      <c r="AQ225" s="3">
        <f>VLOOKUP($AB225,'2000 Seattle Tracts'!$C$2:$Y$374,AQ$1,FALSE)*$Z225</f>
        <v>26.919209927037244</v>
      </c>
      <c r="AR225" s="3">
        <f>VLOOKUP($AB225,'2000 Seattle Tracts'!$C$2:$Y$374,AR$1,FALSE)*$Z225</f>
        <v>49.555818274773102</v>
      </c>
      <c r="AS225" s="3">
        <f>VLOOKUP($AB225,'2000 Seattle Tracts'!$C$2:$Y$374,AS$1,FALSE)*$Z225</f>
        <v>0</v>
      </c>
      <c r="AT225" s="3">
        <f>VLOOKUP($AB225,'2000 Seattle Tracts'!$C$2:$Y$374,AT$1,FALSE)*$Z225</f>
        <v>0</v>
      </c>
      <c r="AU225" s="3">
        <f>VLOOKUP($AB225,'2000 Seattle Tracts'!$C$2:$Y$374,AU$1,FALSE)*$Z225</f>
        <v>36.096213311254481</v>
      </c>
      <c r="AV225" s="3">
        <f>VLOOKUP($AB225,'2000 Seattle Tracts'!$C$2:$Y$374,AV$1,FALSE)*$Z225</f>
        <v>48.944018049158622</v>
      </c>
      <c r="AW225" s="3">
        <f>VLOOKUP($AB225,'2000 Seattle Tracts'!$C$2:$Y$374,AW$1,FALSE)*$Z225</f>
        <v>65.462624140749654</v>
      </c>
      <c r="AX225" s="3">
        <f>VLOOKUP($AB225,'2000 Seattle Tracts'!$C$2:$Y$374,AX$1,FALSE)*$Z225</f>
        <v>31.201811506338622</v>
      </c>
    </row>
    <row r="226" spans="1:50" x14ac:dyDescent="0.25">
      <c r="A226" t="s">
        <v>2917</v>
      </c>
      <c r="B226" t="s">
        <v>2918</v>
      </c>
      <c r="C226" t="s">
        <v>3095</v>
      </c>
      <c r="D226" t="s">
        <v>2536</v>
      </c>
      <c r="E226" t="s">
        <v>2537</v>
      </c>
      <c r="F226" t="s">
        <v>2538</v>
      </c>
      <c r="G226" t="s">
        <v>2920</v>
      </c>
      <c r="H226" t="s">
        <v>2921</v>
      </c>
      <c r="I226">
        <v>948580</v>
      </c>
      <c r="J226">
        <v>0</v>
      </c>
      <c r="K226" t="s">
        <v>3096</v>
      </c>
      <c r="L226" t="s">
        <v>3097</v>
      </c>
      <c r="M226">
        <v>58</v>
      </c>
      <c r="N226">
        <v>25426.23</v>
      </c>
      <c r="O226" t="s">
        <v>149</v>
      </c>
      <c r="P226">
        <v>14</v>
      </c>
      <c r="Q226">
        <v>8</v>
      </c>
      <c r="R226">
        <v>24</v>
      </c>
      <c r="S226">
        <v>20664986</v>
      </c>
      <c r="T226">
        <v>60</v>
      </c>
      <c r="U226">
        <v>165</v>
      </c>
      <c r="V226">
        <v>25426.231162667511</v>
      </c>
      <c r="W226">
        <v>20664986.272921581</v>
      </c>
      <c r="X226">
        <v>611.45399999999995</v>
      </c>
      <c r="Y226">
        <f>VLOOKUP(AB226,'2000 Seattle Tracts'!$C$2:$Z$374,24,FALSE)</f>
        <v>948580.94799999997</v>
      </c>
      <c r="Z226">
        <f t="shared" si="6"/>
        <v>6.4459865158497784E-4</v>
      </c>
      <c r="AA226" t="s">
        <v>154</v>
      </c>
      <c r="AB226" t="str">
        <f t="shared" si="7"/>
        <v>Census Tract 88, King County, Washington</v>
      </c>
      <c r="AC226" s="3">
        <f>VLOOKUP($AB226,'2000 Seattle Tracts'!$C$2:$Y$374,AC$1,FALSE)*$Z226</f>
        <v>2.2599628724569323</v>
      </c>
      <c r="AD226" s="3">
        <f>VLOOKUP($AB226,'2000 Seattle Tracts'!$C$2:$Y$374,AD$1,FALSE)*$Z226</f>
        <v>1.9821408536238068</v>
      </c>
      <c r="AE226" s="3">
        <f>VLOOKUP($AB226,'2000 Seattle Tracts'!$C$2:$Y$374,AE$1,FALSE)*$Z226</f>
        <v>0.27782201883312546</v>
      </c>
      <c r="AF226" s="3">
        <f>VLOOKUP($AB226,'2000 Seattle Tracts'!$C$2:$Y$374,AF$1,FALSE)*$Z226</f>
        <v>2.2599628724569323</v>
      </c>
      <c r="AG226" s="3">
        <f>VLOOKUP($AB226,'2000 Seattle Tracts'!$C$2:$Y$374,AG$1,FALSE)*$Z226</f>
        <v>1.9821408536238068</v>
      </c>
      <c r="AH226" s="3">
        <f>VLOOKUP($AB226,'2000 Seattle Tracts'!$C$2:$Y$374,AH$1,FALSE)*$Z226</f>
        <v>0.27782201883312546</v>
      </c>
      <c r="AI226" s="3">
        <f>VLOOKUP($AB226,'2000 Seattle Tracts'!$C$2:$Y$374,AI$1,FALSE)*$Z226</f>
        <v>0.72130589112359023</v>
      </c>
      <c r="AJ226" s="3">
        <f>VLOOKUP($AB226,'2000 Seattle Tracts'!$C$2:$Y$374,AJ$1,FALSE)*$Z226</f>
        <v>5.0923293475213252E-2</v>
      </c>
      <c r="AK226" s="3">
        <f>VLOOKUP($AB226,'2000 Seattle Tracts'!$C$2:$Y$374,AK$1,FALSE)*$Z226</f>
        <v>1.8048762244379381E-2</v>
      </c>
      <c r="AL226" s="3">
        <f>VLOOKUP($AB226,'2000 Seattle Tracts'!$C$2:$Y$374,AL$1,FALSE)*$Z226</f>
        <v>5.5435484036308096E-2</v>
      </c>
      <c r="AM226" s="3">
        <f>VLOOKUP($AB226,'2000 Seattle Tracts'!$C$2:$Y$374,AM$1,FALSE)*$Z226</f>
        <v>1.1022636942103121</v>
      </c>
      <c r="AN226" s="3">
        <f>VLOOKUP($AB226,'2000 Seattle Tracts'!$C$2:$Y$374,AN$1,FALSE)*$Z226</f>
        <v>3.2874531230833871E-2</v>
      </c>
      <c r="AO226" s="3">
        <f>VLOOKUP($AB226,'2000 Seattle Tracts'!$C$2:$Y$374,AO$1,FALSE)*$Z226</f>
        <v>5.1567892126798227E-3</v>
      </c>
      <c r="AP226" s="3">
        <f>VLOOKUP($AB226,'2000 Seattle Tracts'!$C$2:$Y$374,AP$1,FALSE)*$Z226</f>
        <v>1.9337959547549334E-3</v>
      </c>
      <c r="AQ226" s="3">
        <f>VLOOKUP($AB226,'2000 Seattle Tracts'!$C$2:$Y$374,AQ$1,FALSE)*$Z226</f>
        <v>2.8362340669739024E-2</v>
      </c>
      <c r="AR226" s="3">
        <f>VLOOKUP($AB226,'2000 Seattle Tracts'!$C$2:$Y$374,AR$1,FALSE)*$Z226</f>
        <v>5.2212490778383205E-2</v>
      </c>
      <c r="AS226" s="3">
        <f>VLOOKUP($AB226,'2000 Seattle Tracts'!$C$2:$Y$374,AS$1,FALSE)*$Z226</f>
        <v>0</v>
      </c>
      <c r="AT226" s="3">
        <f>VLOOKUP($AB226,'2000 Seattle Tracts'!$C$2:$Y$374,AT$1,FALSE)*$Z226</f>
        <v>0</v>
      </c>
      <c r="AU226" s="3">
        <f>VLOOKUP($AB226,'2000 Seattle Tracts'!$C$2:$Y$374,AU$1,FALSE)*$Z226</f>
        <v>3.8031320443513691E-2</v>
      </c>
      <c r="AV226" s="3">
        <f>VLOOKUP($AB226,'2000 Seattle Tracts'!$C$2:$Y$374,AV$1,FALSE)*$Z226</f>
        <v>5.1567892126798229E-2</v>
      </c>
      <c r="AW226" s="3">
        <f>VLOOKUP($AB226,'2000 Seattle Tracts'!$C$2:$Y$374,AW$1,FALSE)*$Z226</f>
        <v>6.8972055719592626E-2</v>
      </c>
      <c r="AX226" s="3">
        <f>VLOOKUP($AB226,'2000 Seattle Tracts'!$C$2:$Y$374,AX$1,FALSE)*$Z226</f>
        <v>3.2874531230833871E-2</v>
      </c>
    </row>
    <row r="227" spans="1:50" x14ac:dyDescent="0.25">
      <c r="A227" t="s">
        <v>2917</v>
      </c>
      <c r="B227" t="s">
        <v>2918</v>
      </c>
      <c r="C227" t="s">
        <v>3092</v>
      </c>
      <c r="D227" t="s">
        <v>2539</v>
      </c>
      <c r="E227" t="s">
        <v>2540</v>
      </c>
      <c r="F227" t="s">
        <v>2541</v>
      </c>
      <c r="G227" t="s">
        <v>2920</v>
      </c>
      <c r="H227" t="s">
        <v>2921</v>
      </c>
      <c r="I227">
        <v>732388</v>
      </c>
      <c r="J227">
        <v>0</v>
      </c>
      <c r="K227" t="s">
        <v>3093</v>
      </c>
      <c r="L227" t="s">
        <v>3435</v>
      </c>
      <c r="M227">
        <v>55</v>
      </c>
      <c r="N227">
        <v>18241.548999999999</v>
      </c>
      <c r="O227" t="s">
        <v>149</v>
      </c>
      <c r="P227">
        <v>14</v>
      </c>
      <c r="Q227">
        <v>8</v>
      </c>
      <c r="R227">
        <v>94</v>
      </c>
      <c r="S227">
        <v>17933144</v>
      </c>
      <c r="T227">
        <v>57</v>
      </c>
      <c r="U227">
        <v>157</v>
      </c>
      <c r="V227">
        <v>18241.548785981169</v>
      </c>
      <c r="W227">
        <v>17933144.708401948</v>
      </c>
      <c r="X227">
        <v>731376.99899999995</v>
      </c>
      <c r="Y227">
        <f>VLOOKUP(AB227,'2000 Seattle Tracts'!$C$2:$Z$374,24,FALSE)</f>
        <v>732388.71499999997</v>
      </c>
      <c r="Z227">
        <f t="shared" si="6"/>
        <v>0.99861860787956025</v>
      </c>
      <c r="AA227" t="s">
        <v>151</v>
      </c>
      <c r="AB227" t="str">
        <f t="shared" si="7"/>
        <v>Census Tract 87, King County, Washington</v>
      </c>
      <c r="AC227" s="3">
        <f>VLOOKUP($AB227,'2000 Seattle Tracts'!$C$2:$Y$374,AC$1,FALSE)*$Z227</f>
        <v>3784.7645238635332</v>
      </c>
      <c r="AD227" s="3">
        <f>VLOOKUP($AB227,'2000 Seattle Tracts'!$C$2:$Y$374,AD$1,FALSE)*$Z227</f>
        <v>3165.620986978206</v>
      </c>
      <c r="AE227" s="3">
        <f>VLOOKUP($AB227,'2000 Seattle Tracts'!$C$2:$Y$374,AE$1,FALSE)*$Z227</f>
        <v>619.14353688532731</v>
      </c>
      <c r="AF227" s="3">
        <f>VLOOKUP($AB227,'2000 Seattle Tracts'!$C$2:$Y$374,AF$1,FALSE)*$Z227</f>
        <v>3784.7645238635332</v>
      </c>
      <c r="AG227" s="3">
        <f>VLOOKUP($AB227,'2000 Seattle Tracts'!$C$2:$Y$374,AG$1,FALSE)*$Z227</f>
        <v>3165.620986978206</v>
      </c>
      <c r="AH227" s="3">
        <f>VLOOKUP($AB227,'2000 Seattle Tracts'!$C$2:$Y$374,AH$1,FALSE)*$Z227</f>
        <v>619.14353688532731</v>
      </c>
      <c r="AI227" s="3">
        <f>VLOOKUP($AB227,'2000 Seattle Tracts'!$C$2:$Y$374,AI$1,FALSE)*$Z227</f>
        <v>1309.1889949301035</v>
      </c>
      <c r="AJ227" s="3">
        <f>VLOOKUP($AB227,'2000 Seattle Tracts'!$C$2:$Y$374,AJ$1,FALSE)*$Z227</f>
        <v>57.919879257014493</v>
      </c>
      <c r="AK227" s="3">
        <f>VLOOKUP($AB227,'2000 Seattle Tracts'!$C$2:$Y$374,AK$1,FALSE)*$Z227</f>
        <v>59.917116472773614</v>
      </c>
      <c r="AL227" s="3">
        <f>VLOOKUP($AB227,'2000 Seattle Tracts'!$C$2:$Y$374,AL$1,FALSE)*$Z227</f>
        <v>51.92816760973713</v>
      </c>
      <c r="AM227" s="3">
        <f>VLOOKUP($AB227,'2000 Seattle Tracts'!$C$2:$Y$374,AM$1,FALSE)*$Z227</f>
        <v>1284.2235297331144</v>
      </c>
      <c r="AN227" s="3">
        <f>VLOOKUP($AB227,'2000 Seattle Tracts'!$C$2:$Y$374,AN$1,FALSE)*$Z227</f>
        <v>42.94060013882109</v>
      </c>
      <c r="AO227" s="3">
        <f>VLOOKUP($AB227,'2000 Seattle Tracts'!$C$2:$Y$374,AO$1,FALSE)*$Z227</f>
        <v>143.80107953465668</v>
      </c>
      <c r="AP227" s="3">
        <f>VLOOKUP($AB227,'2000 Seattle Tracts'!$C$2:$Y$374,AP$1,FALSE)*$Z227</f>
        <v>0</v>
      </c>
      <c r="AQ227" s="3">
        <f>VLOOKUP($AB227,'2000 Seattle Tracts'!$C$2:$Y$374,AQ$1,FALSE)*$Z227</f>
        <v>179.75134941832084</v>
      </c>
      <c r="AR227" s="3">
        <f>VLOOKUP($AB227,'2000 Seattle Tracts'!$C$2:$Y$374,AR$1,FALSE)*$Z227</f>
        <v>188.73891688923689</v>
      </c>
      <c r="AS227" s="3">
        <f>VLOOKUP($AB227,'2000 Seattle Tracts'!$C$2:$Y$374,AS$1,FALSE)*$Z227</f>
        <v>6.9903302551569215</v>
      </c>
      <c r="AT227" s="3">
        <f>VLOOKUP($AB227,'2000 Seattle Tracts'!$C$2:$Y$374,AT$1,FALSE)*$Z227</f>
        <v>4.9930930393978015</v>
      </c>
      <c r="AU227" s="3">
        <f>VLOOKUP($AB227,'2000 Seattle Tracts'!$C$2:$Y$374,AU$1,FALSE)*$Z227</f>
        <v>37.947507099423291</v>
      </c>
      <c r="AV227" s="3">
        <f>VLOOKUP($AB227,'2000 Seattle Tracts'!$C$2:$Y$374,AV$1,FALSE)*$Z227</f>
        <v>119.83423294554723</v>
      </c>
      <c r="AW227" s="3">
        <f>VLOOKUP($AB227,'2000 Seattle Tracts'!$C$2:$Y$374,AW$1,FALSE)*$Z227</f>
        <v>143.80107953465668</v>
      </c>
      <c r="AX227" s="3">
        <f>VLOOKUP($AB227,'2000 Seattle Tracts'!$C$2:$Y$374,AX$1,FALSE)*$Z227</f>
        <v>152.78864700557273</v>
      </c>
    </row>
    <row r="228" spans="1:50" x14ac:dyDescent="0.25">
      <c r="A228" t="s">
        <v>2917</v>
      </c>
      <c r="B228" t="s">
        <v>2918</v>
      </c>
      <c r="C228" t="s">
        <v>3092</v>
      </c>
      <c r="D228" t="s">
        <v>2539</v>
      </c>
      <c r="E228" t="s">
        <v>2540</v>
      </c>
      <c r="F228" t="s">
        <v>2541</v>
      </c>
      <c r="G228" t="s">
        <v>2920</v>
      </c>
      <c r="H228" t="s">
        <v>2921</v>
      </c>
      <c r="I228">
        <v>732388</v>
      </c>
      <c r="J228">
        <v>0</v>
      </c>
      <c r="K228" t="s">
        <v>3093</v>
      </c>
      <c r="L228" t="s">
        <v>3435</v>
      </c>
      <c r="M228">
        <v>57</v>
      </c>
      <c r="N228">
        <v>17843.105</v>
      </c>
      <c r="O228" t="s">
        <v>149</v>
      </c>
      <c r="P228">
        <v>14</v>
      </c>
      <c r="Q228">
        <v>8</v>
      </c>
      <c r="R228">
        <v>95</v>
      </c>
      <c r="S228">
        <v>11133829</v>
      </c>
      <c r="T228">
        <v>59</v>
      </c>
      <c r="U228">
        <v>155</v>
      </c>
      <c r="V228">
        <v>17843.105758736041</v>
      </c>
      <c r="W228">
        <v>11133828.86204724</v>
      </c>
      <c r="X228">
        <v>796.08799999999997</v>
      </c>
      <c r="Y228">
        <f>VLOOKUP(AB228,'2000 Seattle Tracts'!$C$2:$Z$374,24,FALSE)</f>
        <v>732388.71499999997</v>
      </c>
      <c r="Z228">
        <f t="shared" si="6"/>
        <v>1.0869746948517633E-3</v>
      </c>
      <c r="AA228" t="s">
        <v>153</v>
      </c>
      <c r="AB228" t="str">
        <f t="shared" si="7"/>
        <v>Census Tract 87, King County, Washington</v>
      </c>
      <c r="AC228" s="3">
        <f>VLOOKUP($AB228,'2000 Seattle Tracts'!$C$2:$Y$374,AC$1,FALSE)*$Z228</f>
        <v>4.119634093488183</v>
      </c>
      <c r="AD228" s="3">
        <f>VLOOKUP($AB228,'2000 Seattle Tracts'!$C$2:$Y$374,AD$1,FALSE)*$Z228</f>
        <v>3.4457097826800895</v>
      </c>
      <c r="AE228" s="3">
        <f>VLOOKUP($AB228,'2000 Seattle Tracts'!$C$2:$Y$374,AE$1,FALSE)*$Z228</f>
        <v>0.67392431080809323</v>
      </c>
      <c r="AF228" s="3">
        <f>VLOOKUP($AB228,'2000 Seattle Tracts'!$C$2:$Y$374,AF$1,FALSE)*$Z228</f>
        <v>4.119634093488183</v>
      </c>
      <c r="AG228" s="3">
        <f>VLOOKUP($AB228,'2000 Seattle Tracts'!$C$2:$Y$374,AG$1,FALSE)*$Z228</f>
        <v>3.4457097826800895</v>
      </c>
      <c r="AH228" s="3">
        <f>VLOOKUP($AB228,'2000 Seattle Tracts'!$C$2:$Y$374,AH$1,FALSE)*$Z228</f>
        <v>0.67392431080809323</v>
      </c>
      <c r="AI228" s="3">
        <f>VLOOKUP($AB228,'2000 Seattle Tracts'!$C$2:$Y$374,AI$1,FALSE)*$Z228</f>
        <v>1.4250238249506617</v>
      </c>
      <c r="AJ228" s="3">
        <f>VLOOKUP($AB228,'2000 Seattle Tracts'!$C$2:$Y$374,AJ$1,FALSE)*$Z228</f>
        <v>6.3044532301402265E-2</v>
      </c>
      <c r="AK228" s="3">
        <f>VLOOKUP($AB228,'2000 Seattle Tracts'!$C$2:$Y$374,AK$1,FALSE)*$Z228</f>
        <v>6.5218481691105792E-2</v>
      </c>
      <c r="AL228" s="3">
        <f>VLOOKUP($AB228,'2000 Seattle Tracts'!$C$2:$Y$374,AL$1,FALSE)*$Z228</f>
        <v>5.6522684132291688E-2</v>
      </c>
      <c r="AM228" s="3">
        <f>VLOOKUP($AB228,'2000 Seattle Tracts'!$C$2:$Y$374,AM$1,FALSE)*$Z228</f>
        <v>1.3978494575793676</v>
      </c>
      <c r="AN228" s="3">
        <f>VLOOKUP($AB228,'2000 Seattle Tracts'!$C$2:$Y$374,AN$1,FALSE)*$Z228</f>
        <v>4.673991187862582E-2</v>
      </c>
      <c r="AO228" s="3">
        <f>VLOOKUP($AB228,'2000 Seattle Tracts'!$C$2:$Y$374,AO$1,FALSE)*$Z228</f>
        <v>0.15652435605865392</v>
      </c>
      <c r="AP228" s="3">
        <f>VLOOKUP($AB228,'2000 Seattle Tracts'!$C$2:$Y$374,AP$1,FALSE)*$Z228</f>
        <v>0</v>
      </c>
      <c r="AQ228" s="3">
        <f>VLOOKUP($AB228,'2000 Seattle Tracts'!$C$2:$Y$374,AQ$1,FALSE)*$Z228</f>
        <v>0.19565544507331739</v>
      </c>
      <c r="AR228" s="3">
        <f>VLOOKUP($AB228,'2000 Seattle Tracts'!$C$2:$Y$374,AR$1,FALSE)*$Z228</f>
        <v>0.20543821732698325</v>
      </c>
      <c r="AS228" s="3">
        <f>VLOOKUP($AB228,'2000 Seattle Tracts'!$C$2:$Y$374,AS$1,FALSE)*$Z228</f>
        <v>7.608822863962343E-3</v>
      </c>
      <c r="AT228" s="3">
        <f>VLOOKUP($AB228,'2000 Seattle Tracts'!$C$2:$Y$374,AT$1,FALSE)*$Z228</f>
        <v>5.434873474258816E-3</v>
      </c>
      <c r="AU228" s="3">
        <f>VLOOKUP($AB228,'2000 Seattle Tracts'!$C$2:$Y$374,AU$1,FALSE)*$Z228</f>
        <v>4.1305038404367E-2</v>
      </c>
      <c r="AV228" s="3">
        <f>VLOOKUP($AB228,'2000 Seattle Tracts'!$C$2:$Y$374,AV$1,FALSE)*$Z228</f>
        <v>0.13043696338221158</v>
      </c>
      <c r="AW228" s="3">
        <f>VLOOKUP($AB228,'2000 Seattle Tracts'!$C$2:$Y$374,AW$1,FALSE)*$Z228</f>
        <v>0.15652435605865392</v>
      </c>
      <c r="AX228" s="3">
        <f>VLOOKUP($AB228,'2000 Seattle Tracts'!$C$2:$Y$374,AX$1,FALSE)*$Z228</f>
        <v>0.16630712831231978</v>
      </c>
    </row>
    <row r="229" spans="1:50" x14ac:dyDescent="0.25">
      <c r="A229" t="s">
        <v>2917</v>
      </c>
      <c r="B229" t="s">
        <v>2918</v>
      </c>
      <c r="C229" t="s">
        <v>3092</v>
      </c>
      <c r="D229" t="s">
        <v>2539</v>
      </c>
      <c r="E229" t="s">
        <v>2540</v>
      </c>
      <c r="F229" t="s">
        <v>2541</v>
      </c>
      <c r="G229" t="s">
        <v>2920</v>
      </c>
      <c r="H229" t="s">
        <v>2921</v>
      </c>
      <c r="I229">
        <v>732388</v>
      </c>
      <c r="J229">
        <v>0</v>
      </c>
      <c r="K229" t="s">
        <v>3093</v>
      </c>
      <c r="L229" t="s">
        <v>3435</v>
      </c>
      <c r="M229">
        <v>58</v>
      </c>
      <c r="N229">
        <v>25426.23</v>
      </c>
      <c r="O229" t="s">
        <v>149</v>
      </c>
      <c r="P229">
        <v>14</v>
      </c>
      <c r="Q229">
        <v>8</v>
      </c>
      <c r="R229">
        <v>24</v>
      </c>
      <c r="S229">
        <v>20664986</v>
      </c>
      <c r="T229">
        <v>60</v>
      </c>
      <c r="U229">
        <v>165</v>
      </c>
      <c r="V229">
        <v>25426.231162667511</v>
      </c>
      <c r="W229">
        <v>20664986.272921581</v>
      </c>
      <c r="X229">
        <v>215.62899999999999</v>
      </c>
      <c r="Y229">
        <f>VLOOKUP(AB229,'2000 Seattle Tracts'!$C$2:$Z$374,24,FALSE)</f>
        <v>732388.71499999997</v>
      </c>
      <c r="Z229">
        <f t="shared" si="6"/>
        <v>2.9441879098314618E-4</v>
      </c>
      <c r="AA229" t="s">
        <v>154</v>
      </c>
      <c r="AB229" t="str">
        <f t="shared" si="7"/>
        <v>Census Tract 87, King County, Washington</v>
      </c>
      <c r="AC229" s="3">
        <f>VLOOKUP($AB229,'2000 Seattle Tracts'!$C$2:$Y$374,AC$1,FALSE)*$Z229</f>
        <v>1.1158472178261241</v>
      </c>
      <c r="AD229" s="3">
        <f>VLOOKUP($AB229,'2000 Seattle Tracts'!$C$2:$Y$374,AD$1,FALSE)*$Z229</f>
        <v>0.93330756741657339</v>
      </c>
      <c r="AE229" s="3">
        <f>VLOOKUP($AB229,'2000 Seattle Tracts'!$C$2:$Y$374,AE$1,FALSE)*$Z229</f>
        <v>0.18253965040955064</v>
      </c>
      <c r="AF229" s="3">
        <f>VLOOKUP($AB229,'2000 Seattle Tracts'!$C$2:$Y$374,AF$1,FALSE)*$Z229</f>
        <v>1.1158472178261241</v>
      </c>
      <c r="AG229" s="3">
        <f>VLOOKUP($AB229,'2000 Seattle Tracts'!$C$2:$Y$374,AG$1,FALSE)*$Z229</f>
        <v>0.93330756741657339</v>
      </c>
      <c r="AH229" s="3">
        <f>VLOOKUP($AB229,'2000 Seattle Tracts'!$C$2:$Y$374,AH$1,FALSE)*$Z229</f>
        <v>0.18253965040955064</v>
      </c>
      <c r="AI229" s="3">
        <f>VLOOKUP($AB229,'2000 Seattle Tracts'!$C$2:$Y$374,AI$1,FALSE)*$Z229</f>
        <v>0.38598303497890463</v>
      </c>
      <c r="AJ229" s="3">
        <f>VLOOKUP($AB229,'2000 Seattle Tracts'!$C$2:$Y$374,AJ$1,FALSE)*$Z229</f>
        <v>1.7076289877022477E-2</v>
      </c>
      <c r="AK229" s="3">
        <f>VLOOKUP($AB229,'2000 Seattle Tracts'!$C$2:$Y$374,AK$1,FALSE)*$Z229</f>
        <v>1.766512745898877E-2</v>
      </c>
      <c r="AL229" s="3">
        <f>VLOOKUP($AB229,'2000 Seattle Tracts'!$C$2:$Y$374,AL$1,FALSE)*$Z229</f>
        <v>1.5309777131123602E-2</v>
      </c>
      <c r="AM229" s="3">
        <f>VLOOKUP($AB229,'2000 Seattle Tracts'!$C$2:$Y$374,AM$1,FALSE)*$Z229</f>
        <v>0.37862256520432597</v>
      </c>
      <c r="AN229" s="3">
        <f>VLOOKUP($AB229,'2000 Seattle Tracts'!$C$2:$Y$374,AN$1,FALSE)*$Z229</f>
        <v>1.2660008012275285E-2</v>
      </c>
      <c r="AO229" s="3">
        <f>VLOOKUP($AB229,'2000 Seattle Tracts'!$C$2:$Y$374,AO$1,FALSE)*$Z229</f>
        <v>4.2396305901573048E-2</v>
      </c>
      <c r="AP229" s="3">
        <f>VLOOKUP($AB229,'2000 Seattle Tracts'!$C$2:$Y$374,AP$1,FALSE)*$Z229</f>
        <v>0</v>
      </c>
      <c r="AQ229" s="3">
        <f>VLOOKUP($AB229,'2000 Seattle Tracts'!$C$2:$Y$374,AQ$1,FALSE)*$Z229</f>
        <v>5.2995382376966313E-2</v>
      </c>
      <c r="AR229" s="3">
        <f>VLOOKUP($AB229,'2000 Seattle Tracts'!$C$2:$Y$374,AR$1,FALSE)*$Z229</f>
        <v>5.5645151495814629E-2</v>
      </c>
      <c r="AS229" s="3">
        <f>VLOOKUP($AB229,'2000 Seattle Tracts'!$C$2:$Y$374,AS$1,FALSE)*$Z229</f>
        <v>2.0609315368820234E-3</v>
      </c>
      <c r="AT229" s="3">
        <f>VLOOKUP($AB229,'2000 Seattle Tracts'!$C$2:$Y$374,AT$1,FALSE)*$Z229</f>
        <v>1.472093954915731E-3</v>
      </c>
      <c r="AU229" s="3">
        <f>VLOOKUP($AB229,'2000 Seattle Tracts'!$C$2:$Y$374,AU$1,FALSE)*$Z229</f>
        <v>1.1187914057359555E-2</v>
      </c>
      <c r="AV229" s="3">
        <f>VLOOKUP($AB229,'2000 Seattle Tracts'!$C$2:$Y$374,AV$1,FALSE)*$Z229</f>
        <v>3.533025491797754E-2</v>
      </c>
      <c r="AW229" s="3">
        <f>VLOOKUP($AB229,'2000 Seattle Tracts'!$C$2:$Y$374,AW$1,FALSE)*$Z229</f>
        <v>4.2396305901573048E-2</v>
      </c>
      <c r="AX229" s="3">
        <f>VLOOKUP($AB229,'2000 Seattle Tracts'!$C$2:$Y$374,AX$1,FALSE)*$Z229</f>
        <v>4.5046075020421364E-2</v>
      </c>
    </row>
    <row r="230" spans="1:50" x14ac:dyDescent="0.25">
      <c r="A230" t="s">
        <v>2917</v>
      </c>
      <c r="B230" t="s">
        <v>2918</v>
      </c>
      <c r="C230" t="s">
        <v>2975</v>
      </c>
      <c r="D230" t="s">
        <v>2809</v>
      </c>
      <c r="E230" t="s">
        <v>2810</v>
      </c>
      <c r="F230" t="s">
        <v>2811</v>
      </c>
      <c r="G230" t="s">
        <v>2920</v>
      </c>
      <c r="H230" t="s">
        <v>2921</v>
      </c>
      <c r="I230">
        <v>2301120</v>
      </c>
      <c r="J230">
        <v>2269206</v>
      </c>
      <c r="K230" t="s">
        <v>3436</v>
      </c>
      <c r="L230" t="s">
        <v>3437</v>
      </c>
      <c r="M230">
        <v>83</v>
      </c>
      <c r="N230">
        <v>18911.330000000002</v>
      </c>
      <c r="O230" t="s">
        <v>184</v>
      </c>
      <c r="P230">
        <v>15</v>
      </c>
      <c r="Q230">
        <v>4</v>
      </c>
      <c r="R230">
        <v>19</v>
      </c>
      <c r="S230">
        <v>18366938</v>
      </c>
      <c r="T230">
        <v>85</v>
      </c>
      <c r="U230">
        <v>185</v>
      </c>
      <c r="V230">
        <v>18911.329349083731</v>
      </c>
      <c r="W230">
        <v>18366938.27518687</v>
      </c>
      <c r="X230">
        <v>2376.7130000000002</v>
      </c>
      <c r="Y230">
        <f>VLOOKUP(AB230,'2000 Seattle Tracts'!$C$2:$Z$374,24,FALSE)</f>
        <v>2299528.6529999999</v>
      </c>
      <c r="Z230">
        <f t="shared" si="6"/>
        <v>1.0335652903908392E-3</v>
      </c>
      <c r="AA230" t="s">
        <v>183</v>
      </c>
      <c r="AB230" t="str">
        <f t="shared" si="7"/>
        <v>Census Tract 118, King County, Washington</v>
      </c>
      <c r="AC230" s="3">
        <f>VLOOKUP($AB230,'2000 Seattle Tracts'!$C$2:$Y$374,AC$1,FALSE)*$Z230</f>
        <v>7.7486389820601209</v>
      </c>
      <c r="AD230" s="3">
        <f>VLOOKUP($AB230,'2000 Seattle Tracts'!$C$2:$Y$374,AD$1,FALSE)*$Z230</f>
        <v>5.2877200256395334</v>
      </c>
      <c r="AE230" s="3">
        <f>VLOOKUP($AB230,'2000 Seattle Tracts'!$C$2:$Y$374,AE$1,FALSE)*$Z230</f>
        <v>2.460918956420588</v>
      </c>
      <c r="AF230" s="3">
        <f>VLOOKUP($AB230,'2000 Seattle Tracts'!$C$2:$Y$374,AF$1,FALSE)*$Z230</f>
        <v>7.7486389820601209</v>
      </c>
      <c r="AG230" s="3">
        <f>VLOOKUP($AB230,'2000 Seattle Tracts'!$C$2:$Y$374,AG$1,FALSE)*$Z230</f>
        <v>5.2877200256395334</v>
      </c>
      <c r="AH230" s="3">
        <f>VLOOKUP($AB230,'2000 Seattle Tracts'!$C$2:$Y$374,AH$1,FALSE)*$Z230</f>
        <v>2.460918956420588</v>
      </c>
      <c r="AI230" s="3">
        <f>VLOOKUP($AB230,'2000 Seattle Tracts'!$C$2:$Y$374,AI$1,FALSE)*$Z230</f>
        <v>1.3973802726084146</v>
      </c>
      <c r="AJ230" s="3">
        <f>VLOOKUP($AB230,'2000 Seattle Tracts'!$C$2:$Y$374,AJ$1,FALSE)*$Z230</f>
        <v>9.5088006715957199E-2</v>
      </c>
      <c r="AK230" s="3">
        <f>VLOOKUP($AB230,'2000 Seattle Tracts'!$C$2:$Y$374,AK$1,FALSE)*$Z230</f>
        <v>4.3409742196415246E-2</v>
      </c>
      <c r="AL230" s="3">
        <f>VLOOKUP($AB230,'2000 Seattle Tracts'!$C$2:$Y$374,AL$1,FALSE)*$Z230</f>
        <v>9.1987310844784689E-2</v>
      </c>
      <c r="AM230" s="3">
        <f>VLOOKUP($AB230,'2000 Seattle Tracts'!$C$2:$Y$374,AM$1,FALSE)*$Z230</f>
        <v>2.4247441712569087</v>
      </c>
      <c r="AN230" s="3">
        <f>VLOOKUP($AB230,'2000 Seattle Tracts'!$C$2:$Y$374,AN$1,FALSE)*$Z230</f>
        <v>0.14883340181628085</v>
      </c>
      <c r="AO230" s="3">
        <f>VLOOKUP($AB230,'2000 Seattle Tracts'!$C$2:$Y$374,AO$1,FALSE)*$Z230</f>
        <v>0.10128939845830223</v>
      </c>
      <c r="AP230" s="3">
        <f>VLOOKUP($AB230,'2000 Seattle Tracts'!$C$2:$Y$374,AP$1,FALSE)*$Z230</f>
        <v>0</v>
      </c>
      <c r="AQ230" s="3">
        <f>VLOOKUP($AB230,'2000 Seattle Tracts'!$C$2:$Y$374,AQ$1,FALSE)*$Z230</f>
        <v>0.63150839242880275</v>
      </c>
      <c r="AR230" s="3">
        <f>VLOOKUP($AB230,'2000 Seattle Tracts'!$C$2:$Y$374,AR$1,FALSE)*$Z230</f>
        <v>1.5110724545514069</v>
      </c>
      <c r="AS230" s="3">
        <f>VLOOKUP($AB230,'2000 Seattle Tracts'!$C$2:$Y$374,AS$1,FALSE)*$Z230</f>
        <v>7.5450266198531263E-2</v>
      </c>
      <c r="AT230" s="3">
        <f>VLOOKUP($AB230,'2000 Seattle Tracts'!$C$2:$Y$374,AT$1,FALSE)*$Z230</f>
        <v>7.8550962069703772E-2</v>
      </c>
      <c r="AU230" s="3">
        <f>VLOOKUP($AB230,'2000 Seattle Tracts'!$C$2:$Y$374,AU$1,FALSE)*$Z230</f>
        <v>0.1002558331679114</v>
      </c>
      <c r="AV230" s="3">
        <f>VLOOKUP($AB230,'2000 Seattle Tracts'!$C$2:$Y$374,AV$1,FALSE)*$Z230</f>
        <v>0.21498158040129456</v>
      </c>
      <c r="AW230" s="3">
        <f>VLOOKUP($AB230,'2000 Seattle Tracts'!$C$2:$Y$374,AW$1,FALSE)*$Z230</f>
        <v>0.51368194932424704</v>
      </c>
      <c r="AX230" s="3">
        <f>VLOOKUP($AB230,'2000 Seattle Tracts'!$C$2:$Y$374,AX$1,FALSE)*$Z230</f>
        <v>0.32040524002116016</v>
      </c>
    </row>
    <row r="231" spans="1:50" x14ac:dyDescent="0.25">
      <c r="A231" t="s">
        <v>2917</v>
      </c>
      <c r="B231" t="s">
        <v>2918</v>
      </c>
      <c r="C231" t="s">
        <v>2975</v>
      </c>
      <c r="D231" t="s">
        <v>2809</v>
      </c>
      <c r="E231" t="s">
        <v>2810</v>
      </c>
      <c r="F231" t="s">
        <v>2811</v>
      </c>
      <c r="G231" t="s">
        <v>2920</v>
      </c>
      <c r="H231" t="s">
        <v>2921</v>
      </c>
      <c r="I231">
        <v>2301120</v>
      </c>
      <c r="J231">
        <v>2269206</v>
      </c>
      <c r="K231" t="s">
        <v>3436</v>
      </c>
      <c r="L231" t="s">
        <v>3437</v>
      </c>
      <c r="M231">
        <v>84</v>
      </c>
      <c r="N231">
        <v>20847.651999999998</v>
      </c>
      <c r="O231" t="s">
        <v>184</v>
      </c>
      <c r="P231">
        <v>15</v>
      </c>
      <c r="Q231">
        <v>4</v>
      </c>
      <c r="R231">
        <v>9</v>
      </c>
      <c r="S231">
        <v>19601602</v>
      </c>
      <c r="T231">
        <v>86</v>
      </c>
      <c r="U231">
        <v>192</v>
      </c>
      <c r="V231">
        <v>20847.653192299731</v>
      </c>
      <c r="W231">
        <v>19601601.215348601</v>
      </c>
      <c r="X231">
        <v>1469743.746</v>
      </c>
      <c r="Y231">
        <f>VLOOKUP(AB231,'2000 Seattle Tracts'!$C$2:$Z$374,24,FALSE)</f>
        <v>2299528.6529999999</v>
      </c>
      <c r="Z231">
        <f t="shared" si="6"/>
        <v>0.63915000323329307</v>
      </c>
      <c r="AA231" t="s">
        <v>185</v>
      </c>
      <c r="AB231" t="str">
        <f t="shared" si="7"/>
        <v>Census Tract 118, King County, Washington</v>
      </c>
      <c r="AC231" s="3">
        <f>VLOOKUP($AB231,'2000 Seattle Tracts'!$C$2:$Y$374,AC$1,FALSE)*$Z231</f>
        <v>4791.7075742399984</v>
      </c>
      <c r="AD231" s="3">
        <f>VLOOKUP($AB231,'2000 Seattle Tracts'!$C$2:$Y$374,AD$1,FALSE)*$Z231</f>
        <v>3269.8914165415272</v>
      </c>
      <c r="AE231" s="3">
        <f>VLOOKUP($AB231,'2000 Seattle Tracts'!$C$2:$Y$374,AE$1,FALSE)*$Z231</f>
        <v>1521.8161576984708</v>
      </c>
      <c r="AF231" s="3">
        <f>VLOOKUP($AB231,'2000 Seattle Tracts'!$C$2:$Y$374,AF$1,FALSE)*$Z231</f>
        <v>4791.7075742399984</v>
      </c>
      <c r="AG231" s="3">
        <f>VLOOKUP($AB231,'2000 Seattle Tracts'!$C$2:$Y$374,AG$1,FALSE)*$Z231</f>
        <v>3269.8914165415272</v>
      </c>
      <c r="AH231" s="3">
        <f>VLOOKUP($AB231,'2000 Seattle Tracts'!$C$2:$Y$374,AH$1,FALSE)*$Z231</f>
        <v>1521.8161576984708</v>
      </c>
      <c r="AI231" s="3">
        <f>VLOOKUP($AB231,'2000 Seattle Tracts'!$C$2:$Y$374,AI$1,FALSE)*$Z231</f>
        <v>864.13080437141218</v>
      </c>
      <c r="AJ231" s="3">
        <f>VLOOKUP($AB231,'2000 Seattle Tracts'!$C$2:$Y$374,AJ$1,FALSE)*$Z231</f>
        <v>58.801800297462961</v>
      </c>
      <c r="AK231" s="3">
        <f>VLOOKUP($AB231,'2000 Seattle Tracts'!$C$2:$Y$374,AK$1,FALSE)*$Z231</f>
        <v>26.84430013579831</v>
      </c>
      <c r="AL231" s="3">
        <f>VLOOKUP($AB231,'2000 Seattle Tracts'!$C$2:$Y$374,AL$1,FALSE)*$Z231</f>
        <v>56.884350287763084</v>
      </c>
      <c r="AM231" s="3">
        <f>VLOOKUP($AB231,'2000 Seattle Tracts'!$C$2:$Y$374,AM$1,FALSE)*$Z231</f>
        <v>1499.4459075853056</v>
      </c>
      <c r="AN231" s="3">
        <f>VLOOKUP($AB231,'2000 Seattle Tracts'!$C$2:$Y$374,AN$1,FALSE)*$Z231</f>
        <v>92.03760046559421</v>
      </c>
      <c r="AO231" s="3">
        <f>VLOOKUP($AB231,'2000 Seattle Tracts'!$C$2:$Y$374,AO$1,FALSE)*$Z231</f>
        <v>62.636700316862722</v>
      </c>
      <c r="AP231" s="3">
        <f>VLOOKUP($AB231,'2000 Seattle Tracts'!$C$2:$Y$374,AP$1,FALSE)*$Z231</f>
        <v>0</v>
      </c>
      <c r="AQ231" s="3">
        <f>VLOOKUP($AB231,'2000 Seattle Tracts'!$C$2:$Y$374,AQ$1,FALSE)*$Z231</f>
        <v>390.52065197554208</v>
      </c>
      <c r="AR231" s="3">
        <f>VLOOKUP($AB231,'2000 Seattle Tracts'!$C$2:$Y$374,AR$1,FALSE)*$Z231</f>
        <v>934.43730472707443</v>
      </c>
      <c r="AS231" s="3">
        <f>VLOOKUP($AB231,'2000 Seattle Tracts'!$C$2:$Y$374,AS$1,FALSE)*$Z231</f>
        <v>46.657950236030395</v>
      </c>
      <c r="AT231" s="3">
        <f>VLOOKUP($AB231,'2000 Seattle Tracts'!$C$2:$Y$374,AT$1,FALSE)*$Z231</f>
        <v>48.575400245730272</v>
      </c>
      <c r="AU231" s="3">
        <f>VLOOKUP($AB231,'2000 Seattle Tracts'!$C$2:$Y$374,AU$1,FALSE)*$Z231</f>
        <v>61.997550313629425</v>
      </c>
      <c r="AV231" s="3">
        <f>VLOOKUP($AB231,'2000 Seattle Tracts'!$C$2:$Y$374,AV$1,FALSE)*$Z231</f>
        <v>132.94320067252497</v>
      </c>
      <c r="AW231" s="3">
        <f>VLOOKUP($AB231,'2000 Seattle Tracts'!$C$2:$Y$374,AW$1,FALSE)*$Z231</f>
        <v>317.65755160694664</v>
      </c>
      <c r="AX231" s="3">
        <f>VLOOKUP($AB231,'2000 Seattle Tracts'!$C$2:$Y$374,AX$1,FALSE)*$Z231</f>
        <v>198.13650100232084</v>
      </c>
    </row>
    <row r="232" spans="1:50" x14ac:dyDescent="0.25">
      <c r="A232" t="s">
        <v>2917</v>
      </c>
      <c r="B232" t="s">
        <v>2918</v>
      </c>
      <c r="C232" t="s">
        <v>2975</v>
      </c>
      <c r="D232" t="s">
        <v>2809</v>
      </c>
      <c r="E232" t="s">
        <v>2810</v>
      </c>
      <c r="F232" t="s">
        <v>2811</v>
      </c>
      <c r="G232" t="s">
        <v>2920</v>
      </c>
      <c r="H232" t="s">
        <v>2921</v>
      </c>
      <c r="I232">
        <v>2301120</v>
      </c>
      <c r="J232">
        <v>2269206</v>
      </c>
      <c r="K232" t="s">
        <v>3436</v>
      </c>
      <c r="L232" t="s">
        <v>3437</v>
      </c>
      <c r="M232">
        <v>85</v>
      </c>
      <c r="N232">
        <v>34965.612999999998</v>
      </c>
      <c r="O232" t="s">
        <v>184</v>
      </c>
      <c r="P232">
        <v>15</v>
      </c>
      <c r="Q232">
        <v>4</v>
      </c>
      <c r="R232">
        <v>81</v>
      </c>
      <c r="S232">
        <v>33128236</v>
      </c>
      <c r="T232">
        <v>87</v>
      </c>
      <c r="U232">
        <v>194</v>
      </c>
      <c r="V232">
        <v>34965.613210047493</v>
      </c>
      <c r="W232">
        <v>33128236.141302869</v>
      </c>
      <c r="X232">
        <v>822097.96100000001</v>
      </c>
      <c r="Y232">
        <f>VLOOKUP(AB232,'2000 Seattle Tracts'!$C$2:$Z$374,24,FALSE)</f>
        <v>2299528.6529999999</v>
      </c>
      <c r="Z232">
        <f t="shared" si="6"/>
        <v>0.3575071612730194</v>
      </c>
      <c r="AA232" t="s">
        <v>186</v>
      </c>
      <c r="AB232" t="str">
        <f t="shared" si="7"/>
        <v>Census Tract 118, King County, Washington</v>
      </c>
      <c r="AC232" s="3">
        <f>VLOOKUP($AB232,'2000 Seattle Tracts'!$C$2:$Y$374,AC$1,FALSE)*$Z232</f>
        <v>2680.2311880638263</v>
      </c>
      <c r="AD232" s="3">
        <f>VLOOKUP($AB232,'2000 Seattle Tracts'!$C$2:$Y$374,AD$1,FALSE)*$Z232</f>
        <v>1829.0066370727673</v>
      </c>
      <c r="AE232" s="3">
        <f>VLOOKUP($AB232,'2000 Seattle Tracts'!$C$2:$Y$374,AE$1,FALSE)*$Z232</f>
        <v>851.22455099105923</v>
      </c>
      <c r="AF232" s="3">
        <f>VLOOKUP($AB232,'2000 Seattle Tracts'!$C$2:$Y$374,AF$1,FALSE)*$Z232</f>
        <v>2680.2311880638263</v>
      </c>
      <c r="AG232" s="3">
        <f>VLOOKUP($AB232,'2000 Seattle Tracts'!$C$2:$Y$374,AG$1,FALSE)*$Z232</f>
        <v>1829.0066370727673</v>
      </c>
      <c r="AH232" s="3">
        <f>VLOOKUP($AB232,'2000 Seattle Tracts'!$C$2:$Y$374,AH$1,FALSE)*$Z232</f>
        <v>851.22455099105923</v>
      </c>
      <c r="AI232" s="3">
        <f>VLOOKUP($AB232,'2000 Seattle Tracts'!$C$2:$Y$374,AI$1,FALSE)*$Z232</f>
        <v>483.34968204112221</v>
      </c>
      <c r="AJ232" s="3">
        <f>VLOOKUP($AB232,'2000 Seattle Tracts'!$C$2:$Y$374,AJ$1,FALSE)*$Z232</f>
        <v>32.890658837117783</v>
      </c>
      <c r="AK232" s="3">
        <f>VLOOKUP($AB232,'2000 Seattle Tracts'!$C$2:$Y$374,AK$1,FALSE)*$Z232</f>
        <v>15.015300773466816</v>
      </c>
      <c r="AL232" s="3">
        <f>VLOOKUP($AB232,'2000 Seattle Tracts'!$C$2:$Y$374,AL$1,FALSE)*$Z232</f>
        <v>31.818137353298727</v>
      </c>
      <c r="AM232" s="3">
        <f>VLOOKUP($AB232,'2000 Seattle Tracts'!$C$2:$Y$374,AM$1,FALSE)*$Z232</f>
        <v>838.71180034650354</v>
      </c>
      <c r="AN232" s="3">
        <f>VLOOKUP($AB232,'2000 Seattle Tracts'!$C$2:$Y$374,AN$1,FALSE)*$Z232</f>
        <v>51.481031223314794</v>
      </c>
      <c r="AO232" s="3">
        <f>VLOOKUP($AB232,'2000 Seattle Tracts'!$C$2:$Y$374,AO$1,FALSE)*$Z232</f>
        <v>35.035701804755902</v>
      </c>
      <c r="AP232" s="3">
        <f>VLOOKUP($AB232,'2000 Seattle Tracts'!$C$2:$Y$374,AP$1,FALSE)*$Z232</f>
        <v>0</v>
      </c>
      <c r="AQ232" s="3">
        <f>VLOOKUP($AB232,'2000 Seattle Tracts'!$C$2:$Y$374,AQ$1,FALSE)*$Z232</f>
        <v>218.43687553781484</v>
      </c>
      <c r="AR232" s="3">
        <f>VLOOKUP($AB232,'2000 Seattle Tracts'!$C$2:$Y$374,AR$1,FALSE)*$Z232</f>
        <v>522.67546978115433</v>
      </c>
      <c r="AS232" s="3">
        <f>VLOOKUP($AB232,'2000 Seattle Tracts'!$C$2:$Y$374,AS$1,FALSE)*$Z232</f>
        <v>26.098022772930417</v>
      </c>
      <c r="AT232" s="3">
        <f>VLOOKUP($AB232,'2000 Seattle Tracts'!$C$2:$Y$374,AT$1,FALSE)*$Z232</f>
        <v>27.170544256749473</v>
      </c>
      <c r="AU232" s="3">
        <f>VLOOKUP($AB232,'2000 Seattle Tracts'!$C$2:$Y$374,AU$1,FALSE)*$Z232</f>
        <v>34.678194643482882</v>
      </c>
      <c r="AV232" s="3">
        <f>VLOOKUP($AB232,'2000 Seattle Tracts'!$C$2:$Y$374,AV$1,FALSE)*$Z232</f>
        <v>74.361489544788043</v>
      </c>
      <c r="AW232" s="3">
        <f>VLOOKUP($AB232,'2000 Seattle Tracts'!$C$2:$Y$374,AW$1,FALSE)*$Z232</f>
        <v>177.68105915269064</v>
      </c>
      <c r="AX232" s="3">
        <f>VLOOKUP($AB232,'2000 Seattle Tracts'!$C$2:$Y$374,AX$1,FALSE)*$Z232</f>
        <v>110.82721999463601</v>
      </c>
    </row>
    <row r="233" spans="1:50" x14ac:dyDescent="0.25">
      <c r="A233" t="s">
        <v>2917</v>
      </c>
      <c r="B233" t="s">
        <v>2918</v>
      </c>
      <c r="C233" t="s">
        <v>2975</v>
      </c>
      <c r="D233" t="s">
        <v>2809</v>
      </c>
      <c r="E233" t="s">
        <v>2810</v>
      </c>
      <c r="F233" t="s">
        <v>2811</v>
      </c>
      <c r="G233" t="s">
        <v>2920</v>
      </c>
      <c r="H233" t="s">
        <v>2921</v>
      </c>
      <c r="I233">
        <v>2301120</v>
      </c>
      <c r="J233">
        <v>2269206</v>
      </c>
      <c r="K233" t="s">
        <v>3436</v>
      </c>
      <c r="L233" t="s">
        <v>3437</v>
      </c>
      <c r="M233">
        <v>95</v>
      </c>
      <c r="N233">
        <v>52212.785000000003</v>
      </c>
      <c r="O233" t="s">
        <v>198</v>
      </c>
      <c r="P233">
        <v>16</v>
      </c>
      <c r="Q233">
        <v>11</v>
      </c>
      <c r="R233">
        <v>95</v>
      </c>
      <c r="S233">
        <v>43835280</v>
      </c>
      <c r="T233">
        <v>97</v>
      </c>
      <c r="U233">
        <v>173</v>
      </c>
      <c r="V233">
        <v>52212.786810353093</v>
      </c>
      <c r="W233">
        <v>43835279.005916066</v>
      </c>
      <c r="X233">
        <v>1963.751</v>
      </c>
      <c r="Y233">
        <f>VLOOKUP(AB233,'2000 Seattle Tracts'!$C$2:$Z$374,24,FALSE)</f>
        <v>2299528.6529999999</v>
      </c>
      <c r="Z233">
        <f t="shared" si="6"/>
        <v>8.5397979165776456E-4</v>
      </c>
      <c r="AA233" t="s">
        <v>197</v>
      </c>
      <c r="AB233" t="str">
        <f t="shared" si="7"/>
        <v>Census Tract 118, King County, Washington</v>
      </c>
      <c r="AC233" s="3">
        <f>VLOOKUP($AB233,'2000 Seattle Tracts'!$C$2:$Y$374,AC$1,FALSE)*$Z233</f>
        <v>6.4022864980582606</v>
      </c>
      <c r="AD233" s="3">
        <f>VLOOKUP($AB233,'2000 Seattle Tracts'!$C$2:$Y$374,AD$1,FALSE)*$Z233</f>
        <v>4.3689606141211232</v>
      </c>
      <c r="AE233" s="3">
        <f>VLOOKUP($AB233,'2000 Seattle Tracts'!$C$2:$Y$374,AE$1,FALSE)*$Z233</f>
        <v>2.0333258839371373</v>
      </c>
      <c r="AF233" s="3">
        <f>VLOOKUP($AB233,'2000 Seattle Tracts'!$C$2:$Y$374,AF$1,FALSE)*$Z233</f>
        <v>6.4022864980582606</v>
      </c>
      <c r="AG233" s="3">
        <f>VLOOKUP($AB233,'2000 Seattle Tracts'!$C$2:$Y$374,AG$1,FALSE)*$Z233</f>
        <v>4.3689606141211232</v>
      </c>
      <c r="AH233" s="3">
        <f>VLOOKUP($AB233,'2000 Seattle Tracts'!$C$2:$Y$374,AH$1,FALSE)*$Z233</f>
        <v>2.0333258839371373</v>
      </c>
      <c r="AI233" s="3">
        <f>VLOOKUP($AB233,'2000 Seattle Tracts'!$C$2:$Y$374,AI$1,FALSE)*$Z233</f>
        <v>1.1545806783212977</v>
      </c>
      <c r="AJ233" s="3">
        <f>VLOOKUP($AB233,'2000 Seattle Tracts'!$C$2:$Y$374,AJ$1,FALSE)*$Z233</f>
        <v>7.8566140832514342E-2</v>
      </c>
      <c r="AK233" s="3">
        <f>VLOOKUP($AB233,'2000 Seattle Tracts'!$C$2:$Y$374,AK$1,FALSE)*$Z233</f>
        <v>3.5867151249626111E-2</v>
      </c>
      <c r="AL233" s="3">
        <f>VLOOKUP($AB233,'2000 Seattle Tracts'!$C$2:$Y$374,AL$1,FALSE)*$Z233</f>
        <v>7.600420145754104E-2</v>
      </c>
      <c r="AM233" s="3">
        <f>VLOOKUP($AB233,'2000 Seattle Tracts'!$C$2:$Y$374,AM$1,FALSE)*$Z233</f>
        <v>2.0034365912291157</v>
      </c>
      <c r="AN233" s="3">
        <f>VLOOKUP($AB233,'2000 Seattle Tracts'!$C$2:$Y$374,AN$1,FALSE)*$Z233</f>
        <v>0.1229730899987181</v>
      </c>
      <c r="AO233" s="3">
        <f>VLOOKUP($AB233,'2000 Seattle Tracts'!$C$2:$Y$374,AO$1,FALSE)*$Z233</f>
        <v>8.3690019582460931E-2</v>
      </c>
      <c r="AP233" s="3">
        <f>VLOOKUP($AB233,'2000 Seattle Tracts'!$C$2:$Y$374,AP$1,FALSE)*$Z233</f>
        <v>0</v>
      </c>
      <c r="AQ233" s="3">
        <f>VLOOKUP($AB233,'2000 Seattle Tracts'!$C$2:$Y$374,AQ$1,FALSE)*$Z233</f>
        <v>0.52178165270289412</v>
      </c>
      <c r="AR233" s="3">
        <f>VLOOKUP($AB233,'2000 Seattle Tracts'!$C$2:$Y$374,AR$1,FALSE)*$Z233</f>
        <v>1.2485184554036517</v>
      </c>
      <c r="AS233" s="3">
        <f>VLOOKUP($AB233,'2000 Seattle Tracts'!$C$2:$Y$374,AS$1,FALSE)*$Z233</f>
        <v>6.2340524791016816E-2</v>
      </c>
      <c r="AT233" s="3">
        <f>VLOOKUP($AB233,'2000 Seattle Tracts'!$C$2:$Y$374,AT$1,FALSE)*$Z233</f>
        <v>6.4902464165990104E-2</v>
      </c>
      <c r="AU233" s="3">
        <f>VLOOKUP($AB233,'2000 Seattle Tracts'!$C$2:$Y$374,AU$1,FALSE)*$Z233</f>
        <v>8.2836039790803159E-2</v>
      </c>
      <c r="AV233" s="3">
        <f>VLOOKUP($AB233,'2000 Seattle Tracts'!$C$2:$Y$374,AV$1,FALSE)*$Z233</f>
        <v>0.17762779666481504</v>
      </c>
      <c r="AW233" s="3">
        <f>VLOOKUP($AB233,'2000 Seattle Tracts'!$C$2:$Y$374,AW$1,FALSE)*$Z233</f>
        <v>0.42442795645390896</v>
      </c>
      <c r="AX233" s="3">
        <f>VLOOKUP($AB233,'2000 Seattle Tracts'!$C$2:$Y$374,AX$1,FALSE)*$Z233</f>
        <v>0.26473373541390699</v>
      </c>
    </row>
    <row r="234" spans="1:50" x14ac:dyDescent="0.25">
      <c r="A234" t="s">
        <v>2917</v>
      </c>
      <c r="B234" t="s">
        <v>2918</v>
      </c>
      <c r="C234" t="s">
        <v>3005</v>
      </c>
      <c r="D234" t="s">
        <v>2812</v>
      </c>
      <c r="E234" t="s">
        <v>2813</v>
      </c>
      <c r="F234" t="s">
        <v>2814</v>
      </c>
      <c r="G234" t="s">
        <v>2920</v>
      </c>
      <c r="H234" t="s">
        <v>2921</v>
      </c>
      <c r="I234">
        <v>3531693</v>
      </c>
      <c r="J234">
        <v>0</v>
      </c>
      <c r="K234" t="s">
        <v>3438</v>
      </c>
      <c r="L234" t="s">
        <v>3439</v>
      </c>
      <c r="M234">
        <v>68</v>
      </c>
      <c r="N234">
        <v>45963.663999999997</v>
      </c>
      <c r="O234" t="s">
        <v>122</v>
      </c>
      <c r="P234">
        <v>18</v>
      </c>
      <c r="Q234">
        <v>12</v>
      </c>
      <c r="R234">
        <v>81</v>
      </c>
      <c r="S234">
        <v>51305072</v>
      </c>
      <c r="T234">
        <v>70</v>
      </c>
      <c r="U234">
        <v>177</v>
      </c>
      <c r="V234">
        <v>45963.665676960663</v>
      </c>
      <c r="W234">
        <v>51305072.646258257</v>
      </c>
      <c r="X234">
        <v>71085.846000000005</v>
      </c>
      <c r="Y234">
        <f>VLOOKUP(AB234,'2000 Seattle Tracts'!$C$2:$Z$374,24,FALSE)</f>
        <v>3531697.9309999999</v>
      </c>
      <c r="Z234">
        <f t="shared" si="6"/>
        <v>2.0127951877207135E-2</v>
      </c>
      <c r="AA234" t="s">
        <v>166</v>
      </c>
      <c r="AB234" t="str">
        <f t="shared" si="7"/>
        <v>Census Tract 117, King County, Washington</v>
      </c>
      <c r="AC234" s="3">
        <f>VLOOKUP($AB234,'2000 Seattle Tracts'!$C$2:$Y$374,AC$1,FALSE)*$Z234</f>
        <v>104.50432614645945</v>
      </c>
      <c r="AD234" s="3">
        <f>VLOOKUP($AB234,'2000 Seattle Tracts'!$C$2:$Y$374,AD$1,FALSE)*$Z234</f>
        <v>59.759889123427982</v>
      </c>
      <c r="AE234" s="3">
        <f>VLOOKUP($AB234,'2000 Seattle Tracts'!$C$2:$Y$374,AE$1,FALSE)*$Z234</f>
        <v>44.744437023031459</v>
      </c>
      <c r="AF234" s="3">
        <f>VLOOKUP($AB234,'2000 Seattle Tracts'!$C$2:$Y$374,AF$1,FALSE)*$Z234</f>
        <v>104.50432614645945</v>
      </c>
      <c r="AG234" s="3">
        <f>VLOOKUP($AB234,'2000 Seattle Tracts'!$C$2:$Y$374,AG$1,FALSE)*$Z234</f>
        <v>59.759889123427982</v>
      </c>
      <c r="AH234" s="3">
        <f>VLOOKUP($AB234,'2000 Seattle Tracts'!$C$2:$Y$374,AH$1,FALSE)*$Z234</f>
        <v>44.744437023031459</v>
      </c>
      <c r="AI234" s="3">
        <f>VLOOKUP($AB234,'2000 Seattle Tracts'!$C$2:$Y$374,AI$1,FALSE)*$Z234</f>
        <v>12.942273057044188</v>
      </c>
      <c r="AJ234" s="3">
        <f>VLOOKUP($AB234,'2000 Seattle Tracts'!$C$2:$Y$374,AJ$1,FALSE)*$Z234</f>
        <v>0.88562988259711395</v>
      </c>
      <c r="AK234" s="3">
        <f>VLOOKUP($AB234,'2000 Seattle Tracts'!$C$2:$Y$374,AK$1,FALSE)*$Z234</f>
        <v>0.44281494129855697</v>
      </c>
      <c r="AL234" s="3">
        <f>VLOOKUP($AB234,'2000 Seattle Tracts'!$C$2:$Y$374,AL$1,FALSE)*$Z234</f>
        <v>1.5498522945449493</v>
      </c>
      <c r="AM234" s="3">
        <f>VLOOKUP($AB234,'2000 Seattle Tracts'!$C$2:$Y$374,AM$1,FALSE)*$Z234</f>
        <v>24.817764664596396</v>
      </c>
      <c r="AN234" s="3">
        <f>VLOOKUP($AB234,'2000 Seattle Tracts'!$C$2:$Y$374,AN$1,FALSE)*$Z234</f>
        <v>1.8115156689486422</v>
      </c>
      <c r="AO234" s="3">
        <f>VLOOKUP($AB234,'2000 Seattle Tracts'!$C$2:$Y$374,AO$1,FALSE)*$Z234</f>
        <v>8.051180750882854E-2</v>
      </c>
      <c r="AP234" s="3">
        <f>VLOOKUP($AB234,'2000 Seattle Tracts'!$C$2:$Y$374,AP$1,FALSE)*$Z234</f>
        <v>0</v>
      </c>
      <c r="AQ234" s="3">
        <f>VLOOKUP($AB234,'2000 Seattle Tracts'!$C$2:$Y$374,AQ$1,FALSE)*$Z234</f>
        <v>16.364024876169399</v>
      </c>
      <c r="AR234" s="3">
        <f>VLOOKUP($AB234,'2000 Seattle Tracts'!$C$2:$Y$374,AR$1,FALSE)*$Z234</f>
        <v>35.727114582042667</v>
      </c>
      <c r="AS234" s="3">
        <f>VLOOKUP($AB234,'2000 Seattle Tracts'!$C$2:$Y$374,AS$1,FALSE)*$Z234</f>
        <v>0</v>
      </c>
      <c r="AT234" s="3">
        <f>VLOOKUP($AB234,'2000 Seattle Tracts'!$C$2:$Y$374,AT$1,FALSE)*$Z234</f>
        <v>0.76486217133387113</v>
      </c>
      <c r="AU234" s="3">
        <f>VLOOKUP($AB234,'2000 Seattle Tracts'!$C$2:$Y$374,AU$1,FALSE)*$Z234</f>
        <v>1.4894684389133279</v>
      </c>
      <c r="AV234" s="3">
        <f>VLOOKUP($AB234,'2000 Seattle Tracts'!$C$2:$Y$374,AV$1,FALSE)*$Z234</f>
        <v>2.1939467546155775</v>
      </c>
      <c r="AW234" s="3">
        <f>VLOOKUP($AB234,'2000 Seattle Tracts'!$C$2:$Y$374,AW$1,FALSE)*$Z234</f>
        <v>3.6230313378972845</v>
      </c>
      <c r="AX234" s="3">
        <f>VLOOKUP($AB234,'2000 Seattle Tracts'!$C$2:$Y$374,AX$1,FALSE)*$Z234</f>
        <v>1.8115156689486422</v>
      </c>
    </row>
    <row r="235" spans="1:50" x14ac:dyDescent="0.25">
      <c r="A235" t="s">
        <v>2917</v>
      </c>
      <c r="B235" t="s">
        <v>2918</v>
      </c>
      <c r="C235" t="s">
        <v>3005</v>
      </c>
      <c r="D235" t="s">
        <v>2812</v>
      </c>
      <c r="E235" t="s">
        <v>2813</v>
      </c>
      <c r="F235" t="s">
        <v>2814</v>
      </c>
      <c r="G235" t="s">
        <v>2920</v>
      </c>
      <c r="H235" t="s">
        <v>2921</v>
      </c>
      <c r="I235">
        <v>3531693</v>
      </c>
      <c r="J235">
        <v>0</v>
      </c>
      <c r="K235" t="s">
        <v>3438</v>
      </c>
      <c r="L235" t="s">
        <v>3439</v>
      </c>
      <c r="M235">
        <v>81</v>
      </c>
      <c r="N235">
        <v>38996.714999999997</v>
      </c>
      <c r="O235" t="s">
        <v>179</v>
      </c>
      <c r="P235">
        <v>17</v>
      </c>
      <c r="Q235">
        <v>5</v>
      </c>
      <c r="R235">
        <v>23</v>
      </c>
      <c r="S235">
        <v>38448828</v>
      </c>
      <c r="T235">
        <v>83</v>
      </c>
      <c r="U235">
        <v>183</v>
      </c>
      <c r="V235">
        <v>38996.715107084907</v>
      </c>
      <c r="W235">
        <v>38448826.89896398</v>
      </c>
      <c r="X235">
        <v>2326952.9700000002</v>
      </c>
      <c r="Y235">
        <f>VLOOKUP(AB235,'2000 Seattle Tracts'!$C$2:$Z$374,24,FALSE)</f>
        <v>3531697.9309999999</v>
      </c>
      <c r="Z235">
        <f t="shared" si="6"/>
        <v>0.65887655611054019</v>
      </c>
      <c r="AA235" t="s">
        <v>181</v>
      </c>
      <c r="AB235" t="str">
        <f t="shared" si="7"/>
        <v>Census Tract 117, King County, Washington</v>
      </c>
      <c r="AC235" s="3">
        <f>VLOOKUP($AB235,'2000 Seattle Tracts'!$C$2:$Y$374,AC$1,FALSE)*$Z235</f>
        <v>3420.8870793259248</v>
      </c>
      <c r="AD235" s="3">
        <f>VLOOKUP($AB235,'2000 Seattle Tracts'!$C$2:$Y$374,AD$1,FALSE)*$Z235</f>
        <v>1956.2044950921938</v>
      </c>
      <c r="AE235" s="3">
        <f>VLOOKUP($AB235,'2000 Seattle Tracts'!$C$2:$Y$374,AE$1,FALSE)*$Z235</f>
        <v>1464.6825842337309</v>
      </c>
      <c r="AF235" s="3">
        <f>VLOOKUP($AB235,'2000 Seattle Tracts'!$C$2:$Y$374,AF$1,FALSE)*$Z235</f>
        <v>3420.8870793259248</v>
      </c>
      <c r="AG235" s="3">
        <f>VLOOKUP($AB235,'2000 Seattle Tracts'!$C$2:$Y$374,AG$1,FALSE)*$Z235</f>
        <v>1956.2044950921938</v>
      </c>
      <c r="AH235" s="3">
        <f>VLOOKUP($AB235,'2000 Seattle Tracts'!$C$2:$Y$374,AH$1,FALSE)*$Z235</f>
        <v>1464.6825842337309</v>
      </c>
      <c r="AI235" s="3">
        <f>VLOOKUP($AB235,'2000 Seattle Tracts'!$C$2:$Y$374,AI$1,FALSE)*$Z235</f>
        <v>423.65762557907732</v>
      </c>
      <c r="AJ235" s="3">
        <f>VLOOKUP($AB235,'2000 Seattle Tracts'!$C$2:$Y$374,AJ$1,FALSE)*$Z235</f>
        <v>28.990568468863767</v>
      </c>
      <c r="AK235" s="3">
        <f>VLOOKUP($AB235,'2000 Seattle Tracts'!$C$2:$Y$374,AK$1,FALSE)*$Z235</f>
        <v>14.495284234431884</v>
      </c>
      <c r="AL235" s="3">
        <f>VLOOKUP($AB235,'2000 Seattle Tracts'!$C$2:$Y$374,AL$1,FALSE)*$Z235</f>
        <v>50.733494820511595</v>
      </c>
      <c r="AM235" s="3">
        <f>VLOOKUP($AB235,'2000 Seattle Tracts'!$C$2:$Y$374,AM$1,FALSE)*$Z235</f>
        <v>812.39479368429602</v>
      </c>
      <c r="AN235" s="3">
        <f>VLOOKUP($AB235,'2000 Seattle Tracts'!$C$2:$Y$374,AN$1,FALSE)*$Z235</f>
        <v>59.298890049948618</v>
      </c>
      <c r="AO235" s="3">
        <f>VLOOKUP($AB235,'2000 Seattle Tracts'!$C$2:$Y$374,AO$1,FALSE)*$Z235</f>
        <v>2.6355062244421608</v>
      </c>
      <c r="AP235" s="3">
        <f>VLOOKUP($AB235,'2000 Seattle Tracts'!$C$2:$Y$374,AP$1,FALSE)*$Z235</f>
        <v>0</v>
      </c>
      <c r="AQ235" s="3">
        <f>VLOOKUP($AB235,'2000 Seattle Tracts'!$C$2:$Y$374,AQ$1,FALSE)*$Z235</f>
        <v>535.66664011786918</v>
      </c>
      <c r="AR235" s="3">
        <f>VLOOKUP($AB235,'2000 Seattle Tracts'!$C$2:$Y$374,AR$1,FALSE)*$Z235</f>
        <v>1169.5058870962089</v>
      </c>
      <c r="AS235" s="3">
        <f>VLOOKUP($AB235,'2000 Seattle Tracts'!$C$2:$Y$374,AS$1,FALSE)*$Z235</f>
        <v>0</v>
      </c>
      <c r="AT235" s="3">
        <f>VLOOKUP($AB235,'2000 Seattle Tracts'!$C$2:$Y$374,AT$1,FALSE)*$Z235</f>
        <v>25.037309132200527</v>
      </c>
      <c r="AU235" s="3">
        <f>VLOOKUP($AB235,'2000 Seattle Tracts'!$C$2:$Y$374,AU$1,FALSE)*$Z235</f>
        <v>48.756865152179977</v>
      </c>
      <c r="AV235" s="3">
        <f>VLOOKUP($AB235,'2000 Seattle Tracts'!$C$2:$Y$374,AV$1,FALSE)*$Z235</f>
        <v>71.817544616048878</v>
      </c>
      <c r="AW235" s="3">
        <f>VLOOKUP($AB235,'2000 Seattle Tracts'!$C$2:$Y$374,AW$1,FALSE)*$Z235</f>
        <v>118.59778009989724</v>
      </c>
      <c r="AX235" s="3">
        <f>VLOOKUP($AB235,'2000 Seattle Tracts'!$C$2:$Y$374,AX$1,FALSE)*$Z235</f>
        <v>59.298890049948618</v>
      </c>
    </row>
    <row r="236" spans="1:50" x14ac:dyDescent="0.25">
      <c r="A236" t="s">
        <v>2917</v>
      </c>
      <c r="B236" t="s">
        <v>2918</v>
      </c>
      <c r="C236" t="s">
        <v>3005</v>
      </c>
      <c r="D236" t="s">
        <v>2812</v>
      </c>
      <c r="E236" t="s">
        <v>2813</v>
      </c>
      <c r="F236" t="s">
        <v>2814</v>
      </c>
      <c r="G236" t="s">
        <v>2920</v>
      </c>
      <c r="H236" t="s">
        <v>2921</v>
      </c>
      <c r="I236">
        <v>3531693</v>
      </c>
      <c r="J236">
        <v>0</v>
      </c>
      <c r="K236" t="s">
        <v>3438</v>
      </c>
      <c r="L236" t="s">
        <v>3439</v>
      </c>
      <c r="M236">
        <v>82</v>
      </c>
      <c r="N236">
        <v>15848.361999999999</v>
      </c>
      <c r="O236" t="s">
        <v>179</v>
      </c>
      <c r="P236">
        <v>17</v>
      </c>
      <c r="Q236">
        <v>5</v>
      </c>
      <c r="R236">
        <v>24</v>
      </c>
      <c r="S236">
        <v>8444236</v>
      </c>
      <c r="T236">
        <v>84</v>
      </c>
      <c r="U236">
        <v>186</v>
      </c>
      <c r="V236">
        <v>15848.362418511269</v>
      </c>
      <c r="W236">
        <v>8444235.9786088634</v>
      </c>
      <c r="X236">
        <v>12.818</v>
      </c>
      <c r="Y236">
        <f>VLOOKUP(AB236,'2000 Seattle Tracts'!$C$2:$Z$374,24,FALSE)</f>
        <v>3531697.9309999999</v>
      </c>
      <c r="Z236">
        <f t="shared" si="6"/>
        <v>3.6294157230968463E-6</v>
      </c>
      <c r="AA236" t="s">
        <v>182</v>
      </c>
      <c r="AB236" t="str">
        <f t="shared" si="7"/>
        <v>Census Tract 117, King County, Washington</v>
      </c>
      <c r="AC236" s="3">
        <f>VLOOKUP($AB236,'2000 Seattle Tracts'!$C$2:$Y$374,AC$1,FALSE)*$Z236</f>
        <v>1.8843926434318824E-2</v>
      </c>
      <c r="AD236" s="3">
        <f>VLOOKUP($AB236,'2000 Seattle Tracts'!$C$2:$Y$374,AD$1,FALSE)*$Z236</f>
        <v>1.0775735281874536E-2</v>
      </c>
      <c r="AE236" s="3">
        <f>VLOOKUP($AB236,'2000 Seattle Tracts'!$C$2:$Y$374,AE$1,FALSE)*$Z236</f>
        <v>8.0681911524442887E-3</v>
      </c>
      <c r="AF236" s="3">
        <f>VLOOKUP($AB236,'2000 Seattle Tracts'!$C$2:$Y$374,AF$1,FALSE)*$Z236</f>
        <v>1.8843926434318824E-2</v>
      </c>
      <c r="AG236" s="3">
        <f>VLOOKUP($AB236,'2000 Seattle Tracts'!$C$2:$Y$374,AG$1,FALSE)*$Z236</f>
        <v>1.0775735281874536E-2</v>
      </c>
      <c r="AH236" s="3">
        <f>VLOOKUP($AB236,'2000 Seattle Tracts'!$C$2:$Y$374,AH$1,FALSE)*$Z236</f>
        <v>8.0681911524442887E-3</v>
      </c>
      <c r="AI236" s="3">
        <f>VLOOKUP($AB236,'2000 Seattle Tracts'!$C$2:$Y$374,AI$1,FALSE)*$Z236</f>
        <v>2.3337143099512723E-3</v>
      </c>
      <c r="AJ236" s="3">
        <f>VLOOKUP($AB236,'2000 Seattle Tracts'!$C$2:$Y$374,AJ$1,FALSE)*$Z236</f>
        <v>1.5969429181626122E-4</v>
      </c>
      <c r="AK236" s="3">
        <f>VLOOKUP($AB236,'2000 Seattle Tracts'!$C$2:$Y$374,AK$1,FALSE)*$Z236</f>
        <v>7.9847145908130612E-5</v>
      </c>
      <c r="AL236" s="3">
        <f>VLOOKUP($AB236,'2000 Seattle Tracts'!$C$2:$Y$374,AL$1,FALSE)*$Z236</f>
        <v>2.7946501067845715E-4</v>
      </c>
      <c r="AM236" s="3">
        <f>VLOOKUP($AB236,'2000 Seattle Tracts'!$C$2:$Y$374,AM$1,FALSE)*$Z236</f>
        <v>4.4750695865784116E-3</v>
      </c>
      <c r="AN236" s="3">
        <f>VLOOKUP($AB236,'2000 Seattle Tracts'!$C$2:$Y$374,AN$1,FALSE)*$Z236</f>
        <v>3.2664741507871614E-4</v>
      </c>
      <c r="AO236" s="3">
        <f>VLOOKUP($AB236,'2000 Seattle Tracts'!$C$2:$Y$374,AO$1,FALSE)*$Z236</f>
        <v>1.4517662892387385E-5</v>
      </c>
      <c r="AP236" s="3">
        <f>VLOOKUP($AB236,'2000 Seattle Tracts'!$C$2:$Y$374,AP$1,FALSE)*$Z236</f>
        <v>0</v>
      </c>
      <c r="AQ236" s="3">
        <f>VLOOKUP($AB236,'2000 Seattle Tracts'!$C$2:$Y$374,AQ$1,FALSE)*$Z236</f>
        <v>2.9507149828777359E-3</v>
      </c>
      <c r="AR236" s="3">
        <f>VLOOKUP($AB236,'2000 Seattle Tracts'!$C$2:$Y$374,AR$1,FALSE)*$Z236</f>
        <v>6.442212908496902E-3</v>
      </c>
      <c r="AS236" s="3">
        <f>VLOOKUP($AB236,'2000 Seattle Tracts'!$C$2:$Y$374,AS$1,FALSE)*$Z236</f>
        <v>0</v>
      </c>
      <c r="AT236" s="3">
        <f>VLOOKUP($AB236,'2000 Seattle Tracts'!$C$2:$Y$374,AT$1,FALSE)*$Z236</f>
        <v>1.3791779747768015E-4</v>
      </c>
      <c r="AU236" s="3">
        <f>VLOOKUP($AB236,'2000 Seattle Tracts'!$C$2:$Y$374,AU$1,FALSE)*$Z236</f>
        <v>2.6857676350916661E-4</v>
      </c>
      <c r="AV236" s="3">
        <f>VLOOKUP($AB236,'2000 Seattle Tracts'!$C$2:$Y$374,AV$1,FALSE)*$Z236</f>
        <v>3.9560631381755626E-4</v>
      </c>
      <c r="AW236" s="3">
        <f>VLOOKUP($AB236,'2000 Seattle Tracts'!$C$2:$Y$374,AW$1,FALSE)*$Z236</f>
        <v>6.5329483015743228E-4</v>
      </c>
      <c r="AX236" s="3">
        <f>VLOOKUP($AB236,'2000 Seattle Tracts'!$C$2:$Y$374,AX$1,FALSE)*$Z236</f>
        <v>3.2664741507871614E-4</v>
      </c>
    </row>
    <row r="237" spans="1:50" x14ac:dyDescent="0.25">
      <c r="A237" t="s">
        <v>2917</v>
      </c>
      <c r="B237" t="s">
        <v>2918</v>
      </c>
      <c r="C237" t="s">
        <v>3005</v>
      </c>
      <c r="D237" t="s">
        <v>2812</v>
      </c>
      <c r="E237" t="s">
        <v>2813</v>
      </c>
      <c r="F237" t="s">
        <v>2814</v>
      </c>
      <c r="G237" t="s">
        <v>2920</v>
      </c>
      <c r="H237" t="s">
        <v>2921</v>
      </c>
      <c r="I237">
        <v>3531693</v>
      </c>
      <c r="J237">
        <v>0</v>
      </c>
      <c r="K237" t="s">
        <v>3438</v>
      </c>
      <c r="L237" t="s">
        <v>3439</v>
      </c>
      <c r="M237">
        <v>84</v>
      </c>
      <c r="N237">
        <v>20847.651999999998</v>
      </c>
      <c r="O237" t="s">
        <v>184</v>
      </c>
      <c r="P237">
        <v>15</v>
      </c>
      <c r="Q237">
        <v>4</v>
      </c>
      <c r="R237">
        <v>9</v>
      </c>
      <c r="S237">
        <v>19601602</v>
      </c>
      <c r="T237">
        <v>86</v>
      </c>
      <c r="U237">
        <v>192</v>
      </c>
      <c r="V237">
        <v>20847.653192299731</v>
      </c>
      <c r="W237">
        <v>19601601.215348601</v>
      </c>
      <c r="X237">
        <v>341994.37400000001</v>
      </c>
      <c r="Y237">
        <f>VLOOKUP(AB237,'2000 Seattle Tracts'!$C$2:$Z$374,24,FALSE)</f>
        <v>3531697.9309999999</v>
      </c>
      <c r="Z237">
        <f t="shared" si="6"/>
        <v>9.6835680933551507E-2</v>
      </c>
      <c r="AA237" t="s">
        <v>185</v>
      </c>
      <c r="AB237" t="str">
        <f t="shared" si="7"/>
        <v>Census Tract 117, King County, Washington</v>
      </c>
      <c r="AC237" s="3">
        <f>VLOOKUP($AB237,'2000 Seattle Tracts'!$C$2:$Y$374,AC$1,FALSE)*$Z237</f>
        <v>502.77085540699943</v>
      </c>
      <c r="AD237" s="3">
        <f>VLOOKUP($AB237,'2000 Seattle Tracts'!$C$2:$Y$374,AD$1,FALSE)*$Z237</f>
        <v>287.50513669171443</v>
      </c>
      <c r="AE237" s="3">
        <f>VLOOKUP($AB237,'2000 Seattle Tracts'!$C$2:$Y$374,AE$1,FALSE)*$Z237</f>
        <v>215.265718715285</v>
      </c>
      <c r="AF237" s="3">
        <f>VLOOKUP($AB237,'2000 Seattle Tracts'!$C$2:$Y$374,AF$1,FALSE)*$Z237</f>
        <v>502.77085540699943</v>
      </c>
      <c r="AG237" s="3">
        <f>VLOOKUP($AB237,'2000 Seattle Tracts'!$C$2:$Y$374,AG$1,FALSE)*$Z237</f>
        <v>287.50513669171443</v>
      </c>
      <c r="AH237" s="3">
        <f>VLOOKUP($AB237,'2000 Seattle Tracts'!$C$2:$Y$374,AH$1,FALSE)*$Z237</f>
        <v>215.265718715285</v>
      </c>
      <c r="AI237" s="3">
        <f>VLOOKUP($AB237,'2000 Seattle Tracts'!$C$2:$Y$374,AI$1,FALSE)*$Z237</f>
        <v>62.265342840273618</v>
      </c>
      <c r="AJ237" s="3">
        <f>VLOOKUP($AB237,'2000 Seattle Tracts'!$C$2:$Y$374,AJ$1,FALSE)*$Z237</f>
        <v>4.2607699610762664</v>
      </c>
      <c r="AK237" s="3">
        <f>VLOOKUP($AB237,'2000 Seattle Tracts'!$C$2:$Y$374,AK$1,FALSE)*$Z237</f>
        <v>2.1303849805381332</v>
      </c>
      <c r="AL237" s="3">
        <f>VLOOKUP($AB237,'2000 Seattle Tracts'!$C$2:$Y$374,AL$1,FALSE)*$Z237</f>
        <v>7.4563474318834659</v>
      </c>
      <c r="AM237" s="3">
        <f>VLOOKUP($AB237,'2000 Seattle Tracts'!$C$2:$Y$374,AM$1,FALSE)*$Z237</f>
        <v>119.39839459106901</v>
      </c>
      <c r="AN237" s="3">
        <f>VLOOKUP($AB237,'2000 Seattle Tracts'!$C$2:$Y$374,AN$1,FALSE)*$Z237</f>
        <v>8.7152112840196363</v>
      </c>
      <c r="AO237" s="3">
        <f>VLOOKUP($AB237,'2000 Seattle Tracts'!$C$2:$Y$374,AO$1,FALSE)*$Z237</f>
        <v>0.38734272373420603</v>
      </c>
      <c r="AP237" s="3">
        <f>VLOOKUP($AB237,'2000 Seattle Tracts'!$C$2:$Y$374,AP$1,FALSE)*$Z237</f>
        <v>0</v>
      </c>
      <c r="AQ237" s="3">
        <f>VLOOKUP($AB237,'2000 Seattle Tracts'!$C$2:$Y$374,AQ$1,FALSE)*$Z237</f>
        <v>78.727408598977377</v>
      </c>
      <c r="AR237" s="3">
        <f>VLOOKUP($AB237,'2000 Seattle Tracts'!$C$2:$Y$374,AR$1,FALSE)*$Z237</f>
        <v>171.88333365705392</v>
      </c>
      <c r="AS237" s="3">
        <f>VLOOKUP($AB237,'2000 Seattle Tracts'!$C$2:$Y$374,AS$1,FALSE)*$Z237</f>
        <v>0</v>
      </c>
      <c r="AT237" s="3">
        <f>VLOOKUP($AB237,'2000 Seattle Tracts'!$C$2:$Y$374,AT$1,FALSE)*$Z237</f>
        <v>3.6797558754749571</v>
      </c>
      <c r="AU237" s="3">
        <f>VLOOKUP($AB237,'2000 Seattle Tracts'!$C$2:$Y$374,AU$1,FALSE)*$Z237</f>
        <v>7.1658403890828115</v>
      </c>
      <c r="AV237" s="3">
        <f>VLOOKUP($AB237,'2000 Seattle Tracts'!$C$2:$Y$374,AV$1,FALSE)*$Z237</f>
        <v>10.555089221757115</v>
      </c>
      <c r="AW237" s="3">
        <f>VLOOKUP($AB237,'2000 Seattle Tracts'!$C$2:$Y$374,AW$1,FALSE)*$Z237</f>
        <v>17.430422568039273</v>
      </c>
      <c r="AX237" s="3">
        <f>VLOOKUP($AB237,'2000 Seattle Tracts'!$C$2:$Y$374,AX$1,FALSE)*$Z237</f>
        <v>8.7152112840196363</v>
      </c>
    </row>
    <row r="238" spans="1:50" x14ac:dyDescent="0.25">
      <c r="A238" t="s">
        <v>2917</v>
      </c>
      <c r="B238" t="s">
        <v>2918</v>
      </c>
      <c r="C238" t="s">
        <v>3005</v>
      </c>
      <c r="D238" t="s">
        <v>2812</v>
      </c>
      <c r="E238" t="s">
        <v>2813</v>
      </c>
      <c r="F238" t="s">
        <v>2814</v>
      </c>
      <c r="G238" t="s">
        <v>2920</v>
      </c>
      <c r="H238" t="s">
        <v>2921</v>
      </c>
      <c r="I238">
        <v>3531693</v>
      </c>
      <c r="J238">
        <v>0</v>
      </c>
      <c r="K238" t="s">
        <v>3438</v>
      </c>
      <c r="L238" t="s">
        <v>3439</v>
      </c>
      <c r="M238">
        <v>85</v>
      </c>
      <c r="N238">
        <v>34965.612999999998</v>
      </c>
      <c r="O238" t="s">
        <v>184</v>
      </c>
      <c r="P238">
        <v>15</v>
      </c>
      <c r="Q238">
        <v>4</v>
      </c>
      <c r="R238">
        <v>81</v>
      </c>
      <c r="S238">
        <v>33128236</v>
      </c>
      <c r="T238">
        <v>87</v>
      </c>
      <c r="U238">
        <v>194</v>
      </c>
      <c r="V238">
        <v>34965.613210047493</v>
      </c>
      <c r="W238">
        <v>33128236.141302869</v>
      </c>
      <c r="X238">
        <v>758548.47999999998</v>
      </c>
      <c r="Y238">
        <f>VLOOKUP(AB238,'2000 Seattle Tracts'!$C$2:$Z$374,24,FALSE)</f>
        <v>3531697.9309999999</v>
      </c>
      <c r="Z238">
        <f t="shared" si="6"/>
        <v>0.21478294430045353</v>
      </c>
      <c r="AA238" t="s">
        <v>186</v>
      </c>
      <c r="AB238" t="str">
        <f t="shared" si="7"/>
        <v>Census Tract 117, King County, Washington</v>
      </c>
      <c r="AC238" s="3">
        <f>VLOOKUP($AB238,'2000 Seattle Tracts'!$C$2:$Y$374,AC$1,FALSE)*$Z238</f>
        <v>1115.1530468079548</v>
      </c>
      <c r="AD238" s="3">
        <f>VLOOKUP($AB238,'2000 Seattle Tracts'!$C$2:$Y$374,AD$1,FALSE)*$Z238</f>
        <v>637.69056162804657</v>
      </c>
      <c r="AE238" s="3">
        <f>VLOOKUP($AB238,'2000 Seattle Tracts'!$C$2:$Y$374,AE$1,FALSE)*$Z238</f>
        <v>477.46248517990819</v>
      </c>
      <c r="AF238" s="3">
        <f>VLOOKUP($AB238,'2000 Seattle Tracts'!$C$2:$Y$374,AF$1,FALSE)*$Z238</f>
        <v>1115.1530468079548</v>
      </c>
      <c r="AG238" s="3">
        <f>VLOOKUP($AB238,'2000 Seattle Tracts'!$C$2:$Y$374,AG$1,FALSE)*$Z238</f>
        <v>637.69056162804657</v>
      </c>
      <c r="AH238" s="3">
        <f>VLOOKUP($AB238,'2000 Seattle Tracts'!$C$2:$Y$374,AH$1,FALSE)*$Z238</f>
        <v>477.46248517990819</v>
      </c>
      <c r="AI238" s="3">
        <f>VLOOKUP($AB238,'2000 Seattle Tracts'!$C$2:$Y$374,AI$1,FALSE)*$Z238</f>
        <v>138.10543318519163</v>
      </c>
      <c r="AJ238" s="3">
        <f>VLOOKUP($AB238,'2000 Seattle Tracts'!$C$2:$Y$374,AJ$1,FALSE)*$Z238</f>
        <v>9.4504495492199556</v>
      </c>
      <c r="AK238" s="3">
        <f>VLOOKUP($AB238,'2000 Seattle Tracts'!$C$2:$Y$374,AK$1,FALSE)*$Z238</f>
        <v>4.7252247746099778</v>
      </c>
      <c r="AL238" s="3">
        <f>VLOOKUP($AB238,'2000 Seattle Tracts'!$C$2:$Y$374,AL$1,FALSE)*$Z238</f>
        <v>16.538286711134923</v>
      </c>
      <c r="AM238" s="3">
        <f>VLOOKUP($AB238,'2000 Seattle Tracts'!$C$2:$Y$374,AM$1,FALSE)*$Z238</f>
        <v>264.82737032245922</v>
      </c>
      <c r="AN238" s="3">
        <f>VLOOKUP($AB238,'2000 Seattle Tracts'!$C$2:$Y$374,AN$1,FALSE)*$Z238</f>
        <v>19.330464987040816</v>
      </c>
      <c r="AO238" s="3">
        <f>VLOOKUP($AB238,'2000 Seattle Tracts'!$C$2:$Y$374,AO$1,FALSE)*$Z238</f>
        <v>0.85913177720181411</v>
      </c>
      <c r="AP238" s="3">
        <f>VLOOKUP($AB238,'2000 Seattle Tracts'!$C$2:$Y$374,AP$1,FALSE)*$Z238</f>
        <v>0</v>
      </c>
      <c r="AQ238" s="3">
        <f>VLOOKUP($AB238,'2000 Seattle Tracts'!$C$2:$Y$374,AQ$1,FALSE)*$Z238</f>
        <v>174.61853371626873</v>
      </c>
      <c r="AR238" s="3">
        <f>VLOOKUP($AB238,'2000 Seattle Tracts'!$C$2:$Y$374,AR$1,FALSE)*$Z238</f>
        <v>381.239726133305</v>
      </c>
      <c r="AS238" s="3">
        <f>VLOOKUP($AB238,'2000 Seattle Tracts'!$C$2:$Y$374,AS$1,FALSE)*$Z238</f>
        <v>0</v>
      </c>
      <c r="AT238" s="3">
        <f>VLOOKUP($AB238,'2000 Seattle Tracts'!$C$2:$Y$374,AT$1,FALSE)*$Z238</f>
        <v>8.1617518834172333</v>
      </c>
      <c r="AU238" s="3">
        <f>VLOOKUP($AB238,'2000 Seattle Tracts'!$C$2:$Y$374,AU$1,FALSE)*$Z238</f>
        <v>15.893937878233562</v>
      </c>
      <c r="AV238" s="3">
        <f>VLOOKUP($AB238,'2000 Seattle Tracts'!$C$2:$Y$374,AV$1,FALSE)*$Z238</f>
        <v>23.411340928749436</v>
      </c>
      <c r="AW238" s="3">
        <f>VLOOKUP($AB238,'2000 Seattle Tracts'!$C$2:$Y$374,AW$1,FALSE)*$Z238</f>
        <v>38.660929974081633</v>
      </c>
      <c r="AX238" s="3">
        <f>VLOOKUP($AB238,'2000 Seattle Tracts'!$C$2:$Y$374,AX$1,FALSE)*$Z238</f>
        <v>19.330464987040816</v>
      </c>
    </row>
    <row r="239" spans="1:50" x14ac:dyDescent="0.25">
      <c r="A239" t="s">
        <v>2917</v>
      </c>
      <c r="B239" t="s">
        <v>2918</v>
      </c>
      <c r="C239" t="s">
        <v>3002</v>
      </c>
      <c r="D239" t="s">
        <v>2815</v>
      </c>
      <c r="E239" t="s">
        <v>2816</v>
      </c>
      <c r="F239" t="s">
        <v>2817</v>
      </c>
      <c r="G239" t="s">
        <v>2920</v>
      </c>
      <c r="H239" t="s">
        <v>2921</v>
      </c>
      <c r="I239">
        <v>3109902</v>
      </c>
      <c r="J239">
        <v>6045400</v>
      </c>
      <c r="K239" t="s">
        <v>3440</v>
      </c>
      <c r="L239" t="s">
        <v>3441</v>
      </c>
      <c r="M239">
        <v>71</v>
      </c>
      <c r="N239">
        <v>23122.263999999999</v>
      </c>
      <c r="O239" t="s">
        <v>170</v>
      </c>
      <c r="P239">
        <v>19</v>
      </c>
      <c r="Q239">
        <v>9</v>
      </c>
      <c r="R239">
        <v>19</v>
      </c>
      <c r="S239">
        <v>18463062</v>
      </c>
      <c r="T239">
        <v>73</v>
      </c>
      <c r="U239">
        <v>178</v>
      </c>
      <c r="V239">
        <v>23122.264003256802</v>
      </c>
      <c r="W239">
        <v>18463061.7979086</v>
      </c>
      <c r="X239">
        <v>1E-3</v>
      </c>
      <c r="Y239">
        <f>VLOOKUP(AB239,'2000 Seattle Tracts'!$C$2:$Z$374,24,FALSE)</f>
        <v>3100957.5520000001</v>
      </c>
      <c r="Z239">
        <f t="shared" si="6"/>
        <v>3.2248103472265783E-10</v>
      </c>
      <c r="AA239" t="s">
        <v>169</v>
      </c>
      <c r="AB239" t="str">
        <f t="shared" si="7"/>
        <v>Census Tract 116, King County, Washington</v>
      </c>
      <c r="AC239" s="3">
        <f>VLOOKUP($AB239,'2000 Seattle Tracts'!$C$2:$Y$374,AC$1,FALSE)*$Z239</f>
        <v>1.9706816031901622E-6</v>
      </c>
      <c r="AD239" s="3">
        <f>VLOOKUP($AB239,'2000 Seattle Tracts'!$C$2:$Y$374,AD$1,FALSE)*$Z239</f>
        <v>1.7891247806413056E-6</v>
      </c>
      <c r="AE239" s="3">
        <f>VLOOKUP($AB239,'2000 Seattle Tracts'!$C$2:$Y$374,AE$1,FALSE)*$Z239</f>
        <v>1.8155682254885636E-7</v>
      </c>
      <c r="AF239" s="3">
        <f>VLOOKUP($AB239,'2000 Seattle Tracts'!$C$2:$Y$374,AF$1,FALSE)*$Z239</f>
        <v>1.9706816031901622E-6</v>
      </c>
      <c r="AG239" s="3">
        <f>VLOOKUP($AB239,'2000 Seattle Tracts'!$C$2:$Y$374,AG$1,FALSE)*$Z239</f>
        <v>1.7891247806413056E-6</v>
      </c>
      <c r="AH239" s="3">
        <f>VLOOKUP($AB239,'2000 Seattle Tracts'!$C$2:$Y$374,AH$1,FALSE)*$Z239</f>
        <v>1.8155682254885636E-7</v>
      </c>
      <c r="AI239" s="3">
        <f>VLOOKUP($AB239,'2000 Seattle Tracts'!$C$2:$Y$374,AI$1,FALSE)*$Z239</f>
        <v>1.6365912512174885E-6</v>
      </c>
      <c r="AJ239" s="3">
        <f>VLOOKUP($AB239,'2000 Seattle Tracts'!$C$2:$Y$374,AJ$1,FALSE)*$Z239</f>
        <v>1.0835362766681303E-7</v>
      </c>
      <c r="AK239" s="3">
        <f>VLOOKUP($AB239,'2000 Seattle Tracts'!$C$2:$Y$374,AK$1,FALSE)*$Z239</f>
        <v>3.28930655417111E-8</v>
      </c>
      <c r="AL239" s="3">
        <f>VLOOKUP($AB239,'2000 Seattle Tracts'!$C$2:$Y$374,AL$1,FALSE)*$Z239</f>
        <v>2.2251191395863392E-8</v>
      </c>
      <c r="AM239" s="3">
        <f>VLOOKUP($AB239,'2000 Seattle Tracts'!$C$2:$Y$374,AM$1,FALSE)*$Z239</f>
        <v>9.6744310416797347E-9</v>
      </c>
      <c r="AN239" s="3">
        <f>VLOOKUP($AB239,'2000 Seattle Tracts'!$C$2:$Y$374,AN$1,FALSE)*$Z239</f>
        <v>2.5798482777812627E-9</v>
      </c>
      <c r="AO239" s="3">
        <f>VLOOKUP($AB239,'2000 Seattle Tracts'!$C$2:$Y$374,AO$1,FALSE)*$Z239</f>
        <v>1.2576760354183656E-8</v>
      </c>
      <c r="AP239" s="3">
        <f>VLOOKUP($AB239,'2000 Seattle Tracts'!$C$2:$Y$374,AP$1,FALSE)*$Z239</f>
        <v>0</v>
      </c>
      <c r="AQ239" s="3">
        <f>VLOOKUP($AB239,'2000 Seattle Tracts'!$C$2:$Y$374,AQ$1,FALSE)*$Z239</f>
        <v>2.6120963812535285E-8</v>
      </c>
      <c r="AR239" s="3">
        <f>VLOOKUP($AB239,'2000 Seattle Tracts'!$C$2:$Y$374,AR$1,FALSE)*$Z239</f>
        <v>3.7730281062550969E-8</v>
      </c>
      <c r="AS239" s="3">
        <f>VLOOKUP($AB239,'2000 Seattle Tracts'!$C$2:$Y$374,AS$1,FALSE)*$Z239</f>
        <v>1.1286836215293024E-8</v>
      </c>
      <c r="AT239" s="3">
        <f>VLOOKUP($AB239,'2000 Seattle Tracts'!$C$2:$Y$374,AT$1,FALSE)*$Z239</f>
        <v>0</v>
      </c>
      <c r="AU239" s="3">
        <f>VLOOKUP($AB239,'2000 Seattle Tracts'!$C$2:$Y$374,AU$1,FALSE)*$Z239</f>
        <v>5.8046586250078413E-9</v>
      </c>
      <c r="AV239" s="3">
        <f>VLOOKUP($AB239,'2000 Seattle Tracts'!$C$2:$Y$374,AV$1,FALSE)*$Z239</f>
        <v>5.4821775902851833E-9</v>
      </c>
      <c r="AW239" s="3">
        <f>VLOOKUP($AB239,'2000 Seattle Tracts'!$C$2:$Y$374,AW$1,FALSE)*$Z239</f>
        <v>5.4176813833406516E-8</v>
      </c>
      <c r="AX239" s="3">
        <f>VLOOKUP($AB239,'2000 Seattle Tracts'!$C$2:$Y$374,AX$1,FALSE)*$Z239</f>
        <v>5.1596965555625253E-9</v>
      </c>
    </row>
    <row r="240" spans="1:50" x14ac:dyDescent="0.25">
      <c r="A240" t="s">
        <v>2917</v>
      </c>
      <c r="B240" t="s">
        <v>2918</v>
      </c>
      <c r="C240" t="s">
        <v>3002</v>
      </c>
      <c r="D240" t="s">
        <v>2815</v>
      </c>
      <c r="E240" t="s">
        <v>2816</v>
      </c>
      <c r="F240" t="s">
        <v>2817</v>
      </c>
      <c r="G240" t="s">
        <v>2920</v>
      </c>
      <c r="H240" t="s">
        <v>2921</v>
      </c>
      <c r="I240">
        <v>3109902</v>
      </c>
      <c r="J240">
        <v>6045400</v>
      </c>
      <c r="K240" t="s">
        <v>3440</v>
      </c>
      <c r="L240" t="s">
        <v>3441</v>
      </c>
      <c r="M240">
        <v>72</v>
      </c>
      <c r="N240">
        <v>23801.266</v>
      </c>
      <c r="O240" t="s">
        <v>170</v>
      </c>
      <c r="P240">
        <v>19</v>
      </c>
      <c r="Q240">
        <v>9</v>
      </c>
      <c r="R240">
        <v>81</v>
      </c>
      <c r="S240">
        <v>22821708</v>
      </c>
      <c r="T240">
        <v>74</v>
      </c>
      <c r="U240">
        <v>184</v>
      </c>
      <c r="V240">
        <v>23801.264700512202</v>
      </c>
      <c r="W240">
        <v>22821707.468856081</v>
      </c>
      <c r="X240">
        <v>897493.87899999996</v>
      </c>
      <c r="Y240">
        <f>VLOOKUP(AB240,'2000 Seattle Tracts'!$C$2:$Z$374,24,FALSE)</f>
        <v>3100957.5520000001</v>
      </c>
      <c r="Z240">
        <f t="shared" si="6"/>
        <v>0.28942475475717183</v>
      </c>
      <c r="AA240" t="s">
        <v>171</v>
      </c>
      <c r="AB240" t="str">
        <f t="shared" si="7"/>
        <v>Census Tract 116, King County, Washington</v>
      </c>
      <c r="AC240" s="3">
        <f>VLOOKUP($AB240,'2000 Seattle Tracts'!$C$2:$Y$374,AC$1,FALSE)*$Z240</f>
        <v>1768.674676321077</v>
      </c>
      <c r="AD240" s="3">
        <f>VLOOKUP($AB240,'2000 Seattle Tracts'!$C$2:$Y$374,AD$1,FALSE)*$Z240</f>
        <v>1605.7285393927893</v>
      </c>
      <c r="AE240" s="3">
        <f>VLOOKUP($AB240,'2000 Seattle Tracts'!$C$2:$Y$374,AE$1,FALSE)*$Z240</f>
        <v>162.94613692828773</v>
      </c>
      <c r="AF240" s="3">
        <f>VLOOKUP($AB240,'2000 Seattle Tracts'!$C$2:$Y$374,AF$1,FALSE)*$Z240</f>
        <v>1768.674676321077</v>
      </c>
      <c r="AG240" s="3">
        <f>VLOOKUP($AB240,'2000 Seattle Tracts'!$C$2:$Y$374,AG$1,FALSE)*$Z240</f>
        <v>1605.7285393927893</v>
      </c>
      <c r="AH240" s="3">
        <f>VLOOKUP($AB240,'2000 Seattle Tracts'!$C$2:$Y$374,AH$1,FALSE)*$Z240</f>
        <v>162.94613692828773</v>
      </c>
      <c r="AI240" s="3">
        <f>VLOOKUP($AB240,'2000 Seattle Tracts'!$C$2:$Y$374,AI$1,FALSE)*$Z240</f>
        <v>1468.830630392647</v>
      </c>
      <c r="AJ240" s="3">
        <f>VLOOKUP($AB240,'2000 Seattle Tracts'!$C$2:$Y$374,AJ$1,FALSE)*$Z240</f>
        <v>97.246717598409731</v>
      </c>
      <c r="AK240" s="3">
        <f>VLOOKUP($AB240,'2000 Seattle Tracts'!$C$2:$Y$374,AK$1,FALSE)*$Z240</f>
        <v>29.521324985231526</v>
      </c>
      <c r="AL240" s="3">
        <f>VLOOKUP($AB240,'2000 Seattle Tracts'!$C$2:$Y$374,AL$1,FALSE)*$Z240</f>
        <v>19.970308078244855</v>
      </c>
      <c r="AM240" s="3">
        <f>VLOOKUP($AB240,'2000 Seattle Tracts'!$C$2:$Y$374,AM$1,FALSE)*$Z240</f>
        <v>8.6827426427151551</v>
      </c>
      <c r="AN240" s="3">
        <f>VLOOKUP($AB240,'2000 Seattle Tracts'!$C$2:$Y$374,AN$1,FALSE)*$Z240</f>
        <v>2.3153980380573747</v>
      </c>
      <c r="AO240" s="3">
        <f>VLOOKUP($AB240,'2000 Seattle Tracts'!$C$2:$Y$374,AO$1,FALSE)*$Z240</f>
        <v>11.287565435529702</v>
      </c>
      <c r="AP240" s="3">
        <f>VLOOKUP($AB240,'2000 Seattle Tracts'!$C$2:$Y$374,AP$1,FALSE)*$Z240</f>
        <v>0</v>
      </c>
      <c r="AQ240" s="3">
        <f>VLOOKUP($AB240,'2000 Seattle Tracts'!$C$2:$Y$374,AQ$1,FALSE)*$Z240</f>
        <v>23.44340513533092</v>
      </c>
      <c r="AR240" s="3">
        <f>VLOOKUP($AB240,'2000 Seattle Tracts'!$C$2:$Y$374,AR$1,FALSE)*$Z240</f>
        <v>33.862696306589108</v>
      </c>
      <c r="AS240" s="3">
        <f>VLOOKUP($AB240,'2000 Seattle Tracts'!$C$2:$Y$374,AS$1,FALSE)*$Z240</f>
        <v>10.129866416501015</v>
      </c>
      <c r="AT240" s="3">
        <f>VLOOKUP($AB240,'2000 Seattle Tracts'!$C$2:$Y$374,AT$1,FALSE)*$Z240</f>
        <v>0</v>
      </c>
      <c r="AU240" s="3">
        <f>VLOOKUP($AB240,'2000 Seattle Tracts'!$C$2:$Y$374,AU$1,FALSE)*$Z240</f>
        <v>5.2096455856290929</v>
      </c>
      <c r="AV240" s="3">
        <f>VLOOKUP($AB240,'2000 Seattle Tracts'!$C$2:$Y$374,AV$1,FALSE)*$Z240</f>
        <v>4.9202208308719211</v>
      </c>
      <c r="AW240" s="3">
        <f>VLOOKUP($AB240,'2000 Seattle Tracts'!$C$2:$Y$374,AW$1,FALSE)*$Z240</f>
        <v>48.623358799204865</v>
      </c>
      <c r="AX240" s="3">
        <f>VLOOKUP($AB240,'2000 Seattle Tracts'!$C$2:$Y$374,AX$1,FALSE)*$Z240</f>
        <v>4.6307960761147493</v>
      </c>
    </row>
    <row r="241" spans="1:50" x14ac:dyDescent="0.25">
      <c r="A241" t="s">
        <v>2917</v>
      </c>
      <c r="B241" t="s">
        <v>2918</v>
      </c>
      <c r="C241" t="s">
        <v>3002</v>
      </c>
      <c r="D241" t="s">
        <v>2815</v>
      </c>
      <c r="E241" t="s">
        <v>2816</v>
      </c>
      <c r="F241" t="s">
        <v>2817</v>
      </c>
      <c r="G241" t="s">
        <v>2920</v>
      </c>
      <c r="H241" t="s">
        <v>2921</v>
      </c>
      <c r="I241">
        <v>3109902</v>
      </c>
      <c r="J241">
        <v>6045400</v>
      </c>
      <c r="K241" t="s">
        <v>3440</v>
      </c>
      <c r="L241" t="s">
        <v>3441</v>
      </c>
      <c r="M241">
        <v>73</v>
      </c>
      <c r="N241">
        <v>28162.436000000002</v>
      </c>
      <c r="O241" t="s">
        <v>170</v>
      </c>
      <c r="P241">
        <v>19</v>
      </c>
      <c r="Q241">
        <v>9</v>
      </c>
      <c r="R241">
        <v>95</v>
      </c>
      <c r="S241">
        <v>26197314</v>
      </c>
      <c r="T241">
        <v>75</v>
      </c>
      <c r="U241">
        <v>193</v>
      </c>
      <c r="V241">
        <v>28162.435138616551</v>
      </c>
      <c r="W241">
        <v>26197314.057339299</v>
      </c>
      <c r="X241">
        <v>1826.588</v>
      </c>
      <c r="Y241">
        <f>VLOOKUP(AB241,'2000 Seattle Tracts'!$C$2:$Z$374,24,FALSE)</f>
        <v>3100957.5520000001</v>
      </c>
      <c r="Z241">
        <f t="shared" si="6"/>
        <v>5.8903998825199008E-4</v>
      </c>
      <c r="AA241" t="s">
        <v>172</v>
      </c>
      <c r="AB241" t="str">
        <f t="shared" si="7"/>
        <v>Census Tract 116, King County, Washington</v>
      </c>
      <c r="AC241" s="3">
        <f>VLOOKUP($AB241,'2000 Seattle Tracts'!$C$2:$Y$374,AC$1,FALSE)*$Z241</f>
        <v>3.5996233682079115</v>
      </c>
      <c r="AD241" s="3">
        <f>VLOOKUP($AB241,'2000 Seattle Tracts'!$C$2:$Y$374,AD$1,FALSE)*$Z241</f>
        <v>3.2679938548220409</v>
      </c>
      <c r="AE241" s="3">
        <f>VLOOKUP($AB241,'2000 Seattle Tracts'!$C$2:$Y$374,AE$1,FALSE)*$Z241</f>
        <v>0.33162951338587043</v>
      </c>
      <c r="AF241" s="3">
        <f>VLOOKUP($AB241,'2000 Seattle Tracts'!$C$2:$Y$374,AF$1,FALSE)*$Z241</f>
        <v>3.5996233682079115</v>
      </c>
      <c r="AG241" s="3">
        <f>VLOOKUP($AB241,'2000 Seattle Tracts'!$C$2:$Y$374,AG$1,FALSE)*$Z241</f>
        <v>3.2679938548220409</v>
      </c>
      <c r="AH241" s="3">
        <f>VLOOKUP($AB241,'2000 Seattle Tracts'!$C$2:$Y$374,AH$1,FALSE)*$Z241</f>
        <v>0.33162951338587043</v>
      </c>
      <c r="AI241" s="3">
        <f>VLOOKUP($AB241,'2000 Seattle Tracts'!$C$2:$Y$374,AI$1,FALSE)*$Z241</f>
        <v>2.9893779403788496</v>
      </c>
      <c r="AJ241" s="3">
        <f>VLOOKUP($AB241,'2000 Seattle Tracts'!$C$2:$Y$374,AJ$1,FALSE)*$Z241</f>
        <v>0.19791743605266868</v>
      </c>
      <c r="AK241" s="3">
        <f>VLOOKUP($AB241,'2000 Seattle Tracts'!$C$2:$Y$374,AK$1,FALSE)*$Z241</f>
        <v>6.0082078801702986E-2</v>
      </c>
      <c r="AL241" s="3">
        <f>VLOOKUP($AB241,'2000 Seattle Tracts'!$C$2:$Y$374,AL$1,FALSE)*$Z241</f>
        <v>4.0643759189387313E-2</v>
      </c>
      <c r="AM241" s="3">
        <f>VLOOKUP($AB241,'2000 Seattle Tracts'!$C$2:$Y$374,AM$1,FALSE)*$Z241</f>
        <v>1.7671199647559702E-2</v>
      </c>
      <c r="AN241" s="3">
        <f>VLOOKUP($AB241,'2000 Seattle Tracts'!$C$2:$Y$374,AN$1,FALSE)*$Z241</f>
        <v>4.7123199060159207E-3</v>
      </c>
      <c r="AO241" s="3">
        <f>VLOOKUP($AB241,'2000 Seattle Tracts'!$C$2:$Y$374,AO$1,FALSE)*$Z241</f>
        <v>2.2972559541827614E-2</v>
      </c>
      <c r="AP241" s="3">
        <f>VLOOKUP($AB241,'2000 Seattle Tracts'!$C$2:$Y$374,AP$1,FALSE)*$Z241</f>
        <v>0</v>
      </c>
      <c r="AQ241" s="3">
        <f>VLOOKUP($AB241,'2000 Seattle Tracts'!$C$2:$Y$374,AQ$1,FALSE)*$Z241</f>
        <v>4.7712239048411195E-2</v>
      </c>
      <c r="AR241" s="3">
        <f>VLOOKUP($AB241,'2000 Seattle Tracts'!$C$2:$Y$374,AR$1,FALSE)*$Z241</f>
        <v>6.8917678625482842E-2</v>
      </c>
      <c r="AS241" s="3">
        <f>VLOOKUP($AB241,'2000 Seattle Tracts'!$C$2:$Y$374,AS$1,FALSE)*$Z241</f>
        <v>2.0616399588819653E-2</v>
      </c>
      <c r="AT241" s="3">
        <f>VLOOKUP($AB241,'2000 Seattle Tracts'!$C$2:$Y$374,AT$1,FALSE)*$Z241</f>
        <v>0</v>
      </c>
      <c r="AU241" s="3">
        <f>VLOOKUP($AB241,'2000 Seattle Tracts'!$C$2:$Y$374,AU$1,FALSE)*$Z241</f>
        <v>1.0602719788535822E-2</v>
      </c>
      <c r="AV241" s="3">
        <f>VLOOKUP($AB241,'2000 Seattle Tracts'!$C$2:$Y$374,AV$1,FALSE)*$Z241</f>
        <v>1.0013679800283832E-2</v>
      </c>
      <c r="AW241" s="3">
        <f>VLOOKUP($AB241,'2000 Seattle Tracts'!$C$2:$Y$374,AW$1,FALSE)*$Z241</f>
        <v>9.8958718026334339E-2</v>
      </c>
      <c r="AX241" s="3">
        <f>VLOOKUP($AB241,'2000 Seattle Tracts'!$C$2:$Y$374,AX$1,FALSE)*$Z241</f>
        <v>9.4246398120318414E-3</v>
      </c>
    </row>
    <row r="242" spans="1:50" x14ac:dyDescent="0.25">
      <c r="A242" t="s">
        <v>2917</v>
      </c>
      <c r="B242" t="s">
        <v>2918</v>
      </c>
      <c r="C242" t="s">
        <v>3002</v>
      </c>
      <c r="D242" t="s">
        <v>2815</v>
      </c>
      <c r="E242" t="s">
        <v>2816</v>
      </c>
      <c r="F242" t="s">
        <v>2817</v>
      </c>
      <c r="G242" t="s">
        <v>2920</v>
      </c>
      <c r="H242" t="s">
        <v>2921</v>
      </c>
      <c r="I242">
        <v>3109902</v>
      </c>
      <c r="J242">
        <v>6045400</v>
      </c>
      <c r="K242" t="s">
        <v>3440</v>
      </c>
      <c r="L242" t="s">
        <v>3441</v>
      </c>
      <c r="M242">
        <v>78</v>
      </c>
      <c r="N242">
        <v>42276.531000000003</v>
      </c>
      <c r="O242" t="s">
        <v>170</v>
      </c>
      <c r="P242">
        <v>19</v>
      </c>
      <c r="Q242">
        <v>9</v>
      </c>
      <c r="R242">
        <v>23</v>
      </c>
      <c r="S242">
        <v>33881864</v>
      </c>
      <c r="T242">
        <v>80</v>
      </c>
      <c r="U242">
        <v>189</v>
      </c>
      <c r="V242">
        <v>42276.53178777737</v>
      </c>
      <c r="W242">
        <v>33881863.870656453</v>
      </c>
      <c r="X242">
        <v>2199038.08</v>
      </c>
      <c r="Y242">
        <f>VLOOKUP(AB242,'2000 Seattle Tracts'!$C$2:$Z$374,24,FALSE)</f>
        <v>3100957.5520000001</v>
      </c>
      <c r="Z242">
        <f t="shared" si="6"/>
        <v>0.70914807543292679</v>
      </c>
      <c r="AA242" t="s">
        <v>177</v>
      </c>
      <c r="AB242" t="str">
        <f t="shared" si="7"/>
        <v>Census Tract 116, King County, Washington</v>
      </c>
      <c r="AC242" s="3">
        <f>VLOOKUP($AB242,'2000 Seattle Tracts'!$C$2:$Y$374,AC$1,FALSE)*$Z242</f>
        <v>4333.603888970616</v>
      </c>
      <c r="AD242" s="3">
        <f>VLOOKUP($AB242,'2000 Seattle Tracts'!$C$2:$Y$374,AD$1,FALSE)*$Z242</f>
        <v>3934.3535225018777</v>
      </c>
      <c r="AE242" s="3">
        <f>VLOOKUP($AB242,'2000 Seattle Tracts'!$C$2:$Y$374,AE$1,FALSE)*$Z242</f>
        <v>399.25036646873781</v>
      </c>
      <c r="AF242" s="3">
        <f>VLOOKUP($AB242,'2000 Seattle Tracts'!$C$2:$Y$374,AF$1,FALSE)*$Z242</f>
        <v>4333.603888970616</v>
      </c>
      <c r="AG242" s="3">
        <f>VLOOKUP($AB242,'2000 Seattle Tracts'!$C$2:$Y$374,AG$1,FALSE)*$Z242</f>
        <v>3934.3535225018777</v>
      </c>
      <c r="AH242" s="3">
        <f>VLOOKUP($AB242,'2000 Seattle Tracts'!$C$2:$Y$374,AH$1,FALSE)*$Z242</f>
        <v>399.25036646873781</v>
      </c>
      <c r="AI242" s="3">
        <f>VLOOKUP($AB242,'2000 Seattle Tracts'!$C$2:$Y$374,AI$1,FALSE)*$Z242</f>
        <v>3598.9264828221035</v>
      </c>
      <c r="AJ242" s="3">
        <f>VLOOKUP($AB242,'2000 Seattle Tracts'!$C$2:$Y$374,AJ$1,FALSE)*$Z242</f>
        <v>238.2737533454634</v>
      </c>
      <c r="AK242" s="3">
        <f>VLOOKUP($AB242,'2000 Seattle Tracts'!$C$2:$Y$374,AK$1,FALSE)*$Z242</f>
        <v>72.333103694158538</v>
      </c>
      <c r="AL242" s="3">
        <f>VLOOKUP($AB242,'2000 Seattle Tracts'!$C$2:$Y$374,AL$1,FALSE)*$Z242</f>
        <v>48.931217204871949</v>
      </c>
      <c r="AM242" s="3">
        <f>VLOOKUP($AB242,'2000 Seattle Tracts'!$C$2:$Y$374,AM$1,FALSE)*$Z242</f>
        <v>21.274442262987804</v>
      </c>
      <c r="AN242" s="3">
        <f>VLOOKUP($AB242,'2000 Seattle Tracts'!$C$2:$Y$374,AN$1,FALSE)*$Z242</f>
        <v>5.6731846034634144</v>
      </c>
      <c r="AO242" s="3">
        <f>VLOOKUP($AB242,'2000 Seattle Tracts'!$C$2:$Y$374,AO$1,FALSE)*$Z242</f>
        <v>27.656774941884144</v>
      </c>
      <c r="AP242" s="3">
        <f>VLOOKUP($AB242,'2000 Seattle Tracts'!$C$2:$Y$374,AP$1,FALSE)*$Z242</f>
        <v>0</v>
      </c>
      <c r="AQ242" s="3">
        <f>VLOOKUP($AB242,'2000 Seattle Tracts'!$C$2:$Y$374,AQ$1,FALSE)*$Z242</f>
        <v>57.440994110067074</v>
      </c>
      <c r="AR242" s="3">
        <f>VLOOKUP($AB242,'2000 Seattle Tracts'!$C$2:$Y$374,AR$1,FALSE)*$Z242</f>
        <v>82.97032482565244</v>
      </c>
      <c r="AS242" s="3">
        <f>VLOOKUP($AB242,'2000 Seattle Tracts'!$C$2:$Y$374,AS$1,FALSE)*$Z242</f>
        <v>24.820182640152439</v>
      </c>
      <c r="AT242" s="3">
        <f>VLOOKUP($AB242,'2000 Seattle Tracts'!$C$2:$Y$374,AT$1,FALSE)*$Z242</f>
        <v>0</v>
      </c>
      <c r="AU242" s="3">
        <f>VLOOKUP($AB242,'2000 Seattle Tracts'!$C$2:$Y$374,AU$1,FALSE)*$Z242</f>
        <v>12.764665357792682</v>
      </c>
      <c r="AV242" s="3">
        <f>VLOOKUP($AB242,'2000 Seattle Tracts'!$C$2:$Y$374,AV$1,FALSE)*$Z242</f>
        <v>12.055517282359755</v>
      </c>
      <c r="AW242" s="3">
        <f>VLOOKUP($AB242,'2000 Seattle Tracts'!$C$2:$Y$374,AW$1,FALSE)*$Z242</f>
        <v>119.1368766727317</v>
      </c>
      <c r="AX242" s="3">
        <f>VLOOKUP($AB242,'2000 Seattle Tracts'!$C$2:$Y$374,AX$1,FALSE)*$Z242</f>
        <v>11.346369206926829</v>
      </c>
    </row>
    <row r="243" spans="1:50" x14ac:dyDescent="0.25">
      <c r="A243" t="s">
        <v>2917</v>
      </c>
      <c r="B243" t="s">
        <v>2918</v>
      </c>
      <c r="C243" t="s">
        <v>3002</v>
      </c>
      <c r="D243" t="s">
        <v>2815</v>
      </c>
      <c r="E243" t="s">
        <v>2816</v>
      </c>
      <c r="F243" t="s">
        <v>2817</v>
      </c>
      <c r="G243" t="s">
        <v>2920</v>
      </c>
      <c r="H243" t="s">
        <v>2921</v>
      </c>
      <c r="I243">
        <v>3109902</v>
      </c>
      <c r="J243">
        <v>6045400</v>
      </c>
      <c r="K243" t="s">
        <v>3440</v>
      </c>
      <c r="L243" t="s">
        <v>3441</v>
      </c>
      <c r="M243">
        <v>94</v>
      </c>
      <c r="N243">
        <v>22360.046999999999</v>
      </c>
      <c r="O243" t="s">
        <v>191</v>
      </c>
      <c r="P243">
        <v>20</v>
      </c>
      <c r="Q243">
        <v>10</v>
      </c>
      <c r="R243">
        <v>0</v>
      </c>
      <c r="S243">
        <v>18781060</v>
      </c>
      <c r="T243">
        <v>96</v>
      </c>
      <c r="U243">
        <v>191</v>
      </c>
      <c r="V243">
        <v>22360.047228914489</v>
      </c>
      <c r="W243">
        <v>18781059.844160609</v>
      </c>
      <c r="X243">
        <v>1338.598</v>
      </c>
      <c r="Y243">
        <f>VLOOKUP(AB243,'2000 Seattle Tracts'!$C$2:$Z$374,24,FALSE)</f>
        <v>3100957.5520000001</v>
      </c>
      <c r="Z243">
        <f t="shared" si="6"/>
        <v>4.3167246811768028E-4</v>
      </c>
      <c r="AA243" t="s">
        <v>196</v>
      </c>
      <c r="AB243" t="str">
        <f t="shared" si="7"/>
        <v>Census Tract 116, King County, Washington</v>
      </c>
      <c r="AC243" s="3">
        <f>VLOOKUP($AB243,'2000 Seattle Tracts'!$C$2:$Y$374,AC$1,FALSE)*$Z243</f>
        <v>2.6379504526671442</v>
      </c>
      <c r="AD243" s="3">
        <f>VLOOKUP($AB243,'2000 Seattle Tracts'!$C$2:$Y$374,AD$1,FALSE)*$Z243</f>
        <v>2.3949188531168901</v>
      </c>
      <c r="AE243" s="3">
        <f>VLOOKUP($AB243,'2000 Seattle Tracts'!$C$2:$Y$374,AE$1,FALSE)*$Z243</f>
        <v>0.243031599550254</v>
      </c>
      <c r="AF243" s="3">
        <f>VLOOKUP($AB243,'2000 Seattle Tracts'!$C$2:$Y$374,AF$1,FALSE)*$Z243</f>
        <v>2.6379504526671442</v>
      </c>
      <c r="AG243" s="3">
        <f>VLOOKUP($AB243,'2000 Seattle Tracts'!$C$2:$Y$374,AG$1,FALSE)*$Z243</f>
        <v>2.3949188531168901</v>
      </c>
      <c r="AH243" s="3">
        <f>VLOOKUP($AB243,'2000 Seattle Tracts'!$C$2:$Y$374,AH$1,FALSE)*$Z243</f>
        <v>0.243031599550254</v>
      </c>
      <c r="AI243" s="3">
        <f>VLOOKUP($AB243,'2000 Seattle Tracts'!$C$2:$Y$374,AI$1,FALSE)*$Z243</f>
        <v>2.1907377756972273</v>
      </c>
      <c r="AJ243" s="3">
        <f>VLOOKUP($AB243,'2000 Seattle Tracts'!$C$2:$Y$374,AJ$1,FALSE)*$Z243</f>
        <v>0.14504194928754058</v>
      </c>
      <c r="AK243" s="3">
        <f>VLOOKUP($AB243,'2000 Seattle Tracts'!$C$2:$Y$374,AK$1,FALSE)*$Z243</f>
        <v>4.4030591748003389E-2</v>
      </c>
      <c r="AL243" s="3">
        <f>VLOOKUP($AB243,'2000 Seattle Tracts'!$C$2:$Y$374,AL$1,FALSE)*$Z243</f>
        <v>2.9785400300119939E-2</v>
      </c>
      <c r="AM243" s="3">
        <f>VLOOKUP($AB243,'2000 Seattle Tracts'!$C$2:$Y$374,AM$1,FALSE)*$Z243</f>
        <v>1.2950174043530409E-2</v>
      </c>
      <c r="AN243" s="3">
        <f>VLOOKUP($AB243,'2000 Seattle Tracts'!$C$2:$Y$374,AN$1,FALSE)*$Z243</f>
        <v>3.4533797449414422E-3</v>
      </c>
      <c r="AO243" s="3">
        <f>VLOOKUP($AB243,'2000 Seattle Tracts'!$C$2:$Y$374,AO$1,FALSE)*$Z243</f>
        <v>1.6835226256589529E-2</v>
      </c>
      <c r="AP243" s="3">
        <f>VLOOKUP($AB243,'2000 Seattle Tracts'!$C$2:$Y$374,AP$1,FALSE)*$Z243</f>
        <v>0</v>
      </c>
      <c r="AQ243" s="3">
        <f>VLOOKUP($AB243,'2000 Seattle Tracts'!$C$2:$Y$374,AQ$1,FALSE)*$Z243</f>
        <v>3.4965469917532105E-2</v>
      </c>
      <c r="AR243" s="3">
        <f>VLOOKUP($AB243,'2000 Seattle Tracts'!$C$2:$Y$374,AR$1,FALSE)*$Z243</f>
        <v>5.0505678769768594E-2</v>
      </c>
      <c r="AS243" s="3">
        <f>VLOOKUP($AB243,'2000 Seattle Tracts'!$C$2:$Y$374,AS$1,FALSE)*$Z243</f>
        <v>1.510853638411881E-2</v>
      </c>
      <c r="AT243" s="3">
        <f>VLOOKUP($AB243,'2000 Seattle Tracts'!$C$2:$Y$374,AT$1,FALSE)*$Z243</f>
        <v>0</v>
      </c>
      <c r="AU243" s="3">
        <f>VLOOKUP($AB243,'2000 Seattle Tracts'!$C$2:$Y$374,AU$1,FALSE)*$Z243</f>
        <v>7.7701044261182448E-3</v>
      </c>
      <c r="AV243" s="3">
        <f>VLOOKUP($AB243,'2000 Seattle Tracts'!$C$2:$Y$374,AV$1,FALSE)*$Z243</f>
        <v>7.3384319580005646E-3</v>
      </c>
      <c r="AW243" s="3">
        <f>VLOOKUP($AB243,'2000 Seattle Tracts'!$C$2:$Y$374,AW$1,FALSE)*$Z243</f>
        <v>7.2520974643770289E-2</v>
      </c>
      <c r="AX243" s="3">
        <f>VLOOKUP($AB243,'2000 Seattle Tracts'!$C$2:$Y$374,AX$1,FALSE)*$Z243</f>
        <v>6.9067594898828844E-3</v>
      </c>
    </row>
    <row r="244" spans="1:50" x14ac:dyDescent="0.25">
      <c r="A244" t="s">
        <v>2917</v>
      </c>
      <c r="B244" t="s">
        <v>2918</v>
      </c>
      <c r="C244" t="s">
        <v>2999</v>
      </c>
      <c r="D244" t="s">
        <v>2818</v>
      </c>
      <c r="E244" t="s">
        <v>2819</v>
      </c>
      <c r="F244" t="s">
        <v>2820</v>
      </c>
      <c r="G244" t="s">
        <v>2920</v>
      </c>
      <c r="H244" t="s">
        <v>2921</v>
      </c>
      <c r="I244">
        <v>1538373</v>
      </c>
      <c r="J244">
        <v>0</v>
      </c>
      <c r="K244" t="s">
        <v>3000</v>
      </c>
      <c r="L244" t="s">
        <v>3001</v>
      </c>
      <c r="M244">
        <v>72</v>
      </c>
      <c r="N244">
        <v>23801.266</v>
      </c>
      <c r="O244" t="s">
        <v>170</v>
      </c>
      <c r="P244">
        <v>19</v>
      </c>
      <c r="Q244">
        <v>9</v>
      </c>
      <c r="R244">
        <v>81</v>
      </c>
      <c r="S244">
        <v>22821708</v>
      </c>
      <c r="T244">
        <v>74</v>
      </c>
      <c r="U244">
        <v>184</v>
      </c>
      <c r="V244">
        <v>23801.264700512202</v>
      </c>
      <c r="W244">
        <v>22821707.468856081</v>
      </c>
      <c r="X244">
        <v>378645.93699999998</v>
      </c>
      <c r="Y244">
        <f>VLOOKUP(AB244,'2000 Seattle Tracts'!$C$2:$Z$374,24,FALSE)</f>
        <v>1538373.152</v>
      </c>
      <c r="Z244">
        <f t="shared" si="6"/>
        <v>0.24613399974364605</v>
      </c>
      <c r="AA244" t="s">
        <v>171</v>
      </c>
      <c r="AB244" t="str">
        <f t="shared" si="7"/>
        <v>Census Tract 115, King County, Washington</v>
      </c>
      <c r="AC244" s="3">
        <f>VLOOKUP($AB244,'2000 Seattle Tracts'!$C$2:$Y$374,AC$1,FALSE)*$Z244</f>
        <v>1027.117180930235</v>
      </c>
      <c r="AD244" s="3">
        <f>VLOOKUP($AB244,'2000 Seattle Tracts'!$C$2:$Y$374,AD$1,FALSE)*$Z244</f>
        <v>922.26409703944171</v>
      </c>
      <c r="AE244" s="3">
        <f>VLOOKUP($AB244,'2000 Seattle Tracts'!$C$2:$Y$374,AE$1,FALSE)*$Z244</f>
        <v>104.85308389079322</v>
      </c>
      <c r="AF244" s="3">
        <f>VLOOKUP($AB244,'2000 Seattle Tracts'!$C$2:$Y$374,AF$1,FALSE)*$Z244</f>
        <v>1027.117180930235</v>
      </c>
      <c r="AG244" s="3">
        <f>VLOOKUP($AB244,'2000 Seattle Tracts'!$C$2:$Y$374,AG$1,FALSE)*$Z244</f>
        <v>922.26409703944171</v>
      </c>
      <c r="AH244" s="3">
        <f>VLOOKUP($AB244,'2000 Seattle Tracts'!$C$2:$Y$374,AH$1,FALSE)*$Z244</f>
        <v>104.85308389079322</v>
      </c>
      <c r="AI244" s="3">
        <f>VLOOKUP($AB244,'2000 Seattle Tracts'!$C$2:$Y$374,AI$1,FALSE)*$Z244</f>
        <v>775.07596519274148</v>
      </c>
      <c r="AJ244" s="3">
        <f>VLOOKUP($AB244,'2000 Seattle Tracts'!$C$2:$Y$374,AJ$1,FALSE)*$Z244</f>
        <v>35.689429962828676</v>
      </c>
      <c r="AK244" s="3">
        <f>VLOOKUP($AB244,'2000 Seattle Tracts'!$C$2:$Y$374,AK$1,FALSE)*$Z244</f>
        <v>18.7061839805171</v>
      </c>
      <c r="AL244" s="3">
        <f>VLOOKUP($AB244,'2000 Seattle Tracts'!$C$2:$Y$374,AL$1,FALSE)*$Z244</f>
        <v>2.7074739971801067</v>
      </c>
      <c r="AM244" s="3">
        <f>VLOOKUP($AB244,'2000 Seattle Tracts'!$C$2:$Y$374,AM$1,FALSE)*$Z244</f>
        <v>37.166233961290551</v>
      </c>
      <c r="AN244" s="3">
        <f>VLOOKUP($AB244,'2000 Seattle Tracts'!$C$2:$Y$374,AN$1,FALSE)*$Z244</f>
        <v>1.4768039984618764</v>
      </c>
      <c r="AO244" s="3">
        <f>VLOOKUP($AB244,'2000 Seattle Tracts'!$C$2:$Y$374,AO$1,FALSE)*$Z244</f>
        <v>4.6765459951292749</v>
      </c>
      <c r="AP244" s="3">
        <f>VLOOKUP($AB244,'2000 Seattle Tracts'!$C$2:$Y$374,AP$1,FALSE)*$Z244</f>
        <v>0</v>
      </c>
      <c r="AQ244" s="3">
        <f>VLOOKUP($AB244,'2000 Seattle Tracts'!$C$2:$Y$374,AQ$1,FALSE)*$Z244</f>
        <v>30.766749967955757</v>
      </c>
      <c r="AR244" s="3">
        <f>VLOOKUP($AB244,'2000 Seattle Tracts'!$C$2:$Y$374,AR$1,FALSE)*$Z244</f>
        <v>37.658501960777848</v>
      </c>
      <c r="AS244" s="3">
        <f>VLOOKUP($AB244,'2000 Seattle Tracts'!$C$2:$Y$374,AS$1,FALSE)*$Z244</f>
        <v>0</v>
      </c>
      <c r="AT244" s="3">
        <f>VLOOKUP($AB244,'2000 Seattle Tracts'!$C$2:$Y$374,AT$1,FALSE)*$Z244</f>
        <v>0</v>
      </c>
      <c r="AU244" s="3">
        <f>VLOOKUP($AB244,'2000 Seattle Tracts'!$C$2:$Y$374,AU$1,FALSE)*$Z244</f>
        <v>14.768039984618763</v>
      </c>
      <c r="AV244" s="3">
        <f>VLOOKUP($AB244,'2000 Seattle Tracts'!$C$2:$Y$374,AV$1,FALSE)*$Z244</f>
        <v>7.1378859925657352</v>
      </c>
      <c r="AW244" s="3">
        <f>VLOOKUP($AB244,'2000 Seattle Tracts'!$C$2:$Y$374,AW$1,FALSE)*$Z244</f>
        <v>41.104377957188888</v>
      </c>
      <c r="AX244" s="3">
        <f>VLOOKUP($AB244,'2000 Seattle Tracts'!$C$2:$Y$374,AX$1,FALSE)*$Z244</f>
        <v>20.182987978978975</v>
      </c>
    </row>
    <row r="245" spans="1:50" x14ac:dyDescent="0.25">
      <c r="A245" t="s">
        <v>2917</v>
      </c>
      <c r="B245" t="s">
        <v>2918</v>
      </c>
      <c r="C245" t="s">
        <v>2999</v>
      </c>
      <c r="D245" t="s">
        <v>2818</v>
      </c>
      <c r="E245" t="s">
        <v>2819</v>
      </c>
      <c r="F245" t="s">
        <v>2820</v>
      </c>
      <c r="G245" t="s">
        <v>2920</v>
      </c>
      <c r="H245" t="s">
        <v>2921</v>
      </c>
      <c r="I245">
        <v>1538373</v>
      </c>
      <c r="J245">
        <v>0</v>
      </c>
      <c r="K245" t="s">
        <v>3000</v>
      </c>
      <c r="L245" t="s">
        <v>3001</v>
      </c>
      <c r="M245">
        <v>78</v>
      </c>
      <c r="N245">
        <v>42276.531000000003</v>
      </c>
      <c r="O245" t="s">
        <v>170</v>
      </c>
      <c r="P245">
        <v>19</v>
      </c>
      <c r="Q245">
        <v>9</v>
      </c>
      <c r="R245">
        <v>23</v>
      </c>
      <c r="S245">
        <v>33881864</v>
      </c>
      <c r="T245">
        <v>80</v>
      </c>
      <c r="U245">
        <v>189</v>
      </c>
      <c r="V245">
        <v>42276.53178777737</v>
      </c>
      <c r="W245">
        <v>33881863.870656453</v>
      </c>
      <c r="X245">
        <v>211904.864</v>
      </c>
      <c r="Y245">
        <f>VLOOKUP(AB245,'2000 Seattle Tracts'!$C$2:$Z$374,24,FALSE)</f>
        <v>1538373.152</v>
      </c>
      <c r="Z245">
        <f t="shared" si="6"/>
        <v>0.13774607527731997</v>
      </c>
      <c r="AA245" t="s">
        <v>177</v>
      </c>
      <c r="AB245" t="str">
        <f t="shared" si="7"/>
        <v>Census Tract 115, King County, Washington</v>
      </c>
      <c r="AC245" s="3">
        <f>VLOOKUP($AB245,'2000 Seattle Tracts'!$C$2:$Y$374,AC$1,FALSE)*$Z245</f>
        <v>574.81437213225627</v>
      </c>
      <c r="AD245" s="3">
        <f>VLOOKUP($AB245,'2000 Seattle Tracts'!$C$2:$Y$374,AD$1,FALSE)*$Z245</f>
        <v>516.1345440641179</v>
      </c>
      <c r="AE245" s="3">
        <f>VLOOKUP($AB245,'2000 Seattle Tracts'!$C$2:$Y$374,AE$1,FALSE)*$Z245</f>
        <v>58.679828068138306</v>
      </c>
      <c r="AF245" s="3">
        <f>VLOOKUP($AB245,'2000 Seattle Tracts'!$C$2:$Y$374,AF$1,FALSE)*$Z245</f>
        <v>574.81437213225627</v>
      </c>
      <c r="AG245" s="3">
        <f>VLOOKUP($AB245,'2000 Seattle Tracts'!$C$2:$Y$374,AG$1,FALSE)*$Z245</f>
        <v>516.1345440641179</v>
      </c>
      <c r="AH245" s="3">
        <f>VLOOKUP($AB245,'2000 Seattle Tracts'!$C$2:$Y$374,AH$1,FALSE)*$Z245</f>
        <v>58.679828068138306</v>
      </c>
      <c r="AI245" s="3">
        <f>VLOOKUP($AB245,'2000 Seattle Tracts'!$C$2:$Y$374,AI$1,FALSE)*$Z245</f>
        <v>433.76239104828056</v>
      </c>
      <c r="AJ245" s="3">
        <f>VLOOKUP($AB245,'2000 Seattle Tracts'!$C$2:$Y$374,AJ$1,FALSE)*$Z245</f>
        <v>19.973180915211394</v>
      </c>
      <c r="AK245" s="3">
        <f>VLOOKUP($AB245,'2000 Seattle Tracts'!$C$2:$Y$374,AK$1,FALSE)*$Z245</f>
        <v>10.468701721076318</v>
      </c>
      <c r="AL245" s="3">
        <f>VLOOKUP($AB245,'2000 Seattle Tracts'!$C$2:$Y$374,AL$1,FALSE)*$Z245</f>
        <v>1.5152068280505198</v>
      </c>
      <c r="AM245" s="3">
        <f>VLOOKUP($AB245,'2000 Seattle Tracts'!$C$2:$Y$374,AM$1,FALSE)*$Z245</f>
        <v>20.799657366875316</v>
      </c>
      <c r="AN245" s="3">
        <f>VLOOKUP($AB245,'2000 Seattle Tracts'!$C$2:$Y$374,AN$1,FALSE)*$Z245</f>
        <v>0.82647645166391981</v>
      </c>
      <c r="AO245" s="3">
        <f>VLOOKUP($AB245,'2000 Seattle Tracts'!$C$2:$Y$374,AO$1,FALSE)*$Z245</f>
        <v>2.6171754302690795</v>
      </c>
      <c r="AP245" s="3">
        <f>VLOOKUP($AB245,'2000 Seattle Tracts'!$C$2:$Y$374,AP$1,FALSE)*$Z245</f>
        <v>0</v>
      </c>
      <c r="AQ245" s="3">
        <f>VLOOKUP($AB245,'2000 Seattle Tracts'!$C$2:$Y$374,AQ$1,FALSE)*$Z245</f>
        <v>17.218259409664995</v>
      </c>
      <c r="AR245" s="3">
        <f>VLOOKUP($AB245,'2000 Seattle Tracts'!$C$2:$Y$374,AR$1,FALSE)*$Z245</f>
        <v>21.075149517429956</v>
      </c>
      <c r="AS245" s="3">
        <f>VLOOKUP($AB245,'2000 Seattle Tracts'!$C$2:$Y$374,AS$1,FALSE)*$Z245</f>
        <v>0</v>
      </c>
      <c r="AT245" s="3">
        <f>VLOOKUP($AB245,'2000 Seattle Tracts'!$C$2:$Y$374,AT$1,FALSE)*$Z245</f>
        <v>0</v>
      </c>
      <c r="AU245" s="3">
        <f>VLOOKUP($AB245,'2000 Seattle Tracts'!$C$2:$Y$374,AU$1,FALSE)*$Z245</f>
        <v>8.2647645166391985</v>
      </c>
      <c r="AV245" s="3">
        <f>VLOOKUP($AB245,'2000 Seattle Tracts'!$C$2:$Y$374,AV$1,FALSE)*$Z245</f>
        <v>3.994636183042279</v>
      </c>
      <c r="AW245" s="3">
        <f>VLOOKUP($AB245,'2000 Seattle Tracts'!$C$2:$Y$374,AW$1,FALSE)*$Z245</f>
        <v>23.003594571312433</v>
      </c>
      <c r="AX245" s="3">
        <f>VLOOKUP($AB245,'2000 Seattle Tracts'!$C$2:$Y$374,AX$1,FALSE)*$Z245</f>
        <v>11.295178172740238</v>
      </c>
    </row>
    <row r="246" spans="1:50" x14ac:dyDescent="0.25">
      <c r="A246" t="s">
        <v>2917</v>
      </c>
      <c r="B246" t="s">
        <v>2918</v>
      </c>
      <c r="C246" t="s">
        <v>2999</v>
      </c>
      <c r="D246" t="s">
        <v>2818</v>
      </c>
      <c r="E246" t="s">
        <v>2819</v>
      </c>
      <c r="F246" t="s">
        <v>2820</v>
      </c>
      <c r="G246" t="s">
        <v>2920</v>
      </c>
      <c r="H246" t="s">
        <v>2921</v>
      </c>
      <c r="I246">
        <v>1538373</v>
      </c>
      <c r="J246">
        <v>0</v>
      </c>
      <c r="K246" t="s">
        <v>3000</v>
      </c>
      <c r="L246" t="s">
        <v>3001</v>
      </c>
      <c r="M246">
        <v>92</v>
      </c>
      <c r="N246">
        <v>23180.396000000001</v>
      </c>
      <c r="O246" t="s">
        <v>191</v>
      </c>
      <c r="P246">
        <v>20</v>
      </c>
      <c r="Q246">
        <v>10</v>
      </c>
      <c r="R246">
        <v>95</v>
      </c>
      <c r="S246">
        <v>23343008</v>
      </c>
      <c r="T246">
        <v>94</v>
      </c>
      <c r="U246">
        <v>182</v>
      </c>
      <c r="V246">
        <v>23180.396359671431</v>
      </c>
      <c r="W246">
        <v>23343008.336782061</v>
      </c>
      <c r="X246">
        <v>82415.904999999999</v>
      </c>
      <c r="Y246">
        <f>VLOOKUP(AB246,'2000 Seattle Tracts'!$C$2:$Z$374,24,FALSE)</f>
        <v>1538373.152</v>
      </c>
      <c r="Z246">
        <f t="shared" si="6"/>
        <v>5.3573416107043449E-2</v>
      </c>
      <c r="AA246" t="s">
        <v>194</v>
      </c>
      <c r="AB246" t="str">
        <f t="shared" si="7"/>
        <v>Census Tract 115, King County, Washington</v>
      </c>
      <c r="AC246" s="3">
        <f>VLOOKUP($AB246,'2000 Seattle Tracts'!$C$2:$Y$374,AC$1,FALSE)*$Z246</f>
        <v>223.56186541469231</v>
      </c>
      <c r="AD246" s="3">
        <f>VLOOKUP($AB246,'2000 Seattle Tracts'!$C$2:$Y$374,AD$1,FALSE)*$Z246</f>
        <v>200.7395901530918</v>
      </c>
      <c r="AE246" s="3">
        <f>VLOOKUP($AB246,'2000 Seattle Tracts'!$C$2:$Y$374,AE$1,FALSE)*$Z246</f>
        <v>22.82227526160051</v>
      </c>
      <c r="AF246" s="3">
        <f>VLOOKUP($AB246,'2000 Seattle Tracts'!$C$2:$Y$374,AF$1,FALSE)*$Z246</f>
        <v>223.56186541469231</v>
      </c>
      <c r="AG246" s="3">
        <f>VLOOKUP($AB246,'2000 Seattle Tracts'!$C$2:$Y$374,AG$1,FALSE)*$Z246</f>
        <v>200.7395901530918</v>
      </c>
      <c r="AH246" s="3">
        <f>VLOOKUP($AB246,'2000 Seattle Tracts'!$C$2:$Y$374,AH$1,FALSE)*$Z246</f>
        <v>22.82227526160051</v>
      </c>
      <c r="AI246" s="3">
        <f>VLOOKUP($AB246,'2000 Seattle Tracts'!$C$2:$Y$374,AI$1,FALSE)*$Z246</f>
        <v>168.70268732107982</v>
      </c>
      <c r="AJ246" s="3">
        <f>VLOOKUP($AB246,'2000 Seattle Tracts'!$C$2:$Y$374,AJ$1,FALSE)*$Z246</f>
        <v>7.7681453355213002</v>
      </c>
      <c r="AK246" s="3">
        <f>VLOOKUP($AB246,'2000 Seattle Tracts'!$C$2:$Y$374,AK$1,FALSE)*$Z246</f>
        <v>4.0715796241353024</v>
      </c>
      <c r="AL246" s="3">
        <f>VLOOKUP($AB246,'2000 Seattle Tracts'!$C$2:$Y$374,AL$1,FALSE)*$Z246</f>
        <v>0.58930757717747795</v>
      </c>
      <c r="AM246" s="3">
        <f>VLOOKUP($AB246,'2000 Seattle Tracts'!$C$2:$Y$374,AM$1,FALSE)*$Z246</f>
        <v>8.0895858321635608</v>
      </c>
      <c r="AN246" s="3">
        <f>VLOOKUP($AB246,'2000 Seattle Tracts'!$C$2:$Y$374,AN$1,FALSE)*$Z246</f>
        <v>0.32144049664226071</v>
      </c>
      <c r="AO246" s="3">
        <f>VLOOKUP($AB246,'2000 Seattle Tracts'!$C$2:$Y$374,AO$1,FALSE)*$Z246</f>
        <v>1.0178949060338256</v>
      </c>
      <c r="AP246" s="3">
        <f>VLOOKUP($AB246,'2000 Seattle Tracts'!$C$2:$Y$374,AP$1,FALSE)*$Z246</f>
        <v>0</v>
      </c>
      <c r="AQ246" s="3">
        <f>VLOOKUP($AB246,'2000 Seattle Tracts'!$C$2:$Y$374,AQ$1,FALSE)*$Z246</f>
        <v>6.6966770133804312</v>
      </c>
      <c r="AR246" s="3">
        <f>VLOOKUP($AB246,'2000 Seattle Tracts'!$C$2:$Y$374,AR$1,FALSE)*$Z246</f>
        <v>8.196732664377647</v>
      </c>
      <c r="AS246" s="3">
        <f>VLOOKUP($AB246,'2000 Seattle Tracts'!$C$2:$Y$374,AS$1,FALSE)*$Z246</f>
        <v>0</v>
      </c>
      <c r="AT246" s="3">
        <f>VLOOKUP($AB246,'2000 Seattle Tracts'!$C$2:$Y$374,AT$1,FALSE)*$Z246</f>
        <v>0</v>
      </c>
      <c r="AU246" s="3">
        <f>VLOOKUP($AB246,'2000 Seattle Tracts'!$C$2:$Y$374,AU$1,FALSE)*$Z246</f>
        <v>3.2144049664226069</v>
      </c>
      <c r="AV246" s="3">
        <f>VLOOKUP($AB246,'2000 Seattle Tracts'!$C$2:$Y$374,AV$1,FALSE)*$Z246</f>
        <v>1.5536290671042601</v>
      </c>
      <c r="AW246" s="3">
        <f>VLOOKUP($AB246,'2000 Seattle Tracts'!$C$2:$Y$374,AW$1,FALSE)*$Z246</f>
        <v>8.9467604898762563</v>
      </c>
      <c r="AX246" s="3">
        <f>VLOOKUP($AB246,'2000 Seattle Tracts'!$C$2:$Y$374,AX$1,FALSE)*$Z246</f>
        <v>4.393020120777563</v>
      </c>
    </row>
    <row r="247" spans="1:50" x14ac:dyDescent="0.25">
      <c r="A247" t="s">
        <v>2917</v>
      </c>
      <c r="B247" t="s">
        <v>2918</v>
      </c>
      <c r="C247" t="s">
        <v>2999</v>
      </c>
      <c r="D247" t="s">
        <v>2818</v>
      </c>
      <c r="E247" t="s">
        <v>2819</v>
      </c>
      <c r="F247" t="s">
        <v>2820</v>
      </c>
      <c r="G247" t="s">
        <v>2920</v>
      </c>
      <c r="H247" t="s">
        <v>2921</v>
      </c>
      <c r="I247">
        <v>1538373</v>
      </c>
      <c r="J247">
        <v>0</v>
      </c>
      <c r="K247" t="s">
        <v>3000</v>
      </c>
      <c r="L247" t="s">
        <v>3001</v>
      </c>
      <c r="M247">
        <v>94</v>
      </c>
      <c r="N247">
        <v>22360.046999999999</v>
      </c>
      <c r="O247" t="s">
        <v>191</v>
      </c>
      <c r="P247">
        <v>20</v>
      </c>
      <c r="Q247">
        <v>10</v>
      </c>
      <c r="R247">
        <v>0</v>
      </c>
      <c r="S247">
        <v>18781060</v>
      </c>
      <c r="T247">
        <v>96</v>
      </c>
      <c r="U247">
        <v>191</v>
      </c>
      <c r="V247">
        <v>22360.047228914489</v>
      </c>
      <c r="W247">
        <v>18781059.844160609</v>
      </c>
      <c r="X247">
        <v>865406.44499999995</v>
      </c>
      <c r="Y247">
        <f>VLOOKUP(AB247,'2000 Seattle Tracts'!$C$2:$Z$374,24,FALSE)</f>
        <v>1538373.152</v>
      </c>
      <c r="Z247">
        <f t="shared" si="6"/>
        <v>0.56254650822195318</v>
      </c>
      <c r="AA247" t="s">
        <v>196</v>
      </c>
      <c r="AB247" t="str">
        <f t="shared" si="7"/>
        <v>Census Tract 115, King County, Washington</v>
      </c>
      <c r="AC247" s="3">
        <f>VLOOKUP($AB247,'2000 Seattle Tracts'!$C$2:$Y$374,AC$1,FALSE)*$Z247</f>
        <v>2347.5065788102106</v>
      </c>
      <c r="AD247" s="3">
        <f>VLOOKUP($AB247,'2000 Seattle Tracts'!$C$2:$Y$374,AD$1,FALSE)*$Z247</f>
        <v>2107.8617663076584</v>
      </c>
      <c r="AE247" s="3">
        <f>VLOOKUP($AB247,'2000 Seattle Tracts'!$C$2:$Y$374,AE$1,FALSE)*$Z247</f>
        <v>239.64481250255204</v>
      </c>
      <c r="AF247" s="3">
        <f>VLOOKUP($AB247,'2000 Seattle Tracts'!$C$2:$Y$374,AF$1,FALSE)*$Z247</f>
        <v>2347.5065788102106</v>
      </c>
      <c r="AG247" s="3">
        <f>VLOOKUP($AB247,'2000 Seattle Tracts'!$C$2:$Y$374,AG$1,FALSE)*$Z247</f>
        <v>2107.8617663076584</v>
      </c>
      <c r="AH247" s="3">
        <f>VLOOKUP($AB247,'2000 Seattle Tracts'!$C$2:$Y$374,AH$1,FALSE)*$Z247</f>
        <v>239.64481250255204</v>
      </c>
      <c r="AI247" s="3">
        <f>VLOOKUP($AB247,'2000 Seattle Tracts'!$C$2:$Y$374,AI$1,FALSE)*$Z247</f>
        <v>1771.4589543909306</v>
      </c>
      <c r="AJ247" s="3">
        <f>VLOOKUP($AB247,'2000 Seattle Tracts'!$C$2:$Y$374,AJ$1,FALSE)*$Z247</f>
        <v>81.569243692183207</v>
      </c>
      <c r="AK247" s="3">
        <f>VLOOKUP($AB247,'2000 Seattle Tracts'!$C$2:$Y$374,AK$1,FALSE)*$Z247</f>
        <v>42.753534624868443</v>
      </c>
      <c r="AL247" s="3">
        <f>VLOOKUP($AB247,'2000 Seattle Tracts'!$C$2:$Y$374,AL$1,FALSE)*$Z247</f>
        <v>6.1880115904414854</v>
      </c>
      <c r="AM247" s="3">
        <f>VLOOKUP($AB247,'2000 Seattle Tracts'!$C$2:$Y$374,AM$1,FALSE)*$Z247</f>
        <v>84.94452274151493</v>
      </c>
      <c r="AN247" s="3">
        <f>VLOOKUP($AB247,'2000 Seattle Tracts'!$C$2:$Y$374,AN$1,FALSE)*$Z247</f>
        <v>3.3752790493317191</v>
      </c>
      <c r="AO247" s="3">
        <f>VLOOKUP($AB247,'2000 Seattle Tracts'!$C$2:$Y$374,AO$1,FALSE)*$Z247</f>
        <v>10.688383656217111</v>
      </c>
      <c r="AP247" s="3">
        <f>VLOOKUP($AB247,'2000 Seattle Tracts'!$C$2:$Y$374,AP$1,FALSE)*$Z247</f>
        <v>0</v>
      </c>
      <c r="AQ247" s="3">
        <f>VLOOKUP($AB247,'2000 Seattle Tracts'!$C$2:$Y$374,AQ$1,FALSE)*$Z247</f>
        <v>70.318313527744152</v>
      </c>
      <c r="AR247" s="3">
        <f>VLOOKUP($AB247,'2000 Seattle Tracts'!$C$2:$Y$374,AR$1,FALSE)*$Z247</f>
        <v>86.069615757958843</v>
      </c>
      <c r="AS247" s="3">
        <f>VLOOKUP($AB247,'2000 Seattle Tracts'!$C$2:$Y$374,AS$1,FALSE)*$Z247</f>
        <v>0</v>
      </c>
      <c r="AT247" s="3">
        <f>VLOOKUP($AB247,'2000 Seattle Tracts'!$C$2:$Y$374,AT$1,FALSE)*$Z247</f>
        <v>0</v>
      </c>
      <c r="AU247" s="3">
        <f>VLOOKUP($AB247,'2000 Seattle Tracts'!$C$2:$Y$374,AU$1,FALSE)*$Z247</f>
        <v>33.752790493317192</v>
      </c>
      <c r="AV247" s="3">
        <f>VLOOKUP($AB247,'2000 Seattle Tracts'!$C$2:$Y$374,AV$1,FALSE)*$Z247</f>
        <v>16.313848738436644</v>
      </c>
      <c r="AW247" s="3">
        <f>VLOOKUP($AB247,'2000 Seattle Tracts'!$C$2:$Y$374,AW$1,FALSE)*$Z247</f>
        <v>93.945266873066174</v>
      </c>
      <c r="AX247" s="3">
        <f>VLOOKUP($AB247,'2000 Seattle Tracts'!$C$2:$Y$374,AX$1,FALSE)*$Z247</f>
        <v>46.12881367420016</v>
      </c>
    </row>
    <row r="248" spans="1:50" x14ac:dyDescent="0.25">
      <c r="A248" t="s">
        <v>2917</v>
      </c>
      <c r="B248" t="s">
        <v>2918</v>
      </c>
      <c r="C248" t="s">
        <v>3442</v>
      </c>
      <c r="D248" t="s">
        <v>3443</v>
      </c>
      <c r="E248" t="s">
        <v>3444</v>
      </c>
      <c r="F248" t="s">
        <v>3445</v>
      </c>
      <c r="G248" t="s">
        <v>2920</v>
      </c>
      <c r="H248" t="s">
        <v>2921</v>
      </c>
      <c r="I248">
        <v>2419338</v>
      </c>
      <c r="J248">
        <v>0</v>
      </c>
      <c r="K248" t="s">
        <v>3446</v>
      </c>
      <c r="L248" t="s">
        <v>3447</v>
      </c>
      <c r="M248">
        <v>73</v>
      </c>
      <c r="N248">
        <v>28162.436000000002</v>
      </c>
      <c r="O248" t="s">
        <v>170</v>
      </c>
      <c r="P248">
        <v>19</v>
      </c>
      <c r="Q248">
        <v>9</v>
      </c>
      <c r="R248">
        <v>95</v>
      </c>
      <c r="S248">
        <v>26197314</v>
      </c>
      <c r="T248">
        <v>75</v>
      </c>
      <c r="U248">
        <v>193</v>
      </c>
      <c r="V248">
        <v>28162.435138616551</v>
      </c>
      <c r="W248">
        <v>26197314.057339299</v>
      </c>
      <c r="X248">
        <v>143.94800000000001</v>
      </c>
      <c r="Y248">
        <f>VLOOKUP(AB248,'2000 Seattle Tracts'!$C$2:$Z$374,24,FALSE)</f>
        <v>2419338.1290000002</v>
      </c>
      <c r="Z248">
        <f t="shared" si="6"/>
        <v>5.949891760665092E-5</v>
      </c>
      <c r="AA248" t="s">
        <v>172</v>
      </c>
      <c r="AB248" t="str">
        <f t="shared" si="7"/>
        <v>Census Tract 114, King County, Washington</v>
      </c>
      <c r="AC248" s="3">
        <f>VLOOKUP($AB248,'2000 Seattle Tracts'!$C$2:$Y$374,AC$1,FALSE)*$Z248</f>
        <v>0.47027944476296885</v>
      </c>
      <c r="AD248" s="3">
        <f>VLOOKUP($AB248,'2000 Seattle Tracts'!$C$2:$Y$374,AD$1,FALSE)*$Z248</f>
        <v>0.33956032278115678</v>
      </c>
      <c r="AE248" s="3">
        <f>VLOOKUP($AB248,'2000 Seattle Tracts'!$C$2:$Y$374,AE$1,FALSE)*$Z248</f>
        <v>0.13071912198181207</v>
      </c>
      <c r="AF248" s="3">
        <f>VLOOKUP($AB248,'2000 Seattle Tracts'!$C$2:$Y$374,AF$1,FALSE)*$Z248</f>
        <v>0.47027944476296885</v>
      </c>
      <c r="AG248" s="3">
        <f>VLOOKUP($AB248,'2000 Seattle Tracts'!$C$2:$Y$374,AG$1,FALSE)*$Z248</f>
        <v>0.33956032278115678</v>
      </c>
      <c r="AH248" s="3">
        <f>VLOOKUP($AB248,'2000 Seattle Tracts'!$C$2:$Y$374,AH$1,FALSE)*$Z248</f>
        <v>0.13071912198181207</v>
      </c>
      <c r="AI248" s="3">
        <f>VLOOKUP($AB248,'2000 Seattle Tracts'!$C$2:$Y$374,AI$1,FALSE)*$Z248</f>
        <v>0.20800821595285163</v>
      </c>
      <c r="AJ248" s="3">
        <f>VLOOKUP($AB248,'2000 Seattle Tracts'!$C$2:$Y$374,AJ$1,FALSE)*$Z248</f>
        <v>1.7968673117208577E-2</v>
      </c>
      <c r="AK248" s="3">
        <f>VLOOKUP($AB248,'2000 Seattle Tracts'!$C$2:$Y$374,AK$1,FALSE)*$Z248</f>
        <v>5.4739004198118843E-3</v>
      </c>
      <c r="AL248" s="3">
        <f>VLOOKUP($AB248,'2000 Seattle Tracts'!$C$2:$Y$374,AL$1,FALSE)*$Z248</f>
        <v>4.1649242324655646E-3</v>
      </c>
      <c r="AM248" s="3">
        <f>VLOOKUP($AB248,'2000 Seattle Tracts'!$C$2:$Y$374,AM$1,FALSE)*$Z248</f>
        <v>4.7539635167714082E-2</v>
      </c>
      <c r="AN248" s="3">
        <f>VLOOKUP($AB248,'2000 Seattle Tracts'!$C$2:$Y$374,AN$1,FALSE)*$Z248</f>
        <v>8.0918527945045247E-3</v>
      </c>
      <c r="AO248" s="3">
        <f>VLOOKUP($AB248,'2000 Seattle Tracts'!$C$2:$Y$374,AO$1,FALSE)*$Z248</f>
        <v>6.1878874310916957E-3</v>
      </c>
      <c r="AP248" s="3">
        <f>VLOOKUP($AB248,'2000 Seattle Tracts'!$C$2:$Y$374,AP$1,FALSE)*$Z248</f>
        <v>0</v>
      </c>
      <c r="AQ248" s="3">
        <f>VLOOKUP($AB248,'2000 Seattle Tracts'!$C$2:$Y$374,AQ$1,FALSE)*$Z248</f>
        <v>2.2966582196167255E-2</v>
      </c>
      <c r="AR248" s="3">
        <f>VLOOKUP($AB248,'2000 Seattle Tracts'!$C$2:$Y$374,AR$1,FALSE)*$Z248</f>
        <v>7.2469681644900821E-2</v>
      </c>
      <c r="AS248" s="3">
        <f>VLOOKUP($AB248,'2000 Seattle Tracts'!$C$2:$Y$374,AS$1,FALSE)*$Z248</f>
        <v>1.427974022559622E-3</v>
      </c>
      <c r="AT248" s="3">
        <f>VLOOKUP($AB248,'2000 Seattle Tracts'!$C$2:$Y$374,AT$1,FALSE)*$Z248</f>
        <v>0</v>
      </c>
      <c r="AU248" s="3">
        <f>VLOOKUP($AB248,'2000 Seattle Tracts'!$C$2:$Y$374,AU$1,FALSE)*$Z248</f>
        <v>2.7964491275125933E-2</v>
      </c>
      <c r="AV248" s="3">
        <f>VLOOKUP($AB248,'2000 Seattle Tracts'!$C$2:$Y$374,AV$1,FALSE)*$Z248</f>
        <v>2.5763031323679849E-2</v>
      </c>
      <c r="AW248" s="3">
        <f>VLOOKUP($AB248,'2000 Seattle Tracts'!$C$2:$Y$374,AW$1,FALSE)*$Z248</f>
        <v>1.9991636315834709E-2</v>
      </c>
      <c r="AX248" s="3">
        <f>VLOOKUP($AB248,'2000 Seattle Tracts'!$C$2:$Y$374,AX$1,FALSE)*$Z248</f>
        <v>2.2609588690527351E-3</v>
      </c>
    </row>
    <row r="249" spans="1:50" x14ac:dyDescent="0.25">
      <c r="A249" t="s">
        <v>2917</v>
      </c>
      <c r="B249" t="s">
        <v>2918</v>
      </c>
      <c r="C249" t="s">
        <v>3442</v>
      </c>
      <c r="D249" t="s">
        <v>3443</v>
      </c>
      <c r="E249" t="s">
        <v>3444</v>
      </c>
      <c r="F249" t="s">
        <v>3445</v>
      </c>
      <c r="G249" t="s">
        <v>2920</v>
      </c>
      <c r="H249" t="s">
        <v>2921</v>
      </c>
      <c r="I249">
        <v>2419338</v>
      </c>
      <c r="J249">
        <v>0</v>
      </c>
      <c r="K249" t="s">
        <v>3446</v>
      </c>
      <c r="L249" t="s">
        <v>3447</v>
      </c>
      <c r="M249">
        <v>89</v>
      </c>
      <c r="N249">
        <v>31111.062999999998</v>
      </c>
      <c r="O249" t="s">
        <v>191</v>
      </c>
      <c r="P249">
        <v>20</v>
      </c>
      <c r="Q249">
        <v>10</v>
      </c>
      <c r="R249">
        <v>23</v>
      </c>
      <c r="S249">
        <v>39810332</v>
      </c>
      <c r="T249">
        <v>91</v>
      </c>
      <c r="U249">
        <v>188</v>
      </c>
      <c r="V249">
        <v>31111.063083771449</v>
      </c>
      <c r="W249">
        <v>39810333.415949456</v>
      </c>
      <c r="X249">
        <v>131.352</v>
      </c>
      <c r="Y249">
        <f>VLOOKUP(AB249,'2000 Seattle Tracts'!$C$2:$Z$374,24,FALSE)</f>
        <v>2419338.1290000002</v>
      </c>
      <c r="Z249">
        <f t="shared" si="6"/>
        <v>5.4292534981165502E-5</v>
      </c>
      <c r="AA249" t="s">
        <v>190</v>
      </c>
      <c r="AB249" t="str">
        <f t="shared" si="7"/>
        <v>Census Tract 114, King County, Washington</v>
      </c>
      <c r="AC249" s="3">
        <f>VLOOKUP($AB249,'2000 Seattle Tracts'!$C$2:$Y$374,AC$1,FALSE)*$Z249</f>
        <v>0.42912819649113215</v>
      </c>
      <c r="AD249" s="3">
        <f>VLOOKUP($AB249,'2000 Seattle Tracts'!$C$2:$Y$374,AD$1,FALSE)*$Z249</f>
        <v>0.30984749713751153</v>
      </c>
      <c r="AE249" s="3">
        <f>VLOOKUP($AB249,'2000 Seattle Tracts'!$C$2:$Y$374,AE$1,FALSE)*$Z249</f>
        <v>0.11928069935362061</v>
      </c>
      <c r="AF249" s="3">
        <f>VLOOKUP($AB249,'2000 Seattle Tracts'!$C$2:$Y$374,AF$1,FALSE)*$Z249</f>
        <v>0.42912819649113215</v>
      </c>
      <c r="AG249" s="3">
        <f>VLOOKUP($AB249,'2000 Seattle Tracts'!$C$2:$Y$374,AG$1,FALSE)*$Z249</f>
        <v>0.30984749713751153</v>
      </c>
      <c r="AH249" s="3">
        <f>VLOOKUP($AB249,'2000 Seattle Tracts'!$C$2:$Y$374,AH$1,FALSE)*$Z249</f>
        <v>0.11928069935362061</v>
      </c>
      <c r="AI249" s="3">
        <f>VLOOKUP($AB249,'2000 Seattle Tracts'!$C$2:$Y$374,AI$1,FALSE)*$Z249</f>
        <v>0.18980670229415458</v>
      </c>
      <c r="AJ249" s="3">
        <f>VLOOKUP($AB249,'2000 Seattle Tracts'!$C$2:$Y$374,AJ$1,FALSE)*$Z249</f>
        <v>1.6396345564311982E-2</v>
      </c>
      <c r="AK249" s="3">
        <f>VLOOKUP($AB249,'2000 Seattle Tracts'!$C$2:$Y$374,AK$1,FALSE)*$Z249</f>
        <v>4.9949132182672265E-3</v>
      </c>
      <c r="AL249" s="3">
        <f>VLOOKUP($AB249,'2000 Seattle Tracts'!$C$2:$Y$374,AL$1,FALSE)*$Z249</f>
        <v>3.800477448681585E-3</v>
      </c>
      <c r="AM249" s="3">
        <f>VLOOKUP($AB249,'2000 Seattle Tracts'!$C$2:$Y$374,AM$1,FALSE)*$Z249</f>
        <v>4.3379735449951239E-2</v>
      </c>
      <c r="AN249" s="3">
        <f>VLOOKUP($AB249,'2000 Seattle Tracts'!$C$2:$Y$374,AN$1,FALSE)*$Z249</f>
        <v>7.3837847574385086E-3</v>
      </c>
      <c r="AO249" s="3">
        <f>VLOOKUP($AB249,'2000 Seattle Tracts'!$C$2:$Y$374,AO$1,FALSE)*$Z249</f>
        <v>5.6464236380412121E-3</v>
      </c>
      <c r="AP249" s="3">
        <f>VLOOKUP($AB249,'2000 Seattle Tracts'!$C$2:$Y$374,AP$1,FALSE)*$Z249</f>
        <v>0</v>
      </c>
      <c r="AQ249" s="3">
        <f>VLOOKUP($AB249,'2000 Seattle Tracts'!$C$2:$Y$374,AQ$1,FALSE)*$Z249</f>
        <v>2.0956918502729883E-2</v>
      </c>
      <c r="AR249" s="3">
        <f>VLOOKUP($AB249,'2000 Seattle Tracts'!$C$2:$Y$374,AR$1,FALSE)*$Z249</f>
        <v>6.612830760705958E-2</v>
      </c>
      <c r="AS249" s="3">
        <f>VLOOKUP($AB249,'2000 Seattle Tracts'!$C$2:$Y$374,AS$1,FALSE)*$Z249</f>
        <v>1.3030208395479722E-3</v>
      </c>
      <c r="AT249" s="3">
        <f>VLOOKUP($AB249,'2000 Seattle Tracts'!$C$2:$Y$374,AT$1,FALSE)*$Z249</f>
        <v>0</v>
      </c>
      <c r="AU249" s="3">
        <f>VLOOKUP($AB249,'2000 Seattle Tracts'!$C$2:$Y$374,AU$1,FALSE)*$Z249</f>
        <v>2.5517491441147785E-2</v>
      </c>
      <c r="AV249" s="3">
        <f>VLOOKUP($AB249,'2000 Seattle Tracts'!$C$2:$Y$374,AV$1,FALSE)*$Z249</f>
        <v>2.3508667646844662E-2</v>
      </c>
      <c r="AW249" s="3">
        <f>VLOOKUP($AB249,'2000 Seattle Tracts'!$C$2:$Y$374,AW$1,FALSE)*$Z249</f>
        <v>1.8242291753671609E-2</v>
      </c>
      <c r="AX249" s="3">
        <f>VLOOKUP($AB249,'2000 Seattle Tracts'!$C$2:$Y$374,AX$1,FALSE)*$Z249</f>
        <v>2.0631163292842889E-3</v>
      </c>
    </row>
    <row r="250" spans="1:50" x14ac:dyDescent="0.25">
      <c r="A250" t="s">
        <v>2917</v>
      </c>
      <c r="B250" t="s">
        <v>2918</v>
      </c>
      <c r="C250" t="s">
        <v>3442</v>
      </c>
      <c r="D250" t="s">
        <v>3443</v>
      </c>
      <c r="E250" t="s">
        <v>3444</v>
      </c>
      <c r="F250" t="s">
        <v>3445</v>
      </c>
      <c r="G250" t="s">
        <v>2920</v>
      </c>
      <c r="H250" t="s">
        <v>2921</v>
      </c>
      <c r="I250">
        <v>2419338</v>
      </c>
      <c r="J250">
        <v>0</v>
      </c>
      <c r="K250" t="s">
        <v>3446</v>
      </c>
      <c r="L250" t="s">
        <v>3447</v>
      </c>
      <c r="M250">
        <v>91</v>
      </c>
      <c r="N250">
        <v>25917.116999999998</v>
      </c>
      <c r="O250" t="s">
        <v>191</v>
      </c>
      <c r="P250">
        <v>20</v>
      </c>
      <c r="Q250">
        <v>10</v>
      </c>
      <c r="R250">
        <v>24</v>
      </c>
      <c r="S250">
        <v>33038268</v>
      </c>
      <c r="T250">
        <v>93</v>
      </c>
      <c r="U250">
        <v>180</v>
      </c>
      <c r="V250">
        <v>25917.117639101471</v>
      </c>
      <c r="W250">
        <v>33038267.192843691</v>
      </c>
      <c r="X250">
        <v>1550.5229999999999</v>
      </c>
      <c r="Y250">
        <f>VLOOKUP(AB250,'2000 Seattle Tracts'!$C$2:$Z$374,24,FALSE)</f>
        <v>2419338.1290000002</v>
      </c>
      <c r="Z250">
        <f t="shared" si="6"/>
        <v>6.4088726640326504E-4</v>
      </c>
      <c r="AA250" t="s">
        <v>193</v>
      </c>
      <c r="AB250" t="str">
        <f t="shared" si="7"/>
        <v>Census Tract 114, King County, Washington</v>
      </c>
      <c r="AC250" s="3">
        <f>VLOOKUP($AB250,'2000 Seattle Tracts'!$C$2:$Y$374,AC$1,FALSE)*$Z250</f>
        <v>5.0655729536514071</v>
      </c>
      <c r="AD250" s="3">
        <f>VLOOKUP($AB250,'2000 Seattle Tracts'!$C$2:$Y$374,AD$1,FALSE)*$Z250</f>
        <v>3.6575436293634338</v>
      </c>
      <c r="AE250" s="3">
        <f>VLOOKUP($AB250,'2000 Seattle Tracts'!$C$2:$Y$374,AE$1,FALSE)*$Z250</f>
        <v>1.4080293242879733</v>
      </c>
      <c r="AF250" s="3">
        <f>VLOOKUP($AB250,'2000 Seattle Tracts'!$C$2:$Y$374,AF$1,FALSE)*$Z250</f>
        <v>5.0655729536514071</v>
      </c>
      <c r="AG250" s="3">
        <f>VLOOKUP($AB250,'2000 Seattle Tracts'!$C$2:$Y$374,AG$1,FALSE)*$Z250</f>
        <v>3.6575436293634338</v>
      </c>
      <c r="AH250" s="3">
        <f>VLOOKUP($AB250,'2000 Seattle Tracts'!$C$2:$Y$374,AH$1,FALSE)*$Z250</f>
        <v>1.4080293242879733</v>
      </c>
      <c r="AI250" s="3">
        <f>VLOOKUP($AB250,'2000 Seattle Tracts'!$C$2:$Y$374,AI$1,FALSE)*$Z250</f>
        <v>2.2405418833458146</v>
      </c>
      <c r="AJ250" s="3">
        <f>VLOOKUP($AB250,'2000 Seattle Tracts'!$C$2:$Y$374,AJ$1,FALSE)*$Z250</f>
        <v>0.19354795445378603</v>
      </c>
      <c r="AK250" s="3">
        <f>VLOOKUP($AB250,'2000 Seattle Tracts'!$C$2:$Y$374,AK$1,FALSE)*$Z250</f>
        <v>5.8961628509100382E-2</v>
      </c>
      <c r="AL250" s="3">
        <f>VLOOKUP($AB250,'2000 Seattle Tracts'!$C$2:$Y$374,AL$1,FALSE)*$Z250</f>
        <v>4.4862108648228552E-2</v>
      </c>
      <c r="AM250" s="3">
        <f>VLOOKUP($AB250,'2000 Seattle Tracts'!$C$2:$Y$374,AM$1,FALSE)*$Z250</f>
        <v>0.51206892585620878</v>
      </c>
      <c r="AN250" s="3">
        <f>VLOOKUP($AB250,'2000 Seattle Tracts'!$C$2:$Y$374,AN$1,FALSE)*$Z250</f>
        <v>8.7160668230844049E-2</v>
      </c>
      <c r="AO250" s="3">
        <f>VLOOKUP($AB250,'2000 Seattle Tracts'!$C$2:$Y$374,AO$1,FALSE)*$Z250</f>
        <v>6.6652275705939568E-2</v>
      </c>
      <c r="AP250" s="3">
        <f>VLOOKUP($AB250,'2000 Seattle Tracts'!$C$2:$Y$374,AP$1,FALSE)*$Z250</f>
        <v>0</v>
      </c>
      <c r="AQ250" s="3">
        <f>VLOOKUP($AB250,'2000 Seattle Tracts'!$C$2:$Y$374,AQ$1,FALSE)*$Z250</f>
        <v>0.24738248483166031</v>
      </c>
      <c r="AR250" s="3">
        <f>VLOOKUP($AB250,'2000 Seattle Tracts'!$C$2:$Y$374,AR$1,FALSE)*$Z250</f>
        <v>0.7806006904791768</v>
      </c>
      <c r="AS250" s="3">
        <f>VLOOKUP($AB250,'2000 Seattle Tracts'!$C$2:$Y$374,AS$1,FALSE)*$Z250</f>
        <v>1.5381294393678361E-2</v>
      </c>
      <c r="AT250" s="3">
        <f>VLOOKUP($AB250,'2000 Seattle Tracts'!$C$2:$Y$374,AT$1,FALSE)*$Z250</f>
        <v>0</v>
      </c>
      <c r="AU250" s="3">
        <f>VLOOKUP($AB250,'2000 Seattle Tracts'!$C$2:$Y$374,AU$1,FALSE)*$Z250</f>
        <v>0.30121701520953459</v>
      </c>
      <c r="AV250" s="3">
        <f>VLOOKUP($AB250,'2000 Seattle Tracts'!$C$2:$Y$374,AV$1,FALSE)*$Z250</f>
        <v>0.27750418635261376</v>
      </c>
      <c r="AW250" s="3">
        <f>VLOOKUP($AB250,'2000 Seattle Tracts'!$C$2:$Y$374,AW$1,FALSE)*$Z250</f>
        <v>0.21533812151149706</v>
      </c>
      <c r="AX250" s="3">
        <f>VLOOKUP($AB250,'2000 Seattle Tracts'!$C$2:$Y$374,AX$1,FALSE)*$Z250</f>
        <v>2.4353716123324071E-2</v>
      </c>
    </row>
    <row r="251" spans="1:50" x14ac:dyDescent="0.25">
      <c r="A251" t="s">
        <v>2917</v>
      </c>
      <c r="B251" t="s">
        <v>2918</v>
      </c>
      <c r="C251" t="s">
        <v>3442</v>
      </c>
      <c r="D251" t="s">
        <v>3443</v>
      </c>
      <c r="E251" t="s">
        <v>3444</v>
      </c>
      <c r="F251" t="s">
        <v>3445</v>
      </c>
      <c r="G251" t="s">
        <v>2920</v>
      </c>
      <c r="H251" t="s">
        <v>2921</v>
      </c>
      <c r="I251">
        <v>2419338</v>
      </c>
      <c r="J251">
        <v>0</v>
      </c>
      <c r="K251" t="s">
        <v>3446</v>
      </c>
      <c r="L251" t="s">
        <v>3447</v>
      </c>
      <c r="M251">
        <v>92</v>
      </c>
      <c r="N251">
        <v>23180.396000000001</v>
      </c>
      <c r="O251" t="s">
        <v>191</v>
      </c>
      <c r="P251">
        <v>20</v>
      </c>
      <c r="Q251">
        <v>10</v>
      </c>
      <c r="R251">
        <v>95</v>
      </c>
      <c r="S251">
        <v>23343008</v>
      </c>
      <c r="T251">
        <v>94</v>
      </c>
      <c r="U251">
        <v>182</v>
      </c>
      <c r="V251">
        <v>23180.396359671431</v>
      </c>
      <c r="W251">
        <v>23343008.336782061</v>
      </c>
      <c r="X251">
        <v>1145.6079999999999</v>
      </c>
      <c r="Y251">
        <f>VLOOKUP(AB251,'2000 Seattle Tracts'!$C$2:$Z$374,24,FALSE)</f>
        <v>2419338.1290000002</v>
      </c>
      <c r="Z251">
        <f t="shared" si="6"/>
        <v>4.7352124379303738E-4</v>
      </c>
      <c r="AA251" t="s">
        <v>194</v>
      </c>
      <c r="AB251" t="str">
        <f t="shared" si="7"/>
        <v>Census Tract 114, King County, Washington</v>
      </c>
      <c r="AC251" s="3">
        <f>VLOOKUP($AB251,'2000 Seattle Tracts'!$C$2:$Y$374,AC$1,FALSE)*$Z251</f>
        <v>3.7427119109401672</v>
      </c>
      <c r="AD251" s="3">
        <f>VLOOKUP($AB251,'2000 Seattle Tracts'!$C$2:$Y$374,AD$1,FALSE)*$Z251</f>
        <v>2.7023857383268641</v>
      </c>
      <c r="AE251" s="3">
        <f>VLOOKUP($AB251,'2000 Seattle Tracts'!$C$2:$Y$374,AE$1,FALSE)*$Z251</f>
        <v>1.0403261726133031</v>
      </c>
      <c r="AF251" s="3">
        <f>VLOOKUP($AB251,'2000 Seattle Tracts'!$C$2:$Y$374,AF$1,FALSE)*$Z251</f>
        <v>3.7427119109401672</v>
      </c>
      <c r="AG251" s="3">
        <f>VLOOKUP($AB251,'2000 Seattle Tracts'!$C$2:$Y$374,AG$1,FALSE)*$Z251</f>
        <v>2.7023857383268641</v>
      </c>
      <c r="AH251" s="3">
        <f>VLOOKUP($AB251,'2000 Seattle Tracts'!$C$2:$Y$374,AH$1,FALSE)*$Z251</f>
        <v>1.0403261726133031</v>
      </c>
      <c r="AI251" s="3">
        <f>VLOOKUP($AB251,'2000 Seattle Tracts'!$C$2:$Y$374,AI$1,FALSE)*$Z251</f>
        <v>1.6554302683004587</v>
      </c>
      <c r="AJ251" s="3">
        <f>VLOOKUP($AB251,'2000 Seattle Tracts'!$C$2:$Y$374,AJ$1,FALSE)*$Z251</f>
        <v>0.14300341562549729</v>
      </c>
      <c r="AK251" s="3">
        <f>VLOOKUP($AB251,'2000 Seattle Tracts'!$C$2:$Y$374,AK$1,FALSE)*$Z251</f>
        <v>4.3563954428959439E-2</v>
      </c>
      <c r="AL251" s="3">
        <f>VLOOKUP($AB251,'2000 Seattle Tracts'!$C$2:$Y$374,AL$1,FALSE)*$Z251</f>
        <v>3.3146487065512618E-2</v>
      </c>
      <c r="AM251" s="3">
        <f>VLOOKUP($AB251,'2000 Seattle Tracts'!$C$2:$Y$374,AM$1,FALSE)*$Z251</f>
        <v>0.37834347379063687</v>
      </c>
      <c r="AN251" s="3">
        <f>VLOOKUP($AB251,'2000 Seattle Tracts'!$C$2:$Y$374,AN$1,FALSE)*$Z251</f>
        <v>6.4398889155853081E-2</v>
      </c>
      <c r="AO251" s="3">
        <f>VLOOKUP($AB251,'2000 Seattle Tracts'!$C$2:$Y$374,AO$1,FALSE)*$Z251</f>
        <v>4.9246209354475885E-2</v>
      </c>
      <c r="AP251" s="3">
        <f>VLOOKUP($AB251,'2000 Seattle Tracts'!$C$2:$Y$374,AP$1,FALSE)*$Z251</f>
        <v>0</v>
      </c>
      <c r="AQ251" s="3">
        <f>VLOOKUP($AB251,'2000 Seattle Tracts'!$C$2:$Y$374,AQ$1,FALSE)*$Z251</f>
        <v>0.18277920010411242</v>
      </c>
      <c r="AR251" s="3">
        <f>VLOOKUP($AB251,'2000 Seattle Tracts'!$C$2:$Y$374,AR$1,FALSE)*$Z251</f>
        <v>0.57674887493991955</v>
      </c>
      <c r="AS251" s="3">
        <f>VLOOKUP($AB251,'2000 Seattle Tracts'!$C$2:$Y$374,AS$1,FALSE)*$Z251</f>
        <v>1.1364509851032897E-2</v>
      </c>
      <c r="AT251" s="3">
        <f>VLOOKUP($AB251,'2000 Seattle Tracts'!$C$2:$Y$374,AT$1,FALSE)*$Z251</f>
        <v>0</v>
      </c>
      <c r="AU251" s="3">
        <f>VLOOKUP($AB251,'2000 Seattle Tracts'!$C$2:$Y$374,AU$1,FALSE)*$Z251</f>
        <v>0.22255498458272757</v>
      </c>
      <c r="AV251" s="3">
        <f>VLOOKUP($AB251,'2000 Seattle Tracts'!$C$2:$Y$374,AV$1,FALSE)*$Z251</f>
        <v>0.20503469856238518</v>
      </c>
      <c r="AW251" s="3">
        <f>VLOOKUP($AB251,'2000 Seattle Tracts'!$C$2:$Y$374,AW$1,FALSE)*$Z251</f>
        <v>0.15910313791446057</v>
      </c>
      <c r="AX251" s="3">
        <f>VLOOKUP($AB251,'2000 Seattle Tracts'!$C$2:$Y$374,AX$1,FALSE)*$Z251</f>
        <v>1.7993807264135419E-2</v>
      </c>
    </row>
    <row r="252" spans="1:50" x14ac:dyDescent="0.25">
      <c r="A252" t="s">
        <v>2917</v>
      </c>
      <c r="B252" t="s">
        <v>2918</v>
      </c>
      <c r="C252" t="s">
        <v>3442</v>
      </c>
      <c r="D252" t="s">
        <v>3443</v>
      </c>
      <c r="E252" t="s">
        <v>3444</v>
      </c>
      <c r="F252" t="s">
        <v>3445</v>
      </c>
      <c r="G252" t="s">
        <v>2920</v>
      </c>
      <c r="H252" t="s">
        <v>2921</v>
      </c>
      <c r="I252">
        <v>2419338</v>
      </c>
      <c r="J252">
        <v>0</v>
      </c>
      <c r="K252" t="s">
        <v>3446</v>
      </c>
      <c r="L252" t="s">
        <v>3447</v>
      </c>
      <c r="M252">
        <v>93</v>
      </c>
      <c r="N252">
        <v>23416.34</v>
      </c>
      <c r="O252" t="s">
        <v>191</v>
      </c>
      <c r="P252">
        <v>20</v>
      </c>
      <c r="Q252">
        <v>10</v>
      </c>
      <c r="R252">
        <v>94</v>
      </c>
      <c r="S252">
        <v>17923316</v>
      </c>
      <c r="T252">
        <v>95</v>
      </c>
      <c r="U252">
        <v>190</v>
      </c>
      <c r="V252">
        <v>23416.340535979401</v>
      </c>
      <c r="W252">
        <v>17923316.223963421</v>
      </c>
      <c r="X252">
        <v>1654903.5589999999</v>
      </c>
      <c r="Y252">
        <f>VLOOKUP(AB252,'2000 Seattle Tracts'!$C$2:$Z$374,24,FALSE)</f>
        <v>2419338.1290000002</v>
      </c>
      <c r="Z252">
        <f t="shared" si="6"/>
        <v>0.68403152877354567</v>
      </c>
      <c r="AA252" t="s">
        <v>195</v>
      </c>
      <c r="AB252" t="str">
        <f t="shared" si="7"/>
        <v>Census Tract 114, King County, Washington</v>
      </c>
      <c r="AC252" s="3">
        <f>VLOOKUP($AB252,'2000 Seattle Tracts'!$C$2:$Y$374,AC$1,FALSE)*$Z252</f>
        <v>5406.5852034261052</v>
      </c>
      <c r="AD252" s="3">
        <f>VLOOKUP($AB252,'2000 Seattle Tracts'!$C$2:$Y$374,AD$1,FALSE)*$Z252</f>
        <v>3903.767934710625</v>
      </c>
      <c r="AE252" s="3">
        <f>VLOOKUP($AB252,'2000 Seattle Tracts'!$C$2:$Y$374,AE$1,FALSE)*$Z252</f>
        <v>1502.8172687154799</v>
      </c>
      <c r="AF252" s="3">
        <f>VLOOKUP($AB252,'2000 Seattle Tracts'!$C$2:$Y$374,AF$1,FALSE)*$Z252</f>
        <v>5406.5852034261052</v>
      </c>
      <c r="AG252" s="3">
        <f>VLOOKUP($AB252,'2000 Seattle Tracts'!$C$2:$Y$374,AG$1,FALSE)*$Z252</f>
        <v>3903.767934710625</v>
      </c>
      <c r="AH252" s="3">
        <f>VLOOKUP($AB252,'2000 Seattle Tracts'!$C$2:$Y$374,AH$1,FALSE)*$Z252</f>
        <v>1502.8172687154799</v>
      </c>
      <c r="AI252" s="3">
        <f>VLOOKUP($AB252,'2000 Seattle Tracts'!$C$2:$Y$374,AI$1,FALSE)*$Z252</f>
        <v>2391.3742245923158</v>
      </c>
      <c r="AJ252" s="3">
        <f>VLOOKUP($AB252,'2000 Seattle Tracts'!$C$2:$Y$374,AJ$1,FALSE)*$Z252</f>
        <v>206.57752168961079</v>
      </c>
      <c r="AK252" s="3">
        <f>VLOOKUP($AB252,'2000 Seattle Tracts'!$C$2:$Y$374,AK$1,FALSE)*$Z252</f>
        <v>62.930900647166204</v>
      </c>
      <c r="AL252" s="3">
        <f>VLOOKUP($AB252,'2000 Seattle Tracts'!$C$2:$Y$374,AL$1,FALSE)*$Z252</f>
        <v>47.8822070141482</v>
      </c>
      <c r="AM252" s="3">
        <f>VLOOKUP($AB252,'2000 Seattle Tracts'!$C$2:$Y$374,AM$1,FALSE)*$Z252</f>
        <v>546.54119149006294</v>
      </c>
      <c r="AN252" s="3">
        <f>VLOOKUP($AB252,'2000 Seattle Tracts'!$C$2:$Y$374,AN$1,FALSE)*$Z252</f>
        <v>93.028287913202206</v>
      </c>
      <c r="AO252" s="3">
        <f>VLOOKUP($AB252,'2000 Seattle Tracts'!$C$2:$Y$374,AO$1,FALSE)*$Z252</f>
        <v>71.139278992448752</v>
      </c>
      <c r="AP252" s="3">
        <f>VLOOKUP($AB252,'2000 Seattle Tracts'!$C$2:$Y$374,AP$1,FALSE)*$Z252</f>
        <v>0</v>
      </c>
      <c r="AQ252" s="3">
        <f>VLOOKUP($AB252,'2000 Seattle Tracts'!$C$2:$Y$374,AQ$1,FALSE)*$Z252</f>
        <v>264.03617010658866</v>
      </c>
      <c r="AR252" s="3">
        <f>VLOOKUP($AB252,'2000 Seattle Tracts'!$C$2:$Y$374,AR$1,FALSE)*$Z252</f>
        <v>833.15040204617867</v>
      </c>
      <c r="AS252" s="3">
        <f>VLOOKUP($AB252,'2000 Seattle Tracts'!$C$2:$Y$374,AS$1,FALSE)*$Z252</f>
        <v>16.416756690565094</v>
      </c>
      <c r="AT252" s="3">
        <f>VLOOKUP($AB252,'2000 Seattle Tracts'!$C$2:$Y$374,AT$1,FALSE)*$Z252</f>
        <v>0</v>
      </c>
      <c r="AU252" s="3">
        <f>VLOOKUP($AB252,'2000 Seattle Tracts'!$C$2:$Y$374,AU$1,FALSE)*$Z252</f>
        <v>321.49481852356649</v>
      </c>
      <c r="AV252" s="3">
        <f>VLOOKUP($AB252,'2000 Seattle Tracts'!$C$2:$Y$374,AV$1,FALSE)*$Z252</f>
        <v>296.1856519589453</v>
      </c>
      <c r="AW252" s="3">
        <f>VLOOKUP($AB252,'2000 Seattle Tracts'!$C$2:$Y$374,AW$1,FALSE)*$Z252</f>
        <v>229.83459366791135</v>
      </c>
      <c r="AX252" s="3">
        <f>VLOOKUP($AB252,'2000 Seattle Tracts'!$C$2:$Y$374,AX$1,FALSE)*$Z252</f>
        <v>25.993198093394735</v>
      </c>
    </row>
    <row r="253" spans="1:50" x14ac:dyDescent="0.25">
      <c r="A253" t="s">
        <v>2917</v>
      </c>
      <c r="B253" t="s">
        <v>2918</v>
      </c>
      <c r="C253" t="s">
        <v>3442</v>
      </c>
      <c r="D253" t="s">
        <v>3443</v>
      </c>
      <c r="E253" t="s">
        <v>3444</v>
      </c>
      <c r="F253" t="s">
        <v>3445</v>
      </c>
      <c r="G253" t="s">
        <v>2920</v>
      </c>
      <c r="H253" t="s">
        <v>2921</v>
      </c>
      <c r="I253">
        <v>2419338</v>
      </c>
      <c r="J253">
        <v>0</v>
      </c>
      <c r="K253" t="s">
        <v>3446</v>
      </c>
      <c r="L253" t="s">
        <v>3447</v>
      </c>
      <c r="M253">
        <v>94</v>
      </c>
      <c r="N253">
        <v>22360.046999999999</v>
      </c>
      <c r="O253" t="s">
        <v>191</v>
      </c>
      <c r="P253">
        <v>20</v>
      </c>
      <c r="Q253">
        <v>10</v>
      </c>
      <c r="R253">
        <v>0</v>
      </c>
      <c r="S253">
        <v>18781060</v>
      </c>
      <c r="T253">
        <v>96</v>
      </c>
      <c r="U253">
        <v>191</v>
      </c>
      <c r="V253">
        <v>22360.047228914489</v>
      </c>
      <c r="W253">
        <v>18781059.844160609</v>
      </c>
      <c r="X253">
        <v>761202.17599999998</v>
      </c>
      <c r="Y253">
        <f>VLOOKUP(AB253,'2000 Seattle Tracts'!$C$2:$Z$374,24,FALSE)</f>
        <v>2419338.1290000002</v>
      </c>
      <c r="Z253">
        <f t="shared" si="6"/>
        <v>0.31463240581201118</v>
      </c>
      <c r="AA253" t="s">
        <v>196</v>
      </c>
      <c r="AB253" t="str">
        <f t="shared" si="7"/>
        <v>Census Tract 114, King County, Washington</v>
      </c>
      <c r="AC253" s="3">
        <f>VLOOKUP($AB253,'2000 Seattle Tracts'!$C$2:$Y$374,AC$1,FALSE)*$Z253</f>
        <v>2486.8545355381366</v>
      </c>
      <c r="AD253" s="3">
        <f>VLOOKUP($AB253,'2000 Seattle Tracts'!$C$2:$Y$374,AD$1,FALSE)*$Z253</f>
        <v>1795.6071399691477</v>
      </c>
      <c r="AE253" s="3">
        <f>VLOOKUP($AB253,'2000 Seattle Tracts'!$C$2:$Y$374,AE$1,FALSE)*$Z253</f>
        <v>691.24739556898862</v>
      </c>
      <c r="AF253" s="3">
        <f>VLOOKUP($AB253,'2000 Seattle Tracts'!$C$2:$Y$374,AF$1,FALSE)*$Z253</f>
        <v>2486.8545355381366</v>
      </c>
      <c r="AG253" s="3">
        <f>VLOOKUP($AB253,'2000 Seattle Tracts'!$C$2:$Y$374,AG$1,FALSE)*$Z253</f>
        <v>1795.6071399691477</v>
      </c>
      <c r="AH253" s="3">
        <f>VLOOKUP($AB253,'2000 Seattle Tracts'!$C$2:$Y$374,AH$1,FALSE)*$Z253</f>
        <v>691.24739556898862</v>
      </c>
      <c r="AI253" s="3">
        <f>VLOOKUP($AB253,'2000 Seattle Tracts'!$C$2:$Y$374,AI$1,FALSE)*$Z253</f>
        <v>1099.9548907187911</v>
      </c>
      <c r="AJ253" s="3">
        <f>VLOOKUP($AB253,'2000 Seattle Tracts'!$C$2:$Y$374,AJ$1,FALSE)*$Z253</f>
        <v>95.018986555227372</v>
      </c>
      <c r="AK253" s="3">
        <f>VLOOKUP($AB253,'2000 Seattle Tracts'!$C$2:$Y$374,AK$1,FALSE)*$Z253</f>
        <v>28.946181334705027</v>
      </c>
      <c r="AL253" s="3">
        <f>VLOOKUP($AB253,'2000 Seattle Tracts'!$C$2:$Y$374,AL$1,FALSE)*$Z253</f>
        <v>22.024268406840783</v>
      </c>
      <c r="AM253" s="3">
        <f>VLOOKUP($AB253,'2000 Seattle Tracts'!$C$2:$Y$374,AM$1,FALSE)*$Z253</f>
        <v>251.39129224379693</v>
      </c>
      <c r="AN253" s="3">
        <f>VLOOKUP($AB253,'2000 Seattle Tracts'!$C$2:$Y$374,AN$1,FALSE)*$Z253</f>
        <v>42.790007190433521</v>
      </c>
      <c r="AO253" s="3">
        <f>VLOOKUP($AB253,'2000 Seattle Tracts'!$C$2:$Y$374,AO$1,FALSE)*$Z253</f>
        <v>32.721770204449165</v>
      </c>
      <c r="AP253" s="3">
        <f>VLOOKUP($AB253,'2000 Seattle Tracts'!$C$2:$Y$374,AP$1,FALSE)*$Z253</f>
        <v>0</v>
      </c>
      <c r="AQ253" s="3">
        <f>VLOOKUP($AB253,'2000 Seattle Tracts'!$C$2:$Y$374,AQ$1,FALSE)*$Z253</f>
        <v>121.44810864343631</v>
      </c>
      <c r="AR253" s="3">
        <f>VLOOKUP($AB253,'2000 Seattle Tracts'!$C$2:$Y$374,AR$1,FALSE)*$Z253</f>
        <v>383.2222702790296</v>
      </c>
      <c r="AS253" s="3">
        <f>VLOOKUP($AB253,'2000 Seattle Tracts'!$C$2:$Y$374,AS$1,FALSE)*$Z253</f>
        <v>7.5511777394882689</v>
      </c>
      <c r="AT253" s="3">
        <f>VLOOKUP($AB253,'2000 Seattle Tracts'!$C$2:$Y$374,AT$1,FALSE)*$Z253</f>
        <v>0</v>
      </c>
      <c r="AU253" s="3">
        <f>VLOOKUP($AB253,'2000 Seattle Tracts'!$C$2:$Y$374,AU$1,FALSE)*$Z253</f>
        <v>147.87723073164526</v>
      </c>
      <c r="AV253" s="3">
        <f>VLOOKUP($AB253,'2000 Seattle Tracts'!$C$2:$Y$374,AV$1,FALSE)*$Z253</f>
        <v>136.23583171660084</v>
      </c>
      <c r="AW253" s="3">
        <f>VLOOKUP($AB253,'2000 Seattle Tracts'!$C$2:$Y$374,AW$1,FALSE)*$Z253</f>
        <v>105.71648835283575</v>
      </c>
      <c r="AX253" s="3">
        <f>VLOOKUP($AB253,'2000 Seattle Tracts'!$C$2:$Y$374,AX$1,FALSE)*$Z253</f>
        <v>11.956031420856425</v>
      </c>
    </row>
    <row r="254" spans="1:50" x14ac:dyDescent="0.25">
      <c r="A254" t="s">
        <v>2917</v>
      </c>
      <c r="B254" t="s">
        <v>2918</v>
      </c>
      <c r="C254" t="s">
        <v>2990</v>
      </c>
      <c r="D254" t="s">
        <v>2827</v>
      </c>
      <c r="E254" t="s">
        <v>2828</v>
      </c>
      <c r="F254" t="s">
        <v>2829</v>
      </c>
      <c r="G254" t="s">
        <v>2920</v>
      </c>
      <c r="H254" t="s">
        <v>2921</v>
      </c>
      <c r="I254">
        <v>3157555</v>
      </c>
      <c r="J254">
        <v>42220</v>
      </c>
      <c r="K254" t="s">
        <v>2991</v>
      </c>
      <c r="L254" t="s">
        <v>2992</v>
      </c>
      <c r="M254">
        <v>69</v>
      </c>
      <c r="N254">
        <v>30433.403999999999</v>
      </c>
      <c r="O254" t="s">
        <v>122</v>
      </c>
      <c r="P254">
        <v>18</v>
      </c>
      <c r="Q254">
        <v>12</v>
      </c>
      <c r="R254">
        <v>9</v>
      </c>
      <c r="S254">
        <v>29423452</v>
      </c>
      <c r="T254">
        <v>71</v>
      </c>
      <c r="U254">
        <v>187</v>
      </c>
      <c r="V254">
        <v>30433.404868631082</v>
      </c>
      <c r="W254">
        <v>29423452.15209388</v>
      </c>
      <c r="X254">
        <v>19320.292000000001</v>
      </c>
      <c r="Y254">
        <f>VLOOKUP(AB254,'2000 Seattle Tracts'!$C$2:$Z$374,24,FALSE)</f>
        <v>3157558.2140000002</v>
      </c>
      <c r="Z254">
        <f t="shared" si="6"/>
        <v>6.1187445141431046E-3</v>
      </c>
      <c r="AA254" t="s">
        <v>167</v>
      </c>
      <c r="AB254" t="str">
        <f t="shared" si="7"/>
        <v>Census Tract 113, King County, Washington</v>
      </c>
      <c r="AC254" s="3">
        <f>VLOOKUP($AB254,'2000 Seattle Tracts'!$C$2:$Y$374,AC$1,FALSE)*$Z254</f>
        <v>36.559498472005053</v>
      </c>
      <c r="AD254" s="3">
        <f>VLOOKUP($AB254,'2000 Seattle Tracts'!$C$2:$Y$374,AD$1,FALSE)*$Z254</f>
        <v>26.218820243103202</v>
      </c>
      <c r="AE254" s="3">
        <f>VLOOKUP($AB254,'2000 Seattle Tracts'!$C$2:$Y$374,AE$1,FALSE)*$Z254</f>
        <v>10.340678228901847</v>
      </c>
      <c r="AF254" s="3">
        <f>VLOOKUP($AB254,'2000 Seattle Tracts'!$C$2:$Y$374,AF$1,FALSE)*$Z254</f>
        <v>36.559498472005053</v>
      </c>
      <c r="AG254" s="3">
        <f>VLOOKUP($AB254,'2000 Seattle Tracts'!$C$2:$Y$374,AG$1,FALSE)*$Z254</f>
        <v>26.218820243103202</v>
      </c>
      <c r="AH254" s="3">
        <f>VLOOKUP($AB254,'2000 Seattle Tracts'!$C$2:$Y$374,AH$1,FALSE)*$Z254</f>
        <v>10.340678228901847</v>
      </c>
      <c r="AI254" s="3">
        <f>VLOOKUP($AB254,'2000 Seattle Tracts'!$C$2:$Y$374,AI$1,FALSE)*$Z254</f>
        <v>18.209383674089878</v>
      </c>
      <c r="AJ254" s="3">
        <f>VLOOKUP($AB254,'2000 Seattle Tracts'!$C$2:$Y$374,AJ$1,FALSE)*$Z254</f>
        <v>0.83826799843760536</v>
      </c>
      <c r="AK254" s="3">
        <f>VLOOKUP($AB254,'2000 Seattle Tracts'!$C$2:$Y$374,AK$1,FALSE)*$Z254</f>
        <v>0.44666834953244661</v>
      </c>
      <c r="AL254" s="3">
        <f>VLOOKUP($AB254,'2000 Seattle Tracts'!$C$2:$Y$374,AL$1,FALSE)*$Z254</f>
        <v>0.51397453918802083</v>
      </c>
      <c r="AM254" s="3">
        <f>VLOOKUP($AB254,'2000 Seattle Tracts'!$C$2:$Y$374,AM$1,FALSE)*$Z254</f>
        <v>3.1939846363827007</v>
      </c>
      <c r="AN254" s="3">
        <f>VLOOKUP($AB254,'2000 Seattle Tracts'!$C$2:$Y$374,AN$1,FALSE)*$Z254</f>
        <v>0.28758099216472593</v>
      </c>
      <c r="AO254" s="3">
        <f>VLOOKUP($AB254,'2000 Seattle Tracts'!$C$2:$Y$374,AO$1,FALSE)*$Z254</f>
        <v>0.12237489028286209</v>
      </c>
      <c r="AP254" s="3">
        <f>VLOOKUP($AB254,'2000 Seattle Tracts'!$C$2:$Y$374,AP$1,FALSE)*$Z254</f>
        <v>0</v>
      </c>
      <c r="AQ254" s="3">
        <f>VLOOKUP($AB254,'2000 Seattle Tracts'!$C$2:$Y$374,AQ$1,FALSE)*$Z254</f>
        <v>1.817267120700502</v>
      </c>
      <c r="AR254" s="3">
        <f>VLOOKUP($AB254,'2000 Seattle Tracts'!$C$2:$Y$374,AR$1,FALSE)*$Z254</f>
        <v>6.6694315204159844</v>
      </c>
      <c r="AS254" s="3">
        <f>VLOOKUP($AB254,'2000 Seattle Tracts'!$C$2:$Y$374,AS$1,FALSE)*$Z254</f>
        <v>0.45890583856073286</v>
      </c>
      <c r="AT254" s="3">
        <f>VLOOKUP($AB254,'2000 Seattle Tracts'!$C$2:$Y$374,AT$1,FALSE)*$Z254</f>
        <v>0.22639354702329487</v>
      </c>
      <c r="AU254" s="3">
        <f>VLOOKUP($AB254,'2000 Seattle Tracts'!$C$2:$Y$374,AU$1,FALSE)*$Z254</f>
        <v>0.60575570690016733</v>
      </c>
      <c r="AV254" s="3">
        <f>VLOOKUP($AB254,'2000 Seattle Tracts'!$C$2:$Y$374,AV$1,FALSE)*$Z254</f>
        <v>1.3032925815124812</v>
      </c>
      <c r="AW254" s="3">
        <f>VLOOKUP($AB254,'2000 Seattle Tracts'!$C$2:$Y$374,AW$1,FALSE)*$Z254</f>
        <v>1.3644800266539123</v>
      </c>
      <c r="AX254" s="3">
        <f>VLOOKUP($AB254,'2000 Seattle Tracts'!$C$2:$Y$374,AX$1,FALSE)*$Z254</f>
        <v>0.50173705015973458</v>
      </c>
    </row>
    <row r="255" spans="1:50" x14ac:dyDescent="0.25">
      <c r="A255" t="s">
        <v>2917</v>
      </c>
      <c r="B255" t="s">
        <v>2918</v>
      </c>
      <c r="C255" t="s">
        <v>2990</v>
      </c>
      <c r="D255" t="s">
        <v>2827</v>
      </c>
      <c r="E255" t="s">
        <v>2828</v>
      </c>
      <c r="F255" t="s">
        <v>2829</v>
      </c>
      <c r="G255" t="s">
        <v>2920</v>
      </c>
      <c r="H255" t="s">
        <v>2921</v>
      </c>
      <c r="I255">
        <v>3157555</v>
      </c>
      <c r="J255">
        <v>42220</v>
      </c>
      <c r="K255" t="s">
        <v>2991</v>
      </c>
      <c r="L255" t="s">
        <v>2992</v>
      </c>
      <c r="M255">
        <v>89</v>
      </c>
      <c r="N255">
        <v>31111.062999999998</v>
      </c>
      <c r="O255" t="s">
        <v>191</v>
      </c>
      <c r="P255">
        <v>20</v>
      </c>
      <c r="Q255">
        <v>10</v>
      </c>
      <c r="R255">
        <v>23</v>
      </c>
      <c r="S255">
        <v>39810332</v>
      </c>
      <c r="T255">
        <v>91</v>
      </c>
      <c r="U255">
        <v>188</v>
      </c>
      <c r="V255">
        <v>31111.063083771449</v>
      </c>
      <c r="W255">
        <v>39810333.415949456</v>
      </c>
      <c r="X255">
        <v>3129876.6830000002</v>
      </c>
      <c r="Y255">
        <f>VLOOKUP(AB255,'2000 Seattle Tracts'!$C$2:$Z$374,24,FALSE)</f>
        <v>3157558.2140000002</v>
      </c>
      <c r="Z255">
        <f t="shared" si="6"/>
        <v>0.99123324761606435</v>
      </c>
      <c r="AA255" t="s">
        <v>190</v>
      </c>
      <c r="AB255" t="str">
        <f t="shared" si="7"/>
        <v>Census Tract 113, King County, Washington</v>
      </c>
      <c r="AC255" s="3">
        <f>VLOOKUP($AB255,'2000 Seattle Tracts'!$C$2:$Y$374,AC$1,FALSE)*$Z255</f>
        <v>5922.6186545059845</v>
      </c>
      <c r="AD255" s="3">
        <f>VLOOKUP($AB255,'2000 Seattle Tracts'!$C$2:$Y$374,AD$1,FALSE)*$Z255</f>
        <v>4247.4344660348361</v>
      </c>
      <c r="AE255" s="3">
        <f>VLOOKUP($AB255,'2000 Seattle Tracts'!$C$2:$Y$374,AE$1,FALSE)*$Z255</f>
        <v>1675.1841884711487</v>
      </c>
      <c r="AF255" s="3">
        <f>VLOOKUP($AB255,'2000 Seattle Tracts'!$C$2:$Y$374,AF$1,FALSE)*$Z255</f>
        <v>5922.6186545059845</v>
      </c>
      <c r="AG255" s="3">
        <f>VLOOKUP($AB255,'2000 Seattle Tracts'!$C$2:$Y$374,AG$1,FALSE)*$Z255</f>
        <v>4247.4344660348361</v>
      </c>
      <c r="AH255" s="3">
        <f>VLOOKUP($AB255,'2000 Seattle Tracts'!$C$2:$Y$374,AH$1,FALSE)*$Z255</f>
        <v>1675.1841884711487</v>
      </c>
      <c r="AI255" s="3">
        <f>VLOOKUP($AB255,'2000 Seattle Tracts'!$C$2:$Y$374,AI$1,FALSE)*$Z255</f>
        <v>2949.9101449054074</v>
      </c>
      <c r="AJ255" s="3">
        <f>VLOOKUP($AB255,'2000 Seattle Tracts'!$C$2:$Y$374,AJ$1,FALSE)*$Z255</f>
        <v>135.79895492340083</v>
      </c>
      <c r="AK255" s="3">
        <f>VLOOKUP($AB255,'2000 Seattle Tracts'!$C$2:$Y$374,AK$1,FALSE)*$Z255</f>
        <v>72.360027075972695</v>
      </c>
      <c r="AL255" s="3">
        <f>VLOOKUP($AB255,'2000 Seattle Tracts'!$C$2:$Y$374,AL$1,FALSE)*$Z255</f>
        <v>83.263592799749404</v>
      </c>
      <c r="AM255" s="3">
        <f>VLOOKUP($AB255,'2000 Seattle Tracts'!$C$2:$Y$374,AM$1,FALSE)*$Z255</f>
        <v>517.42375525558555</v>
      </c>
      <c r="AN255" s="3">
        <f>VLOOKUP($AB255,'2000 Seattle Tracts'!$C$2:$Y$374,AN$1,FALSE)*$Z255</f>
        <v>46.587962637955023</v>
      </c>
      <c r="AO255" s="3">
        <f>VLOOKUP($AB255,'2000 Seattle Tracts'!$C$2:$Y$374,AO$1,FALSE)*$Z255</f>
        <v>19.824664952321285</v>
      </c>
      <c r="AP255" s="3">
        <f>VLOOKUP($AB255,'2000 Seattle Tracts'!$C$2:$Y$374,AP$1,FALSE)*$Z255</f>
        <v>0</v>
      </c>
      <c r="AQ255" s="3">
        <f>VLOOKUP($AB255,'2000 Seattle Tracts'!$C$2:$Y$374,AQ$1,FALSE)*$Z255</f>
        <v>294.39627454197114</v>
      </c>
      <c r="AR255" s="3">
        <f>VLOOKUP($AB255,'2000 Seattle Tracts'!$C$2:$Y$374,AR$1,FALSE)*$Z255</f>
        <v>1080.4442399015102</v>
      </c>
      <c r="AS255" s="3">
        <f>VLOOKUP($AB255,'2000 Seattle Tracts'!$C$2:$Y$374,AS$1,FALSE)*$Z255</f>
        <v>74.342493571204827</v>
      </c>
      <c r="AT255" s="3">
        <f>VLOOKUP($AB255,'2000 Seattle Tracts'!$C$2:$Y$374,AT$1,FALSE)*$Z255</f>
        <v>36.675630161794381</v>
      </c>
      <c r="AU255" s="3">
        <f>VLOOKUP($AB255,'2000 Seattle Tracts'!$C$2:$Y$374,AU$1,FALSE)*$Z255</f>
        <v>98.132091513990375</v>
      </c>
      <c r="AV255" s="3">
        <f>VLOOKUP($AB255,'2000 Seattle Tracts'!$C$2:$Y$374,AV$1,FALSE)*$Z255</f>
        <v>211.13268174222171</v>
      </c>
      <c r="AW255" s="3">
        <f>VLOOKUP($AB255,'2000 Seattle Tracts'!$C$2:$Y$374,AW$1,FALSE)*$Z255</f>
        <v>221.04501421838236</v>
      </c>
      <c r="AX255" s="3">
        <f>VLOOKUP($AB255,'2000 Seattle Tracts'!$C$2:$Y$374,AX$1,FALSE)*$Z255</f>
        <v>81.281126304517272</v>
      </c>
    </row>
    <row r="256" spans="1:50" x14ac:dyDescent="0.25">
      <c r="A256" t="s">
        <v>2917</v>
      </c>
      <c r="B256" t="s">
        <v>2918</v>
      </c>
      <c r="C256" t="s">
        <v>2990</v>
      </c>
      <c r="D256" t="s">
        <v>2827</v>
      </c>
      <c r="E256" t="s">
        <v>2828</v>
      </c>
      <c r="F256" t="s">
        <v>2829</v>
      </c>
      <c r="G256" t="s">
        <v>2920</v>
      </c>
      <c r="H256" t="s">
        <v>2921</v>
      </c>
      <c r="I256">
        <v>3157555</v>
      </c>
      <c r="J256">
        <v>42220</v>
      </c>
      <c r="K256" t="s">
        <v>2991</v>
      </c>
      <c r="L256" t="s">
        <v>2992</v>
      </c>
      <c r="M256">
        <v>91</v>
      </c>
      <c r="N256">
        <v>25917.116999999998</v>
      </c>
      <c r="O256" t="s">
        <v>191</v>
      </c>
      <c r="P256">
        <v>20</v>
      </c>
      <c r="Q256">
        <v>10</v>
      </c>
      <c r="R256">
        <v>24</v>
      </c>
      <c r="S256">
        <v>33038268</v>
      </c>
      <c r="T256">
        <v>93</v>
      </c>
      <c r="U256">
        <v>180</v>
      </c>
      <c r="V256">
        <v>25917.117639101471</v>
      </c>
      <c r="W256">
        <v>33038267.192843691</v>
      </c>
      <c r="X256">
        <v>631.74199999999996</v>
      </c>
      <c r="Y256">
        <f>VLOOKUP(AB256,'2000 Seattle Tracts'!$C$2:$Z$374,24,FALSE)</f>
        <v>3157558.2140000002</v>
      </c>
      <c r="Z256">
        <f t="shared" si="6"/>
        <v>2.0007295422107456E-4</v>
      </c>
      <c r="AA256" t="s">
        <v>193</v>
      </c>
      <c r="AB256" t="str">
        <f t="shared" si="7"/>
        <v>Census Tract 113, King County, Washington</v>
      </c>
      <c r="AC256" s="3">
        <f>VLOOKUP($AB256,'2000 Seattle Tracts'!$C$2:$Y$374,AC$1,FALSE)*$Z256</f>
        <v>1.1954359014709204</v>
      </c>
      <c r="AD256" s="3">
        <f>VLOOKUP($AB256,'2000 Seattle Tracts'!$C$2:$Y$374,AD$1,FALSE)*$Z256</f>
        <v>0.85731260883730442</v>
      </c>
      <c r="AE256" s="3">
        <f>VLOOKUP($AB256,'2000 Seattle Tracts'!$C$2:$Y$374,AE$1,FALSE)*$Z256</f>
        <v>0.33812329263361601</v>
      </c>
      <c r="AF256" s="3">
        <f>VLOOKUP($AB256,'2000 Seattle Tracts'!$C$2:$Y$374,AF$1,FALSE)*$Z256</f>
        <v>1.1954359014709204</v>
      </c>
      <c r="AG256" s="3">
        <f>VLOOKUP($AB256,'2000 Seattle Tracts'!$C$2:$Y$374,AG$1,FALSE)*$Z256</f>
        <v>0.85731260883730442</v>
      </c>
      <c r="AH256" s="3">
        <f>VLOOKUP($AB256,'2000 Seattle Tracts'!$C$2:$Y$374,AH$1,FALSE)*$Z256</f>
        <v>0.33812329263361601</v>
      </c>
      <c r="AI256" s="3">
        <f>VLOOKUP($AB256,'2000 Seattle Tracts'!$C$2:$Y$374,AI$1,FALSE)*$Z256</f>
        <v>0.59541711176191792</v>
      </c>
      <c r="AJ256" s="3">
        <f>VLOOKUP($AB256,'2000 Seattle Tracts'!$C$2:$Y$374,AJ$1,FALSE)*$Z256</f>
        <v>2.7409994728287215E-2</v>
      </c>
      <c r="AK256" s="3">
        <f>VLOOKUP($AB256,'2000 Seattle Tracts'!$C$2:$Y$374,AK$1,FALSE)*$Z256</f>
        <v>1.4605325658138442E-2</v>
      </c>
      <c r="AL256" s="3">
        <f>VLOOKUP($AB256,'2000 Seattle Tracts'!$C$2:$Y$374,AL$1,FALSE)*$Z256</f>
        <v>1.6806128154570263E-2</v>
      </c>
      <c r="AM256" s="3">
        <f>VLOOKUP($AB256,'2000 Seattle Tracts'!$C$2:$Y$374,AM$1,FALSE)*$Z256</f>
        <v>0.10443808210340091</v>
      </c>
      <c r="AN256" s="3">
        <f>VLOOKUP($AB256,'2000 Seattle Tracts'!$C$2:$Y$374,AN$1,FALSE)*$Z256</f>
        <v>9.4034288483905038E-3</v>
      </c>
      <c r="AO256" s="3">
        <f>VLOOKUP($AB256,'2000 Seattle Tracts'!$C$2:$Y$374,AO$1,FALSE)*$Z256</f>
        <v>4.0014590844214912E-3</v>
      </c>
      <c r="AP256" s="3">
        <f>VLOOKUP($AB256,'2000 Seattle Tracts'!$C$2:$Y$374,AP$1,FALSE)*$Z256</f>
        <v>0</v>
      </c>
      <c r="AQ256" s="3">
        <f>VLOOKUP($AB256,'2000 Seattle Tracts'!$C$2:$Y$374,AQ$1,FALSE)*$Z256</f>
        <v>5.9421667403659145E-2</v>
      </c>
      <c r="AR256" s="3">
        <f>VLOOKUP($AB256,'2000 Seattle Tracts'!$C$2:$Y$374,AR$1,FALSE)*$Z256</f>
        <v>0.21807952010097126</v>
      </c>
      <c r="AS256" s="3">
        <f>VLOOKUP($AB256,'2000 Seattle Tracts'!$C$2:$Y$374,AS$1,FALSE)*$Z256</f>
        <v>1.5005471566580593E-2</v>
      </c>
      <c r="AT256" s="3">
        <f>VLOOKUP($AB256,'2000 Seattle Tracts'!$C$2:$Y$374,AT$1,FALSE)*$Z256</f>
        <v>7.4026993061797582E-3</v>
      </c>
      <c r="AU256" s="3">
        <f>VLOOKUP($AB256,'2000 Seattle Tracts'!$C$2:$Y$374,AU$1,FALSE)*$Z256</f>
        <v>1.9807222467886382E-2</v>
      </c>
      <c r="AV256" s="3">
        <f>VLOOKUP($AB256,'2000 Seattle Tracts'!$C$2:$Y$374,AV$1,FALSE)*$Z256</f>
        <v>4.2615539249088882E-2</v>
      </c>
      <c r="AW256" s="3">
        <f>VLOOKUP($AB256,'2000 Seattle Tracts'!$C$2:$Y$374,AW$1,FALSE)*$Z256</f>
        <v>4.4616268791299624E-2</v>
      </c>
      <c r="AX256" s="3">
        <f>VLOOKUP($AB256,'2000 Seattle Tracts'!$C$2:$Y$374,AX$1,FALSE)*$Z256</f>
        <v>1.6405982246128114E-2</v>
      </c>
    </row>
    <row r="257" spans="1:50" x14ac:dyDescent="0.25">
      <c r="A257" t="s">
        <v>2917</v>
      </c>
      <c r="B257" t="s">
        <v>2918</v>
      </c>
      <c r="C257" t="s">
        <v>2990</v>
      </c>
      <c r="D257" t="s">
        <v>2827</v>
      </c>
      <c r="E257" t="s">
        <v>2828</v>
      </c>
      <c r="F257" t="s">
        <v>2829</v>
      </c>
      <c r="G257" t="s">
        <v>2920</v>
      </c>
      <c r="H257" t="s">
        <v>2921</v>
      </c>
      <c r="I257">
        <v>3157555</v>
      </c>
      <c r="J257">
        <v>42220</v>
      </c>
      <c r="K257" t="s">
        <v>2991</v>
      </c>
      <c r="L257" t="s">
        <v>2992</v>
      </c>
      <c r="M257">
        <v>93</v>
      </c>
      <c r="N257">
        <v>23416.34</v>
      </c>
      <c r="O257" t="s">
        <v>191</v>
      </c>
      <c r="P257">
        <v>20</v>
      </c>
      <c r="Q257">
        <v>10</v>
      </c>
      <c r="R257">
        <v>94</v>
      </c>
      <c r="S257">
        <v>17923316</v>
      </c>
      <c r="T257">
        <v>95</v>
      </c>
      <c r="U257">
        <v>190</v>
      </c>
      <c r="V257">
        <v>23416.340535979401</v>
      </c>
      <c r="W257">
        <v>17923316.223963421</v>
      </c>
      <c r="X257">
        <v>7107.2669999999998</v>
      </c>
      <c r="Y257">
        <f>VLOOKUP(AB257,'2000 Seattle Tracts'!$C$2:$Z$374,24,FALSE)</f>
        <v>3157558.2140000002</v>
      </c>
      <c r="Z257">
        <f t="shared" si="6"/>
        <v>2.2508744157076054E-3</v>
      </c>
      <c r="AA257" t="s">
        <v>195</v>
      </c>
      <c r="AB257" t="str">
        <f t="shared" si="7"/>
        <v>Census Tract 113, King County, Washington</v>
      </c>
      <c r="AC257" s="3">
        <f>VLOOKUP($AB257,'2000 Seattle Tracts'!$C$2:$Y$374,AC$1,FALSE)*$Z257</f>
        <v>13.448974633852943</v>
      </c>
      <c r="AD257" s="3">
        <f>VLOOKUP($AB257,'2000 Seattle Tracts'!$C$2:$Y$374,AD$1,FALSE)*$Z257</f>
        <v>9.6449968713070895</v>
      </c>
      <c r="AE257" s="3">
        <f>VLOOKUP($AB257,'2000 Seattle Tracts'!$C$2:$Y$374,AE$1,FALSE)*$Z257</f>
        <v>3.8039777625458533</v>
      </c>
      <c r="AF257" s="3">
        <f>VLOOKUP($AB257,'2000 Seattle Tracts'!$C$2:$Y$374,AF$1,FALSE)*$Z257</f>
        <v>13.448974633852943</v>
      </c>
      <c r="AG257" s="3">
        <f>VLOOKUP($AB257,'2000 Seattle Tracts'!$C$2:$Y$374,AG$1,FALSE)*$Z257</f>
        <v>9.6449968713070895</v>
      </c>
      <c r="AH257" s="3">
        <f>VLOOKUP($AB257,'2000 Seattle Tracts'!$C$2:$Y$374,AH$1,FALSE)*$Z257</f>
        <v>3.8039777625458533</v>
      </c>
      <c r="AI257" s="3">
        <f>VLOOKUP($AB257,'2000 Seattle Tracts'!$C$2:$Y$374,AI$1,FALSE)*$Z257</f>
        <v>6.698602261145834</v>
      </c>
      <c r="AJ257" s="3">
        <f>VLOOKUP($AB257,'2000 Seattle Tracts'!$C$2:$Y$374,AJ$1,FALSE)*$Z257</f>
        <v>0.30836979495194194</v>
      </c>
      <c r="AK257" s="3">
        <f>VLOOKUP($AB257,'2000 Seattle Tracts'!$C$2:$Y$374,AK$1,FALSE)*$Z257</f>
        <v>0.1643138323466552</v>
      </c>
      <c r="AL257" s="3">
        <f>VLOOKUP($AB257,'2000 Seattle Tracts'!$C$2:$Y$374,AL$1,FALSE)*$Z257</f>
        <v>0.18907345091943886</v>
      </c>
      <c r="AM257" s="3">
        <f>VLOOKUP($AB257,'2000 Seattle Tracts'!$C$2:$Y$374,AM$1,FALSE)*$Z257</f>
        <v>1.1749564449993701</v>
      </c>
      <c r="AN257" s="3">
        <f>VLOOKUP($AB257,'2000 Seattle Tracts'!$C$2:$Y$374,AN$1,FALSE)*$Z257</f>
        <v>0.10579109753825745</v>
      </c>
      <c r="AO257" s="3">
        <f>VLOOKUP($AB257,'2000 Seattle Tracts'!$C$2:$Y$374,AO$1,FALSE)*$Z257</f>
        <v>4.5017488314152108E-2</v>
      </c>
      <c r="AP257" s="3">
        <f>VLOOKUP($AB257,'2000 Seattle Tracts'!$C$2:$Y$374,AP$1,FALSE)*$Z257</f>
        <v>0</v>
      </c>
      <c r="AQ257" s="3">
        <f>VLOOKUP($AB257,'2000 Seattle Tracts'!$C$2:$Y$374,AQ$1,FALSE)*$Z257</f>
        <v>0.66850970146515876</v>
      </c>
      <c r="AR257" s="3">
        <f>VLOOKUP($AB257,'2000 Seattle Tracts'!$C$2:$Y$374,AR$1,FALSE)*$Z257</f>
        <v>2.4534531131212898</v>
      </c>
      <c r="AS257" s="3">
        <f>VLOOKUP($AB257,'2000 Seattle Tracts'!$C$2:$Y$374,AS$1,FALSE)*$Z257</f>
        <v>0.16881558117807041</v>
      </c>
      <c r="AT257" s="3">
        <f>VLOOKUP($AB257,'2000 Seattle Tracts'!$C$2:$Y$374,AT$1,FALSE)*$Z257</f>
        <v>8.3282353381181395E-2</v>
      </c>
      <c r="AU257" s="3">
        <f>VLOOKUP($AB257,'2000 Seattle Tracts'!$C$2:$Y$374,AU$1,FALSE)*$Z257</f>
        <v>0.22283656715505293</v>
      </c>
      <c r="AV257" s="3">
        <f>VLOOKUP($AB257,'2000 Seattle Tracts'!$C$2:$Y$374,AV$1,FALSE)*$Z257</f>
        <v>0.47943625054571998</v>
      </c>
      <c r="AW257" s="3">
        <f>VLOOKUP($AB257,'2000 Seattle Tracts'!$C$2:$Y$374,AW$1,FALSE)*$Z257</f>
        <v>0.50194499470279597</v>
      </c>
      <c r="AX257" s="3">
        <f>VLOOKUP($AB257,'2000 Seattle Tracts'!$C$2:$Y$374,AX$1,FALSE)*$Z257</f>
        <v>0.18457170208802365</v>
      </c>
    </row>
    <row r="258" spans="1:50" x14ac:dyDescent="0.25">
      <c r="A258" t="s">
        <v>2917</v>
      </c>
      <c r="B258" t="s">
        <v>2918</v>
      </c>
      <c r="C258" t="s">
        <v>2990</v>
      </c>
      <c r="D258" t="s">
        <v>2827</v>
      </c>
      <c r="E258" t="s">
        <v>2828</v>
      </c>
      <c r="F258" t="s">
        <v>2829</v>
      </c>
      <c r="G258" t="s">
        <v>2920</v>
      </c>
      <c r="H258" t="s">
        <v>2921</v>
      </c>
      <c r="I258">
        <v>3157555</v>
      </c>
      <c r="J258">
        <v>42220</v>
      </c>
      <c r="K258" t="s">
        <v>2991</v>
      </c>
      <c r="L258" t="s">
        <v>2992</v>
      </c>
      <c r="M258">
        <v>107</v>
      </c>
      <c r="N258">
        <v>58047.309000000001</v>
      </c>
      <c r="O258" t="s">
        <v>122</v>
      </c>
      <c r="P258">
        <v>18</v>
      </c>
      <c r="Q258">
        <v>12</v>
      </c>
      <c r="R258">
        <v>95</v>
      </c>
      <c r="S258">
        <v>24681990</v>
      </c>
      <c r="T258">
        <v>109</v>
      </c>
      <c r="U258">
        <v>198</v>
      </c>
      <c r="V258">
        <v>58047.307413870847</v>
      </c>
      <c r="W258">
        <v>24681989.600617379</v>
      </c>
      <c r="X258">
        <v>147.12299999999999</v>
      </c>
      <c r="Y258">
        <f>VLOOKUP(AB258,'2000 Seattle Tracts'!$C$2:$Z$374,24,FALSE)</f>
        <v>3157558.2140000002</v>
      </c>
      <c r="Z258">
        <f t="shared" si="6"/>
        <v>4.6593915306987904E-5</v>
      </c>
      <c r="AA258" t="s">
        <v>165</v>
      </c>
      <c r="AB258" t="str">
        <f t="shared" si="7"/>
        <v>Census Tract 113, King County, Washington</v>
      </c>
      <c r="AC258" s="3">
        <f>VLOOKUP($AB258,'2000 Seattle Tracts'!$C$2:$Y$374,AC$1,FALSE)*$Z258</f>
        <v>0.27839864395925273</v>
      </c>
      <c r="AD258" s="3">
        <f>VLOOKUP($AB258,'2000 Seattle Tracts'!$C$2:$Y$374,AD$1,FALSE)*$Z258</f>
        <v>0.19965492709044316</v>
      </c>
      <c r="AE258" s="3">
        <f>VLOOKUP($AB258,'2000 Seattle Tracts'!$C$2:$Y$374,AE$1,FALSE)*$Z258</f>
        <v>7.8743716868809557E-2</v>
      </c>
      <c r="AF258" s="3">
        <f>VLOOKUP($AB258,'2000 Seattle Tracts'!$C$2:$Y$374,AF$1,FALSE)*$Z258</f>
        <v>0.27839864395925273</v>
      </c>
      <c r="AG258" s="3">
        <f>VLOOKUP($AB258,'2000 Seattle Tracts'!$C$2:$Y$374,AG$1,FALSE)*$Z258</f>
        <v>0.19965492709044316</v>
      </c>
      <c r="AH258" s="3">
        <f>VLOOKUP($AB258,'2000 Seattle Tracts'!$C$2:$Y$374,AH$1,FALSE)*$Z258</f>
        <v>7.8743716868809557E-2</v>
      </c>
      <c r="AI258" s="3">
        <f>VLOOKUP($AB258,'2000 Seattle Tracts'!$C$2:$Y$374,AI$1,FALSE)*$Z258</f>
        <v>0.13866349195359601</v>
      </c>
      <c r="AJ258" s="3">
        <f>VLOOKUP($AB258,'2000 Seattle Tracts'!$C$2:$Y$374,AJ$1,FALSE)*$Z258</f>
        <v>6.3833663970573424E-3</v>
      </c>
      <c r="AK258" s="3">
        <f>VLOOKUP($AB258,'2000 Seattle Tracts'!$C$2:$Y$374,AK$1,FALSE)*$Z258</f>
        <v>3.401355817410117E-3</v>
      </c>
      <c r="AL258" s="3">
        <f>VLOOKUP($AB258,'2000 Seattle Tracts'!$C$2:$Y$374,AL$1,FALSE)*$Z258</f>
        <v>3.9138888857869836E-3</v>
      </c>
      <c r="AM258" s="3">
        <f>VLOOKUP($AB258,'2000 Seattle Tracts'!$C$2:$Y$374,AM$1,FALSE)*$Z258</f>
        <v>2.4322023790247685E-2</v>
      </c>
      <c r="AN258" s="3">
        <f>VLOOKUP($AB258,'2000 Seattle Tracts'!$C$2:$Y$374,AN$1,FALSE)*$Z258</f>
        <v>2.1899140194284314E-3</v>
      </c>
      <c r="AO258" s="3">
        <f>VLOOKUP($AB258,'2000 Seattle Tracts'!$C$2:$Y$374,AO$1,FALSE)*$Z258</f>
        <v>9.318783061397581E-4</v>
      </c>
      <c r="AP258" s="3">
        <f>VLOOKUP($AB258,'2000 Seattle Tracts'!$C$2:$Y$374,AP$1,FALSE)*$Z258</f>
        <v>0</v>
      </c>
      <c r="AQ258" s="3">
        <f>VLOOKUP($AB258,'2000 Seattle Tracts'!$C$2:$Y$374,AQ$1,FALSE)*$Z258</f>
        <v>1.3838392846175407E-2</v>
      </c>
      <c r="AR258" s="3">
        <f>VLOOKUP($AB258,'2000 Seattle Tracts'!$C$2:$Y$374,AR$1,FALSE)*$Z258</f>
        <v>5.0787367684616815E-2</v>
      </c>
      <c r="AS258" s="3">
        <f>VLOOKUP($AB258,'2000 Seattle Tracts'!$C$2:$Y$374,AS$1,FALSE)*$Z258</f>
        <v>3.4945436480240928E-3</v>
      </c>
      <c r="AT258" s="3">
        <f>VLOOKUP($AB258,'2000 Seattle Tracts'!$C$2:$Y$374,AT$1,FALSE)*$Z258</f>
        <v>1.7239748663585525E-3</v>
      </c>
      <c r="AU258" s="3">
        <f>VLOOKUP($AB258,'2000 Seattle Tracts'!$C$2:$Y$374,AU$1,FALSE)*$Z258</f>
        <v>4.6127976153918027E-3</v>
      </c>
      <c r="AV258" s="3">
        <f>VLOOKUP($AB258,'2000 Seattle Tracts'!$C$2:$Y$374,AV$1,FALSE)*$Z258</f>
        <v>9.9245039603884228E-3</v>
      </c>
      <c r="AW258" s="3">
        <f>VLOOKUP($AB258,'2000 Seattle Tracts'!$C$2:$Y$374,AW$1,FALSE)*$Z258</f>
        <v>1.0390443113458303E-2</v>
      </c>
      <c r="AX258" s="3">
        <f>VLOOKUP($AB258,'2000 Seattle Tracts'!$C$2:$Y$374,AX$1,FALSE)*$Z258</f>
        <v>3.8207010551730082E-3</v>
      </c>
    </row>
    <row r="259" spans="1:50" x14ac:dyDescent="0.25">
      <c r="A259" t="s">
        <v>2917</v>
      </c>
      <c r="B259" t="s">
        <v>2918</v>
      </c>
      <c r="C259" t="s">
        <v>2987</v>
      </c>
      <c r="D259" t="s">
        <v>2830</v>
      </c>
      <c r="E259" t="s">
        <v>2831</v>
      </c>
      <c r="F259" t="s">
        <v>2832</v>
      </c>
      <c r="G259" t="s">
        <v>2920</v>
      </c>
      <c r="H259" t="s">
        <v>2921</v>
      </c>
      <c r="I259">
        <v>2760287</v>
      </c>
      <c r="J259">
        <v>227305</v>
      </c>
      <c r="K259" t="s">
        <v>3448</v>
      </c>
      <c r="L259" t="s">
        <v>3449</v>
      </c>
      <c r="M259">
        <v>69</v>
      </c>
      <c r="N259">
        <v>30433.403999999999</v>
      </c>
      <c r="O259" t="s">
        <v>122</v>
      </c>
      <c r="P259">
        <v>18</v>
      </c>
      <c r="Q259">
        <v>12</v>
      </c>
      <c r="R259">
        <v>9</v>
      </c>
      <c r="S259">
        <v>29423452</v>
      </c>
      <c r="T259">
        <v>71</v>
      </c>
      <c r="U259">
        <v>187</v>
      </c>
      <c r="V259">
        <v>30433.404868631082</v>
      </c>
      <c r="W259">
        <v>29423452.15209388</v>
      </c>
      <c r="X259">
        <v>2678346.8849999998</v>
      </c>
      <c r="Y259">
        <f>VLOOKUP(AB259,'2000 Seattle Tracts'!$C$2:$Z$374,24,FALSE)</f>
        <v>2738588.4789999998</v>
      </c>
      <c r="Z259">
        <f t="shared" si="6"/>
        <v>0.97800268479110908</v>
      </c>
      <c r="AA259" t="s">
        <v>167</v>
      </c>
      <c r="AB259" t="str">
        <f t="shared" si="7"/>
        <v>Census Tract 112, King County, Washington</v>
      </c>
      <c r="AC259" s="3">
        <f>VLOOKUP($AB259,'2000 Seattle Tracts'!$C$2:$Y$374,AC$1,FALSE)*$Z259</f>
        <v>3635.2359793685523</v>
      </c>
      <c r="AD259" s="3">
        <f>VLOOKUP($AB259,'2000 Seattle Tracts'!$C$2:$Y$374,AD$1,FALSE)*$Z259</f>
        <v>2404.9086019013371</v>
      </c>
      <c r="AE259" s="3">
        <f>VLOOKUP($AB259,'2000 Seattle Tracts'!$C$2:$Y$374,AE$1,FALSE)*$Z259</f>
        <v>1230.3273774672152</v>
      </c>
      <c r="AF259" s="3">
        <f>VLOOKUP($AB259,'2000 Seattle Tracts'!$C$2:$Y$374,AF$1,FALSE)*$Z259</f>
        <v>3635.2359793685523</v>
      </c>
      <c r="AG259" s="3">
        <f>VLOOKUP($AB259,'2000 Seattle Tracts'!$C$2:$Y$374,AG$1,FALSE)*$Z259</f>
        <v>2404.9086019013371</v>
      </c>
      <c r="AH259" s="3">
        <f>VLOOKUP($AB259,'2000 Seattle Tracts'!$C$2:$Y$374,AH$1,FALSE)*$Z259</f>
        <v>1230.3273774672152</v>
      </c>
      <c r="AI259" s="3">
        <f>VLOOKUP($AB259,'2000 Seattle Tracts'!$C$2:$Y$374,AI$1,FALSE)*$Z259</f>
        <v>1209.7893210866018</v>
      </c>
      <c r="AJ259" s="3">
        <f>VLOOKUP($AB259,'2000 Seattle Tracts'!$C$2:$Y$374,AJ$1,FALSE)*$Z259</f>
        <v>16.626045641448854</v>
      </c>
      <c r="AK259" s="3">
        <f>VLOOKUP($AB259,'2000 Seattle Tracts'!$C$2:$Y$374,AK$1,FALSE)*$Z259</f>
        <v>75.306206728915399</v>
      </c>
      <c r="AL259" s="3">
        <f>VLOOKUP($AB259,'2000 Seattle Tracts'!$C$2:$Y$374,AL$1,FALSE)*$Z259</f>
        <v>278.7307651654661</v>
      </c>
      <c r="AM259" s="3">
        <f>VLOOKUP($AB259,'2000 Seattle Tracts'!$C$2:$Y$374,AM$1,FALSE)*$Z259</f>
        <v>272.86274905671945</v>
      </c>
      <c r="AN259" s="3">
        <f>VLOOKUP($AB259,'2000 Seattle Tracts'!$C$2:$Y$374,AN$1,FALSE)*$Z259</f>
        <v>0</v>
      </c>
      <c r="AO259" s="3">
        <f>VLOOKUP($AB259,'2000 Seattle Tracts'!$C$2:$Y$374,AO$1,FALSE)*$Z259</f>
        <v>122.25033559888864</v>
      </c>
      <c r="AP259" s="3">
        <f>VLOOKUP($AB259,'2000 Seattle Tracts'!$C$2:$Y$374,AP$1,FALSE)*$Z259</f>
        <v>0</v>
      </c>
      <c r="AQ259" s="3">
        <f>VLOOKUP($AB259,'2000 Seattle Tracts'!$C$2:$Y$374,AQ$1,FALSE)*$Z259</f>
        <v>124.20634096847085</v>
      </c>
      <c r="AR259" s="3">
        <f>VLOOKUP($AB259,'2000 Seattle Tracts'!$C$2:$Y$374,AR$1,FALSE)*$Z259</f>
        <v>404.89311150351915</v>
      </c>
      <c r="AS259" s="3">
        <f>VLOOKUP($AB259,'2000 Seattle Tracts'!$C$2:$Y$374,AS$1,FALSE)*$Z259</f>
        <v>47.922131554764341</v>
      </c>
      <c r="AT259" s="3">
        <f>VLOOKUP($AB259,'2000 Seattle Tracts'!$C$2:$Y$374,AT$1,FALSE)*$Z259</f>
        <v>6.8460187935377634</v>
      </c>
      <c r="AU259" s="3">
        <f>VLOOKUP($AB259,'2000 Seattle Tracts'!$C$2:$Y$374,AU$1,FALSE)*$Z259</f>
        <v>379.4650416989503</v>
      </c>
      <c r="AV259" s="3">
        <f>VLOOKUP($AB259,'2000 Seattle Tracts'!$C$2:$Y$374,AV$1,FALSE)*$Z259</f>
        <v>475.309304808479</v>
      </c>
      <c r="AW259" s="3">
        <f>VLOOKUP($AB259,'2000 Seattle Tracts'!$C$2:$Y$374,AW$1,FALSE)*$Z259</f>
        <v>173.1064752080263</v>
      </c>
      <c r="AX259" s="3">
        <f>VLOOKUP($AB259,'2000 Seattle Tracts'!$C$2:$Y$374,AX$1,FALSE)*$Z259</f>
        <v>47.922131554764341</v>
      </c>
    </row>
    <row r="260" spans="1:50" x14ac:dyDescent="0.25">
      <c r="A260" t="s">
        <v>2917</v>
      </c>
      <c r="B260" t="s">
        <v>2918</v>
      </c>
      <c r="C260" t="s">
        <v>2987</v>
      </c>
      <c r="D260" t="s">
        <v>2830</v>
      </c>
      <c r="E260" t="s">
        <v>2831</v>
      </c>
      <c r="F260" t="s">
        <v>2832</v>
      </c>
      <c r="G260" t="s">
        <v>2920</v>
      </c>
      <c r="H260" t="s">
        <v>2921</v>
      </c>
      <c r="I260">
        <v>2760287</v>
      </c>
      <c r="J260">
        <v>227305</v>
      </c>
      <c r="K260" t="s">
        <v>3448</v>
      </c>
      <c r="L260" t="s">
        <v>3449</v>
      </c>
      <c r="M260">
        <v>89</v>
      </c>
      <c r="N260">
        <v>31111.062999999998</v>
      </c>
      <c r="O260" t="s">
        <v>191</v>
      </c>
      <c r="P260">
        <v>20</v>
      </c>
      <c r="Q260">
        <v>10</v>
      </c>
      <c r="R260">
        <v>23</v>
      </c>
      <c r="S260">
        <v>39810332</v>
      </c>
      <c r="T260">
        <v>91</v>
      </c>
      <c r="U260">
        <v>188</v>
      </c>
      <c r="V260">
        <v>31111.063083771449</v>
      </c>
      <c r="W260">
        <v>39810333.415949456</v>
      </c>
      <c r="X260">
        <v>30126.893</v>
      </c>
      <c r="Y260">
        <f>VLOOKUP(AB260,'2000 Seattle Tracts'!$C$2:$Z$374,24,FALSE)</f>
        <v>2738588.4789999998</v>
      </c>
      <c r="Z260">
        <f t="shared" ref="Z260:Z323" si="8">X260/Y260</f>
        <v>1.1000883568677278E-2</v>
      </c>
      <c r="AA260" t="s">
        <v>190</v>
      </c>
      <c r="AB260" t="str">
        <f t="shared" ref="AB260:AB323" si="9">_xlfn.CONCAT(F260, ", King County, Washington")</f>
        <v>Census Tract 112, King County, Washington</v>
      </c>
      <c r="AC260" s="3">
        <f>VLOOKUP($AB260,'2000 Seattle Tracts'!$C$2:$Y$374,AC$1,FALSE)*$Z260</f>
        <v>40.890284224773445</v>
      </c>
      <c r="AD260" s="3">
        <f>VLOOKUP($AB260,'2000 Seattle Tracts'!$C$2:$Y$374,AD$1,FALSE)*$Z260</f>
        <v>27.051172695377428</v>
      </c>
      <c r="AE260" s="3">
        <f>VLOOKUP($AB260,'2000 Seattle Tracts'!$C$2:$Y$374,AE$1,FALSE)*$Z260</f>
        <v>13.839111529396016</v>
      </c>
      <c r="AF260" s="3">
        <f>VLOOKUP($AB260,'2000 Seattle Tracts'!$C$2:$Y$374,AF$1,FALSE)*$Z260</f>
        <v>40.890284224773445</v>
      </c>
      <c r="AG260" s="3">
        <f>VLOOKUP($AB260,'2000 Seattle Tracts'!$C$2:$Y$374,AG$1,FALSE)*$Z260</f>
        <v>27.051172695377428</v>
      </c>
      <c r="AH260" s="3">
        <f>VLOOKUP($AB260,'2000 Seattle Tracts'!$C$2:$Y$374,AH$1,FALSE)*$Z260</f>
        <v>13.839111529396016</v>
      </c>
      <c r="AI260" s="3">
        <f>VLOOKUP($AB260,'2000 Seattle Tracts'!$C$2:$Y$374,AI$1,FALSE)*$Z260</f>
        <v>13.608092974453793</v>
      </c>
      <c r="AJ260" s="3">
        <f>VLOOKUP($AB260,'2000 Seattle Tracts'!$C$2:$Y$374,AJ$1,FALSE)*$Z260</f>
        <v>0.18701502066751374</v>
      </c>
      <c r="AK260" s="3">
        <f>VLOOKUP($AB260,'2000 Seattle Tracts'!$C$2:$Y$374,AK$1,FALSE)*$Z260</f>
        <v>0.8470680347881504</v>
      </c>
      <c r="AL260" s="3">
        <f>VLOOKUP($AB260,'2000 Seattle Tracts'!$C$2:$Y$374,AL$1,FALSE)*$Z260</f>
        <v>3.1352518170730241</v>
      </c>
      <c r="AM260" s="3">
        <f>VLOOKUP($AB260,'2000 Seattle Tracts'!$C$2:$Y$374,AM$1,FALSE)*$Z260</f>
        <v>3.0692465156609607</v>
      </c>
      <c r="AN260" s="3">
        <f>VLOOKUP($AB260,'2000 Seattle Tracts'!$C$2:$Y$374,AN$1,FALSE)*$Z260</f>
        <v>0</v>
      </c>
      <c r="AO260" s="3">
        <f>VLOOKUP($AB260,'2000 Seattle Tracts'!$C$2:$Y$374,AO$1,FALSE)*$Z260</f>
        <v>1.3751104460846597</v>
      </c>
      <c r="AP260" s="3">
        <f>VLOOKUP($AB260,'2000 Seattle Tracts'!$C$2:$Y$374,AP$1,FALSE)*$Z260</f>
        <v>0</v>
      </c>
      <c r="AQ260" s="3">
        <f>VLOOKUP($AB260,'2000 Seattle Tracts'!$C$2:$Y$374,AQ$1,FALSE)*$Z260</f>
        <v>1.3971122132220144</v>
      </c>
      <c r="AR260" s="3">
        <f>VLOOKUP($AB260,'2000 Seattle Tracts'!$C$2:$Y$374,AR$1,FALSE)*$Z260</f>
        <v>4.5543657974323937</v>
      </c>
      <c r="AS260" s="3">
        <f>VLOOKUP($AB260,'2000 Seattle Tracts'!$C$2:$Y$374,AS$1,FALSE)*$Z260</f>
        <v>0.53904329486518665</v>
      </c>
      <c r="AT260" s="3">
        <f>VLOOKUP($AB260,'2000 Seattle Tracts'!$C$2:$Y$374,AT$1,FALSE)*$Z260</f>
        <v>7.7006184980740952E-2</v>
      </c>
      <c r="AU260" s="3">
        <f>VLOOKUP($AB260,'2000 Seattle Tracts'!$C$2:$Y$374,AU$1,FALSE)*$Z260</f>
        <v>4.2683428246467843</v>
      </c>
      <c r="AV260" s="3">
        <f>VLOOKUP($AB260,'2000 Seattle Tracts'!$C$2:$Y$374,AV$1,FALSE)*$Z260</f>
        <v>5.3464294143771571</v>
      </c>
      <c r="AW260" s="3">
        <f>VLOOKUP($AB260,'2000 Seattle Tracts'!$C$2:$Y$374,AW$1,FALSE)*$Z260</f>
        <v>1.9471563916558783</v>
      </c>
      <c r="AX260" s="3">
        <f>VLOOKUP($AB260,'2000 Seattle Tracts'!$C$2:$Y$374,AX$1,FALSE)*$Z260</f>
        <v>0.53904329486518665</v>
      </c>
    </row>
    <row r="261" spans="1:50" x14ac:dyDescent="0.25">
      <c r="A261" t="s">
        <v>2917</v>
      </c>
      <c r="B261" t="s">
        <v>2918</v>
      </c>
      <c r="C261" t="s">
        <v>2987</v>
      </c>
      <c r="D261" t="s">
        <v>2830</v>
      </c>
      <c r="E261" t="s">
        <v>2831</v>
      </c>
      <c r="F261" t="s">
        <v>2832</v>
      </c>
      <c r="G261" t="s">
        <v>2920</v>
      </c>
      <c r="H261" t="s">
        <v>2921</v>
      </c>
      <c r="I261">
        <v>2760287</v>
      </c>
      <c r="J261">
        <v>227305</v>
      </c>
      <c r="K261" t="s">
        <v>3448</v>
      </c>
      <c r="L261" t="s">
        <v>3449</v>
      </c>
      <c r="M261">
        <v>107</v>
      </c>
      <c r="N261">
        <v>58047.309000000001</v>
      </c>
      <c r="O261" t="s">
        <v>122</v>
      </c>
      <c r="P261">
        <v>18</v>
      </c>
      <c r="Q261">
        <v>12</v>
      </c>
      <c r="R261">
        <v>95</v>
      </c>
      <c r="S261">
        <v>24681990</v>
      </c>
      <c r="T261">
        <v>109</v>
      </c>
      <c r="U261">
        <v>198</v>
      </c>
      <c r="V261">
        <v>58047.307413870847</v>
      </c>
      <c r="W261">
        <v>24681989.600617379</v>
      </c>
      <c r="X261">
        <v>6334.357</v>
      </c>
      <c r="Y261">
        <f>VLOOKUP(AB261,'2000 Seattle Tracts'!$C$2:$Z$374,24,FALSE)</f>
        <v>2738588.4789999998</v>
      </c>
      <c r="Z261">
        <f t="shared" si="8"/>
        <v>2.3130006748268367E-3</v>
      </c>
      <c r="AA261" t="s">
        <v>165</v>
      </c>
      <c r="AB261" t="str">
        <f t="shared" si="9"/>
        <v>Census Tract 112, King County, Washington</v>
      </c>
      <c r="AC261" s="3">
        <f>VLOOKUP($AB261,'2000 Seattle Tracts'!$C$2:$Y$374,AC$1,FALSE)*$Z261</f>
        <v>8.5974235083313513</v>
      </c>
      <c r="AD261" s="3">
        <f>VLOOKUP($AB261,'2000 Seattle Tracts'!$C$2:$Y$374,AD$1,FALSE)*$Z261</f>
        <v>5.6876686593991916</v>
      </c>
      <c r="AE261" s="3">
        <f>VLOOKUP($AB261,'2000 Seattle Tracts'!$C$2:$Y$374,AE$1,FALSE)*$Z261</f>
        <v>2.9097548489321605</v>
      </c>
      <c r="AF261" s="3">
        <f>VLOOKUP($AB261,'2000 Seattle Tracts'!$C$2:$Y$374,AF$1,FALSE)*$Z261</f>
        <v>8.5974235083313513</v>
      </c>
      <c r="AG261" s="3">
        <f>VLOOKUP($AB261,'2000 Seattle Tracts'!$C$2:$Y$374,AG$1,FALSE)*$Z261</f>
        <v>5.6876686593991916</v>
      </c>
      <c r="AH261" s="3">
        <f>VLOOKUP($AB261,'2000 Seattle Tracts'!$C$2:$Y$374,AH$1,FALSE)*$Z261</f>
        <v>2.9097548489321605</v>
      </c>
      <c r="AI261" s="3">
        <f>VLOOKUP($AB261,'2000 Seattle Tracts'!$C$2:$Y$374,AI$1,FALSE)*$Z261</f>
        <v>2.8611818347607971</v>
      </c>
      <c r="AJ261" s="3">
        <f>VLOOKUP($AB261,'2000 Seattle Tracts'!$C$2:$Y$374,AJ$1,FALSE)*$Z261</f>
        <v>3.9321011472056223E-2</v>
      </c>
      <c r="AK261" s="3">
        <f>VLOOKUP($AB261,'2000 Seattle Tracts'!$C$2:$Y$374,AK$1,FALSE)*$Z261</f>
        <v>0.17810105196166642</v>
      </c>
      <c r="AL261" s="3">
        <f>VLOOKUP($AB261,'2000 Seattle Tracts'!$C$2:$Y$374,AL$1,FALSE)*$Z261</f>
        <v>0.65920519232564845</v>
      </c>
      <c r="AM261" s="3">
        <f>VLOOKUP($AB261,'2000 Seattle Tracts'!$C$2:$Y$374,AM$1,FALSE)*$Z261</f>
        <v>0.64532718827668745</v>
      </c>
      <c r="AN261" s="3">
        <f>VLOOKUP($AB261,'2000 Seattle Tracts'!$C$2:$Y$374,AN$1,FALSE)*$Z261</f>
        <v>0</v>
      </c>
      <c r="AO261" s="3">
        <f>VLOOKUP($AB261,'2000 Seattle Tracts'!$C$2:$Y$374,AO$1,FALSE)*$Z261</f>
        <v>0.2891250843533546</v>
      </c>
      <c r="AP261" s="3">
        <f>VLOOKUP($AB261,'2000 Seattle Tracts'!$C$2:$Y$374,AP$1,FALSE)*$Z261</f>
        <v>0</v>
      </c>
      <c r="AQ261" s="3">
        <f>VLOOKUP($AB261,'2000 Seattle Tracts'!$C$2:$Y$374,AQ$1,FALSE)*$Z261</f>
        <v>0.29375108570300829</v>
      </c>
      <c r="AR261" s="3">
        <f>VLOOKUP($AB261,'2000 Seattle Tracts'!$C$2:$Y$374,AR$1,FALSE)*$Z261</f>
        <v>0.95758227937831042</v>
      </c>
      <c r="AS261" s="3">
        <f>VLOOKUP($AB261,'2000 Seattle Tracts'!$C$2:$Y$374,AS$1,FALSE)*$Z261</f>
        <v>0.11333703306651501</v>
      </c>
      <c r="AT261" s="3">
        <f>VLOOKUP($AB261,'2000 Seattle Tracts'!$C$2:$Y$374,AT$1,FALSE)*$Z261</f>
        <v>1.6191004723787858E-2</v>
      </c>
      <c r="AU261" s="3">
        <f>VLOOKUP($AB261,'2000 Seattle Tracts'!$C$2:$Y$374,AU$1,FALSE)*$Z261</f>
        <v>0.89744426183281267</v>
      </c>
      <c r="AV261" s="3">
        <f>VLOOKUP($AB261,'2000 Seattle Tracts'!$C$2:$Y$374,AV$1,FALSE)*$Z261</f>
        <v>1.1241183279658427</v>
      </c>
      <c r="AW261" s="3">
        <f>VLOOKUP($AB261,'2000 Seattle Tracts'!$C$2:$Y$374,AW$1,FALSE)*$Z261</f>
        <v>0.40940111944435009</v>
      </c>
      <c r="AX261" s="3">
        <f>VLOOKUP($AB261,'2000 Seattle Tracts'!$C$2:$Y$374,AX$1,FALSE)*$Z261</f>
        <v>0.11333703306651501</v>
      </c>
    </row>
    <row r="262" spans="1:50" x14ac:dyDescent="0.25">
      <c r="A262" t="s">
        <v>2917</v>
      </c>
      <c r="B262" t="s">
        <v>2918</v>
      </c>
      <c r="C262" t="s">
        <v>3224</v>
      </c>
      <c r="D262" t="s">
        <v>2833</v>
      </c>
      <c r="E262" t="s">
        <v>2834</v>
      </c>
      <c r="F262" t="s">
        <v>2835</v>
      </c>
      <c r="G262" t="s">
        <v>2920</v>
      </c>
      <c r="H262" t="s">
        <v>2921</v>
      </c>
      <c r="I262">
        <v>1297471</v>
      </c>
      <c r="J262">
        <v>1636998</v>
      </c>
      <c r="K262" t="s">
        <v>3450</v>
      </c>
      <c r="L262" t="s">
        <v>3451</v>
      </c>
      <c r="M262">
        <v>83</v>
      </c>
      <c r="N262">
        <v>18911.330000000002</v>
      </c>
      <c r="O262" t="s">
        <v>184</v>
      </c>
      <c r="P262">
        <v>15</v>
      </c>
      <c r="Q262">
        <v>4</v>
      </c>
      <c r="R262">
        <v>19</v>
      </c>
      <c r="S262">
        <v>18366938</v>
      </c>
      <c r="T262">
        <v>85</v>
      </c>
      <c r="U262">
        <v>185</v>
      </c>
      <c r="V262">
        <v>18911.329349083731</v>
      </c>
      <c r="W262">
        <v>18366938.27518687</v>
      </c>
      <c r="X262">
        <v>506531.962</v>
      </c>
      <c r="Y262">
        <f>VLOOKUP(AB262,'2000 Seattle Tracts'!$C$2:$Z$374,24,FALSE)</f>
        <v>1298757.5330000001</v>
      </c>
      <c r="Z262">
        <f t="shared" si="8"/>
        <v>0.3900127230291876</v>
      </c>
      <c r="AA262" t="s">
        <v>183</v>
      </c>
      <c r="AB262" t="str">
        <f t="shared" si="9"/>
        <v>Census Tract 111.02, King County, Washington</v>
      </c>
      <c r="AC262" s="3">
        <f>VLOOKUP($AB262,'2000 Seattle Tracts'!$C$2:$Y$374,AC$1,FALSE)*$Z262</f>
        <v>1700.455472407258</v>
      </c>
      <c r="AD262" s="3">
        <f>VLOOKUP($AB262,'2000 Seattle Tracts'!$C$2:$Y$374,AD$1,FALSE)*$Z262</f>
        <v>1081.5052809599372</v>
      </c>
      <c r="AE262" s="3">
        <f>VLOOKUP($AB262,'2000 Seattle Tracts'!$C$2:$Y$374,AE$1,FALSE)*$Z262</f>
        <v>618.95019144732078</v>
      </c>
      <c r="AF262" s="3">
        <f>VLOOKUP($AB262,'2000 Seattle Tracts'!$C$2:$Y$374,AF$1,FALSE)*$Z262</f>
        <v>1700.455472407258</v>
      </c>
      <c r="AG262" s="3">
        <f>VLOOKUP($AB262,'2000 Seattle Tracts'!$C$2:$Y$374,AG$1,FALSE)*$Z262</f>
        <v>1081.5052809599372</v>
      </c>
      <c r="AH262" s="3">
        <f>VLOOKUP($AB262,'2000 Seattle Tracts'!$C$2:$Y$374,AH$1,FALSE)*$Z262</f>
        <v>618.95019144732078</v>
      </c>
      <c r="AI262" s="3">
        <f>VLOOKUP($AB262,'2000 Seattle Tracts'!$C$2:$Y$374,AI$1,FALSE)*$Z262</f>
        <v>561.61832116203016</v>
      </c>
      <c r="AJ262" s="3">
        <f>VLOOKUP($AB262,'2000 Seattle Tracts'!$C$2:$Y$374,AJ$1,FALSE)*$Z262</f>
        <v>46.021501317444134</v>
      </c>
      <c r="AK262" s="3">
        <f>VLOOKUP($AB262,'2000 Seattle Tracts'!$C$2:$Y$374,AK$1,FALSE)*$Z262</f>
        <v>18.720610705401004</v>
      </c>
      <c r="AL262" s="3">
        <f>VLOOKUP($AB262,'2000 Seattle Tracts'!$C$2:$Y$374,AL$1,FALSE)*$Z262</f>
        <v>40.9513359180647</v>
      </c>
      <c r="AM262" s="3">
        <f>VLOOKUP($AB262,'2000 Seattle Tracts'!$C$2:$Y$374,AM$1,FALSE)*$Z262</f>
        <v>213.72697221999479</v>
      </c>
      <c r="AN262" s="3">
        <f>VLOOKUP($AB262,'2000 Seattle Tracts'!$C$2:$Y$374,AN$1,FALSE)*$Z262</f>
        <v>23.790776104780445</v>
      </c>
      <c r="AO262" s="3">
        <f>VLOOKUP($AB262,'2000 Seattle Tracts'!$C$2:$Y$374,AO$1,FALSE)*$Z262</f>
        <v>0</v>
      </c>
      <c r="AP262" s="3">
        <f>VLOOKUP($AB262,'2000 Seattle Tracts'!$C$2:$Y$374,AP$1,FALSE)*$Z262</f>
        <v>0</v>
      </c>
      <c r="AQ262" s="3">
        <f>VLOOKUP($AB262,'2000 Seattle Tracts'!$C$2:$Y$374,AQ$1,FALSE)*$Z262</f>
        <v>177.06577625525117</v>
      </c>
      <c r="AR262" s="3">
        <f>VLOOKUP($AB262,'2000 Seattle Tracts'!$C$2:$Y$374,AR$1,FALSE)*$Z262</f>
        <v>355.69160340261908</v>
      </c>
      <c r="AS262" s="3">
        <f>VLOOKUP($AB262,'2000 Seattle Tracts'!$C$2:$Y$374,AS$1,FALSE)*$Z262</f>
        <v>39.001272302918757</v>
      </c>
      <c r="AT262" s="3">
        <f>VLOOKUP($AB262,'2000 Seattle Tracts'!$C$2:$Y$374,AT$1,FALSE)*$Z262</f>
        <v>27.690903335072321</v>
      </c>
      <c r="AU262" s="3">
        <f>VLOOKUP($AB262,'2000 Seattle Tracts'!$C$2:$Y$374,AU$1,FALSE)*$Z262</f>
        <v>33.931106903539323</v>
      </c>
      <c r="AV262" s="3">
        <f>VLOOKUP($AB262,'2000 Seattle Tracts'!$C$2:$Y$374,AV$1,FALSE)*$Z262</f>
        <v>79.562595497954277</v>
      </c>
      <c r="AW262" s="3">
        <f>VLOOKUP($AB262,'2000 Seattle Tracts'!$C$2:$Y$374,AW$1,FALSE)*$Z262</f>
        <v>37.441221410802008</v>
      </c>
      <c r="AX262" s="3">
        <f>VLOOKUP($AB262,'2000 Seattle Tracts'!$C$2:$Y$374,AX$1,FALSE)*$Z262</f>
        <v>45.241475871385759</v>
      </c>
    </row>
    <row r="263" spans="1:50" x14ac:dyDescent="0.25">
      <c r="A263" t="s">
        <v>2917</v>
      </c>
      <c r="B263" t="s">
        <v>2918</v>
      </c>
      <c r="C263" t="s">
        <v>3224</v>
      </c>
      <c r="D263" t="s">
        <v>2833</v>
      </c>
      <c r="E263" t="s">
        <v>2834</v>
      </c>
      <c r="F263" t="s">
        <v>2835</v>
      </c>
      <c r="G263" t="s">
        <v>2920</v>
      </c>
      <c r="H263" t="s">
        <v>2921</v>
      </c>
      <c r="I263">
        <v>1297471</v>
      </c>
      <c r="J263">
        <v>1636998</v>
      </c>
      <c r="K263" t="s">
        <v>3450</v>
      </c>
      <c r="L263" t="s">
        <v>3451</v>
      </c>
      <c r="M263">
        <v>84</v>
      </c>
      <c r="N263">
        <v>20847.651999999998</v>
      </c>
      <c r="O263" t="s">
        <v>184</v>
      </c>
      <c r="P263">
        <v>15</v>
      </c>
      <c r="Q263">
        <v>4</v>
      </c>
      <c r="R263">
        <v>9</v>
      </c>
      <c r="S263">
        <v>19601602</v>
      </c>
      <c r="T263">
        <v>86</v>
      </c>
      <c r="U263">
        <v>192</v>
      </c>
      <c r="V263">
        <v>20847.653192299731</v>
      </c>
      <c r="W263">
        <v>19601601.215348601</v>
      </c>
      <c r="X263">
        <v>92.016000000000005</v>
      </c>
      <c r="Y263">
        <f>VLOOKUP(AB263,'2000 Seattle Tracts'!$C$2:$Z$374,24,FALSE)</f>
        <v>1298757.5330000001</v>
      </c>
      <c r="Z263">
        <f t="shared" si="8"/>
        <v>7.0849252198331621E-5</v>
      </c>
      <c r="AA263" t="s">
        <v>185</v>
      </c>
      <c r="AB263" t="str">
        <f t="shared" si="9"/>
        <v>Census Tract 111.02, King County, Washington</v>
      </c>
      <c r="AC263" s="3">
        <f>VLOOKUP($AB263,'2000 Seattle Tracts'!$C$2:$Y$374,AC$1,FALSE)*$Z263</f>
        <v>0.30890273958472586</v>
      </c>
      <c r="AD263" s="3">
        <f>VLOOKUP($AB263,'2000 Seattle Tracts'!$C$2:$Y$374,AD$1,FALSE)*$Z263</f>
        <v>0.1964649763459736</v>
      </c>
      <c r="AE263" s="3">
        <f>VLOOKUP($AB263,'2000 Seattle Tracts'!$C$2:$Y$374,AE$1,FALSE)*$Z263</f>
        <v>0.11243776323875228</v>
      </c>
      <c r="AF263" s="3">
        <f>VLOOKUP($AB263,'2000 Seattle Tracts'!$C$2:$Y$374,AF$1,FALSE)*$Z263</f>
        <v>0.30890273958472586</v>
      </c>
      <c r="AG263" s="3">
        <f>VLOOKUP($AB263,'2000 Seattle Tracts'!$C$2:$Y$374,AG$1,FALSE)*$Z263</f>
        <v>0.1964649763459736</v>
      </c>
      <c r="AH263" s="3">
        <f>VLOOKUP($AB263,'2000 Seattle Tracts'!$C$2:$Y$374,AH$1,FALSE)*$Z263</f>
        <v>0.11243776323875228</v>
      </c>
      <c r="AI263" s="3">
        <f>VLOOKUP($AB263,'2000 Seattle Tracts'!$C$2:$Y$374,AI$1,FALSE)*$Z263</f>
        <v>0.10202292316559754</v>
      </c>
      <c r="AJ263" s="3">
        <f>VLOOKUP($AB263,'2000 Seattle Tracts'!$C$2:$Y$374,AJ$1,FALSE)*$Z263</f>
        <v>8.3602117594031317E-3</v>
      </c>
      <c r="AK263" s="3">
        <f>VLOOKUP($AB263,'2000 Seattle Tracts'!$C$2:$Y$374,AK$1,FALSE)*$Z263</f>
        <v>3.400764105519918E-3</v>
      </c>
      <c r="AL263" s="3">
        <f>VLOOKUP($AB263,'2000 Seattle Tracts'!$C$2:$Y$374,AL$1,FALSE)*$Z263</f>
        <v>7.4391714808248206E-3</v>
      </c>
      <c r="AM263" s="3">
        <f>VLOOKUP($AB263,'2000 Seattle Tracts'!$C$2:$Y$374,AM$1,FALSE)*$Z263</f>
        <v>3.8825390204685728E-2</v>
      </c>
      <c r="AN263" s="3">
        <f>VLOOKUP($AB263,'2000 Seattle Tracts'!$C$2:$Y$374,AN$1,FALSE)*$Z263</f>
        <v>4.3218043840982292E-3</v>
      </c>
      <c r="AO263" s="3">
        <f>VLOOKUP($AB263,'2000 Seattle Tracts'!$C$2:$Y$374,AO$1,FALSE)*$Z263</f>
        <v>0</v>
      </c>
      <c r="AP263" s="3">
        <f>VLOOKUP($AB263,'2000 Seattle Tracts'!$C$2:$Y$374,AP$1,FALSE)*$Z263</f>
        <v>0</v>
      </c>
      <c r="AQ263" s="3">
        <f>VLOOKUP($AB263,'2000 Seattle Tracts'!$C$2:$Y$374,AQ$1,FALSE)*$Z263</f>
        <v>3.2165560498042554E-2</v>
      </c>
      <c r="AR263" s="3">
        <f>VLOOKUP($AB263,'2000 Seattle Tracts'!$C$2:$Y$374,AR$1,FALSE)*$Z263</f>
        <v>6.4614518004878441E-2</v>
      </c>
      <c r="AS263" s="3">
        <f>VLOOKUP($AB263,'2000 Seattle Tracts'!$C$2:$Y$374,AS$1,FALSE)*$Z263</f>
        <v>7.0849252198331618E-3</v>
      </c>
      <c r="AT263" s="3">
        <f>VLOOKUP($AB263,'2000 Seattle Tracts'!$C$2:$Y$374,AT$1,FALSE)*$Z263</f>
        <v>5.0302969060815449E-3</v>
      </c>
      <c r="AU263" s="3">
        <f>VLOOKUP($AB263,'2000 Seattle Tracts'!$C$2:$Y$374,AU$1,FALSE)*$Z263</f>
        <v>6.1638849412548507E-3</v>
      </c>
      <c r="AV263" s="3">
        <f>VLOOKUP($AB263,'2000 Seattle Tracts'!$C$2:$Y$374,AV$1,FALSE)*$Z263</f>
        <v>1.445324744845965E-2</v>
      </c>
      <c r="AW263" s="3">
        <f>VLOOKUP($AB263,'2000 Seattle Tracts'!$C$2:$Y$374,AW$1,FALSE)*$Z263</f>
        <v>6.801528211039836E-3</v>
      </c>
      <c r="AX263" s="3">
        <f>VLOOKUP($AB263,'2000 Seattle Tracts'!$C$2:$Y$374,AX$1,FALSE)*$Z263</f>
        <v>8.2185132550064675E-3</v>
      </c>
    </row>
    <row r="264" spans="1:50" x14ac:dyDescent="0.25">
      <c r="A264" t="s">
        <v>2917</v>
      </c>
      <c r="B264" t="s">
        <v>2918</v>
      </c>
      <c r="C264" t="s">
        <v>3224</v>
      </c>
      <c r="D264" t="s">
        <v>2833</v>
      </c>
      <c r="E264" t="s">
        <v>2834</v>
      </c>
      <c r="F264" t="s">
        <v>2835</v>
      </c>
      <c r="G264" t="s">
        <v>2920</v>
      </c>
      <c r="H264" t="s">
        <v>2921</v>
      </c>
      <c r="I264">
        <v>1297471</v>
      </c>
      <c r="J264">
        <v>1636998</v>
      </c>
      <c r="K264" t="s">
        <v>3450</v>
      </c>
      <c r="L264" t="s">
        <v>3451</v>
      </c>
      <c r="M264">
        <v>88</v>
      </c>
      <c r="N264">
        <v>35177.063000000002</v>
      </c>
      <c r="O264" t="s">
        <v>184</v>
      </c>
      <c r="P264">
        <v>15</v>
      </c>
      <c r="Q264">
        <v>4</v>
      </c>
      <c r="R264">
        <v>94</v>
      </c>
      <c r="S264">
        <v>37406576</v>
      </c>
      <c r="T264">
        <v>90</v>
      </c>
      <c r="U264">
        <v>179</v>
      </c>
      <c r="V264">
        <v>35177.060803967521</v>
      </c>
      <c r="W264">
        <v>37406576.492632188</v>
      </c>
      <c r="X264">
        <v>89.799000000000007</v>
      </c>
      <c r="Y264">
        <f>VLOOKUP(AB264,'2000 Seattle Tracts'!$C$2:$Z$374,24,FALSE)</f>
        <v>1298757.5330000001</v>
      </c>
      <c r="Z264">
        <f t="shared" si="8"/>
        <v>6.9142236112828003E-5</v>
      </c>
      <c r="AA264" t="s">
        <v>189</v>
      </c>
      <c r="AB264" t="str">
        <f t="shared" si="9"/>
        <v>Census Tract 111.02, King County, Washington</v>
      </c>
      <c r="AC264" s="3">
        <f>VLOOKUP($AB264,'2000 Seattle Tracts'!$C$2:$Y$374,AC$1,FALSE)*$Z264</f>
        <v>0.30146014945193012</v>
      </c>
      <c r="AD264" s="3">
        <f>VLOOKUP($AB264,'2000 Seattle Tracts'!$C$2:$Y$374,AD$1,FALSE)*$Z264</f>
        <v>0.19173142074087204</v>
      </c>
      <c r="AE264" s="3">
        <f>VLOOKUP($AB264,'2000 Seattle Tracts'!$C$2:$Y$374,AE$1,FALSE)*$Z264</f>
        <v>0.10972872871105804</v>
      </c>
      <c r="AF264" s="3">
        <f>VLOOKUP($AB264,'2000 Seattle Tracts'!$C$2:$Y$374,AF$1,FALSE)*$Z264</f>
        <v>0.30146014945193012</v>
      </c>
      <c r="AG264" s="3">
        <f>VLOOKUP($AB264,'2000 Seattle Tracts'!$C$2:$Y$374,AG$1,FALSE)*$Z264</f>
        <v>0.19173142074087204</v>
      </c>
      <c r="AH264" s="3">
        <f>VLOOKUP($AB264,'2000 Seattle Tracts'!$C$2:$Y$374,AH$1,FALSE)*$Z264</f>
        <v>0.10972872871105804</v>
      </c>
      <c r="AI264" s="3">
        <f>VLOOKUP($AB264,'2000 Seattle Tracts'!$C$2:$Y$374,AI$1,FALSE)*$Z264</f>
        <v>9.9564820002472326E-2</v>
      </c>
      <c r="AJ264" s="3">
        <f>VLOOKUP($AB264,'2000 Seattle Tracts'!$C$2:$Y$374,AJ$1,FALSE)*$Z264</f>
        <v>8.1587838613137037E-3</v>
      </c>
      <c r="AK264" s="3">
        <f>VLOOKUP($AB264,'2000 Seattle Tracts'!$C$2:$Y$374,AK$1,FALSE)*$Z264</f>
        <v>3.3188273334157441E-3</v>
      </c>
      <c r="AL264" s="3">
        <f>VLOOKUP($AB264,'2000 Seattle Tracts'!$C$2:$Y$374,AL$1,FALSE)*$Z264</f>
        <v>7.2599347918469405E-3</v>
      </c>
      <c r="AM264" s="3">
        <f>VLOOKUP($AB264,'2000 Seattle Tracts'!$C$2:$Y$374,AM$1,FALSE)*$Z264</f>
        <v>3.7889945389829746E-2</v>
      </c>
      <c r="AN264" s="3">
        <f>VLOOKUP($AB264,'2000 Seattle Tracts'!$C$2:$Y$374,AN$1,FALSE)*$Z264</f>
        <v>4.2176764028825078E-3</v>
      </c>
      <c r="AO264" s="3">
        <f>VLOOKUP($AB264,'2000 Seattle Tracts'!$C$2:$Y$374,AO$1,FALSE)*$Z264</f>
        <v>0</v>
      </c>
      <c r="AP264" s="3">
        <f>VLOOKUP($AB264,'2000 Seattle Tracts'!$C$2:$Y$374,AP$1,FALSE)*$Z264</f>
        <v>0</v>
      </c>
      <c r="AQ264" s="3">
        <f>VLOOKUP($AB264,'2000 Seattle Tracts'!$C$2:$Y$374,AQ$1,FALSE)*$Z264</f>
        <v>3.139057519522391E-2</v>
      </c>
      <c r="AR264" s="3">
        <f>VLOOKUP($AB264,'2000 Seattle Tracts'!$C$2:$Y$374,AR$1,FALSE)*$Z264</f>
        <v>6.3057719334899134E-2</v>
      </c>
      <c r="AS264" s="3">
        <f>VLOOKUP($AB264,'2000 Seattle Tracts'!$C$2:$Y$374,AS$1,FALSE)*$Z264</f>
        <v>6.9142236112828001E-3</v>
      </c>
      <c r="AT264" s="3">
        <f>VLOOKUP($AB264,'2000 Seattle Tracts'!$C$2:$Y$374,AT$1,FALSE)*$Z264</f>
        <v>4.9090987640107884E-3</v>
      </c>
      <c r="AU264" s="3">
        <f>VLOOKUP($AB264,'2000 Seattle Tracts'!$C$2:$Y$374,AU$1,FALSE)*$Z264</f>
        <v>6.015374541816036E-3</v>
      </c>
      <c r="AV264" s="3">
        <f>VLOOKUP($AB264,'2000 Seattle Tracts'!$C$2:$Y$374,AV$1,FALSE)*$Z264</f>
        <v>1.4105016167016912E-2</v>
      </c>
      <c r="AW264" s="3">
        <f>VLOOKUP($AB264,'2000 Seattle Tracts'!$C$2:$Y$374,AW$1,FALSE)*$Z264</f>
        <v>6.6376546668314882E-3</v>
      </c>
      <c r="AX264" s="3">
        <f>VLOOKUP($AB264,'2000 Seattle Tracts'!$C$2:$Y$374,AX$1,FALSE)*$Z264</f>
        <v>8.0204993890880486E-3</v>
      </c>
    </row>
    <row r="265" spans="1:50" x14ac:dyDescent="0.25">
      <c r="A265" t="s">
        <v>2917</v>
      </c>
      <c r="B265" t="s">
        <v>2918</v>
      </c>
      <c r="C265" t="s">
        <v>3224</v>
      </c>
      <c r="D265" t="s">
        <v>2833</v>
      </c>
      <c r="E265" t="s">
        <v>2834</v>
      </c>
      <c r="F265" t="s">
        <v>2835</v>
      </c>
      <c r="G265" t="s">
        <v>2920</v>
      </c>
      <c r="H265" t="s">
        <v>2921</v>
      </c>
      <c r="I265">
        <v>1297471</v>
      </c>
      <c r="J265">
        <v>1636998</v>
      </c>
      <c r="K265" t="s">
        <v>3450</v>
      </c>
      <c r="L265" t="s">
        <v>3451</v>
      </c>
      <c r="M265">
        <v>95</v>
      </c>
      <c r="N265">
        <v>52212.785000000003</v>
      </c>
      <c r="O265" t="s">
        <v>198</v>
      </c>
      <c r="P265">
        <v>16</v>
      </c>
      <c r="Q265">
        <v>11</v>
      </c>
      <c r="R265">
        <v>95</v>
      </c>
      <c r="S265">
        <v>43835280</v>
      </c>
      <c r="T265">
        <v>97</v>
      </c>
      <c r="U265">
        <v>173</v>
      </c>
      <c r="V265">
        <v>52212.786810353093</v>
      </c>
      <c r="W265">
        <v>43835279.005916066</v>
      </c>
      <c r="X265">
        <v>787005.03200000001</v>
      </c>
      <c r="Y265">
        <f>VLOOKUP(AB265,'2000 Seattle Tracts'!$C$2:$Z$374,24,FALSE)</f>
        <v>1298757.5330000001</v>
      </c>
      <c r="Z265">
        <f t="shared" si="8"/>
        <v>0.60596763599291481</v>
      </c>
      <c r="AA265" t="s">
        <v>197</v>
      </c>
      <c r="AB265" t="str">
        <f t="shared" si="9"/>
        <v>Census Tract 111.02, King County, Washington</v>
      </c>
      <c r="AC265" s="3">
        <f>VLOOKUP($AB265,'2000 Seattle Tracts'!$C$2:$Y$374,AC$1,FALSE)*$Z265</f>
        <v>2642.0188929291085</v>
      </c>
      <c r="AD265" s="3">
        <f>VLOOKUP($AB265,'2000 Seattle Tracts'!$C$2:$Y$374,AD$1,FALSE)*$Z265</f>
        <v>1680.3482546083528</v>
      </c>
      <c r="AE265" s="3">
        <f>VLOOKUP($AB265,'2000 Seattle Tracts'!$C$2:$Y$374,AE$1,FALSE)*$Z265</f>
        <v>961.67063832075576</v>
      </c>
      <c r="AF265" s="3">
        <f>VLOOKUP($AB265,'2000 Seattle Tracts'!$C$2:$Y$374,AF$1,FALSE)*$Z265</f>
        <v>2642.0188929291085</v>
      </c>
      <c r="AG265" s="3">
        <f>VLOOKUP($AB265,'2000 Seattle Tracts'!$C$2:$Y$374,AG$1,FALSE)*$Z265</f>
        <v>1680.3482546083528</v>
      </c>
      <c r="AH265" s="3">
        <f>VLOOKUP($AB265,'2000 Seattle Tracts'!$C$2:$Y$374,AH$1,FALSE)*$Z265</f>
        <v>961.67063832075576</v>
      </c>
      <c r="AI265" s="3">
        <f>VLOOKUP($AB265,'2000 Seattle Tracts'!$C$2:$Y$374,AI$1,FALSE)*$Z265</f>
        <v>872.59339582979737</v>
      </c>
      <c r="AJ265" s="3">
        <f>VLOOKUP($AB265,'2000 Seattle Tracts'!$C$2:$Y$374,AJ$1,FALSE)*$Z265</f>
        <v>71.504181047163954</v>
      </c>
      <c r="AK265" s="3">
        <f>VLOOKUP($AB265,'2000 Seattle Tracts'!$C$2:$Y$374,AK$1,FALSE)*$Z265</f>
        <v>29.086446527659909</v>
      </c>
      <c r="AL265" s="3">
        <f>VLOOKUP($AB265,'2000 Seattle Tracts'!$C$2:$Y$374,AL$1,FALSE)*$Z265</f>
        <v>63.626601779256056</v>
      </c>
      <c r="AM265" s="3">
        <f>VLOOKUP($AB265,'2000 Seattle Tracts'!$C$2:$Y$374,AM$1,FALSE)*$Z265</f>
        <v>332.07026452411731</v>
      </c>
      <c r="AN265" s="3">
        <f>VLOOKUP($AB265,'2000 Seattle Tracts'!$C$2:$Y$374,AN$1,FALSE)*$Z265</f>
        <v>36.964025795567807</v>
      </c>
      <c r="AO265" s="3">
        <f>VLOOKUP($AB265,'2000 Seattle Tracts'!$C$2:$Y$374,AO$1,FALSE)*$Z265</f>
        <v>0</v>
      </c>
      <c r="AP265" s="3">
        <f>VLOOKUP($AB265,'2000 Seattle Tracts'!$C$2:$Y$374,AP$1,FALSE)*$Z265</f>
        <v>0</v>
      </c>
      <c r="AQ265" s="3">
        <f>VLOOKUP($AB265,'2000 Seattle Tracts'!$C$2:$Y$374,AQ$1,FALSE)*$Z265</f>
        <v>275.10930674078332</v>
      </c>
      <c r="AR265" s="3">
        <f>VLOOKUP($AB265,'2000 Seattle Tracts'!$C$2:$Y$374,AR$1,FALSE)*$Z265</f>
        <v>552.64248402553835</v>
      </c>
      <c r="AS265" s="3">
        <f>VLOOKUP($AB265,'2000 Seattle Tracts'!$C$2:$Y$374,AS$1,FALSE)*$Z265</f>
        <v>60.596763599291478</v>
      </c>
      <c r="AT265" s="3">
        <f>VLOOKUP($AB265,'2000 Seattle Tracts'!$C$2:$Y$374,AT$1,FALSE)*$Z265</f>
        <v>43.023702155496949</v>
      </c>
      <c r="AU265" s="3">
        <f>VLOOKUP($AB265,'2000 Seattle Tracts'!$C$2:$Y$374,AU$1,FALSE)*$Z265</f>
        <v>52.719184331383588</v>
      </c>
      <c r="AV265" s="3">
        <f>VLOOKUP($AB265,'2000 Seattle Tracts'!$C$2:$Y$374,AV$1,FALSE)*$Z265</f>
        <v>123.61739774255462</v>
      </c>
      <c r="AW265" s="3">
        <f>VLOOKUP($AB265,'2000 Seattle Tracts'!$C$2:$Y$374,AW$1,FALSE)*$Z265</f>
        <v>58.172893055319818</v>
      </c>
      <c r="AX265" s="3">
        <f>VLOOKUP($AB265,'2000 Seattle Tracts'!$C$2:$Y$374,AX$1,FALSE)*$Z265</f>
        <v>70.292245775178117</v>
      </c>
    </row>
    <row r="266" spans="1:50" x14ac:dyDescent="0.25">
      <c r="A266" t="s">
        <v>2917</v>
      </c>
      <c r="B266" t="s">
        <v>2918</v>
      </c>
      <c r="C266" t="s">
        <v>2978</v>
      </c>
      <c r="D266" t="s">
        <v>2836</v>
      </c>
      <c r="E266" t="s">
        <v>2837</v>
      </c>
      <c r="F266" t="s">
        <v>2838</v>
      </c>
      <c r="G266" t="s">
        <v>2920</v>
      </c>
      <c r="H266" t="s">
        <v>2921</v>
      </c>
      <c r="I266">
        <v>1150364</v>
      </c>
      <c r="J266">
        <v>0</v>
      </c>
      <c r="K266" t="s">
        <v>2979</v>
      </c>
      <c r="L266" t="s">
        <v>2980</v>
      </c>
      <c r="M266">
        <v>80</v>
      </c>
      <c r="N266">
        <v>40522.184000000001</v>
      </c>
      <c r="O266" t="s">
        <v>179</v>
      </c>
      <c r="P266">
        <v>17</v>
      </c>
      <c r="Q266">
        <v>5</v>
      </c>
      <c r="R266">
        <v>95</v>
      </c>
      <c r="S266">
        <v>52620472</v>
      </c>
      <c r="T266">
        <v>82</v>
      </c>
      <c r="U266">
        <v>172</v>
      </c>
      <c r="V266">
        <v>40522.182927532267</v>
      </c>
      <c r="W266">
        <v>52620470.788550943</v>
      </c>
      <c r="X266">
        <v>1052.807</v>
      </c>
      <c r="Y266">
        <f>VLOOKUP(AB266,'2000 Seattle Tracts'!$C$2:$Z$374,24,FALSE)</f>
        <v>1150364.17</v>
      </c>
      <c r="Z266">
        <f t="shared" si="8"/>
        <v>9.1519453357105174E-4</v>
      </c>
      <c r="AA266" t="s">
        <v>180</v>
      </c>
      <c r="AB266" t="str">
        <f t="shared" si="9"/>
        <v>Census Tract 111.01, King County, Washington</v>
      </c>
      <c r="AC266" s="3">
        <f>VLOOKUP($AB266,'2000 Seattle Tracts'!$C$2:$Y$374,AC$1,FALSE)*$Z266</f>
        <v>4.1732870730839959</v>
      </c>
      <c r="AD266" s="3">
        <f>VLOOKUP($AB266,'2000 Seattle Tracts'!$C$2:$Y$374,AD$1,FALSE)*$Z266</f>
        <v>2.159859099227682</v>
      </c>
      <c r="AE266" s="3">
        <f>VLOOKUP($AB266,'2000 Seattle Tracts'!$C$2:$Y$374,AE$1,FALSE)*$Z266</f>
        <v>2.0134279738563139</v>
      </c>
      <c r="AF266" s="3">
        <f>VLOOKUP($AB266,'2000 Seattle Tracts'!$C$2:$Y$374,AF$1,FALSE)*$Z266</f>
        <v>4.1732870730839959</v>
      </c>
      <c r="AG266" s="3">
        <f>VLOOKUP($AB266,'2000 Seattle Tracts'!$C$2:$Y$374,AG$1,FALSE)*$Z266</f>
        <v>2.159859099227682</v>
      </c>
      <c r="AH266" s="3">
        <f>VLOOKUP($AB266,'2000 Seattle Tracts'!$C$2:$Y$374,AH$1,FALSE)*$Z266</f>
        <v>2.0134279738563139</v>
      </c>
      <c r="AI266" s="3">
        <f>VLOOKUP($AB266,'2000 Seattle Tracts'!$C$2:$Y$374,AI$1,FALSE)*$Z266</f>
        <v>0.40360078930483384</v>
      </c>
      <c r="AJ266" s="3">
        <f>VLOOKUP($AB266,'2000 Seattle Tracts'!$C$2:$Y$374,AJ$1,FALSE)*$Z266</f>
        <v>4.3014143077839434E-2</v>
      </c>
      <c r="AK266" s="3">
        <f>VLOOKUP($AB266,'2000 Seattle Tracts'!$C$2:$Y$374,AK$1,FALSE)*$Z266</f>
        <v>4.2098948544268378E-2</v>
      </c>
      <c r="AL266" s="3">
        <f>VLOOKUP($AB266,'2000 Seattle Tracts'!$C$2:$Y$374,AL$1,FALSE)*$Z266</f>
        <v>3.2947003208557861E-2</v>
      </c>
      <c r="AM266" s="3">
        <f>VLOOKUP($AB266,'2000 Seattle Tracts'!$C$2:$Y$374,AM$1,FALSE)*$Z266</f>
        <v>0.96919101105174377</v>
      </c>
      <c r="AN266" s="3">
        <f>VLOOKUP($AB266,'2000 Seattle Tracts'!$C$2:$Y$374,AN$1,FALSE)*$Z266</f>
        <v>0.15649826524064986</v>
      </c>
      <c r="AO266" s="3">
        <f>VLOOKUP($AB266,'2000 Seattle Tracts'!$C$2:$Y$374,AO$1,FALSE)*$Z266</f>
        <v>4.0268559477126278E-2</v>
      </c>
      <c r="AP266" s="3">
        <f>VLOOKUP($AB266,'2000 Seattle Tracts'!$C$2:$Y$374,AP$1,FALSE)*$Z266</f>
        <v>8.2367508021394652E-3</v>
      </c>
      <c r="AQ266" s="3">
        <f>VLOOKUP($AB266,'2000 Seattle Tracts'!$C$2:$Y$374,AQ$1,FALSE)*$Z266</f>
        <v>0.46491882305409427</v>
      </c>
      <c r="AR266" s="3">
        <f>VLOOKUP($AB266,'2000 Seattle Tracts'!$C$2:$Y$374,AR$1,FALSE)*$Z266</f>
        <v>1.4798695607843906</v>
      </c>
      <c r="AS266" s="3">
        <f>VLOOKUP($AB266,'2000 Seattle Tracts'!$C$2:$Y$374,AS$1,FALSE)*$Z266</f>
        <v>0</v>
      </c>
      <c r="AT266" s="3">
        <f>VLOOKUP($AB266,'2000 Seattle Tracts'!$C$2:$Y$374,AT$1,FALSE)*$Z266</f>
        <v>1.0982334402852621E-2</v>
      </c>
      <c r="AU266" s="3">
        <f>VLOOKUP($AB266,'2000 Seattle Tracts'!$C$2:$Y$374,AU$1,FALSE)*$Z266</f>
        <v>3.3862197742128917E-2</v>
      </c>
      <c r="AV266" s="3">
        <f>VLOOKUP($AB266,'2000 Seattle Tracts'!$C$2:$Y$374,AV$1,FALSE)*$Z266</f>
        <v>8.6943480689249911E-2</v>
      </c>
      <c r="AW266" s="3">
        <f>VLOOKUP($AB266,'2000 Seattle Tracts'!$C$2:$Y$374,AW$1,FALSE)*$Z266</f>
        <v>0.20591877005348663</v>
      </c>
      <c r="AX266" s="3">
        <f>VLOOKUP($AB266,'2000 Seattle Tracts'!$C$2:$Y$374,AX$1,FALSE)*$Z266</f>
        <v>0.19493643565063401</v>
      </c>
    </row>
    <row r="267" spans="1:50" x14ac:dyDescent="0.25">
      <c r="A267" t="s">
        <v>2917</v>
      </c>
      <c r="B267" t="s">
        <v>2918</v>
      </c>
      <c r="C267" t="s">
        <v>2978</v>
      </c>
      <c r="D267" t="s">
        <v>2836</v>
      </c>
      <c r="E267" t="s">
        <v>2837</v>
      </c>
      <c r="F267" t="s">
        <v>2838</v>
      </c>
      <c r="G267" t="s">
        <v>2920</v>
      </c>
      <c r="H267" t="s">
        <v>2921</v>
      </c>
      <c r="I267">
        <v>1150364</v>
      </c>
      <c r="J267">
        <v>0</v>
      </c>
      <c r="K267" t="s">
        <v>2979</v>
      </c>
      <c r="L267" t="s">
        <v>2980</v>
      </c>
      <c r="M267">
        <v>82</v>
      </c>
      <c r="N267">
        <v>15848.361999999999</v>
      </c>
      <c r="O267" t="s">
        <v>179</v>
      </c>
      <c r="P267">
        <v>17</v>
      </c>
      <c r="Q267">
        <v>5</v>
      </c>
      <c r="R267">
        <v>24</v>
      </c>
      <c r="S267">
        <v>8444236</v>
      </c>
      <c r="T267">
        <v>84</v>
      </c>
      <c r="U267">
        <v>186</v>
      </c>
      <c r="V267">
        <v>15848.362418511269</v>
      </c>
      <c r="W267">
        <v>8444235.9786088634</v>
      </c>
      <c r="X267">
        <v>967.17200000000003</v>
      </c>
      <c r="Y267">
        <f>VLOOKUP(AB267,'2000 Seattle Tracts'!$C$2:$Z$374,24,FALSE)</f>
        <v>1150364.17</v>
      </c>
      <c r="Z267">
        <f t="shared" si="8"/>
        <v>8.4075288958278325E-4</v>
      </c>
      <c r="AA267" t="s">
        <v>182</v>
      </c>
      <c r="AB267" t="str">
        <f t="shared" si="9"/>
        <v>Census Tract 111.01, King County, Washington</v>
      </c>
      <c r="AC267" s="3">
        <f>VLOOKUP($AB267,'2000 Seattle Tracts'!$C$2:$Y$374,AC$1,FALSE)*$Z267</f>
        <v>3.8338331764974916</v>
      </c>
      <c r="AD267" s="3">
        <f>VLOOKUP($AB267,'2000 Seattle Tracts'!$C$2:$Y$374,AD$1,FALSE)*$Z267</f>
        <v>1.9841768194153684</v>
      </c>
      <c r="AE267" s="3">
        <f>VLOOKUP($AB267,'2000 Seattle Tracts'!$C$2:$Y$374,AE$1,FALSE)*$Z267</f>
        <v>1.8496563570821232</v>
      </c>
      <c r="AF267" s="3">
        <f>VLOOKUP($AB267,'2000 Seattle Tracts'!$C$2:$Y$374,AF$1,FALSE)*$Z267</f>
        <v>3.8338331764974916</v>
      </c>
      <c r="AG267" s="3">
        <f>VLOOKUP($AB267,'2000 Seattle Tracts'!$C$2:$Y$374,AG$1,FALSE)*$Z267</f>
        <v>1.9841768194153684</v>
      </c>
      <c r="AH267" s="3">
        <f>VLOOKUP($AB267,'2000 Seattle Tracts'!$C$2:$Y$374,AH$1,FALSE)*$Z267</f>
        <v>1.8496563570821232</v>
      </c>
      <c r="AI267" s="3">
        <f>VLOOKUP($AB267,'2000 Seattle Tracts'!$C$2:$Y$374,AI$1,FALSE)*$Z267</f>
        <v>0.37077202430600742</v>
      </c>
      <c r="AJ267" s="3">
        <f>VLOOKUP($AB267,'2000 Seattle Tracts'!$C$2:$Y$374,AJ$1,FALSE)*$Z267</f>
        <v>3.951538581039081E-2</v>
      </c>
      <c r="AK267" s="3">
        <f>VLOOKUP($AB267,'2000 Seattle Tracts'!$C$2:$Y$374,AK$1,FALSE)*$Z267</f>
        <v>3.8674632920808028E-2</v>
      </c>
      <c r="AL267" s="3">
        <f>VLOOKUP($AB267,'2000 Seattle Tracts'!$C$2:$Y$374,AL$1,FALSE)*$Z267</f>
        <v>3.0267104024980198E-2</v>
      </c>
      <c r="AM267" s="3">
        <f>VLOOKUP($AB267,'2000 Seattle Tracts'!$C$2:$Y$374,AM$1,FALSE)*$Z267</f>
        <v>0.89035731006816743</v>
      </c>
      <c r="AN267" s="3">
        <f>VLOOKUP($AB267,'2000 Seattle Tracts'!$C$2:$Y$374,AN$1,FALSE)*$Z267</f>
        <v>0.14376874411865595</v>
      </c>
      <c r="AO267" s="3">
        <f>VLOOKUP($AB267,'2000 Seattle Tracts'!$C$2:$Y$374,AO$1,FALSE)*$Z267</f>
        <v>3.6993127141642462E-2</v>
      </c>
      <c r="AP267" s="3">
        <f>VLOOKUP($AB267,'2000 Seattle Tracts'!$C$2:$Y$374,AP$1,FALSE)*$Z267</f>
        <v>7.5667760062450495E-3</v>
      </c>
      <c r="AQ267" s="3">
        <f>VLOOKUP($AB267,'2000 Seattle Tracts'!$C$2:$Y$374,AQ$1,FALSE)*$Z267</f>
        <v>0.4271024679080539</v>
      </c>
      <c r="AR267" s="3">
        <f>VLOOKUP($AB267,'2000 Seattle Tracts'!$C$2:$Y$374,AR$1,FALSE)*$Z267</f>
        <v>1.3594974224553604</v>
      </c>
      <c r="AS267" s="3">
        <f>VLOOKUP($AB267,'2000 Seattle Tracts'!$C$2:$Y$374,AS$1,FALSE)*$Z267</f>
        <v>0</v>
      </c>
      <c r="AT267" s="3">
        <f>VLOOKUP($AB267,'2000 Seattle Tracts'!$C$2:$Y$374,AT$1,FALSE)*$Z267</f>
        <v>1.0089034674993398E-2</v>
      </c>
      <c r="AU267" s="3">
        <f>VLOOKUP($AB267,'2000 Seattle Tracts'!$C$2:$Y$374,AU$1,FALSE)*$Z267</f>
        <v>3.1107856914562981E-2</v>
      </c>
      <c r="AV267" s="3">
        <f>VLOOKUP($AB267,'2000 Seattle Tracts'!$C$2:$Y$374,AV$1,FALSE)*$Z267</f>
        <v>7.9871524510364403E-2</v>
      </c>
      <c r="AW267" s="3">
        <f>VLOOKUP($AB267,'2000 Seattle Tracts'!$C$2:$Y$374,AW$1,FALSE)*$Z267</f>
        <v>0.18916940015612624</v>
      </c>
      <c r="AX267" s="3">
        <f>VLOOKUP($AB267,'2000 Seattle Tracts'!$C$2:$Y$374,AX$1,FALSE)*$Z267</f>
        <v>0.17908036548113282</v>
      </c>
    </row>
    <row r="268" spans="1:50" x14ac:dyDescent="0.25">
      <c r="A268" t="s">
        <v>2917</v>
      </c>
      <c r="B268" t="s">
        <v>2918</v>
      </c>
      <c r="C268" t="s">
        <v>2978</v>
      </c>
      <c r="D268" t="s">
        <v>2836</v>
      </c>
      <c r="E268" t="s">
        <v>2837</v>
      </c>
      <c r="F268" t="s">
        <v>2838</v>
      </c>
      <c r="G268" t="s">
        <v>2920</v>
      </c>
      <c r="H268" t="s">
        <v>2921</v>
      </c>
      <c r="I268">
        <v>1150364</v>
      </c>
      <c r="J268">
        <v>0</v>
      </c>
      <c r="K268" t="s">
        <v>2979</v>
      </c>
      <c r="L268" t="s">
        <v>2980</v>
      </c>
      <c r="M268">
        <v>83</v>
      </c>
      <c r="N268">
        <v>18911.330000000002</v>
      </c>
      <c r="O268" t="s">
        <v>184</v>
      </c>
      <c r="P268">
        <v>15</v>
      </c>
      <c r="Q268">
        <v>4</v>
      </c>
      <c r="R268">
        <v>19</v>
      </c>
      <c r="S268">
        <v>18366938</v>
      </c>
      <c r="T268">
        <v>85</v>
      </c>
      <c r="U268">
        <v>185</v>
      </c>
      <c r="V268">
        <v>18911.329349083731</v>
      </c>
      <c r="W268">
        <v>18366938.27518687</v>
      </c>
      <c r="X268">
        <v>1148188.044</v>
      </c>
      <c r="Y268">
        <f>VLOOKUP(AB268,'2000 Seattle Tracts'!$C$2:$Z$374,24,FALSE)</f>
        <v>1150364.17</v>
      </c>
      <c r="Z268">
        <f t="shared" si="8"/>
        <v>0.99810831556062818</v>
      </c>
      <c r="AA268" t="s">
        <v>183</v>
      </c>
      <c r="AB268" t="str">
        <f t="shared" si="9"/>
        <v>Census Tract 111.01, King County, Washington</v>
      </c>
      <c r="AC268" s="3">
        <f>VLOOKUP($AB268,'2000 Seattle Tracts'!$C$2:$Y$374,AC$1,FALSE)*$Z268</f>
        <v>4551.3739189564649</v>
      </c>
      <c r="AD268" s="3">
        <f>VLOOKUP($AB268,'2000 Seattle Tracts'!$C$2:$Y$374,AD$1,FALSE)*$Z268</f>
        <v>2355.5356247230825</v>
      </c>
      <c r="AE268" s="3">
        <f>VLOOKUP($AB268,'2000 Seattle Tracts'!$C$2:$Y$374,AE$1,FALSE)*$Z268</f>
        <v>2195.8382942333819</v>
      </c>
      <c r="AF268" s="3">
        <f>VLOOKUP($AB268,'2000 Seattle Tracts'!$C$2:$Y$374,AF$1,FALSE)*$Z268</f>
        <v>4551.3739189564649</v>
      </c>
      <c r="AG268" s="3">
        <f>VLOOKUP($AB268,'2000 Seattle Tracts'!$C$2:$Y$374,AG$1,FALSE)*$Z268</f>
        <v>2355.5356247230825</v>
      </c>
      <c r="AH268" s="3">
        <f>VLOOKUP($AB268,'2000 Seattle Tracts'!$C$2:$Y$374,AH$1,FALSE)*$Z268</f>
        <v>2195.8382942333819</v>
      </c>
      <c r="AI268" s="3">
        <f>VLOOKUP($AB268,'2000 Seattle Tracts'!$C$2:$Y$374,AI$1,FALSE)*$Z268</f>
        <v>440.16576716223705</v>
      </c>
      <c r="AJ268" s="3">
        <f>VLOOKUP($AB268,'2000 Seattle Tracts'!$C$2:$Y$374,AJ$1,FALSE)*$Z268</f>
        <v>46.911090831349526</v>
      </c>
      <c r="AK268" s="3">
        <f>VLOOKUP($AB268,'2000 Seattle Tracts'!$C$2:$Y$374,AK$1,FALSE)*$Z268</f>
        <v>45.912982515788897</v>
      </c>
      <c r="AL268" s="3">
        <f>VLOOKUP($AB268,'2000 Seattle Tracts'!$C$2:$Y$374,AL$1,FALSE)*$Z268</f>
        <v>35.931899360182612</v>
      </c>
      <c r="AM268" s="3">
        <f>VLOOKUP($AB268,'2000 Seattle Tracts'!$C$2:$Y$374,AM$1,FALSE)*$Z268</f>
        <v>1056.9967061787052</v>
      </c>
      <c r="AN268" s="3">
        <f>VLOOKUP($AB268,'2000 Seattle Tracts'!$C$2:$Y$374,AN$1,FALSE)*$Z268</f>
        <v>170.6765219608674</v>
      </c>
      <c r="AO268" s="3">
        <f>VLOOKUP($AB268,'2000 Seattle Tracts'!$C$2:$Y$374,AO$1,FALSE)*$Z268</f>
        <v>43.91676588466764</v>
      </c>
      <c r="AP268" s="3">
        <f>VLOOKUP($AB268,'2000 Seattle Tracts'!$C$2:$Y$374,AP$1,FALSE)*$Z268</f>
        <v>8.9829748400456531</v>
      </c>
      <c r="AQ268" s="3">
        <f>VLOOKUP($AB268,'2000 Seattle Tracts'!$C$2:$Y$374,AQ$1,FALSE)*$Z268</f>
        <v>507.03902430479911</v>
      </c>
      <c r="AR268" s="3">
        <f>VLOOKUP($AB268,'2000 Seattle Tracts'!$C$2:$Y$374,AR$1,FALSE)*$Z268</f>
        <v>1613.9411462615358</v>
      </c>
      <c r="AS268" s="3">
        <f>VLOOKUP($AB268,'2000 Seattle Tracts'!$C$2:$Y$374,AS$1,FALSE)*$Z268</f>
        <v>0</v>
      </c>
      <c r="AT268" s="3">
        <f>VLOOKUP($AB268,'2000 Seattle Tracts'!$C$2:$Y$374,AT$1,FALSE)*$Z268</f>
        <v>11.977299786727539</v>
      </c>
      <c r="AU268" s="3">
        <f>VLOOKUP($AB268,'2000 Seattle Tracts'!$C$2:$Y$374,AU$1,FALSE)*$Z268</f>
        <v>36.930007675743241</v>
      </c>
      <c r="AV268" s="3">
        <f>VLOOKUP($AB268,'2000 Seattle Tracts'!$C$2:$Y$374,AV$1,FALSE)*$Z268</f>
        <v>94.82028997825968</v>
      </c>
      <c r="AW268" s="3">
        <f>VLOOKUP($AB268,'2000 Seattle Tracts'!$C$2:$Y$374,AW$1,FALSE)*$Z268</f>
        <v>224.57437100114134</v>
      </c>
      <c r="AX268" s="3">
        <f>VLOOKUP($AB268,'2000 Seattle Tracts'!$C$2:$Y$374,AX$1,FALSE)*$Z268</f>
        <v>212.5970712144138</v>
      </c>
    </row>
    <row r="269" spans="1:50" x14ac:dyDescent="0.25">
      <c r="A269" t="s">
        <v>2917</v>
      </c>
      <c r="B269" t="s">
        <v>2918</v>
      </c>
      <c r="C269" t="s">
        <v>2978</v>
      </c>
      <c r="D269" t="s">
        <v>2836</v>
      </c>
      <c r="E269" t="s">
        <v>2837</v>
      </c>
      <c r="F269" t="s">
        <v>2838</v>
      </c>
      <c r="G269" t="s">
        <v>2920</v>
      </c>
      <c r="H269" t="s">
        <v>2921</v>
      </c>
      <c r="I269">
        <v>1150364</v>
      </c>
      <c r="J269">
        <v>0</v>
      </c>
      <c r="K269" t="s">
        <v>2979</v>
      </c>
      <c r="L269" t="s">
        <v>2980</v>
      </c>
      <c r="M269">
        <v>84</v>
      </c>
      <c r="N269">
        <v>20847.651999999998</v>
      </c>
      <c r="O269" t="s">
        <v>184</v>
      </c>
      <c r="P269">
        <v>15</v>
      </c>
      <c r="Q269">
        <v>4</v>
      </c>
      <c r="R269">
        <v>9</v>
      </c>
      <c r="S269">
        <v>19601602</v>
      </c>
      <c r="T269">
        <v>86</v>
      </c>
      <c r="U269">
        <v>192</v>
      </c>
      <c r="V269">
        <v>20847.653192299731</v>
      </c>
      <c r="W269">
        <v>19601601.215348601</v>
      </c>
      <c r="X269">
        <v>92.765000000000001</v>
      </c>
      <c r="Y269">
        <f>VLOOKUP(AB269,'2000 Seattle Tracts'!$C$2:$Z$374,24,FALSE)</f>
        <v>1150364.17</v>
      </c>
      <c r="Z269">
        <f t="shared" si="8"/>
        <v>8.0639681258500958E-5</v>
      </c>
      <c r="AA269" t="s">
        <v>185</v>
      </c>
      <c r="AB269" t="str">
        <f t="shared" si="9"/>
        <v>Census Tract 111.01, King County, Washington</v>
      </c>
      <c r="AC269" s="3">
        <f>VLOOKUP($AB269,'2000 Seattle Tracts'!$C$2:$Y$374,AC$1,FALSE)*$Z269</f>
        <v>0.36771694653876436</v>
      </c>
      <c r="AD269" s="3">
        <f>VLOOKUP($AB269,'2000 Seattle Tracts'!$C$2:$Y$374,AD$1,FALSE)*$Z269</f>
        <v>0.19030964777006226</v>
      </c>
      <c r="AE269" s="3">
        <f>VLOOKUP($AB269,'2000 Seattle Tracts'!$C$2:$Y$374,AE$1,FALSE)*$Z269</f>
        <v>0.17740729876870212</v>
      </c>
      <c r="AF269" s="3">
        <f>VLOOKUP($AB269,'2000 Seattle Tracts'!$C$2:$Y$374,AF$1,FALSE)*$Z269</f>
        <v>0.36771694653876436</v>
      </c>
      <c r="AG269" s="3">
        <f>VLOOKUP($AB269,'2000 Seattle Tracts'!$C$2:$Y$374,AG$1,FALSE)*$Z269</f>
        <v>0.19030964777006226</v>
      </c>
      <c r="AH269" s="3">
        <f>VLOOKUP($AB269,'2000 Seattle Tracts'!$C$2:$Y$374,AH$1,FALSE)*$Z269</f>
        <v>0.17740729876870212</v>
      </c>
      <c r="AI269" s="3">
        <f>VLOOKUP($AB269,'2000 Seattle Tracts'!$C$2:$Y$374,AI$1,FALSE)*$Z269</f>
        <v>3.5562099434998926E-2</v>
      </c>
      <c r="AJ269" s="3">
        <f>VLOOKUP($AB269,'2000 Seattle Tracts'!$C$2:$Y$374,AJ$1,FALSE)*$Z269</f>
        <v>3.7900650191495452E-3</v>
      </c>
      <c r="AK269" s="3">
        <f>VLOOKUP($AB269,'2000 Seattle Tracts'!$C$2:$Y$374,AK$1,FALSE)*$Z269</f>
        <v>3.7094253378910443E-3</v>
      </c>
      <c r="AL269" s="3">
        <f>VLOOKUP($AB269,'2000 Seattle Tracts'!$C$2:$Y$374,AL$1,FALSE)*$Z269</f>
        <v>2.9030285253060346E-3</v>
      </c>
      <c r="AM269" s="3">
        <f>VLOOKUP($AB269,'2000 Seattle Tracts'!$C$2:$Y$374,AM$1,FALSE)*$Z269</f>
        <v>8.5397422452752517E-2</v>
      </c>
      <c r="AN269" s="3">
        <f>VLOOKUP($AB269,'2000 Seattle Tracts'!$C$2:$Y$374,AN$1,FALSE)*$Z269</f>
        <v>1.3789385495203664E-2</v>
      </c>
      <c r="AO269" s="3">
        <f>VLOOKUP($AB269,'2000 Seattle Tracts'!$C$2:$Y$374,AO$1,FALSE)*$Z269</f>
        <v>3.5481459753740423E-3</v>
      </c>
      <c r="AP269" s="3">
        <f>VLOOKUP($AB269,'2000 Seattle Tracts'!$C$2:$Y$374,AP$1,FALSE)*$Z269</f>
        <v>7.2575713132650864E-4</v>
      </c>
      <c r="AQ269" s="3">
        <f>VLOOKUP($AB269,'2000 Seattle Tracts'!$C$2:$Y$374,AQ$1,FALSE)*$Z269</f>
        <v>4.0964958079318485E-2</v>
      </c>
      <c r="AR269" s="3">
        <f>VLOOKUP($AB269,'2000 Seattle Tracts'!$C$2:$Y$374,AR$1,FALSE)*$Z269</f>
        <v>0.13039436459499604</v>
      </c>
      <c r="AS269" s="3">
        <f>VLOOKUP($AB269,'2000 Seattle Tracts'!$C$2:$Y$374,AS$1,FALSE)*$Z269</f>
        <v>0</v>
      </c>
      <c r="AT269" s="3">
        <f>VLOOKUP($AB269,'2000 Seattle Tracts'!$C$2:$Y$374,AT$1,FALSE)*$Z269</f>
        <v>9.6767617510201145E-4</v>
      </c>
      <c r="AU269" s="3">
        <f>VLOOKUP($AB269,'2000 Seattle Tracts'!$C$2:$Y$374,AU$1,FALSE)*$Z269</f>
        <v>2.9836682065645355E-3</v>
      </c>
      <c r="AV269" s="3">
        <f>VLOOKUP($AB269,'2000 Seattle Tracts'!$C$2:$Y$374,AV$1,FALSE)*$Z269</f>
        <v>7.660769719557591E-3</v>
      </c>
      <c r="AW269" s="3">
        <f>VLOOKUP($AB269,'2000 Seattle Tracts'!$C$2:$Y$374,AW$1,FALSE)*$Z269</f>
        <v>1.8143928283162716E-2</v>
      </c>
      <c r="AX269" s="3">
        <f>VLOOKUP($AB269,'2000 Seattle Tracts'!$C$2:$Y$374,AX$1,FALSE)*$Z269</f>
        <v>1.7176252108060706E-2</v>
      </c>
    </row>
    <row r="270" spans="1:50" x14ac:dyDescent="0.25">
      <c r="A270" t="s">
        <v>2917</v>
      </c>
      <c r="B270" t="s">
        <v>2918</v>
      </c>
      <c r="C270" t="s">
        <v>2978</v>
      </c>
      <c r="D270" t="s">
        <v>2836</v>
      </c>
      <c r="E270" t="s">
        <v>2837</v>
      </c>
      <c r="F270" t="s">
        <v>2838</v>
      </c>
      <c r="G270" t="s">
        <v>2920</v>
      </c>
      <c r="H270" t="s">
        <v>2921</v>
      </c>
      <c r="I270">
        <v>1150364</v>
      </c>
      <c r="J270">
        <v>0</v>
      </c>
      <c r="K270" t="s">
        <v>2979</v>
      </c>
      <c r="L270" t="s">
        <v>2980</v>
      </c>
      <c r="M270">
        <v>88</v>
      </c>
      <c r="N270">
        <v>35177.063000000002</v>
      </c>
      <c r="O270" t="s">
        <v>184</v>
      </c>
      <c r="P270">
        <v>15</v>
      </c>
      <c r="Q270">
        <v>4</v>
      </c>
      <c r="R270">
        <v>94</v>
      </c>
      <c r="S270">
        <v>37406576</v>
      </c>
      <c r="T270">
        <v>90</v>
      </c>
      <c r="U270">
        <v>179</v>
      </c>
      <c r="V270">
        <v>35177.060803967521</v>
      </c>
      <c r="W270">
        <v>37406576.492632188</v>
      </c>
      <c r="X270">
        <v>63.384999999999998</v>
      </c>
      <c r="Y270">
        <f>VLOOKUP(AB270,'2000 Seattle Tracts'!$C$2:$Z$374,24,FALSE)</f>
        <v>1150364.17</v>
      </c>
      <c r="Z270">
        <f t="shared" si="8"/>
        <v>5.5099942829408535E-5</v>
      </c>
      <c r="AA270" t="s">
        <v>189</v>
      </c>
      <c r="AB270" t="str">
        <f t="shared" si="9"/>
        <v>Census Tract 111.01, King County, Washington</v>
      </c>
      <c r="AC270" s="3">
        <f>VLOOKUP($AB270,'2000 Seattle Tracts'!$C$2:$Y$374,AC$1,FALSE)*$Z270</f>
        <v>0.25125573930210293</v>
      </c>
      <c r="AD270" s="3">
        <f>VLOOKUP($AB270,'2000 Seattle Tracts'!$C$2:$Y$374,AD$1,FALSE)*$Z270</f>
        <v>0.13003586507740414</v>
      </c>
      <c r="AE270" s="3">
        <f>VLOOKUP($AB270,'2000 Seattle Tracts'!$C$2:$Y$374,AE$1,FALSE)*$Z270</f>
        <v>0.12121987422469878</v>
      </c>
      <c r="AF270" s="3">
        <f>VLOOKUP($AB270,'2000 Seattle Tracts'!$C$2:$Y$374,AF$1,FALSE)*$Z270</f>
        <v>0.25125573930210293</v>
      </c>
      <c r="AG270" s="3">
        <f>VLOOKUP($AB270,'2000 Seattle Tracts'!$C$2:$Y$374,AG$1,FALSE)*$Z270</f>
        <v>0.13003586507740414</v>
      </c>
      <c r="AH270" s="3">
        <f>VLOOKUP($AB270,'2000 Seattle Tracts'!$C$2:$Y$374,AH$1,FALSE)*$Z270</f>
        <v>0.12121987422469878</v>
      </c>
      <c r="AI270" s="3">
        <f>VLOOKUP($AB270,'2000 Seattle Tracts'!$C$2:$Y$374,AI$1,FALSE)*$Z270</f>
        <v>2.4299074787769163E-2</v>
      </c>
      <c r="AJ270" s="3">
        <f>VLOOKUP($AB270,'2000 Seattle Tracts'!$C$2:$Y$374,AJ$1,FALSE)*$Z270</f>
        <v>2.5896973129822011E-3</v>
      </c>
      <c r="AK270" s="3">
        <f>VLOOKUP($AB270,'2000 Seattle Tracts'!$C$2:$Y$374,AK$1,FALSE)*$Z270</f>
        <v>2.5345973701527925E-3</v>
      </c>
      <c r="AL270" s="3">
        <f>VLOOKUP($AB270,'2000 Seattle Tracts'!$C$2:$Y$374,AL$1,FALSE)*$Z270</f>
        <v>1.9835979418587075E-3</v>
      </c>
      <c r="AM270" s="3">
        <f>VLOOKUP($AB270,'2000 Seattle Tracts'!$C$2:$Y$374,AM$1,FALSE)*$Z270</f>
        <v>5.8350839456343638E-2</v>
      </c>
      <c r="AN270" s="3">
        <f>VLOOKUP($AB270,'2000 Seattle Tracts'!$C$2:$Y$374,AN$1,FALSE)*$Z270</f>
        <v>9.4220902238288592E-3</v>
      </c>
      <c r="AO270" s="3">
        <f>VLOOKUP($AB270,'2000 Seattle Tracts'!$C$2:$Y$374,AO$1,FALSE)*$Z270</f>
        <v>2.4243974844939753E-3</v>
      </c>
      <c r="AP270" s="3">
        <f>VLOOKUP($AB270,'2000 Seattle Tracts'!$C$2:$Y$374,AP$1,FALSE)*$Z270</f>
        <v>4.9589948546467687E-4</v>
      </c>
      <c r="AQ270" s="3">
        <f>VLOOKUP($AB270,'2000 Seattle Tracts'!$C$2:$Y$374,AQ$1,FALSE)*$Z270</f>
        <v>2.7990770957339536E-2</v>
      </c>
      <c r="AR270" s="3">
        <f>VLOOKUP($AB270,'2000 Seattle Tracts'!$C$2:$Y$374,AR$1,FALSE)*$Z270</f>
        <v>8.9096607555153598E-2</v>
      </c>
      <c r="AS270" s="3">
        <f>VLOOKUP($AB270,'2000 Seattle Tracts'!$C$2:$Y$374,AS$1,FALSE)*$Z270</f>
        <v>0</v>
      </c>
      <c r="AT270" s="3">
        <f>VLOOKUP($AB270,'2000 Seattle Tracts'!$C$2:$Y$374,AT$1,FALSE)*$Z270</f>
        <v>6.6119931395290242E-4</v>
      </c>
      <c r="AU270" s="3">
        <f>VLOOKUP($AB270,'2000 Seattle Tracts'!$C$2:$Y$374,AU$1,FALSE)*$Z270</f>
        <v>2.0386978846881156E-3</v>
      </c>
      <c r="AV270" s="3">
        <f>VLOOKUP($AB270,'2000 Seattle Tracts'!$C$2:$Y$374,AV$1,FALSE)*$Z270</f>
        <v>5.2344945687938108E-3</v>
      </c>
      <c r="AW270" s="3">
        <f>VLOOKUP($AB270,'2000 Seattle Tracts'!$C$2:$Y$374,AW$1,FALSE)*$Z270</f>
        <v>1.239748713661692E-2</v>
      </c>
      <c r="AX270" s="3">
        <f>VLOOKUP($AB270,'2000 Seattle Tracts'!$C$2:$Y$374,AX$1,FALSE)*$Z270</f>
        <v>1.1736287822664018E-2</v>
      </c>
    </row>
    <row r="271" spans="1:50" x14ac:dyDescent="0.25">
      <c r="A271" t="s">
        <v>2917</v>
      </c>
      <c r="B271" t="s">
        <v>2918</v>
      </c>
      <c r="C271" t="s">
        <v>3452</v>
      </c>
      <c r="D271" t="s">
        <v>3453</v>
      </c>
      <c r="E271" t="s">
        <v>3454</v>
      </c>
      <c r="F271" t="s">
        <v>3455</v>
      </c>
      <c r="G271" t="s">
        <v>2920</v>
      </c>
      <c r="H271" t="s">
        <v>2921</v>
      </c>
      <c r="I271">
        <v>2746877</v>
      </c>
      <c r="J271">
        <v>0</v>
      </c>
      <c r="K271" t="s">
        <v>3456</v>
      </c>
      <c r="L271" t="s">
        <v>3457</v>
      </c>
      <c r="M271">
        <v>68</v>
      </c>
      <c r="N271">
        <v>45963.663999999997</v>
      </c>
      <c r="O271" t="s">
        <v>122</v>
      </c>
      <c r="P271">
        <v>18</v>
      </c>
      <c r="Q271">
        <v>12</v>
      </c>
      <c r="R271">
        <v>81</v>
      </c>
      <c r="S271">
        <v>51305072</v>
      </c>
      <c r="T271">
        <v>70</v>
      </c>
      <c r="U271">
        <v>177</v>
      </c>
      <c r="V271">
        <v>45963.665676960663</v>
      </c>
      <c r="W271">
        <v>51305072.646258257</v>
      </c>
      <c r="X271">
        <v>47177.366000000002</v>
      </c>
      <c r="Y271">
        <f>VLOOKUP(AB271,'2000 Seattle Tracts'!$C$2:$Z$374,24,FALSE)</f>
        <v>2746891.3679999998</v>
      </c>
      <c r="Z271">
        <f t="shared" si="8"/>
        <v>1.7174820435054063E-2</v>
      </c>
      <c r="AA271" t="s">
        <v>166</v>
      </c>
      <c r="AB271" t="str">
        <f t="shared" si="9"/>
        <v>Census Tract 110, King County, Washington</v>
      </c>
      <c r="AC271" s="3">
        <f>VLOOKUP($AB271,'2000 Seattle Tracts'!$C$2:$Y$374,AC$1,FALSE)*$Z271</f>
        <v>107.51437592343844</v>
      </c>
      <c r="AD271" s="3">
        <f>VLOOKUP($AB271,'2000 Seattle Tracts'!$C$2:$Y$374,AD$1,FALSE)*$Z271</f>
        <v>47.917749013800837</v>
      </c>
      <c r="AE271" s="3">
        <f>VLOOKUP($AB271,'2000 Seattle Tracts'!$C$2:$Y$374,AE$1,FALSE)*$Z271</f>
        <v>59.5966269096376</v>
      </c>
      <c r="AF271" s="3">
        <f>VLOOKUP($AB271,'2000 Seattle Tracts'!$C$2:$Y$374,AF$1,FALSE)*$Z271</f>
        <v>107.51437592343844</v>
      </c>
      <c r="AG271" s="3">
        <f>VLOOKUP($AB271,'2000 Seattle Tracts'!$C$2:$Y$374,AG$1,FALSE)*$Z271</f>
        <v>47.917749013800837</v>
      </c>
      <c r="AH271" s="3">
        <f>VLOOKUP($AB271,'2000 Seattle Tracts'!$C$2:$Y$374,AH$1,FALSE)*$Z271</f>
        <v>59.5966269096376</v>
      </c>
      <c r="AI271" s="3">
        <f>VLOOKUP($AB271,'2000 Seattle Tracts'!$C$2:$Y$374,AI$1,FALSE)*$Z271</f>
        <v>8.7591584218775722</v>
      </c>
      <c r="AJ271" s="3">
        <f>VLOOKUP($AB271,'2000 Seattle Tracts'!$C$2:$Y$374,AJ$1,FALSE)*$Z271</f>
        <v>0.99613958523313562</v>
      </c>
      <c r="AK271" s="3">
        <f>VLOOKUP($AB271,'2000 Seattle Tracts'!$C$2:$Y$374,AK$1,FALSE)*$Z271</f>
        <v>0.30914676783097311</v>
      </c>
      <c r="AL271" s="3">
        <f>VLOOKUP($AB271,'2000 Seattle Tracts'!$C$2:$Y$374,AL$1,FALSE)*$Z271</f>
        <v>1.391160455239379</v>
      </c>
      <c r="AM271" s="3">
        <f>VLOOKUP($AB271,'2000 Seattle Tracts'!$C$2:$Y$374,AM$1,FALSE)*$Z271</f>
        <v>16.058457106775549</v>
      </c>
      <c r="AN271" s="3">
        <f>VLOOKUP($AB271,'2000 Seattle Tracts'!$C$2:$Y$374,AN$1,FALSE)*$Z271</f>
        <v>8.123690065780572</v>
      </c>
      <c r="AO271" s="3">
        <f>VLOOKUP($AB271,'2000 Seattle Tracts'!$C$2:$Y$374,AO$1,FALSE)*$Z271</f>
        <v>3.1086424987447852</v>
      </c>
      <c r="AP271" s="3">
        <f>VLOOKUP($AB271,'2000 Seattle Tracts'!$C$2:$Y$374,AP$1,FALSE)*$Z271</f>
        <v>0</v>
      </c>
      <c r="AQ271" s="3">
        <f>VLOOKUP($AB271,'2000 Seattle Tracts'!$C$2:$Y$374,AQ$1,FALSE)*$Z271</f>
        <v>14.426849165445413</v>
      </c>
      <c r="AR271" s="3">
        <f>VLOOKUP($AB271,'2000 Seattle Tracts'!$C$2:$Y$374,AR$1,FALSE)*$Z271</f>
        <v>40.738674071948239</v>
      </c>
      <c r="AS271" s="3">
        <f>VLOOKUP($AB271,'2000 Seattle Tracts'!$C$2:$Y$374,AS$1,FALSE)*$Z271</f>
        <v>0.4121956904412975</v>
      </c>
      <c r="AT271" s="3">
        <f>VLOOKUP($AB271,'2000 Seattle Tracts'!$C$2:$Y$374,AT$1,FALSE)*$Z271</f>
        <v>1.6316079413301359</v>
      </c>
      <c r="AU271" s="3">
        <f>VLOOKUP($AB271,'2000 Seattle Tracts'!$C$2:$Y$374,AU$1,FALSE)*$Z271</f>
        <v>1.1163633282785141</v>
      </c>
      <c r="AV271" s="3">
        <f>VLOOKUP($AB271,'2000 Seattle Tracts'!$C$2:$Y$374,AV$1,FALSE)*$Z271</f>
        <v>2.3186007587322983</v>
      </c>
      <c r="AW271" s="3">
        <f>VLOOKUP($AB271,'2000 Seattle Tracts'!$C$2:$Y$374,AW$1,FALSE)*$Z271</f>
        <v>3.7269360344067315</v>
      </c>
      <c r="AX271" s="3">
        <f>VLOOKUP($AB271,'2000 Seattle Tracts'!$C$2:$Y$374,AX$1,FALSE)*$Z271</f>
        <v>4.39675403137384</v>
      </c>
    </row>
    <row r="272" spans="1:50" x14ac:dyDescent="0.25">
      <c r="A272" t="s">
        <v>2917</v>
      </c>
      <c r="B272" t="s">
        <v>2918</v>
      </c>
      <c r="C272" t="s">
        <v>3452</v>
      </c>
      <c r="D272" t="s">
        <v>3453</v>
      </c>
      <c r="E272" t="s">
        <v>3454</v>
      </c>
      <c r="F272" t="s">
        <v>3455</v>
      </c>
      <c r="G272" t="s">
        <v>2920</v>
      </c>
      <c r="H272" t="s">
        <v>2921</v>
      </c>
      <c r="I272">
        <v>2746877</v>
      </c>
      <c r="J272">
        <v>0</v>
      </c>
      <c r="K272" t="s">
        <v>3456</v>
      </c>
      <c r="L272" t="s">
        <v>3457</v>
      </c>
      <c r="M272">
        <v>80</v>
      </c>
      <c r="N272">
        <v>40522.184000000001</v>
      </c>
      <c r="O272" t="s">
        <v>179</v>
      </c>
      <c r="P272">
        <v>17</v>
      </c>
      <c r="Q272">
        <v>5</v>
      </c>
      <c r="R272">
        <v>95</v>
      </c>
      <c r="S272">
        <v>52620472</v>
      </c>
      <c r="T272">
        <v>82</v>
      </c>
      <c r="U272">
        <v>172</v>
      </c>
      <c r="V272">
        <v>40522.182927532267</v>
      </c>
      <c r="W272">
        <v>52620470.788550943</v>
      </c>
      <c r="X272">
        <v>677294.54399999999</v>
      </c>
      <c r="Y272">
        <f>VLOOKUP(AB272,'2000 Seattle Tracts'!$C$2:$Z$374,24,FALSE)</f>
        <v>2746891.3679999998</v>
      </c>
      <c r="Z272">
        <f t="shared" si="8"/>
        <v>0.24656764802939235</v>
      </c>
      <c r="AA272" t="s">
        <v>180</v>
      </c>
      <c r="AB272" t="str">
        <f t="shared" si="9"/>
        <v>Census Tract 110, King County, Washington</v>
      </c>
      <c r="AC272" s="3">
        <f>VLOOKUP($AB272,'2000 Seattle Tracts'!$C$2:$Y$374,AC$1,FALSE)*$Z272</f>
        <v>1543.513476663996</v>
      </c>
      <c r="AD272" s="3">
        <f>VLOOKUP($AB272,'2000 Seattle Tracts'!$C$2:$Y$374,AD$1,FALSE)*$Z272</f>
        <v>687.92373800200471</v>
      </c>
      <c r="AE272" s="3">
        <f>VLOOKUP($AB272,'2000 Seattle Tracts'!$C$2:$Y$374,AE$1,FALSE)*$Z272</f>
        <v>855.58973866199142</v>
      </c>
      <c r="AF272" s="3">
        <f>VLOOKUP($AB272,'2000 Seattle Tracts'!$C$2:$Y$374,AF$1,FALSE)*$Z272</f>
        <v>1543.513476663996</v>
      </c>
      <c r="AG272" s="3">
        <f>VLOOKUP($AB272,'2000 Seattle Tracts'!$C$2:$Y$374,AG$1,FALSE)*$Z272</f>
        <v>687.92373800200471</v>
      </c>
      <c r="AH272" s="3">
        <f>VLOOKUP($AB272,'2000 Seattle Tracts'!$C$2:$Y$374,AH$1,FALSE)*$Z272</f>
        <v>855.58973866199142</v>
      </c>
      <c r="AI272" s="3">
        <f>VLOOKUP($AB272,'2000 Seattle Tracts'!$C$2:$Y$374,AI$1,FALSE)*$Z272</f>
        <v>125.7495004949901</v>
      </c>
      <c r="AJ272" s="3">
        <f>VLOOKUP($AB272,'2000 Seattle Tracts'!$C$2:$Y$374,AJ$1,FALSE)*$Z272</f>
        <v>14.300923585704757</v>
      </c>
      <c r="AK272" s="3">
        <f>VLOOKUP($AB272,'2000 Seattle Tracts'!$C$2:$Y$374,AK$1,FALSE)*$Z272</f>
        <v>4.4382176645290627</v>
      </c>
      <c r="AL272" s="3">
        <f>VLOOKUP($AB272,'2000 Seattle Tracts'!$C$2:$Y$374,AL$1,FALSE)*$Z272</f>
        <v>19.971979490380779</v>
      </c>
      <c r="AM272" s="3">
        <f>VLOOKUP($AB272,'2000 Seattle Tracts'!$C$2:$Y$374,AM$1,FALSE)*$Z272</f>
        <v>230.54075090748185</v>
      </c>
      <c r="AN272" s="3">
        <f>VLOOKUP($AB272,'2000 Seattle Tracts'!$C$2:$Y$374,AN$1,FALSE)*$Z272</f>
        <v>116.62649751790258</v>
      </c>
      <c r="AO272" s="3">
        <f>VLOOKUP($AB272,'2000 Seattle Tracts'!$C$2:$Y$374,AO$1,FALSE)*$Z272</f>
        <v>44.628744293320018</v>
      </c>
      <c r="AP272" s="3">
        <f>VLOOKUP($AB272,'2000 Seattle Tracts'!$C$2:$Y$374,AP$1,FALSE)*$Z272</f>
        <v>0</v>
      </c>
      <c r="AQ272" s="3">
        <f>VLOOKUP($AB272,'2000 Seattle Tracts'!$C$2:$Y$374,AQ$1,FALSE)*$Z272</f>
        <v>207.11682434468958</v>
      </c>
      <c r="AR272" s="3">
        <f>VLOOKUP($AB272,'2000 Seattle Tracts'!$C$2:$Y$374,AR$1,FALSE)*$Z272</f>
        <v>584.85846112571869</v>
      </c>
      <c r="AS272" s="3">
        <f>VLOOKUP($AB272,'2000 Seattle Tracts'!$C$2:$Y$374,AS$1,FALSE)*$Z272</f>
        <v>5.9176235527054164</v>
      </c>
      <c r="AT272" s="3">
        <f>VLOOKUP($AB272,'2000 Seattle Tracts'!$C$2:$Y$374,AT$1,FALSE)*$Z272</f>
        <v>23.423926562792275</v>
      </c>
      <c r="AU272" s="3">
        <f>VLOOKUP($AB272,'2000 Seattle Tracts'!$C$2:$Y$374,AU$1,FALSE)*$Z272</f>
        <v>16.026897121910501</v>
      </c>
      <c r="AV272" s="3">
        <f>VLOOKUP($AB272,'2000 Seattle Tracts'!$C$2:$Y$374,AV$1,FALSE)*$Z272</f>
        <v>33.286632483967971</v>
      </c>
      <c r="AW272" s="3">
        <f>VLOOKUP($AB272,'2000 Seattle Tracts'!$C$2:$Y$374,AW$1,FALSE)*$Z272</f>
        <v>53.505179622378137</v>
      </c>
      <c r="AX272" s="3">
        <f>VLOOKUP($AB272,'2000 Seattle Tracts'!$C$2:$Y$374,AX$1,FALSE)*$Z272</f>
        <v>63.121317895524442</v>
      </c>
    </row>
    <row r="273" spans="1:50" x14ac:dyDescent="0.25">
      <c r="A273" t="s">
        <v>2917</v>
      </c>
      <c r="B273" t="s">
        <v>2918</v>
      </c>
      <c r="C273" t="s">
        <v>3452</v>
      </c>
      <c r="D273" t="s">
        <v>3453</v>
      </c>
      <c r="E273" t="s">
        <v>3454</v>
      </c>
      <c r="F273" t="s">
        <v>3455</v>
      </c>
      <c r="G273" t="s">
        <v>2920</v>
      </c>
      <c r="H273" t="s">
        <v>2921</v>
      </c>
      <c r="I273">
        <v>2746877</v>
      </c>
      <c r="J273">
        <v>0</v>
      </c>
      <c r="K273" t="s">
        <v>3456</v>
      </c>
      <c r="L273" t="s">
        <v>3457</v>
      </c>
      <c r="M273">
        <v>81</v>
      </c>
      <c r="N273">
        <v>38996.714999999997</v>
      </c>
      <c r="O273" t="s">
        <v>179</v>
      </c>
      <c r="P273">
        <v>17</v>
      </c>
      <c r="Q273">
        <v>5</v>
      </c>
      <c r="R273">
        <v>23</v>
      </c>
      <c r="S273">
        <v>38448828</v>
      </c>
      <c r="T273">
        <v>83</v>
      </c>
      <c r="U273">
        <v>183</v>
      </c>
      <c r="V273">
        <v>38996.715107084907</v>
      </c>
      <c r="W273">
        <v>38448826.89896398</v>
      </c>
      <c r="X273">
        <v>1189611.3600000001</v>
      </c>
      <c r="Y273">
        <f>VLOOKUP(AB273,'2000 Seattle Tracts'!$C$2:$Z$374,24,FALSE)</f>
        <v>2746891.3679999998</v>
      </c>
      <c r="Z273">
        <f t="shared" si="8"/>
        <v>0.43307550267856104</v>
      </c>
      <c r="AA273" t="s">
        <v>181</v>
      </c>
      <c r="AB273" t="str">
        <f t="shared" si="9"/>
        <v>Census Tract 110, King County, Washington</v>
      </c>
      <c r="AC273" s="3">
        <f>VLOOKUP($AB273,'2000 Seattle Tracts'!$C$2:$Y$374,AC$1,FALSE)*$Z273</f>
        <v>2711.0526467677923</v>
      </c>
      <c r="AD273" s="3">
        <f>VLOOKUP($AB273,'2000 Seattle Tracts'!$C$2:$Y$374,AD$1,FALSE)*$Z273</f>
        <v>1208.2806524731852</v>
      </c>
      <c r="AE273" s="3">
        <f>VLOOKUP($AB273,'2000 Seattle Tracts'!$C$2:$Y$374,AE$1,FALSE)*$Z273</f>
        <v>1502.7719942946069</v>
      </c>
      <c r="AF273" s="3">
        <f>VLOOKUP($AB273,'2000 Seattle Tracts'!$C$2:$Y$374,AF$1,FALSE)*$Z273</f>
        <v>2711.0526467677923</v>
      </c>
      <c r="AG273" s="3">
        <f>VLOOKUP($AB273,'2000 Seattle Tracts'!$C$2:$Y$374,AG$1,FALSE)*$Z273</f>
        <v>1208.2806524731852</v>
      </c>
      <c r="AH273" s="3">
        <f>VLOOKUP($AB273,'2000 Seattle Tracts'!$C$2:$Y$374,AH$1,FALSE)*$Z273</f>
        <v>1502.7719942946069</v>
      </c>
      <c r="AI273" s="3">
        <f>VLOOKUP($AB273,'2000 Seattle Tracts'!$C$2:$Y$374,AI$1,FALSE)*$Z273</f>
        <v>220.86850636606613</v>
      </c>
      <c r="AJ273" s="3">
        <f>VLOOKUP($AB273,'2000 Seattle Tracts'!$C$2:$Y$374,AJ$1,FALSE)*$Z273</f>
        <v>25.118379155356539</v>
      </c>
      <c r="AK273" s="3">
        <f>VLOOKUP($AB273,'2000 Seattle Tracts'!$C$2:$Y$374,AK$1,FALSE)*$Z273</f>
        <v>7.7953590482140989</v>
      </c>
      <c r="AL273" s="3">
        <f>VLOOKUP($AB273,'2000 Seattle Tracts'!$C$2:$Y$374,AL$1,FALSE)*$Z273</f>
        <v>35.079115716963443</v>
      </c>
      <c r="AM273" s="3">
        <f>VLOOKUP($AB273,'2000 Seattle Tracts'!$C$2:$Y$374,AM$1,FALSE)*$Z273</f>
        <v>404.92559500445458</v>
      </c>
      <c r="AN273" s="3">
        <f>VLOOKUP($AB273,'2000 Seattle Tracts'!$C$2:$Y$374,AN$1,FALSE)*$Z273</f>
        <v>204.84471276695936</v>
      </c>
      <c r="AO273" s="3">
        <f>VLOOKUP($AB273,'2000 Seattle Tracts'!$C$2:$Y$374,AO$1,FALSE)*$Z273</f>
        <v>78.386665984819544</v>
      </c>
      <c r="AP273" s="3">
        <f>VLOOKUP($AB273,'2000 Seattle Tracts'!$C$2:$Y$374,AP$1,FALSE)*$Z273</f>
        <v>0</v>
      </c>
      <c r="AQ273" s="3">
        <f>VLOOKUP($AB273,'2000 Seattle Tracts'!$C$2:$Y$374,AQ$1,FALSE)*$Z273</f>
        <v>363.78342224999125</v>
      </c>
      <c r="AR273" s="3">
        <f>VLOOKUP($AB273,'2000 Seattle Tracts'!$C$2:$Y$374,AR$1,FALSE)*$Z273</f>
        <v>1027.2550923535468</v>
      </c>
      <c r="AS273" s="3">
        <f>VLOOKUP($AB273,'2000 Seattle Tracts'!$C$2:$Y$374,AS$1,FALSE)*$Z273</f>
        <v>10.393812064285465</v>
      </c>
      <c r="AT273" s="3">
        <f>VLOOKUP($AB273,'2000 Seattle Tracts'!$C$2:$Y$374,AT$1,FALSE)*$Z273</f>
        <v>41.142172754463296</v>
      </c>
      <c r="AU273" s="3">
        <f>VLOOKUP($AB273,'2000 Seattle Tracts'!$C$2:$Y$374,AU$1,FALSE)*$Z273</f>
        <v>28.149907674106469</v>
      </c>
      <c r="AV273" s="3">
        <f>VLOOKUP($AB273,'2000 Seattle Tracts'!$C$2:$Y$374,AV$1,FALSE)*$Z273</f>
        <v>58.465192861605743</v>
      </c>
      <c r="AW273" s="3">
        <f>VLOOKUP($AB273,'2000 Seattle Tracts'!$C$2:$Y$374,AW$1,FALSE)*$Z273</f>
        <v>93.977384081247749</v>
      </c>
      <c r="AX273" s="3">
        <f>VLOOKUP($AB273,'2000 Seattle Tracts'!$C$2:$Y$374,AX$1,FALSE)*$Z273</f>
        <v>110.86732868571163</v>
      </c>
    </row>
    <row r="274" spans="1:50" x14ac:dyDescent="0.25">
      <c r="A274" t="s">
        <v>2917</v>
      </c>
      <c r="B274" t="s">
        <v>2918</v>
      </c>
      <c r="C274" t="s">
        <v>3452</v>
      </c>
      <c r="D274" t="s">
        <v>3453</v>
      </c>
      <c r="E274" t="s">
        <v>3454</v>
      </c>
      <c r="F274" t="s">
        <v>3455</v>
      </c>
      <c r="G274" t="s">
        <v>2920</v>
      </c>
      <c r="H274" t="s">
        <v>2921</v>
      </c>
      <c r="I274">
        <v>2746877</v>
      </c>
      <c r="J274">
        <v>0</v>
      </c>
      <c r="K274" t="s">
        <v>3456</v>
      </c>
      <c r="L274" t="s">
        <v>3457</v>
      </c>
      <c r="M274">
        <v>82</v>
      </c>
      <c r="N274">
        <v>15848.361999999999</v>
      </c>
      <c r="O274" t="s">
        <v>179</v>
      </c>
      <c r="P274">
        <v>17</v>
      </c>
      <c r="Q274">
        <v>5</v>
      </c>
      <c r="R274">
        <v>24</v>
      </c>
      <c r="S274">
        <v>8444236</v>
      </c>
      <c r="T274">
        <v>84</v>
      </c>
      <c r="U274">
        <v>186</v>
      </c>
      <c r="V274">
        <v>15848.362418511269</v>
      </c>
      <c r="W274">
        <v>8444235.9786088634</v>
      </c>
      <c r="X274">
        <v>783529.23800000001</v>
      </c>
      <c r="Y274">
        <f>VLOOKUP(AB274,'2000 Seattle Tracts'!$C$2:$Z$374,24,FALSE)</f>
        <v>2746891.3679999998</v>
      </c>
      <c r="Z274">
        <f t="shared" si="8"/>
        <v>0.28524216397042462</v>
      </c>
      <c r="AA274" t="s">
        <v>182</v>
      </c>
      <c r="AB274" t="str">
        <f t="shared" si="9"/>
        <v>Census Tract 110, King County, Washington</v>
      </c>
      <c r="AC274" s="3">
        <f>VLOOKUP($AB274,'2000 Seattle Tracts'!$C$2:$Y$374,AC$1,FALSE)*$Z274</f>
        <v>1785.6159464548582</v>
      </c>
      <c r="AD274" s="3">
        <f>VLOOKUP($AB274,'2000 Seattle Tracts'!$C$2:$Y$374,AD$1,FALSE)*$Z274</f>
        <v>795.82563747748475</v>
      </c>
      <c r="AE274" s="3">
        <f>VLOOKUP($AB274,'2000 Seattle Tracts'!$C$2:$Y$374,AE$1,FALSE)*$Z274</f>
        <v>989.79030897737346</v>
      </c>
      <c r="AF274" s="3">
        <f>VLOOKUP($AB274,'2000 Seattle Tracts'!$C$2:$Y$374,AF$1,FALSE)*$Z274</f>
        <v>1785.6159464548582</v>
      </c>
      <c r="AG274" s="3">
        <f>VLOOKUP($AB274,'2000 Seattle Tracts'!$C$2:$Y$374,AG$1,FALSE)*$Z274</f>
        <v>795.82563747748475</v>
      </c>
      <c r="AH274" s="3">
        <f>VLOOKUP($AB274,'2000 Seattle Tracts'!$C$2:$Y$374,AH$1,FALSE)*$Z274</f>
        <v>989.79030897737346</v>
      </c>
      <c r="AI274" s="3">
        <f>VLOOKUP($AB274,'2000 Seattle Tracts'!$C$2:$Y$374,AI$1,FALSE)*$Z274</f>
        <v>145.47350362491656</v>
      </c>
      <c r="AJ274" s="3">
        <f>VLOOKUP($AB274,'2000 Seattle Tracts'!$C$2:$Y$374,AJ$1,FALSE)*$Z274</f>
        <v>16.544045510284629</v>
      </c>
      <c r="AK274" s="3">
        <f>VLOOKUP($AB274,'2000 Seattle Tracts'!$C$2:$Y$374,AK$1,FALSE)*$Z274</f>
        <v>5.1343589514676431</v>
      </c>
      <c r="AL274" s="3">
        <f>VLOOKUP($AB274,'2000 Seattle Tracts'!$C$2:$Y$374,AL$1,FALSE)*$Z274</f>
        <v>23.104615281604396</v>
      </c>
      <c r="AM274" s="3">
        <f>VLOOKUP($AB274,'2000 Seattle Tracts'!$C$2:$Y$374,AM$1,FALSE)*$Z274</f>
        <v>266.701423312347</v>
      </c>
      <c r="AN274" s="3">
        <f>VLOOKUP($AB274,'2000 Seattle Tracts'!$C$2:$Y$374,AN$1,FALSE)*$Z274</f>
        <v>134.91954355801084</v>
      </c>
      <c r="AO274" s="3">
        <f>VLOOKUP($AB274,'2000 Seattle Tracts'!$C$2:$Y$374,AO$1,FALSE)*$Z274</f>
        <v>51.628831678646854</v>
      </c>
      <c r="AP274" s="3">
        <f>VLOOKUP($AB274,'2000 Seattle Tracts'!$C$2:$Y$374,AP$1,FALSE)*$Z274</f>
        <v>0</v>
      </c>
      <c r="AQ274" s="3">
        <f>VLOOKUP($AB274,'2000 Seattle Tracts'!$C$2:$Y$374,AQ$1,FALSE)*$Z274</f>
        <v>239.60341773515668</v>
      </c>
      <c r="AR274" s="3">
        <f>VLOOKUP($AB274,'2000 Seattle Tracts'!$C$2:$Y$374,AR$1,FALSE)*$Z274</f>
        <v>676.59441293784721</v>
      </c>
      <c r="AS274" s="3">
        <f>VLOOKUP($AB274,'2000 Seattle Tracts'!$C$2:$Y$374,AS$1,FALSE)*$Z274</f>
        <v>6.8458119352901914</v>
      </c>
      <c r="AT274" s="3">
        <f>VLOOKUP($AB274,'2000 Seattle Tracts'!$C$2:$Y$374,AT$1,FALSE)*$Z274</f>
        <v>27.098005577190339</v>
      </c>
      <c r="AU274" s="3">
        <f>VLOOKUP($AB274,'2000 Seattle Tracts'!$C$2:$Y$374,AU$1,FALSE)*$Z274</f>
        <v>18.540740658077599</v>
      </c>
      <c r="AV274" s="3">
        <f>VLOOKUP($AB274,'2000 Seattle Tracts'!$C$2:$Y$374,AV$1,FALSE)*$Z274</f>
        <v>38.507692136007321</v>
      </c>
      <c r="AW274" s="3">
        <f>VLOOKUP($AB274,'2000 Seattle Tracts'!$C$2:$Y$374,AW$1,FALSE)*$Z274</f>
        <v>61.89754958158214</v>
      </c>
      <c r="AX274" s="3">
        <f>VLOOKUP($AB274,'2000 Seattle Tracts'!$C$2:$Y$374,AX$1,FALSE)*$Z274</f>
        <v>73.021993976428703</v>
      </c>
    </row>
    <row r="275" spans="1:50" x14ac:dyDescent="0.25">
      <c r="A275" t="s">
        <v>2917</v>
      </c>
      <c r="B275" t="s">
        <v>2918</v>
      </c>
      <c r="C275" t="s">
        <v>3452</v>
      </c>
      <c r="D275" t="s">
        <v>3453</v>
      </c>
      <c r="E275" t="s">
        <v>3454</v>
      </c>
      <c r="F275" t="s">
        <v>3455</v>
      </c>
      <c r="G275" t="s">
        <v>2920</v>
      </c>
      <c r="H275" t="s">
        <v>2921</v>
      </c>
      <c r="I275">
        <v>2746877</v>
      </c>
      <c r="J275">
        <v>0</v>
      </c>
      <c r="K275" t="s">
        <v>3456</v>
      </c>
      <c r="L275" t="s">
        <v>3457</v>
      </c>
      <c r="M275">
        <v>83</v>
      </c>
      <c r="N275">
        <v>18911.330000000002</v>
      </c>
      <c r="O275" t="s">
        <v>184</v>
      </c>
      <c r="P275">
        <v>15</v>
      </c>
      <c r="Q275">
        <v>4</v>
      </c>
      <c r="R275">
        <v>19</v>
      </c>
      <c r="S275">
        <v>18366938</v>
      </c>
      <c r="T275">
        <v>85</v>
      </c>
      <c r="U275">
        <v>185</v>
      </c>
      <c r="V275">
        <v>18911.329349083731</v>
      </c>
      <c r="W275">
        <v>18366938.27518687</v>
      </c>
      <c r="X275">
        <v>49194.646999999997</v>
      </c>
      <c r="Y275">
        <f>VLOOKUP(AB275,'2000 Seattle Tracts'!$C$2:$Z$374,24,FALSE)</f>
        <v>2746891.3679999998</v>
      </c>
      <c r="Z275">
        <f t="shared" si="8"/>
        <v>1.7909207321809169E-2</v>
      </c>
      <c r="AA275" t="s">
        <v>183</v>
      </c>
      <c r="AB275" t="str">
        <f t="shared" si="9"/>
        <v>Census Tract 110, King County, Washington</v>
      </c>
      <c r="AC275" s="3">
        <f>VLOOKUP($AB275,'2000 Seattle Tracts'!$C$2:$Y$374,AC$1,FALSE)*$Z275</f>
        <v>112.1116378345254</v>
      </c>
      <c r="AD275" s="3">
        <f>VLOOKUP($AB275,'2000 Seattle Tracts'!$C$2:$Y$374,AD$1,FALSE)*$Z275</f>
        <v>49.966688427847586</v>
      </c>
      <c r="AE275" s="3">
        <f>VLOOKUP($AB275,'2000 Seattle Tracts'!$C$2:$Y$374,AE$1,FALSE)*$Z275</f>
        <v>62.144949406677817</v>
      </c>
      <c r="AF275" s="3">
        <f>VLOOKUP($AB275,'2000 Seattle Tracts'!$C$2:$Y$374,AF$1,FALSE)*$Z275</f>
        <v>112.1116378345254</v>
      </c>
      <c r="AG275" s="3">
        <f>VLOOKUP($AB275,'2000 Seattle Tracts'!$C$2:$Y$374,AG$1,FALSE)*$Z275</f>
        <v>49.966688427847586</v>
      </c>
      <c r="AH275" s="3">
        <f>VLOOKUP($AB275,'2000 Seattle Tracts'!$C$2:$Y$374,AH$1,FALSE)*$Z275</f>
        <v>62.144949406677817</v>
      </c>
      <c r="AI275" s="3">
        <f>VLOOKUP($AB275,'2000 Seattle Tracts'!$C$2:$Y$374,AI$1,FALSE)*$Z275</f>
        <v>9.1336957341226768</v>
      </c>
      <c r="AJ275" s="3">
        <f>VLOOKUP($AB275,'2000 Seattle Tracts'!$C$2:$Y$374,AJ$1,FALSE)*$Z275</f>
        <v>1.0387340246649319</v>
      </c>
      <c r="AK275" s="3">
        <f>VLOOKUP($AB275,'2000 Seattle Tracts'!$C$2:$Y$374,AK$1,FALSE)*$Z275</f>
        <v>0.32236573179256506</v>
      </c>
      <c r="AL275" s="3">
        <f>VLOOKUP($AB275,'2000 Seattle Tracts'!$C$2:$Y$374,AL$1,FALSE)*$Z275</f>
        <v>1.4506457930665426</v>
      </c>
      <c r="AM275" s="3">
        <f>VLOOKUP($AB275,'2000 Seattle Tracts'!$C$2:$Y$374,AM$1,FALSE)*$Z275</f>
        <v>16.745108845891572</v>
      </c>
      <c r="AN275" s="3">
        <f>VLOOKUP($AB275,'2000 Seattle Tracts'!$C$2:$Y$374,AN$1,FALSE)*$Z275</f>
        <v>8.4710550632157364</v>
      </c>
      <c r="AO275" s="3">
        <f>VLOOKUP($AB275,'2000 Seattle Tracts'!$C$2:$Y$374,AO$1,FALSE)*$Z275</f>
        <v>3.2415665252474595</v>
      </c>
      <c r="AP275" s="3">
        <f>VLOOKUP($AB275,'2000 Seattle Tracts'!$C$2:$Y$374,AP$1,FALSE)*$Z275</f>
        <v>0</v>
      </c>
      <c r="AQ275" s="3">
        <f>VLOOKUP($AB275,'2000 Seattle Tracts'!$C$2:$Y$374,AQ$1,FALSE)*$Z275</f>
        <v>15.043734150319702</v>
      </c>
      <c r="AR275" s="3">
        <f>VLOOKUP($AB275,'2000 Seattle Tracts'!$C$2:$Y$374,AR$1,FALSE)*$Z275</f>
        <v>42.480639767331347</v>
      </c>
      <c r="AS275" s="3">
        <f>VLOOKUP($AB275,'2000 Seattle Tracts'!$C$2:$Y$374,AS$1,FALSE)*$Z275</f>
        <v>0.42982097572342004</v>
      </c>
      <c r="AT275" s="3">
        <f>VLOOKUP($AB275,'2000 Seattle Tracts'!$C$2:$Y$374,AT$1,FALSE)*$Z275</f>
        <v>1.7013746955718712</v>
      </c>
      <c r="AU275" s="3">
        <f>VLOOKUP($AB275,'2000 Seattle Tracts'!$C$2:$Y$374,AU$1,FALSE)*$Z275</f>
        <v>1.1640984759175961</v>
      </c>
      <c r="AV275" s="3">
        <f>VLOOKUP($AB275,'2000 Seattle Tracts'!$C$2:$Y$374,AV$1,FALSE)*$Z275</f>
        <v>2.4177429884442381</v>
      </c>
      <c r="AW275" s="3">
        <f>VLOOKUP($AB275,'2000 Seattle Tracts'!$C$2:$Y$374,AW$1,FALSE)*$Z275</f>
        <v>3.8862979888325899</v>
      </c>
      <c r="AX275" s="3">
        <f>VLOOKUP($AB275,'2000 Seattle Tracts'!$C$2:$Y$374,AX$1,FALSE)*$Z275</f>
        <v>4.5847570743831474</v>
      </c>
    </row>
    <row r="276" spans="1:50" x14ac:dyDescent="0.25">
      <c r="A276" t="s">
        <v>2917</v>
      </c>
      <c r="B276" t="s">
        <v>2918</v>
      </c>
      <c r="C276" t="s">
        <v>3452</v>
      </c>
      <c r="D276" t="s">
        <v>3453</v>
      </c>
      <c r="E276" t="s">
        <v>3454</v>
      </c>
      <c r="F276" t="s">
        <v>3455</v>
      </c>
      <c r="G276" t="s">
        <v>2920</v>
      </c>
      <c r="H276" t="s">
        <v>2921</v>
      </c>
      <c r="I276">
        <v>2746877</v>
      </c>
      <c r="J276">
        <v>0</v>
      </c>
      <c r="K276" t="s">
        <v>3456</v>
      </c>
      <c r="L276" t="s">
        <v>3457</v>
      </c>
      <c r="M276">
        <v>84</v>
      </c>
      <c r="N276">
        <v>20847.651999999998</v>
      </c>
      <c r="O276" t="s">
        <v>184</v>
      </c>
      <c r="P276">
        <v>15</v>
      </c>
      <c r="Q276">
        <v>4</v>
      </c>
      <c r="R276">
        <v>9</v>
      </c>
      <c r="S276">
        <v>19601602</v>
      </c>
      <c r="T276">
        <v>86</v>
      </c>
      <c r="U276">
        <v>192</v>
      </c>
      <c r="V276">
        <v>20847.653192299731</v>
      </c>
      <c r="W276">
        <v>19601601.215348601</v>
      </c>
      <c r="X276">
        <v>84.221000000000004</v>
      </c>
      <c r="Y276">
        <f>VLOOKUP(AB276,'2000 Seattle Tracts'!$C$2:$Z$374,24,FALSE)</f>
        <v>2746891.3679999998</v>
      </c>
      <c r="Z276">
        <f t="shared" si="8"/>
        <v>3.0660477141955911E-5</v>
      </c>
      <c r="AA276" t="s">
        <v>185</v>
      </c>
      <c r="AB276" t="str">
        <f t="shared" si="9"/>
        <v>Census Tract 110, King County, Washington</v>
      </c>
      <c r="AC276" s="3">
        <f>VLOOKUP($AB276,'2000 Seattle Tracts'!$C$2:$Y$374,AC$1,FALSE)*$Z276</f>
        <v>0.19193458690864401</v>
      </c>
      <c r="AD276" s="3">
        <f>VLOOKUP($AB276,'2000 Seattle Tracts'!$C$2:$Y$374,AD$1,FALSE)*$Z276</f>
        <v>8.5542731226056989E-2</v>
      </c>
      <c r="AE276" s="3">
        <f>VLOOKUP($AB276,'2000 Seattle Tracts'!$C$2:$Y$374,AE$1,FALSE)*$Z276</f>
        <v>0.10639185568258701</v>
      </c>
      <c r="AF276" s="3">
        <f>VLOOKUP($AB276,'2000 Seattle Tracts'!$C$2:$Y$374,AF$1,FALSE)*$Z276</f>
        <v>0.19193458690864401</v>
      </c>
      <c r="AG276" s="3">
        <f>VLOOKUP($AB276,'2000 Seattle Tracts'!$C$2:$Y$374,AG$1,FALSE)*$Z276</f>
        <v>8.5542731226056989E-2</v>
      </c>
      <c r="AH276" s="3">
        <f>VLOOKUP($AB276,'2000 Seattle Tracts'!$C$2:$Y$374,AH$1,FALSE)*$Z276</f>
        <v>0.10639185568258701</v>
      </c>
      <c r="AI276" s="3">
        <f>VLOOKUP($AB276,'2000 Seattle Tracts'!$C$2:$Y$374,AI$1,FALSE)*$Z276</f>
        <v>1.5636843342397514E-2</v>
      </c>
      <c r="AJ276" s="3">
        <f>VLOOKUP($AB276,'2000 Seattle Tracts'!$C$2:$Y$374,AJ$1,FALSE)*$Z276</f>
        <v>1.7783076742334428E-3</v>
      </c>
      <c r="AK276" s="3">
        <f>VLOOKUP($AB276,'2000 Seattle Tracts'!$C$2:$Y$374,AK$1,FALSE)*$Z276</f>
        <v>5.5188858855520636E-4</v>
      </c>
      <c r="AL276" s="3">
        <f>VLOOKUP($AB276,'2000 Seattle Tracts'!$C$2:$Y$374,AL$1,FALSE)*$Z276</f>
        <v>2.4834986484984288E-3</v>
      </c>
      <c r="AM276" s="3">
        <f>VLOOKUP($AB276,'2000 Seattle Tracts'!$C$2:$Y$374,AM$1,FALSE)*$Z276</f>
        <v>2.8667546127728778E-2</v>
      </c>
      <c r="AN276" s="3">
        <f>VLOOKUP($AB276,'2000 Seattle Tracts'!$C$2:$Y$374,AN$1,FALSE)*$Z276</f>
        <v>1.4502405688145146E-2</v>
      </c>
      <c r="AO276" s="3">
        <f>VLOOKUP($AB276,'2000 Seattle Tracts'!$C$2:$Y$374,AO$1,FALSE)*$Z276</f>
        <v>5.5495463626940196E-3</v>
      </c>
      <c r="AP276" s="3">
        <f>VLOOKUP($AB276,'2000 Seattle Tracts'!$C$2:$Y$374,AP$1,FALSE)*$Z276</f>
        <v>0</v>
      </c>
      <c r="AQ276" s="3">
        <f>VLOOKUP($AB276,'2000 Seattle Tracts'!$C$2:$Y$374,AQ$1,FALSE)*$Z276</f>
        <v>2.5754800799242965E-2</v>
      </c>
      <c r="AR276" s="3">
        <f>VLOOKUP($AB276,'2000 Seattle Tracts'!$C$2:$Y$374,AR$1,FALSE)*$Z276</f>
        <v>7.2726651780719423E-2</v>
      </c>
      <c r="AS276" s="3">
        <f>VLOOKUP($AB276,'2000 Seattle Tracts'!$C$2:$Y$374,AS$1,FALSE)*$Z276</f>
        <v>7.3585145140694181E-4</v>
      </c>
      <c r="AT276" s="3">
        <f>VLOOKUP($AB276,'2000 Seattle Tracts'!$C$2:$Y$374,AT$1,FALSE)*$Z276</f>
        <v>2.9127453284858115E-3</v>
      </c>
      <c r="AU276" s="3">
        <f>VLOOKUP($AB276,'2000 Seattle Tracts'!$C$2:$Y$374,AU$1,FALSE)*$Z276</f>
        <v>1.9929310142271341E-3</v>
      </c>
      <c r="AV276" s="3">
        <f>VLOOKUP($AB276,'2000 Seattle Tracts'!$C$2:$Y$374,AV$1,FALSE)*$Z276</f>
        <v>4.1391644141640484E-3</v>
      </c>
      <c r="AW276" s="3">
        <f>VLOOKUP($AB276,'2000 Seattle Tracts'!$C$2:$Y$374,AW$1,FALSE)*$Z276</f>
        <v>6.653323539804433E-3</v>
      </c>
      <c r="AX276" s="3">
        <f>VLOOKUP($AB276,'2000 Seattle Tracts'!$C$2:$Y$374,AX$1,FALSE)*$Z276</f>
        <v>7.8490821483407133E-3</v>
      </c>
    </row>
    <row r="277" spans="1:50" x14ac:dyDescent="0.25">
      <c r="A277" t="s">
        <v>2917</v>
      </c>
      <c r="B277" t="s">
        <v>2918</v>
      </c>
      <c r="C277" t="s">
        <v>2939</v>
      </c>
      <c r="D277" t="s">
        <v>2542</v>
      </c>
      <c r="E277" t="s">
        <v>2543</v>
      </c>
      <c r="F277" t="s">
        <v>2544</v>
      </c>
      <c r="G277" t="s">
        <v>2920</v>
      </c>
      <c r="H277" t="s">
        <v>2921</v>
      </c>
      <c r="I277">
        <v>711360</v>
      </c>
      <c r="J277">
        <v>0</v>
      </c>
      <c r="K277" t="s">
        <v>3458</v>
      </c>
      <c r="L277" t="s">
        <v>3459</v>
      </c>
      <c r="M277">
        <v>55</v>
      </c>
      <c r="N277">
        <v>18241.548999999999</v>
      </c>
      <c r="O277" t="s">
        <v>149</v>
      </c>
      <c r="P277">
        <v>14</v>
      </c>
      <c r="Q277">
        <v>8</v>
      </c>
      <c r="R277">
        <v>94</v>
      </c>
      <c r="S277">
        <v>17933144</v>
      </c>
      <c r="T277">
        <v>57</v>
      </c>
      <c r="U277">
        <v>157</v>
      </c>
      <c r="V277">
        <v>18241.548785981169</v>
      </c>
      <c r="W277">
        <v>17933144.708401948</v>
      </c>
      <c r="X277">
        <v>368613.30800000002</v>
      </c>
      <c r="Y277">
        <f>VLOOKUP(AB277,'2000 Seattle Tracts'!$C$2:$Z$374,24,FALSE)</f>
        <v>711358.777</v>
      </c>
      <c r="Z277">
        <f t="shared" si="8"/>
        <v>0.51818199186990566</v>
      </c>
      <c r="AA277" t="s">
        <v>151</v>
      </c>
      <c r="AB277" t="str">
        <f t="shared" si="9"/>
        <v>Census Tract 86, King County, Washington</v>
      </c>
      <c r="AC277" s="3">
        <f>VLOOKUP($AB277,'2000 Seattle Tracts'!$C$2:$Y$374,AC$1,FALSE)*$Z277</f>
        <v>2123.5098026828732</v>
      </c>
      <c r="AD277" s="3">
        <f>VLOOKUP($AB277,'2000 Seattle Tracts'!$C$2:$Y$374,AD$1,FALSE)*$Z277</f>
        <v>1649.8914621137797</v>
      </c>
      <c r="AE277" s="3">
        <f>VLOOKUP($AB277,'2000 Seattle Tracts'!$C$2:$Y$374,AE$1,FALSE)*$Z277</f>
        <v>473.61834056909379</v>
      </c>
      <c r="AF277" s="3">
        <f>VLOOKUP($AB277,'2000 Seattle Tracts'!$C$2:$Y$374,AF$1,FALSE)*$Z277</f>
        <v>2123.5098026828732</v>
      </c>
      <c r="AG277" s="3">
        <f>VLOOKUP($AB277,'2000 Seattle Tracts'!$C$2:$Y$374,AG$1,FALSE)*$Z277</f>
        <v>1649.8914621137797</v>
      </c>
      <c r="AH277" s="3">
        <f>VLOOKUP($AB277,'2000 Seattle Tracts'!$C$2:$Y$374,AH$1,FALSE)*$Z277</f>
        <v>473.61834056909379</v>
      </c>
      <c r="AI277" s="3">
        <f>VLOOKUP($AB277,'2000 Seattle Tracts'!$C$2:$Y$374,AI$1,FALSE)*$Z277</f>
        <v>1079.8912710568834</v>
      </c>
      <c r="AJ277" s="3">
        <f>VLOOKUP($AB277,'2000 Seattle Tracts'!$C$2:$Y$374,AJ$1,FALSE)*$Z277</f>
        <v>83.42730069105481</v>
      </c>
      <c r="AK277" s="3">
        <f>VLOOKUP($AB277,'2000 Seattle Tracts'!$C$2:$Y$374,AK$1,FALSE)*$Z277</f>
        <v>27.981827560974907</v>
      </c>
      <c r="AL277" s="3">
        <f>VLOOKUP($AB277,'2000 Seattle Tracts'!$C$2:$Y$374,AL$1,FALSE)*$Z277</f>
        <v>47.672743252031317</v>
      </c>
      <c r="AM277" s="3">
        <f>VLOOKUP($AB277,'2000 Seattle Tracts'!$C$2:$Y$374,AM$1,FALSE)*$Z277</f>
        <v>200.01824886178358</v>
      </c>
      <c r="AN277" s="3">
        <f>VLOOKUP($AB277,'2000 Seattle Tracts'!$C$2:$Y$374,AN$1,FALSE)*$Z277</f>
        <v>49.227289227641037</v>
      </c>
      <c r="AO277" s="3">
        <f>VLOOKUP($AB277,'2000 Seattle Tracts'!$C$2:$Y$374,AO$1,FALSE)*$Z277</f>
        <v>60.627293048778959</v>
      </c>
      <c r="AP277" s="3">
        <f>VLOOKUP($AB277,'2000 Seattle Tracts'!$C$2:$Y$374,AP$1,FALSE)*$Z277</f>
        <v>0</v>
      </c>
      <c r="AQ277" s="3">
        <f>VLOOKUP($AB277,'2000 Seattle Tracts'!$C$2:$Y$374,AQ$1,FALSE)*$Z277</f>
        <v>118.14549414633849</v>
      </c>
      <c r="AR277" s="3">
        <f>VLOOKUP($AB277,'2000 Seattle Tracts'!$C$2:$Y$374,AR$1,FALSE)*$Z277</f>
        <v>208.82734272357197</v>
      </c>
      <c r="AS277" s="3">
        <f>VLOOKUP($AB277,'2000 Seattle Tracts'!$C$2:$Y$374,AS$1,FALSE)*$Z277</f>
        <v>0</v>
      </c>
      <c r="AT277" s="3">
        <f>VLOOKUP($AB277,'2000 Seattle Tracts'!$C$2:$Y$374,AT$1,FALSE)*$Z277</f>
        <v>7.2545478861786794</v>
      </c>
      <c r="AU277" s="3">
        <f>VLOOKUP($AB277,'2000 Seattle Tracts'!$C$2:$Y$374,AU$1,FALSE)*$Z277</f>
        <v>52.336381178860471</v>
      </c>
      <c r="AV277" s="3">
        <f>VLOOKUP($AB277,'2000 Seattle Tracts'!$C$2:$Y$374,AV$1,FALSE)*$Z277</f>
        <v>50.263653211380849</v>
      </c>
      <c r="AW277" s="3">
        <f>VLOOKUP($AB277,'2000 Seattle Tracts'!$C$2:$Y$374,AW$1,FALSE)*$Z277</f>
        <v>110.89094626015981</v>
      </c>
      <c r="AX277" s="3">
        <f>VLOOKUP($AB277,'2000 Seattle Tracts'!$C$2:$Y$374,AX$1,FALSE)*$Z277</f>
        <v>26.945463577235095</v>
      </c>
    </row>
    <row r="278" spans="1:50" x14ac:dyDescent="0.25">
      <c r="A278" t="s">
        <v>2917</v>
      </c>
      <c r="B278" t="s">
        <v>2918</v>
      </c>
      <c r="C278" t="s">
        <v>2939</v>
      </c>
      <c r="D278" t="s">
        <v>2542</v>
      </c>
      <c r="E278" t="s">
        <v>2543</v>
      </c>
      <c r="F278" t="s">
        <v>2544</v>
      </c>
      <c r="G278" t="s">
        <v>2920</v>
      </c>
      <c r="H278" t="s">
        <v>2921</v>
      </c>
      <c r="I278">
        <v>711360</v>
      </c>
      <c r="J278">
        <v>0</v>
      </c>
      <c r="K278" t="s">
        <v>3458</v>
      </c>
      <c r="L278" t="s">
        <v>3459</v>
      </c>
      <c r="M278">
        <v>58</v>
      </c>
      <c r="N278">
        <v>25426.23</v>
      </c>
      <c r="O278" t="s">
        <v>149</v>
      </c>
      <c r="P278">
        <v>14</v>
      </c>
      <c r="Q278">
        <v>8</v>
      </c>
      <c r="R278">
        <v>24</v>
      </c>
      <c r="S278">
        <v>20664986</v>
      </c>
      <c r="T278">
        <v>60</v>
      </c>
      <c r="U278">
        <v>165</v>
      </c>
      <c r="V278">
        <v>25426.231162667511</v>
      </c>
      <c r="W278">
        <v>20664986.272921581</v>
      </c>
      <c r="X278">
        <v>473.92</v>
      </c>
      <c r="Y278">
        <f>VLOOKUP(AB278,'2000 Seattle Tracts'!$C$2:$Z$374,24,FALSE)</f>
        <v>711358.777</v>
      </c>
      <c r="Z278">
        <f t="shared" si="8"/>
        <v>6.6621796950148548E-4</v>
      </c>
      <c r="AA278" t="s">
        <v>154</v>
      </c>
      <c r="AB278" t="str">
        <f t="shared" si="9"/>
        <v>Census Tract 86, King County, Washington</v>
      </c>
      <c r="AC278" s="3">
        <f>VLOOKUP($AB278,'2000 Seattle Tracts'!$C$2:$Y$374,AC$1,FALSE)*$Z278</f>
        <v>2.7301612390170873</v>
      </c>
      <c r="AD278" s="3">
        <f>VLOOKUP($AB278,'2000 Seattle Tracts'!$C$2:$Y$374,AD$1,FALSE)*$Z278</f>
        <v>2.1212380148927297</v>
      </c>
      <c r="AE278" s="3">
        <f>VLOOKUP($AB278,'2000 Seattle Tracts'!$C$2:$Y$374,AE$1,FALSE)*$Z278</f>
        <v>0.60892322412435773</v>
      </c>
      <c r="AF278" s="3">
        <f>VLOOKUP($AB278,'2000 Seattle Tracts'!$C$2:$Y$374,AF$1,FALSE)*$Z278</f>
        <v>2.7301612390170873</v>
      </c>
      <c r="AG278" s="3">
        <f>VLOOKUP($AB278,'2000 Seattle Tracts'!$C$2:$Y$374,AG$1,FALSE)*$Z278</f>
        <v>2.1212380148927297</v>
      </c>
      <c r="AH278" s="3">
        <f>VLOOKUP($AB278,'2000 Seattle Tracts'!$C$2:$Y$374,AH$1,FALSE)*$Z278</f>
        <v>0.60892322412435773</v>
      </c>
      <c r="AI278" s="3">
        <f>VLOOKUP($AB278,'2000 Seattle Tracts'!$C$2:$Y$374,AI$1,FALSE)*$Z278</f>
        <v>1.3883982484410957</v>
      </c>
      <c r="AJ278" s="3">
        <f>VLOOKUP($AB278,'2000 Seattle Tracts'!$C$2:$Y$374,AJ$1,FALSE)*$Z278</f>
        <v>0.10726109308973916</v>
      </c>
      <c r="AK278" s="3">
        <f>VLOOKUP($AB278,'2000 Seattle Tracts'!$C$2:$Y$374,AK$1,FALSE)*$Z278</f>
        <v>3.5975770353080215E-2</v>
      </c>
      <c r="AL278" s="3">
        <f>VLOOKUP($AB278,'2000 Seattle Tracts'!$C$2:$Y$374,AL$1,FALSE)*$Z278</f>
        <v>6.1292053194136664E-2</v>
      </c>
      <c r="AM278" s="3">
        <f>VLOOKUP($AB278,'2000 Seattle Tracts'!$C$2:$Y$374,AM$1,FALSE)*$Z278</f>
        <v>0.25716013622757339</v>
      </c>
      <c r="AN278" s="3">
        <f>VLOOKUP($AB278,'2000 Seattle Tracts'!$C$2:$Y$374,AN$1,FALSE)*$Z278</f>
        <v>6.3290707102641119E-2</v>
      </c>
      <c r="AO278" s="3">
        <f>VLOOKUP($AB278,'2000 Seattle Tracts'!$C$2:$Y$374,AO$1,FALSE)*$Z278</f>
        <v>7.7947502431673796E-2</v>
      </c>
      <c r="AP278" s="3">
        <f>VLOOKUP($AB278,'2000 Seattle Tracts'!$C$2:$Y$374,AP$1,FALSE)*$Z278</f>
        <v>0</v>
      </c>
      <c r="AQ278" s="3">
        <f>VLOOKUP($AB278,'2000 Seattle Tracts'!$C$2:$Y$374,AQ$1,FALSE)*$Z278</f>
        <v>0.15189769704633868</v>
      </c>
      <c r="AR278" s="3">
        <f>VLOOKUP($AB278,'2000 Seattle Tracts'!$C$2:$Y$374,AR$1,FALSE)*$Z278</f>
        <v>0.26848584170909867</v>
      </c>
      <c r="AS278" s="3">
        <f>VLOOKUP($AB278,'2000 Seattle Tracts'!$C$2:$Y$374,AS$1,FALSE)*$Z278</f>
        <v>0</v>
      </c>
      <c r="AT278" s="3">
        <f>VLOOKUP($AB278,'2000 Seattle Tracts'!$C$2:$Y$374,AT$1,FALSE)*$Z278</f>
        <v>9.3270515730207969E-3</v>
      </c>
      <c r="AU278" s="3">
        <f>VLOOKUP($AB278,'2000 Seattle Tracts'!$C$2:$Y$374,AU$1,FALSE)*$Z278</f>
        <v>6.728801491965003E-2</v>
      </c>
      <c r="AV278" s="3">
        <f>VLOOKUP($AB278,'2000 Seattle Tracts'!$C$2:$Y$374,AV$1,FALSE)*$Z278</f>
        <v>6.4623143041644085E-2</v>
      </c>
      <c r="AW278" s="3">
        <f>VLOOKUP($AB278,'2000 Seattle Tracts'!$C$2:$Y$374,AW$1,FALSE)*$Z278</f>
        <v>0.14257064547331788</v>
      </c>
      <c r="AX278" s="3">
        <f>VLOOKUP($AB278,'2000 Seattle Tracts'!$C$2:$Y$374,AX$1,FALSE)*$Z278</f>
        <v>3.4643334414077243E-2</v>
      </c>
    </row>
    <row r="279" spans="1:50" x14ac:dyDescent="0.25">
      <c r="A279" t="s">
        <v>2917</v>
      </c>
      <c r="B279" t="s">
        <v>2918</v>
      </c>
      <c r="C279" t="s">
        <v>2939</v>
      </c>
      <c r="D279" t="s">
        <v>2542</v>
      </c>
      <c r="E279" t="s">
        <v>2543</v>
      </c>
      <c r="F279" t="s">
        <v>2544</v>
      </c>
      <c r="G279" t="s">
        <v>2920</v>
      </c>
      <c r="H279" t="s">
        <v>2921</v>
      </c>
      <c r="I279">
        <v>711360</v>
      </c>
      <c r="J279">
        <v>0</v>
      </c>
      <c r="K279" t="s">
        <v>3458</v>
      </c>
      <c r="L279" t="s">
        <v>3459</v>
      </c>
      <c r="M279">
        <v>63</v>
      </c>
      <c r="N279">
        <v>13225.233</v>
      </c>
      <c r="O279" t="s">
        <v>156</v>
      </c>
      <c r="P279">
        <v>13</v>
      </c>
      <c r="Q279">
        <v>11</v>
      </c>
      <c r="R279">
        <v>33</v>
      </c>
      <c r="S279">
        <v>9517568</v>
      </c>
      <c r="T279">
        <v>65</v>
      </c>
      <c r="U279">
        <v>160</v>
      </c>
      <c r="V279">
        <v>13225.23351595422</v>
      </c>
      <c r="W279">
        <v>9517568.4736377206</v>
      </c>
      <c r="X279">
        <v>178107.66699999999</v>
      </c>
      <c r="Y279">
        <f>VLOOKUP(AB279,'2000 Seattle Tracts'!$C$2:$Z$374,24,FALSE)</f>
        <v>711358.777</v>
      </c>
      <c r="Z279">
        <f t="shared" si="8"/>
        <v>0.25037670548064384</v>
      </c>
      <c r="AA279" t="s">
        <v>160</v>
      </c>
      <c r="AB279" t="str">
        <f t="shared" si="9"/>
        <v>Census Tract 86, King County, Washington</v>
      </c>
      <c r="AC279" s="3">
        <f>VLOOKUP($AB279,'2000 Seattle Tracts'!$C$2:$Y$374,AC$1,FALSE)*$Z279</f>
        <v>1026.0437390596785</v>
      </c>
      <c r="AD279" s="3">
        <f>VLOOKUP($AB279,'2000 Seattle Tracts'!$C$2:$Y$374,AD$1,FALSE)*$Z279</f>
        <v>797.19943025036991</v>
      </c>
      <c r="AE279" s="3">
        <f>VLOOKUP($AB279,'2000 Seattle Tracts'!$C$2:$Y$374,AE$1,FALSE)*$Z279</f>
        <v>228.84430880930847</v>
      </c>
      <c r="AF279" s="3">
        <f>VLOOKUP($AB279,'2000 Seattle Tracts'!$C$2:$Y$374,AF$1,FALSE)*$Z279</f>
        <v>1026.0437390596785</v>
      </c>
      <c r="AG279" s="3">
        <f>VLOOKUP($AB279,'2000 Seattle Tracts'!$C$2:$Y$374,AG$1,FALSE)*$Z279</f>
        <v>797.19943025036991</v>
      </c>
      <c r="AH279" s="3">
        <f>VLOOKUP($AB279,'2000 Seattle Tracts'!$C$2:$Y$374,AH$1,FALSE)*$Z279</f>
        <v>228.84430880930847</v>
      </c>
      <c r="AI279" s="3">
        <f>VLOOKUP($AB279,'2000 Seattle Tracts'!$C$2:$Y$374,AI$1,FALSE)*$Z279</f>
        <v>521.78505422166177</v>
      </c>
      <c r="AJ279" s="3">
        <f>VLOOKUP($AB279,'2000 Seattle Tracts'!$C$2:$Y$374,AJ$1,FALSE)*$Z279</f>
        <v>40.310649582383661</v>
      </c>
      <c r="AK279" s="3">
        <f>VLOOKUP($AB279,'2000 Seattle Tracts'!$C$2:$Y$374,AK$1,FALSE)*$Z279</f>
        <v>13.520342095954767</v>
      </c>
      <c r="AL279" s="3">
        <f>VLOOKUP($AB279,'2000 Seattle Tracts'!$C$2:$Y$374,AL$1,FALSE)*$Z279</f>
        <v>23.034656904219233</v>
      </c>
      <c r="AM279" s="3">
        <f>VLOOKUP($AB279,'2000 Seattle Tracts'!$C$2:$Y$374,AM$1,FALSE)*$Z279</f>
        <v>96.645408315528528</v>
      </c>
      <c r="AN279" s="3">
        <f>VLOOKUP($AB279,'2000 Seattle Tracts'!$C$2:$Y$374,AN$1,FALSE)*$Z279</f>
        <v>23.785787020661164</v>
      </c>
      <c r="AO279" s="3">
        <f>VLOOKUP($AB279,'2000 Seattle Tracts'!$C$2:$Y$374,AO$1,FALSE)*$Z279</f>
        <v>29.294074541235329</v>
      </c>
      <c r="AP279" s="3">
        <f>VLOOKUP($AB279,'2000 Seattle Tracts'!$C$2:$Y$374,AP$1,FALSE)*$Z279</f>
        <v>0</v>
      </c>
      <c r="AQ279" s="3">
        <f>VLOOKUP($AB279,'2000 Seattle Tracts'!$C$2:$Y$374,AQ$1,FALSE)*$Z279</f>
        <v>57.085888849586794</v>
      </c>
      <c r="AR279" s="3">
        <f>VLOOKUP($AB279,'2000 Seattle Tracts'!$C$2:$Y$374,AR$1,FALSE)*$Z279</f>
        <v>100.90181230869946</v>
      </c>
      <c r="AS279" s="3">
        <f>VLOOKUP($AB279,'2000 Seattle Tracts'!$C$2:$Y$374,AS$1,FALSE)*$Z279</f>
        <v>0</v>
      </c>
      <c r="AT279" s="3">
        <f>VLOOKUP($AB279,'2000 Seattle Tracts'!$C$2:$Y$374,AT$1,FALSE)*$Z279</f>
        <v>3.5052738767290137</v>
      </c>
      <c r="AU279" s="3">
        <f>VLOOKUP($AB279,'2000 Seattle Tracts'!$C$2:$Y$374,AU$1,FALSE)*$Z279</f>
        <v>25.288047253545027</v>
      </c>
      <c r="AV279" s="3">
        <f>VLOOKUP($AB279,'2000 Seattle Tracts'!$C$2:$Y$374,AV$1,FALSE)*$Z279</f>
        <v>24.286540431622452</v>
      </c>
      <c r="AW279" s="3">
        <f>VLOOKUP($AB279,'2000 Seattle Tracts'!$C$2:$Y$374,AW$1,FALSE)*$Z279</f>
        <v>53.580614972857781</v>
      </c>
      <c r="AX279" s="3">
        <f>VLOOKUP($AB279,'2000 Seattle Tracts'!$C$2:$Y$374,AX$1,FALSE)*$Z279</f>
        <v>13.019588684993479</v>
      </c>
    </row>
    <row r="280" spans="1:50" x14ac:dyDescent="0.25">
      <c r="A280" t="s">
        <v>2917</v>
      </c>
      <c r="B280" t="s">
        <v>2918</v>
      </c>
      <c r="C280" t="s">
        <v>2939</v>
      </c>
      <c r="D280" t="s">
        <v>2542</v>
      </c>
      <c r="E280" t="s">
        <v>2543</v>
      </c>
      <c r="F280" t="s">
        <v>2544</v>
      </c>
      <c r="G280" t="s">
        <v>2920</v>
      </c>
      <c r="H280" t="s">
        <v>2921</v>
      </c>
      <c r="I280">
        <v>711360</v>
      </c>
      <c r="J280">
        <v>0</v>
      </c>
      <c r="K280" t="s">
        <v>3458</v>
      </c>
      <c r="L280" t="s">
        <v>3459</v>
      </c>
      <c r="M280">
        <v>64</v>
      </c>
      <c r="N280">
        <v>9611.3540000000012</v>
      </c>
      <c r="O280" t="s">
        <v>156</v>
      </c>
      <c r="P280">
        <v>13</v>
      </c>
      <c r="Q280">
        <v>11</v>
      </c>
      <c r="R280">
        <v>81</v>
      </c>
      <c r="S280">
        <v>5348937.5</v>
      </c>
      <c r="T280">
        <v>66</v>
      </c>
      <c r="U280">
        <v>162</v>
      </c>
      <c r="V280">
        <v>9611.3535464166052</v>
      </c>
      <c r="W280">
        <v>5348937.2476122174</v>
      </c>
      <c r="X280">
        <v>164163.883</v>
      </c>
      <c r="Y280">
        <f>VLOOKUP(AB280,'2000 Seattle Tracts'!$C$2:$Z$374,24,FALSE)</f>
        <v>711358.777</v>
      </c>
      <c r="Z280">
        <f t="shared" si="8"/>
        <v>0.23077508608570946</v>
      </c>
      <c r="AA280" t="s">
        <v>161</v>
      </c>
      <c r="AB280" t="str">
        <f t="shared" si="9"/>
        <v>Census Tract 86, King County, Washington</v>
      </c>
      <c r="AC280" s="3">
        <f>VLOOKUP($AB280,'2000 Seattle Tracts'!$C$2:$Y$374,AC$1,FALSE)*$Z280</f>
        <v>945.71630277923737</v>
      </c>
      <c r="AD280" s="3">
        <f>VLOOKUP($AB280,'2000 Seattle Tracts'!$C$2:$Y$374,AD$1,FALSE)*$Z280</f>
        <v>734.78787409689892</v>
      </c>
      <c r="AE280" s="3">
        <f>VLOOKUP($AB280,'2000 Seattle Tracts'!$C$2:$Y$374,AE$1,FALSE)*$Z280</f>
        <v>210.92842868233845</v>
      </c>
      <c r="AF280" s="3">
        <f>VLOOKUP($AB280,'2000 Seattle Tracts'!$C$2:$Y$374,AF$1,FALSE)*$Z280</f>
        <v>945.71630277923737</v>
      </c>
      <c r="AG280" s="3">
        <f>VLOOKUP($AB280,'2000 Seattle Tracts'!$C$2:$Y$374,AG$1,FALSE)*$Z280</f>
        <v>734.78787409689892</v>
      </c>
      <c r="AH280" s="3">
        <f>VLOOKUP($AB280,'2000 Seattle Tracts'!$C$2:$Y$374,AH$1,FALSE)*$Z280</f>
        <v>210.92842868233845</v>
      </c>
      <c r="AI280" s="3">
        <f>VLOOKUP($AB280,'2000 Seattle Tracts'!$C$2:$Y$374,AI$1,FALSE)*$Z280</f>
        <v>480.93527940261851</v>
      </c>
      <c r="AJ280" s="3">
        <f>VLOOKUP($AB280,'2000 Seattle Tracts'!$C$2:$Y$374,AJ$1,FALSE)*$Z280</f>
        <v>37.154788859799226</v>
      </c>
      <c r="AK280" s="3">
        <f>VLOOKUP($AB280,'2000 Seattle Tracts'!$C$2:$Y$374,AK$1,FALSE)*$Z280</f>
        <v>12.461854648628311</v>
      </c>
      <c r="AL280" s="3">
        <f>VLOOKUP($AB280,'2000 Seattle Tracts'!$C$2:$Y$374,AL$1,FALSE)*$Z280</f>
        <v>21.231307919885271</v>
      </c>
      <c r="AM280" s="3">
        <f>VLOOKUP($AB280,'2000 Seattle Tracts'!$C$2:$Y$374,AM$1,FALSE)*$Z280</f>
        <v>89.079183229083853</v>
      </c>
      <c r="AN280" s="3">
        <f>VLOOKUP($AB280,'2000 Seattle Tracts'!$C$2:$Y$374,AN$1,FALSE)*$Z280</f>
        <v>21.923633178142399</v>
      </c>
      <c r="AO280" s="3">
        <f>VLOOKUP($AB280,'2000 Seattle Tracts'!$C$2:$Y$374,AO$1,FALSE)*$Z280</f>
        <v>27.000685072028006</v>
      </c>
      <c r="AP280" s="3">
        <f>VLOOKUP($AB280,'2000 Seattle Tracts'!$C$2:$Y$374,AP$1,FALSE)*$Z280</f>
        <v>0</v>
      </c>
      <c r="AQ280" s="3">
        <f>VLOOKUP($AB280,'2000 Seattle Tracts'!$C$2:$Y$374,AQ$1,FALSE)*$Z280</f>
        <v>52.616719627541755</v>
      </c>
      <c r="AR280" s="3">
        <f>VLOOKUP($AB280,'2000 Seattle Tracts'!$C$2:$Y$374,AR$1,FALSE)*$Z280</f>
        <v>93.002359692540907</v>
      </c>
      <c r="AS280" s="3">
        <f>VLOOKUP($AB280,'2000 Seattle Tracts'!$C$2:$Y$374,AS$1,FALSE)*$Z280</f>
        <v>0</v>
      </c>
      <c r="AT280" s="3">
        <f>VLOOKUP($AB280,'2000 Seattle Tracts'!$C$2:$Y$374,AT$1,FALSE)*$Z280</f>
        <v>3.2308512051999325</v>
      </c>
      <c r="AU280" s="3">
        <f>VLOOKUP($AB280,'2000 Seattle Tracts'!$C$2:$Y$374,AU$1,FALSE)*$Z280</f>
        <v>23.308283694656655</v>
      </c>
      <c r="AV280" s="3">
        <f>VLOOKUP($AB280,'2000 Seattle Tracts'!$C$2:$Y$374,AV$1,FALSE)*$Z280</f>
        <v>22.385183350313817</v>
      </c>
      <c r="AW280" s="3">
        <f>VLOOKUP($AB280,'2000 Seattle Tracts'!$C$2:$Y$374,AW$1,FALSE)*$Z280</f>
        <v>49.385868422341822</v>
      </c>
      <c r="AX280" s="3">
        <f>VLOOKUP($AB280,'2000 Seattle Tracts'!$C$2:$Y$374,AX$1,FALSE)*$Z280</f>
        <v>12.000304476456892</v>
      </c>
    </row>
    <row r="281" spans="1:50" x14ac:dyDescent="0.25">
      <c r="A281" t="s">
        <v>2917</v>
      </c>
      <c r="B281" t="s">
        <v>2918</v>
      </c>
      <c r="C281" t="s">
        <v>3089</v>
      </c>
      <c r="D281" t="s">
        <v>2545</v>
      </c>
      <c r="E281" t="s">
        <v>2546</v>
      </c>
      <c r="F281" t="s">
        <v>2547</v>
      </c>
      <c r="G281" t="s">
        <v>2920</v>
      </c>
      <c r="H281" t="s">
        <v>2921</v>
      </c>
      <c r="I281">
        <v>474211</v>
      </c>
      <c r="J281">
        <v>0</v>
      </c>
      <c r="K281" t="s">
        <v>3460</v>
      </c>
      <c r="L281" t="s">
        <v>3461</v>
      </c>
      <c r="M281">
        <v>61</v>
      </c>
      <c r="N281">
        <v>11772.387000000001</v>
      </c>
      <c r="O281" t="s">
        <v>156</v>
      </c>
      <c r="P281">
        <v>13</v>
      </c>
      <c r="Q281">
        <v>11</v>
      </c>
      <c r="R281">
        <v>94</v>
      </c>
      <c r="S281">
        <v>6169376</v>
      </c>
      <c r="T281">
        <v>63</v>
      </c>
      <c r="U281">
        <v>164</v>
      </c>
      <c r="V281">
        <v>11772.387141002069</v>
      </c>
      <c r="W281">
        <v>6169375.8166330215</v>
      </c>
      <c r="X281">
        <v>28.167999999999999</v>
      </c>
      <c r="Y281">
        <f>VLOOKUP(AB281,'2000 Seattle Tracts'!$C$2:$Z$374,24,FALSE)</f>
        <v>474214.022</v>
      </c>
      <c r="Z281">
        <f t="shared" si="8"/>
        <v>5.9399340157006151E-5</v>
      </c>
      <c r="AA281" t="s">
        <v>158</v>
      </c>
      <c r="AB281" t="str">
        <f t="shared" si="9"/>
        <v>Census Tract 85, King County, Washington</v>
      </c>
      <c r="AC281" s="3">
        <f>VLOOKUP($AB281,'2000 Seattle Tracts'!$C$2:$Y$374,AC$1,FALSE)*$Z281</f>
        <v>0.35788102444596204</v>
      </c>
      <c r="AD281" s="3">
        <f>VLOOKUP($AB281,'2000 Seattle Tracts'!$C$2:$Y$374,AD$1,FALSE)*$Z281</f>
        <v>0.29586811332204765</v>
      </c>
      <c r="AE281" s="3">
        <f>VLOOKUP($AB281,'2000 Seattle Tracts'!$C$2:$Y$374,AE$1,FALSE)*$Z281</f>
        <v>6.2012911123914424E-2</v>
      </c>
      <c r="AF281" s="3">
        <f>VLOOKUP($AB281,'2000 Seattle Tracts'!$C$2:$Y$374,AF$1,FALSE)*$Z281</f>
        <v>0.35788102444596204</v>
      </c>
      <c r="AG281" s="3">
        <f>VLOOKUP($AB281,'2000 Seattle Tracts'!$C$2:$Y$374,AG$1,FALSE)*$Z281</f>
        <v>0.29586811332204765</v>
      </c>
      <c r="AH281" s="3">
        <f>VLOOKUP($AB281,'2000 Seattle Tracts'!$C$2:$Y$374,AH$1,FALSE)*$Z281</f>
        <v>6.2012911123914424E-2</v>
      </c>
      <c r="AI281" s="3">
        <f>VLOOKUP($AB281,'2000 Seattle Tracts'!$C$2:$Y$374,AI$1,FALSE)*$Z281</f>
        <v>0.17297087853720192</v>
      </c>
      <c r="AJ281" s="3">
        <f>VLOOKUP($AB281,'2000 Seattle Tracts'!$C$2:$Y$374,AJ$1,FALSE)*$Z281</f>
        <v>4.0391551306764185E-3</v>
      </c>
      <c r="AK281" s="3">
        <f>VLOOKUP($AB281,'2000 Seattle Tracts'!$C$2:$Y$374,AK$1,FALSE)*$Z281</f>
        <v>4.0985544708334242E-3</v>
      </c>
      <c r="AL281" s="3">
        <f>VLOOKUP($AB281,'2000 Seattle Tracts'!$C$2:$Y$374,AL$1,FALSE)*$Z281</f>
        <v>6.6527260975846889E-3</v>
      </c>
      <c r="AM281" s="3">
        <f>VLOOKUP($AB281,'2000 Seattle Tracts'!$C$2:$Y$374,AM$1,FALSE)*$Z281</f>
        <v>8.4881657084361795E-2</v>
      </c>
      <c r="AN281" s="3">
        <f>VLOOKUP($AB281,'2000 Seattle Tracts'!$C$2:$Y$374,AN$1,FALSE)*$Z281</f>
        <v>1.9364184891184005E-2</v>
      </c>
      <c r="AO281" s="3">
        <f>VLOOKUP($AB281,'2000 Seattle Tracts'!$C$2:$Y$374,AO$1,FALSE)*$Z281</f>
        <v>9.2662970644929593E-3</v>
      </c>
      <c r="AP281" s="3">
        <f>VLOOKUP($AB281,'2000 Seattle Tracts'!$C$2:$Y$374,AP$1,FALSE)*$Z281</f>
        <v>0</v>
      </c>
      <c r="AQ281" s="3">
        <f>VLOOKUP($AB281,'2000 Seattle Tracts'!$C$2:$Y$374,AQ$1,FALSE)*$Z281</f>
        <v>1.3364851535326384E-2</v>
      </c>
      <c r="AR281" s="3">
        <f>VLOOKUP($AB281,'2000 Seattle Tracts'!$C$2:$Y$374,AR$1,FALSE)*$Z281</f>
        <v>2.1858957177778263E-2</v>
      </c>
      <c r="AS281" s="3">
        <f>VLOOKUP($AB281,'2000 Seattle Tracts'!$C$2:$Y$374,AS$1,FALSE)*$Z281</f>
        <v>0</v>
      </c>
      <c r="AT281" s="3">
        <f>VLOOKUP($AB281,'2000 Seattle Tracts'!$C$2:$Y$374,AT$1,FALSE)*$Z281</f>
        <v>8.9099010235509221E-4</v>
      </c>
      <c r="AU281" s="3">
        <f>VLOOKUP($AB281,'2000 Seattle Tracts'!$C$2:$Y$374,AU$1,FALSE)*$Z281</f>
        <v>5.2865412739735475E-3</v>
      </c>
      <c r="AV281" s="3">
        <f>VLOOKUP($AB281,'2000 Seattle Tracts'!$C$2:$Y$374,AV$1,FALSE)*$Z281</f>
        <v>7.3655181794687625E-3</v>
      </c>
      <c r="AW281" s="3">
        <f>VLOOKUP($AB281,'2000 Seattle Tracts'!$C$2:$Y$374,AW$1,FALSE)*$Z281</f>
        <v>5.9993333558576211E-3</v>
      </c>
      <c r="AX281" s="3">
        <f>VLOOKUP($AB281,'2000 Seattle Tracts'!$C$2:$Y$374,AX$1,FALSE)*$Z281</f>
        <v>1.8413795448671906E-3</v>
      </c>
    </row>
    <row r="282" spans="1:50" x14ac:dyDescent="0.25">
      <c r="A282" t="s">
        <v>2917</v>
      </c>
      <c r="B282" t="s">
        <v>2918</v>
      </c>
      <c r="C282" t="s">
        <v>3089</v>
      </c>
      <c r="D282" t="s">
        <v>2545</v>
      </c>
      <c r="E282" t="s">
        <v>2546</v>
      </c>
      <c r="F282" t="s">
        <v>2547</v>
      </c>
      <c r="G282" t="s">
        <v>2920</v>
      </c>
      <c r="H282" t="s">
        <v>2921</v>
      </c>
      <c r="I282">
        <v>474211</v>
      </c>
      <c r="J282">
        <v>0</v>
      </c>
      <c r="K282" t="s">
        <v>3460</v>
      </c>
      <c r="L282" t="s">
        <v>3461</v>
      </c>
      <c r="M282">
        <v>62</v>
      </c>
      <c r="N282">
        <v>18209.463</v>
      </c>
      <c r="O282" t="s">
        <v>156</v>
      </c>
      <c r="P282">
        <v>13</v>
      </c>
      <c r="Q282">
        <v>11</v>
      </c>
      <c r="R282">
        <v>95</v>
      </c>
      <c r="S282">
        <v>9477399</v>
      </c>
      <c r="T282">
        <v>64</v>
      </c>
      <c r="U282">
        <v>159</v>
      </c>
      <c r="V282">
        <v>18209.462862458811</v>
      </c>
      <c r="W282">
        <v>9477398.6185622383</v>
      </c>
      <c r="X282">
        <v>36782.574999999997</v>
      </c>
      <c r="Y282">
        <f>VLOOKUP(AB282,'2000 Seattle Tracts'!$C$2:$Z$374,24,FALSE)</f>
        <v>474214.022</v>
      </c>
      <c r="Z282">
        <f t="shared" si="8"/>
        <v>7.756534664426265E-2</v>
      </c>
      <c r="AA282" t="s">
        <v>159</v>
      </c>
      <c r="AB282" t="str">
        <f t="shared" si="9"/>
        <v>Census Tract 85, King County, Washington</v>
      </c>
      <c r="AC282" s="3">
        <f>VLOOKUP($AB282,'2000 Seattle Tracts'!$C$2:$Y$374,AC$1,FALSE)*$Z282</f>
        <v>467.33121353168247</v>
      </c>
      <c r="AD282" s="3">
        <f>VLOOKUP($AB282,'2000 Seattle Tracts'!$C$2:$Y$374,AD$1,FALSE)*$Z282</f>
        <v>386.35299163507227</v>
      </c>
      <c r="AE282" s="3">
        <f>VLOOKUP($AB282,'2000 Seattle Tracts'!$C$2:$Y$374,AE$1,FALSE)*$Z282</f>
        <v>80.978221896610208</v>
      </c>
      <c r="AF282" s="3">
        <f>VLOOKUP($AB282,'2000 Seattle Tracts'!$C$2:$Y$374,AF$1,FALSE)*$Z282</f>
        <v>467.33121353168247</v>
      </c>
      <c r="AG282" s="3">
        <f>VLOOKUP($AB282,'2000 Seattle Tracts'!$C$2:$Y$374,AG$1,FALSE)*$Z282</f>
        <v>386.35299163507227</v>
      </c>
      <c r="AH282" s="3">
        <f>VLOOKUP($AB282,'2000 Seattle Tracts'!$C$2:$Y$374,AH$1,FALSE)*$Z282</f>
        <v>80.978221896610208</v>
      </c>
      <c r="AI282" s="3">
        <f>VLOOKUP($AB282,'2000 Seattle Tracts'!$C$2:$Y$374,AI$1,FALSE)*$Z282</f>
        <v>225.87028942809283</v>
      </c>
      <c r="AJ282" s="3">
        <f>VLOOKUP($AB282,'2000 Seattle Tracts'!$C$2:$Y$374,AJ$1,FALSE)*$Z282</f>
        <v>5.2744435718098606</v>
      </c>
      <c r="AK282" s="3">
        <f>VLOOKUP($AB282,'2000 Seattle Tracts'!$C$2:$Y$374,AK$1,FALSE)*$Z282</f>
        <v>5.3520089184541231</v>
      </c>
      <c r="AL282" s="3">
        <f>VLOOKUP($AB282,'2000 Seattle Tracts'!$C$2:$Y$374,AL$1,FALSE)*$Z282</f>
        <v>8.6873188241574173</v>
      </c>
      <c r="AM282" s="3">
        <f>VLOOKUP($AB282,'2000 Seattle Tracts'!$C$2:$Y$374,AM$1,FALSE)*$Z282</f>
        <v>110.84088035465133</v>
      </c>
      <c r="AN282" s="3">
        <f>VLOOKUP($AB282,'2000 Seattle Tracts'!$C$2:$Y$374,AN$1,FALSE)*$Z282</f>
        <v>25.286303006029623</v>
      </c>
      <c r="AO282" s="3">
        <f>VLOOKUP($AB282,'2000 Seattle Tracts'!$C$2:$Y$374,AO$1,FALSE)*$Z282</f>
        <v>12.100194076504973</v>
      </c>
      <c r="AP282" s="3">
        <f>VLOOKUP($AB282,'2000 Seattle Tracts'!$C$2:$Y$374,AP$1,FALSE)*$Z282</f>
        <v>0</v>
      </c>
      <c r="AQ282" s="3">
        <f>VLOOKUP($AB282,'2000 Seattle Tracts'!$C$2:$Y$374,AQ$1,FALSE)*$Z282</f>
        <v>17.452202994959098</v>
      </c>
      <c r="AR282" s="3">
        <f>VLOOKUP($AB282,'2000 Seattle Tracts'!$C$2:$Y$374,AR$1,FALSE)*$Z282</f>
        <v>28.544047565088654</v>
      </c>
      <c r="AS282" s="3">
        <f>VLOOKUP($AB282,'2000 Seattle Tracts'!$C$2:$Y$374,AS$1,FALSE)*$Z282</f>
        <v>0</v>
      </c>
      <c r="AT282" s="3">
        <f>VLOOKUP($AB282,'2000 Seattle Tracts'!$C$2:$Y$374,AT$1,FALSE)*$Z282</f>
        <v>1.1634801996639397</v>
      </c>
      <c r="AU282" s="3">
        <f>VLOOKUP($AB282,'2000 Seattle Tracts'!$C$2:$Y$374,AU$1,FALSE)*$Z282</f>
        <v>6.903315851339376</v>
      </c>
      <c r="AV282" s="3">
        <f>VLOOKUP($AB282,'2000 Seattle Tracts'!$C$2:$Y$374,AV$1,FALSE)*$Z282</f>
        <v>9.6181029838885692</v>
      </c>
      <c r="AW282" s="3">
        <f>VLOOKUP($AB282,'2000 Seattle Tracts'!$C$2:$Y$374,AW$1,FALSE)*$Z282</f>
        <v>7.8341000110705279</v>
      </c>
      <c r="AX282" s="3">
        <f>VLOOKUP($AB282,'2000 Seattle Tracts'!$C$2:$Y$374,AX$1,FALSE)*$Z282</f>
        <v>2.4045257459721423</v>
      </c>
    </row>
    <row r="283" spans="1:50" x14ac:dyDescent="0.25">
      <c r="A283" t="s">
        <v>2917</v>
      </c>
      <c r="B283" t="s">
        <v>2918</v>
      </c>
      <c r="C283" t="s">
        <v>3089</v>
      </c>
      <c r="D283" t="s">
        <v>2545</v>
      </c>
      <c r="E283" t="s">
        <v>2546</v>
      </c>
      <c r="F283" t="s">
        <v>2547</v>
      </c>
      <c r="G283" t="s">
        <v>2920</v>
      </c>
      <c r="H283" t="s">
        <v>2921</v>
      </c>
      <c r="I283">
        <v>474211</v>
      </c>
      <c r="J283">
        <v>0</v>
      </c>
      <c r="K283" t="s">
        <v>3460</v>
      </c>
      <c r="L283" t="s">
        <v>3461</v>
      </c>
      <c r="M283">
        <v>63</v>
      </c>
      <c r="N283">
        <v>13225.233</v>
      </c>
      <c r="O283" t="s">
        <v>156</v>
      </c>
      <c r="P283">
        <v>13</v>
      </c>
      <c r="Q283">
        <v>11</v>
      </c>
      <c r="R283">
        <v>33</v>
      </c>
      <c r="S283">
        <v>9517568</v>
      </c>
      <c r="T283">
        <v>65</v>
      </c>
      <c r="U283">
        <v>160</v>
      </c>
      <c r="V283">
        <v>13225.23351595422</v>
      </c>
      <c r="W283">
        <v>9517568.4736377206</v>
      </c>
      <c r="X283">
        <v>172597.05499999999</v>
      </c>
      <c r="Y283">
        <f>VLOOKUP(AB283,'2000 Seattle Tracts'!$C$2:$Z$374,24,FALSE)</f>
        <v>474214.022</v>
      </c>
      <c r="Z283">
        <f t="shared" si="8"/>
        <v>0.3639644696124148</v>
      </c>
      <c r="AA283" t="s">
        <v>160</v>
      </c>
      <c r="AB283" t="str">
        <f t="shared" si="9"/>
        <v>Census Tract 85, King County, Washington</v>
      </c>
      <c r="AC283" s="3">
        <f>VLOOKUP($AB283,'2000 Seattle Tracts'!$C$2:$Y$374,AC$1,FALSE)*$Z283</f>
        <v>2192.8859294147992</v>
      </c>
      <c r="AD283" s="3">
        <f>VLOOKUP($AB283,'2000 Seattle Tracts'!$C$2:$Y$374,AD$1,FALSE)*$Z283</f>
        <v>1812.907023139438</v>
      </c>
      <c r="AE283" s="3">
        <f>VLOOKUP($AB283,'2000 Seattle Tracts'!$C$2:$Y$374,AE$1,FALSE)*$Z283</f>
        <v>379.97890627536106</v>
      </c>
      <c r="AF283" s="3">
        <f>VLOOKUP($AB283,'2000 Seattle Tracts'!$C$2:$Y$374,AF$1,FALSE)*$Z283</f>
        <v>2192.8859294147992</v>
      </c>
      <c r="AG283" s="3">
        <f>VLOOKUP($AB283,'2000 Seattle Tracts'!$C$2:$Y$374,AG$1,FALSE)*$Z283</f>
        <v>1812.907023139438</v>
      </c>
      <c r="AH283" s="3">
        <f>VLOOKUP($AB283,'2000 Seattle Tracts'!$C$2:$Y$374,AH$1,FALSE)*$Z283</f>
        <v>379.97890627536106</v>
      </c>
      <c r="AI283" s="3">
        <f>VLOOKUP($AB283,'2000 Seattle Tracts'!$C$2:$Y$374,AI$1,FALSE)*$Z283</f>
        <v>1059.864535511352</v>
      </c>
      <c r="AJ283" s="3">
        <f>VLOOKUP($AB283,'2000 Seattle Tracts'!$C$2:$Y$374,AJ$1,FALSE)*$Z283</f>
        <v>24.749583933644207</v>
      </c>
      <c r="AK283" s="3">
        <f>VLOOKUP($AB283,'2000 Seattle Tracts'!$C$2:$Y$374,AK$1,FALSE)*$Z283</f>
        <v>25.113548403256623</v>
      </c>
      <c r="AL283" s="3">
        <f>VLOOKUP($AB283,'2000 Seattle Tracts'!$C$2:$Y$374,AL$1,FALSE)*$Z283</f>
        <v>40.764020596590456</v>
      </c>
      <c r="AM283" s="3">
        <f>VLOOKUP($AB283,'2000 Seattle Tracts'!$C$2:$Y$374,AM$1,FALSE)*$Z283</f>
        <v>520.10522707614075</v>
      </c>
      <c r="AN283" s="3">
        <f>VLOOKUP($AB283,'2000 Seattle Tracts'!$C$2:$Y$374,AN$1,FALSE)*$Z283</f>
        <v>118.65241709364723</v>
      </c>
      <c r="AO283" s="3">
        <f>VLOOKUP($AB283,'2000 Seattle Tracts'!$C$2:$Y$374,AO$1,FALSE)*$Z283</f>
        <v>56.778457259536708</v>
      </c>
      <c r="AP283" s="3">
        <f>VLOOKUP($AB283,'2000 Seattle Tracts'!$C$2:$Y$374,AP$1,FALSE)*$Z283</f>
        <v>0</v>
      </c>
      <c r="AQ283" s="3">
        <f>VLOOKUP($AB283,'2000 Seattle Tracts'!$C$2:$Y$374,AQ$1,FALSE)*$Z283</f>
        <v>81.892005662793323</v>
      </c>
      <c r="AR283" s="3">
        <f>VLOOKUP($AB283,'2000 Seattle Tracts'!$C$2:$Y$374,AR$1,FALSE)*$Z283</f>
        <v>133.93892481736864</v>
      </c>
      <c r="AS283" s="3">
        <f>VLOOKUP($AB283,'2000 Seattle Tracts'!$C$2:$Y$374,AS$1,FALSE)*$Z283</f>
        <v>0</v>
      </c>
      <c r="AT283" s="3">
        <f>VLOOKUP($AB283,'2000 Seattle Tracts'!$C$2:$Y$374,AT$1,FALSE)*$Z283</f>
        <v>5.4594670441862219</v>
      </c>
      <c r="AU283" s="3">
        <f>VLOOKUP($AB283,'2000 Seattle Tracts'!$C$2:$Y$374,AU$1,FALSE)*$Z283</f>
        <v>32.392837795504917</v>
      </c>
      <c r="AV283" s="3">
        <f>VLOOKUP($AB283,'2000 Seattle Tracts'!$C$2:$Y$374,AV$1,FALSE)*$Z283</f>
        <v>45.131594231939438</v>
      </c>
      <c r="AW283" s="3">
        <f>VLOOKUP($AB283,'2000 Seattle Tracts'!$C$2:$Y$374,AW$1,FALSE)*$Z283</f>
        <v>36.760411430853893</v>
      </c>
      <c r="AX283" s="3">
        <f>VLOOKUP($AB283,'2000 Seattle Tracts'!$C$2:$Y$374,AX$1,FALSE)*$Z283</f>
        <v>11.28289855798486</v>
      </c>
    </row>
    <row r="284" spans="1:50" x14ac:dyDescent="0.25">
      <c r="A284" t="s">
        <v>2917</v>
      </c>
      <c r="B284" t="s">
        <v>2918</v>
      </c>
      <c r="C284" t="s">
        <v>3089</v>
      </c>
      <c r="D284" t="s">
        <v>2545</v>
      </c>
      <c r="E284" t="s">
        <v>2546</v>
      </c>
      <c r="F284" t="s">
        <v>2547</v>
      </c>
      <c r="G284" t="s">
        <v>2920</v>
      </c>
      <c r="H284" t="s">
        <v>2921</v>
      </c>
      <c r="I284">
        <v>474211</v>
      </c>
      <c r="J284">
        <v>0</v>
      </c>
      <c r="K284" t="s">
        <v>3460</v>
      </c>
      <c r="L284" t="s">
        <v>3461</v>
      </c>
      <c r="M284">
        <v>64</v>
      </c>
      <c r="N284">
        <v>9611.3540000000012</v>
      </c>
      <c r="O284" t="s">
        <v>156</v>
      </c>
      <c r="P284">
        <v>13</v>
      </c>
      <c r="Q284">
        <v>11</v>
      </c>
      <c r="R284">
        <v>81</v>
      </c>
      <c r="S284">
        <v>5348937.5</v>
      </c>
      <c r="T284">
        <v>66</v>
      </c>
      <c r="U284">
        <v>162</v>
      </c>
      <c r="V284">
        <v>9611.3535464166052</v>
      </c>
      <c r="W284">
        <v>5348937.2476122174</v>
      </c>
      <c r="X284">
        <v>202992.57800000001</v>
      </c>
      <c r="Y284">
        <f>VLOOKUP(AB284,'2000 Seattle Tracts'!$C$2:$Z$374,24,FALSE)</f>
        <v>474214.022</v>
      </c>
      <c r="Z284">
        <f t="shared" si="8"/>
        <v>0.42806110444368095</v>
      </c>
      <c r="AA284" t="s">
        <v>161</v>
      </c>
      <c r="AB284" t="str">
        <f t="shared" si="9"/>
        <v>Census Tract 85, King County, Washington</v>
      </c>
      <c r="AC284" s="3">
        <f>VLOOKUP($AB284,'2000 Seattle Tracts'!$C$2:$Y$374,AC$1,FALSE)*$Z284</f>
        <v>2579.0681542731777</v>
      </c>
      <c r="AD284" s="3">
        <f>VLOOKUP($AB284,'2000 Seattle Tracts'!$C$2:$Y$374,AD$1,FALSE)*$Z284</f>
        <v>2132.1723612339747</v>
      </c>
      <c r="AE284" s="3">
        <f>VLOOKUP($AB284,'2000 Seattle Tracts'!$C$2:$Y$374,AE$1,FALSE)*$Z284</f>
        <v>446.89579303920289</v>
      </c>
      <c r="AF284" s="3">
        <f>VLOOKUP($AB284,'2000 Seattle Tracts'!$C$2:$Y$374,AF$1,FALSE)*$Z284</f>
        <v>2579.0681542731777</v>
      </c>
      <c r="AG284" s="3">
        <f>VLOOKUP($AB284,'2000 Seattle Tracts'!$C$2:$Y$374,AG$1,FALSE)*$Z284</f>
        <v>2132.1723612339747</v>
      </c>
      <c r="AH284" s="3">
        <f>VLOOKUP($AB284,'2000 Seattle Tracts'!$C$2:$Y$374,AH$1,FALSE)*$Z284</f>
        <v>446.89579303920289</v>
      </c>
      <c r="AI284" s="3">
        <f>VLOOKUP($AB284,'2000 Seattle Tracts'!$C$2:$Y$374,AI$1,FALSE)*$Z284</f>
        <v>1246.513936139999</v>
      </c>
      <c r="AJ284" s="3">
        <f>VLOOKUP($AB284,'2000 Seattle Tracts'!$C$2:$Y$374,AJ$1,FALSE)*$Z284</f>
        <v>29.108155102170304</v>
      </c>
      <c r="AK284" s="3">
        <f>VLOOKUP($AB284,'2000 Seattle Tracts'!$C$2:$Y$374,AK$1,FALSE)*$Z284</f>
        <v>29.536216206613986</v>
      </c>
      <c r="AL284" s="3">
        <f>VLOOKUP($AB284,'2000 Seattle Tracts'!$C$2:$Y$374,AL$1,FALSE)*$Z284</f>
        <v>47.942843697692268</v>
      </c>
      <c r="AM284" s="3">
        <f>VLOOKUP($AB284,'2000 Seattle Tracts'!$C$2:$Y$374,AM$1,FALSE)*$Z284</f>
        <v>611.69931825002004</v>
      </c>
      <c r="AN284" s="3">
        <f>VLOOKUP($AB284,'2000 Seattle Tracts'!$C$2:$Y$374,AN$1,FALSE)*$Z284</f>
        <v>139.54792004863998</v>
      </c>
      <c r="AO284" s="3">
        <f>VLOOKUP($AB284,'2000 Seattle Tracts'!$C$2:$Y$374,AO$1,FALSE)*$Z284</f>
        <v>66.777532293214222</v>
      </c>
      <c r="AP284" s="3">
        <f>VLOOKUP($AB284,'2000 Seattle Tracts'!$C$2:$Y$374,AP$1,FALSE)*$Z284</f>
        <v>0</v>
      </c>
      <c r="AQ284" s="3">
        <f>VLOOKUP($AB284,'2000 Seattle Tracts'!$C$2:$Y$374,AQ$1,FALSE)*$Z284</f>
        <v>96.313748499828208</v>
      </c>
      <c r="AR284" s="3">
        <f>VLOOKUP($AB284,'2000 Seattle Tracts'!$C$2:$Y$374,AR$1,FALSE)*$Z284</f>
        <v>157.52648643527459</v>
      </c>
      <c r="AS284" s="3">
        <f>VLOOKUP($AB284,'2000 Seattle Tracts'!$C$2:$Y$374,AS$1,FALSE)*$Z284</f>
        <v>0</v>
      </c>
      <c r="AT284" s="3">
        <f>VLOOKUP($AB284,'2000 Seattle Tracts'!$C$2:$Y$374,AT$1,FALSE)*$Z284</f>
        <v>6.4209165666552144</v>
      </c>
      <c r="AU284" s="3">
        <f>VLOOKUP($AB284,'2000 Seattle Tracts'!$C$2:$Y$374,AU$1,FALSE)*$Z284</f>
        <v>38.097438295487606</v>
      </c>
      <c r="AV284" s="3">
        <f>VLOOKUP($AB284,'2000 Seattle Tracts'!$C$2:$Y$374,AV$1,FALSE)*$Z284</f>
        <v>53.079576951016435</v>
      </c>
      <c r="AW284" s="3">
        <f>VLOOKUP($AB284,'2000 Seattle Tracts'!$C$2:$Y$374,AW$1,FALSE)*$Z284</f>
        <v>43.234171548811773</v>
      </c>
      <c r="AX284" s="3">
        <f>VLOOKUP($AB284,'2000 Seattle Tracts'!$C$2:$Y$374,AX$1,FALSE)*$Z284</f>
        <v>13.269894237754109</v>
      </c>
    </row>
    <row r="285" spans="1:50" x14ac:dyDescent="0.25">
      <c r="A285" t="s">
        <v>2917</v>
      </c>
      <c r="B285" t="s">
        <v>2918</v>
      </c>
      <c r="C285" t="s">
        <v>3089</v>
      </c>
      <c r="D285" t="s">
        <v>2545</v>
      </c>
      <c r="E285" t="s">
        <v>2546</v>
      </c>
      <c r="F285" t="s">
        <v>2547</v>
      </c>
      <c r="G285" t="s">
        <v>2920</v>
      </c>
      <c r="H285" t="s">
        <v>2921</v>
      </c>
      <c r="I285">
        <v>474211</v>
      </c>
      <c r="J285">
        <v>0</v>
      </c>
      <c r="K285" t="s">
        <v>3460</v>
      </c>
      <c r="L285" t="s">
        <v>3461</v>
      </c>
      <c r="M285">
        <v>65</v>
      </c>
      <c r="N285">
        <v>19289.812999999998</v>
      </c>
      <c r="O285" t="s">
        <v>156</v>
      </c>
      <c r="P285">
        <v>13</v>
      </c>
      <c r="Q285">
        <v>11</v>
      </c>
      <c r="R285">
        <v>33</v>
      </c>
      <c r="S285">
        <v>11474029</v>
      </c>
      <c r="T285">
        <v>67</v>
      </c>
      <c r="U285">
        <v>163</v>
      </c>
      <c r="V285">
        <v>19289.812175002899</v>
      </c>
      <c r="W285">
        <v>11474028.647624191</v>
      </c>
      <c r="X285">
        <v>61813.644999999997</v>
      </c>
      <c r="Y285">
        <f>VLOOKUP(AB285,'2000 Seattle Tracts'!$C$2:$Z$374,24,FALSE)</f>
        <v>474214.022</v>
      </c>
      <c r="Z285">
        <f t="shared" si="8"/>
        <v>0.13034967785073212</v>
      </c>
      <c r="AA285" t="s">
        <v>162</v>
      </c>
      <c r="AB285" t="str">
        <f t="shared" si="9"/>
        <v>Census Tract 85, King County, Washington</v>
      </c>
      <c r="AC285" s="3">
        <f>VLOOKUP($AB285,'2000 Seattle Tracts'!$C$2:$Y$374,AC$1,FALSE)*$Z285</f>
        <v>785.35680905066101</v>
      </c>
      <c r="AD285" s="3">
        <f>VLOOKUP($AB285,'2000 Seattle Tracts'!$C$2:$Y$374,AD$1,FALSE)*$Z285</f>
        <v>649.27174537449673</v>
      </c>
      <c r="AE285" s="3">
        <f>VLOOKUP($AB285,'2000 Seattle Tracts'!$C$2:$Y$374,AE$1,FALSE)*$Z285</f>
        <v>136.08506367616434</v>
      </c>
      <c r="AF285" s="3">
        <f>VLOOKUP($AB285,'2000 Seattle Tracts'!$C$2:$Y$374,AF$1,FALSE)*$Z285</f>
        <v>785.35680905066101</v>
      </c>
      <c r="AG285" s="3">
        <f>VLOOKUP($AB285,'2000 Seattle Tracts'!$C$2:$Y$374,AG$1,FALSE)*$Z285</f>
        <v>649.27174537449673</v>
      </c>
      <c r="AH285" s="3">
        <f>VLOOKUP($AB285,'2000 Seattle Tracts'!$C$2:$Y$374,AH$1,FALSE)*$Z285</f>
        <v>136.08506367616434</v>
      </c>
      <c r="AI285" s="3">
        <f>VLOOKUP($AB285,'2000 Seattle Tracts'!$C$2:$Y$374,AI$1,FALSE)*$Z285</f>
        <v>379.57826190133193</v>
      </c>
      <c r="AJ285" s="3">
        <f>VLOOKUP($AB285,'2000 Seattle Tracts'!$C$2:$Y$374,AJ$1,FALSE)*$Z285</f>
        <v>8.8637780938497848</v>
      </c>
      <c r="AK285" s="3">
        <f>VLOOKUP($AB285,'2000 Seattle Tracts'!$C$2:$Y$374,AK$1,FALSE)*$Z285</f>
        <v>8.9941277717005157</v>
      </c>
      <c r="AL285" s="3">
        <f>VLOOKUP($AB285,'2000 Seattle Tracts'!$C$2:$Y$374,AL$1,FALSE)*$Z285</f>
        <v>14.599163919281997</v>
      </c>
      <c r="AM285" s="3">
        <f>VLOOKUP($AB285,'2000 Seattle Tracts'!$C$2:$Y$374,AM$1,FALSE)*$Z285</f>
        <v>186.26968964869621</v>
      </c>
      <c r="AN285" s="3">
        <f>VLOOKUP($AB285,'2000 Seattle Tracts'!$C$2:$Y$374,AN$1,FALSE)*$Z285</f>
        <v>42.493994979338673</v>
      </c>
      <c r="AO285" s="3">
        <f>VLOOKUP($AB285,'2000 Seattle Tracts'!$C$2:$Y$374,AO$1,FALSE)*$Z285</f>
        <v>20.334549744714209</v>
      </c>
      <c r="AP285" s="3">
        <f>VLOOKUP($AB285,'2000 Seattle Tracts'!$C$2:$Y$374,AP$1,FALSE)*$Z285</f>
        <v>0</v>
      </c>
      <c r="AQ285" s="3">
        <f>VLOOKUP($AB285,'2000 Seattle Tracts'!$C$2:$Y$374,AQ$1,FALSE)*$Z285</f>
        <v>29.328677516414729</v>
      </c>
      <c r="AR285" s="3">
        <f>VLOOKUP($AB285,'2000 Seattle Tracts'!$C$2:$Y$374,AR$1,FALSE)*$Z285</f>
        <v>47.968681449069422</v>
      </c>
      <c r="AS285" s="3">
        <f>VLOOKUP($AB285,'2000 Seattle Tracts'!$C$2:$Y$374,AS$1,FALSE)*$Z285</f>
        <v>0</v>
      </c>
      <c r="AT285" s="3">
        <f>VLOOKUP($AB285,'2000 Seattle Tracts'!$C$2:$Y$374,AT$1,FALSE)*$Z285</f>
        <v>1.9552451677609819</v>
      </c>
      <c r="AU285" s="3">
        <f>VLOOKUP($AB285,'2000 Seattle Tracts'!$C$2:$Y$374,AU$1,FALSE)*$Z285</f>
        <v>11.601121328715159</v>
      </c>
      <c r="AV285" s="3">
        <f>VLOOKUP($AB285,'2000 Seattle Tracts'!$C$2:$Y$374,AV$1,FALSE)*$Z285</f>
        <v>16.163360053490784</v>
      </c>
      <c r="AW285" s="3">
        <f>VLOOKUP($AB285,'2000 Seattle Tracts'!$C$2:$Y$374,AW$1,FALSE)*$Z285</f>
        <v>13.165317462923944</v>
      </c>
      <c r="AX285" s="3">
        <f>VLOOKUP($AB285,'2000 Seattle Tracts'!$C$2:$Y$374,AX$1,FALSE)*$Z285</f>
        <v>4.040840013372696</v>
      </c>
    </row>
    <row r="286" spans="1:50" x14ac:dyDescent="0.25">
      <c r="A286" t="s">
        <v>2917</v>
      </c>
      <c r="B286" t="s">
        <v>2918</v>
      </c>
      <c r="C286" t="s">
        <v>3086</v>
      </c>
      <c r="D286" t="s">
        <v>2548</v>
      </c>
      <c r="E286" t="s">
        <v>2549</v>
      </c>
      <c r="F286" t="s">
        <v>2550</v>
      </c>
      <c r="G286" t="s">
        <v>2920</v>
      </c>
      <c r="H286" t="s">
        <v>2921</v>
      </c>
      <c r="I286">
        <v>382615</v>
      </c>
      <c r="J286">
        <v>0</v>
      </c>
      <c r="K286" t="s">
        <v>3087</v>
      </c>
      <c r="L286" t="s">
        <v>3088</v>
      </c>
      <c r="M286">
        <v>63</v>
      </c>
      <c r="N286">
        <v>13225.233</v>
      </c>
      <c r="O286" t="s">
        <v>156</v>
      </c>
      <c r="P286">
        <v>13</v>
      </c>
      <c r="Q286">
        <v>11</v>
      </c>
      <c r="R286">
        <v>33</v>
      </c>
      <c r="S286">
        <v>9517568</v>
      </c>
      <c r="T286">
        <v>65</v>
      </c>
      <c r="U286">
        <v>160</v>
      </c>
      <c r="V286">
        <v>13225.23351595422</v>
      </c>
      <c r="W286">
        <v>9517568.4736377206</v>
      </c>
      <c r="X286">
        <v>210167.04699999999</v>
      </c>
      <c r="Y286">
        <f>VLOOKUP(AB286,'2000 Seattle Tracts'!$C$2:$Z$374,24,FALSE)</f>
        <v>382616.32699999999</v>
      </c>
      <c r="Z286">
        <f t="shared" si="8"/>
        <v>0.54928928059047522</v>
      </c>
      <c r="AA286" t="s">
        <v>160</v>
      </c>
      <c r="AB286" t="str">
        <f t="shared" si="9"/>
        <v>Census Tract 84, King County, Washington</v>
      </c>
      <c r="AC286" s="3">
        <f>VLOOKUP($AB286,'2000 Seattle Tracts'!$C$2:$Y$374,AC$1,FALSE)*$Z286</f>
        <v>2108.1722589062438</v>
      </c>
      <c r="AD286" s="3">
        <f>VLOOKUP($AB286,'2000 Seattle Tracts'!$C$2:$Y$374,AD$1,FALSE)*$Z286</f>
        <v>1692.9095627798447</v>
      </c>
      <c r="AE286" s="3">
        <f>VLOOKUP($AB286,'2000 Seattle Tracts'!$C$2:$Y$374,AE$1,FALSE)*$Z286</f>
        <v>415.26269612639925</v>
      </c>
      <c r="AF286" s="3">
        <f>VLOOKUP($AB286,'2000 Seattle Tracts'!$C$2:$Y$374,AF$1,FALSE)*$Z286</f>
        <v>2108.1722589062438</v>
      </c>
      <c r="AG286" s="3">
        <f>VLOOKUP($AB286,'2000 Seattle Tracts'!$C$2:$Y$374,AG$1,FALSE)*$Z286</f>
        <v>1692.9095627798447</v>
      </c>
      <c r="AH286" s="3">
        <f>VLOOKUP($AB286,'2000 Seattle Tracts'!$C$2:$Y$374,AH$1,FALSE)*$Z286</f>
        <v>415.26269612639925</v>
      </c>
      <c r="AI286" s="3">
        <f>VLOOKUP($AB286,'2000 Seattle Tracts'!$C$2:$Y$374,AI$1,FALSE)*$Z286</f>
        <v>1266.1117917610454</v>
      </c>
      <c r="AJ286" s="3">
        <f>VLOOKUP($AB286,'2000 Seattle Tracts'!$C$2:$Y$374,AJ$1,FALSE)*$Z286</f>
        <v>132.92800590289499</v>
      </c>
      <c r="AK286" s="3">
        <f>VLOOKUP($AB286,'2000 Seattle Tracts'!$C$2:$Y$374,AK$1,FALSE)*$Z286</f>
        <v>26.915174748933286</v>
      </c>
      <c r="AL286" s="3">
        <f>VLOOKUP($AB286,'2000 Seattle Tracts'!$C$2:$Y$374,AL$1,FALSE)*$Z286</f>
        <v>26.36588546834281</v>
      </c>
      <c r="AM286" s="3">
        <f>VLOOKUP($AB286,'2000 Seattle Tracts'!$C$2:$Y$374,AM$1,FALSE)*$Z286</f>
        <v>225.20860504209483</v>
      </c>
      <c r="AN286" s="3">
        <f>VLOOKUP($AB286,'2000 Seattle Tracts'!$C$2:$Y$374,AN$1,FALSE)*$Z286</f>
        <v>15.929389137123781</v>
      </c>
      <c r="AO286" s="3">
        <f>VLOOKUP($AB286,'2000 Seattle Tracts'!$C$2:$Y$374,AO$1,FALSE)*$Z286</f>
        <v>46.68958885019039</v>
      </c>
      <c r="AP286" s="3">
        <f>VLOOKUP($AB286,'2000 Seattle Tracts'!$C$2:$Y$374,AP$1,FALSE)*$Z286</f>
        <v>0</v>
      </c>
      <c r="AQ286" s="3">
        <f>VLOOKUP($AB286,'2000 Seattle Tracts'!$C$2:$Y$374,AQ$1,FALSE)*$Z286</f>
        <v>36.802381799561843</v>
      </c>
      <c r="AR286" s="3">
        <f>VLOOKUP($AB286,'2000 Seattle Tracts'!$C$2:$Y$374,AR$1,FALSE)*$Z286</f>
        <v>219.16642295559961</v>
      </c>
      <c r="AS286" s="3">
        <f>VLOOKUP($AB286,'2000 Seattle Tracts'!$C$2:$Y$374,AS$1,FALSE)*$Z286</f>
        <v>0</v>
      </c>
      <c r="AT286" s="3">
        <f>VLOOKUP($AB286,'2000 Seattle Tracts'!$C$2:$Y$374,AT$1,FALSE)*$Z286</f>
        <v>0</v>
      </c>
      <c r="AU286" s="3">
        <f>VLOOKUP($AB286,'2000 Seattle Tracts'!$C$2:$Y$374,AU$1,FALSE)*$Z286</f>
        <v>29.661621151885662</v>
      </c>
      <c r="AV286" s="3">
        <f>VLOOKUP($AB286,'2000 Seattle Tracts'!$C$2:$Y$374,AV$1,FALSE)*$Z286</f>
        <v>6.0421820864952274</v>
      </c>
      <c r="AW286" s="3">
        <f>VLOOKUP($AB286,'2000 Seattle Tracts'!$C$2:$Y$374,AW$1,FALSE)*$Z286</f>
        <v>61.520399426133224</v>
      </c>
      <c r="AX286" s="3">
        <f>VLOOKUP($AB286,'2000 Seattle Tracts'!$C$2:$Y$374,AX$1,FALSE)*$Z286</f>
        <v>14.830810575942831</v>
      </c>
    </row>
    <row r="287" spans="1:50" x14ac:dyDescent="0.25">
      <c r="A287" t="s">
        <v>2917</v>
      </c>
      <c r="B287" t="s">
        <v>2918</v>
      </c>
      <c r="C287" t="s">
        <v>3086</v>
      </c>
      <c r="D287" t="s">
        <v>2548</v>
      </c>
      <c r="E287" t="s">
        <v>2549</v>
      </c>
      <c r="F287" t="s">
        <v>2550</v>
      </c>
      <c r="G287" t="s">
        <v>2920</v>
      </c>
      <c r="H287" t="s">
        <v>2921</v>
      </c>
      <c r="I287">
        <v>382615</v>
      </c>
      <c r="J287">
        <v>0</v>
      </c>
      <c r="K287" t="s">
        <v>3087</v>
      </c>
      <c r="L287" t="s">
        <v>3088</v>
      </c>
      <c r="M287">
        <v>100</v>
      </c>
      <c r="N287">
        <v>26851.947</v>
      </c>
      <c r="O287" t="s">
        <v>201</v>
      </c>
      <c r="P287">
        <v>11</v>
      </c>
      <c r="Q287">
        <v>3</v>
      </c>
      <c r="R287">
        <v>0</v>
      </c>
      <c r="S287">
        <v>30239240</v>
      </c>
      <c r="T287">
        <v>102</v>
      </c>
      <c r="U287">
        <v>151</v>
      </c>
      <c r="V287">
        <v>26851.9474418256</v>
      </c>
      <c r="W287">
        <v>30239240.52129779</v>
      </c>
      <c r="X287">
        <v>172449.27600000001</v>
      </c>
      <c r="Y287">
        <f>VLOOKUP(AB287,'2000 Seattle Tracts'!$C$2:$Z$374,24,FALSE)</f>
        <v>382616.32699999999</v>
      </c>
      <c r="Z287">
        <f t="shared" si="8"/>
        <v>0.45071070895518794</v>
      </c>
      <c r="AA287" t="s">
        <v>204</v>
      </c>
      <c r="AB287" t="str">
        <f t="shared" si="9"/>
        <v>Census Tract 84, King County, Washington</v>
      </c>
      <c r="AC287" s="3">
        <f>VLOOKUP($AB287,'2000 Seattle Tracts'!$C$2:$Y$374,AC$1,FALSE)*$Z287</f>
        <v>1729.8277009700114</v>
      </c>
      <c r="AD287" s="3">
        <f>VLOOKUP($AB287,'2000 Seattle Tracts'!$C$2:$Y$374,AD$1,FALSE)*$Z287</f>
        <v>1389.0904049998892</v>
      </c>
      <c r="AE287" s="3">
        <f>VLOOKUP($AB287,'2000 Seattle Tracts'!$C$2:$Y$374,AE$1,FALSE)*$Z287</f>
        <v>340.73729597012209</v>
      </c>
      <c r="AF287" s="3">
        <f>VLOOKUP($AB287,'2000 Seattle Tracts'!$C$2:$Y$374,AF$1,FALSE)*$Z287</f>
        <v>1729.8277009700114</v>
      </c>
      <c r="AG287" s="3">
        <f>VLOOKUP($AB287,'2000 Seattle Tracts'!$C$2:$Y$374,AG$1,FALSE)*$Z287</f>
        <v>1389.0904049998892</v>
      </c>
      <c r="AH287" s="3">
        <f>VLOOKUP($AB287,'2000 Seattle Tracts'!$C$2:$Y$374,AH$1,FALSE)*$Z287</f>
        <v>340.73729597012209</v>
      </c>
      <c r="AI287" s="3">
        <f>VLOOKUP($AB287,'2000 Seattle Tracts'!$C$2:$Y$374,AI$1,FALSE)*$Z287</f>
        <v>1038.8881841417083</v>
      </c>
      <c r="AJ287" s="3">
        <f>VLOOKUP($AB287,'2000 Seattle Tracts'!$C$2:$Y$374,AJ$1,FALSE)*$Z287</f>
        <v>109.07199156715548</v>
      </c>
      <c r="AK287" s="3">
        <f>VLOOKUP($AB287,'2000 Seattle Tracts'!$C$2:$Y$374,AK$1,FALSE)*$Z287</f>
        <v>22.084824738804208</v>
      </c>
      <c r="AL287" s="3">
        <f>VLOOKUP($AB287,'2000 Seattle Tracts'!$C$2:$Y$374,AL$1,FALSE)*$Z287</f>
        <v>21.634114029849023</v>
      </c>
      <c r="AM287" s="3">
        <f>VLOOKUP($AB287,'2000 Seattle Tracts'!$C$2:$Y$374,AM$1,FALSE)*$Z287</f>
        <v>184.79139067162706</v>
      </c>
      <c r="AN287" s="3">
        <f>VLOOKUP($AB287,'2000 Seattle Tracts'!$C$2:$Y$374,AN$1,FALSE)*$Z287</f>
        <v>13.07061055970045</v>
      </c>
      <c r="AO287" s="3">
        <f>VLOOKUP($AB287,'2000 Seattle Tracts'!$C$2:$Y$374,AO$1,FALSE)*$Z287</f>
        <v>38.310410261190974</v>
      </c>
      <c r="AP287" s="3">
        <f>VLOOKUP($AB287,'2000 Seattle Tracts'!$C$2:$Y$374,AP$1,FALSE)*$Z287</f>
        <v>0</v>
      </c>
      <c r="AQ287" s="3">
        <f>VLOOKUP($AB287,'2000 Seattle Tracts'!$C$2:$Y$374,AQ$1,FALSE)*$Z287</f>
        <v>30.197617499997591</v>
      </c>
      <c r="AR287" s="3">
        <f>VLOOKUP($AB287,'2000 Seattle Tracts'!$C$2:$Y$374,AR$1,FALSE)*$Z287</f>
        <v>179.83357287311998</v>
      </c>
      <c r="AS287" s="3">
        <f>VLOOKUP($AB287,'2000 Seattle Tracts'!$C$2:$Y$374,AS$1,FALSE)*$Z287</f>
        <v>0</v>
      </c>
      <c r="AT287" s="3">
        <f>VLOOKUP($AB287,'2000 Seattle Tracts'!$C$2:$Y$374,AT$1,FALSE)*$Z287</f>
        <v>0</v>
      </c>
      <c r="AU287" s="3">
        <f>VLOOKUP($AB287,'2000 Seattle Tracts'!$C$2:$Y$374,AU$1,FALSE)*$Z287</f>
        <v>24.338378283580148</v>
      </c>
      <c r="AV287" s="3">
        <f>VLOOKUP($AB287,'2000 Seattle Tracts'!$C$2:$Y$374,AV$1,FALSE)*$Z287</f>
        <v>4.9578177985070671</v>
      </c>
      <c r="AW287" s="3">
        <f>VLOOKUP($AB287,'2000 Seattle Tracts'!$C$2:$Y$374,AW$1,FALSE)*$Z287</f>
        <v>50.479599402981052</v>
      </c>
      <c r="AX287" s="3">
        <f>VLOOKUP($AB287,'2000 Seattle Tracts'!$C$2:$Y$374,AX$1,FALSE)*$Z287</f>
        <v>12.169189141790074</v>
      </c>
    </row>
    <row r="288" spans="1:50" x14ac:dyDescent="0.25">
      <c r="A288" t="s">
        <v>2917</v>
      </c>
      <c r="B288" t="s">
        <v>2918</v>
      </c>
      <c r="C288" t="s">
        <v>3083</v>
      </c>
      <c r="D288" t="s">
        <v>2551</v>
      </c>
      <c r="E288" t="s">
        <v>2552</v>
      </c>
      <c r="F288" t="s">
        <v>2553</v>
      </c>
      <c r="G288" t="s">
        <v>2920</v>
      </c>
      <c r="H288" t="s">
        <v>2921</v>
      </c>
      <c r="I288">
        <v>237446</v>
      </c>
      <c r="J288">
        <v>0</v>
      </c>
      <c r="K288" t="s">
        <v>3084</v>
      </c>
      <c r="L288" t="s">
        <v>3085</v>
      </c>
      <c r="M288">
        <v>60</v>
      </c>
      <c r="N288">
        <v>21967.599999999999</v>
      </c>
      <c r="O288" t="s">
        <v>156</v>
      </c>
      <c r="P288">
        <v>13</v>
      </c>
      <c r="Q288">
        <v>11</v>
      </c>
      <c r="R288">
        <v>81</v>
      </c>
      <c r="S288">
        <v>14974037</v>
      </c>
      <c r="T288">
        <v>62</v>
      </c>
      <c r="U288">
        <v>156</v>
      </c>
      <c r="V288">
        <v>21967.599459922661</v>
      </c>
      <c r="W288">
        <v>14974037.0994289</v>
      </c>
      <c r="X288">
        <v>248.04300000000001</v>
      </c>
      <c r="Y288">
        <f>VLOOKUP(AB288,'2000 Seattle Tracts'!$C$2:$Z$374,24,FALSE)</f>
        <v>237450.166</v>
      </c>
      <c r="Z288">
        <f t="shared" si="8"/>
        <v>1.0446107668756063E-3</v>
      </c>
      <c r="AA288" t="s">
        <v>157</v>
      </c>
      <c r="AB288" t="str">
        <f t="shared" si="9"/>
        <v>Census Tract 83, King County, Washington</v>
      </c>
      <c r="AC288" s="3">
        <f>VLOOKUP($AB288,'2000 Seattle Tracts'!$C$2:$Y$374,AC$1,FALSE)*$Z288</f>
        <v>2.5373595527408477</v>
      </c>
      <c r="AD288" s="3">
        <f>VLOOKUP($AB288,'2000 Seattle Tracts'!$C$2:$Y$374,AD$1,FALSE)*$Z288</f>
        <v>1.9429760263886278</v>
      </c>
      <c r="AE288" s="3">
        <f>VLOOKUP($AB288,'2000 Seattle Tracts'!$C$2:$Y$374,AE$1,FALSE)*$Z288</f>
        <v>0.59438352635221992</v>
      </c>
      <c r="AF288" s="3">
        <f>VLOOKUP($AB288,'2000 Seattle Tracts'!$C$2:$Y$374,AF$1,FALSE)*$Z288</f>
        <v>2.5373595527408477</v>
      </c>
      <c r="AG288" s="3">
        <f>VLOOKUP($AB288,'2000 Seattle Tracts'!$C$2:$Y$374,AG$1,FALSE)*$Z288</f>
        <v>1.9429760263886278</v>
      </c>
      <c r="AH288" s="3">
        <f>VLOOKUP($AB288,'2000 Seattle Tracts'!$C$2:$Y$374,AH$1,FALSE)*$Z288</f>
        <v>0.59438352635221992</v>
      </c>
      <c r="AI288" s="3">
        <f>VLOOKUP($AB288,'2000 Seattle Tracts'!$C$2:$Y$374,AI$1,FALSE)*$Z288</f>
        <v>1.6181020778903141</v>
      </c>
      <c r="AJ288" s="3">
        <f>VLOOKUP($AB288,'2000 Seattle Tracts'!$C$2:$Y$374,AJ$1,FALSE)*$Z288</f>
        <v>0.22668053641200656</v>
      </c>
      <c r="AK288" s="3">
        <f>VLOOKUP($AB288,'2000 Seattle Tracts'!$C$2:$Y$374,AK$1,FALSE)*$Z288</f>
        <v>2.6115269171890158E-2</v>
      </c>
      <c r="AL288" s="3">
        <f>VLOOKUP($AB288,'2000 Seattle Tracts'!$C$2:$Y$374,AL$1,FALSE)*$Z288</f>
        <v>1.4624550736258488E-2</v>
      </c>
      <c r="AM288" s="3">
        <f>VLOOKUP($AB288,'2000 Seattle Tracts'!$C$2:$Y$374,AM$1,FALSE)*$Z288</f>
        <v>0.13684401046070443</v>
      </c>
      <c r="AN288" s="3">
        <f>VLOOKUP($AB288,'2000 Seattle Tracts'!$C$2:$Y$374,AN$1,FALSE)*$Z288</f>
        <v>3.5516766073770613E-2</v>
      </c>
      <c r="AO288" s="3">
        <f>VLOOKUP($AB288,'2000 Seattle Tracts'!$C$2:$Y$374,AO$1,FALSE)*$Z288</f>
        <v>7.3122753681292441E-3</v>
      </c>
      <c r="AP288" s="3">
        <f>VLOOKUP($AB288,'2000 Seattle Tracts'!$C$2:$Y$374,AP$1,FALSE)*$Z288</f>
        <v>0</v>
      </c>
      <c r="AQ288" s="3">
        <f>VLOOKUP($AB288,'2000 Seattle Tracts'!$C$2:$Y$374,AQ$1,FALSE)*$Z288</f>
        <v>6.8944310613790014E-2</v>
      </c>
      <c r="AR288" s="3">
        <f>VLOOKUP($AB288,'2000 Seattle Tracts'!$C$2:$Y$374,AR$1,FALSE)*$Z288</f>
        <v>0.24339430868201625</v>
      </c>
      <c r="AS288" s="3">
        <f>VLOOKUP($AB288,'2000 Seattle Tracts'!$C$2:$Y$374,AS$1,FALSE)*$Z288</f>
        <v>0</v>
      </c>
      <c r="AT288" s="3">
        <f>VLOOKUP($AB288,'2000 Seattle Tracts'!$C$2:$Y$374,AT$1,FALSE)*$Z288</f>
        <v>0</v>
      </c>
      <c r="AU288" s="3">
        <f>VLOOKUP($AB288,'2000 Seattle Tracts'!$C$2:$Y$374,AU$1,FALSE)*$Z288</f>
        <v>5.6408981411282741E-2</v>
      </c>
      <c r="AV288" s="3">
        <f>VLOOKUP($AB288,'2000 Seattle Tracts'!$C$2:$Y$374,AV$1,FALSE)*$Z288</f>
        <v>2.6115269171890158E-2</v>
      </c>
      <c r="AW288" s="3">
        <f>VLOOKUP($AB288,'2000 Seattle Tracts'!$C$2:$Y$374,AW$1,FALSE)*$Z288</f>
        <v>2.9249101472516977E-2</v>
      </c>
      <c r="AX288" s="3">
        <f>VLOOKUP($AB288,'2000 Seattle Tracts'!$C$2:$Y$374,AX$1,FALSE)*$Z288</f>
        <v>4.8052095276277886E-2</v>
      </c>
    </row>
    <row r="289" spans="1:50" x14ac:dyDescent="0.25">
      <c r="A289" t="s">
        <v>2917</v>
      </c>
      <c r="B289" t="s">
        <v>2918</v>
      </c>
      <c r="C289" t="s">
        <v>3083</v>
      </c>
      <c r="D289" t="s">
        <v>2551</v>
      </c>
      <c r="E289" t="s">
        <v>2552</v>
      </c>
      <c r="F289" t="s">
        <v>2553</v>
      </c>
      <c r="G289" t="s">
        <v>2920</v>
      </c>
      <c r="H289" t="s">
        <v>2921</v>
      </c>
      <c r="I289">
        <v>237446</v>
      </c>
      <c r="J289">
        <v>0</v>
      </c>
      <c r="K289" t="s">
        <v>3084</v>
      </c>
      <c r="L289" t="s">
        <v>3085</v>
      </c>
      <c r="M289">
        <v>62</v>
      </c>
      <c r="N289">
        <v>18209.463</v>
      </c>
      <c r="O289" t="s">
        <v>156</v>
      </c>
      <c r="P289">
        <v>13</v>
      </c>
      <c r="Q289">
        <v>11</v>
      </c>
      <c r="R289">
        <v>95</v>
      </c>
      <c r="S289">
        <v>9477399</v>
      </c>
      <c r="T289">
        <v>64</v>
      </c>
      <c r="U289">
        <v>159</v>
      </c>
      <c r="V289">
        <v>18209.462862458811</v>
      </c>
      <c r="W289">
        <v>9477398.6185622383</v>
      </c>
      <c r="X289">
        <v>49118.906999999999</v>
      </c>
      <c r="Y289">
        <f>VLOOKUP(AB289,'2000 Seattle Tracts'!$C$2:$Z$374,24,FALSE)</f>
        <v>237450.166</v>
      </c>
      <c r="Z289">
        <f t="shared" si="8"/>
        <v>0.20685985538540327</v>
      </c>
      <c r="AA289" t="s">
        <v>159</v>
      </c>
      <c r="AB289" t="str">
        <f t="shared" si="9"/>
        <v>Census Tract 83, King County, Washington</v>
      </c>
      <c r="AC289" s="3">
        <f>VLOOKUP($AB289,'2000 Seattle Tracts'!$C$2:$Y$374,AC$1,FALSE)*$Z289</f>
        <v>502.46258873114454</v>
      </c>
      <c r="AD289" s="3">
        <f>VLOOKUP($AB289,'2000 Seattle Tracts'!$C$2:$Y$374,AD$1,FALSE)*$Z289</f>
        <v>384.75933101685007</v>
      </c>
      <c r="AE289" s="3">
        <f>VLOOKUP($AB289,'2000 Seattle Tracts'!$C$2:$Y$374,AE$1,FALSE)*$Z289</f>
        <v>117.70325771429447</v>
      </c>
      <c r="AF289" s="3">
        <f>VLOOKUP($AB289,'2000 Seattle Tracts'!$C$2:$Y$374,AF$1,FALSE)*$Z289</f>
        <v>502.46258873114454</v>
      </c>
      <c r="AG289" s="3">
        <f>VLOOKUP($AB289,'2000 Seattle Tracts'!$C$2:$Y$374,AG$1,FALSE)*$Z289</f>
        <v>384.75933101685007</v>
      </c>
      <c r="AH289" s="3">
        <f>VLOOKUP($AB289,'2000 Seattle Tracts'!$C$2:$Y$374,AH$1,FALSE)*$Z289</f>
        <v>117.70325771429447</v>
      </c>
      <c r="AI289" s="3">
        <f>VLOOKUP($AB289,'2000 Seattle Tracts'!$C$2:$Y$374,AI$1,FALSE)*$Z289</f>
        <v>320.42591599198965</v>
      </c>
      <c r="AJ289" s="3">
        <f>VLOOKUP($AB289,'2000 Seattle Tracts'!$C$2:$Y$374,AJ$1,FALSE)*$Z289</f>
        <v>44.888588618632511</v>
      </c>
      <c r="AK289" s="3">
        <f>VLOOKUP($AB289,'2000 Seattle Tracts'!$C$2:$Y$374,AK$1,FALSE)*$Z289</f>
        <v>5.1714963846350814</v>
      </c>
      <c r="AL289" s="3">
        <f>VLOOKUP($AB289,'2000 Seattle Tracts'!$C$2:$Y$374,AL$1,FALSE)*$Z289</f>
        <v>2.8960379753956458</v>
      </c>
      <c r="AM289" s="3">
        <f>VLOOKUP($AB289,'2000 Seattle Tracts'!$C$2:$Y$374,AM$1,FALSE)*$Z289</f>
        <v>27.098641055487828</v>
      </c>
      <c r="AN289" s="3">
        <f>VLOOKUP($AB289,'2000 Seattle Tracts'!$C$2:$Y$374,AN$1,FALSE)*$Z289</f>
        <v>7.0332350831037109</v>
      </c>
      <c r="AO289" s="3">
        <f>VLOOKUP($AB289,'2000 Seattle Tracts'!$C$2:$Y$374,AO$1,FALSE)*$Z289</f>
        <v>1.4480189876978229</v>
      </c>
      <c r="AP289" s="3">
        <f>VLOOKUP($AB289,'2000 Seattle Tracts'!$C$2:$Y$374,AP$1,FALSE)*$Z289</f>
        <v>0</v>
      </c>
      <c r="AQ289" s="3">
        <f>VLOOKUP($AB289,'2000 Seattle Tracts'!$C$2:$Y$374,AQ$1,FALSE)*$Z289</f>
        <v>13.652750455436616</v>
      </c>
      <c r="AR289" s="3">
        <f>VLOOKUP($AB289,'2000 Seattle Tracts'!$C$2:$Y$374,AR$1,FALSE)*$Z289</f>
        <v>48.19834630479896</v>
      </c>
      <c r="AS289" s="3">
        <f>VLOOKUP($AB289,'2000 Seattle Tracts'!$C$2:$Y$374,AS$1,FALSE)*$Z289</f>
        <v>0</v>
      </c>
      <c r="AT289" s="3">
        <f>VLOOKUP($AB289,'2000 Seattle Tracts'!$C$2:$Y$374,AT$1,FALSE)*$Z289</f>
        <v>0</v>
      </c>
      <c r="AU289" s="3">
        <f>VLOOKUP($AB289,'2000 Seattle Tracts'!$C$2:$Y$374,AU$1,FALSE)*$Z289</f>
        <v>11.170432190811777</v>
      </c>
      <c r="AV289" s="3">
        <f>VLOOKUP($AB289,'2000 Seattle Tracts'!$C$2:$Y$374,AV$1,FALSE)*$Z289</f>
        <v>5.1714963846350814</v>
      </c>
      <c r="AW289" s="3">
        <f>VLOOKUP($AB289,'2000 Seattle Tracts'!$C$2:$Y$374,AW$1,FALSE)*$Z289</f>
        <v>5.7920759507912916</v>
      </c>
      <c r="AX289" s="3">
        <f>VLOOKUP($AB289,'2000 Seattle Tracts'!$C$2:$Y$374,AX$1,FALSE)*$Z289</f>
        <v>9.5155533477285505</v>
      </c>
    </row>
    <row r="290" spans="1:50" x14ac:dyDescent="0.25">
      <c r="A290" t="s">
        <v>2917</v>
      </c>
      <c r="B290" t="s">
        <v>2918</v>
      </c>
      <c r="C290" t="s">
        <v>3083</v>
      </c>
      <c r="D290" t="s">
        <v>2551</v>
      </c>
      <c r="E290" t="s">
        <v>2552</v>
      </c>
      <c r="F290" t="s">
        <v>2553</v>
      </c>
      <c r="G290" t="s">
        <v>2920</v>
      </c>
      <c r="H290" t="s">
        <v>2921</v>
      </c>
      <c r="I290">
        <v>237446</v>
      </c>
      <c r="J290">
        <v>0</v>
      </c>
      <c r="K290" t="s">
        <v>3084</v>
      </c>
      <c r="L290" t="s">
        <v>3085</v>
      </c>
      <c r="M290">
        <v>63</v>
      </c>
      <c r="N290">
        <v>13225.233</v>
      </c>
      <c r="O290" t="s">
        <v>156</v>
      </c>
      <c r="P290">
        <v>13</v>
      </c>
      <c r="Q290">
        <v>11</v>
      </c>
      <c r="R290">
        <v>33</v>
      </c>
      <c r="S290">
        <v>9517568</v>
      </c>
      <c r="T290">
        <v>65</v>
      </c>
      <c r="U290">
        <v>160</v>
      </c>
      <c r="V290">
        <v>13225.23351595422</v>
      </c>
      <c r="W290">
        <v>9517568.4736377206</v>
      </c>
      <c r="X290">
        <v>160907.28599999999</v>
      </c>
      <c r="Y290">
        <f>VLOOKUP(AB290,'2000 Seattle Tracts'!$C$2:$Z$374,24,FALSE)</f>
        <v>237450.166</v>
      </c>
      <c r="Z290">
        <f t="shared" si="8"/>
        <v>0.6776465508977576</v>
      </c>
      <c r="AA290" t="s">
        <v>160</v>
      </c>
      <c r="AB290" t="str">
        <f t="shared" si="9"/>
        <v>Census Tract 83, King County, Washington</v>
      </c>
      <c r="AC290" s="3">
        <f>VLOOKUP($AB290,'2000 Seattle Tracts'!$C$2:$Y$374,AC$1,FALSE)*$Z290</f>
        <v>1646.0034721306531</v>
      </c>
      <c r="AD290" s="3">
        <f>VLOOKUP($AB290,'2000 Seattle Tracts'!$C$2:$Y$374,AD$1,FALSE)*$Z290</f>
        <v>1260.4225846698291</v>
      </c>
      <c r="AE290" s="3">
        <f>VLOOKUP($AB290,'2000 Seattle Tracts'!$C$2:$Y$374,AE$1,FALSE)*$Z290</f>
        <v>385.5808874608241</v>
      </c>
      <c r="AF290" s="3">
        <f>VLOOKUP($AB290,'2000 Seattle Tracts'!$C$2:$Y$374,AF$1,FALSE)*$Z290</f>
        <v>1646.0034721306531</v>
      </c>
      <c r="AG290" s="3">
        <f>VLOOKUP($AB290,'2000 Seattle Tracts'!$C$2:$Y$374,AG$1,FALSE)*$Z290</f>
        <v>1260.4225846698291</v>
      </c>
      <c r="AH290" s="3">
        <f>VLOOKUP($AB290,'2000 Seattle Tracts'!$C$2:$Y$374,AH$1,FALSE)*$Z290</f>
        <v>385.5808874608241</v>
      </c>
      <c r="AI290" s="3">
        <f>VLOOKUP($AB290,'2000 Seattle Tracts'!$C$2:$Y$374,AI$1,FALSE)*$Z290</f>
        <v>1049.6745073406266</v>
      </c>
      <c r="AJ290" s="3">
        <f>VLOOKUP($AB290,'2000 Seattle Tracts'!$C$2:$Y$374,AJ$1,FALSE)*$Z290</f>
        <v>147.0493015448134</v>
      </c>
      <c r="AK290" s="3">
        <f>VLOOKUP($AB290,'2000 Seattle Tracts'!$C$2:$Y$374,AK$1,FALSE)*$Z290</f>
        <v>16.941163772443939</v>
      </c>
      <c r="AL290" s="3">
        <f>VLOOKUP($AB290,'2000 Seattle Tracts'!$C$2:$Y$374,AL$1,FALSE)*$Z290</f>
        <v>9.487051712568606</v>
      </c>
      <c r="AM290" s="3">
        <f>VLOOKUP($AB290,'2000 Seattle Tracts'!$C$2:$Y$374,AM$1,FALSE)*$Z290</f>
        <v>88.771698167606246</v>
      </c>
      <c r="AN290" s="3">
        <f>VLOOKUP($AB290,'2000 Seattle Tracts'!$C$2:$Y$374,AN$1,FALSE)*$Z290</f>
        <v>23.039982730523757</v>
      </c>
      <c r="AO290" s="3">
        <f>VLOOKUP($AB290,'2000 Seattle Tracts'!$C$2:$Y$374,AO$1,FALSE)*$Z290</f>
        <v>4.743525856284303</v>
      </c>
      <c r="AP290" s="3">
        <f>VLOOKUP($AB290,'2000 Seattle Tracts'!$C$2:$Y$374,AP$1,FALSE)*$Z290</f>
        <v>0</v>
      </c>
      <c r="AQ290" s="3">
        <f>VLOOKUP($AB290,'2000 Seattle Tracts'!$C$2:$Y$374,AQ$1,FALSE)*$Z290</f>
        <v>44.724672359252004</v>
      </c>
      <c r="AR290" s="3">
        <f>VLOOKUP($AB290,'2000 Seattle Tracts'!$C$2:$Y$374,AR$1,FALSE)*$Z290</f>
        <v>157.89164635917751</v>
      </c>
      <c r="AS290" s="3">
        <f>VLOOKUP($AB290,'2000 Seattle Tracts'!$C$2:$Y$374,AS$1,FALSE)*$Z290</f>
        <v>0</v>
      </c>
      <c r="AT290" s="3">
        <f>VLOOKUP($AB290,'2000 Seattle Tracts'!$C$2:$Y$374,AT$1,FALSE)*$Z290</f>
        <v>0</v>
      </c>
      <c r="AU290" s="3">
        <f>VLOOKUP($AB290,'2000 Seattle Tracts'!$C$2:$Y$374,AU$1,FALSE)*$Z290</f>
        <v>36.592913748478914</v>
      </c>
      <c r="AV290" s="3">
        <f>VLOOKUP($AB290,'2000 Seattle Tracts'!$C$2:$Y$374,AV$1,FALSE)*$Z290</f>
        <v>16.941163772443939</v>
      </c>
      <c r="AW290" s="3">
        <f>VLOOKUP($AB290,'2000 Seattle Tracts'!$C$2:$Y$374,AW$1,FALSE)*$Z290</f>
        <v>18.974103425137212</v>
      </c>
      <c r="AX290" s="3">
        <f>VLOOKUP($AB290,'2000 Seattle Tracts'!$C$2:$Y$374,AX$1,FALSE)*$Z290</f>
        <v>31.171741341296851</v>
      </c>
    </row>
    <row r="291" spans="1:50" x14ac:dyDescent="0.25">
      <c r="A291" t="s">
        <v>2917</v>
      </c>
      <c r="B291" t="s">
        <v>2918</v>
      </c>
      <c r="C291" t="s">
        <v>3083</v>
      </c>
      <c r="D291" t="s">
        <v>2551</v>
      </c>
      <c r="E291" t="s">
        <v>2552</v>
      </c>
      <c r="F291" t="s">
        <v>2553</v>
      </c>
      <c r="G291" t="s">
        <v>2920</v>
      </c>
      <c r="H291" t="s">
        <v>2921</v>
      </c>
      <c r="I291">
        <v>237446</v>
      </c>
      <c r="J291">
        <v>0</v>
      </c>
      <c r="K291" t="s">
        <v>3084</v>
      </c>
      <c r="L291" t="s">
        <v>3085</v>
      </c>
      <c r="M291">
        <v>100</v>
      </c>
      <c r="N291">
        <v>26851.947</v>
      </c>
      <c r="O291" t="s">
        <v>201</v>
      </c>
      <c r="P291">
        <v>11</v>
      </c>
      <c r="Q291">
        <v>3</v>
      </c>
      <c r="R291">
        <v>0</v>
      </c>
      <c r="S291">
        <v>30239240</v>
      </c>
      <c r="T291">
        <v>102</v>
      </c>
      <c r="U291">
        <v>151</v>
      </c>
      <c r="V291">
        <v>26851.9474418256</v>
      </c>
      <c r="W291">
        <v>30239240.52129779</v>
      </c>
      <c r="X291">
        <v>27175.941999999999</v>
      </c>
      <c r="Y291">
        <f>VLOOKUP(AB291,'2000 Seattle Tracts'!$C$2:$Z$374,24,FALSE)</f>
        <v>237450.166</v>
      </c>
      <c r="Z291">
        <f t="shared" si="8"/>
        <v>0.1144490334868833</v>
      </c>
      <c r="AA291" t="s">
        <v>204</v>
      </c>
      <c r="AB291" t="str">
        <f t="shared" si="9"/>
        <v>Census Tract 83, King County, Washington</v>
      </c>
      <c r="AC291" s="3">
        <f>VLOOKUP($AB291,'2000 Seattle Tracts'!$C$2:$Y$374,AC$1,FALSE)*$Z291</f>
        <v>277.99670233963957</v>
      </c>
      <c r="AD291" s="3">
        <f>VLOOKUP($AB291,'2000 Seattle Tracts'!$C$2:$Y$374,AD$1,FALSE)*$Z291</f>
        <v>212.87520228560294</v>
      </c>
      <c r="AE291" s="3">
        <f>VLOOKUP($AB291,'2000 Seattle Tracts'!$C$2:$Y$374,AE$1,FALSE)*$Z291</f>
        <v>65.121500054036602</v>
      </c>
      <c r="AF291" s="3">
        <f>VLOOKUP($AB291,'2000 Seattle Tracts'!$C$2:$Y$374,AF$1,FALSE)*$Z291</f>
        <v>277.99670233963957</v>
      </c>
      <c r="AG291" s="3">
        <f>VLOOKUP($AB291,'2000 Seattle Tracts'!$C$2:$Y$374,AG$1,FALSE)*$Z291</f>
        <v>212.87520228560294</v>
      </c>
      <c r="AH291" s="3">
        <f>VLOOKUP($AB291,'2000 Seattle Tracts'!$C$2:$Y$374,AH$1,FALSE)*$Z291</f>
        <v>65.121500054036602</v>
      </c>
      <c r="AI291" s="3">
        <f>VLOOKUP($AB291,'2000 Seattle Tracts'!$C$2:$Y$374,AI$1,FALSE)*$Z291</f>
        <v>177.28155287118224</v>
      </c>
      <c r="AJ291" s="3">
        <f>VLOOKUP($AB291,'2000 Seattle Tracts'!$C$2:$Y$374,AJ$1,FALSE)*$Z291</f>
        <v>24.835440266653677</v>
      </c>
      <c r="AK291" s="3">
        <f>VLOOKUP($AB291,'2000 Seattle Tracts'!$C$2:$Y$374,AK$1,FALSE)*$Z291</f>
        <v>2.8612258371720825</v>
      </c>
      <c r="AL291" s="3">
        <f>VLOOKUP($AB291,'2000 Seattle Tracts'!$C$2:$Y$374,AL$1,FALSE)*$Z291</f>
        <v>1.6022864688163663</v>
      </c>
      <c r="AM291" s="3">
        <f>VLOOKUP($AB291,'2000 Seattle Tracts'!$C$2:$Y$374,AM$1,FALSE)*$Z291</f>
        <v>14.992823386781712</v>
      </c>
      <c r="AN291" s="3">
        <f>VLOOKUP($AB291,'2000 Seattle Tracts'!$C$2:$Y$374,AN$1,FALSE)*$Z291</f>
        <v>3.8912671385540323</v>
      </c>
      <c r="AO291" s="3">
        <f>VLOOKUP($AB291,'2000 Seattle Tracts'!$C$2:$Y$374,AO$1,FALSE)*$Z291</f>
        <v>0.80114323440818314</v>
      </c>
      <c r="AP291" s="3">
        <f>VLOOKUP($AB291,'2000 Seattle Tracts'!$C$2:$Y$374,AP$1,FALSE)*$Z291</f>
        <v>0</v>
      </c>
      <c r="AQ291" s="3">
        <f>VLOOKUP($AB291,'2000 Seattle Tracts'!$C$2:$Y$374,AQ$1,FALSE)*$Z291</f>
        <v>7.5536362101342984</v>
      </c>
      <c r="AR291" s="3">
        <f>VLOOKUP($AB291,'2000 Seattle Tracts'!$C$2:$Y$374,AR$1,FALSE)*$Z291</f>
        <v>26.66662480244381</v>
      </c>
      <c r="AS291" s="3">
        <f>VLOOKUP($AB291,'2000 Seattle Tracts'!$C$2:$Y$374,AS$1,FALSE)*$Z291</f>
        <v>0</v>
      </c>
      <c r="AT291" s="3">
        <f>VLOOKUP($AB291,'2000 Seattle Tracts'!$C$2:$Y$374,AT$1,FALSE)*$Z291</f>
        <v>0</v>
      </c>
      <c r="AU291" s="3">
        <f>VLOOKUP($AB291,'2000 Seattle Tracts'!$C$2:$Y$374,AU$1,FALSE)*$Z291</f>
        <v>6.1802478082916981</v>
      </c>
      <c r="AV291" s="3">
        <f>VLOOKUP($AB291,'2000 Seattle Tracts'!$C$2:$Y$374,AV$1,FALSE)*$Z291</f>
        <v>2.8612258371720825</v>
      </c>
      <c r="AW291" s="3">
        <f>VLOOKUP($AB291,'2000 Seattle Tracts'!$C$2:$Y$374,AW$1,FALSE)*$Z291</f>
        <v>3.2045729376327325</v>
      </c>
      <c r="AX291" s="3">
        <f>VLOOKUP($AB291,'2000 Seattle Tracts'!$C$2:$Y$374,AX$1,FALSE)*$Z291</f>
        <v>5.2646555403966317</v>
      </c>
    </row>
    <row r="292" spans="1:50" x14ac:dyDescent="0.25">
      <c r="A292" t="s">
        <v>2917</v>
      </c>
      <c r="B292" t="s">
        <v>2918</v>
      </c>
      <c r="C292" t="s">
        <v>3080</v>
      </c>
      <c r="D292" t="s">
        <v>2554</v>
      </c>
      <c r="E292" t="s">
        <v>2555</v>
      </c>
      <c r="F292" t="s">
        <v>2556</v>
      </c>
      <c r="G292" t="s">
        <v>2920</v>
      </c>
      <c r="H292" t="s">
        <v>2921</v>
      </c>
      <c r="I292">
        <v>366705</v>
      </c>
      <c r="J292">
        <v>0</v>
      </c>
      <c r="K292" t="s">
        <v>3081</v>
      </c>
      <c r="L292" t="s">
        <v>3082</v>
      </c>
      <c r="M292">
        <v>60</v>
      </c>
      <c r="N292">
        <v>21967.599999999999</v>
      </c>
      <c r="O292" t="s">
        <v>156</v>
      </c>
      <c r="P292">
        <v>13</v>
      </c>
      <c r="Q292">
        <v>11</v>
      </c>
      <c r="R292">
        <v>81</v>
      </c>
      <c r="S292">
        <v>14974037</v>
      </c>
      <c r="T292">
        <v>62</v>
      </c>
      <c r="U292">
        <v>156</v>
      </c>
      <c r="V292">
        <v>21967.599459922661</v>
      </c>
      <c r="W292">
        <v>14974037.0994289</v>
      </c>
      <c r="X292">
        <v>4.4999999999999998E-2</v>
      </c>
      <c r="Y292">
        <f>VLOOKUP(AB292,'2000 Seattle Tracts'!$C$2:$Z$374,24,FALSE)</f>
        <v>366707.82500000001</v>
      </c>
      <c r="Z292">
        <f t="shared" si="8"/>
        <v>1.2271349813710682E-7</v>
      </c>
      <c r="AA292" t="s">
        <v>157</v>
      </c>
      <c r="AB292" t="str">
        <f t="shared" si="9"/>
        <v>Census Tract 82, King County, Washington</v>
      </c>
      <c r="AC292" s="3">
        <f>VLOOKUP($AB292,'2000 Seattle Tracts'!$C$2:$Y$374,AC$1,FALSE)*$Z292</f>
        <v>3.6249567349701353E-4</v>
      </c>
      <c r="AD292" s="3">
        <f>VLOOKUP($AB292,'2000 Seattle Tracts'!$C$2:$Y$374,AD$1,FALSE)*$Z292</f>
        <v>3.0162977842100857E-4</v>
      </c>
      <c r="AE292" s="3">
        <f>VLOOKUP($AB292,'2000 Seattle Tracts'!$C$2:$Y$374,AE$1,FALSE)*$Z292</f>
        <v>6.086589507600498E-5</v>
      </c>
      <c r="AF292" s="3">
        <f>VLOOKUP($AB292,'2000 Seattle Tracts'!$C$2:$Y$374,AF$1,FALSE)*$Z292</f>
        <v>3.6249567349701353E-4</v>
      </c>
      <c r="AG292" s="3">
        <f>VLOOKUP($AB292,'2000 Seattle Tracts'!$C$2:$Y$374,AG$1,FALSE)*$Z292</f>
        <v>3.0162977842100857E-4</v>
      </c>
      <c r="AH292" s="3">
        <f>VLOOKUP($AB292,'2000 Seattle Tracts'!$C$2:$Y$374,AH$1,FALSE)*$Z292</f>
        <v>6.086589507600498E-5</v>
      </c>
      <c r="AI292" s="3">
        <f>VLOOKUP($AB292,'2000 Seattle Tracts'!$C$2:$Y$374,AI$1,FALSE)*$Z292</f>
        <v>2.4886297422205262E-4</v>
      </c>
      <c r="AJ292" s="3">
        <f>VLOOKUP($AB292,'2000 Seattle Tracts'!$C$2:$Y$374,AJ$1,FALSE)*$Z292</f>
        <v>1.9388732705662878E-5</v>
      </c>
      <c r="AK292" s="3">
        <f>VLOOKUP($AB292,'2000 Seattle Tracts'!$C$2:$Y$374,AK$1,FALSE)*$Z292</f>
        <v>6.0129614087182336E-6</v>
      </c>
      <c r="AL292" s="3">
        <f>VLOOKUP($AB292,'2000 Seattle Tracts'!$C$2:$Y$374,AL$1,FALSE)*$Z292</f>
        <v>6.8719558956779815E-6</v>
      </c>
      <c r="AM292" s="3">
        <f>VLOOKUP($AB292,'2000 Seattle Tracts'!$C$2:$Y$374,AM$1,FALSE)*$Z292</f>
        <v>1.7179889739194955E-5</v>
      </c>
      <c r="AN292" s="3">
        <f>VLOOKUP($AB292,'2000 Seattle Tracts'!$C$2:$Y$374,AN$1,FALSE)*$Z292</f>
        <v>3.5586914459760976E-6</v>
      </c>
      <c r="AO292" s="3">
        <f>VLOOKUP($AB292,'2000 Seattle Tracts'!$C$2:$Y$374,AO$1,FALSE)*$Z292</f>
        <v>4.1722589366616318E-6</v>
      </c>
      <c r="AP292" s="3">
        <f>VLOOKUP($AB292,'2000 Seattle Tracts'!$C$2:$Y$374,AP$1,FALSE)*$Z292</f>
        <v>0</v>
      </c>
      <c r="AQ292" s="3">
        <f>VLOOKUP($AB292,'2000 Seattle Tracts'!$C$2:$Y$374,AQ$1,FALSE)*$Z292</f>
        <v>1.0062506847242759E-5</v>
      </c>
      <c r="AR292" s="3">
        <f>VLOOKUP($AB292,'2000 Seattle Tracts'!$C$2:$Y$374,AR$1,FALSE)*$Z292</f>
        <v>2.0615867687033946E-5</v>
      </c>
      <c r="AS292" s="3">
        <f>VLOOKUP($AB292,'2000 Seattle Tracts'!$C$2:$Y$374,AS$1,FALSE)*$Z292</f>
        <v>1.1044214832339614E-6</v>
      </c>
      <c r="AT292" s="3">
        <f>VLOOKUP($AB292,'2000 Seattle Tracts'!$C$2:$Y$374,AT$1,FALSE)*$Z292</f>
        <v>8.5899448695974769E-7</v>
      </c>
      <c r="AU292" s="3">
        <f>VLOOKUP($AB292,'2000 Seattle Tracts'!$C$2:$Y$374,AU$1,FALSE)*$Z292</f>
        <v>2.5769834608792433E-6</v>
      </c>
      <c r="AV292" s="3">
        <f>VLOOKUP($AB292,'2000 Seattle Tracts'!$C$2:$Y$374,AV$1,FALSE)*$Z292</f>
        <v>6.0129614087182336E-6</v>
      </c>
      <c r="AW292" s="3">
        <f>VLOOKUP($AB292,'2000 Seattle Tracts'!$C$2:$Y$374,AW$1,FALSE)*$Z292</f>
        <v>1.1657782323025148E-5</v>
      </c>
      <c r="AX292" s="3">
        <f>VLOOKUP($AB292,'2000 Seattle Tracts'!$C$2:$Y$374,AX$1,FALSE)*$Z292</f>
        <v>3.5586914459760976E-6</v>
      </c>
    </row>
    <row r="293" spans="1:50" x14ac:dyDescent="0.25">
      <c r="A293" t="s">
        <v>2917</v>
      </c>
      <c r="B293" t="s">
        <v>2918</v>
      </c>
      <c r="C293" t="s">
        <v>3080</v>
      </c>
      <c r="D293" t="s">
        <v>2554</v>
      </c>
      <c r="E293" t="s">
        <v>2555</v>
      </c>
      <c r="F293" t="s">
        <v>2556</v>
      </c>
      <c r="G293" t="s">
        <v>2920</v>
      </c>
      <c r="H293" t="s">
        <v>2921</v>
      </c>
      <c r="I293">
        <v>366705</v>
      </c>
      <c r="J293">
        <v>0</v>
      </c>
      <c r="K293" t="s">
        <v>3081</v>
      </c>
      <c r="L293" t="s">
        <v>3082</v>
      </c>
      <c r="M293">
        <v>62</v>
      </c>
      <c r="N293">
        <v>18209.463</v>
      </c>
      <c r="O293" t="s">
        <v>156</v>
      </c>
      <c r="P293">
        <v>13</v>
      </c>
      <c r="Q293">
        <v>11</v>
      </c>
      <c r="R293">
        <v>95</v>
      </c>
      <c r="S293">
        <v>9477399</v>
      </c>
      <c r="T293">
        <v>64</v>
      </c>
      <c r="U293">
        <v>159</v>
      </c>
      <c r="V293">
        <v>18209.462862458811</v>
      </c>
      <c r="W293">
        <v>9477398.6185622383</v>
      </c>
      <c r="X293">
        <v>247751.93799999999</v>
      </c>
      <c r="Y293">
        <f>VLOOKUP(AB293,'2000 Seattle Tracts'!$C$2:$Z$374,24,FALSE)</f>
        <v>366707.82500000001</v>
      </c>
      <c r="Z293">
        <f t="shared" si="8"/>
        <v>0.67561126627172463</v>
      </c>
      <c r="AA293" t="s">
        <v>159</v>
      </c>
      <c r="AB293" t="str">
        <f t="shared" si="9"/>
        <v>Census Tract 82, King County, Washington</v>
      </c>
      <c r="AC293" s="3">
        <f>VLOOKUP($AB293,'2000 Seattle Tracts'!$C$2:$Y$374,AC$1,FALSE)*$Z293</f>
        <v>1995.7556805666745</v>
      </c>
      <c r="AD293" s="3">
        <f>VLOOKUP($AB293,'2000 Seattle Tracts'!$C$2:$Y$374,AD$1,FALSE)*$Z293</f>
        <v>1660.6524924958992</v>
      </c>
      <c r="AE293" s="3">
        <f>VLOOKUP($AB293,'2000 Seattle Tracts'!$C$2:$Y$374,AE$1,FALSE)*$Z293</f>
        <v>335.10318807077545</v>
      </c>
      <c r="AF293" s="3">
        <f>VLOOKUP($AB293,'2000 Seattle Tracts'!$C$2:$Y$374,AF$1,FALSE)*$Z293</f>
        <v>1995.7556805666745</v>
      </c>
      <c r="AG293" s="3">
        <f>VLOOKUP($AB293,'2000 Seattle Tracts'!$C$2:$Y$374,AG$1,FALSE)*$Z293</f>
        <v>1660.6524924958992</v>
      </c>
      <c r="AH293" s="3">
        <f>VLOOKUP($AB293,'2000 Seattle Tracts'!$C$2:$Y$374,AH$1,FALSE)*$Z293</f>
        <v>335.10318807077545</v>
      </c>
      <c r="AI293" s="3">
        <f>VLOOKUP($AB293,'2000 Seattle Tracts'!$C$2:$Y$374,AI$1,FALSE)*$Z293</f>
        <v>1370.1396479990576</v>
      </c>
      <c r="AJ293" s="3">
        <f>VLOOKUP($AB293,'2000 Seattle Tracts'!$C$2:$Y$374,AJ$1,FALSE)*$Z293</f>
        <v>106.7465800709325</v>
      </c>
      <c r="AK293" s="3">
        <f>VLOOKUP($AB293,'2000 Seattle Tracts'!$C$2:$Y$374,AK$1,FALSE)*$Z293</f>
        <v>33.104952047314505</v>
      </c>
      <c r="AL293" s="3">
        <f>VLOOKUP($AB293,'2000 Seattle Tracts'!$C$2:$Y$374,AL$1,FALSE)*$Z293</f>
        <v>37.834230911216579</v>
      </c>
      <c r="AM293" s="3">
        <f>VLOOKUP($AB293,'2000 Seattle Tracts'!$C$2:$Y$374,AM$1,FALSE)*$Z293</f>
        <v>94.585577278041455</v>
      </c>
      <c r="AN293" s="3">
        <f>VLOOKUP($AB293,'2000 Seattle Tracts'!$C$2:$Y$374,AN$1,FALSE)*$Z293</f>
        <v>19.592726721880013</v>
      </c>
      <c r="AO293" s="3">
        <f>VLOOKUP($AB293,'2000 Seattle Tracts'!$C$2:$Y$374,AO$1,FALSE)*$Z293</f>
        <v>22.970783053238637</v>
      </c>
      <c r="AP293" s="3">
        <f>VLOOKUP($AB293,'2000 Seattle Tracts'!$C$2:$Y$374,AP$1,FALSE)*$Z293</f>
        <v>0</v>
      </c>
      <c r="AQ293" s="3">
        <f>VLOOKUP($AB293,'2000 Seattle Tracts'!$C$2:$Y$374,AQ$1,FALSE)*$Z293</f>
        <v>55.400123834281416</v>
      </c>
      <c r="AR293" s="3">
        <f>VLOOKUP($AB293,'2000 Seattle Tracts'!$C$2:$Y$374,AR$1,FALSE)*$Z293</f>
        <v>113.50269273364974</v>
      </c>
      <c r="AS293" s="3">
        <f>VLOOKUP($AB293,'2000 Seattle Tracts'!$C$2:$Y$374,AS$1,FALSE)*$Z293</f>
        <v>6.0805013964455217</v>
      </c>
      <c r="AT293" s="3">
        <f>VLOOKUP($AB293,'2000 Seattle Tracts'!$C$2:$Y$374,AT$1,FALSE)*$Z293</f>
        <v>4.7292788639020724</v>
      </c>
      <c r="AU293" s="3">
        <f>VLOOKUP($AB293,'2000 Seattle Tracts'!$C$2:$Y$374,AU$1,FALSE)*$Z293</f>
        <v>14.187836591706217</v>
      </c>
      <c r="AV293" s="3">
        <f>VLOOKUP($AB293,'2000 Seattle Tracts'!$C$2:$Y$374,AV$1,FALSE)*$Z293</f>
        <v>33.104952047314505</v>
      </c>
      <c r="AW293" s="3">
        <f>VLOOKUP($AB293,'2000 Seattle Tracts'!$C$2:$Y$374,AW$1,FALSE)*$Z293</f>
        <v>64.183070295813835</v>
      </c>
      <c r="AX293" s="3">
        <f>VLOOKUP($AB293,'2000 Seattle Tracts'!$C$2:$Y$374,AX$1,FALSE)*$Z293</f>
        <v>19.592726721880013</v>
      </c>
    </row>
    <row r="294" spans="1:50" x14ac:dyDescent="0.25">
      <c r="A294" t="s">
        <v>2917</v>
      </c>
      <c r="B294" t="s">
        <v>2918</v>
      </c>
      <c r="C294" t="s">
        <v>3080</v>
      </c>
      <c r="D294" t="s">
        <v>2554</v>
      </c>
      <c r="E294" t="s">
        <v>2555</v>
      </c>
      <c r="F294" t="s">
        <v>2556</v>
      </c>
      <c r="G294" t="s">
        <v>2920</v>
      </c>
      <c r="H294" t="s">
        <v>2921</v>
      </c>
      <c r="I294">
        <v>366705</v>
      </c>
      <c r="J294">
        <v>0</v>
      </c>
      <c r="K294" t="s">
        <v>3081</v>
      </c>
      <c r="L294" t="s">
        <v>3082</v>
      </c>
      <c r="M294">
        <v>63</v>
      </c>
      <c r="N294">
        <v>13225.233</v>
      </c>
      <c r="O294" t="s">
        <v>156</v>
      </c>
      <c r="P294">
        <v>13</v>
      </c>
      <c r="Q294">
        <v>11</v>
      </c>
      <c r="R294">
        <v>33</v>
      </c>
      <c r="S294">
        <v>9517568</v>
      </c>
      <c r="T294">
        <v>65</v>
      </c>
      <c r="U294">
        <v>160</v>
      </c>
      <c r="V294">
        <v>13225.23351595422</v>
      </c>
      <c r="W294">
        <v>9517568.4736377206</v>
      </c>
      <c r="X294">
        <v>118934.18399999999</v>
      </c>
      <c r="Y294">
        <f>VLOOKUP(AB294,'2000 Seattle Tracts'!$C$2:$Z$374,24,FALSE)</f>
        <v>366707.82500000001</v>
      </c>
      <c r="Z294">
        <f t="shared" si="8"/>
        <v>0.3243295503716071</v>
      </c>
      <c r="AA294" t="s">
        <v>160</v>
      </c>
      <c r="AB294" t="str">
        <f t="shared" si="9"/>
        <v>Census Tract 82, King County, Washington</v>
      </c>
      <c r="AC294" s="3">
        <f>VLOOKUP($AB294,'2000 Seattle Tracts'!$C$2:$Y$374,AC$1,FALSE)*$Z294</f>
        <v>958.06949179772732</v>
      </c>
      <c r="AD294" s="3">
        <f>VLOOKUP($AB294,'2000 Seattle Tracts'!$C$2:$Y$374,AD$1,FALSE)*$Z294</f>
        <v>797.20203481341025</v>
      </c>
      <c r="AE294" s="3">
        <f>VLOOKUP($AB294,'2000 Seattle Tracts'!$C$2:$Y$374,AE$1,FALSE)*$Z294</f>
        <v>160.86745698431713</v>
      </c>
      <c r="AF294" s="3">
        <f>VLOOKUP($AB294,'2000 Seattle Tracts'!$C$2:$Y$374,AF$1,FALSE)*$Z294</f>
        <v>958.06949179772732</v>
      </c>
      <c r="AG294" s="3">
        <f>VLOOKUP($AB294,'2000 Seattle Tracts'!$C$2:$Y$374,AG$1,FALSE)*$Z294</f>
        <v>797.20203481341025</v>
      </c>
      <c r="AH294" s="3">
        <f>VLOOKUP($AB294,'2000 Seattle Tracts'!$C$2:$Y$374,AH$1,FALSE)*$Z294</f>
        <v>160.86745698431713</v>
      </c>
      <c r="AI294" s="3">
        <f>VLOOKUP($AB294,'2000 Seattle Tracts'!$C$2:$Y$374,AI$1,FALSE)*$Z294</f>
        <v>657.7403281536192</v>
      </c>
      <c r="AJ294" s="3">
        <f>VLOOKUP($AB294,'2000 Seattle Tracts'!$C$2:$Y$374,AJ$1,FALSE)*$Z294</f>
        <v>51.244068958713925</v>
      </c>
      <c r="AK294" s="3">
        <f>VLOOKUP($AB294,'2000 Seattle Tracts'!$C$2:$Y$374,AK$1,FALSE)*$Z294</f>
        <v>15.892147968208748</v>
      </c>
      <c r="AL294" s="3">
        <f>VLOOKUP($AB294,'2000 Seattle Tracts'!$C$2:$Y$374,AL$1,FALSE)*$Z294</f>
        <v>18.162454820809998</v>
      </c>
      <c r="AM294" s="3">
        <f>VLOOKUP($AB294,'2000 Seattle Tracts'!$C$2:$Y$374,AM$1,FALSE)*$Z294</f>
        <v>45.406137052024995</v>
      </c>
      <c r="AN294" s="3">
        <f>VLOOKUP($AB294,'2000 Seattle Tracts'!$C$2:$Y$374,AN$1,FALSE)*$Z294</f>
        <v>9.4055569607766056</v>
      </c>
      <c r="AO294" s="3">
        <f>VLOOKUP($AB294,'2000 Seattle Tracts'!$C$2:$Y$374,AO$1,FALSE)*$Z294</f>
        <v>11.027204712634642</v>
      </c>
      <c r="AP294" s="3">
        <f>VLOOKUP($AB294,'2000 Seattle Tracts'!$C$2:$Y$374,AP$1,FALSE)*$Z294</f>
        <v>0</v>
      </c>
      <c r="AQ294" s="3">
        <f>VLOOKUP($AB294,'2000 Seattle Tracts'!$C$2:$Y$374,AQ$1,FALSE)*$Z294</f>
        <v>26.595023130471784</v>
      </c>
      <c r="AR294" s="3">
        <f>VLOOKUP($AB294,'2000 Seattle Tracts'!$C$2:$Y$374,AR$1,FALSE)*$Z294</f>
        <v>54.487364462429994</v>
      </c>
      <c r="AS294" s="3">
        <f>VLOOKUP($AB294,'2000 Seattle Tracts'!$C$2:$Y$374,AS$1,FALSE)*$Z294</f>
        <v>2.9189659533444638</v>
      </c>
      <c r="AT294" s="3">
        <f>VLOOKUP($AB294,'2000 Seattle Tracts'!$C$2:$Y$374,AT$1,FALSE)*$Z294</f>
        <v>2.2703068526012498</v>
      </c>
      <c r="AU294" s="3">
        <f>VLOOKUP($AB294,'2000 Seattle Tracts'!$C$2:$Y$374,AU$1,FALSE)*$Z294</f>
        <v>6.8109205578037493</v>
      </c>
      <c r="AV294" s="3">
        <f>VLOOKUP($AB294,'2000 Seattle Tracts'!$C$2:$Y$374,AV$1,FALSE)*$Z294</f>
        <v>15.892147968208748</v>
      </c>
      <c r="AW294" s="3">
        <f>VLOOKUP($AB294,'2000 Seattle Tracts'!$C$2:$Y$374,AW$1,FALSE)*$Z294</f>
        <v>30.811307285302675</v>
      </c>
      <c r="AX294" s="3">
        <f>VLOOKUP($AB294,'2000 Seattle Tracts'!$C$2:$Y$374,AX$1,FALSE)*$Z294</f>
        <v>9.4055569607766056</v>
      </c>
    </row>
    <row r="295" spans="1:50" x14ac:dyDescent="0.25">
      <c r="A295" t="s">
        <v>2917</v>
      </c>
      <c r="B295" t="s">
        <v>2918</v>
      </c>
      <c r="C295" t="s">
        <v>3080</v>
      </c>
      <c r="D295" t="s">
        <v>2554</v>
      </c>
      <c r="E295" t="s">
        <v>2555</v>
      </c>
      <c r="F295" t="s">
        <v>2556</v>
      </c>
      <c r="G295" t="s">
        <v>2920</v>
      </c>
      <c r="H295" t="s">
        <v>2921</v>
      </c>
      <c r="I295">
        <v>366705</v>
      </c>
      <c r="J295">
        <v>0</v>
      </c>
      <c r="K295" t="s">
        <v>3081</v>
      </c>
      <c r="L295" t="s">
        <v>3082</v>
      </c>
      <c r="M295">
        <v>100</v>
      </c>
      <c r="N295">
        <v>26851.947</v>
      </c>
      <c r="O295" t="s">
        <v>201</v>
      </c>
      <c r="P295">
        <v>11</v>
      </c>
      <c r="Q295">
        <v>3</v>
      </c>
      <c r="R295">
        <v>0</v>
      </c>
      <c r="S295">
        <v>30239240</v>
      </c>
      <c r="T295">
        <v>102</v>
      </c>
      <c r="U295">
        <v>151</v>
      </c>
      <c r="V295">
        <v>26851.9474418256</v>
      </c>
      <c r="W295">
        <v>30239240.52129779</v>
      </c>
      <c r="X295">
        <v>21.652999999999999</v>
      </c>
      <c r="Y295">
        <f>VLOOKUP(AB295,'2000 Seattle Tracts'!$C$2:$Z$374,24,FALSE)</f>
        <v>366707.82500000001</v>
      </c>
      <c r="Z295">
        <f t="shared" si="8"/>
        <v>5.9047008336950534E-5</v>
      </c>
      <c r="AA295" t="s">
        <v>204</v>
      </c>
      <c r="AB295" t="str">
        <f t="shared" si="9"/>
        <v>Census Tract 82, King County, Washington</v>
      </c>
      <c r="AC295" s="3">
        <f>VLOOKUP($AB295,'2000 Seattle Tracts'!$C$2:$Y$374,AC$1,FALSE)*$Z295</f>
        <v>0.17442486262735188</v>
      </c>
      <c r="AD295" s="3">
        <f>VLOOKUP($AB295,'2000 Seattle Tracts'!$C$2:$Y$374,AD$1,FALSE)*$Z295</f>
        <v>0.14513754649222441</v>
      </c>
      <c r="AE295" s="3">
        <f>VLOOKUP($AB295,'2000 Seattle Tracts'!$C$2:$Y$374,AE$1,FALSE)*$Z295</f>
        <v>2.9287316135127466E-2</v>
      </c>
      <c r="AF295" s="3">
        <f>VLOOKUP($AB295,'2000 Seattle Tracts'!$C$2:$Y$374,AF$1,FALSE)*$Z295</f>
        <v>0.17442486262735188</v>
      </c>
      <c r="AG295" s="3">
        <f>VLOOKUP($AB295,'2000 Seattle Tracts'!$C$2:$Y$374,AG$1,FALSE)*$Z295</f>
        <v>0.14513754649222441</v>
      </c>
      <c r="AH295" s="3">
        <f>VLOOKUP($AB295,'2000 Seattle Tracts'!$C$2:$Y$374,AH$1,FALSE)*$Z295</f>
        <v>2.9287316135127466E-2</v>
      </c>
      <c r="AI295" s="3">
        <f>VLOOKUP($AB295,'2000 Seattle Tracts'!$C$2:$Y$374,AI$1,FALSE)*$Z295</f>
        <v>0.11974733290733568</v>
      </c>
      <c r="AJ295" s="3">
        <f>VLOOKUP($AB295,'2000 Seattle Tracts'!$C$2:$Y$374,AJ$1,FALSE)*$Z295</f>
        <v>9.3294273172381849E-3</v>
      </c>
      <c r="AK295" s="3">
        <f>VLOOKUP($AB295,'2000 Seattle Tracts'!$C$2:$Y$374,AK$1,FALSE)*$Z295</f>
        <v>2.8933034085105763E-3</v>
      </c>
      <c r="AL295" s="3">
        <f>VLOOKUP($AB295,'2000 Seattle Tracts'!$C$2:$Y$374,AL$1,FALSE)*$Z295</f>
        <v>3.3066324668692298E-3</v>
      </c>
      <c r="AM295" s="3">
        <f>VLOOKUP($AB295,'2000 Seattle Tracts'!$C$2:$Y$374,AM$1,FALSE)*$Z295</f>
        <v>8.2665811671730743E-3</v>
      </c>
      <c r="AN295" s="3">
        <f>VLOOKUP($AB295,'2000 Seattle Tracts'!$C$2:$Y$374,AN$1,FALSE)*$Z295</f>
        <v>1.7123632417715654E-3</v>
      </c>
      <c r="AO295" s="3">
        <f>VLOOKUP($AB295,'2000 Seattle Tracts'!$C$2:$Y$374,AO$1,FALSE)*$Z295</f>
        <v>2.0075982834563181E-3</v>
      </c>
      <c r="AP295" s="3">
        <f>VLOOKUP($AB295,'2000 Seattle Tracts'!$C$2:$Y$374,AP$1,FALSE)*$Z295</f>
        <v>0</v>
      </c>
      <c r="AQ295" s="3">
        <f>VLOOKUP($AB295,'2000 Seattle Tracts'!$C$2:$Y$374,AQ$1,FALSE)*$Z295</f>
        <v>4.8418546836299439E-3</v>
      </c>
      <c r="AR295" s="3">
        <f>VLOOKUP($AB295,'2000 Seattle Tracts'!$C$2:$Y$374,AR$1,FALSE)*$Z295</f>
        <v>9.9198974006076898E-3</v>
      </c>
      <c r="AS295" s="3">
        <f>VLOOKUP($AB295,'2000 Seattle Tracts'!$C$2:$Y$374,AS$1,FALSE)*$Z295</f>
        <v>5.3142307503255477E-4</v>
      </c>
      <c r="AT295" s="3">
        <f>VLOOKUP($AB295,'2000 Seattle Tracts'!$C$2:$Y$374,AT$1,FALSE)*$Z295</f>
        <v>4.1332905835865372E-4</v>
      </c>
      <c r="AU295" s="3">
        <f>VLOOKUP($AB295,'2000 Seattle Tracts'!$C$2:$Y$374,AU$1,FALSE)*$Z295</f>
        <v>1.2399871750759612E-3</v>
      </c>
      <c r="AV295" s="3">
        <f>VLOOKUP($AB295,'2000 Seattle Tracts'!$C$2:$Y$374,AV$1,FALSE)*$Z295</f>
        <v>2.8933034085105763E-3</v>
      </c>
      <c r="AW295" s="3">
        <f>VLOOKUP($AB295,'2000 Seattle Tracts'!$C$2:$Y$374,AW$1,FALSE)*$Z295</f>
        <v>5.6094657920103003E-3</v>
      </c>
      <c r="AX295" s="3">
        <f>VLOOKUP($AB295,'2000 Seattle Tracts'!$C$2:$Y$374,AX$1,FALSE)*$Z295</f>
        <v>1.7123632417715654E-3</v>
      </c>
    </row>
    <row r="296" spans="1:50" x14ac:dyDescent="0.25">
      <c r="A296" t="s">
        <v>2917</v>
      </c>
      <c r="B296" t="s">
        <v>2918</v>
      </c>
      <c r="C296" t="s">
        <v>2930</v>
      </c>
      <c r="D296" t="s">
        <v>2557</v>
      </c>
      <c r="E296" t="s">
        <v>2558</v>
      </c>
      <c r="F296" t="s">
        <v>2559</v>
      </c>
      <c r="G296" t="s">
        <v>2920</v>
      </c>
      <c r="H296" t="s">
        <v>2921</v>
      </c>
      <c r="I296">
        <v>827795</v>
      </c>
      <c r="J296">
        <v>3274388</v>
      </c>
      <c r="K296" t="s">
        <v>3462</v>
      </c>
      <c r="L296" t="s">
        <v>3463</v>
      </c>
      <c r="M296">
        <v>59</v>
      </c>
      <c r="N296">
        <v>7326.5820000000003</v>
      </c>
      <c r="O296" t="s">
        <v>156</v>
      </c>
      <c r="P296">
        <v>13</v>
      </c>
      <c r="Q296">
        <v>11</v>
      </c>
      <c r="R296">
        <v>0</v>
      </c>
      <c r="S296">
        <v>2343359.25</v>
      </c>
      <c r="T296">
        <v>61</v>
      </c>
      <c r="U296">
        <v>201</v>
      </c>
      <c r="V296">
        <v>7326.5817302462356</v>
      </c>
      <c r="W296">
        <v>2343359.3260636888</v>
      </c>
      <c r="X296">
        <v>148947.63800000001</v>
      </c>
      <c r="Y296">
        <f>VLOOKUP(AB296,'2000 Seattle Tracts'!$C$2:$Z$374,24,FALSE)</f>
        <v>795075.62</v>
      </c>
      <c r="Z296">
        <f t="shared" si="8"/>
        <v>0.18733770002908656</v>
      </c>
      <c r="AA296" t="s">
        <v>155</v>
      </c>
      <c r="AB296" t="str">
        <f t="shared" si="9"/>
        <v>Census Tract 81, King County, Washington</v>
      </c>
      <c r="AC296" s="3">
        <f>VLOOKUP($AB296,'2000 Seattle Tracts'!$C$2:$Y$374,AC$1,FALSE)*$Z296</f>
        <v>648.37577980066862</v>
      </c>
      <c r="AD296" s="3">
        <f>VLOOKUP($AB296,'2000 Seattle Tracts'!$C$2:$Y$374,AD$1,FALSE)*$Z296</f>
        <v>547.21342178496184</v>
      </c>
      <c r="AE296" s="3">
        <f>VLOOKUP($AB296,'2000 Seattle Tracts'!$C$2:$Y$374,AE$1,FALSE)*$Z296</f>
        <v>101.16235801570674</v>
      </c>
      <c r="AF296" s="3">
        <f>VLOOKUP($AB296,'2000 Seattle Tracts'!$C$2:$Y$374,AF$1,FALSE)*$Z296</f>
        <v>648.37577980066862</v>
      </c>
      <c r="AG296" s="3">
        <f>VLOOKUP($AB296,'2000 Seattle Tracts'!$C$2:$Y$374,AG$1,FALSE)*$Z296</f>
        <v>547.21342178496184</v>
      </c>
      <c r="AH296" s="3">
        <f>VLOOKUP($AB296,'2000 Seattle Tracts'!$C$2:$Y$374,AH$1,FALSE)*$Z296</f>
        <v>101.16235801570674</v>
      </c>
      <c r="AI296" s="3">
        <f>VLOOKUP($AB296,'2000 Seattle Tracts'!$C$2:$Y$374,AI$1,FALSE)*$Z296</f>
        <v>411.95560236396136</v>
      </c>
      <c r="AJ296" s="3">
        <f>VLOOKUP($AB296,'2000 Seattle Tracts'!$C$2:$Y$374,AJ$1,FALSE)*$Z296</f>
        <v>37.467540005817312</v>
      </c>
      <c r="AK296" s="3">
        <f>VLOOKUP($AB296,'2000 Seattle Tracts'!$C$2:$Y$374,AK$1,FALSE)*$Z296</f>
        <v>18.54643230287957</v>
      </c>
      <c r="AL296" s="3">
        <f>VLOOKUP($AB296,'2000 Seattle Tracts'!$C$2:$Y$374,AL$1,FALSE)*$Z296</f>
        <v>1.6860393002617791</v>
      </c>
      <c r="AM296" s="3">
        <f>VLOOKUP($AB296,'2000 Seattle Tracts'!$C$2:$Y$374,AM$1,FALSE)*$Z296</f>
        <v>70.251637510907457</v>
      </c>
      <c r="AN296" s="3">
        <f>VLOOKUP($AB296,'2000 Seattle Tracts'!$C$2:$Y$374,AN$1,FALSE)*$Z296</f>
        <v>6.9314949010762028</v>
      </c>
      <c r="AO296" s="3">
        <f>VLOOKUP($AB296,'2000 Seattle Tracts'!$C$2:$Y$374,AO$1,FALSE)*$Z296</f>
        <v>9.9288981015415878</v>
      </c>
      <c r="AP296" s="3">
        <f>VLOOKUP($AB296,'2000 Seattle Tracts'!$C$2:$Y$374,AP$1,FALSE)*$Z296</f>
        <v>3.3720786005235581</v>
      </c>
      <c r="AQ296" s="3">
        <f>VLOOKUP($AB296,'2000 Seattle Tracts'!$C$2:$Y$374,AQ$1,FALSE)*$Z296</f>
        <v>7.4935080011634625</v>
      </c>
      <c r="AR296" s="3">
        <f>VLOOKUP($AB296,'2000 Seattle Tracts'!$C$2:$Y$374,AR$1,FALSE)*$Z296</f>
        <v>37.092864605759139</v>
      </c>
      <c r="AS296" s="3">
        <f>VLOOKUP($AB296,'2000 Seattle Tracts'!$C$2:$Y$374,AS$1,FALSE)*$Z296</f>
        <v>0</v>
      </c>
      <c r="AT296" s="3">
        <f>VLOOKUP($AB296,'2000 Seattle Tracts'!$C$2:$Y$374,AT$1,FALSE)*$Z296</f>
        <v>0</v>
      </c>
      <c r="AU296" s="3">
        <f>VLOOKUP($AB296,'2000 Seattle Tracts'!$C$2:$Y$374,AU$1,FALSE)*$Z296</f>
        <v>5.8074687009016834</v>
      </c>
      <c r="AV296" s="3">
        <f>VLOOKUP($AB296,'2000 Seattle Tracts'!$C$2:$Y$374,AV$1,FALSE)*$Z296</f>
        <v>10.678248901657934</v>
      </c>
      <c r="AW296" s="3">
        <f>VLOOKUP($AB296,'2000 Seattle Tracts'!$C$2:$Y$374,AW$1,FALSE)*$Z296</f>
        <v>23.229874803606734</v>
      </c>
      <c r="AX296" s="3">
        <f>VLOOKUP($AB296,'2000 Seattle Tracts'!$C$2:$Y$374,AX$1,FALSE)*$Z296</f>
        <v>3.9340917006108178</v>
      </c>
    </row>
    <row r="297" spans="1:50" x14ac:dyDescent="0.25">
      <c r="A297" t="s">
        <v>2917</v>
      </c>
      <c r="B297" t="s">
        <v>2918</v>
      </c>
      <c r="C297" t="s">
        <v>2930</v>
      </c>
      <c r="D297" t="s">
        <v>2557</v>
      </c>
      <c r="E297" t="s">
        <v>2558</v>
      </c>
      <c r="F297" t="s">
        <v>2559</v>
      </c>
      <c r="G297" t="s">
        <v>2920</v>
      </c>
      <c r="H297" t="s">
        <v>2921</v>
      </c>
      <c r="I297">
        <v>827795</v>
      </c>
      <c r="J297">
        <v>3274388</v>
      </c>
      <c r="K297" t="s">
        <v>3462</v>
      </c>
      <c r="L297" t="s">
        <v>3463</v>
      </c>
      <c r="M297">
        <v>60</v>
      </c>
      <c r="N297">
        <v>21967.599999999999</v>
      </c>
      <c r="O297" t="s">
        <v>156</v>
      </c>
      <c r="P297">
        <v>13</v>
      </c>
      <c r="Q297">
        <v>11</v>
      </c>
      <c r="R297">
        <v>81</v>
      </c>
      <c r="S297">
        <v>14974037</v>
      </c>
      <c r="T297">
        <v>62</v>
      </c>
      <c r="U297">
        <v>156</v>
      </c>
      <c r="V297">
        <v>21967.599459922661</v>
      </c>
      <c r="W297">
        <v>14974037.0994289</v>
      </c>
      <c r="X297">
        <v>593.60400000000004</v>
      </c>
      <c r="Y297">
        <f>VLOOKUP(AB297,'2000 Seattle Tracts'!$C$2:$Z$374,24,FALSE)</f>
        <v>795075.62</v>
      </c>
      <c r="Z297">
        <f t="shared" si="8"/>
        <v>7.4660068183199986E-4</v>
      </c>
      <c r="AA297" t="s">
        <v>157</v>
      </c>
      <c r="AB297" t="str">
        <f t="shared" si="9"/>
        <v>Census Tract 81, King County, Washington</v>
      </c>
      <c r="AC297" s="3">
        <f>VLOOKUP($AB297,'2000 Seattle Tracts'!$C$2:$Y$374,AC$1,FALSE)*$Z297</f>
        <v>2.5839849598205515</v>
      </c>
      <c r="AD297" s="3">
        <f>VLOOKUP($AB297,'2000 Seattle Tracts'!$C$2:$Y$374,AD$1,FALSE)*$Z297</f>
        <v>2.1808205916312717</v>
      </c>
      <c r="AE297" s="3">
        <f>VLOOKUP($AB297,'2000 Seattle Tracts'!$C$2:$Y$374,AE$1,FALSE)*$Z297</f>
        <v>0.40316436818927992</v>
      </c>
      <c r="AF297" s="3">
        <f>VLOOKUP($AB297,'2000 Seattle Tracts'!$C$2:$Y$374,AF$1,FALSE)*$Z297</f>
        <v>2.5839849598205515</v>
      </c>
      <c r="AG297" s="3">
        <f>VLOOKUP($AB297,'2000 Seattle Tracts'!$C$2:$Y$374,AG$1,FALSE)*$Z297</f>
        <v>2.1808205916312717</v>
      </c>
      <c r="AH297" s="3">
        <f>VLOOKUP($AB297,'2000 Seattle Tracts'!$C$2:$Y$374,AH$1,FALSE)*$Z297</f>
        <v>0.40316436818927992</v>
      </c>
      <c r="AI297" s="3">
        <f>VLOOKUP($AB297,'2000 Seattle Tracts'!$C$2:$Y$374,AI$1,FALSE)*$Z297</f>
        <v>1.6417748993485677</v>
      </c>
      <c r="AJ297" s="3">
        <f>VLOOKUP($AB297,'2000 Seattle Tracts'!$C$2:$Y$374,AJ$1,FALSE)*$Z297</f>
        <v>0.14932013636639999</v>
      </c>
      <c r="AK297" s="3">
        <f>VLOOKUP($AB297,'2000 Seattle Tracts'!$C$2:$Y$374,AK$1,FALSE)*$Z297</f>
        <v>7.3913467501367985E-2</v>
      </c>
      <c r="AL297" s="3">
        <f>VLOOKUP($AB297,'2000 Seattle Tracts'!$C$2:$Y$374,AL$1,FALSE)*$Z297</f>
        <v>6.7194061364879987E-3</v>
      </c>
      <c r="AM297" s="3">
        <f>VLOOKUP($AB297,'2000 Seattle Tracts'!$C$2:$Y$374,AM$1,FALSE)*$Z297</f>
        <v>0.27997525568699994</v>
      </c>
      <c r="AN297" s="3">
        <f>VLOOKUP($AB297,'2000 Seattle Tracts'!$C$2:$Y$374,AN$1,FALSE)*$Z297</f>
        <v>2.7624225227783995E-2</v>
      </c>
      <c r="AO297" s="3">
        <f>VLOOKUP($AB297,'2000 Seattle Tracts'!$C$2:$Y$374,AO$1,FALSE)*$Z297</f>
        <v>3.9569836137095991E-2</v>
      </c>
      <c r="AP297" s="3">
        <f>VLOOKUP($AB297,'2000 Seattle Tracts'!$C$2:$Y$374,AP$1,FALSE)*$Z297</f>
        <v>1.3438812272975997E-2</v>
      </c>
      <c r="AQ297" s="3">
        <f>VLOOKUP($AB297,'2000 Seattle Tracts'!$C$2:$Y$374,AQ$1,FALSE)*$Z297</f>
        <v>2.9864027273279994E-2</v>
      </c>
      <c r="AR297" s="3">
        <f>VLOOKUP($AB297,'2000 Seattle Tracts'!$C$2:$Y$374,AR$1,FALSE)*$Z297</f>
        <v>0.14782693500273597</v>
      </c>
      <c r="AS297" s="3">
        <f>VLOOKUP($AB297,'2000 Seattle Tracts'!$C$2:$Y$374,AS$1,FALSE)*$Z297</f>
        <v>0</v>
      </c>
      <c r="AT297" s="3">
        <f>VLOOKUP($AB297,'2000 Seattle Tracts'!$C$2:$Y$374,AT$1,FALSE)*$Z297</f>
        <v>0</v>
      </c>
      <c r="AU297" s="3">
        <f>VLOOKUP($AB297,'2000 Seattle Tracts'!$C$2:$Y$374,AU$1,FALSE)*$Z297</f>
        <v>2.3144621136791995E-2</v>
      </c>
      <c r="AV297" s="3">
        <f>VLOOKUP($AB297,'2000 Seattle Tracts'!$C$2:$Y$374,AV$1,FALSE)*$Z297</f>
        <v>4.2556238864423994E-2</v>
      </c>
      <c r="AW297" s="3">
        <f>VLOOKUP($AB297,'2000 Seattle Tracts'!$C$2:$Y$374,AW$1,FALSE)*$Z297</f>
        <v>9.257848454716798E-2</v>
      </c>
      <c r="AX297" s="3">
        <f>VLOOKUP($AB297,'2000 Seattle Tracts'!$C$2:$Y$374,AX$1,FALSE)*$Z297</f>
        <v>1.5678614318471996E-2</v>
      </c>
    </row>
    <row r="298" spans="1:50" x14ac:dyDescent="0.25">
      <c r="A298" t="s">
        <v>2917</v>
      </c>
      <c r="B298" t="s">
        <v>2918</v>
      </c>
      <c r="C298" t="s">
        <v>2930</v>
      </c>
      <c r="D298" t="s">
        <v>2557</v>
      </c>
      <c r="E298" t="s">
        <v>2558</v>
      </c>
      <c r="F298" t="s">
        <v>2559</v>
      </c>
      <c r="G298" t="s">
        <v>2920</v>
      </c>
      <c r="H298" t="s">
        <v>2921</v>
      </c>
      <c r="I298">
        <v>827795</v>
      </c>
      <c r="J298">
        <v>3274388</v>
      </c>
      <c r="K298" t="s">
        <v>3462</v>
      </c>
      <c r="L298" t="s">
        <v>3463</v>
      </c>
      <c r="M298">
        <v>62</v>
      </c>
      <c r="N298">
        <v>18209.463</v>
      </c>
      <c r="O298" t="s">
        <v>156</v>
      </c>
      <c r="P298">
        <v>13</v>
      </c>
      <c r="Q298">
        <v>11</v>
      </c>
      <c r="R298">
        <v>95</v>
      </c>
      <c r="S298">
        <v>9477399</v>
      </c>
      <c r="T298">
        <v>64</v>
      </c>
      <c r="U298">
        <v>159</v>
      </c>
      <c r="V298">
        <v>18209.462862458811</v>
      </c>
      <c r="W298">
        <v>9477398.6185622383</v>
      </c>
      <c r="X298">
        <v>522430.73200000002</v>
      </c>
      <c r="Y298">
        <f>VLOOKUP(AB298,'2000 Seattle Tracts'!$C$2:$Z$374,24,FALSE)</f>
        <v>795075.62</v>
      </c>
      <c r="Z298">
        <f t="shared" si="8"/>
        <v>0.65708307343143035</v>
      </c>
      <c r="AA298" t="s">
        <v>159</v>
      </c>
      <c r="AB298" t="str">
        <f t="shared" si="9"/>
        <v>Census Tract 81, King County, Washington</v>
      </c>
      <c r="AC298" s="3">
        <f>VLOOKUP($AB298,'2000 Seattle Tracts'!$C$2:$Y$374,AC$1,FALSE)*$Z298</f>
        <v>2274.1645171461805</v>
      </c>
      <c r="AD298" s="3">
        <f>VLOOKUP($AB298,'2000 Seattle Tracts'!$C$2:$Y$374,AD$1,FALSE)*$Z298</f>
        <v>1919.3396574932081</v>
      </c>
      <c r="AE298" s="3">
        <f>VLOOKUP($AB298,'2000 Seattle Tracts'!$C$2:$Y$374,AE$1,FALSE)*$Z298</f>
        <v>354.82485965297241</v>
      </c>
      <c r="AF298" s="3">
        <f>VLOOKUP($AB298,'2000 Seattle Tracts'!$C$2:$Y$374,AF$1,FALSE)*$Z298</f>
        <v>2274.1645171461805</v>
      </c>
      <c r="AG298" s="3">
        <f>VLOOKUP($AB298,'2000 Seattle Tracts'!$C$2:$Y$374,AG$1,FALSE)*$Z298</f>
        <v>1919.3396574932081</v>
      </c>
      <c r="AH298" s="3">
        <f>VLOOKUP($AB298,'2000 Seattle Tracts'!$C$2:$Y$374,AH$1,FALSE)*$Z298</f>
        <v>354.82485965297241</v>
      </c>
      <c r="AI298" s="3">
        <f>VLOOKUP($AB298,'2000 Seattle Tracts'!$C$2:$Y$374,AI$1,FALSE)*$Z298</f>
        <v>1444.9256784757154</v>
      </c>
      <c r="AJ298" s="3">
        <f>VLOOKUP($AB298,'2000 Seattle Tracts'!$C$2:$Y$374,AJ$1,FALSE)*$Z298</f>
        <v>131.41661468628607</v>
      </c>
      <c r="AK298" s="3">
        <f>VLOOKUP($AB298,'2000 Seattle Tracts'!$C$2:$Y$374,AK$1,FALSE)*$Z298</f>
        <v>65.051224269711611</v>
      </c>
      <c r="AL298" s="3">
        <f>VLOOKUP($AB298,'2000 Seattle Tracts'!$C$2:$Y$374,AL$1,FALSE)*$Z298</f>
        <v>5.9137476608828727</v>
      </c>
      <c r="AM298" s="3">
        <f>VLOOKUP($AB298,'2000 Seattle Tracts'!$C$2:$Y$374,AM$1,FALSE)*$Z298</f>
        <v>246.40615253678638</v>
      </c>
      <c r="AN298" s="3">
        <f>VLOOKUP($AB298,'2000 Seattle Tracts'!$C$2:$Y$374,AN$1,FALSE)*$Z298</f>
        <v>24.312073716962924</v>
      </c>
      <c r="AO298" s="3">
        <f>VLOOKUP($AB298,'2000 Seattle Tracts'!$C$2:$Y$374,AO$1,FALSE)*$Z298</f>
        <v>34.825402891865807</v>
      </c>
      <c r="AP298" s="3">
        <f>VLOOKUP($AB298,'2000 Seattle Tracts'!$C$2:$Y$374,AP$1,FALSE)*$Z298</f>
        <v>11.827495321765745</v>
      </c>
      <c r="AQ298" s="3">
        <f>VLOOKUP($AB298,'2000 Seattle Tracts'!$C$2:$Y$374,AQ$1,FALSE)*$Z298</f>
        <v>26.283322937257214</v>
      </c>
      <c r="AR298" s="3">
        <f>VLOOKUP($AB298,'2000 Seattle Tracts'!$C$2:$Y$374,AR$1,FALSE)*$Z298</f>
        <v>130.10244853942322</v>
      </c>
      <c r="AS298" s="3">
        <f>VLOOKUP($AB298,'2000 Seattle Tracts'!$C$2:$Y$374,AS$1,FALSE)*$Z298</f>
        <v>0</v>
      </c>
      <c r="AT298" s="3">
        <f>VLOOKUP($AB298,'2000 Seattle Tracts'!$C$2:$Y$374,AT$1,FALSE)*$Z298</f>
        <v>0</v>
      </c>
      <c r="AU298" s="3">
        <f>VLOOKUP($AB298,'2000 Seattle Tracts'!$C$2:$Y$374,AU$1,FALSE)*$Z298</f>
        <v>20.369575276374341</v>
      </c>
      <c r="AV298" s="3">
        <f>VLOOKUP($AB298,'2000 Seattle Tracts'!$C$2:$Y$374,AV$1,FALSE)*$Z298</f>
        <v>37.453735185591533</v>
      </c>
      <c r="AW298" s="3">
        <f>VLOOKUP($AB298,'2000 Seattle Tracts'!$C$2:$Y$374,AW$1,FALSE)*$Z298</f>
        <v>81.478301105497366</v>
      </c>
      <c r="AX298" s="3">
        <f>VLOOKUP($AB298,'2000 Seattle Tracts'!$C$2:$Y$374,AX$1,FALSE)*$Z298</f>
        <v>13.798744542060037</v>
      </c>
    </row>
    <row r="299" spans="1:50" x14ac:dyDescent="0.25">
      <c r="A299" t="s">
        <v>2917</v>
      </c>
      <c r="B299" t="s">
        <v>2918</v>
      </c>
      <c r="C299" t="s">
        <v>2930</v>
      </c>
      <c r="D299" t="s">
        <v>2557</v>
      </c>
      <c r="E299" t="s">
        <v>2558</v>
      </c>
      <c r="F299" t="s">
        <v>2559</v>
      </c>
      <c r="G299" t="s">
        <v>2920</v>
      </c>
      <c r="H299" t="s">
        <v>2921</v>
      </c>
      <c r="I299">
        <v>827795</v>
      </c>
      <c r="J299">
        <v>3274388</v>
      </c>
      <c r="K299" t="s">
        <v>3462</v>
      </c>
      <c r="L299" t="s">
        <v>3463</v>
      </c>
      <c r="M299">
        <v>65</v>
      </c>
      <c r="N299">
        <v>19289.812999999998</v>
      </c>
      <c r="O299" t="s">
        <v>156</v>
      </c>
      <c r="P299">
        <v>13</v>
      </c>
      <c r="Q299">
        <v>11</v>
      </c>
      <c r="R299">
        <v>33</v>
      </c>
      <c r="S299">
        <v>11474029</v>
      </c>
      <c r="T299">
        <v>67</v>
      </c>
      <c r="U299">
        <v>163</v>
      </c>
      <c r="V299">
        <v>19289.812175002899</v>
      </c>
      <c r="W299">
        <v>11474028.647624191</v>
      </c>
      <c r="X299">
        <v>122402.36900000001</v>
      </c>
      <c r="Y299">
        <f>VLOOKUP(AB299,'2000 Seattle Tracts'!$C$2:$Z$374,24,FALSE)</f>
        <v>795075.62</v>
      </c>
      <c r="Z299">
        <f t="shared" si="8"/>
        <v>0.15395060032151409</v>
      </c>
      <c r="AA299" t="s">
        <v>162</v>
      </c>
      <c r="AB299" t="str">
        <f t="shared" si="9"/>
        <v>Census Tract 81, King County, Washington</v>
      </c>
      <c r="AC299" s="3">
        <f>VLOOKUP($AB299,'2000 Seattle Tracts'!$C$2:$Y$374,AC$1,FALSE)*$Z299</f>
        <v>532.82302771276022</v>
      </c>
      <c r="AD299" s="3">
        <f>VLOOKUP($AB299,'2000 Seattle Tracts'!$C$2:$Y$374,AD$1,FALSE)*$Z299</f>
        <v>449.68970353914267</v>
      </c>
      <c r="AE299" s="3">
        <f>VLOOKUP($AB299,'2000 Seattle Tracts'!$C$2:$Y$374,AE$1,FALSE)*$Z299</f>
        <v>83.133324173617609</v>
      </c>
      <c r="AF299" s="3">
        <f>VLOOKUP($AB299,'2000 Seattle Tracts'!$C$2:$Y$374,AF$1,FALSE)*$Z299</f>
        <v>532.82302771276022</v>
      </c>
      <c r="AG299" s="3">
        <f>VLOOKUP($AB299,'2000 Seattle Tracts'!$C$2:$Y$374,AG$1,FALSE)*$Z299</f>
        <v>449.68970353914267</v>
      </c>
      <c r="AH299" s="3">
        <f>VLOOKUP($AB299,'2000 Seattle Tracts'!$C$2:$Y$374,AH$1,FALSE)*$Z299</f>
        <v>83.133324173617609</v>
      </c>
      <c r="AI299" s="3">
        <f>VLOOKUP($AB299,'2000 Seattle Tracts'!$C$2:$Y$374,AI$1,FALSE)*$Z299</f>
        <v>338.53737010700945</v>
      </c>
      <c r="AJ299" s="3">
        <f>VLOOKUP($AB299,'2000 Seattle Tracts'!$C$2:$Y$374,AJ$1,FALSE)*$Z299</f>
        <v>30.790120064302819</v>
      </c>
      <c r="AK299" s="3">
        <f>VLOOKUP($AB299,'2000 Seattle Tracts'!$C$2:$Y$374,AK$1,FALSE)*$Z299</f>
        <v>15.241109431829894</v>
      </c>
      <c r="AL299" s="3">
        <f>VLOOKUP($AB299,'2000 Seattle Tracts'!$C$2:$Y$374,AL$1,FALSE)*$Z299</f>
        <v>1.3855554028936268</v>
      </c>
      <c r="AM299" s="3">
        <f>VLOOKUP($AB299,'2000 Seattle Tracts'!$C$2:$Y$374,AM$1,FALSE)*$Z299</f>
        <v>57.731475120567779</v>
      </c>
      <c r="AN299" s="3">
        <f>VLOOKUP($AB299,'2000 Seattle Tracts'!$C$2:$Y$374,AN$1,FALSE)*$Z299</f>
        <v>5.6961722118960214</v>
      </c>
      <c r="AO299" s="3">
        <f>VLOOKUP($AB299,'2000 Seattle Tracts'!$C$2:$Y$374,AO$1,FALSE)*$Z299</f>
        <v>8.1593818170402468</v>
      </c>
      <c r="AP299" s="3">
        <f>VLOOKUP($AB299,'2000 Seattle Tracts'!$C$2:$Y$374,AP$1,FALSE)*$Z299</f>
        <v>2.7711108057872536</v>
      </c>
      <c r="AQ299" s="3">
        <f>VLOOKUP($AB299,'2000 Seattle Tracts'!$C$2:$Y$374,AQ$1,FALSE)*$Z299</f>
        <v>6.1580240128605634</v>
      </c>
      <c r="AR299" s="3">
        <f>VLOOKUP($AB299,'2000 Seattle Tracts'!$C$2:$Y$374,AR$1,FALSE)*$Z299</f>
        <v>30.482218863659789</v>
      </c>
      <c r="AS299" s="3">
        <f>VLOOKUP($AB299,'2000 Seattle Tracts'!$C$2:$Y$374,AS$1,FALSE)*$Z299</f>
        <v>0</v>
      </c>
      <c r="AT299" s="3">
        <f>VLOOKUP($AB299,'2000 Seattle Tracts'!$C$2:$Y$374,AT$1,FALSE)*$Z299</f>
        <v>0</v>
      </c>
      <c r="AU299" s="3">
        <f>VLOOKUP($AB299,'2000 Seattle Tracts'!$C$2:$Y$374,AU$1,FALSE)*$Z299</f>
        <v>4.7724686099669364</v>
      </c>
      <c r="AV299" s="3">
        <f>VLOOKUP($AB299,'2000 Seattle Tracts'!$C$2:$Y$374,AV$1,FALSE)*$Z299</f>
        <v>8.7751842183263022</v>
      </c>
      <c r="AW299" s="3">
        <f>VLOOKUP($AB299,'2000 Seattle Tracts'!$C$2:$Y$374,AW$1,FALSE)*$Z299</f>
        <v>19.089874439867746</v>
      </c>
      <c r="AX299" s="3">
        <f>VLOOKUP($AB299,'2000 Seattle Tracts'!$C$2:$Y$374,AX$1,FALSE)*$Z299</f>
        <v>3.232962606751796</v>
      </c>
    </row>
    <row r="300" spans="1:50" x14ac:dyDescent="0.25">
      <c r="A300" t="s">
        <v>2917</v>
      </c>
      <c r="B300" t="s">
        <v>2918</v>
      </c>
      <c r="C300" t="s">
        <v>3008</v>
      </c>
      <c r="D300" t="s">
        <v>2560</v>
      </c>
      <c r="E300" t="s">
        <v>2561</v>
      </c>
      <c r="F300" t="s">
        <v>2562</v>
      </c>
      <c r="G300" t="s">
        <v>2920</v>
      </c>
      <c r="H300" t="s">
        <v>2921</v>
      </c>
      <c r="I300">
        <v>229060</v>
      </c>
      <c r="J300">
        <v>0</v>
      </c>
      <c r="K300" t="s">
        <v>3009</v>
      </c>
      <c r="L300" t="s">
        <v>3010</v>
      </c>
      <c r="M300">
        <v>59</v>
      </c>
      <c r="N300">
        <v>7326.5820000000003</v>
      </c>
      <c r="O300" t="s">
        <v>156</v>
      </c>
      <c r="P300">
        <v>13</v>
      </c>
      <c r="Q300">
        <v>11</v>
      </c>
      <c r="R300">
        <v>0</v>
      </c>
      <c r="S300">
        <v>2343359.25</v>
      </c>
      <c r="T300">
        <v>61</v>
      </c>
      <c r="U300">
        <v>201</v>
      </c>
      <c r="V300">
        <v>7326.5817302462356</v>
      </c>
      <c r="W300">
        <v>2343359.3260636888</v>
      </c>
      <c r="X300">
        <v>52722.483999999997</v>
      </c>
      <c r="Y300">
        <f>VLOOKUP(AB300,'2000 Seattle Tracts'!$C$2:$Z$374,24,FALSE)</f>
        <v>229060.647</v>
      </c>
      <c r="Z300">
        <f t="shared" si="8"/>
        <v>0.23016823138546361</v>
      </c>
      <c r="AA300" t="s">
        <v>155</v>
      </c>
      <c r="AB300" t="str">
        <f t="shared" si="9"/>
        <v>Census Tract 80.02, King County, Washington</v>
      </c>
      <c r="AC300" s="3">
        <f>VLOOKUP($AB300,'2000 Seattle Tracts'!$C$2:$Y$374,AC$1,FALSE)*$Z300</f>
        <v>623.98607528599189</v>
      </c>
      <c r="AD300" s="3">
        <f>VLOOKUP($AB300,'2000 Seattle Tracts'!$C$2:$Y$374,AD$1,FALSE)*$Z300</f>
        <v>534.45063327704645</v>
      </c>
      <c r="AE300" s="3">
        <f>VLOOKUP($AB300,'2000 Seattle Tracts'!$C$2:$Y$374,AE$1,FALSE)*$Z300</f>
        <v>89.535442008945338</v>
      </c>
      <c r="AF300" s="3">
        <f>VLOOKUP($AB300,'2000 Seattle Tracts'!$C$2:$Y$374,AF$1,FALSE)*$Z300</f>
        <v>623.98607528599189</v>
      </c>
      <c r="AG300" s="3">
        <f>VLOOKUP($AB300,'2000 Seattle Tracts'!$C$2:$Y$374,AG$1,FALSE)*$Z300</f>
        <v>534.45063327704645</v>
      </c>
      <c r="AH300" s="3">
        <f>VLOOKUP($AB300,'2000 Seattle Tracts'!$C$2:$Y$374,AH$1,FALSE)*$Z300</f>
        <v>89.535442008945338</v>
      </c>
      <c r="AI300" s="3">
        <f>VLOOKUP($AB300,'2000 Seattle Tracts'!$C$2:$Y$374,AI$1,FALSE)*$Z300</f>
        <v>403.48490961871772</v>
      </c>
      <c r="AJ300" s="3">
        <f>VLOOKUP($AB300,'2000 Seattle Tracts'!$C$2:$Y$374,AJ$1,FALSE)*$Z300</f>
        <v>33.834730013663147</v>
      </c>
      <c r="AK300" s="3">
        <f>VLOOKUP($AB300,'2000 Seattle Tracts'!$C$2:$Y$374,AK$1,FALSE)*$Z300</f>
        <v>2.3016823138546361</v>
      </c>
      <c r="AL300" s="3">
        <f>VLOOKUP($AB300,'2000 Seattle Tracts'!$C$2:$Y$374,AL$1,FALSE)*$Z300</f>
        <v>0</v>
      </c>
      <c r="AM300" s="3">
        <f>VLOOKUP($AB300,'2000 Seattle Tracts'!$C$2:$Y$374,AM$1,FALSE)*$Z300</f>
        <v>70.661647035337324</v>
      </c>
      <c r="AN300" s="3">
        <f>VLOOKUP($AB300,'2000 Seattle Tracts'!$C$2:$Y$374,AN$1,FALSE)*$Z300</f>
        <v>5.2938693218656629</v>
      </c>
      <c r="AO300" s="3">
        <f>VLOOKUP($AB300,'2000 Seattle Tracts'!$C$2:$Y$374,AO$1,FALSE)*$Z300</f>
        <v>14.040262114513279</v>
      </c>
      <c r="AP300" s="3">
        <f>VLOOKUP($AB300,'2000 Seattle Tracts'!$C$2:$Y$374,AP$1,FALSE)*$Z300</f>
        <v>0</v>
      </c>
      <c r="AQ300" s="3">
        <f>VLOOKUP($AB300,'2000 Seattle Tracts'!$C$2:$Y$374,AQ$1,FALSE)*$Z300</f>
        <v>17.032449122524305</v>
      </c>
      <c r="AR300" s="3">
        <f>VLOOKUP($AB300,'2000 Seattle Tracts'!$C$2:$Y$374,AR$1,FALSE)*$Z300</f>
        <v>37.287253484445102</v>
      </c>
      <c r="AS300" s="3">
        <f>VLOOKUP($AB300,'2000 Seattle Tracts'!$C$2:$Y$374,AS$1,FALSE)*$Z300</f>
        <v>0</v>
      </c>
      <c r="AT300" s="3">
        <f>VLOOKUP($AB300,'2000 Seattle Tracts'!$C$2:$Y$374,AT$1,FALSE)*$Z300</f>
        <v>0</v>
      </c>
      <c r="AU300" s="3">
        <f>VLOOKUP($AB300,'2000 Seattle Tracts'!$C$2:$Y$374,AU$1,FALSE)*$Z300</f>
        <v>2.7620187766255633</v>
      </c>
      <c r="AV300" s="3">
        <f>VLOOKUP($AB300,'2000 Seattle Tracts'!$C$2:$Y$374,AV$1,FALSE)*$Z300</f>
        <v>8.0558880984912271</v>
      </c>
      <c r="AW300" s="3">
        <f>VLOOKUP($AB300,'2000 Seattle Tracts'!$C$2:$Y$374,AW$1,FALSE)*$Z300</f>
        <v>24.167664295473678</v>
      </c>
      <c r="AX300" s="3">
        <f>VLOOKUP($AB300,'2000 Seattle Tracts'!$C$2:$Y$374,AX$1,FALSE)*$Z300</f>
        <v>5.0637010904801993</v>
      </c>
    </row>
    <row r="301" spans="1:50" x14ac:dyDescent="0.25">
      <c r="A301" t="s">
        <v>2917</v>
      </c>
      <c r="B301" t="s">
        <v>2918</v>
      </c>
      <c r="C301" t="s">
        <v>3008</v>
      </c>
      <c r="D301" t="s">
        <v>2560</v>
      </c>
      <c r="E301" t="s">
        <v>2561</v>
      </c>
      <c r="F301" t="s">
        <v>2562</v>
      </c>
      <c r="G301" t="s">
        <v>2920</v>
      </c>
      <c r="H301" t="s">
        <v>2921</v>
      </c>
      <c r="I301">
        <v>229060</v>
      </c>
      <c r="J301">
        <v>0</v>
      </c>
      <c r="K301" t="s">
        <v>3009</v>
      </c>
      <c r="L301" t="s">
        <v>3010</v>
      </c>
      <c r="M301">
        <v>60</v>
      </c>
      <c r="N301">
        <v>21967.599999999999</v>
      </c>
      <c r="O301" t="s">
        <v>156</v>
      </c>
      <c r="P301">
        <v>13</v>
      </c>
      <c r="Q301">
        <v>11</v>
      </c>
      <c r="R301">
        <v>81</v>
      </c>
      <c r="S301">
        <v>14974037</v>
      </c>
      <c r="T301">
        <v>62</v>
      </c>
      <c r="U301">
        <v>156</v>
      </c>
      <c r="V301">
        <v>21967.599459922661</v>
      </c>
      <c r="W301">
        <v>14974037.0994289</v>
      </c>
      <c r="X301">
        <v>176240.89199999999</v>
      </c>
      <c r="Y301">
        <f>VLOOKUP(AB301,'2000 Seattle Tracts'!$C$2:$Z$374,24,FALSE)</f>
        <v>229060.647</v>
      </c>
      <c r="Z301">
        <f t="shared" si="8"/>
        <v>0.76940711688463881</v>
      </c>
      <c r="AA301" t="s">
        <v>157</v>
      </c>
      <c r="AB301" t="str">
        <f t="shared" si="9"/>
        <v>Census Tract 80.02, King County, Washington</v>
      </c>
      <c r="AC301" s="3">
        <f>VLOOKUP($AB301,'2000 Seattle Tracts'!$C$2:$Y$374,AC$1,FALSE)*$Z301</f>
        <v>2085.8626938742559</v>
      </c>
      <c r="AD301" s="3">
        <f>VLOOKUP($AB301,'2000 Seattle Tracts'!$C$2:$Y$374,AD$1,FALSE)*$Z301</f>
        <v>1786.5633254061313</v>
      </c>
      <c r="AE301" s="3">
        <f>VLOOKUP($AB301,'2000 Seattle Tracts'!$C$2:$Y$374,AE$1,FALSE)*$Z301</f>
        <v>299.2993684681245</v>
      </c>
      <c r="AF301" s="3">
        <f>VLOOKUP($AB301,'2000 Seattle Tracts'!$C$2:$Y$374,AF$1,FALSE)*$Z301</f>
        <v>2085.8626938742559</v>
      </c>
      <c r="AG301" s="3">
        <f>VLOOKUP($AB301,'2000 Seattle Tracts'!$C$2:$Y$374,AG$1,FALSE)*$Z301</f>
        <v>1786.5633254061313</v>
      </c>
      <c r="AH301" s="3">
        <f>VLOOKUP($AB301,'2000 Seattle Tracts'!$C$2:$Y$374,AH$1,FALSE)*$Z301</f>
        <v>299.2993684681245</v>
      </c>
      <c r="AI301" s="3">
        <f>VLOOKUP($AB301,'2000 Seattle Tracts'!$C$2:$Y$374,AI$1,FALSE)*$Z301</f>
        <v>1348.7706758987717</v>
      </c>
      <c r="AJ301" s="3">
        <f>VLOOKUP($AB301,'2000 Seattle Tracts'!$C$2:$Y$374,AJ$1,FALSE)*$Z301</f>
        <v>113.1028461820419</v>
      </c>
      <c r="AK301" s="3">
        <f>VLOOKUP($AB301,'2000 Seattle Tracts'!$C$2:$Y$374,AK$1,FALSE)*$Z301</f>
        <v>7.6940711688463885</v>
      </c>
      <c r="AL301" s="3">
        <f>VLOOKUP($AB301,'2000 Seattle Tracts'!$C$2:$Y$374,AL$1,FALSE)*$Z301</f>
        <v>0</v>
      </c>
      <c r="AM301" s="3">
        <f>VLOOKUP($AB301,'2000 Seattle Tracts'!$C$2:$Y$374,AM$1,FALSE)*$Z301</f>
        <v>236.20798488358412</v>
      </c>
      <c r="AN301" s="3">
        <f>VLOOKUP($AB301,'2000 Seattle Tracts'!$C$2:$Y$374,AN$1,FALSE)*$Z301</f>
        <v>17.696363688346693</v>
      </c>
      <c r="AO301" s="3">
        <f>VLOOKUP($AB301,'2000 Seattle Tracts'!$C$2:$Y$374,AO$1,FALSE)*$Z301</f>
        <v>46.933834129962968</v>
      </c>
      <c r="AP301" s="3">
        <f>VLOOKUP($AB301,'2000 Seattle Tracts'!$C$2:$Y$374,AP$1,FALSE)*$Z301</f>
        <v>0</v>
      </c>
      <c r="AQ301" s="3">
        <f>VLOOKUP($AB301,'2000 Seattle Tracts'!$C$2:$Y$374,AQ$1,FALSE)*$Z301</f>
        <v>56.936126649463269</v>
      </c>
      <c r="AR301" s="3">
        <f>VLOOKUP($AB301,'2000 Seattle Tracts'!$C$2:$Y$374,AR$1,FALSE)*$Z301</f>
        <v>124.64395293531149</v>
      </c>
      <c r="AS301" s="3">
        <f>VLOOKUP($AB301,'2000 Seattle Tracts'!$C$2:$Y$374,AS$1,FALSE)*$Z301</f>
        <v>0</v>
      </c>
      <c r="AT301" s="3">
        <f>VLOOKUP($AB301,'2000 Seattle Tracts'!$C$2:$Y$374,AT$1,FALSE)*$Z301</f>
        <v>0</v>
      </c>
      <c r="AU301" s="3">
        <f>VLOOKUP($AB301,'2000 Seattle Tracts'!$C$2:$Y$374,AU$1,FALSE)*$Z301</f>
        <v>9.2328854026156648</v>
      </c>
      <c r="AV301" s="3">
        <f>VLOOKUP($AB301,'2000 Seattle Tracts'!$C$2:$Y$374,AV$1,FALSE)*$Z301</f>
        <v>26.929249090962358</v>
      </c>
      <c r="AW301" s="3">
        <f>VLOOKUP($AB301,'2000 Seattle Tracts'!$C$2:$Y$374,AW$1,FALSE)*$Z301</f>
        <v>80.787747272887074</v>
      </c>
      <c r="AX301" s="3">
        <f>VLOOKUP($AB301,'2000 Seattle Tracts'!$C$2:$Y$374,AX$1,FALSE)*$Z301</f>
        <v>16.926956571462053</v>
      </c>
    </row>
    <row r="302" spans="1:50" x14ac:dyDescent="0.25">
      <c r="A302" t="s">
        <v>2917</v>
      </c>
      <c r="B302" t="s">
        <v>2918</v>
      </c>
      <c r="C302" t="s">
        <v>3008</v>
      </c>
      <c r="D302" t="s">
        <v>2560</v>
      </c>
      <c r="E302" t="s">
        <v>2561</v>
      </c>
      <c r="F302" t="s">
        <v>2562</v>
      </c>
      <c r="G302" t="s">
        <v>2920</v>
      </c>
      <c r="H302" t="s">
        <v>2921</v>
      </c>
      <c r="I302">
        <v>229060</v>
      </c>
      <c r="J302">
        <v>0</v>
      </c>
      <c r="K302" t="s">
        <v>3009</v>
      </c>
      <c r="L302" t="s">
        <v>3010</v>
      </c>
      <c r="M302">
        <v>62</v>
      </c>
      <c r="N302">
        <v>18209.463</v>
      </c>
      <c r="O302" t="s">
        <v>156</v>
      </c>
      <c r="P302">
        <v>13</v>
      </c>
      <c r="Q302">
        <v>11</v>
      </c>
      <c r="R302">
        <v>95</v>
      </c>
      <c r="S302">
        <v>9477399</v>
      </c>
      <c r="T302">
        <v>64</v>
      </c>
      <c r="U302">
        <v>159</v>
      </c>
      <c r="V302">
        <v>18209.462862458811</v>
      </c>
      <c r="W302">
        <v>9477398.6185622383</v>
      </c>
      <c r="X302">
        <v>97.263000000000005</v>
      </c>
      <c r="Y302">
        <f>VLOOKUP(AB302,'2000 Seattle Tracts'!$C$2:$Z$374,24,FALSE)</f>
        <v>229060.647</v>
      </c>
      <c r="Z302">
        <f t="shared" si="8"/>
        <v>4.2461680464911985E-4</v>
      </c>
      <c r="AA302" t="s">
        <v>159</v>
      </c>
      <c r="AB302" t="str">
        <f t="shared" si="9"/>
        <v>Census Tract 80.02, King County, Washington</v>
      </c>
      <c r="AC302" s="3">
        <f>VLOOKUP($AB302,'2000 Seattle Tracts'!$C$2:$Y$374,AC$1,FALSE)*$Z302</f>
        <v>1.151136157403764</v>
      </c>
      <c r="AD302" s="3">
        <f>VLOOKUP($AB302,'2000 Seattle Tracts'!$C$2:$Y$374,AD$1,FALSE)*$Z302</f>
        <v>0.98596022039525633</v>
      </c>
      <c r="AE302" s="3">
        <f>VLOOKUP($AB302,'2000 Seattle Tracts'!$C$2:$Y$374,AE$1,FALSE)*$Z302</f>
        <v>0.16517593700850763</v>
      </c>
      <c r="AF302" s="3">
        <f>VLOOKUP($AB302,'2000 Seattle Tracts'!$C$2:$Y$374,AF$1,FALSE)*$Z302</f>
        <v>1.151136157403764</v>
      </c>
      <c r="AG302" s="3">
        <f>VLOOKUP($AB302,'2000 Seattle Tracts'!$C$2:$Y$374,AG$1,FALSE)*$Z302</f>
        <v>0.98596022039525633</v>
      </c>
      <c r="AH302" s="3">
        <f>VLOOKUP($AB302,'2000 Seattle Tracts'!$C$2:$Y$374,AH$1,FALSE)*$Z302</f>
        <v>0.16517593700850763</v>
      </c>
      <c r="AI302" s="3">
        <f>VLOOKUP($AB302,'2000 Seattle Tracts'!$C$2:$Y$374,AI$1,FALSE)*$Z302</f>
        <v>0.74435325854990708</v>
      </c>
      <c r="AJ302" s="3">
        <f>VLOOKUP($AB302,'2000 Seattle Tracts'!$C$2:$Y$374,AJ$1,FALSE)*$Z302</f>
        <v>6.2418670283420616E-2</v>
      </c>
      <c r="AK302" s="3">
        <f>VLOOKUP($AB302,'2000 Seattle Tracts'!$C$2:$Y$374,AK$1,FALSE)*$Z302</f>
        <v>4.2461680464911987E-3</v>
      </c>
      <c r="AL302" s="3">
        <f>VLOOKUP($AB302,'2000 Seattle Tracts'!$C$2:$Y$374,AL$1,FALSE)*$Z302</f>
        <v>0</v>
      </c>
      <c r="AM302" s="3">
        <f>VLOOKUP($AB302,'2000 Seattle Tracts'!$C$2:$Y$374,AM$1,FALSE)*$Z302</f>
        <v>0.1303573590272798</v>
      </c>
      <c r="AN302" s="3">
        <f>VLOOKUP($AB302,'2000 Seattle Tracts'!$C$2:$Y$374,AN$1,FALSE)*$Z302</f>
        <v>9.7661865069297565E-3</v>
      </c>
      <c r="AO302" s="3">
        <f>VLOOKUP($AB302,'2000 Seattle Tracts'!$C$2:$Y$374,AO$1,FALSE)*$Z302</f>
        <v>2.5901625083596311E-2</v>
      </c>
      <c r="AP302" s="3">
        <f>VLOOKUP($AB302,'2000 Seattle Tracts'!$C$2:$Y$374,AP$1,FALSE)*$Z302</f>
        <v>0</v>
      </c>
      <c r="AQ302" s="3">
        <f>VLOOKUP($AB302,'2000 Seattle Tracts'!$C$2:$Y$374,AQ$1,FALSE)*$Z302</f>
        <v>3.1421643544034872E-2</v>
      </c>
      <c r="AR302" s="3">
        <f>VLOOKUP($AB302,'2000 Seattle Tracts'!$C$2:$Y$374,AR$1,FALSE)*$Z302</f>
        <v>6.8787922353157421E-2</v>
      </c>
      <c r="AS302" s="3">
        <f>VLOOKUP($AB302,'2000 Seattle Tracts'!$C$2:$Y$374,AS$1,FALSE)*$Z302</f>
        <v>0</v>
      </c>
      <c r="AT302" s="3">
        <f>VLOOKUP($AB302,'2000 Seattle Tracts'!$C$2:$Y$374,AT$1,FALSE)*$Z302</f>
        <v>0</v>
      </c>
      <c r="AU302" s="3">
        <f>VLOOKUP($AB302,'2000 Seattle Tracts'!$C$2:$Y$374,AU$1,FALSE)*$Z302</f>
        <v>5.0954016557894378E-3</v>
      </c>
      <c r="AV302" s="3">
        <f>VLOOKUP($AB302,'2000 Seattle Tracts'!$C$2:$Y$374,AV$1,FALSE)*$Z302</f>
        <v>1.4861588162719194E-2</v>
      </c>
      <c r="AW302" s="3">
        <f>VLOOKUP($AB302,'2000 Seattle Tracts'!$C$2:$Y$374,AW$1,FALSE)*$Z302</f>
        <v>4.4584764488157583E-2</v>
      </c>
      <c r="AX302" s="3">
        <f>VLOOKUP($AB302,'2000 Seattle Tracts'!$C$2:$Y$374,AX$1,FALSE)*$Z302</f>
        <v>9.3415697022806374E-3</v>
      </c>
    </row>
    <row r="303" spans="1:50" x14ac:dyDescent="0.25">
      <c r="A303" t="s">
        <v>2917</v>
      </c>
      <c r="B303" t="s">
        <v>2918</v>
      </c>
      <c r="C303" t="s">
        <v>3077</v>
      </c>
      <c r="D303" t="s">
        <v>2563</v>
      </c>
      <c r="E303" t="s">
        <v>2564</v>
      </c>
      <c r="F303" t="s">
        <v>2565</v>
      </c>
      <c r="G303" t="s">
        <v>2920</v>
      </c>
      <c r="H303" t="s">
        <v>2921</v>
      </c>
      <c r="I303">
        <v>493763</v>
      </c>
      <c r="J303">
        <v>3374036</v>
      </c>
      <c r="K303" t="s">
        <v>3464</v>
      </c>
      <c r="L303" t="s">
        <v>3465</v>
      </c>
      <c r="M303">
        <v>45</v>
      </c>
      <c r="N303">
        <v>20496.728999999999</v>
      </c>
      <c r="O303" t="s">
        <v>136</v>
      </c>
      <c r="P303">
        <v>10</v>
      </c>
      <c r="Q303">
        <v>7</v>
      </c>
      <c r="R303">
        <v>9</v>
      </c>
      <c r="S303">
        <v>17515624</v>
      </c>
      <c r="T303">
        <v>47</v>
      </c>
      <c r="U303">
        <v>152</v>
      </c>
      <c r="V303">
        <v>20496.72892223937</v>
      </c>
      <c r="W303">
        <v>17515624.457026299</v>
      </c>
      <c r="X303">
        <v>936.11</v>
      </c>
      <c r="Y303">
        <f>VLOOKUP(AB303,'2000 Seattle Tracts'!$C$2:$Z$374,24,FALSE)</f>
        <v>448898.12199999997</v>
      </c>
      <c r="Z303">
        <f t="shared" si="8"/>
        <v>2.085350671170774E-3</v>
      </c>
      <c r="AA303" t="s">
        <v>138</v>
      </c>
      <c r="AB303" t="str">
        <f t="shared" si="9"/>
        <v>Census Tract 80.01, King County, Washington</v>
      </c>
      <c r="AC303" s="3">
        <f>VLOOKUP($AB303,'2000 Seattle Tracts'!$C$2:$Y$374,AC$1,FALSE)*$Z303</f>
        <v>7.2507642836607813</v>
      </c>
      <c r="AD303" s="3">
        <f>VLOOKUP($AB303,'2000 Seattle Tracts'!$C$2:$Y$374,AD$1,FALSE)*$Z303</f>
        <v>5.9578468675349017</v>
      </c>
      <c r="AE303" s="3">
        <f>VLOOKUP($AB303,'2000 Seattle Tracts'!$C$2:$Y$374,AE$1,FALSE)*$Z303</f>
        <v>1.2929174161258798</v>
      </c>
      <c r="AF303" s="3">
        <f>VLOOKUP($AB303,'2000 Seattle Tracts'!$C$2:$Y$374,AF$1,FALSE)*$Z303</f>
        <v>7.2507642836607813</v>
      </c>
      <c r="AG303" s="3">
        <f>VLOOKUP($AB303,'2000 Seattle Tracts'!$C$2:$Y$374,AG$1,FALSE)*$Z303</f>
        <v>5.9578468675349017</v>
      </c>
      <c r="AH303" s="3">
        <f>VLOOKUP($AB303,'2000 Seattle Tracts'!$C$2:$Y$374,AH$1,FALSE)*$Z303</f>
        <v>1.2929174161258798</v>
      </c>
      <c r="AI303" s="3">
        <f>VLOOKUP($AB303,'2000 Seattle Tracts'!$C$2:$Y$374,AI$1,FALSE)*$Z303</f>
        <v>4.6273931393279479</v>
      </c>
      <c r="AJ303" s="3">
        <f>VLOOKUP($AB303,'2000 Seattle Tracts'!$C$2:$Y$374,AJ$1,FALSE)*$Z303</f>
        <v>0.51091091443683967</v>
      </c>
      <c r="AK303" s="3">
        <f>VLOOKUP($AB303,'2000 Seattle Tracts'!$C$2:$Y$374,AK$1,FALSE)*$Z303</f>
        <v>7.5072624162147869E-2</v>
      </c>
      <c r="AL303" s="3">
        <f>VLOOKUP($AB303,'2000 Seattle Tracts'!$C$2:$Y$374,AL$1,FALSE)*$Z303</f>
        <v>0.15431594966663728</v>
      </c>
      <c r="AM303" s="3">
        <f>VLOOKUP($AB303,'2000 Seattle Tracts'!$C$2:$Y$374,AM$1,FALSE)*$Z303</f>
        <v>0.5901542399413291</v>
      </c>
      <c r="AN303" s="3">
        <f>VLOOKUP($AB303,'2000 Seattle Tracts'!$C$2:$Y$374,AN$1,FALSE)*$Z303</f>
        <v>4.5877714765757027E-2</v>
      </c>
      <c r="AO303" s="3">
        <f>VLOOKUP($AB303,'2000 Seattle Tracts'!$C$2:$Y$374,AO$1,FALSE)*$Z303</f>
        <v>0.15223059899546651</v>
      </c>
      <c r="AP303" s="3">
        <f>VLOOKUP($AB303,'2000 Seattle Tracts'!$C$2:$Y$374,AP$1,FALSE)*$Z303</f>
        <v>2.7109558725220063E-2</v>
      </c>
      <c r="AQ303" s="3">
        <f>VLOOKUP($AB303,'2000 Seattle Tracts'!$C$2:$Y$374,AQ$1,FALSE)*$Z303</f>
        <v>0.1605720016801496</v>
      </c>
      <c r="AR303" s="3">
        <f>VLOOKUP($AB303,'2000 Seattle Tracts'!$C$2:$Y$374,AR$1,FALSE)*$Z303</f>
        <v>0.43583829027469179</v>
      </c>
      <c r="AS303" s="3">
        <f>VLOOKUP($AB303,'2000 Seattle Tracts'!$C$2:$Y$374,AS$1,FALSE)*$Z303</f>
        <v>0</v>
      </c>
      <c r="AT303" s="3">
        <f>VLOOKUP($AB303,'2000 Seattle Tracts'!$C$2:$Y$374,AT$1,FALSE)*$Z303</f>
        <v>0</v>
      </c>
      <c r="AU303" s="3">
        <f>VLOOKUP($AB303,'2000 Seattle Tracts'!$C$2:$Y$374,AU$1,FALSE)*$Z303</f>
        <v>6.8816572148635541E-2</v>
      </c>
      <c r="AV303" s="3">
        <f>VLOOKUP($AB303,'2000 Seattle Tracts'!$C$2:$Y$374,AV$1,FALSE)*$Z303</f>
        <v>5.2133766779269348E-2</v>
      </c>
      <c r="AW303" s="3">
        <f>VLOOKUP($AB303,'2000 Seattle Tracts'!$C$2:$Y$374,AW$1,FALSE)*$Z303</f>
        <v>0.28360769127922525</v>
      </c>
      <c r="AX303" s="3">
        <f>VLOOKUP($AB303,'2000 Seattle Tracts'!$C$2:$Y$374,AX$1,FALSE)*$Z303</f>
        <v>6.6731221477464769E-2</v>
      </c>
    </row>
    <row r="304" spans="1:50" x14ac:dyDescent="0.25">
      <c r="A304" t="s">
        <v>2917</v>
      </c>
      <c r="B304" t="s">
        <v>2918</v>
      </c>
      <c r="C304" t="s">
        <v>3077</v>
      </c>
      <c r="D304" t="s">
        <v>2563</v>
      </c>
      <c r="E304" t="s">
        <v>2564</v>
      </c>
      <c r="F304" t="s">
        <v>2565</v>
      </c>
      <c r="G304" t="s">
        <v>2920</v>
      </c>
      <c r="H304" t="s">
        <v>2921</v>
      </c>
      <c r="I304">
        <v>493763</v>
      </c>
      <c r="J304">
        <v>3374036</v>
      </c>
      <c r="K304" t="s">
        <v>3464</v>
      </c>
      <c r="L304" t="s">
        <v>3465</v>
      </c>
      <c r="M304">
        <v>59</v>
      </c>
      <c r="N304">
        <v>7326.5820000000003</v>
      </c>
      <c r="O304" t="s">
        <v>156</v>
      </c>
      <c r="P304">
        <v>13</v>
      </c>
      <c r="Q304">
        <v>11</v>
      </c>
      <c r="R304">
        <v>0</v>
      </c>
      <c r="S304">
        <v>2343359.25</v>
      </c>
      <c r="T304">
        <v>61</v>
      </c>
      <c r="U304">
        <v>201</v>
      </c>
      <c r="V304">
        <v>7326.5817302462356</v>
      </c>
      <c r="W304">
        <v>2343359.3260636888</v>
      </c>
      <c r="X304">
        <v>2031.6</v>
      </c>
      <c r="Y304">
        <f>VLOOKUP(AB304,'2000 Seattle Tracts'!$C$2:$Z$374,24,FALSE)</f>
        <v>448898.12199999997</v>
      </c>
      <c r="Z304">
        <f t="shared" si="8"/>
        <v>4.5257484948890026E-3</v>
      </c>
      <c r="AA304" t="s">
        <v>155</v>
      </c>
      <c r="AB304" t="str">
        <f t="shared" si="9"/>
        <v>Census Tract 80.01, King County, Washington</v>
      </c>
      <c r="AC304" s="3">
        <f>VLOOKUP($AB304,'2000 Seattle Tracts'!$C$2:$Y$374,AC$1,FALSE)*$Z304</f>
        <v>15.736027516729061</v>
      </c>
      <c r="AD304" s="3">
        <f>VLOOKUP($AB304,'2000 Seattle Tracts'!$C$2:$Y$374,AD$1,FALSE)*$Z304</f>
        <v>12.930063449897881</v>
      </c>
      <c r="AE304" s="3">
        <f>VLOOKUP($AB304,'2000 Seattle Tracts'!$C$2:$Y$374,AE$1,FALSE)*$Z304</f>
        <v>2.8059640668311818</v>
      </c>
      <c r="AF304" s="3">
        <f>VLOOKUP($AB304,'2000 Seattle Tracts'!$C$2:$Y$374,AF$1,FALSE)*$Z304</f>
        <v>15.736027516729061</v>
      </c>
      <c r="AG304" s="3">
        <f>VLOOKUP($AB304,'2000 Seattle Tracts'!$C$2:$Y$374,AG$1,FALSE)*$Z304</f>
        <v>12.930063449897881</v>
      </c>
      <c r="AH304" s="3">
        <f>VLOOKUP($AB304,'2000 Seattle Tracts'!$C$2:$Y$374,AH$1,FALSE)*$Z304</f>
        <v>2.8059640668311818</v>
      </c>
      <c r="AI304" s="3">
        <f>VLOOKUP($AB304,'2000 Seattle Tracts'!$C$2:$Y$374,AI$1,FALSE)*$Z304</f>
        <v>10.042635910158697</v>
      </c>
      <c r="AJ304" s="3">
        <f>VLOOKUP($AB304,'2000 Seattle Tracts'!$C$2:$Y$374,AJ$1,FALSE)*$Z304</f>
        <v>1.1088083812478056</v>
      </c>
      <c r="AK304" s="3">
        <f>VLOOKUP($AB304,'2000 Seattle Tracts'!$C$2:$Y$374,AK$1,FALSE)*$Z304</f>
        <v>0.16292694581600409</v>
      </c>
      <c r="AL304" s="3">
        <f>VLOOKUP($AB304,'2000 Seattle Tracts'!$C$2:$Y$374,AL$1,FALSE)*$Z304</f>
        <v>0.3349053886217862</v>
      </c>
      <c r="AM304" s="3">
        <f>VLOOKUP($AB304,'2000 Seattle Tracts'!$C$2:$Y$374,AM$1,FALSE)*$Z304</f>
        <v>1.2807868240535878</v>
      </c>
      <c r="AN304" s="3">
        <f>VLOOKUP($AB304,'2000 Seattle Tracts'!$C$2:$Y$374,AN$1,FALSE)*$Z304</f>
        <v>9.9566466887558061E-2</v>
      </c>
      <c r="AO304" s="3">
        <f>VLOOKUP($AB304,'2000 Seattle Tracts'!$C$2:$Y$374,AO$1,FALSE)*$Z304</f>
        <v>0.33037964012689719</v>
      </c>
      <c r="AP304" s="3">
        <f>VLOOKUP($AB304,'2000 Seattle Tracts'!$C$2:$Y$374,AP$1,FALSE)*$Z304</f>
        <v>5.8834730433557032E-2</v>
      </c>
      <c r="AQ304" s="3">
        <f>VLOOKUP($AB304,'2000 Seattle Tracts'!$C$2:$Y$374,AQ$1,FALSE)*$Z304</f>
        <v>0.34848263410645319</v>
      </c>
      <c r="AR304" s="3">
        <f>VLOOKUP($AB304,'2000 Seattle Tracts'!$C$2:$Y$374,AR$1,FALSE)*$Z304</f>
        <v>0.94588143543180159</v>
      </c>
      <c r="AS304" s="3">
        <f>VLOOKUP($AB304,'2000 Seattle Tracts'!$C$2:$Y$374,AS$1,FALSE)*$Z304</f>
        <v>0</v>
      </c>
      <c r="AT304" s="3">
        <f>VLOOKUP($AB304,'2000 Seattle Tracts'!$C$2:$Y$374,AT$1,FALSE)*$Z304</f>
        <v>0</v>
      </c>
      <c r="AU304" s="3">
        <f>VLOOKUP($AB304,'2000 Seattle Tracts'!$C$2:$Y$374,AU$1,FALSE)*$Z304</f>
        <v>0.1493497003313371</v>
      </c>
      <c r="AV304" s="3">
        <f>VLOOKUP($AB304,'2000 Seattle Tracts'!$C$2:$Y$374,AV$1,FALSE)*$Z304</f>
        <v>0.11314371237222506</v>
      </c>
      <c r="AW304" s="3">
        <f>VLOOKUP($AB304,'2000 Seattle Tracts'!$C$2:$Y$374,AW$1,FALSE)*$Z304</f>
        <v>0.61550179530490434</v>
      </c>
      <c r="AX304" s="3">
        <f>VLOOKUP($AB304,'2000 Seattle Tracts'!$C$2:$Y$374,AX$1,FALSE)*$Z304</f>
        <v>0.14482395183644808</v>
      </c>
    </row>
    <row r="305" spans="1:50" x14ac:dyDescent="0.25">
      <c r="A305" t="s">
        <v>2917</v>
      </c>
      <c r="B305" t="s">
        <v>2918</v>
      </c>
      <c r="C305" t="s">
        <v>3077</v>
      </c>
      <c r="D305" t="s">
        <v>2563</v>
      </c>
      <c r="E305" t="s">
        <v>2564</v>
      </c>
      <c r="F305" t="s">
        <v>2565</v>
      </c>
      <c r="G305" t="s">
        <v>2920</v>
      </c>
      <c r="H305" t="s">
        <v>2921</v>
      </c>
      <c r="I305">
        <v>493763</v>
      </c>
      <c r="J305">
        <v>3374036</v>
      </c>
      <c r="K305" t="s">
        <v>3464</v>
      </c>
      <c r="L305" t="s">
        <v>3465</v>
      </c>
      <c r="M305">
        <v>60</v>
      </c>
      <c r="N305">
        <v>21967.599999999999</v>
      </c>
      <c r="O305" t="s">
        <v>156</v>
      </c>
      <c r="P305">
        <v>13</v>
      </c>
      <c r="Q305">
        <v>11</v>
      </c>
      <c r="R305">
        <v>81</v>
      </c>
      <c r="S305">
        <v>14974037</v>
      </c>
      <c r="T305">
        <v>62</v>
      </c>
      <c r="U305">
        <v>156</v>
      </c>
      <c r="V305">
        <v>21967.599459922661</v>
      </c>
      <c r="W305">
        <v>14974037.0994289</v>
      </c>
      <c r="X305">
        <v>430905.478</v>
      </c>
      <c r="Y305">
        <f>VLOOKUP(AB305,'2000 Seattle Tracts'!$C$2:$Z$374,24,FALSE)</f>
        <v>448898.12199999997</v>
      </c>
      <c r="Z305">
        <f t="shared" si="8"/>
        <v>0.9599182016626927</v>
      </c>
      <c r="AA305" t="s">
        <v>157</v>
      </c>
      <c r="AB305" t="str">
        <f t="shared" si="9"/>
        <v>Census Tract 80.01, King County, Washington</v>
      </c>
      <c r="AC305" s="3">
        <f>VLOOKUP($AB305,'2000 Seattle Tracts'!$C$2:$Y$374,AC$1,FALSE)*$Z305</f>
        <v>3337.6355871811825</v>
      </c>
      <c r="AD305" s="3">
        <f>VLOOKUP($AB305,'2000 Seattle Tracts'!$C$2:$Y$374,AD$1,FALSE)*$Z305</f>
        <v>2742.4863021503129</v>
      </c>
      <c r="AE305" s="3">
        <f>VLOOKUP($AB305,'2000 Seattle Tracts'!$C$2:$Y$374,AE$1,FALSE)*$Z305</f>
        <v>595.14928503086946</v>
      </c>
      <c r="AF305" s="3">
        <f>VLOOKUP($AB305,'2000 Seattle Tracts'!$C$2:$Y$374,AF$1,FALSE)*$Z305</f>
        <v>3337.6355871811825</v>
      </c>
      <c r="AG305" s="3">
        <f>VLOOKUP($AB305,'2000 Seattle Tracts'!$C$2:$Y$374,AG$1,FALSE)*$Z305</f>
        <v>2742.4863021503129</v>
      </c>
      <c r="AH305" s="3">
        <f>VLOOKUP($AB305,'2000 Seattle Tracts'!$C$2:$Y$374,AH$1,FALSE)*$Z305</f>
        <v>595.14928503086946</v>
      </c>
      <c r="AI305" s="3">
        <f>VLOOKUP($AB305,'2000 Seattle Tracts'!$C$2:$Y$374,AI$1,FALSE)*$Z305</f>
        <v>2130.0584894895151</v>
      </c>
      <c r="AJ305" s="3">
        <f>VLOOKUP($AB305,'2000 Seattle Tracts'!$C$2:$Y$374,AJ$1,FALSE)*$Z305</f>
        <v>235.17995940735972</v>
      </c>
      <c r="AK305" s="3">
        <f>VLOOKUP($AB305,'2000 Seattle Tracts'!$C$2:$Y$374,AK$1,FALSE)*$Z305</f>
        <v>34.557055259856938</v>
      </c>
      <c r="AL305" s="3">
        <f>VLOOKUP($AB305,'2000 Seattle Tracts'!$C$2:$Y$374,AL$1,FALSE)*$Z305</f>
        <v>71.033946923039267</v>
      </c>
      <c r="AM305" s="3">
        <f>VLOOKUP($AB305,'2000 Seattle Tracts'!$C$2:$Y$374,AM$1,FALSE)*$Z305</f>
        <v>271.65685107054202</v>
      </c>
      <c r="AN305" s="3">
        <f>VLOOKUP($AB305,'2000 Seattle Tracts'!$C$2:$Y$374,AN$1,FALSE)*$Z305</f>
        <v>21.11820043657924</v>
      </c>
      <c r="AO305" s="3">
        <f>VLOOKUP($AB305,'2000 Seattle Tracts'!$C$2:$Y$374,AO$1,FALSE)*$Z305</f>
        <v>70.074028721376564</v>
      </c>
      <c r="AP305" s="3">
        <f>VLOOKUP($AB305,'2000 Seattle Tracts'!$C$2:$Y$374,AP$1,FALSE)*$Z305</f>
        <v>12.478936621615006</v>
      </c>
      <c r="AQ305" s="3">
        <f>VLOOKUP($AB305,'2000 Seattle Tracts'!$C$2:$Y$374,AQ$1,FALSE)*$Z305</f>
        <v>73.913701528027332</v>
      </c>
      <c r="AR305" s="3">
        <f>VLOOKUP($AB305,'2000 Seattle Tracts'!$C$2:$Y$374,AR$1,FALSE)*$Z305</f>
        <v>200.62290414750277</v>
      </c>
      <c r="AS305" s="3">
        <f>VLOOKUP($AB305,'2000 Seattle Tracts'!$C$2:$Y$374,AS$1,FALSE)*$Z305</f>
        <v>0</v>
      </c>
      <c r="AT305" s="3">
        <f>VLOOKUP($AB305,'2000 Seattle Tracts'!$C$2:$Y$374,AT$1,FALSE)*$Z305</f>
        <v>0</v>
      </c>
      <c r="AU305" s="3">
        <f>VLOOKUP($AB305,'2000 Seattle Tracts'!$C$2:$Y$374,AU$1,FALSE)*$Z305</f>
        <v>31.677300654868858</v>
      </c>
      <c r="AV305" s="3">
        <f>VLOOKUP($AB305,'2000 Seattle Tracts'!$C$2:$Y$374,AV$1,FALSE)*$Z305</f>
        <v>23.997955041567316</v>
      </c>
      <c r="AW305" s="3">
        <f>VLOOKUP($AB305,'2000 Seattle Tracts'!$C$2:$Y$374,AW$1,FALSE)*$Z305</f>
        <v>130.54887542612622</v>
      </c>
      <c r="AX305" s="3">
        <f>VLOOKUP($AB305,'2000 Seattle Tracts'!$C$2:$Y$374,AX$1,FALSE)*$Z305</f>
        <v>30.717382453206167</v>
      </c>
    </row>
    <row r="306" spans="1:50" x14ac:dyDescent="0.25">
      <c r="A306" t="s">
        <v>2917</v>
      </c>
      <c r="B306" t="s">
        <v>2918</v>
      </c>
      <c r="C306" t="s">
        <v>3077</v>
      </c>
      <c r="D306" t="s">
        <v>2563</v>
      </c>
      <c r="E306" t="s">
        <v>2564</v>
      </c>
      <c r="F306" t="s">
        <v>2565</v>
      </c>
      <c r="G306" t="s">
        <v>2920</v>
      </c>
      <c r="H306" t="s">
        <v>2921</v>
      </c>
      <c r="I306">
        <v>493763</v>
      </c>
      <c r="J306">
        <v>3374036</v>
      </c>
      <c r="K306" t="s">
        <v>3464</v>
      </c>
      <c r="L306" t="s">
        <v>3465</v>
      </c>
      <c r="M306">
        <v>66</v>
      </c>
      <c r="N306">
        <v>64207.586000000003</v>
      </c>
      <c r="O306" t="s">
        <v>164</v>
      </c>
      <c r="P306">
        <v>9</v>
      </c>
      <c r="Q306">
        <v>12</v>
      </c>
      <c r="R306">
        <v>95</v>
      </c>
      <c r="S306">
        <v>33503942</v>
      </c>
      <c r="T306">
        <v>68</v>
      </c>
      <c r="U306">
        <v>199</v>
      </c>
      <c r="V306">
        <v>64207.586761171791</v>
      </c>
      <c r="W306">
        <v>33503941.092720222</v>
      </c>
      <c r="X306">
        <v>12922.522999999999</v>
      </c>
      <c r="Y306">
        <f>VLOOKUP(AB306,'2000 Seattle Tracts'!$C$2:$Z$374,24,FALSE)</f>
        <v>448898.12199999997</v>
      </c>
      <c r="Z306">
        <f t="shared" si="8"/>
        <v>2.8787206643738197E-2</v>
      </c>
      <c r="AA306" t="s">
        <v>163</v>
      </c>
      <c r="AB306" t="str">
        <f t="shared" si="9"/>
        <v>Census Tract 80.01, King County, Washington</v>
      </c>
      <c r="AC306" s="3">
        <f>VLOOKUP($AB306,'2000 Seattle Tracts'!$C$2:$Y$374,AC$1,FALSE)*$Z306</f>
        <v>100.09311750027771</v>
      </c>
      <c r="AD306" s="3">
        <f>VLOOKUP($AB306,'2000 Seattle Tracts'!$C$2:$Y$374,AD$1,FALSE)*$Z306</f>
        <v>82.24504938116003</v>
      </c>
      <c r="AE306" s="3">
        <f>VLOOKUP($AB306,'2000 Seattle Tracts'!$C$2:$Y$374,AE$1,FALSE)*$Z306</f>
        <v>17.848068119117681</v>
      </c>
      <c r="AF306" s="3">
        <f>VLOOKUP($AB306,'2000 Seattle Tracts'!$C$2:$Y$374,AF$1,FALSE)*$Z306</f>
        <v>100.09311750027771</v>
      </c>
      <c r="AG306" s="3">
        <f>VLOOKUP($AB306,'2000 Seattle Tracts'!$C$2:$Y$374,AG$1,FALSE)*$Z306</f>
        <v>82.24504938116003</v>
      </c>
      <c r="AH306" s="3">
        <f>VLOOKUP($AB306,'2000 Seattle Tracts'!$C$2:$Y$374,AH$1,FALSE)*$Z306</f>
        <v>17.848068119117681</v>
      </c>
      <c r="AI306" s="3">
        <f>VLOOKUP($AB306,'2000 Seattle Tracts'!$C$2:$Y$374,AI$1,FALSE)*$Z306</f>
        <v>63.878811542455061</v>
      </c>
      <c r="AJ306" s="3">
        <f>VLOOKUP($AB306,'2000 Seattle Tracts'!$C$2:$Y$374,AJ$1,FALSE)*$Z306</f>
        <v>7.0528656277158586</v>
      </c>
      <c r="AK306" s="3">
        <f>VLOOKUP($AB306,'2000 Seattle Tracts'!$C$2:$Y$374,AK$1,FALSE)*$Z306</f>
        <v>1.0363394391745751</v>
      </c>
      <c r="AL306" s="3">
        <f>VLOOKUP($AB306,'2000 Seattle Tracts'!$C$2:$Y$374,AL$1,FALSE)*$Z306</f>
        <v>2.1302532916366266</v>
      </c>
      <c r="AM306" s="3">
        <f>VLOOKUP($AB306,'2000 Seattle Tracts'!$C$2:$Y$374,AM$1,FALSE)*$Z306</f>
        <v>8.1467794801779103</v>
      </c>
      <c r="AN306" s="3">
        <f>VLOOKUP($AB306,'2000 Seattle Tracts'!$C$2:$Y$374,AN$1,FALSE)*$Z306</f>
        <v>0.63331854616224037</v>
      </c>
      <c r="AO306" s="3">
        <f>VLOOKUP($AB306,'2000 Seattle Tracts'!$C$2:$Y$374,AO$1,FALSE)*$Z306</f>
        <v>2.1014660849928886</v>
      </c>
      <c r="AP306" s="3">
        <f>VLOOKUP($AB306,'2000 Seattle Tracts'!$C$2:$Y$374,AP$1,FALSE)*$Z306</f>
        <v>0.37423368636859655</v>
      </c>
      <c r="AQ306" s="3">
        <f>VLOOKUP($AB306,'2000 Seattle Tracts'!$C$2:$Y$374,AQ$1,FALSE)*$Z306</f>
        <v>2.2166149115678411</v>
      </c>
      <c r="AR306" s="3">
        <f>VLOOKUP($AB306,'2000 Seattle Tracts'!$C$2:$Y$374,AR$1,FALSE)*$Z306</f>
        <v>6.0165261885412828</v>
      </c>
      <c r="AS306" s="3">
        <f>VLOOKUP($AB306,'2000 Seattle Tracts'!$C$2:$Y$374,AS$1,FALSE)*$Z306</f>
        <v>0</v>
      </c>
      <c r="AT306" s="3">
        <f>VLOOKUP($AB306,'2000 Seattle Tracts'!$C$2:$Y$374,AT$1,FALSE)*$Z306</f>
        <v>0</v>
      </c>
      <c r="AU306" s="3">
        <f>VLOOKUP($AB306,'2000 Seattle Tracts'!$C$2:$Y$374,AU$1,FALSE)*$Z306</f>
        <v>0.94997781924336056</v>
      </c>
      <c r="AV306" s="3">
        <f>VLOOKUP($AB306,'2000 Seattle Tracts'!$C$2:$Y$374,AV$1,FALSE)*$Z306</f>
        <v>0.71968016609345498</v>
      </c>
      <c r="AW306" s="3">
        <f>VLOOKUP($AB306,'2000 Seattle Tracts'!$C$2:$Y$374,AW$1,FALSE)*$Z306</f>
        <v>3.9150601035483947</v>
      </c>
      <c r="AX306" s="3">
        <f>VLOOKUP($AB306,'2000 Seattle Tracts'!$C$2:$Y$374,AX$1,FALSE)*$Z306</f>
        <v>0.92119061259962232</v>
      </c>
    </row>
    <row r="307" spans="1:50" x14ac:dyDescent="0.25">
      <c r="A307" t="s">
        <v>2917</v>
      </c>
      <c r="B307" t="s">
        <v>2918</v>
      </c>
      <c r="C307" t="s">
        <v>2924</v>
      </c>
      <c r="D307" t="s">
        <v>2569</v>
      </c>
      <c r="E307" t="s">
        <v>2570</v>
      </c>
      <c r="F307" t="s">
        <v>2571</v>
      </c>
      <c r="G307" t="s">
        <v>2920</v>
      </c>
      <c r="H307" t="s">
        <v>2921</v>
      </c>
      <c r="I307">
        <v>698478</v>
      </c>
      <c r="J307">
        <v>0</v>
      </c>
      <c r="K307" t="s">
        <v>2925</v>
      </c>
      <c r="L307" t="s">
        <v>2926</v>
      </c>
      <c r="M307">
        <v>55</v>
      </c>
      <c r="N307">
        <v>18241.548999999999</v>
      </c>
      <c r="O307" t="s">
        <v>149</v>
      </c>
      <c r="P307">
        <v>14</v>
      </c>
      <c r="Q307">
        <v>8</v>
      </c>
      <c r="R307">
        <v>94</v>
      </c>
      <c r="S307">
        <v>17933144</v>
      </c>
      <c r="T307">
        <v>57</v>
      </c>
      <c r="U307">
        <v>157</v>
      </c>
      <c r="V307">
        <v>18241.548785981169</v>
      </c>
      <c r="W307">
        <v>17933144.708401948</v>
      </c>
      <c r="X307">
        <v>539982.86100000003</v>
      </c>
      <c r="Y307">
        <f>VLOOKUP(AB307,'2000 Seattle Tracts'!$C$2:$Z$374,24,FALSE)</f>
        <v>698472.90300000005</v>
      </c>
      <c r="Z307">
        <f t="shared" si="8"/>
        <v>0.77309063627340169</v>
      </c>
      <c r="AA307" t="s">
        <v>151</v>
      </c>
      <c r="AB307" t="str">
        <f t="shared" si="9"/>
        <v>Census Tract 79, King County, Washington</v>
      </c>
      <c r="AC307" s="3">
        <f>VLOOKUP($AB307,'2000 Seattle Tracts'!$C$2:$Y$374,AC$1,FALSE)*$Z307</f>
        <v>3271.7195727090361</v>
      </c>
      <c r="AD307" s="3">
        <f>VLOOKUP($AB307,'2000 Seattle Tracts'!$C$2:$Y$374,AD$1,FALSE)*$Z307</f>
        <v>2643.1968854187603</v>
      </c>
      <c r="AE307" s="3">
        <f>VLOOKUP($AB307,'2000 Seattle Tracts'!$C$2:$Y$374,AE$1,FALSE)*$Z307</f>
        <v>628.5226872902756</v>
      </c>
      <c r="AF307" s="3">
        <f>VLOOKUP($AB307,'2000 Seattle Tracts'!$C$2:$Y$374,AF$1,FALSE)*$Z307</f>
        <v>3271.7195727090361</v>
      </c>
      <c r="AG307" s="3">
        <f>VLOOKUP($AB307,'2000 Seattle Tracts'!$C$2:$Y$374,AG$1,FALSE)*$Z307</f>
        <v>2643.1968854187603</v>
      </c>
      <c r="AH307" s="3">
        <f>VLOOKUP($AB307,'2000 Seattle Tracts'!$C$2:$Y$374,AH$1,FALSE)*$Z307</f>
        <v>628.5226872902756</v>
      </c>
      <c r="AI307" s="3">
        <f>VLOOKUP($AB307,'2000 Seattle Tracts'!$C$2:$Y$374,AI$1,FALSE)*$Z307</f>
        <v>1713.9419406181316</v>
      </c>
      <c r="AJ307" s="3">
        <f>VLOOKUP($AB307,'2000 Seattle Tracts'!$C$2:$Y$374,AJ$1,FALSE)*$Z307</f>
        <v>174.71848379778879</v>
      </c>
      <c r="AK307" s="3">
        <f>VLOOKUP($AB307,'2000 Seattle Tracts'!$C$2:$Y$374,AK$1,FALSE)*$Z307</f>
        <v>57.208707084231726</v>
      </c>
      <c r="AL307" s="3">
        <f>VLOOKUP($AB307,'2000 Seattle Tracts'!$C$2:$Y$374,AL$1,FALSE)*$Z307</f>
        <v>174.71848379778879</v>
      </c>
      <c r="AM307" s="3">
        <f>VLOOKUP($AB307,'2000 Seattle Tracts'!$C$2:$Y$374,AM$1,FALSE)*$Z307</f>
        <v>715.88192918916991</v>
      </c>
      <c r="AN307" s="3">
        <f>VLOOKUP($AB307,'2000 Seattle Tracts'!$C$2:$Y$374,AN$1,FALSE)*$Z307</f>
        <v>121.37522989492406</v>
      </c>
      <c r="AO307" s="3">
        <f>VLOOKUP($AB307,'2000 Seattle Tracts'!$C$2:$Y$374,AO$1,FALSE)*$Z307</f>
        <v>23.965809724475452</v>
      </c>
      <c r="AP307" s="3">
        <f>VLOOKUP($AB307,'2000 Seattle Tracts'!$C$2:$Y$374,AP$1,FALSE)*$Z307</f>
        <v>4.6385438176404099</v>
      </c>
      <c r="AQ307" s="3">
        <f>VLOOKUP($AB307,'2000 Seattle Tracts'!$C$2:$Y$374,AQ$1,FALSE)*$Z307</f>
        <v>51.023981994044512</v>
      </c>
      <c r="AR307" s="3">
        <f>VLOOKUP($AB307,'2000 Seattle Tracts'!$C$2:$Y$374,AR$1,FALSE)*$Z307</f>
        <v>125.24068307629108</v>
      </c>
      <c r="AS307" s="3">
        <f>VLOOKUP($AB307,'2000 Seattle Tracts'!$C$2:$Y$374,AS$1,FALSE)*$Z307</f>
        <v>6.9578157264606153</v>
      </c>
      <c r="AT307" s="3">
        <f>VLOOKUP($AB307,'2000 Seattle Tracts'!$C$2:$Y$374,AT$1,FALSE)*$Z307</f>
        <v>7.7309063627340171</v>
      </c>
      <c r="AU307" s="3">
        <f>VLOOKUP($AB307,'2000 Seattle Tracts'!$C$2:$Y$374,AU$1,FALSE)*$Z307</f>
        <v>10.050178271554222</v>
      </c>
      <c r="AV307" s="3">
        <f>VLOOKUP($AB307,'2000 Seattle Tracts'!$C$2:$Y$374,AV$1,FALSE)*$Z307</f>
        <v>17.007993998014836</v>
      </c>
      <c r="AW307" s="3">
        <f>VLOOKUP($AB307,'2000 Seattle Tracts'!$C$2:$Y$374,AW$1,FALSE)*$Z307</f>
        <v>64.166522810692342</v>
      </c>
      <c r="AX307" s="3">
        <f>VLOOKUP($AB307,'2000 Seattle Tracts'!$C$2:$Y$374,AX$1,FALSE)*$Z307</f>
        <v>3.0923625450936068</v>
      </c>
    </row>
    <row r="308" spans="1:50" x14ac:dyDescent="0.25">
      <c r="A308" t="s">
        <v>2917</v>
      </c>
      <c r="B308" t="s">
        <v>2918</v>
      </c>
      <c r="C308" t="s">
        <v>2924</v>
      </c>
      <c r="D308" t="s">
        <v>2569</v>
      </c>
      <c r="E308" t="s">
        <v>2570</v>
      </c>
      <c r="F308" t="s">
        <v>2571</v>
      </c>
      <c r="G308" t="s">
        <v>2920</v>
      </c>
      <c r="H308" t="s">
        <v>2921</v>
      </c>
      <c r="I308">
        <v>698478</v>
      </c>
      <c r="J308">
        <v>0</v>
      </c>
      <c r="K308" t="s">
        <v>2925</v>
      </c>
      <c r="L308" t="s">
        <v>2926</v>
      </c>
      <c r="M308">
        <v>100</v>
      </c>
      <c r="N308">
        <v>26851.947</v>
      </c>
      <c r="O308" t="s">
        <v>201</v>
      </c>
      <c r="P308">
        <v>11</v>
      </c>
      <c r="Q308">
        <v>3</v>
      </c>
      <c r="R308">
        <v>0</v>
      </c>
      <c r="S308">
        <v>30239240</v>
      </c>
      <c r="T308">
        <v>102</v>
      </c>
      <c r="U308">
        <v>151</v>
      </c>
      <c r="V308">
        <v>26851.9474418256</v>
      </c>
      <c r="W308">
        <v>30239240.52129779</v>
      </c>
      <c r="X308">
        <v>128.03200000000001</v>
      </c>
      <c r="Y308">
        <f>VLOOKUP(AB308,'2000 Seattle Tracts'!$C$2:$Z$374,24,FALSE)</f>
        <v>698472.90300000005</v>
      </c>
      <c r="Z308">
        <f t="shared" si="8"/>
        <v>1.8330274438720781E-4</v>
      </c>
      <c r="AA308" t="s">
        <v>204</v>
      </c>
      <c r="AB308" t="str">
        <f t="shared" si="9"/>
        <v>Census Tract 79, King County, Washington</v>
      </c>
      <c r="AC308" s="3">
        <f>VLOOKUP($AB308,'2000 Seattle Tracts'!$C$2:$Y$374,AC$1,FALSE)*$Z308</f>
        <v>0.77573721424666342</v>
      </c>
      <c r="AD308" s="3">
        <f>VLOOKUP($AB308,'2000 Seattle Tracts'!$C$2:$Y$374,AD$1,FALSE)*$Z308</f>
        <v>0.62671208305986348</v>
      </c>
      <c r="AE308" s="3">
        <f>VLOOKUP($AB308,'2000 Seattle Tracts'!$C$2:$Y$374,AE$1,FALSE)*$Z308</f>
        <v>0.14902513118679994</v>
      </c>
      <c r="AF308" s="3">
        <f>VLOOKUP($AB308,'2000 Seattle Tracts'!$C$2:$Y$374,AF$1,FALSE)*$Z308</f>
        <v>0.77573721424666342</v>
      </c>
      <c r="AG308" s="3">
        <f>VLOOKUP($AB308,'2000 Seattle Tracts'!$C$2:$Y$374,AG$1,FALSE)*$Z308</f>
        <v>0.62671208305986348</v>
      </c>
      <c r="AH308" s="3">
        <f>VLOOKUP($AB308,'2000 Seattle Tracts'!$C$2:$Y$374,AH$1,FALSE)*$Z308</f>
        <v>0.14902513118679994</v>
      </c>
      <c r="AI308" s="3">
        <f>VLOOKUP($AB308,'2000 Seattle Tracts'!$C$2:$Y$374,AI$1,FALSE)*$Z308</f>
        <v>0.40638218430643974</v>
      </c>
      <c r="AJ308" s="3">
        <f>VLOOKUP($AB308,'2000 Seattle Tracts'!$C$2:$Y$374,AJ$1,FALSE)*$Z308</f>
        <v>4.1426420231508963E-2</v>
      </c>
      <c r="AK308" s="3">
        <f>VLOOKUP($AB308,'2000 Seattle Tracts'!$C$2:$Y$374,AK$1,FALSE)*$Z308</f>
        <v>1.3564403084653379E-2</v>
      </c>
      <c r="AL308" s="3">
        <f>VLOOKUP($AB308,'2000 Seattle Tracts'!$C$2:$Y$374,AL$1,FALSE)*$Z308</f>
        <v>4.1426420231508963E-2</v>
      </c>
      <c r="AM308" s="3">
        <f>VLOOKUP($AB308,'2000 Seattle Tracts'!$C$2:$Y$374,AM$1,FALSE)*$Z308</f>
        <v>0.16973834130255444</v>
      </c>
      <c r="AN308" s="3">
        <f>VLOOKUP($AB308,'2000 Seattle Tracts'!$C$2:$Y$374,AN$1,FALSE)*$Z308</f>
        <v>2.8778530868791626E-2</v>
      </c>
      <c r="AO308" s="3">
        <f>VLOOKUP($AB308,'2000 Seattle Tracts'!$C$2:$Y$374,AO$1,FALSE)*$Z308</f>
        <v>5.6823850760034421E-3</v>
      </c>
      <c r="AP308" s="3">
        <f>VLOOKUP($AB308,'2000 Seattle Tracts'!$C$2:$Y$374,AP$1,FALSE)*$Z308</f>
        <v>1.0998164663232469E-3</v>
      </c>
      <c r="AQ308" s="3">
        <f>VLOOKUP($AB308,'2000 Seattle Tracts'!$C$2:$Y$374,AQ$1,FALSE)*$Z308</f>
        <v>1.2097981129555716E-2</v>
      </c>
      <c r="AR308" s="3">
        <f>VLOOKUP($AB308,'2000 Seattle Tracts'!$C$2:$Y$374,AR$1,FALSE)*$Z308</f>
        <v>2.9695044590727665E-2</v>
      </c>
      <c r="AS308" s="3">
        <f>VLOOKUP($AB308,'2000 Seattle Tracts'!$C$2:$Y$374,AS$1,FALSE)*$Z308</f>
        <v>1.6497246994848704E-3</v>
      </c>
      <c r="AT308" s="3">
        <f>VLOOKUP($AB308,'2000 Seattle Tracts'!$C$2:$Y$374,AT$1,FALSE)*$Z308</f>
        <v>1.8330274438720781E-3</v>
      </c>
      <c r="AU308" s="3">
        <f>VLOOKUP($AB308,'2000 Seattle Tracts'!$C$2:$Y$374,AU$1,FALSE)*$Z308</f>
        <v>2.3829356770337018E-3</v>
      </c>
      <c r="AV308" s="3">
        <f>VLOOKUP($AB308,'2000 Seattle Tracts'!$C$2:$Y$374,AV$1,FALSE)*$Z308</f>
        <v>4.0326603765185719E-3</v>
      </c>
      <c r="AW308" s="3">
        <f>VLOOKUP($AB308,'2000 Seattle Tracts'!$C$2:$Y$374,AW$1,FALSE)*$Z308</f>
        <v>1.5214127784138248E-2</v>
      </c>
      <c r="AX308" s="3">
        <f>VLOOKUP($AB308,'2000 Seattle Tracts'!$C$2:$Y$374,AX$1,FALSE)*$Z308</f>
        <v>7.3321097754883125E-4</v>
      </c>
    </row>
    <row r="309" spans="1:50" x14ac:dyDescent="0.25">
      <c r="A309" t="s">
        <v>2917</v>
      </c>
      <c r="B309" t="s">
        <v>2918</v>
      </c>
      <c r="C309" t="s">
        <v>2924</v>
      </c>
      <c r="D309" t="s">
        <v>2569</v>
      </c>
      <c r="E309" t="s">
        <v>2570</v>
      </c>
      <c r="F309" t="s">
        <v>2571</v>
      </c>
      <c r="G309" t="s">
        <v>2920</v>
      </c>
      <c r="H309" t="s">
        <v>2921</v>
      </c>
      <c r="I309">
        <v>698478</v>
      </c>
      <c r="J309">
        <v>0</v>
      </c>
      <c r="K309" t="s">
        <v>2925</v>
      </c>
      <c r="L309" t="s">
        <v>2926</v>
      </c>
      <c r="M309">
        <v>101</v>
      </c>
      <c r="N309">
        <v>25522.346000000001</v>
      </c>
      <c r="O309" t="s">
        <v>201</v>
      </c>
      <c r="P309">
        <v>11</v>
      </c>
      <c r="Q309">
        <v>3</v>
      </c>
      <c r="R309">
        <v>23</v>
      </c>
      <c r="S309">
        <v>26039592</v>
      </c>
      <c r="T309">
        <v>103</v>
      </c>
      <c r="U309">
        <v>149</v>
      </c>
      <c r="V309">
        <v>25522.345636876809</v>
      </c>
      <c r="W309">
        <v>26039592.07912118</v>
      </c>
      <c r="X309">
        <v>158362.00899999999</v>
      </c>
      <c r="Y309">
        <f>VLOOKUP(AB309,'2000 Seattle Tracts'!$C$2:$Z$374,24,FALSE)</f>
        <v>698472.90300000005</v>
      </c>
      <c r="Z309">
        <f t="shared" si="8"/>
        <v>0.22672605955051628</v>
      </c>
      <c r="AA309" t="s">
        <v>205</v>
      </c>
      <c r="AB309" t="str">
        <f t="shared" si="9"/>
        <v>Census Tract 79, King County, Washington</v>
      </c>
      <c r="AC309" s="3">
        <f>VLOOKUP($AB309,'2000 Seattle Tracts'!$C$2:$Y$374,AC$1,FALSE)*$Z309</f>
        <v>959.50468401778494</v>
      </c>
      <c r="AD309" s="3">
        <f>VLOOKUP($AB309,'2000 Seattle Tracts'!$C$2:$Y$374,AD$1,FALSE)*$Z309</f>
        <v>775.17639760321515</v>
      </c>
      <c r="AE309" s="3">
        <f>VLOOKUP($AB309,'2000 Seattle Tracts'!$C$2:$Y$374,AE$1,FALSE)*$Z309</f>
        <v>184.32828641456973</v>
      </c>
      <c r="AF309" s="3">
        <f>VLOOKUP($AB309,'2000 Seattle Tracts'!$C$2:$Y$374,AF$1,FALSE)*$Z309</f>
        <v>959.50468401778494</v>
      </c>
      <c r="AG309" s="3">
        <f>VLOOKUP($AB309,'2000 Seattle Tracts'!$C$2:$Y$374,AG$1,FALSE)*$Z309</f>
        <v>775.17639760321515</v>
      </c>
      <c r="AH309" s="3">
        <f>VLOOKUP($AB309,'2000 Seattle Tracts'!$C$2:$Y$374,AH$1,FALSE)*$Z309</f>
        <v>184.32828641456973</v>
      </c>
      <c r="AI309" s="3">
        <f>VLOOKUP($AB309,'2000 Seattle Tracts'!$C$2:$Y$374,AI$1,FALSE)*$Z309</f>
        <v>502.65167402349459</v>
      </c>
      <c r="AJ309" s="3">
        <f>VLOOKUP($AB309,'2000 Seattle Tracts'!$C$2:$Y$374,AJ$1,FALSE)*$Z309</f>
        <v>51.240089458416676</v>
      </c>
      <c r="AK309" s="3">
        <f>VLOOKUP($AB309,'2000 Seattle Tracts'!$C$2:$Y$374,AK$1,FALSE)*$Z309</f>
        <v>16.777728406738206</v>
      </c>
      <c r="AL309" s="3">
        <f>VLOOKUP($AB309,'2000 Seattle Tracts'!$C$2:$Y$374,AL$1,FALSE)*$Z309</f>
        <v>51.240089458416676</v>
      </c>
      <c r="AM309" s="3">
        <f>VLOOKUP($AB309,'2000 Seattle Tracts'!$C$2:$Y$374,AM$1,FALSE)*$Z309</f>
        <v>209.94833114377806</v>
      </c>
      <c r="AN309" s="3">
        <f>VLOOKUP($AB309,'2000 Seattle Tracts'!$C$2:$Y$374,AN$1,FALSE)*$Z309</f>
        <v>35.595991349431053</v>
      </c>
      <c r="AO309" s="3">
        <f>VLOOKUP($AB309,'2000 Seattle Tracts'!$C$2:$Y$374,AO$1,FALSE)*$Z309</f>
        <v>7.0285078460660042</v>
      </c>
      <c r="AP309" s="3">
        <f>VLOOKUP($AB309,'2000 Seattle Tracts'!$C$2:$Y$374,AP$1,FALSE)*$Z309</f>
        <v>1.3603563573030977</v>
      </c>
      <c r="AQ309" s="3">
        <f>VLOOKUP($AB309,'2000 Seattle Tracts'!$C$2:$Y$374,AQ$1,FALSE)*$Z309</f>
        <v>14.963919930334075</v>
      </c>
      <c r="AR309" s="3">
        <f>VLOOKUP($AB309,'2000 Seattle Tracts'!$C$2:$Y$374,AR$1,FALSE)*$Z309</f>
        <v>36.729621647183635</v>
      </c>
      <c r="AS309" s="3">
        <f>VLOOKUP($AB309,'2000 Seattle Tracts'!$C$2:$Y$374,AS$1,FALSE)*$Z309</f>
        <v>2.0405345359546465</v>
      </c>
      <c r="AT309" s="3">
        <f>VLOOKUP($AB309,'2000 Seattle Tracts'!$C$2:$Y$374,AT$1,FALSE)*$Z309</f>
        <v>2.2672605955051628</v>
      </c>
      <c r="AU309" s="3">
        <f>VLOOKUP($AB309,'2000 Seattle Tracts'!$C$2:$Y$374,AU$1,FALSE)*$Z309</f>
        <v>2.9474387741567116</v>
      </c>
      <c r="AV309" s="3">
        <f>VLOOKUP($AB309,'2000 Seattle Tracts'!$C$2:$Y$374,AV$1,FALSE)*$Z309</f>
        <v>4.9879733101113581</v>
      </c>
      <c r="AW309" s="3">
        <f>VLOOKUP($AB309,'2000 Seattle Tracts'!$C$2:$Y$374,AW$1,FALSE)*$Z309</f>
        <v>18.818262942692851</v>
      </c>
      <c r="AX309" s="3">
        <f>VLOOKUP($AB309,'2000 Seattle Tracts'!$C$2:$Y$374,AX$1,FALSE)*$Z309</f>
        <v>0.90690423820206512</v>
      </c>
    </row>
    <row r="310" spans="1:50" x14ac:dyDescent="0.25">
      <c r="A310" t="s">
        <v>2917</v>
      </c>
      <c r="B310" t="s">
        <v>2918</v>
      </c>
      <c r="C310" t="s">
        <v>3173</v>
      </c>
      <c r="D310" t="s">
        <v>2572</v>
      </c>
      <c r="E310" t="s">
        <v>2573</v>
      </c>
      <c r="F310" t="s">
        <v>2574</v>
      </c>
      <c r="G310" t="s">
        <v>2920</v>
      </c>
      <c r="H310" t="s">
        <v>2921</v>
      </c>
      <c r="I310">
        <v>2114574</v>
      </c>
      <c r="J310">
        <v>3212025</v>
      </c>
      <c r="K310" t="s">
        <v>3174</v>
      </c>
      <c r="L310" t="s">
        <v>3175</v>
      </c>
      <c r="M310">
        <v>53</v>
      </c>
      <c r="N310">
        <v>17052.942999999999</v>
      </c>
      <c r="O310" t="s">
        <v>149</v>
      </c>
      <c r="P310">
        <v>14</v>
      </c>
      <c r="Q310">
        <v>8</v>
      </c>
      <c r="R310">
        <v>0</v>
      </c>
      <c r="S310">
        <v>13845483</v>
      </c>
      <c r="T310">
        <v>55</v>
      </c>
      <c r="U310">
        <v>158</v>
      </c>
      <c r="V310">
        <v>17052.94270676927</v>
      </c>
      <c r="W310">
        <v>13845482.808370169</v>
      </c>
      <c r="X310">
        <v>949378.57799999998</v>
      </c>
      <c r="Y310">
        <f>VLOOKUP(AB310,'2000 Seattle Tracts'!$C$2:$Z$374,24,FALSE)</f>
        <v>2085784.0730000001</v>
      </c>
      <c r="Z310">
        <f t="shared" si="8"/>
        <v>0.45516628029214024</v>
      </c>
      <c r="AA310" t="s">
        <v>148</v>
      </c>
      <c r="AB310" t="str">
        <f t="shared" si="9"/>
        <v>Census Tract 78, King County, Washington</v>
      </c>
      <c r="AC310" s="3">
        <f>VLOOKUP($AB310,'2000 Seattle Tracts'!$C$2:$Y$374,AC$1,FALSE)*$Z310</f>
        <v>2319.9825306490388</v>
      </c>
      <c r="AD310" s="3">
        <f>VLOOKUP($AB310,'2000 Seattle Tracts'!$C$2:$Y$374,AD$1,FALSE)*$Z310</f>
        <v>2133.8195220095536</v>
      </c>
      <c r="AE310" s="3">
        <f>VLOOKUP($AB310,'2000 Seattle Tracts'!$C$2:$Y$374,AE$1,FALSE)*$Z310</f>
        <v>186.16300863948535</v>
      </c>
      <c r="AF310" s="3">
        <f>VLOOKUP($AB310,'2000 Seattle Tracts'!$C$2:$Y$374,AF$1,FALSE)*$Z310</f>
        <v>2319.9825306490388</v>
      </c>
      <c r="AG310" s="3">
        <f>VLOOKUP($AB310,'2000 Seattle Tracts'!$C$2:$Y$374,AG$1,FALSE)*$Z310</f>
        <v>2133.8195220095536</v>
      </c>
      <c r="AH310" s="3">
        <f>VLOOKUP($AB310,'2000 Seattle Tracts'!$C$2:$Y$374,AH$1,FALSE)*$Z310</f>
        <v>186.16300863948535</v>
      </c>
      <c r="AI310" s="3">
        <f>VLOOKUP($AB310,'2000 Seattle Tracts'!$C$2:$Y$374,AI$1,FALSE)*$Z310</f>
        <v>1515.2485470925349</v>
      </c>
      <c r="AJ310" s="3">
        <f>VLOOKUP($AB310,'2000 Seattle Tracts'!$C$2:$Y$374,AJ$1,FALSE)*$Z310</f>
        <v>132.4533875650128</v>
      </c>
      <c r="AK310" s="3">
        <f>VLOOKUP($AB310,'2000 Seattle Tracts'!$C$2:$Y$374,AK$1,FALSE)*$Z310</f>
        <v>24.578979135775572</v>
      </c>
      <c r="AL310" s="3">
        <f>VLOOKUP($AB310,'2000 Seattle Tracts'!$C$2:$Y$374,AL$1,FALSE)*$Z310</f>
        <v>0</v>
      </c>
      <c r="AM310" s="3">
        <f>VLOOKUP($AB310,'2000 Seattle Tracts'!$C$2:$Y$374,AM$1,FALSE)*$Z310</f>
        <v>441.96645816366816</v>
      </c>
      <c r="AN310" s="3">
        <f>VLOOKUP($AB310,'2000 Seattle Tracts'!$C$2:$Y$374,AN$1,FALSE)*$Z310</f>
        <v>16.841152370809187</v>
      </c>
      <c r="AO310" s="3">
        <f>VLOOKUP($AB310,'2000 Seattle Tracts'!$C$2:$Y$374,AO$1,FALSE)*$Z310</f>
        <v>44.151129188337606</v>
      </c>
      <c r="AP310" s="3">
        <f>VLOOKUP($AB310,'2000 Seattle Tracts'!$C$2:$Y$374,AP$1,FALSE)*$Z310</f>
        <v>3.6413302423371219</v>
      </c>
      <c r="AQ310" s="3">
        <f>VLOOKUP($AB310,'2000 Seattle Tracts'!$C$2:$Y$374,AQ$1,FALSE)*$Z310</f>
        <v>35.047803582494801</v>
      </c>
      <c r="AR310" s="3">
        <f>VLOOKUP($AB310,'2000 Seattle Tracts'!$C$2:$Y$374,AR$1,FALSE)*$Z310</f>
        <v>22.303147734314873</v>
      </c>
      <c r="AS310" s="3">
        <f>VLOOKUP($AB310,'2000 Seattle Tracts'!$C$2:$Y$374,AS$1,FALSE)*$Z310</f>
        <v>0</v>
      </c>
      <c r="AT310" s="3">
        <f>VLOOKUP($AB310,'2000 Seattle Tracts'!$C$2:$Y$374,AT$1,FALSE)*$Z310</f>
        <v>0</v>
      </c>
      <c r="AU310" s="3">
        <f>VLOOKUP($AB310,'2000 Seattle Tracts'!$C$2:$Y$374,AU$1,FALSE)*$Z310</f>
        <v>5.0068290832135425</v>
      </c>
      <c r="AV310" s="3">
        <f>VLOOKUP($AB310,'2000 Seattle Tracts'!$C$2:$Y$374,AV$1,FALSE)*$Z310</f>
        <v>0</v>
      </c>
      <c r="AW310" s="3">
        <f>VLOOKUP($AB310,'2000 Seattle Tracts'!$C$2:$Y$374,AW$1,FALSE)*$Z310</f>
        <v>67.819775763528895</v>
      </c>
      <c r="AX310" s="3">
        <f>VLOOKUP($AB310,'2000 Seattle Tracts'!$C$2:$Y$374,AX$1,FALSE)*$Z310</f>
        <v>10.923990727011365</v>
      </c>
    </row>
    <row r="311" spans="1:50" x14ac:dyDescent="0.25">
      <c r="A311" t="s">
        <v>2917</v>
      </c>
      <c r="B311" t="s">
        <v>2918</v>
      </c>
      <c r="C311" t="s">
        <v>3173</v>
      </c>
      <c r="D311" t="s">
        <v>2572</v>
      </c>
      <c r="E311" t="s">
        <v>2573</v>
      </c>
      <c r="F311" t="s">
        <v>2574</v>
      </c>
      <c r="G311" t="s">
        <v>2920</v>
      </c>
      <c r="H311" t="s">
        <v>2921</v>
      </c>
      <c r="I311">
        <v>2114574</v>
      </c>
      <c r="J311">
        <v>3212025</v>
      </c>
      <c r="K311" t="s">
        <v>3174</v>
      </c>
      <c r="L311" t="s">
        <v>3175</v>
      </c>
      <c r="M311">
        <v>54</v>
      </c>
      <c r="N311">
        <v>17241.273000000001</v>
      </c>
      <c r="O311" t="s">
        <v>149</v>
      </c>
      <c r="P311">
        <v>14</v>
      </c>
      <c r="Q311">
        <v>8</v>
      </c>
      <c r="R311">
        <v>94</v>
      </c>
      <c r="S311">
        <v>13603396</v>
      </c>
      <c r="T311">
        <v>56</v>
      </c>
      <c r="U311">
        <v>153</v>
      </c>
      <c r="V311">
        <v>17241.274319159489</v>
      </c>
      <c r="W311">
        <v>13603395.67284916</v>
      </c>
      <c r="X311">
        <v>606048.74600000004</v>
      </c>
      <c r="Y311">
        <f>VLOOKUP(AB311,'2000 Seattle Tracts'!$C$2:$Z$374,24,FALSE)</f>
        <v>2085784.0730000001</v>
      </c>
      <c r="Z311">
        <f t="shared" si="8"/>
        <v>0.29056159448389846</v>
      </c>
      <c r="AA311" t="s">
        <v>150</v>
      </c>
      <c r="AB311" t="str">
        <f t="shared" si="9"/>
        <v>Census Tract 78, King County, Washington</v>
      </c>
      <c r="AC311" s="3">
        <f>VLOOKUP($AB311,'2000 Seattle Tracts'!$C$2:$Y$374,AC$1,FALSE)*$Z311</f>
        <v>1480.9924470844305</v>
      </c>
      <c r="AD311" s="3">
        <f>VLOOKUP($AB311,'2000 Seattle Tracts'!$C$2:$Y$374,AD$1,FALSE)*$Z311</f>
        <v>1362.1527549405159</v>
      </c>
      <c r="AE311" s="3">
        <f>VLOOKUP($AB311,'2000 Seattle Tracts'!$C$2:$Y$374,AE$1,FALSE)*$Z311</f>
        <v>118.83969214391446</v>
      </c>
      <c r="AF311" s="3">
        <f>VLOOKUP($AB311,'2000 Seattle Tracts'!$C$2:$Y$374,AF$1,FALSE)*$Z311</f>
        <v>1480.9924470844305</v>
      </c>
      <c r="AG311" s="3">
        <f>VLOOKUP($AB311,'2000 Seattle Tracts'!$C$2:$Y$374,AG$1,FALSE)*$Z311</f>
        <v>1362.1527549405159</v>
      </c>
      <c r="AH311" s="3">
        <f>VLOOKUP($AB311,'2000 Seattle Tracts'!$C$2:$Y$374,AH$1,FALSE)*$Z311</f>
        <v>118.83969214391446</v>
      </c>
      <c r="AI311" s="3">
        <f>VLOOKUP($AB311,'2000 Seattle Tracts'!$C$2:$Y$374,AI$1,FALSE)*$Z311</f>
        <v>967.27954803689795</v>
      </c>
      <c r="AJ311" s="3">
        <f>VLOOKUP($AB311,'2000 Seattle Tracts'!$C$2:$Y$374,AJ$1,FALSE)*$Z311</f>
        <v>84.553423994814452</v>
      </c>
      <c r="AK311" s="3">
        <f>VLOOKUP($AB311,'2000 Seattle Tracts'!$C$2:$Y$374,AK$1,FALSE)*$Z311</f>
        <v>15.690326102130516</v>
      </c>
      <c r="AL311" s="3">
        <f>VLOOKUP($AB311,'2000 Seattle Tracts'!$C$2:$Y$374,AL$1,FALSE)*$Z311</f>
        <v>0</v>
      </c>
      <c r="AM311" s="3">
        <f>VLOOKUP($AB311,'2000 Seattle Tracts'!$C$2:$Y$374,AM$1,FALSE)*$Z311</f>
        <v>282.13530824386538</v>
      </c>
      <c r="AN311" s="3">
        <f>VLOOKUP($AB311,'2000 Seattle Tracts'!$C$2:$Y$374,AN$1,FALSE)*$Z311</f>
        <v>10.750778995904243</v>
      </c>
      <c r="AO311" s="3">
        <f>VLOOKUP($AB311,'2000 Seattle Tracts'!$C$2:$Y$374,AO$1,FALSE)*$Z311</f>
        <v>28.184474664938151</v>
      </c>
      <c r="AP311" s="3">
        <f>VLOOKUP($AB311,'2000 Seattle Tracts'!$C$2:$Y$374,AP$1,FALSE)*$Z311</f>
        <v>2.3244927558711876</v>
      </c>
      <c r="AQ311" s="3">
        <f>VLOOKUP($AB311,'2000 Seattle Tracts'!$C$2:$Y$374,AQ$1,FALSE)*$Z311</f>
        <v>22.373242775260181</v>
      </c>
      <c r="AR311" s="3">
        <f>VLOOKUP($AB311,'2000 Seattle Tracts'!$C$2:$Y$374,AR$1,FALSE)*$Z311</f>
        <v>14.237518129711024</v>
      </c>
      <c r="AS311" s="3">
        <f>VLOOKUP($AB311,'2000 Seattle Tracts'!$C$2:$Y$374,AS$1,FALSE)*$Z311</f>
        <v>0</v>
      </c>
      <c r="AT311" s="3">
        <f>VLOOKUP($AB311,'2000 Seattle Tracts'!$C$2:$Y$374,AT$1,FALSE)*$Z311</f>
        <v>0</v>
      </c>
      <c r="AU311" s="3">
        <f>VLOOKUP($AB311,'2000 Seattle Tracts'!$C$2:$Y$374,AU$1,FALSE)*$Z311</f>
        <v>3.1961775393228828</v>
      </c>
      <c r="AV311" s="3">
        <f>VLOOKUP($AB311,'2000 Seattle Tracts'!$C$2:$Y$374,AV$1,FALSE)*$Z311</f>
        <v>0</v>
      </c>
      <c r="AW311" s="3">
        <f>VLOOKUP($AB311,'2000 Seattle Tracts'!$C$2:$Y$374,AW$1,FALSE)*$Z311</f>
        <v>43.293677578100869</v>
      </c>
      <c r="AX311" s="3">
        <f>VLOOKUP($AB311,'2000 Seattle Tracts'!$C$2:$Y$374,AX$1,FALSE)*$Z311</f>
        <v>6.9734782676135634</v>
      </c>
    </row>
    <row r="312" spans="1:50" x14ac:dyDescent="0.25">
      <c r="A312" t="s">
        <v>2917</v>
      </c>
      <c r="B312" t="s">
        <v>2918</v>
      </c>
      <c r="C312" t="s">
        <v>3173</v>
      </c>
      <c r="D312" t="s">
        <v>2572</v>
      </c>
      <c r="E312" t="s">
        <v>2573</v>
      </c>
      <c r="F312" t="s">
        <v>2574</v>
      </c>
      <c r="G312" t="s">
        <v>2920</v>
      </c>
      <c r="H312" t="s">
        <v>2921</v>
      </c>
      <c r="I312">
        <v>2114574</v>
      </c>
      <c r="J312">
        <v>3212025</v>
      </c>
      <c r="K312" t="s">
        <v>3174</v>
      </c>
      <c r="L312" t="s">
        <v>3175</v>
      </c>
      <c r="M312">
        <v>56</v>
      </c>
      <c r="N312">
        <v>20413.057000000001</v>
      </c>
      <c r="O312" t="s">
        <v>149</v>
      </c>
      <c r="P312">
        <v>14</v>
      </c>
      <c r="Q312">
        <v>8</v>
      </c>
      <c r="R312">
        <v>19</v>
      </c>
      <c r="S312">
        <v>18091742</v>
      </c>
      <c r="T312">
        <v>58</v>
      </c>
      <c r="U312">
        <v>161</v>
      </c>
      <c r="V312">
        <v>20413.056051688221</v>
      </c>
      <c r="W312">
        <v>18091741.376667041</v>
      </c>
      <c r="X312">
        <v>522142.68</v>
      </c>
      <c r="Y312">
        <f>VLOOKUP(AB312,'2000 Seattle Tracts'!$C$2:$Z$374,24,FALSE)</f>
        <v>2085784.0730000001</v>
      </c>
      <c r="Z312">
        <f t="shared" si="8"/>
        <v>0.2503340047318503</v>
      </c>
      <c r="AA312" t="s">
        <v>152</v>
      </c>
      <c r="AB312" t="str">
        <f t="shared" si="9"/>
        <v>Census Tract 78, King County, Washington</v>
      </c>
      <c r="AC312" s="3">
        <f>VLOOKUP($AB312,'2000 Seattle Tracts'!$C$2:$Y$374,AC$1,FALSE)*$Z312</f>
        <v>1275.952422118241</v>
      </c>
      <c r="AD312" s="3">
        <f>VLOOKUP($AB312,'2000 Seattle Tracts'!$C$2:$Y$374,AD$1,FALSE)*$Z312</f>
        <v>1173.5658141829142</v>
      </c>
      <c r="AE312" s="3">
        <f>VLOOKUP($AB312,'2000 Seattle Tracts'!$C$2:$Y$374,AE$1,FALSE)*$Z312</f>
        <v>102.38660793532678</v>
      </c>
      <c r="AF312" s="3">
        <f>VLOOKUP($AB312,'2000 Seattle Tracts'!$C$2:$Y$374,AF$1,FALSE)*$Z312</f>
        <v>1275.952422118241</v>
      </c>
      <c r="AG312" s="3">
        <f>VLOOKUP($AB312,'2000 Seattle Tracts'!$C$2:$Y$374,AG$1,FALSE)*$Z312</f>
        <v>1173.5658141829142</v>
      </c>
      <c r="AH312" s="3">
        <f>VLOOKUP($AB312,'2000 Seattle Tracts'!$C$2:$Y$374,AH$1,FALSE)*$Z312</f>
        <v>102.38660793532678</v>
      </c>
      <c r="AI312" s="3">
        <f>VLOOKUP($AB312,'2000 Seattle Tracts'!$C$2:$Y$374,AI$1,FALSE)*$Z312</f>
        <v>833.36190175232969</v>
      </c>
      <c r="AJ312" s="3">
        <f>VLOOKUP($AB312,'2000 Seattle Tracts'!$C$2:$Y$374,AJ$1,FALSE)*$Z312</f>
        <v>72.847195376968443</v>
      </c>
      <c r="AK312" s="3">
        <f>VLOOKUP($AB312,'2000 Seattle Tracts'!$C$2:$Y$374,AK$1,FALSE)*$Z312</f>
        <v>13.518036255519917</v>
      </c>
      <c r="AL312" s="3">
        <f>VLOOKUP($AB312,'2000 Seattle Tracts'!$C$2:$Y$374,AL$1,FALSE)*$Z312</f>
        <v>0</v>
      </c>
      <c r="AM312" s="3">
        <f>VLOOKUP($AB312,'2000 Seattle Tracts'!$C$2:$Y$374,AM$1,FALSE)*$Z312</f>
        <v>243.07431859462665</v>
      </c>
      <c r="AN312" s="3">
        <f>VLOOKUP($AB312,'2000 Seattle Tracts'!$C$2:$Y$374,AN$1,FALSE)*$Z312</f>
        <v>9.2623581750784609</v>
      </c>
      <c r="AO312" s="3">
        <f>VLOOKUP($AB312,'2000 Seattle Tracts'!$C$2:$Y$374,AO$1,FALSE)*$Z312</f>
        <v>24.28239845898948</v>
      </c>
      <c r="AP312" s="3">
        <f>VLOOKUP($AB312,'2000 Seattle Tracts'!$C$2:$Y$374,AP$1,FALSE)*$Z312</f>
        <v>2.0026720378548024</v>
      </c>
      <c r="AQ312" s="3">
        <f>VLOOKUP($AB312,'2000 Seattle Tracts'!$C$2:$Y$374,AQ$1,FALSE)*$Z312</f>
        <v>19.275718364352475</v>
      </c>
      <c r="AR312" s="3">
        <f>VLOOKUP($AB312,'2000 Seattle Tracts'!$C$2:$Y$374,AR$1,FALSE)*$Z312</f>
        <v>12.266366231860665</v>
      </c>
      <c r="AS312" s="3">
        <f>VLOOKUP($AB312,'2000 Seattle Tracts'!$C$2:$Y$374,AS$1,FALSE)*$Z312</f>
        <v>0</v>
      </c>
      <c r="AT312" s="3">
        <f>VLOOKUP($AB312,'2000 Seattle Tracts'!$C$2:$Y$374,AT$1,FALSE)*$Z312</f>
        <v>0</v>
      </c>
      <c r="AU312" s="3">
        <f>VLOOKUP($AB312,'2000 Seattle Tracts'!$C$2:$Y$374,AU$1,FALSE)*$Z312</f>
        <v>2.7536740520503535</v>
      </c>
      <c r="AV312" s="3">
        <f>VLOOKUP($AB312,'2000 Seattle Tracts'!$C$2:$Y$374,AV$1,FALSE)*$Z312</f>
        <v>0</v>
      </c>
      <c r="AW312" s="3">
        <f>VLOOKUP($AB312,'2000 Seattle Tracts'!$C$2:$Y$374,AW$1,FALSE)*$Z312</f>
        <v>37.299766705045698</v>
      </c>
      <c r="AX312" s="3">
        <f>VLOOKUP($AB312,'2000 Seattle Tracts'!$C$2:$Y$374,AX$1,FALSE)*$Z312</f>
        <v>6.0080161135644072</v>
      </c>
    </row>
    <row r="313" spans="1:50" x14ac:dyDescent="0.25">
      <c r="A313" t="s">
        <v>2917</v>
      </c>
      <c r="B313" t="s">
        <v>2918</v>
      </c>
      <c r="C313" t="s">
        <v>3167</v>
      </c>
      <c r="D313" t="s">
        <v>2575</v>
      </c>
      <c r="E313" t="s">
        <v>2576</v>
      </c>
      <c r="F313" t="s">
        <v>2577</v>
      </c>
      <c r="G313" t="s">
        <v>2920</v>
      </c>
      <c r="H313" t="s">
        <v>2921</v>
      </c>
      <c r="I313">
        <v>1058325</v>
      </c>
      <c r="J313">
        <v>0</v>
      </c>
      <c r="K313" t="s">
        <v>3168</v>
      </c>
      <c r="L313" t="s">
        <v>3169</v>
      </c>
      <c r="M313">
        <v>53</v>
      </c>
      <c r="N313">
        <v>17052.942999999999</v>
      </c>
      <c r="O313" t="s">
        <v>149</v>
      </c>
      <c r="P313">
        <v>14</v>
      </c>
      <c r="Q313">
        <v>8</v>
      </c>
      <c r="R313">
        <v>0</v>
      </c>
      <c r="S313">
        <v>13845483</v>
      </c>
      <c r="T313">
        <v>55</v>
      </c>
      <c r="U313">
        <v>158</v>
      </c>
      <c r="V313">
        <v>17052.94270676927</v>
      </c>
      <c r="W313">
        <v>13845482.808370169</v>
      </c>
      <c r="X313">
        <v>186382.69699999999</v>
      </c>
      <c r="Y313">
        <f>VLOOKUP(AB313,'2000 Seattle Tracts'!$C$2:$Z$374,24,FALSE)</f>
        <v>1058324.871</v>
      </c>
      <c r="Z313">
        <f t="shared" si="8"/>
        <v>0.17611104312789033</v>
      </c>
      <c r="AA313" t="s">
        <v>148</v>
      </c>
      <c r="AB313" t="str">
        <f t="shared" si="9"/>
        <v>Census Tract 77, King County, Washington</v>
      </c>
      <c r="AC313" s="3">
        <f>VLOOKUP($AB313,'2000 Seattle Tracts'!$C$2:$Y$374,AC$1,FALSE)*$Z313</f>
        <v>702.68306208028241</v>
      </c>
      <c r="AD313" s="3">
        <f>VLOOKUP($AB313,'2000 Seattle Tracts'!$C$2:$Y$374,AD$1,FALSE)*$Z313</f>
        <v>643.15752950305546</v>
      </c>
      <c r="AE313" s="3">
        <f>VLOOKUP($AB313,'2000 Seattle Tracts'!$C$2:$Y$374,AE$1,FALSE)*$Z313</f>
        <v>59.525532577226933</v>
      </c>
      <c r="AF313" s="3">
        <f>VLOOKUP($AB313,'2000 Seattle Tracts'!$C$2:$Y$374,AF$1,FALSE)*$Z313</f>
        <v>702.68306208028241</v>
      </c>
      <c r="AG313" s="3">
        <f>VLOOKUP($AB313,'2000 Seattle Tracts'!$C$2:$Y$374,AG$1,FALSE)*$Z313</f>
        <v>643.15752950305546</v>
      </c>
      <c r="AH313" s="3">
        <f>VLOOKUP($AB313,'2000 Seattle Tracts'!$C$2:$Y$374,AH$1,FALSE)*$Z313</f>
        <v>59.525532577226933</v>
      </c>
      <c r="AI313" s="3">
        <f>VLOOKUP($AB313,'2000 Seattle Tracts'!$C$2:$Y$374,AI$1,FALSE)*$Z313</f>
        <v>315.23876719892371</v>
      </c>
      <c r="AJ313" s="3">
        <f>VLOOKUP($AB313,'2000 Seattle Tracts'!$C$2:$Y$374,AJ$1,FALSE)*$Z313</f>
        <v>32.932765064915493</v>
      </c>
      <c r="AK313" s="3">
        <f>VLOOKUP($AB313,'2000 Seattle Tracts'!$C$2:$Y$374,AK$1,FALSE)*$Z313</f>
        <v>3.1699987763020259</v>
      </c>
      <c r="AL313" s="3">
        <f>VLOOKUP($AB313,'2000 Seattle Tracts'!$C$2:$Y$374,AL$1,FALSE)*$Z313</f>
        <v>11.975550932696542</v>
      </c>
      <c r="AM313" s="3">
        <f>VLOOKUP($AB313,'2000 Seattle Tracts'!$C$2:$Y$374,AM$1,FALSE)*$Z313</f>
        <v>270.68267328756747</v>
      </c>
      <c r="AN313" s="3">
        <f>VLOOKUP($AB313,'2000 Seattle Tracts'!$C$2:$Y$374,AN$1,FALSE)*$Z313</f>
        <v>5.2833312938367101</v>
      </c>
      <c r="AO313" s="3">
        <f>VLOOKUP($AB313,'2000 Seattle Tracts'!$C$2:$Y$374,AO$1,FALSE)*$Z313</f>
        <v>5.4594423369646004</v>
      </c>
      <c r="AP313" s="3">
        <f>VLOOKUP($AB313,'2000 Seattle Tracts'!$C$2:$Y$374,AP$1,FALSE)*$Z313</f>
        <v>0</v>
      </c>
      <c r="AQ313" s="3">
        <f>VLOOKUP($AB313,'2000 Seattle Tracts'!$C$2:$Y$374,AQ$1,FALSE)*$Z313</f>
        <v>14.793327622742789</v>
      </c>
      <c r="AR313" s="3">
        <f>VLOOKUP($AB313,'2000 Seattle Tracts'!$C$2:$Y$374,AR$1,FALSE)*$Z313</f>
        <v>6.516108595731942</v>
      </c>
      <c r="AS313" s="3">
        <f>VLOOKUP($AB313,'2000 Seattle Tracts'!$C$2:$Y$374,AS$1,FALSE)*$Z313</f>
        <v>1.0566662587673421</v>
      </c>
      <c r="AT313" s="3">
        <f>VLOOKUP($AB313,'2000 Seattle Tracts'!$C$2:$Y$374,AT$1,FALSE)*$Z313</f>
        <v>0</v>
      </c>
      <c r="AU313" s="3">
        <f>VLOOKUP($AB313,'2000 Seattle Tracts'!$C$2:$Y$374,AU$1,FALSE)*$Z313</f>
        <v>7.0444417251156128</v>
      </c>
      <c r="AV313" s="3">
        <f>VLOOKUP($AB313,'2000 Seattle Tracts'!$C$2:$Y$374,AV$1,FALSE)*$Z313</f>
        <v>2.8177766900462453</v>
      </c>
      <c r="AW313" s="3">
        <f>VLOOKUP($AB313,'2000 Seattle Tracts'!$C$2:$Y$374,AW$1,FALSE)*$Z313</f>
        <v>25.712212296671989</v>
      </c>
      <c r="AX313" s="3">
        <f>VLOOKUP($AB313,'2000 Seattle Tracts'!$C$2:$Y$374,AX$1,FALSE)*$Z313</f>
        <v>0</v>
      </c>
    </row>
    <row r="314" spans="1:50" x14ac:dyDescent="0.25">
      <c r="A314" t="s">
        <v>2917</v>
      </c>
      <c r="B314" t="s">
        <v>2918</v>
      </c>
      <c r="C314" t="s">
        <v>3167</v>
      </c>
      <c r="D314" t="s">
        <v>2575</v>
      </c>
      <c r="E314" t="s">
        <v>2576</v>
      </c>
      <c r="F314" t="s">
        <v>2577</v>
      </c>
      <c r="G314" t="s">
        <v>2920</v>
      </c>
      <c r="H314" t="s">
        <v>2921</v>
      </c>
      <c r="I314">
        <v>1058325</v>
      </c>
      <c r="J314">
        <v>0</v>
      </c>
      <c r="K314" t="s">
        <v>3168</v>
      </c>
      <c r="L314" t="s">
        <v>3169</v>
      </c>
      <c r="M314">
        <v>54</v>
      </c>
      <c r="N314">
        <v>17241.273000000001</v>
      </c>
      <c r="O314" t="s">
        <v>149</v>
      </c>
      <c r="P314">
        <v>14</v>
      </c>
      <c r="Q314">
        <v>8</v>
      </c>
      <c r="R314">
        <v>94</v>
      </c>
      <c r="S314">
        <v>13603396</v>
      </c>
      <c r="T314">
        <v>56</v>
      </c>
      <c r="U314">
        <v>153</v>
      </c>
      <c r="V314">
        <v>17241.274319159489</v>
      </c>
      <c r="W314">
        <v>13603395.67284916</v>
      </c>
      <c r="X314">
        <v>209003.234</v>
      </c>
      <c r="Y314">
        <f>VLOOKUP(AB314,'2000 Seattle Tracts'!$C$2:$Z$374,24,FALSE)</f>
        <v>1058324.871</v>
      </c>
      <c r="Z314">
        <f t="shared" si="8"/>
        <v>0.19748494977965986</v>
      </c>
      <c r="AA314" t="s">
        <v>150</v>
      </c>
      <c r="AB314" t="str">
        <f t="shared" si="9"/>
        <v>Census Tract 77, King County, Washington</v>
      </c>
      <c r="AC314" s="3">
        <f>VLOOKUP($AB314,'2000 Seattle Tracts'!$C$2:$Y$374,AC$1,FALSE)*$Z314</f>
        <v>787.96494962084284</v>
      </c>
      <c r="AD314" s="3">
        <f>VLOOKUP($AB314,'2000 Seattle Tracts'!$C$2:$Y$374,AD$1,FALSE)*$Z314</f>
        <v>721.21503659531777</v>
      </c>
      <c r="AE314" s="3">
        <f>VLOOKUP($AB314,'2000 Seattle Tracts'!$C$2:$Y$374,AE$1,FALSE)*$Z314</f>
        <v>66.749913025525032</v>
      </c>
      <c r="AF314" s="3">
        <f>VLOOKUP($AB314,'2000 Seattle Tracts'!$C$2:$Y$374,AF$1,FALSE)*$Z314</f>
        <v>787.96494962084284</v>
      </c>
      <c r="AG314" s="3">
        <f>VLOOKUP($AB314,'2000 Seattle Tracts'!$C$2:$Y$374,AG$1,FALSE)*$Z314</f>
        <v>721.21503659531777</v>
      </c>
      <c r="AH314" s="3">
        <f>VLOOKUP($AB314,'2000 Seattle Tracts'!$C$2:$Y$374,AH$1,FALSE)*$Z314</f>
        <v>66.749913025525032</v>
      </c>
      <c r="AI314" s="3">
        <f>VLOOKUP($AB314,'2000 Seattle Tracts'!$C$2:$Y$374,AI$1,FALSE)*$Z314</f>
        <v>353.49806010559115</v>
      </c>
      <c r="AJ314" s="3">
        <f>VLOOKUP($AB314,'2000 Seattle Tracts'!$C$2:$Y$374,AJ$1,FALSE)*$Z314</f>
        <v>36.92968560879639</v>
      </c>
      <c r="AK314" s="3">
        <f>VLOOKUP($AB314,'2000 Seattle Tracts'!$C$2:$Y$374,AK$1,FALSE)*$Z314</f>
        <v>3.5547290960338773</v>
      </c>
      <c r="AL314" s="3">
        <f>VLOOKUP($AB314,'2000 Seattle Tracts'!$C$2:$Y$374,AL$1,FALSE)*$Z314</f>
        <v>13.428976585016871</v>
      </c>
      <c r="AM314" s="3">
        <f>VLOOKUP($AB314,'2000 Seattle Tracts'!$C$2:$Y$374,AM$1,FALSE)*$Z314</f>
        <v>303.53436781133718</v>
      </c>
      <c r="AN314" s="3">
        <f>VLOOKUP($AB314,'2000 Seattle Tracts'!$C$2:$Y$374,AN$1,FALSE)*$Z314</f>
        <v>5.9245484933897954</v>
      </c>
      <c r="AO314" s="3">
        <f>VLOOKUP($AB314,'2000 Seattle Tracts'!$C$2:$Y$374,AO$1,FALSE)*$Z314</f>
        <v>6.1220334431694559</v>
      </c>
      <c r="AP314" s="3">
        <f>VLOOKUP($AB314,'2000 Seattle Tracts'!$C$2:$Y$374,AP$1,FALSE)*$Z314</f>
        <v>0</v>
      </c>
      <c r="AQ314" s="3">
        <f>VLOOKUP($AB314,'2000 Seattle Tracts'!$C$2:$Y$374,AQ$1,FALSE)*$Z314</f>
        <v>16.58873578149143</v>
      </c>
      <c r="AR314" s="3">
        <f>VLOOKUP($AB314,'2000 Seattle Tracts'!$C$2:$Y$374,AR$1,FALSE)*$Z314</f>
        <v>7.3069431418474151</v>
      </c>
      <c r="AS314" s="3">
        <f>VLOOKUP($AB314,'2000 Seattle Tracts'!$C$2:$Y$374,AS$1,FALSE)*$Z314</f>
        <v>1.1849096986779593</v>
      </c>
      <c r="AT314" s="3">
        <f>VLOOKUP($AB314,'2000 Seattle Tracts'!$C$2:$Y$374,AT$1,FALSE)*$Z314</f>
        <v>0</v>
      </c>
      <c r="AU314" s="3">
        <f>VLOOKUP($AB314,'2000 Seattle Tracts'!$C$2:$Y$374,AU$1,FALSE)*$Z314</f>
        <v>7.8993979911863939</v>
      </c>
      <c r="AV314" s="3">
        <f>VLOOKUP($AB314,'2000 Seattle Tracts'!$C$2:$Y$374,AV$1,FALSE)*$Z314</f>
        <v>3.1597591964745577</v>
      </c>
      <c r="AW314" s="3">
        <f>VLOOKUP($AB314,'2000 Seattle Tracts'!$C$2:$Y$374,AW$1,FALSE)*$Z314</f>
        <v>28.83280266783034</v>
      </c>
      <c r="AX314" s="3">
        <f>VLOOKUP($AB314,'2000 Seattle Tracts'!$C$2:$Y$374,AX$1,FALSE)*$Z314</f>
        <v>0</v>
      </c>
    </row>
    <row r="315" spans="1:50" x14ac:dyDescent="0.25">
      <c r="A315" t="s">
        <v>2917</v>
      </c>
      <c r="B315" t="s">
        <v>2918</v>
      </c>
      <c r="C315" t="s">
        <v>3167</v>
      </c>
      <c r="D315" t="s">
        <v>2575</v>
      </c>
      <c r="E315" t="s">
        <v>2576</v>
      </c>
      <c r="F315" t="s">
        <v>2577</v>
      </c>
      <c r="G315" t="s">
        <v>2920</v>
      </c>
      <c r="H315" t="s">
        <v>2921</v>
      </c>
      <c r="I315">
        <v>1058325</v>
      </c>
      <c r="J315">
        <v>0</v>
      </c>
      <c r="K315" t="s">
        <v>3168</v>
      </c>
      <c r="L315" t="s">
        <v>3169</v>
      </c>
      <c r="M315">
        <v>55</v>
      </c>
      <c r="N315">
        <v>18241.548999999999</v>
      </c>
      <c r="O315" t="s">
        <v>149</v>
      </c>
      <c r="P315">
        <v>14</v>
      </c>
      <c r="Q315">
        <v>8</v>
      </c>
      <c r="R315">
        <v>94</v>
      </c>
      <c r="S315">
        <v>17933144</v>
      </c>
      <c r="T315">
        <v>57</v>
      </c>
      <c r="U315">
        <v>157</v>
      </c>
      <c r="V315">
        <v>18241.548785981169</v>
      </c>
      <c r="W315">
        <v>17933144.708401948</v>
      </c>
      <c r="X315">
        <v>342.423</v>
      </c>
      <c r="Y315">
        <f>VLOOKUP(AB315,'2000 Seattle Tracts'!$C$2:$Z$374,24,FALSE)</f>
        <v>1058324.871</v>
      </c>
      <c r="Z315">
        <f t="shared" si="8"/>
        <v>3.2355187842883075E-4</v>
      </c>
      <c r="AA315" t="s">
        <v>151</v>
      </c>
      <c r="AB315" t="str">
        <f t="shared" si="9"/>
        <v>Census Tract 77, King County, Washington</v>
      </c>
      <c r="AC315" s="3">
        <f>VLOOKUP($AB315,'2000 Seattle Tracts'!$C$2:$Y$374,AC$1,FALSE)*$Z315</f>
        <v>1.2909719949310348</v>
      </c>
      <c r="AD315" s="3">
        <f>VLOOKUP($AB315,'2000 Seattle Tracts'!$C$2:$Y$374,AD$1,FALSE)*$Z315</f>
        <v>1.1816114600220899</v>
      </c>
      <c r="AE315" s="3">
        <f>VLOOKUP($AB315,'2000 Seattle Tracts'!$C$2:$Y$374,AE$1,FALSE)*$Z315</f>
        <v>0.10936053490894479</v>
      </c>
      <c r="AF315" s="3">
        <f>VLOOKUP($AB315,'2000 Seattle Tracts'!$C$2:$Y$374,AF$1,FALSE)*$Z315</f>
        <v>1.2909719949310348</v>
      </c>
      <c r="AG315" s="3">
        <f>VLOOKUP($AB315,'2000 Seattle Tracts'!$C$2:$Y$374,AG$1,FALSE)*$Z315</f>
        <v>1.1816114600220899</v>
      </c>
      <c r="AH315" s="3">
        <f>VLOOKUP($AB315,'2000 Seattle Tracts'!$C$2:$Y$374,AH$1,FALSE)*$Z315</f>
        <v>0.10936053490894479</v>
      </c>
      <c r="AI315" s="3">
        <f>VLOOKUP($AB315,'2000 Seattle Tracts'!$C$2:$Y$374,AI$1,FALSE)*$Z315</f>
        <v>0.57915786238760703</v>
      </c>
      <c r="AJ315" s="3">
        <f>VLOOKUP($AB315,'2000 Seattle Tracts'!$C$2:$Y$374,AJ$1,FALSE)*$Z315</f>
        <v>6.0504201266191354E-2</v>
      </c>
      <c r="AK315" s="3">
        <f>VLOOKUP($AB315,'2000 Seattle Tracts'!$C$2:$Y$374,AK$1,FALSE)*$Z315</f>
        <v>5.8239338117189532E-3</v>
      </c>
      <c r="AL315" s="3">
        <f>VLOOKUP($AB315,'2000 Seattle Tracts'!$C$2:$Y$374,AL$1,FALSE)*$Z315</f>
        <v>2.2001527733160491E-2</v>
      </c>
      <c r="AM315" s="3">
        <f>VLOOKUP($AB315,'2000 Seattle Tracts'!$C$2:$Y$374,AM$1,FALSE)*$Z315</f>
        <v>0.49729923714511287</v>
      </c>
      <c r="AN315" s="3">
        <f>VLOOKUP($AB315,'2000 Seattle Tracts'!$C$2:$Y$374,AN$1,FALSE)*$Z315</f>
        <v>9.7065563528649229E-3</v>
      </c>
      <c r="AO315" s="3">
        <f>VLOOKUP($AB315,'2000 Seattle Tracts'!$C$2:$Y$374,AO$1,FALSE)*$Z315</f>
        <v>1.0030108231293753E-2</v>
      </c>
      <c r="AP315" s="3">
        <f>VLOOKUP($AB315,'2000 Seattle Tracts'!$C$2:$Y$374,AP$1,FALSE)*$Z315</f>
        <v>0</v>
      </c>
      <c r="AQ315" s="3">
        <f>VLOOKUP($AB315,'2000 Seattle Tracts'!$C$2:$Y$374,AQ$1,FALSE)*$Z315</f>
        <v>2.7178357788021783E-2</v>
      </c>
      <c r="AR315" s="3">
        <f>VLOOKUP($AB315,'2000 Seattle Tracts'!$C$2:$Y$374,AR$1,FALSE)*$Z315</f>
        <v>1.1971419501866738E-2</v>
      </c>
      <c r="AS315" s="3">
        <f>VLOOKUP($AB315,'2000 Seattle Tracts'!$C$2:$Y$374,AS$1,FALSE)*$Z315</f>
        <v>1.9413112705729844E-3</v>
      </c>
      <c r="AT315" s="3">
        <f>VLOOKUP($AB315,'2000 Seattle Tracts'!$C$2:$Y$374,AT$1,FALSE)*$Z315</f>
        <v>0</v>
      </c>
      <c r="AU315" s="3">
        <f>VLOOKUP($AB315,'2000 Seattle Tracts'!$C$2:$Y$374,AU$1,FALSE)*$Z315</f>
        <v>1.2942075137153231E-2</v>
      </c>
      <c r="AV315" s="3">
        <f>VLOOKUP($AB315,'2000 Seattle Tracts'!$C$2:$Y$374,AV$1,FALSE)*$Z315</f>
        <v>5.176830054861292E-3</v>
      </c>
      <c r="AW315" s="3">
        <f>VLOOKUP($AB315,'2000 Seattle Tracts'!$C$2:$Y$374,AW$1,FALSE)*$Z315</f>
        <v>4.7238574250609289E-2</v>
      </c>
      <c r="AX315" s="3">
        <f>VLOOKUP($AB315,'2000 Seattle Tracts'!$C$2:$Y$374,AX$1,FALSE)*$Z315</f>
        <v>0</v>
      </c>
    </row>
    <row r="316" spans="1:50" x14ac:dyDescent="0.25">
      <c r="A316" t="s">
        <v>2917</v>
      </c>
      <c r="B316" t="s">
        <v>2918</v>
      </c>
      <c r="C316" t="s">
        <v>3167</v>
      </c>
      <c r="D316" t="s">
        <v>2575</v>
      </c>
      <c r="E316" t="s">
        <v>2576</v>
      </c>
      <c r="F316" t="s">
        <v>2577</v>
      </c>
      <c r="G316" t="s">
        <v>2920</v>
      </c>
      <c r="H316" t="s">
        <v>2921</v>
      </c>
      <c r="I316">
        <v>1058325</v>
      </c>
      <c r="J316">
        <v>0</v>
      </c>
      <c r="K316" t="s">
        <v>3168</v>
      </c>
      <c r="L316" t="s">
        <v>3169</v>
      </c>
      <c r="M316">
        <v>57</v>
      </c>
      <c r="N316">
        <v>17843.105</v>
      </c>
      <c r="O316" t="s">
        <v>149</v>
      </c>
      <c r="P316">
        <v>14</v>
      </c>
      <c r="Q316">
        <v>8</v>
      </c>
      <c r="R316">
        <v>95</v>
      </c>
      <c r="S316">
        <v>11133829</v>
      </c>
      <c r="T316">
        <v>59</v>
      </c>
      <c r="U316">
        <v>155</v>
      </c>
      <c r="V316">
        <v>17843.105758736041</v>
      </c>
      <c r="W316">
        <v>11133828.86204724</v>
      </c>
      <c r="X316">
        <v>453271.94699999999</v>
      </c>
      <c r="Y316">
        <f>VLOOKUP(AB316,'2000 Seattle Tracts'!$C$2:$Z$374,24,FALSE)</f>
        <v>1058324.871</v>
      </c>
      <c r="Z316">
        <f t="shared" si="8"/>
        <v>0.42829187843965916</v>
      </c>
      <c r="AA316" t="s">
        <v>153</v>
      </c>
      <c r="AB316" t="str">
        <f t="shared" si="9"/>
        <v>Census Tract 77, King County, Washington</v>
      </c>
      <c r="AC316" s="3">
        <f>VLOOKUP($AB316,'2000 Seattle Tracts'!$C$2:$Y$374,AC$1,FALSE)*$Z316</f>
        <v>1708.8845949742401</v>
      </c>
      <c r="AD316" s="3">
        <f>VLOOKUP($AB316,'2000 Seattle Tracts'!$C$2:$Y$374,AD$1,FALSE)*$Z316</f>
        <v>1564.1219400616353</v>
      </c>
      <c r="AE316" s="3">
        <f>VLOOKUP($AB316,'2000 Seattle Tracts'!$C$2:$Y$374,AE$1,FALSE)*$Z316</f>
        <v>144.7626549126048</v>
      </c>
      <c r="AF316" s="3">
        <f>VLOOKUP($AB316,'2000 Seattle Tracts'!$C$2:$Y$374,AF$1,FALSE)*$Z316</f>
        <v>1708.8845949742401</v>
      </c>
      <c r="AG316" s="3">
        <f>VLOOKUP($AB316,'2000 Seattle Tracts'!$C$2:$Y$374,AG$1,FALSE)*$Z316</f>
        <v>1564.1219400616353</v>
      </c>
      <c r="AH316" s="3">
        <f>VLOOKUP($AB316,'2000 Seattle Tracts'!$C$2:$Y$374,AH$1,FALSE)*$Z316</f>
        <v>144.7626549126048</v>
      </c>
      <c r="AI316" s="3">
        <f>VLOOKUP($AB316,'2000 Seattle Tracts'!$C$2:$Y$374,AI$1,FALSE)*$Z316</f>
        <v>766.64246240698992</v>
      </c>
      <c r="AJ316" s="3">
        <f>VLOOKUP($AB316,'2000 Seattle Tracts'!$C$2:$Y$374,AJ$1,FALSE)*$Z316</f>
        <v>80.090581268216269</v>
      </c>
      <c r="AK316" s="3">
        <f>VLOOKUP($AB316,'2000 Seattle Tracts'!$C$2:$Y$374,AK$1,FALSE)*$Z316</f>
        <v>7.7092538119138645</v>
      </c>
      <c r="AL316" s="3">
        <f>VLOOKUP($AB316,'2000 Seattle Tracts'!$C$2:$Y$374,AL$1,FALSE)*$Z316</f>
        <v>29.123847733896824</v>
      </c>
      <c r="AM316" s="3">
        <f>VLOOKUP($AB316,'2000 Seattle Tracts'!$C$2:$Y$374,AM$1,FALSE)*$Z316</f>
        <v>658.28461716175616</v>
      </c>
      <c r="AN316" s="3">
        <f>VLOOKUP($AB316,'2000 Seattle Tracts'!$C$2:$Y$374,AN$1,FALSE)*$Z316</f>
        <v>12.848756353189774</v>
      </c>
      <c r="AO316" s="3">
        <f>VLOOKUP($AB316,'2000 Seattle Tracts'!$C$2:$Y$374,AO$1,FALSE)*$Z316</f>
        <v>13.277048231629434</v>
      </c>
      <c r="AP316" s="3">
        <f>VLOOKUP($AB316,'2000 Seattle Tracts'!$C$2:$Y$374,AP$1,FALSE)*$Z316</f>
        <v>0</v>
      </c>
      <c r="AQ316" s="3">
        <f>VLOOKUP($AB316,'2000 Seattle Tracts'!$C$2:$Y$374,AQ$1,FALSE)*$Z316</f>
        <v>35.976517788931368</v>
      </c>
      <c r="AR316" s="3">
        <f>VLOOKUP($AB316,'2000 Seattle Tracts'!$C$2:$Y$374,AR$1,FALSE)*$Z316</f>
        <v>15.846799502267389</v>
      </c>
      <c r="AS316" s="3">
        <f>VLOOKUP($AB316,'2000 Seattle Tracts'!$C$2:$Y$374,AS$1,FALSE)*$Z316</f>
        <v>2.5697512706379548</v>
      </c>
      <c r="AT316" s="3">
        <f>VLOOKUP($AB316,'2000 Seattle Tracts'!$C$2:$Y$374,AT$1,FALSE)*$Z316</f>
        <v>0</v>
      </c>
      <c r="AU316" s="3">
        <f>VLOOKUP($AB316,'2000 Seattle Tracts'!$C$2:$Y$374,AU$1,FALSE)*$Z316</f>
        <v>17.131675137586367</v>
      </c>
      <c r="AV316" s="3">
        <f>VLOOKUP($AB316,'2000 Seattle Tracts'!$C$2:$Y$374,AV$1,FALSE)*$Z316</f>
        <v>6.8526700550345465</v>
      </c>
      <c r="AW316" s="3">
        <f>VLOOKUP($AB316,'2000 Seattle Tracts'!$C$2:$Y$374,AW$1,FALSE)*$Z316</f>
        <v>62.53061425219024</v>
      </c>
      <c r="AX316" s="3">
        <f>VLOOKUP($AB316,'2000 Seattle Tracts'!$C$2:$Y$374,AX$1,FALSE)*$Z316</f>
        <v>0</v>
      </c>
    </row>
    <row r="317" spans="1:50" x14ac:dyDescent="0.25">
      <c r="A317" t="s">
        <v>2917</v>
      </c>
      <c r="B317" t="s">
        <v>2918</v>
      </c>
      <c r="C317" t="s">
        <v>3167</v>
      </c>
      <c r="D317" t="s">
        <v>2575</v>
      </c>
      <c r="E317" t="s">
        <v>2576</v>
      </c>
      <c r="F317" t="s">
        <v>2577</v>
      </c>
      <c r="G317" t="s">
        <v>2920</v>
      </c>
      <c r="H317" t="s">
        <v>2921</v>
      </c>
      <c r="I317">
        <v>1058325</v>
      </c>
      <c r="J317">
        <v>0</v>
      </c>
      <c r="K317" t="s">
        <v>3168</v>
      </c>
      <c r="L317" t="s">
        <v>3169</v>
      </c>
      <c r="M317">
        <v>101</v>
      </c>
      <c r="N317">
        <v>25522.346000000001</v>
      </c>
      <c r="O317" t="s">
        <v>201</v>
      </c>
      <c r="P317">
        <v>11</v>
      </c>
      <c r="Q317">
        <v>3</v>
      </c>
      <c r="R317">
        <v>23</v>
      </c>
      <c r="S317">
        <v>26039592</v>
      </c>
      <c r="T317">
        <v>103</v>
      </c>
      <c r="U317">
        <v>149</v>
      </c>
      <c r="V317">
        <v>25522.345636876809</v>
      </c>
      <c r="W317">
        <v>26039592.07912118</v>
      </c>
      <c r="X317">
        <v>209324.57</v>
      </c>
      <c r="Y317">
        <f>VLOOKUP(AB317,'2000 Seattle Tracts'!$C$2:$Z$374,24,FALSE)</f>
        <v>1058324.871</v>
      </c>
      <c r="Z317">
        <f t="shared" si="8"/>
        <v>0.19778857677436176</v>
      </c>
      <c r="AA317" t="s">
        <v>205</v>
      </c>
      <c r="AB317" t="str">
        <f t="shared" si="9"/>
        <v>Census Tract 77, King County, Washington</v>
      </c>
      <c r="AC317" s="3">
        <f>VLOOKUP($AB317,'2000 Seattle Tracts'!$C$2:$Y$374,AC$1,FALSE)*$Z317</f>
        <v>789.17642132970343</v>
      </c>
      <c r="AD317" s="3">
        <f>VLOOKUP($AB317,'2000 Seattle Tracts'!$C$2:$Y$374,AD$1,FALSE)*$Z317</f>
        <v>722.32388237996918</v>
      </c>
      <c r="AE317" s="3">
        <f>VLOOKUP($AB317,'2000 Seattle Tracts'!$C$2:$Y$374,AE$1,FALSE)*$Z317</f>
        <v>66.852538949734281</v>
      </c>
      <c r="AF317" s="3">
        <f>VLOOKUP($AB317,'2000 Seattle Tracts'!$C$2:$Y$374,AF$1,FALSE)*$Z317</f>
        <v>789.17642132970343</v>
      </c>
      <c r="AG317" s="3">
        <f>VLOOKUP($AB317,'2000 Seattle Tracts'!$C$2:$Y$374,AG$1,FALSE)*$Z317</f>
        <v>722.32388237996918</v>
      </c>
      <c r="AH317" s="3">
        <f>VLOOKUP($AB317,'2000 Seattle Tracts'!$C$2:$Y$374,AH$1,FALSE)*$Z317</f>
        <v>66.852538949734281</v>
      </c>
      <c r="AI317" s="3">
        <f>VLOOKUP($AB317,'2000 Seattle Tracts'!$C$2:$Y$374,AI$1,FALSE)*$Z317</f>
        <v>354.04155242610756</v>
      </c>
      <c r="AJ317" s="3">
        <f>VLOOKUP($AB317,'2000 Seattle Tracts'!$C$2:$Y$374,AJ$1,FALSE)*$Z317</f>
        <v>36.986463856805649</v>
      </c>
      <c r="AK317" s="3">
        <f>VLOOKUP($AB317,'2000 Seattle Tracts'!$C$2:$Y$374,AK$1,FALSE)*$Z317</f>
        <v>3.5601943819385116</v>
      </c>
      <c r="AL317" s="3">
        <f>VLOOKUP($AB317,'2000 Seattle Tracts'!$C$2:$Y$374,AL$1,FALSE)*$Z317</f>
        <v>13.4496232206566</v>
      </c>
      <c r="AM317" s="3">
        <f>VLOOKUP($AB317,'2000 Seattle Tracts'!$C$2:$Y$374,AM$1,FALSE)*$Z317</f>
        <v>304.00104250219403</v>
      </c>
      <c r="AN317" s="3">
        <f>VLOOKUP($AB317,'2000 Seattle Tracts'!$C$2:$Y$374,AN$1,FALSE)*$Z317</f>
        <v>5.9336573032308531</v>
      </c>
      <c r="AO317" s="3">
        <f>VLOOKUP($AB317,'2000 Seattle Tracts'!$C$2:$Y$374,AO$1,FALSE)*$Z317</f>
        <v>6.1314458800052147</v>
      </c>
      <c r="AP317" s="3">
        <f>VLOOKUP($AB317,'2000 Seattle Tracts'!$C$2:$Y$374,AP$1,FALSE)*$Z317</f>
        <v>0</v>
      </c>
      <c r="AQ317" s="3">
        <f>VLOOKUP($AB317,'2000 Seattle Tracts'!$C$2:$Y$374,AQ$1,FALSE)*$Z317</f>
        <v>16.614240449046388</v>
      </c>
      <c r="AR317" s="3">
        <f>VLOOKUP($AB317,'2000 Seattle Tracts'!$C$2:$Y$374,AR$1,FALSE)*$Z317</f>
        <v>7.3181773406513848</v>
      </c>
      <c r="AS317" s="3">
        <f>VLOOKUP($AB317,'2000 Seattle Tracts'!$C$2:$Y$374,AS$1,FALSE)*$Z317</f>
        <v>1.1867314606461705</v>
      </c>
      <c r="AT317" s="3">
        <f>VLOOKUP($AB317,'2000 Seattle Tracts'!$C$2:$Y$374,AT$1,FALSE)*$Z317</f>
        <v>0</v>
      </c>
      <c r="AU317" s="3">
        <f>VLOOKUP($AB317,'2000 Seattle Tracts'!$C$2:$Y$374,AU$1,FALSE)*$Z317</f>
        <v>7.9115430709744707</v>
      </c>
      <c r="AV317" s="3">
        <f>VLOOKUP($AB317,'2000 Seattle Tracts'!$C$2:$Y$374,AV$1,FALSE)*$Z317</f>
        <v>3.1646172283897882</v>
      </c>
      <c r="AW317" s="3">
        <f>VLOOKUP($AB317,'2000 Seattle Tracts'!$C$2:$Y$374,AW$1,FALSE)*$Z317</f>
        <v>28.877132209056818</v>
      </c>
      <c r="AX317" s="3">
        <f>VLOOKUP($AB317,'2000 Seattle Tracts'!$C$2:$Y$374,AX$1,FALSE)*$Z317</f>
        <v>0</v>
      </c>
    </row>
    <row r="318" spans="1:50" x14ac:dyDescent="0.25">
      <c r="A318" t="s">
        <v>2917</v>
      </c>
      <c r="B318" t="s">
        <v>2918</v>
      </c>
      <c r="C318" t="s">
        <v>3170</v>
      </c>
      <c r="D318" t="s">
        <v>2578</v>
      </c>
      <c r="E318" t="s">
        <v>2579</v>
      </c>
      <c r="F318" t="s">
        <v>2580</v>
      </c>
      <c r="G318" t="s">
        <v>2920</v>
      </c>
      <c r="H318" t="s">
        <v>2921</v>
      </c>
      <c r="I318">
        <v>571878</v>
      </c>
      <c r="J318">
        <v>0</v>
      </c>
      <c r="K318" t="s">
        <v>3171</v>
      </c>
      <c r="L318" t="s">
        <v>3172</v>
      </c>
      <c r="M318">
        <v>100</v>
      </c>
      <c r="N318">
        <v>26851.947</v>
      </c>
      <c r="O318" t="s">
        <v>201</v>
      </c>
      <c r="P318">
        <v>11</v>
      </c>
      <c r="Q318">
        <v>3</v>
      </c>
      <c r="R318">
        <v>0</v>
      </c>
      <c r="S318">
        <v>30239240</v>
      </c>
      <c r="T318">
        <v>102</v>
      </c>
      <c r="U318">
        <v>151</v>
      </c>
      <c r="V318">
        <v>26851.9474418256</v>
      </c>
      <c r="W318">
        <v>30239240.52129779</v>
      </c>
      <c r="X318">
        <v>326.63600000000002</v>
      </c>
      <c r="Y318">
        <f>VLOOKUP(AB318,'2000 Seattle Tracts'!$C$2:$Z$374,24,FALSE)</f>
        <v>571878.897</v>
      </c>
      <c r="Z318">
        <f t="shared" si="8"/>
        <v>5.7116288380894742E-4</v>
      </c>
      <c r="AA318" t="s">
        <v>204</v>
      </c>
      <c r="AB318" t="str">
        <f t="shared" si="9"/>
        <v>Census Tract 76, King County, Washington</v>
      </c>
      <c r="AC318" s="3">
        <f>VLOOKUP($AB318,'2000 Seattle Tracts'!$C$2:$Y$374,AC$1,FALSE)*$Z318</f>
        <v>1.8625621641009775</v>
      </c>
      <c r="AD318" s="3">
        <f>VLOOKUP($AB318,'2000 Seattle Tracts'!$C$2:$Y$374,AD$1,FALSE)*$Z318</f>
        <v>1.7283388864058749</v>
      </c>
      <c r="AE318" s="3">
        <f>VLOOKUP($AB318,'2000 Seattle Tracts'!$C$2:$Y$374,AE$1,FALSE)*$Z318</f>
        <v>0.13422327769510264</v>
      </c>
      <c r="AF318" s="3">
        <f>VLOOKUP($AB318,'2000 Seattle Tracts'!$C$2:$Y$374,AF$1,FALSE)*$Z318</f>
        <v>1.8625621641009775</v>
      </c>
      <c r="AG318" s="3">
        <f>VLOOKUP($AB318,'2000 Seattle Tracts'!$C$2:$Y$374,AG$1,FALSE)*$Z318</f>
        <v>1.7283388864058749</v>
      </c>
      <c r="AH318" s="3">
        <f>VLOOKUP($AB318,'2000 Seattle Tracts'!$C$2:$Y$374,AH$1,FALSE)*$Z318</f>
        <v>0.13422327769510264</v>
      </c>
      <c r="AI318" s="3">
        <f>VLOOKUP($AB318,'2000 Seattle Tracts'!$C$2:$Y$374,AI$1,FALSE)*$Z318</f>
        <v>1.2508467155415948</v>
      </c>
      <c r="AJ318" s="3">
        <f>VLOOKUP($AB318,'2000 Seattle Tracts'!$C$2:$Y$374,AJ$1,FALSE)*$Z318</f>
        <v>8.0533966617061581E-2</v>
      </c>
      <c r="AK318" s="3">
        <f>VLOOKUP($AB318,'2000 Seattle Tracts'!$C$2:$Y$374,AK$1,FALSE)*$Z318</f>
        <v>3.8839076099008427E-2</v>
      </c>
      <c r="AL318" s="3">
        <f>VLOOKUP($AB318,'2000 Seattle Tracts'!$C$2:$Y$374,AL$1,FALSE)*$Z318</f>
        <v>4.5693030704715793E-3</v>
      </c>
      <c r="AM318" s="3">
        <f>VLOOKUP($AB318,'2000 Seattle Tracts'!$C$2:$Y$374,AM$1,FALSE)*$Z318</f>
        <v>0.27130236980925004</v>
      </c>
      <c r="AN318" s="3">
        <f>VLOOKUP($AB318,'2000 Seattle Tracts'!$C$2:$Y$374,AN$1,FALSE)*$Z318</f>
        <v>8.5674432571342107E-3</v>
      </c>
      <c r="AO318" s="3">
        <f>VLOOKUP($AB318,'2000 Seattle Tracts'!$C$2:$Y$374,AO$1,FALSE)*$Z318</f>
        <v>1.4279072095223685E-2</v>
      </c>
      <c r="AP318" s="3">
        <f>VLOOKUP($AB318,'2000 Seattle Tracts'!$C$2:$Y$374,AP$1,FALSE)*$Z318</f>
        <v>0</v>
      </c>
      <c r="AQ318" s="3">
        <f>VLOOKUP($AB318,'2000 Seattle Tracts'!$C$2:$Y$374,AQ$1,FALSE)*$Z318</f>
        <v>5.1404659542805264E-2</v>
      </c>
      <c r="AR318" s="3">
        <f>VLOOKUP($AB318,'2000 Seattle Tracts'!$C$2:$Y$374,AR$1,FALSE)*$Z318</f>
        <v>2.2275352468548948E-2</v>
      </c>
      <c r="AS318" s="3">
        <f>VLOOKUP($AB318,'2000 Seattle Tracts'!$C$2:$Y$374,AS$1,FALSE)*$Z318</f>
        <v>4.5693030704715793E-3</v>
      </c>
      <c r="AT318" s="3">
        <f>VLOOKUP($AB318,'2000 Seattle Tracts'!$C$2:$Y$374,AT$1,FALSE)*$Z318</f>
        <v>2.8558144190447372E-3</v>
      </c>
      <c r="AU318" s="3">
        <f>VLOOKUP($AB318,'2000 Seattle Tracts'!$C$2:$Y$374,AU$1,FALSE)*$Z318</f>
        <v>1.0852094792370001E-2</v>
      </c>
      <c r="AV318" s="3">
        <f>VLOOKUP($AB318,'2000 Seattle Tracts'!$C$2:$Y$374,AV$1,FALSE)*$Z318</f>
        <v>3.4269773028536843E-3</v>
      </c>
      <c r="AW318" s="3">
        <f>VLOOKUP($AB318,'2000 Seattle Tracts'!$C$2:$Y$374,AW$1,FALSE)*$Z318</f>
        <v>8.6245595455151064E-2</v>
      </c>
      <c r="AX318" s="3">
        <f>VLOOKUP($AB318,'2000 Seattle Tracts'!$C$2:$Y$374,AX$1,FALSE)*$Z318</f>
        <v>1.1994420559987895E-2</v>
      </c>
    </row>
    <row r="319" spans="1:50" x14ac:dyDescent="0.25">
      <c r="A319" t="s">
        <v>2917</v>
      </c>
      <c r="B319" t="s">
        <v>2918</v>
      </c>
      <c r="C319" t="s">
        <v>3170</v>
      </c>
      <c r="D319" t="s">
        <v>2578</v>
      </c>
      <c r="E319" t="s">
        <v>2579</v>
      </c>
      <c r="F319" t="s">
        <v>2580</v>
      </c>
      <c r="G319" t="s">
        <v>2920</v>
      </c>
      <c r="H319" t="s">
        <v>2921</v>
      </c>
      <c r="I319">
        <v>571878</v>
      </c>
      <c r="J319">
        <v>0</v>
      </c>
      <c r="K319" t="s">
        <v>3171</v>
      </c>
      <c r="L319" t="s">
        <v>3172</v>
      </c>
      <c r="M319">
        <v>101</v>
      </c>
      <c r="N319">
        <v>25522.346000000001</v>
      </c>
      <c r="O319" t="s">
        <v>201</v>
      </c>
      <c r="P319">
        <v>11</v>
      </c>
      <c r="Q319">
        <v>3</v>
      </c>
      <c r="R319">
        <v>23</v>
      </c>
      <c r="S319">
        <v>26039592</v>
      </c>
      <c r="T319">
        <v>103</v>
      </c>
      <c r="U319">
        <v>149</v>
      </c>
      <c r="V319">
        <v>25522.345636876809</v>
      </c>
      <c r="W319">
        <v>26039592.07912118</v>
      </c>
      <c r="X319">
        <v>571552.26100000006</v>
      </c>
      <c r="Y319">
        <f>VLOOKUP(AB319,'2000 Seattle Tracts'!$C$2:$Z$374,24,FALSE)</f>
        <v>571878.897</v>
      </c>
      <c r="Z319">
        <f t="shared" si="8"/>
        <v>0.99942883711619113</v>
      </c>
      <c r="AA319" t="s">
        <v>205</v>
      </c>
      <c r="AB319" t="str">
        <f t="shared" si="9"/>
        <v>Census Tract 76, King County, Washington</v>
      </c>
      <c r="AC319" s="3">
        <f>VLOOKUP($AB319,'2000 Seattle Tracts'!$C$2:$Y$374,AC$1,FALSE)*$Z319</f>
        <v>3259.1374378358992</v>
      </c>
      <c r="AD319" s="3">
        <f>VLOOKUP($AB319,'2000 Seattle Tracts'!$C$2:$Y$374,AD$1,FALSE)*$Z319</f>
        <v>3024.2716611135943</v>
      </c>
      <c r="AE319" s="3">
        <f>VLOOKUP($AB319,'2000 Seattle Tracts'!$C$2:$Y$374,AE$1,FALSE)*$Z319</f>
        <v>234.8657767223049</v>
      </c>
      <c r="AF319" s="3">
        <f>VLOOKUP($AB319,'2000 Seattle Tracts'!$C$2:$Y$374,AF$1,FALSE)*$Z319</f>
        <v>3259.1374378358992</v>
      </c>
      <c r="AG319" s="3">
        <f>VLOOKUP($AB319,'2000 Seattle Tracts'!$C$2:$Y$374,AG$1,FALSE)*$Z319</f>
        <v>3024.2716611135943</v>
      </c>
      <c r="AH319" s="3">
        <f>VLOOKUP($AB319,'2000 Seattle Tracts'!$C$2:$Y$374,AH$1,FALSE)*$Z319</f>
        <v>234.8657767223049</v>
      </c>
      <c r="AI319" s="3">
        <f>VLOOKUP($AB319,'2000 Seattle Tracts'!$C$2:$Y$374,AI$1,FALSE)*$Z319</f>
        <v>2188.7491532844588</v>
      </c>
      <c r="AJ319" s="3">
        <f>VLOOKUP($AB319,'2000 Seattle Tracts'!$C$2:$Y$374,AJ$1,FALSE)*$Z319</f>
        <v>140.91946603338295</v>
      </c>
      <c r="AK319" s="3">
        <f>VLOOKUP($AB319,'2000 Seattle Tracts'!$C$2:$Y$374,AK$1,FALSE)*$Z319</f>
        <v>67.961160923900991</v>
      </c>
      <c r="AL319" s="3">
        <f>VLOOKUP($AB319,'2000 Seattle Tracts'!$C$2:$Y$374,AL$1,FALSE)*$Z319</f>
        <v>7.995430696929529</v>
      </c>
      <c r="AM319" s="3">
        <f>VLOOKUP($AB319,'2000 Seattle Tracts'!$C$2:$Y$374,AM$1,FALSE)*$Z319</f>
        <v>474.72869763019077</v>
      </c>
      <c r="AN319" s="3">
        <f>VLOOKUP($AB319,'2000 Seattle Tracts'!$C$2:$Y$374,AN$1,FALSE)*$Z319</f>
        <v>14.991432556742867</v>
      </c>
      <c r="AO319" s="3">
        <f>VLOOKUP($AB319,'2000 Seattle Tracts'!$C$2:$Y$374,AO$1,FALSE)*$Z319</f>
        <v>24.985720927904779</v>
      </c>
      <c r="AP319" s="3">
        <f>VLOOKUP($AB319,'2000 Seattle Tracts'!$C$2:$Y$374,AP$1,FALSE)*$Z319</f>
        <v>0</v>
      </c>
      <c r="AQ319" s="3">
        <f>VLOOKUP($AB319,'2000 Seattle Tracts'!$C$2:$Y$374,AQ$1,FALSE)*$Z319</f>
        <v>89.948595340457203</v>
      </c>
      <c r="AR319" s="3">
        <f>VLOOKUP($AB319,'2000 Seattle Tracts'!$C$2:$Y$374,AR$1,FALSE)*$Z319</f>
        <v>38.977724647531453</v>
      </c>
      <c r="AS319" s="3">
        <f>VLOOKUP($AB319,'2000 Seattle Tracts'!$C$2:$Y$374,AS$1,FALSE)*$Z319</f>
        <v>7.995430696929529</v>
      </c>
      <c r="AT319" s="3">
        <f>VLOOKUP($AB319,'2000 Seattle Tracts'!$C$2:$Y$374,AT$1,FALSE)*$Z319</f>
        <v>4.9971441855809555</v>
      </c>
      <c r="AU319" s="3">
        <f>VLOOKUP($AB319,'2000 Seattle Tracts'!$C$2:$Y$374,AU$1,FALSE)*$Z319</f>
        <v>18.989147905207631</v>
      </c>
      <c r="AV319" s="3">
        <f>VLOOKUP($AB319,'2000 Seattle Tracts'!$C$2:$Y$374,AV$1,FALSE)*$Z319</f>
        <v>5.996573022697147</v>
      </c>
      <c r="AW319" s="3">
        <f>VLOOKUP($AB319,'2000 Seattle Tracts'!$C$2:$Y$374,AW$1,FALSE)*$Z319</f>
        <v>150.91375440454485</v>
      </c>
      <c r="AX319" s="3">
        <f>VLOOKUP($AB319,'2000 Seattle Tracts'!$C$2:$Y$374,AX$1,FALSE)*$Z319</f>
        <v>20.988005579440014</v>
      </c>
    </row>
    <row r="320" spans="1:50" x14ac:dyDescent="0.25">
      <c r="A320" t="s">
        <v>2917</v>
      </c>
      <c r="B320" t="s">
        <v>2918</v>
      </c>
      <c r="C320" t="s">
        <v>3074</v>
      </c>
      <c r="D320" t="s">
        <v>2581</v>
      </c>
      <c r="E320" t="s">
        <v>2582</v>
      </c>
      <c r="F320" t="s">
        <v>2583</v>
      </c>
      <c r="G320" t="s">
        <v>2920</v>
      </c>
      <c r="H320" t="s">
        <v>2921</v>
      </c>
      <c r="I320">
        <v>801744</v>
      </c>
      <c r="J320">
        <v>0</v>
      </c>
      <c r="K320" t="s">
        <v>3466</v>
      </c>
      <c r="L320" t="s">
        <v>3467</v>
      </c>
      <c r="M320">
        <v>55</v>
      </c>
      <c r="N320">
        <v>18241.548999999999</v>
      </c>
      <c r="O320" t="s">
        <v>149</v>
      </c>
      <c r="P320">
        <v>14</v>
      </c>
      <c r="Q320">
        <v>8</v>
      </c>
      <c r="R320">
        <v>94</v>
      </c>
      <c r="S320">
        <v>17933144</v>
      </c>
      <c r="T320">
        <v>57</v>
      </c>
      <c r="U320">
        <v>157</v>
      </c>
      <c r="V320">
        <v>18241.548785981169</v>
      </c>
      <c r="W320">
        <v>17933144.708401948</v>
      </c>
      <c r="X320">
        <v>25153.595000000001</v>
      </c>
      <c r="Y320">
        <f>VLOOKUP(AB320,'2000 Seattle Tracts'!$C$2:$Z$374,24,FALSE)</f>
        <v>787749.39399999997</v>
      </c>
      <c r="Z320">
        <f t="shared" si="8"/>
        <v>3.193096077456329E-2</v>
      </c>
      <c r="AA320" t="s">
        <v>151</v>
      </c>
      <c r="AB320" t="str">
        <f t="shared" si="9"/>
        <v>Census Tract 75, King County, Washington</v>
      </c>
      <c r="AC320" s="3">
        <f>VLOOKUP($AB320,'2000 Seattle Tracts'!$C$2:$Y$374,AC$1,FALSE)*$Z320</f>
        <v>177.3445561419245</v>
      </c>
      <c r="AD320" s="3">
        <f>VLOOKUP($AB320,'2000 Seattle Tracts'!$C$2:$Y$374,AD$1,FALSE)*$Z320</f>
        <v>149.18144873875968</v>
      </c>
      <c r="AE320" s="3">
        <f>VLOOKUP($AB320,'2000 Seattle Tracts'!$C$2:$Y$374,AE$1,FALSE)*$Z320</f>
        <v>28.163107403164823</v>
      </c>
      <c r="AF320" s="3">
        <f>VLOOKUP($AB320,'2000 Seattle Tracts'!$C$2:$Y$374,AF$1,FALSE)*$Z320</f>
        <v>177.3445561419245</v>
      </c>
      <c r="AG320" s="3">
        <f>VLOOKUP($AB320,'2000 Seattle Tracts'!$C$2:$Y$374,AG$1,FALSE)*$Z320</f>
        <v>149.18144873875968</v>
      </c>
      <c r="AH320" s="3">
        <f>VLOOKUP($AB320,'2000 Seattle Tracts'!$C$2:$Y$374,AH$1,FALSE)*$Z320</f>
        <v>28.163107403164823</v>
      </c>
      <c r="AI320" s="3">
        <f>VLOOKUP($AB320,'2000 Seattle Tracts'!$C$2:$Y$374,AI$1,FALSE)*$Z320</f>
        <v>124.53074702079682</v>
      </c>
      <c r="AJ320" s="3">
        <f>VLOOKUP($AB320,'2000 Seattle Tracts'!$C$2:$Y$374,AJ$1,FALSE)*$Z320</f>
        <v>12.868177192149005</v>
      </c>
      <c r="AK320" s="3">
        <f>VLOOKUP($AB320,'2000 Seattle Tracts'!$C$2:$Y$374,AK$1,FALSE)*$Z320</f>
        <v>2.7141316658378796</v>
      </c>
      <c r="AL320" s="3">
        <f>VLOOKUP($AB320,'2000 Seattle Tracts'!$C$2:$Y$374,AL$1,FALSE)*$Z320</f>
        <v>0.9259978624623354</v>
      </c>
      <c r="AM320" s="3">
        <f>VLOOKUP($AB320,'2000 Seattle Tracts'!$C$2:$Y$374,AM$1,FALSE)*$Z320</f>
        <v>10.154045526311126</v>
      </c>
      <c r="AN320" s="3">
        <f>VLOOKUP($AB320,'2000 Seattle Tracts'!$C$2:$Y$374,AN$1,FALSE)*$Z320</f>
        <v>3.5762676067510886</v>
      </c>
      <c r="AO320" s="3">
        <f>VLOOKUP($AB320,'2000 Seattle Tracts'!$C$2:$Y$374,AO$1,FALSE)*$Z320</f>
        <v>1.7242718818264176</v>
      </c>
      <c r="AP320" s="3">
        <f>VLOOKUP($AB320,'2000 Seattle Tracts'!$C$2:$Y$374,AP$1,FALSE)*$Z320</f>
        <v>0.22351672542194304</v>
      </c>
      <c r="AQ320" s="3">
        <f>VLOOKUP($AB320,'2000 Seattle Tracts'!$C$2:$Y$374,AQ$1,FALSE)*$Z320</f>
        <v>2.1074434111211771</v>
      </c>
      <c r="AR320" s="3">
        <f>VLOOKUP($AB320,'2000 Seattle Tracts'!$C$2:$Y$374,AR$1,FALSE)*$Z320</f>
        <v>6.8332256057565441</v>
      </c>
      <c r="AS320" s="3">
        <f>VLOOKUP($AB320,'2000 Seattle Tracts'!$C$2:$Y$374,AS$1,FALSE)*$Z320</f>
        <v>0.25544768619650632</v>
      </c>
      <c r="AT320" s="3">
        <f>VLOOKUP($AB320,'2000 Seattle Tracts'!$C$2:$Y$374,AT$1,FALSE)*$Z320</f>
        <v>0</v>
      </c>
      <c r="AU320" s="3">
        <f>VLOOKUP($AB320,'2000 Seattle Tracts'!$C$2:$Y$374,AU$1,FALSE)*$Z320</f>
        <v>1.117583627109715</v>
      </c>
      <c r="AV320" s="3">
        <f>VLOOKUP($AB320,'2000 Seattle Tracts'!$C$2:$Y$374,AV$1,FALSE)*$Z320</f>
        <v>2.1713053326703036</v>
      </c>
      <c r="AW320" s="3">
        <f>VLOOKUP($AB320,'2000 Seattle Tracts'!$C$2:$Y$374,AW$1,FALSE)*$Z320</f>
        <v>6.5777779195600381</v>
      </c>
      <c r="AX320" s="3">
        <f>VLOOKUP($AB320,'2000 Seattle Tracts'!$C$2:$Y$374,AX$1,FALSE)*$Z320</f>
        <v>1.5646170779536013</v>
      </c>
    </row>
    <row r="321" spans="1:50" x14ac:dyDescent="0.25">
      <c r="A321" t="s">
        <v>2917</v>
      </c>
      <c r="B321" t="s">
        <v>2918</v>
      </c>
      <c r="C321" t="s">
        <v>3074</v>
      </c>
      <c r="D321" t="s">
        <v>2581</v>
      </c>
      <c r="E321" t="s">
        <v>2582</v>
      </c>
      <c r="F321" t="s">
        <v>2583</v>
      </c>
      <c r="G321" t="s">
        <v>2920</v>
      </c>
      <c r="H321" t="s">
        <v>2921</v>
      </c>
      <c r="I321">
        <v>801744</v>
      </c>
      <c r="J321">
        <v>0</v>
      </c>
      <c r="K321" t="s">
        <v>3466</v>
      </c>
      <c r="L321" t="s">
        <v>3467</v>
      </c>
      <c r="M321">
        <v>63</v>
      </c>
      <c r="N321">
        <v>13225.233</v>
      </c>
      <c r="O321" t="s">
        <v>156</v>
      </c>
      <c r="P321">
        <v>13</v>
      </c>
      <c r="Q321">
        <v>11</v>
      </c>
      <c r="R321">
        <v>33</v>
      </c>
      <c r="S321">
        <v>9517568</v>
      </c>
      <c r="T321">
        <v>65</v>
      </c>
      <c r="U321">
        <v>160</v>
      </c>
      <c r="V321">
        <v>13225.23351595422</v>
      </c>
      <c r="W321">
        <v>9517568.4736377206</v>
      </c>
      <c r="X321">
        <v>43534.372000000003</v>
      </c>
      <c r="Y321">
        <f>VLOOKUP(AB321,'2000 Seattle Tracts'!$C$2:$Z$374,24,FALSE)</f>
        <v>787749.39399999997</v>
      </c>
      <c r="Z321">
        <f t="shared" si="8"/>
        <v>5.5264240546023198E-2</v>
      </c>
      <c r="AA321" t="s">
        <v>160</v>
      </c>
      <c r="AB321" t="str">
        <f t="shared" si="9"/>
        <v>Census Tract 75, King County, Washington</v>
      </c>
      <c r="AC321" s="3">
        <f>VLOOKUP($AB321,'2000 Seattle Tracts'!$C$2:$Y$374,AC$1,FALSE)*$Z321</f>
        <v>306.93759199261285</v>
      </c>
      <c r="AD321" s="3">
        <f>VLOOKUP($AB321,'2000 Seattle Tracts'!$C$2:$Y$374,AD$1,FALSE)*$Z321</f>
        <v>258.19453183102036</v>
      </c>
      <c r="AE321" s="3">
        <f>VLOOKUP($AB321,'2000 Seattle Tracts'!$C$2:$Y$374,AE$1,FALSE)*$Z321</f>
        <v>48.74306016159246</v>
      </c>
      <c r="AF321" s="3">
        <f>VLOOKUP($AB321,'2000 Seattle Tracts'!$C$2:$Y$374,AF$1,FALSE)*$Z321</f>
        <v>306.93759199261285</v>
      </c>
      <c r="AG321" s="3">
        <f>VLOOKUP($AB321,'2000 Seattle Tracts'!$C$2:$Y$374,AG$1,FALSE)*$Z321</f>
        <v>258.19453183102036</v>
      </c>
      <c r="AH321" s="3">
        <f>VLOOKUP($AB321,'2000 Seattle Tracts'!$C$2:$Y$374,AH$1,FALSE)*$Z321</f>
        <v>48.74306016159246</v>
      </c>
      <c r="AI321" s="3">
        <f>VLOOKUP($AB321,'2000 Seattle Tracts'!$C$2:$Y$374,AI$1,FALSE)*$Z321</f>
        <v>215.53053812949048</v>
      </c>
      <c r="AJ321" s="3">
        <f>VLOOKUP($AB321,'2000 Seattle Tracts'!$C$2:$Y$374,AJ$1,FALSE)*$Z321</f>
        <v>22.271488940047348</v>
      </c>
      <c r="AK321" s="3">
        <f>VLOOKUP($AB321,'2000 Seattle Tracts'!$C$2:$Y$374,AK$1,FALSE)*$Z321</f>
        <v>4.6974604464119718</v>
      </c>
      <c r="AL321" s="3">
        <f>VLOOKUP($AB321,'2000 Seattle Tracts'!$C$2:$Y$374,AL$1,FALSE)*$Z321</f>
        <v>1.6026629758346727</v>
      </c>
      <c r="AM321" s="3">
        <f>VLOOKUP($AB321,'2000 Seattle Tracts'!$C$2:$Y$374,AM$1,FALSE)*$Z321</f>
        <v>17.574028493635378</v>
      </c>
      <c r="AN321" s="3">
        <f>VLOOKUP($AB321,'2000 Seattle Tracts'!$C$2:$Y$374,AN$1,FALSE)*$Z321</f>
        <v>6.1895949411545983</v>
      </c>
      <c r="AO321" s="3">
        <f>VLOOKUP($AB321,'2000 Seattle Tracts'!$C$2:$Y$374,AO$1,FALSE)*$Z321</f>
        <v>2.9842689894852525</v>
      </c>
      <c r="AP321" s="3">
        <f>VLOOKUP($AB321,'2000 Seattle Tracts'!$C$2:$Y$374,AP$1,FALSE)*$Z321</f>
        <v>0.38684968382216239</v>
      </c>
      <c r="AQ321" s="3">
        <f>VLOOKUP($AB321,'2000 Seattle Tracts'!$C$2:$Y$374,AQ$1,FALSE)*$Z321</f>
        <v>3.6474398760375313</v>
      </c>
      <c r="AR321" s="3">
        <f>VLOOKUP($AB321,'2000 Seattle Tracts'!$C$2:$Y$374,AR$1,FALSE)*$Z321</f>
        <v>11.826547476848964</v>
      </c>
      <c r="AS321" s="3">
        <f>VLOOKUP($AB321,'2000 Seattle Tracts'!$C$2:$Y$374,AS$1,FALSE)*$Z321</f>
        <v>0.44211392436818558</v>
      </c>
      <c r="AT321" s="3">
        <f>VLOOKUP($AB321,'2000 Seattle Tracts'!$C$2:$Y$374,AT$1,FALSE)*$Z321</f>
        <v>0</v>
      </c>
      <c r="AU321" s="3">
        <f>VLOOKUP($AB321,'2000 Seattle Tracts'!$C$2:$Y$374,AU$1,FALSE)*$Z321</f>
        <v>1.934248419110812</v>
      </c>
      <c r="AV321" s="3">
        <f>VLOOKUP($AB321,'2000 Seattle Tracts'!$C$2:$Y$374,AV$1,FALSE)*$Z321</f>
        <v>3.7579683571295774</v>
      </c>
      <c r="AW321" s="3">
        <f>VLOOKUP($AB321,'2000 Seattle Tracts'!$C$2:$Y$374,AW$1,FALSE)*$Z321</f>
        <v>11.384433552480779</v>
      </c>
      <c r="AX321" s="3">
        <f>VLOOKUP($AB321,'2000 Seattle Tracts'!$C$2:$Y$374,AX$1,FALSE)*$Z321</f>
        <v>2.7079477867551369</v>
      </c>
    </row>
    <row r="322" spans="1:50" x14ac:dyDescent="0.25">
      <c r="A322" t="s">
        <v>2917</v>
      </c>
      <c r="B322" t="s">
        <v>2918</v>
      </c>
      <c r="C322" t="s">
        <v>3074</v>
      </c>
      <c r="D322" t="s">
        <v>2581</v>
      </c>
      <c r="E322" t="s">
        <v>2582</v>
      </c>
      <c r="F322" t="s">
        <v>2583</v>
      </c>
      <c r="G322" t="s">
        <v>2920</v>
      </c>
      <c r="H322" t="s">
        <v>2921</v>
      </c>
      <c r="I322">
        <v>801744</v>
      </c>
      <c r="J322">
        <v>0</v>
      </c>
      <c r="K322" t="s">
        <v>3466</v>
      </c>
      <c r="L322" t="s">
        <v>3467</v>
      </c>
      <c r="M322">
        <v>100</v>
      </c>
      <c r="N322">
        <v>26851.947</v>
      </c>
      <c r="O322" t="s">
        <v>201</v>
      </c>
      <c r="P322">
        <v>11</v>
      </c>
      <c r="Q322">
        <v>3</v>
      </c>
      <c r="R322">
        <v>0</v>
      </c>
      <c r="S322">
        <v>30239240</v>
      </c>
      <c r="T322">
        <v>102</v>
      </c>
      <c r="U322">
        <v>151</v>
      </c>
      <c r="V322">
        <v>26851.9474418256</v>
      </c>
      <c r="W322">
        <v>30239240.52129779</v>
      </c>
      <c r="X322">
        <v>719022.36100000003</v>
      </c>
      <c r="Y322">
        <f>VLOOKUP(AB322,'2000 Seattle Tracts'!$C$2:$Z$374,24,FALSE)</f>
        <v>787749.39399999997</v>
      </c>
      <c r="Z322">
        <f t="shared" si="8"/>
        <v>0.91275520676566846</v>
      </c>
      <c r="AA322" t="s">
        <v>204</v>
      </c>
      <c r="AB322" t="str">
        <f t="shared" si="9"/>
        <v>Census Tract 75, King County, Washington</v>
      </c>
      <c r="AC322" s="3">
        <f>VLOOKUP($AB322,'2000 Seattle Tracts'!$C$2:$Y$374,AC$1,FALSE)*$Z322</f>
        <v>5069.4424183765223</v>
      </c>
      <c r="AD322" s="3">
        <f>VLOOKUP($AB322,'2000 Seattle Tracts'!$C$2:$Y$374,AD$1,FALSE)*$Z322</f>
        <v>4264.3923260092033</v>
      </c>
      <c r="AE322" s="3">
        <f>VLOOKUP($AB322,'2000 Seattle Tracts'!$C$2:$Y$374,AE$1,FALSE)*$Z322</f>
        <v>805.05009236731962</v>
      </c>
      <c r="AF322" s="3">
        <f>VLOOKUP($AB322,'2000 Seattle Tracts'!$C$2:$Y$374,AF$1,FALSE)*$Z322</f>
        <v>5069.4424183765223</v>
      </c>
      <c r="AG322" s="3">
        <f>VLOOKUP($AB322,'2000 Seattle Tracts'!$C$2:$Y$374,AG$1,FALSE)*$Z322</f>
        <v>4264.3923260092033</v>
      </c>
      <c r="AH322" s="3">
        <f>VLOOKUP($AB322,'2000 Seattle Tracts'!$C$2:$Y$374,AH$1,FALSE)*$Z322</f>
        <v>805.05009236731962</v>
      </c>
      <c r="AI322" s="3">
        <f>VLOOKUP($AB322,'2000 Seattle Tracts'!$C$2:$Y$374,AI$1,FALSE)*$Z322</f>
        <v>3559.7453063861071</v>
      </c>
      <c r="AJ322" s="3">
        <f>VLOOKUP($AB322,'2000 Seattle Tracts'!$C$2:$Y$374,AJ$1,FALSE)*$Z322</f>
        <v>367.84034832656437</v>
      </c>
      <c r="AK322" s="3">
        <f>VLOOKUP($AB322,'2000 Seattle Tracts'!$C$2:$Y$374,AK$1,FALSE)*$Z322</f>
        <v>77.584192575081815</v>
      </c>
      <c r="AL322" s="3">
        <f>VLOOKUP($AB322,'2000 Seattle Tracts'!$C$2:$Y$374,AL$1,FALSE)*$Z322</f>
        <v>26.469900996204384</v>
      </c>
      <c r="AM322" s="3">
        <f>VLOOKUP($AB322,'2000 Seattle Tracts'!$C$2:$Y$374,AM$1,FALSE)*$Z322</f>
        <v>290.25615575148259</v>
      </c>
      <c r="AN322" s="3">
        <f>VLOOKUP($AB322,'2000 Seattle Tracts'!$C$2:$Y$374,AN$1,FALSE)*$Z322</f>
        <v>102.22858315775487</v>
      </c>
      <c r="AO322" s="3">
        <f>VLOOKUP($AB322,'2000 Seattle Tracts'!$C$2:$Y$374,AO$1,FALSE)*$Z322</f>
        <v>49.288781165346094</v>
      </c>
      <c r="AP322" s="3">
        <f>VLOOKUP($AB322,'2000 Seattle Tracts'!$C$2:$Y$374,AP$1,FALSE)*$Z322</f>
        <v>6.3892864473596793</v>
      </c>
      <c r="AQ322" s="3">
        <f>VLOOKUP($AB322,'2000 Seattle Tracts'!$C$2:$Y$374,AQ$1,FALSE)*$Z322</f>
        <v>60.241843646534122</v>
      </c>
      <c r="AR322" s="3">
        <f>VLOOKUP($AB322,'2000 Seattle Tracts'!$C$2:$Y$374,AR$1,FALSE)*$Z322</f>
        <v>195.32961424785304</v>
      </c>
      <c r="AS322" s="3">
        <f>VLOOKUP($AB322,'2000 Seattle Tracts'!$C$2:$Y$374,AS$1,FALSE)*$Z322</f>
        <v>7.3020416541253477</v>
      </c>
      <c r="AT322" s="3">
        <f>VLOOKUP($AB322,'2000 Seattle Tracts'!$C$2:$Y$374,AT$1,FALSE)*$Z322</f>
        <v>0</v>
      </c>
      <c r="AU322" s="3">
        <f>VLOOKUP($AB322,'2000 Seattle Tracts'!$C$2:$Y$374,AU$1,FALSE)*$Z322</f>
        <v>31.946432236798397</v>
      </c>
      <c r="AV322" s="3">
        <f>VLOOKUP($AB322,'2000 Seattle Tracts'!$C$2:$Y$374,AV$1,FALSE)*$Z322</f>
        <v>62.067354060065455</v>
      </c>
      <c r="AW322" s="3">
        <f>VLOOKUP($AB322,'2000 Seattle Tracts'!$C$2:$Y$374,AW$1,FALSE)*$Z322</f>
        <v>188.02757259372771</v>
      </c>
      <c r="AX322" s="3">
        <f>VLOOKUP($AB322,'2000 Seattle Tracts'!$C$2:$Y$374,AX$1,FALSE)*$Z322</f>
        <v>44.725005131517754</v>
      </c>
    </row>
    <row r="323" spans="1:50" x14ac:dyDescent="0.25">
      <c r="A323" t="s">
        <v>2917</v>
      </c>
      <c r="B323" t="s">
        <v>2918</v>
      </c>
      <c r="C323" t="s">
        <v>3074</v>
      </c>
      <c r="D323" t="s">
        <v>2581</v>
      </c>
      <c r="E323" t="s">
        <v>2582</v>
      </c>
      <c r="F323" t="s">
        <v>2583</v>
      </c>
      <c r="G323" t="s">
        <v>2920</v>
      </c>
      <c r="H323" t="s">
        <v>2921</v>
      </c>
      <c r="I323">
        <v>801744</v>
      </c>
      <c r="J323">
        <v>0</v>
      </c>
      <c r="K323" t="s">
        <v>3466</v>
      </c>
      <c r="L323" t="s">
        <v>3467</v>
      </c>
      <c r="M323">
        <v>101</v>
      </c>
      <c r="N323">
        <v>25522.346000000001</v>
      </c>
      <c r="O323" t="s">
        <v>201</v>
      </c>
      <c r="P323">
        <v>11</v>
      </c>
      <c r="Q323">
        <v>3</v>
      </c>
      <c r="R323">
        <v>23</v>
      </c>
      <c r="S323">
        <v>26039592</v>
      </c>
      <c r="T323">
        <v>103</v>
      </c>
      <c r="U323">
        <v>149</v>
      </c>
      <c r="V323">
        <v>25522.345636876809</v>
      </c>
      <c r="W323">
        <v>26039592.07912118</v>
      </c>
      <c r="X323">
        <v>39.066000000000003</v>
      </c>
      <c r="Y323">
        <f>VLOOKUP(AB323,'2000 Seattle Tracts'!$C$2:$Z$374,24,FALSE)</f>
        <v>787749.39399999997</v>
      </c>
      <c r="Z323">
        <f t="shared" si="8"/>
        <v>4.9591913745096453E-5</v>
      </c>
      <c r="AA323" t="s">
        <v>205</v>
      </c>
      <c r="AB323" t="str">
        <f t="shared" si="9"/>
        <v>Census Tract 75, King County, Washington</v>
      </c>
      <c r="AC323" s="3">
        <f>VLOOKUP($AB323,'2000 Seattle Tracts'!$C$2:$Y$374,AC$1,FALSE)*$Z323</f>
        <v>0.2754334889402657</v>
      </c>
      <c r="AD323" s="3">
        <f>VLOOKUP($AB323,'2000 Seattle Tracts'!$C$2:$Y$374,AD$1,FALSE)*$Z323</f>
        <v>0.23169342101709062</v>
      </c>
      <c r="AE323" s="3">
        <f>VLOOKUP($AB323,'2000 Seattle Tracts'!$C$2:$Y$374,AE$1,FALSE)*$Z323</f>
        <v>4.3740067923175072E-2</v>
      </c>
      <c r="AF323" s="3">
        <f>VLOOKUP($AB323,'2000 Seattle Tracts'!$C$2:$Y$374,AF$1,FALSE)*$Z323</f>
        <v>0.2754334889402657</v>
      </c>
      <c r="AG323" s="3">
        <f>VLOOKUP($AB323,'2000 Seattle Tracts'!$C$2:$Y$374,AG$1,FALSE)*$Z323</f>
        <v>0.23169342101709062</v>
      </c>
      <c r="AH323" s="3">
        <f>VLOOKUP($AB323,'2000 Seattle Tracts'!$C$2:$Y$374,AH$1,FALSE)*$Z323</f>
        <v>4.3740067923175072E-2</v>
      </c>
      <c r="AI323" s="3">
        <f>VLOOKUP($AB323,'2000 Seattle Tracts'!$C$2:$Y$374,AI$1,FALSE)*$Z323</f>
        <v>0.19340846360587616</v>
      </c>
      <c r="AJ323" s="3">
        <f>VLOOKUP($AB323,'2000 Seattle Tracts'!$C$2:$Y$374,AJ$1,FALSE)*$Z323</f>
        <v>1.9985541239273871E-2</v>
      </c>
      <c r="AK323" s="3">
        <f>VLOOKUP($AB323,'2000 Seattle Tracts'!$C$2:$Y$374,AK$1,FALSE)*$Z323</f>
        <v>4.2153126683331984E-3</v>
      </c>
      <c r="AL323" s="3">
        <f>VLOOKUP($AB323,'2000 Seattle Tracts'!$C$2:$Y$374,AL$1,FALSE)*$Z323</f>
        <v>1.4381654986077971E-3</v>
      </c>
      <c r="AM323" s="3">
        <f>VLOOKUP($AB323,'2000 Seattle Tracts'!$C$2:$Y$374,AM$1,FALSE)*$Z323</f>
        <v>1.577022857094067E-2</v>
      </c>
      <c r="AN323" s="3">
        <f>VLOOKUP($AB323,'2000 Seattle Tracts'!$C$2:$Y$374,AN$1,FALSE)*$Z323</f>
        <v>5.554294339450803E-3</v>
      </c>
      <c r="AO323" s="3">
        <f>VLOOKUP($AB323,'2000 Seattle Tracts'!$C$2:$Y$374,AO$1,FALSE)*$Z323</f>
        <v>2.6779633422352083E-3</v>
      </c>
      <c r="AP323" s="3">
        <f>VLOOKUP($AB323,'2000 Seattle Tracts'!$C$2:$Y$374,AP$1,FALSE)*$Z323</f>
        <v>3.4714339621567518E-4</v>
      </c>
      <c r="AQ323" s="3">
        <f>VLOOKUP($AB323,'2000 Seattle Tracts'!$C$2:$Y$374,AQ$1,FALSE)*$Z323</f>
        <v>3.2730663071763658E-3</v>
      </c>
      <c r="AR323" s="3">
        <f>VLOOKUP($AB323,'2000 Seattle Tracts'!$C$2:$Y$374,AR$1,FALSE)*$Z323</f>
        <v>1.0612669541450641E-2</v>
      </c>
      <c r="AS323" s="3">
        <f>VLOOKUP($AB323,'2000 Seattle Tracts'!$C$2:$Y$374,AS$1,FALSE)*$Z323</f>
        <v>3.9673530996077162E-4</v>
      </c>
      <c r="AT323" s="3">
        <f>VLOOKUP($AB323,'2000 Seattle Tracts'!$C$2:$Y$374,AT$1,FALSE)*$Z323</f>
        <v>0</v>
      </c>
      <c r="AU323" s="3">
        <f>VLOOKUP($AB323,'2000 Seattle Tracts'!$C$2:$Y$374,AU$1,FALSE)*$Z323</f>
        <v>1.7357169810783759E-3</v>
      </c>
      <c r="AV323" s="3">
        <f>VLOOKUP($AB323,'2000 Seattle Tracts'!$C$2:$Y$374,AV$1,FALSE)*$Z323</f>
        <v>3.372250134666559E-3</v>
      </c>
      <c r="AW323" s="3">
        <f>VLOOKUP($AB323,'2000 Seattle Tracts'!$C$2:$Y$374,AW$1,FALSE)*$Z323</f>
        <v>1.021593423148987E-2</v>
      </c>
      <c r="AX323" s="3">
        <f>VLOOKUP($AB323,'2000 Seattle Tracts'!$C$2:$Y$374,AX$1,FALSE)*$Z323</f>
        <v>2.4300037735097263E-3</v>
      </c>
    </row>
    <row r="324" spans="1:50" x14ac:dyDescent="0.25">
      <c r="A324" t="s">
        <v>2917</v>
      </c>
      <c r="B324" t="s">
        <v>2918</v>
      </c>
      <c r="C324" t="s">
        <v>3468</v>
      </c>
      <c r="D324" t="s">
        <v>3469</v>
      </c>
      <c r="E324" t="s">
        <v>3470</v>
      </c>
      <c r="F324" t="s">
        <v>3471</v>
      </c>
      <c r="G324" t="s">
        <v>2920</v>
      </c>
      <c r="H324" t="s">
        <v>2921</v>
      </c>
      <c r="I324">
        <v>508668</v>
      </c>
      <c r="J324">
        <v>0</v>
      </c>
      <c r="K324" t="s">
        <v>3472</v>
      </c>
      <c r="L324" t="s">
        <v>3473</v>
      </c>
      <c r="M324">
        <v>100</v>
      </c>
      <c r="N324">
        <v>26851.947</v>
      </c>
      <c r="O324" t="s">
        <v>201</v>
      </c>
      <c r="P324">
        <v>11</v>
      </c>
      <c r="Q324">
        <v>3</v>
      </c>
      <c r="R324">
        <v>0</v>
      </c>
      <c r="S324">
        <v>30239240</v>
      </c>
      <c r="T324">
        <v>102</v>
      </c>
      <c r="U324">
        <v>151</v>
      </c>
      <c r="V324">
        <v>26851.9474418256</v>
      </c>
      <c r="W324">
        <v>30239240.52129779</v>
      </c>
      <c r="X324">
        <v>508669.71600000001</v>
      </c>
      <c r="Y324">
        <f>VLOOKUP(AB324,'2000 Seattle Tracts'!$C$2:$Z$374,24,FALSE)</f>
        <v>508669.71600000001</v>
      </c>
      <c r="Z324">
        <f t="shared" ref="Z324:Z387" si="10">X324/Y324</f>
        <v>1</v>
      </c>
      <c r="AA324" t="s">
        <v>204</v>
      </c>
      <c r="AB324" t="str">
        <f t="shared" ref="AB324:AB387" si="11">_xlfn.CONCAT(F324, ", King County, Washington")</f>
        <v>Census Tract 74, King County, Washington</v>
      </c>
      <c r="AC324" s="3">
        <f>VLOOKUP($AB324,'2000 Seattle Tracts'!$C$2:$Y$374,AC$1,FALSE)*$Z324</f>
        <v>9047</v>
      </c>
      <c r="AD324" s="3">
        <f>VLOOKUP($AB324,'2000 Seattle Tracts'!$C$2:$Y$374,AD$1,FALSE)*$Z324</f>
        <v>7755</v>
      </c>
      <c r="AE324" s="3">
        <f>VLOOKUP($AB324,'2000 Seattle Tracts'!$C$2:$Y$374,AE$1,FALSE)*$Z324</f>
        <v>1292</v>
      </c>
      <c r="AF324" s="3">
        <f>VLOOKUP($AB324,'2000 Seattle Tracts'!$C$2:$Y$374,AF$1,FALSE)*$Z324</f>
        <v>9047</v>
      </c>
      <c r="AG324" s="3">
        <f>VLOOKUP($AB324,'2000 Seattle Tracts'!$C$2:$Y$374,AG$1,FALSE)*$Z324</f>
        <v>7755</v>
      </c>
      <c r="AH324" s="3">
        <f>VLOOKUP($AB324,'2000 Seattle Tracts'!$C$2:$Y$374,AH$1,FALSE)*$Z324</f>
        <v>1292</v>
      </c>
      <c r="AI324" s="3">
        <f>VLOOKUP($AB324,'2000 Seattle Tracts'!$C$2:$Y$374,AI$1,FALSE)*$Z324</f>
        <v>6337</v>
      </c>
      <c r="AJ324" s="3">
        <f>VLOOKUP($AB324,'2000 Seattle Tracts'!$C$2:$Y$374,AJ$1,FALSE)*$Z324</f>
        <v>505</v>
      </c>
      <c r="AK324" s="3">
        <f>VLOOKUP($AB324,'2000 Seattle Tracts'!$C$2:$Y$374,AK$1,FALSE)*$Z324</f>
        <v>175</v>
      </c>
      <c r="AL324" s="3">
        <f>VLOOKUP($AB324,'2000 Seattle Tracts'!$C$2:$Y$374,AL$1,FALSE)*$Z324</f>
        <v>47</v>
      </c>
      <c r="AM324" s="3">
        <f>VLOOKUP($AB324,'2000 Seattle Tracts'!$C$2:$Y$374,AM$1,FALSE)*$Z324</f>
        <v>458</v>
      </c>
      <c r="AN324" s="3">
        <f>VLOOKUP($AB324,'2000 Seattle Tracts'!$C$2:$Y$374,AN$1,FALSE)*$Z324</f>
        <v>115</v>
      </c>
      <c r="AO324" s="3">
        <f>VLOOKUP($AB324,'2000 Seattle Tracts'!$C$2:$Y$374,AO$1,FALSE)*$Z324</f>
        <v>60</v>
      </c>
      <c r="AP324" s="3">
        <f>VLOOKUP($AB324,'2000 Seattle Tracts'!$C$2:$Y$374,AP$1,FALSE)*$Z324</f>
        <v>14</v>
      </c>
      <c r="AQ324" s="3">
        <f>VLOOKUP($AB324,'2000 Seattle Tracts'!$C$2:$Y$374,AQ$1,FALSE)*$Z324</f>
        <v>210</v>
      </c>
      <c r="AR324" s="3">
        <f>VLOOKUP($AB324,'2000 Seattle Tracts'!$C$2:$Y$374,AR$1,FALSE)*$Z324</f>
        <v>355</v>
      </c>
      <c r="AS324" s="3">
        <f>VLOOKUP($AB324,'2000 Seattle Tracts'!$C$2:$Y$374,AS$1,FALSE)*$Z324</f>
        <v>21</v>
      </c>
      <c r="AT324" s="3">
        <f>VLOOKUP($AB324,'2000 Seattle Tracts'!$C$2:$Y$374,AT$1,FALSE)*$Z324</f>
        <v>7</v>
      </c>
      <c r="AU324" s="3">
        <f>VLOOKUP($AB324,'2000 Seattle Tracts'!$C$2:$Y$374,AU$1,FALSE)*$Z324</f>
        <v>117</v>
      </c>
      <c r="AV324" s="3">
        <f>VLOOKUP($AB324,'2000 Seattle Tracts'!$C$2:$Y$374,AV$1,FALSE)*$Z324</f>
        <v>113</v>
      </c>
      <c r="AW324" s="3">
        <f>VLOOKUP($AB324,'2000 Seattle Tracts'!$C$2:$Y$374,AW$1,FALSE)*$Z324</f>
        <v>377</v>
      </c>
      <c r="AX324" s="3">
        <f>VLOOKUP($AB324,'2000 Seattle Tracts'!$C$2:$Y$374,AX$1,FALSE)*$Z324</f>
        <v>136</v>
      </c>
    </row>
    <row r="325" spans="1:50" x14ac:dyDescent="0.25">
      <c r="A325" t="s">
        <v>2917</v>
      </c>
      <c r="B325" t="s">
        <v>2918</v>
      </c>
      <c r="C325" t="s">
        <v>3071</v>
      </c>
      <c r="D325" t="s">
        <v>2590</v>
      </c>
      <c r="E325" t="s">
        <v>2591</v>
      </c>
      <c r="F325" t="s">
        <v>2592</v>
      </c>
      <c r="G325" t="s">
        <v>2920</v>
      </c>
      <c r="H325" t="s">
        <v>2921</v>
      </c>
      <c r="I325">
        <v>926047</v>
      </c>
      <c r="J325">
        <v>0</v>
      </c>
      <c r="K325" t="s">
        <v>3474</v>
      </c>
      <c r="L325" t="s">
        <v>3073</v>
      </c>
      <c r="M325">
        <v>49</v>
      </c>
      <c r="N325">
        <v>29323.546999999999</v>
      </c>
      <c r="O325" t="s">
        <v>141</v>
      </c>
      <c r="P325">
        <v>12</v>
      </c>
      <c r="Q325">
        <v>10</v>
      </c>
      <c r="R325">
        <v>95</v>
      </c>
      <c r="S325">
        <v>16107105</v>
      </c>
      <c r="T325">
        <v>51</v>
      </c>
      <c r="U325">
        <v>200</v>
      </c>
      <c r="V325">
        <v>29323.546284384702</v>
      </c>
      <c r="W325">
        <v>16107105.41912676</v>
      </c>
      <c r="X325">
        <v>564155.58600000001</v>
      </c>
      <c r="Y325">
        <f>VLOOKUP(AB325,'2000 Seattle Tracts'!$C$2:$Z$374,24,FALSE)</f>
        <v>926044.67599999998</v>
      </c>
      <c r="Z325">
        <f t="shared" si="10"/>
        <v>0.60920990166137512</v>
      </c>
      <c r="AA325" t="s">
        <v>143</v>
      </c>
      <c r="AB325" t="str">
        <f t="shared" si="11"/>
        <v>Census Tract 73, King County, Washington</v>
      </c>
      <c r="AC325" s="3">
        <f>VLOOKUP($AB325,'2000 Seattle Tracts'!$C$2:$Y$374,AC$1,FALSE)*$Z325</f>
        <v>1359.1472906065278</v>
      </c>
      <c r="AD325" s="3">
        <f>VLOOKUP($AB325,'2000 Seattle Tracts'!$C$2:$Y$374,AD$1,FALSE)*$Z325</f>
        <v>1163.5909121732266</v>
      </c>
      <c r="AE325" s="3">
        <f>VLOOKUP($AB325,'2000 Seattle Tracts'!$C$2:$Y$374,AE$1,FALSE)*$Z325</f>
        <v>195.5563784333014</v>
      </c>
      <c r="AF325" s="3">
        <f>VLOOKUP($AB325,'2000 Seattle Tracts'!$C$2:$Y$374,AF$1,FALSE)*$Z325</f>
        <v>1359.1472906065278</v>
      </c>
      <c r="AG325" s="3">
        <f>VLOOKUP($AB325,'2000 Seattle Tracts'!$C$2:$Y$374,AG$1,FALSE)*$Z325</f>
        <v>1163.5909121732266</v>
      </c>
      <c r="AH325" s="3">
        <f>VLOOKUP($AB325,'2000 Seattle Tracts'!$C$2:$Y$374,AH$1,FALSE)*$Z325</f>
        <v>195.5563784333014</v>
      </c>
      <c r="AI325" s="3">
        <f>VLOOKUP($AB325,'2000 Seattle Tracts'!$C$2:$Y$374,AI$1,FALSE)*$Z325</f>
        <v>737.75319091192523</v>
      </c>
      <c r="AJ325" s="3">
        <f>VLOOKUP($AB325,'2000 Seattle Tracts'!$C$2:$Y$374,AJ$1,FALSE)*$Z325</f>
        <v>37.161804001343882</v>
      </c>
      <c r="AK325" s="3">
        <f>VLOOKUP($AB325,'2000 Seattle Tracts'!$C$2:$Y$374,AK$1,FALSE)*$Z325</f>
        <v>7.9197287215978767</v>
      </c>
      <c r="AL325" s="3">
        <f>VLOOKUP($AB325,'2000 Seattle Tracts'!$C$2:$Y$374,AL$1,FALSE)*$Z325</f>
        <v>8.5289386232592523</v>
      </c>
      <c r="AM325" s="3">
        <f>VLOOKUP($AB325,'2000 Seattle Tracts'!$C$2:$Y$374,AM$1,FALSE)*$Z325</f>
        <v>211.39583587649716</v>
      </c>
      <c r="AN325" s="3">
        <f>VLOOKUP($AB325,'2000 Seattle Tracts'!$C$2:$Y$374,AN$1,FALSE)*$Z325</f>
        <v>45.690742624603132</v>
      </c>
      <c r="AO325" s="3">
        <f>VLOOKUP($AB325,'2000 Seattle Tracts'!$C$2:$Y$374,AO$1,FALSE)*$Z325</f>
        <v>43.863112919619006</v>
      </c>
      <c r="AP325" s="3">
        <f>VLOOKUP($AB325,'2000 Seattle Tracts'!$C$2:$Y$374,AP$1,FALSE)*$Z325</f>
        <v>6.7013089182751262</v>
      </c>
      <c r="AQ325" s="3">
        <f>VLOOKUP($AB325,'2000 Seattle Tracts'!$C$2:$Y$374,AQ$1,FALSE)*$Z325</f>
        <v>32.288124788052883</v>
      </c>
      <c r="AR325" s="3">
        <f>VLOOKUP($AB325,'2000 Seattle Tracts'!$C$2:$Y$374,AR$1,FALSE)*$Z325</f>
        <v>62.74861987112164</v>
      </c>
      <c r="AS325" s="3">
        <f>VLOOKUP($AB325,'2000 Seattle Tracts'!$C$2:$Y$374,AS$1,FALSE)*$Z325</f>
        <v>3.0460495083068757</v>
      </c>
      <c r="AT325" s="3">
        <f>VLOOKUP($AB325,'2000 Seattle Tracts'!$C$2:$Y$374,AT$1,FALSE)*$Z325</f>
        <v>0</v>
      </c>
      <c r="AU325" s="3">
        <f>VLOOKUP($AB325,'2000 Seattle Tracts'!$C$2:$Y$374,AU$1,FALSE)*$Z325</f>
        <v>51.782841641216883</v>
      </c>
      <c r="AV325" s="3">
        <f>VLOOKUP($AB325,'2000 Seattle Tracts'!$C$2:$Y$374,AV$1,FALSE)*$Z325</f>
        <v>16.448667344857128</v>
      </c>
      <c r="AW325" s="3">
        <f>VLOOKUP($AB325,'2000 Seattle Tracts'!$C$2:$Y$374,AW$1,FALSE)*$Z325</f>
        <v>75.542027806010509</v>
      </c>
      <c r="AX325" s="3">
        <f>VLOOKUP($AB325,'2000 Seattle Tracts'!$C$2:$Y$374,AX$1,FALSE)*$Z325</f>
        <v>18.276297049841254</v>
      </c>
    </row>
    <row r="326" spans="1:50" x14ac:dyDescent="0.25">
      <c r="A326" t="s">
        <v>2917</v>
      </c>
      <c r="B326" t="s">
        <v>2918</v>
      </c>
      <c r="C326" t="s">
        <v>3071</v>
      </c>
      <c r="D326" t="s">
        <v>2590</v>
      </c>
      <c r="E326" t="s">
        <v>2591</v>
      </c>
      <c r="F326" t="s">
        <v>2592</v>
      </c>
      <c r="G326" t="s">
        <v>2920</v>
      </c>
      <c r="H326" t="s">
        <v>2921</v>
      </c>
      <c r="I326">
        <v>926047</v>
      </c>
      <c r="J326">
        <v>0</v>
      </c>
      <c r="K326" t="s">
        <v>3474</v>
      </c>
      <c r="L326" t="s">
        <v>3073</v>
      </c>
      <c r="M326">
        <v>60</v>
      </c>
      <c r="N326">
        <v>21967.599999999999</v>
      </c>
      <c r="O326" t="s">
        <v>156</v>
      </c>
      <c r="P326">
        <v>13</v>
      </c>
      <c r="Q326">
        <v>11</v>
      </c>
      <c r="R326">
        <v>81</v>
      </c>
      <c r="S326">
        <v>14974037</v>
      </c>
      <c r="T326">
        <v>62</v>
      </c>
      <c r="U326">
        <v>156</v>
      </c>
      <c r="V326">
        <v>21967.599459922661</v>
      </c>
      <c r="W326">
        <v>14974037.0994289</v>
      </c>
      <c r="X326">
        <v>313357.84100000001</v>
      </c>
      <c r="Y326">
        <f>VLOOKUP(AB326,'2000 Seattle Tracts'!$C$2:$Z$374,24,FALSE)</f>
        <v>926044.67599999998</v>
      </c>
      <c r="Z326">
        <f t="shared" si="10"/>
        <v>0.33838307062412182</v>
      </c>
      <c r="AA326" t="s">
        <v>157</v>
      </c>
      <c r="AB326" t="str">
        <f t="shared" si="11"/>
        <v>Census Tract 73, King County, Washington</v>
      </c>
      <c r="AC326" s="3">
        <f>VLOOKUP($AB326,'2000 Seattle Tracts'!$C$2:$Y$374,AC$1,FALSE)*$Z326</f>
        <v>754.93263056241574</v>
      </c>
      <c r="AD326" s="3">
        <f>VLOOKUP($AB326,'2000 Seattle Tracts'!$C$2:$Y$374,AD$1,FALSE)*$Z326</f>
        <v>646.31166489207271</v>
      </c>
      <c r="AE326" s="3">
        <f>VLOOKUP($AB326,'2000 Seattle Tracts'!$C$2:$Y$374,AE$1,FALSE)*$Z326</f>
        <v>108.6209656703431</v>
      </c>
      <c r="AF326" s="3">
        <f>VLOOKUP($AB326,'2000 Seattle Tracts'!$C$2:$Y$374,AF$1,FALSE)*$Z326</f>
        <v>754.93263056241574</v>
      </c>
      <c r="AG326" s="3">
        <f>VLOOKUP($AB326,'2000 Seattle Tracts'!$C$2:$Y$374,AG$1,FALSE)*$Z326</f>
        <v>646.31166489207271</v>
      </c>
      <c r="AH326" s="3">
        <f>VLOOKUP($AB326,'2000 Seattle Tracts'!$C$2:$Y$374,AH$1,FALSE)*$Z326</f>
        <v>108.6209656703431</v>
      </c>
      <c r="AI326" s="3">
        <f>VLOOKUP($AB326,'2000 Seattle Tracts'!$C$2:$Y$374,AI$1,FALSE)*$Z326</f>
        <v>409.78189852581153</v>
      </c>
      <c r="AJ326" s="3">
        <f>VLOOKUP($AB326,'2000 Seattle Tracts'!$C$2:$Y$374,AJ$1,FALSE)*$Z326</f>
        <v>20.64136730807143</v>
      </c>
      <c r="AK326" s="3">
        <f>VLOOKUP($AB326,'2000 Seattle Tracts'!$C$2:$Y$374,AK$1,FALSE)*$Z326</f>
        <v>4.398979918113584</v>
      </c>
      <c r="AL326" s="3">
        <f>VLOOKUP($AB326,'2000 Seattle Tracts'!$C$2:$Y$374,AL$1,FALSE)*$Z326</f>
        <v>4.7373629887377051</v>
      </c>
      <c r="AM326" s="3">
        <f>VLOOKUP($AB326,'2000 Seattle Tracts'!$C$2:$Y$374,AM$1,FALSE)*$Z326</f>
        <v>117.41892550657028</v>
      </c>
      <c r="AN326" s="3">
        <f>VLOOKUP($AB326,'2000 Seattle Tracts'!$C$2:$Y$374,AN$1,FALSE)*$Z326</f>
        <v>25.378730296809135</v>
      </c>
      <c r="AO326" s="3">
        <f>VLOOKUP($AB326,'2000 Seattle Tracts'!$C$2:$Y$374,AO$1,FALSE)*$Z326</f>
        <v>24.363581084936772</v>
      </c>
      <c r="AP326" s="3">
        <f>VLOOKUP($AB326,'2000 Seattle Tracts'!$C$2:$Y$374,AP$1,FALSE)*$Z326</f>
        <v>3.7222137768653401</v>
      </c>
      <c r="AQ326" s="3">
        <f>VLOOKUP($AB326,'2000 Seattle Tracts'!$C$2:$Y$374,AQ$1,FALSE)*$Z326</f>
        <v>17.934302743078458</v>
      </c>
      <c r="AR326" s="3">
        <f>VLOOKUP($AB326,'2000 Seattle Tracts'!$C$2:$Y$374,AR$1,FALSE)*$Z326</f>
        <v>34.853456274284547</v>
      </c>
      <c r="AS326" s="3">
        <f>VLOOKUP($AB326,'2000 Seattle Tracts'!$C$2:$Y$374,AS$1,FALSE)*$Z326</f>
        <v>1.691915353120609</v>
      </c>
      <c r="AT326" s="3">
        <f>VLOOKUP($AB326,'2000 Seattle Tracts'!$C$2:$Y$374,AT$1,FALSE)*$Z326</f>
        <v>0</v>
      </c>
      <c r="AU326" s="3">
        <f>VLOOKUP($AB326,'2000 Seattle Tracts'!$C$2:$Y$374,AU$1,FALSE)*$Z326</f>
        <v>28.762561003050354</v>
      </c>
      <c r="AV326" s="3">
        <f>VLOOKUP($AB326,'2000 Seattle Tracts'!$C$2:$Y$374,AV$1,FALSE)*$Z326</f>
        <v>9.1363429068512882</v>
      </c>
      <c r="AW326" s="3">
        <f>VLOOKUP($AB326,'2000 Seattle Tracts'!$C$2:$Y$374,AW$1,FALSE)*$Z326</f>
        <v>41.959500757391105</v>
      </c>
      <c r="AX326" s="3">
        <f>VLOOKUP($AB326,'2000 Seattle Tracts'!$C$2:$Y$374,AX$1,FALSE)*$Z326</f>
        <v>10.151492118723654</v>
      </c>
    </row>
    <row r="327" spans="1:50" x14ac:dyDescent="0.25">
      <c r="A327" t="s">
        <v>2917</v>
      </c>
      <c r="B327" t="s">
        <v>2918</v>
      </c>
      <c r="C327" t="s">
        <v>3071</v>
      </c>
      <c r="D327" t="s">
        <v>2590</v>
      </c>
      <c r="E327" t="s">
        <v>2591</v>
      </c>
      <c r="F327" t="s">
        <v>2592</v>
      </c>
      <c r="G327" t="s">
        <v>2920</v>
      </c>
      <c r="H327" t="s">
        <v>2921</v>
      </c>
      <c r="I327">
        <v>926047</v>
      </c>
      <c r="J327">
        <v>0</v>
      </c>
      <c r="K327" t="s">
        <v>3474</v>
      </c>
      <c r="L327" t="s">
        <v>3073</v>
      </c>
      <c r="M327">
        <v>62</v>
      </c>
      <c r="N327">
        <v>18209.463</v>
      </c>
      <c r="O327" t="s">
        <v>156</v>
      </c>
      <c r="P327">
        <v>13</v>
      </c>
      <c r="Q327">
        <v>11</v>
      </c>
      <c r="R327">
        <v>95</v>
      </c>
      <c r="S327">
        <v>9477399</v>
      </c>
      <c r="T327">
        <v>64</v>
      </c>
      <c r="U327">
        <v>159</v>
      </c>
      <c r="V327">
        <v>18209.462862458811</v>
      </c>
      <c r="W327">
        <v>9477398.6185622383</v>
      </c>
      <c r="X327">
        <v>275.35700000000003</v>
      </c>
      <c r="Y327">
        <f>VLOOKUP(AB327,'2000 Seattle Tracts'!$C$2:$Z$374,24,FALSE)</f>
        <v>926044.67599999998</v>
      </c>
      <c r="Z327">
        <f t="shared" si="10"/>
        <v>2.9734742516893435E-4</v>
      </c>
      <c r="AA327" t="s">
        <v>159</v>
      </c>
      <c r="AB327" t="str">
        <f t="shared" si="11"/>
        <v>Census Tract 73, King County, Washington</v>
      </c>
      <c r="AC327" s="3">
        <f>VLOOKUP($AB327,'2000 Seattle Tracts'!$C$2:$Y$374,AC$1,FALSE)*$Z327</f>
        <v>0.66338210555189248</v>
      </c>
      <c r="AD327" s="3">
        <f>VLOOKUP($AB327,'2000 Seattle Tracts'!$C$2:$Y$374,AD$1,FALSE)*$Z327</f>
        <v>0.56793358207266464</v>
      </c>
      <c r="AE327" s="3">
        <f>VLOOKUP($AB327,'2000 Seattle Tracts'!$C$2:$Y$374,AE$1,FALSE)*$Z327</f>
        <v>9.5448523479227929E-2</v>
      </c>
      <c r="AF327" s="3">
        <f>VLOOKUP($AB327,'2000 Seattle Tracts'!$C$2:$Y$374,AF$1,FALSE)*$Z327</f>
        <v>0.66338210555189248</v>
      </c>
      <c r="AG327" s="3">
        <f>VLOOKUP($AB327,'2000 Seattle Tracts'!$C$2:$Y$374,AG$1,FALSE)*$Z327</f>
        <v>0.56793358207266464</v>
      </c>
      <c r="AH327" s="3">
        <f>VLOOKUP($AB327,'2000 Seattle Tracts'!$C$2:$Y$374,AH$1,FALSE)*$Z327</f>
        <v>9.5448523479227929E-2</v>
      </c>
      <c r="AI327" s="3">
        <f>VLOOKUP($AB327,'2000 Seattle Tracts'!$C$2:$Y$374,AI$1,FALSE)*$Z327</f>
        <v>0.36008773187957949</v>
      </c>
      <c r="AJ327" s="3">
        <f>VLOOKUP($AB327,'2000 Seattle Tracts'!$C$2:$Y$374,AJ$1,FALSE)*$Z327</f>
        <v>1.8138192935304994E-2</v>
      </c>
      <c r="AK327" s="3">
        <f>VLOOKUP($AB327,'2000 Seattle Tracts'!$C$2:$Y$374,AK$1,FALSE)*$Z327</f>
        <v>3.8655165271961464E-3</v>
      </c>
      <c r="AL327" s="3">
        <f>VLOOKUP($AB327,'2000 Seattle Tracts'!$C$2:$Y$374,AL$1,FALSE)*$Z327</f>
        <v>4.162863952365081E-3</v>
      </c>
      <c r="AM327" s="3">
        <f>VLOOKUP($AB327,'2000 Seattle Tracts'!$C$2:$Y$374,AM$1,FALSE)*$Z327</f>
        <v>0.10317955653362022</v>
      </c>
      <c r="AN327" s="3">
        <f>VLOOKUP($AB327,'2000 Seattle Tracts'!$C$2:$Y$374,AN$1,FALSE)*$Z327</f>
        <v>2.2301056887670076E-2</v>
      </c>
      <c r="AO327" s="3">
        <f>VLOOKUP($AB327,'2000 Seattle Tracts'!$C$2:$Y$374,AO$1,FALSE)*$Z327</f>
        <v>2.1409014612163272E-2</v>
      </c>
      <c r="AP327" s="3">
        <f>VLOOKUP($AB327,'2000 Seattle Tracts'!$C$2:$Y$374,AP$1,FALSE)*$Z327</f>
        <v>3.2708216768582779E-3</v>
      </c>
      <c r="AQ327" s="3">
        <f>VLOOKUP($AB327,'2000 Seattle Tracts'!$C$2:$Y$374,AQ$1,FALSE)*$Z327</f>
        <v>1.575941353395352E-2</v>
      </c>
      <c r="AR327" s="3">
        <f>VLOOKUP($AB327,'2000 Seattle Tracts'!$C$2:$Y$374,AR$1,FALSE)*$Z327</f>
        <v>3.0626784792400236E-2</v>
      </c>
      <c r="AS327" s="3">
        <f>VLOOKUP($AB327,'2000 Seattle Tracts'!$C$2:$Y$374,AS$1,FALSE)*$Z327</f>
        <v>1.4867371258446716E-3</v>
      </c>
      <c r="AT327" s="3">
        <f>VLOOKUP($AB327,'2000 Seattle Tracts'!$C$2:$Y$374,AT$1,FALSE)*$Z327</f>
        <v>0</v>
      </c>
      <c r="AU327" s="3">
        <f>VLOOKUP($AB327,'2000 Seattle Tracts'!$C$2:$Y$374,AU$1,FALSE)*$Z327</f>
        <v>2.5274531139359419E-2</v>
      </c>
      <c r="AV327" s="3">
        <f>VLOOKUP($AB327,'2000 Seattle Tracts'!$C$2:$Y$374,AV$1,FALSE)*$Z327</f>
        <v>8.0283804795612274E-3</v>
      </c>
      <c r="AW327" s="3">
        <f>VLOOKUP($AB327,'2000 Seattle Tracts'!$C$2:$Y$374,AW$1,FALSE)*$Z327</f>
        <v>3.6871080720947857E-2</v>
      </c>
      <c r="AX327" s="3">
        <f>VLOOKUP($AB327,'2000 Seattle Tracts'!$C$2:$Y$374,AX$1,FALSE)*$Z327</f>
        <v>8.9204227550680297E-3</v>
      </c>
    </row>
    <row r="328" spans="1:50" x14ac:dyDescent="0.25">
      <c r="A328" t="s">
        <v>2917</v>
      </c>
      <c r="B328" t="s">
        <v>2918</v>
      </c>
      <c r="C328" t="s">
        <v>3071</v>
      </c>
      <c r="D328" t="s">
        <v>2590</v>
      </c>
      <c r="E328" t="s">
        <v>2591</v>
      </c>
      <c r="F328" t="s">
        <v>2592</v>
      </c>
      <c r="G328" t="s">
        <v>2920</v>
      </c>
      <c r="H328" t="s">
        <v>2921</v>
      </c>
      <c r="I328">
        <v>926047</v>
      </c>
      <c r="J328">
        <v>0</v>
      </c>
      <c r="K328" t="s">
        <v>3474</v>
      </c>
      <c r="L328" t="s">
        <v>3073</v>
      </c>
      <c r="M328">
        <v>100</v>
      </c>
      <c r="N328">
        <v>26851.947</v>
      </c>
      <c r="O328" t="s">
        <v>201</v>
      </c>
      <c r="P328">
        <v>11</v>
      </c>
      <c r="Q328">
        <v>3</v>
      </c>
      <c r="R328">
        <v>0</v>
      </c>
      <c r="S328">
        <v>30239240</v>
      </c>
      <c r="T328">
        <v>102</v>
      </c>
      <c r="U328">
        <v>151</v>
      </c>
      <c r="V328">
        <v>26851.9474418256</v>
      </c>
      <c r="W328">
        <v>30239240.52129779</v>
      </c>
      <c r="X328">
        <v>48255.885000000002</v>
      </c>
      <c r="Y328">
        <f>VLOOKUP(AB328,'2000 Seattle Tracts'!$C$2:$Z$374,24,FALSE)</f>
        <v>926044.67599999998</v>
      </c>
      <c r="Z328">
        <f t="shared" si="10"/>
        <v>5.210967273030357E-2</v>
      </c>
      <c r="AA328" t="s">
        <v>204</v>
      </c>
      <c r="AB328" t="str">
        <f t="shared" si="11"/>
        <v>Census Tract 73, King County, Washington</v>
      </c>
      <c r="AC328" s="3">
        <f>VLOOKUP($AB328,'2000 Seattle Tracts'!$C$2:$Y$374,AC$1,FALSE)*$Z328</f>
        <v>116.25667986130726</v>
      </c>
      <c r="AD328" s="3">
        <f>VLOOKUP($AB328,'2000 Seattle Tracts'!$C$2:$Y$374,AD$1,FALSE)*$Z328</f>
        <v>99.529474914879813</v>
      </c>
      <c r="AE328" s="3">
        <f>VLOOKUP($AB328,'2000 Seattle Tracts'!$C$2:$Y$374,AE$1,FALSE)*$Z328</f>
        <v>16.727204946427445</v>
      </c>
      <c r="AF328" s="3">
        <f>VLOOKUP($AB328,'2000 Seattle Tracts'!$C$2:$Y$374,AF$1,FALSE)*$Z328</f>
        <v>116.25667986130726</v>
      </c>
      <c r="AG328" s="3">
        <f>VLOOKUP($AB328,'2000 Seattle Tracts'!$C$2:$Y$374,AG$1,FALSE)*$Z328</f>
        <v>99.529474914879813</v>
      </c>
      <c r="AH328" s="3">
        <f>VLOOKUP($AB328,'2000 Seattle Tracts'!$C$2:$Y$374,AH$1,FALSE)*$Z328</f>
        <v>16.727204946427445</v>
      </c>
      <c r="AI328" s="3">
        <f>VLOOKUP($AB328,'2000 Seattle Tracts'!$C$2:$Y$374,AI$1,FALSE)*$Z328</f>
        <v>63.104813676397626</v>
      </c>
      <c r="AJ328" s="3">
        <f>VLOOKUP($AB328,'2000 Seattle Tracts'!$C$2:$Y$374,AJ$1,FALSE)*$Z328</f>
        <v>3.178690036548518</v>
      </c>
      <c r="AK328" s="3">
        <f>VLOOKUP($AB328,'2000 Seattle Tracts'!$C$2:$Y$374,AK$1,FALSE)*$Z328</f>
        <v>0.67742574549394641</v>
      </c>
      <c r="AL328" s="3">
        <f>VLOOKUP($AB328,'2000 Seattle Tracts'!$C$2:$Y$374,AL$1,FALSE)*$Z328</f>
        <v>0.72953541822424994</v>
      </c>
      <c r="AM328" s="3">
        <f>VLOOKUP($AB328,'2000 Seattle Tracts'!$C$2:$Y$374,AM$1,FALSE)*$Z328</f>
        <v>18.082056437415339</v>
      </c>
      <c r="AN328" s="3">
        <f>VLOOKUP($AB328,'2000 Seattle Tracts'!$C$2:$Y$374,AN$1,FALSE)*$Z328</f>
        <v>3.9082254547727677</v>
      </c>
      <c r="AO328" s="3">
        <f>VLOOKUP($AB328,'2000 Seattle Tracts'!$C$2:$Y$374,AO$1,FALSE)*$Z328</f>
        <v>3.7518964365818572</v>
      </c>
      <c r="AP328" s="3">
        <f>VLOOKUP($AB328,'2000 Seattle Tracts'!$C$2:$Y$374,AP$1,FALSE)*$Z328</f>
        <v>0.57320640003333923</v>
      </c>
      <c r="AQ328" s="3">
        <f>VLOOKUP($AB328,'2000 Seattle Tracts'!$C$2:$Y$374,AQ$1,FALSE)*$Z328</f>
        <v>2.7618126547060893</v>
      </c>
      <c r="AR328" s="3">
        <f>VLOOKUP($AB328,'2000 Seattle Tracts'!$C$2:$Y$374,AR$1,FALSE)*$Z328</f>
        <v>5.3672962912212681</v>
      </c>
      <c r="AS328" s="3">
        <f>VLOOKUP($AB328,'2000 Seattle Tracts'!$C$2:$Y$374,AS$1,FALSE)*$Z328</f>
        <v>0.26054836365151784</v>
      </c>
      <c r="AT328" s="3">
        <f>VLOOKUP($AB328,'2000 Seattle Tracts'!$C$2:$Y$374,AT$1,FALSE)*$Z328</f>
        <v>0</v>
      </c>
      <c r="AU328" s="3">
        <f>VLOOKUP($AB328,'2000 Seattle Tracts'!$C$2:$Y$374,AU$1,FALSE)*$Z328</f>
        <v>4.4293221820758033</v>
      </c>
      <c r="AV328" s="3">
        <f>VLOOKUP($AB328,'2000 Seattle Tracts'!$C$2:$Y$374,AV$1,FALSE)*$Z328</f>
        <v>1.4069611637181965</v>
      </c>
      <c r="AW328" s="3">
        <f>VLOOKUP($AB328,'2000 Seattle Tracts'!$C$2:$Y$374,AW$1,FALSE)*$Z328</f>
        <v>6.4615994185576424</v>
      </c>
      <c r="AX328" s="3">
        <f>VLOOKUP($AB328,'2000 Seattle Tracts'!$C$2:$Y$374,AX$1,FALSE)*$Z328</f>
        <v>1.5632901819091072</v>
      </c>
    </row>
    <row r="329" spans="1:50" x14ac:dyDescent="0.25">
      <c r="A329" t="s">
        <v>2917</v>
      </c>
      <c r="B329" t="s">
        <v>2918</v>
      </c>
      <c r="C329" t="s">
        <v>3146</v>
      </c>
      <c r="D329" t="s">
        <v>2593</v>
      </c>
      <c r="E329" t="s">
        <v>2594</v>
      </c>
      <c r="F329" t="s">
        <v>2595</v>
      </c>
      <c r="G329" t="s">
        <v>2920</v>
      </c>
      <c r="H329" t="s">
        <v>2921</v>
      </c>
      <c r="I329">
        <v>1010266</v>
      </c>
      <c r="J329">
        <v>0</v>
      </c>
      <c r="K329" t="s">
        <v>3147</v>
      </c>
      <c r="L329" t="s">
        <v>3148</v>
      </c>
      <c r="M329">
        <v>45</v>
      </c>
      <c r="N329">
        <v>20496.728999999999</v>
      </c>
      <c r="O329" t="s">
        <v>136</v>
      </c>
      <c r="P329">
        <v>10</v>
      </c>
      <c r="Q329">
        <v>7</v>
      </c>
      <c r="R329">
        <v>9</v>
      </c>
      <c r="S329">
        <v>17515624</v>
      </c>
      <c r="T329">
        <v>47</v>
      </c>
      <c r="U329">
        <v>152</v>
      </c>
      <c r="V329">
        <v>20496.72892223937</v>
      </c>
      <c r="W329">
        <v>17515624.457026299</v>
      </c>
      <c r="X329">
        <v>133604.902</v>
      </c>
      <c r="Y329">
        <f>VLOOKUP(AB329,'2000 Seattle Tracts'!$C$2:$Z$374,24,FALSE)</f>
        <v>1010272.098</v>
      </c>
      <c r="Z329">
        <f t="shared" si="10"/>
        <v>0.13224645346980571</v>
      </c>
      <c r="AA329" t="s">
        <v>138</v>
      </c>
      <c r="AB329" t="str">
        <f t="shared" si="11"/>
        <v>Census Tract 72, King County, Washington</v>
      </c>
      <c r="AC329" s="3">
        <f>VLOOKUP($AB329,'2000 Seattle Tracts'!$C$2:$Y$374,AC$1,FALSE)*$Z329</f>
        <v>392.63972035185316</v>
      </c>
      <c r="AD329" s="3">
        <f>VLOOKUP($AB329,'2000 Seattle Tracts'!$C$2:$Y$374,AD$1,FALSE)*$Z329</f>
        <v>333.26106274391037</v>
      </c>
      <c r="AE329" s="3">
        <f>VLOOKUP($AB329,'2000 Seattle Tracts'!$C$2:$Y$374,AE$1,FALSE)*$Z329</f>
        <v>59.378657607942763</v>
      </c>
      <c r="AF329" s="3">
        <f>VLOOKUP($AB329,'2000 Seattle Tracts'!$C$2:$Y$374,AF$1,FALSE)*$Z329</f>
        <v>392.63972035185316</v>
      </c>
      <c r="AG329" s="3">
        <f>VLOOKUP($AB329,'2000 Seattle Tracts'!$C$2:$Y$374,AG$1,FALSE)*$Z329</f>
        <v>333.26106274391037</v>
      </c>
      <c r="AH329" s="3">
        <f>VLOOKUP($AB329,'2000 Seattle Tracts'!$C$2:$Y$374,AH$1,FALSE)*$Z329</f>
        <v>59.378657607942763</v>
      </c>
      <c r="AI329" s="3">
        <f>VLOOKUP($AB329,'2000 Seattle Tracts'!$C$2:$Y$374,AI$1,FALSE)*$Z329</f>
        <v>282.08168525109556</v>
      </c>
      <c r="AJ329" s="3">
        <f>VLOOKUP($AB329,'2000 Seattle Tracts'!$C$2:$Y$374,AJ$1,FALSE)*$Z329</f>
        <v>22.614143543336777</v>
      </c>
      <c r="AK329" s="3">
        <f>VLOOKUP($AB329,'2000 Seattle Tracts'!$C$2:$Y$374,AK$1,FALSE)*$Z329</f>
        <v>1.7192038951074742</v>
      </c>
      <c r="AL329" s="3">
        <f>VLOOKUP($AB329,'2000 Seattle Tracts'!$C$2:$Y$374,AL$1,FALSE)*$Z329</f>
        <v>3.0416684298055312</v>
      </c>
      <c r="AM329" s="3">
        <f>VLOOKUP($AB329,'2000 Seattle Tracts'!$C$2:$Y$374,AM$1,FALSE)*$Z329</f>
        <v>10.844209184524068</v>
      </c>
      <c r="AN329" s="3">
        <f>VLOOKUP($AB329,'2000 Seattle Tracts'!$C$2:$Y$374,AN$1,FALSE)*$Z329</f>
        <v>0</v>
      </c>
      <c r="AO329" s="3">
        <f>VLOOKUP($AB329,'2000 Seattle Tracts'!$C$2:$Y$374,AO$1,FALSE)*$Z329</f>
        <v>6.4800762200204796</v>
      </c>
      <c r="AP329" s="3">
        <f>VLOOKUP($AB329,'2000 Seattle Tracts'!$C$2:$Y$374,AP$1,FALSE)*$Z329</f>
        <v>2.2481897089866969</v>
      </c>
      <c r="AQ329" s="3">
        <f>VLOOKUP($AB329,'2000 Seattle Tracts'!$C$2:$Y$374,AQ$1,FALSE)*$Z329</f>
        <v>12.034427265752319</v>
      </c>
      <c r="AR329" s="3">
        <f>VLOOKUP($AB329,'2000 Seattle Tracts'!$C$2:$Y$374,AR$1,FALSE)*$Z329</f>
        <v>26.846030054370559</v>
      </c>
      <c r="AS329" s="3">
        <f>VLOOKUP($AB329,'2000 Seattle Tracts'!$C$2:$Y$374,AS$1,FALSE)*$Z329</f>
        <v>0.7934787208188343</v>
      </c>
      <c r="AT329" s="3">
        <f>VLOOKUP($AB329,'2000 Seattle Tracts'!$C$2:$Y$374,AT$1,FALSE)*$Z329</f>
        <v>0</v>
      </c>
      <c r="AU329" s="3">
        <f>VLOOKUP($AB329,'2000 Seattle Tracts'!$C$2:$Y$374,AU$1,FALSE)*$Z329</f>
        <v>6.0833368596110624</v>
      </c>
      <c r="AV329" s="3">
        <f>VLOOKUP($AB329,'2000 Seattle Tracts'!$C$2:$Y$374,AV$1,FALSE)*$Z329</f>
        <v>1.7192038951074742</v>
      </c>
      <c r="AW329" s="3">
        <f>VLOOKUP($AB329,'2000 Seattle Tracts'!$C$2:$Y$374,AW$1,FALSE)*$Z329</f>
        <v>13.224645346980571</v>
      </c>
      <c r="AX329" s="3">
        <f>VLOOKUP($AB329,'2000 Seattle Tracts'!$C$2:$Y$374,AX$1,FALSE)*$Z329</f>
        <v>2.9094219763357256</v>
      </c>
    </row>
    <row r="330" spans="1:50" x14ac:dyDescent="0.25">
      <c r="A330" t="s">
        <v>2917</v>
      </c>
      <c r="B330" t="s">
        <v>2918</v>
      </c>
      <c r="C330" t="s">
        <v>3146</v>
      </c>
      <c r="D330" t="s">
        <v>2593</v>
      </c>
      <c r="E330" t="s">
        <v>2594</v>
      </c>
      <c r="F330" t="s">
        <v>2595</v>
      </c>
      <c r="G330" t="s">
        <v>2920</v>
      </c>
      <c r="H330" t="s">
        <v>2921</v>
      </c>
      <c r="I330">
        <v>1010266</v>
      </c>
      <c r="J330">
        <v>0</v>
      </c>
      <c r="K330" t="s">
        <v>3147</v>
      </c>
      <c r="L330" t="s">
        <v>3148</v>
      </c>
      <c r="M330">
        <v>49</v>
      </c>
      <c r="N330">
        <v>29323.546999999999</v>
      </c>
      <c r="O330" t="s">
        <v>141</v>
      </c>
      <c r="P330">
        <v>12</v>
      </c>
      <c r="Q330">
        <v>10</v>
      </c>
      <c r="R330">
        <v>95</v>
      </c>
      <c r="S330">
        <v>16107105</v>
      </c>
      <c r="T330">
        <v>51</v>
      </c>
      <c r="U330">
        <v>200</v>
      </c>
      <c r="V330">
        <v>29323.546284384702</v>
      </c>
      <c r="W330">
        <v>16107105.41912676</v>
      </c>
      <c r="X330">
        <v>446113.18</v>
      </c>
      <c r="Y330">
        <f>VLOOKUP(AB330,'2000 Seattle Tracts'!$C$2:$Z$374,24,FALSE)</f>
        <v>1010272.098</v>
      </c>
      <c r="Z330">
        <f t="shared" si="10"/>
        <v>0.44157725516042112</v>
      </c>
      <c r="AA330" t="s">
        <v>143</v>
      </c>
      <c r="AB330" t="str">
        <f t="shared" si="11"/>
        <v>Census Tract 72, King County, Washington</v>
      </c>
      <c r="AC330" s="3">
        <f>VLOOKUP($AB330,'2000 Seattle Tracts'!$C$2:$Y$374,AC$1,FALSE)*$Z330</f>
        <v>1311.0428705712902</v>
      </c>
      <c r="AD330" s="3">
        <f>VLOOKUP($AB330,'2000 Seattle Tracts'!$C$2:$Y$374,AD$1,FALSE)*$Z330</f>
        <v>1112.7746830042613</v>
      </c>
      <c r="AE330" s="3">
        <f>VLOOKUP($AB330,'2000 Seattle Tracts'!$C$2:$Y$374,AE$1,FALSE)*$Z330</f>
        <v>198.26818756702909</v>
      </c>
      <c r="AF330" s="3">
        <f>VLOOKUP($AB330,'2000 Seattle Tracts'!$C$2:$Y$374,AF$1,FALSE)*$Z330</f>
        <v>1311.0428705712902</v>
      </c>
      <c r="AG330" s="3">
        <f>VLOOKUP($AB330,'2000 Seattle Tracts'!$C$2:$Y$374,AG$1,FALSE)*$Z330</f>
        <v>1112.7746830042613</v>
      </c>
      <c r="AH330" s="3">
        <f>VLOOKUP($AB330,'2000 Seattle Tracts'!$C$2:$Y$374,AH$1,FALSE)*$Z330</f>
        <v>198.26818756702909</v>
      </c>
      <c r="AI330" s="3">
        <f>VLOOKUP($AB330,'2000 Seattle Tracts'!$C$2:$Y$374,AI$1,FALSE)*$Z330</f>
        <v>941.88428525717825</v>
      </c>
      <c r="AJ330" s="3">
        <f>VLOOKUP($AB330,'2000 Seattle Tracts'!$C$2:$Y$374,AJ$1,FALSE)*$Z330</f>
        <v>75.509710632432018</v>
      </c>
      <c r="AK330" s="3">
        <f>VLOOKUP($AB330,'2000 Seattle Tracts'!$C$2:$Y$374,AK$1,FALSE)*$Z330</f>
        <v>5.7405043170854748</v>
      </c>
      <c r="AL330" s="3">
        <f>VLOOKUP($AB330,'2000 Seattle Tracts'!$C$2:$Y$374,AL$1,FALSE)*$Z330</f>
        <v>10.156276868689686</v>
      </c>
      <c r="AM330" s="3">
        <f>VLOOKUP($AB330,'2000 Seattle Tracts'!$C$2:$Y$374,AM$1,FALSE)*$Z330</f>
        <v>36.209334923154529</v>
      </c>
      <c r="AN330" s="3">
        <f>VLOOKUP($AB330,'2000 Seattle Tracts'!$C$2:$Y$374,AN$1,FALSE)*$Z330</f>
        <v>0</v>
      </c>
      <c r="AO330" s="3">
        <f>VLOOKUP($AB330,'2000 Seattle Tracts'!$C$2:$Y$374,AO$1,FALSE)*$Z330</f>
        <v>21.637285502860635</v>
      </c>
      <c r="AP330" s="3">
        <f>VLOOKUP($AB330,'2000 Seattle Tracts'!$C$2:$Y$374,AP$1,FALSE)*$Z330</f>
        <v>7.5068133377271593</v>
      </c>
      <c r="AQ330" s="3">
        <f>VLOOKUP($AB330,'2000 Seattle Tracts'!$C$2:$Y$374,AQ$1,FALSE)*$Z330</f>
        <v>40.183530219598325</v>
      </c>
      <c r="AR330" s="3">
        <f>VLOOKUP($AB330,'2000 Seattle Tracts'!$C$2:$Y$374,AR$1,FALSE)*$Z330</f>
        <v>89.640182797565487</v>
      </c>
      <c r="AS330" s="3">
        <f>VLOOKUP($AB330,'2000 Seattle Tracts'!$C$2:$Y$374,AS$1,FALSE)*$Z330</f>
        <v>2.6494635309625267</v>
      </c>
      <c r="AT330" s="3">
        <f>VLOOKUP($AB330,'2000 Seattle Tracts'!$C$2:$Y$374,AT$1,FALSE)*$Z330</f>
        <v>0</v>
      </c>
      <c r="AU330" s="3">
        <f>VLOOKUP($AB330,'2000 Seattle Tracts'!$C$2:$Y$374,AU$1,FALSE)*$Z330</f>
        <v>20.312553737379371</v>
      </c>
      <c r="AV330" s="3">
        <f>VLOOKUP($AB330,'2000 Seattle Tracts'!$C$2:$Y$374,AV$1,FALSE)*$Z330</f>
        <v>5.7405043170854748</v>
      </c>
      <c r="AW330" s="3">
        <f>VLOOKUP($AB330,'2000 Seattle Tracts'!$C$2:$Y$374,AW$1,FALSE)*$Z330</f>
        <v>44.157725516042113</v>
      </c>
      <c r="AX330" s="3">
        <f>VLOOKUP($AB330,'2000 Seattle Tracts'!$C$2:$Y$374,AX$1,FALSE)*$Z330</f>
        <v>9.7146996135292643</v>
      </c>
    </row>
    <row r="331" spans="1:50" x14ac:dyDescent="0.25">
      <c r="A331" t="s">
        <v>2917</v>
      </c>
      <c r="B331" t="s">
        <v>2918</v>
      </c>
      <c r="C331" t="s">
        <v>3146</v>
      </c>
      <c r="D331" t="s">
        <v>2593</v>
      </c>
      <c r="E331" t="s">
        <v>2594</v>
      </c>
      <c r="F331" t="s">
        <v>2595</v>
      </c>
      <c r="G331" t="s">
        <v>2920</v>
      </c>
      <c r="H331" t="s">
        <v>2921</v>
      </c>
      <c r="I331">
        <v>1010266</v>
      </c>
      <c r="J331">
        <v>0</v>
      </c>
      <c r="K331" t="s">
        <v>3147</v>
      </c>
      <c r="L331" t="s">
        <v>3148</v>
      </c>
      <c r="M331">
        <v>60</v>
      </c>
      <c r="N331">
        <v>21967.599999999999</v>
      </c>
      <c r="O331" t="s">
        <v>156</v>
      </c>
      <c r="P331">
        <v>13</v>
      </c>
      <c r="Q331">
        <v>11</v>
      </c>
      <c r="R331">
        <v>81</v>
      </c>
      <c r="S331">
        <v>14974037</v>
      </c>
      <c r="T331">
        <v>62</v>
      </c>
      <c r="U331">
        <v>156</v>
      </c>
      <c r="V331">
        <v>21967.599459922661</v>
      </c>
      <c r="W331">
        <v>14974037.0994289</v>
      </c>
      <c r="X331">
        <v>430518.92200000002</v>
      </c>
      <c r="Y331">
        <f>VLOOKUP(AB331,'2000 Seattle Tracts'!$C$2:$Z$374,24,FALSE)</f>
        <v>1010272.098</v>
      </c>
      <c r="Z331">
        <f t="shared" si="10"/>
        <v>0.42614155419345257</v>
      </c>
      <c r="AA331" t="s">
        <v>157</v>
      </c>
      <c r="AB331" t="str">
        <f t="shared" si="11"/>
        <v>Census Tract 72, King County, Washington</v>
      </c>
      <c r="AC331" s="3">
        <f>VLOOKUP($AB331,'2000 Seattle Tracts'!$C$2:$Y$374,AC$1,FALSE)*$Z331</f>
        <v>1265.2142744003606</v>
      </c>
      <c r="AD331" s="3">
        <f>VLOOKUP($AB331,'2000 Seattle Tracts'!$C$2:$Y$374,AD$1,FALSE)*$Z331</f>
        <v>1073.8767165675004</v>
      </c>
      <c r="AE331" s="3">
        <f>VLOOKUP($AB331,'2000 Seattle Tracts'!$C$2:$Y$374,AE$1,FALSE)*$Z331</f>
        <v>191.3375578328602</v>
      </c>
      <c r="AF331" s="3">
        <f>VLOOKUP($AB331,'2000 Seattle Tracts'!$C$2:$Y$374,AF$1,FALSE)*$Z331</f>
        <v>1265.2142744003606</v>
      </c>
      <c r="AG331" s="3">
        <f>VLOOKUP($AB331,'2000 Seattle Tracts'!$C$2:$Y$374,AG$1,FALSE)*$Z331</f>
        <v>1073.8767165675004</v>
      </c>
      <c r="AH331" s="3">
        <f>VLOOKUP($AB331,'2000 Seattle Tracts'!$C$2:$Y$374,AH$1,FALSE)*$Z331</f>
        <v>191.3375578328602</v>
      </c>
      <c r="AI331" s="3">
        <f>VLOOKUP($AB331,'2000 Seattle Tracts'!$C$2:$Y$374,AI$1,FALSE)*$Z331</f>
        <v>908.95993509463437</v>
      </c>
      <c r="AJ331" s="3">
        <f>VLOOKUP($AB331,'2000 Seattle Tracts'!$C$2:$Y$374,AJ$1,FALSE)*$Z331</f>
        <v>72.870205767080392</v>
      </c>
      <c r="AK331" s="3">
        <f>VLOOKUP($AB331,'2000 Seattle Tracts'!$C$2:$Y$374,AK$1,FALSE)*$Z331</f>
        <v>5.5398402045148831</v>
      </c>
      <c r="AL331" s="3">
        <f>VLOOKUP($AB331,'2000 Seattle Tracts'!$C$2:$Y$374,AL$1,FALSE)*$Z331</f>
        <v>9.8012557464494083</v>
      </c>
      <c r="AM331" s="3">
        <f>VLOOKUP($AB331,'2000 Seattle Tracts'!$C$2:$Y$374,AM$1,FALSE)*$Z331</f>
        <v>34.943607443863108</v>
      </c>
      <c r="AN331" s="3">
        <f>VLOOKUP($AB331,'2000 Seattle Tracts'!$C$2:$Y$374,AN$1,FALSE)*$Z331</f>
        <v>0</v>
      </c>
      <c r="AO331" s="3">
        <f>VLOOKUP($AB331,'2000 Seattle Tracts'!$C$2:$Y$374,AO$1,FALSE)*$Z331</f>
        <v>20.880936155479176</v>
      </c>
      <c r="AP331" s="3">
        <f>VLOOKUP($AB331,'2000 Seattle Tracts'!$C$2:$Y$374,AP$1,FALSE)*$Z331</f>
        <v>7.2444064212886934</v>
      </c>
      <c r="AQ331" s="3">
        <f>VLOOKUP($AB331,'2000 Seattle Tracts'!$C$2:$Y$374,AQ$1,FALSE)*$Z331</f>
        <v>38.778881431604184</v>
      </c>
      <c r="AR331" s="3">
        <f>VLOOKUP($AB331,'2000 Seattle Tracts'!$C$2:$Y$374,AR$1,FALSE)*$Z331</f>
        <v>86.506735501270867</v>
      </c>
      <c r="AS331" s="3">
        <f>VLOOKUP($AB331,'2000 Seattle Tracts'!$C$2:$Y$374,AS$1,FALSE)*$Z331</f>
        <v>2.5568493251607154</v>
      </c>
      <c r="AT331" s="3">
        <f>VLOOKUP($AB331,'2000 Seattle Tracts'!$C$2:$Y$374,AT$1,FALSE)*$Z331</f>
        <v>0</v>
      </c>
      <c r="AU331" s="3">
        <f>VLOOKUP($AB331,'2000 Seattle Tracts'!$C$2:$Y$374,AU$1,FALSE)*$Z331</f>
        <v>19.602511492898817</v>
      </c>
      <c r="AV331" s="3">
        <f>VLOOKUP($AB331,'2000 Seattle Tracts'!$C$2:$Y$374,AV$1,FALSE)*$Z331</f>
        <v>5.5398402045148831</v>
      </c>
      <c r="AW331" s="3">
        <f>VLOOKUP($AB331,'2000 Seattle Tracts'!$C$2:$Y$374,AW$1,FALSE)*$Z331</f>
        <v>42.614155419345259</v>
      </c>
      <c r="AX331" s="3">
        <f>VLOOKUP($AB331,'2000 Seattle Tracts'!$C$2:$Y$374,AX$1,FALSE)*$Z331</f>
        <v>9.3751141922559569</v>
      </c>
    </row>
    <row r="332" spans="1:50" x14ac:dyDescent="0.25">
      <c r="A332" t="s">
        <v>2917</v>
      </c>
      <c r="B332" t="s">
        <v>2918</v>
      </c>
      <c r="C332" t="s">
        <v>3146</v>
      </c>
      <c r="D332" t="s">
        <v>2593</v>
      </c>
      <c r="E332" t="s">
        <v>2594</v>
      </c>
      <c r="F332" t="s">
        <v>2595</v>
      </c>
      <c r="G332" t="s">
        <v>2920</v>
      </c>
      <c r="H332" t="s">
        <v>2921</v>
      </c>
      <c r="I332">
        <v>1010266</v>
      </c>
      <c r="J332">
        <v>0</v>
      </c>
      <c r="K332" t="s">
        <v>3147</v>
      </c>
      <c r="L332" t="s">
        <v>3148</v>
      </c>
      <c r="M332">
        <v>62</v>
      </c>
      <c r="N332">
        <v>18209.463</v>
      </c>
      <c r="O332" t="s">
        <v>156</v>
      </c>
      <c r="P332">
        <v>13</v>
      </c>
      <c r="Q332">
        <v>11</v>
      </c>
      <c r="R332">
        <v>95</v>
      </c>
      <c r="S332">
        <v>9477399</v>
      </c>
      <c r="T332">
        <v>64</v>
      </c>
      <c r="U332">
        <v>159</v>
      </c>
      <c r="V332">
        <v>18209.462862458811</v>
      </c>
      <c r="W332">
        <v>9477398.6185622383</v>
      </c>
      <c r="X332">
        <v>35.103999999999999</v>
      </c>
      <c r="Y332">
        <f>VLOOKUP(AB332,'2000 Seattle Tracts'!$C$2:$Z$374,24,FALSE)</f>
        <v>1010272.098</v>
      </c>
      <c r="Z332">
        <f t="shared" si="10"/>
        <v>3.4747074644043074E-5</v>
      </c>
      <c r="AA332" t="s">
        <v>159</v>
      </c>
      <c r="AB332" t="str">
        <f t="shared" si="11"/>
        <v>Census Tract 72, King County, Washington</v>
      </c>
      <c r="AC332" s="3">
        <f>VLOOKUP($AB332,'2000 Seattle Tracts'!$C$2:$Y$374,AC$1,FALSE)*$Z332</f>
        <v>0.10316406461816388</v>
      </c>
      <c r="AD332" s="3">
        <f>VLOOKUP($AB332,'2000 Seattle Tracts'!$C$2:$Y$374,AD$1,FALSE)*$Z332</f>
        <v>8.7562628102988552E-2</v>
      </c>
      <c r="AE332" s="3">
        <f>VLOOKUP($AB332,'2000 Seattle Tracts'!$C$2:$Y$374,AE$1,FALSE)*$Z332</f>
        <v>1.560143651517534E-2</v>
      </c>
      <c r="AF332" s="3">
        <f>VLOOKUP($AB332,'2000 Seattle Tracts'!$C$2:$Y$374,AF$1,FALSE)*$Z332</f>
        <v>0.10316406461816388</v>
      </c>
      <c r="AG332" s="3">
        <f>VLOOKUP($AB332,'2000 Seattle Tracts'!$C$2:$Y$374,AG$1,FALSE)*$Z332</f>
        <v>8.7562628102988552E-2</v>
      </c>
      <c r="AH332" s="3">
        <f>VLOOKUP($AB332,'2000 Seattle Tracts'!$C$2:$Y$374,AH$1,FALSE)*$Z332</f>
        <v>1.560143651517534E-2</v>
      </c>
      <c r="AI332" s="3">
        <f>VLOOKUP($AB332,'2000 Seattle Tracts'!$C$2:$Y$374,AI$1,FALSE)*$Z332</f>
        <v>7.4115510215743877E-2</v>
      </c>
      <c r="AJ332" s="3">
        <f>VLOOKUP($AB332,'2000 Seattle Tracts'!$C$2:$Y$374,AJ$1,FALSE)*$Z332</f>
        <v>5.9417497641313655E-3</v>
      </c>
      <c r="AK332" s="3">
        <f>VLOOKUP($AB332,'2000 Seattle Tracts'!$C$2:$Y$374,AK$1,FALSE)*$Z332</f>
        <v>4.5171197037255996E-4</v>
      </c>
      <c r="AL332" s="3">
        <f>VLOOKUP($AB332,'2000 Seattle Tracts'!$C$2:$Y$374,AL$1,FALSE)*$Z332</f>
        <v>7.9918271681299075E-4</v>
      </c>
      <c r="AM332" s="3">
        <f>VLOOKUP($AB332,'2000 Seattle Tracts'!$C$2:$Y$374,AM$1,FALSE)*$Z332</f>
        <v>2.8492601208115319E-3</v>
      </c>
      <c r="AN332" s="3">
        <f>VLOOKUP($AB332,'2000 Seattle Tracts'!$C$2:$Y$374,AN$1,FALSE)*$Z332</f>
        <v>0</v>
      </c>
      <c r="AO332" s="3">
        <f>VLOOKUP($AB332,'2000 Seattle Tracts'!$C$2:$Y$374,AO$1,FALSE)*$Z332</f>
        <v>1.7026066575581106E-3</v>
      </c>
      <c r="AP332" s="3">
        <f>VLOOKUP($AB332,'2000 Seattle Tracts'!$C$2:$Y$374,AP$1,FALSE)*$Z332</f>
        <v>5.907002689487322E-4</v>
      </c>
      <c r="AQ332" s="3">
        <f>VLOOKUP($AB332,'2000 Seattle Tracts'!$C$2:$Y$374,AQ$1,FALSE)*$Z332</f>
        <v>3.1619837926079196E-3</v>
      </c>
      <c r="AR332" s="3">
        <f>VLOOKUP($AB332,'2000 Seattle Tracts'!$C$2:$Y$374,AR$1,FALSE)*$Z332</f>
        <v>7.0536561527407438E-3</v>
      </c>
      <c r="AS332" s="3">
        <f>VLOOKUP($AB332,'2000 Seattle Tracts'!$C$2:$Y$374,AS$1,FALSE)*$Z332</f>
        <v>2.0848244786425844E-4</v>
      </c>
      <c r="AT332" s="3">
        <f>VLOOKUP($AB332,'2000 Seattle Tracts'!$C$2:$Y$374,AT$1,FALSE)*$Z332</f>
        <v>0</v>
      </c>
      <c r="AU332" s="3">
        <f>VLOOKUP($AB332,'2000 Seattle Tracts'!$C$2:$Y$374,AU$1,FALSE)*$Z332</f>
        <v>1.5983654336259815E-3</v>
      </c>
      <c r="AV332" s="3">
        <f>VLOOKUP($AB332,'2000 Seattle Tracts'!$C$2:$Y$374,AV$1,FALSE)*$Z332</f>
        <v>4.5171197037255996E-4</v>
      </c>
      <c r="AW332" s="3">
        <f>VLOOKUP($AB332,'2000 Seattle Tracts'!$C$2:$Y$374,AW$1,FALSE)*$Z332</f>
        <v>3.4747074644043072E-3</v>
      </c>
      <c r="AX332" s="3">
        <f>VLOOKUP($AB332,'2000 Seattle Tracts'!$C$2:$Y$374,AX$1,FALSE)*$Z332</f>
        <v>7.6443564216894762E-4</v>
      </c>
    </row>
    <row r="333" spans="1:50" x14ac:dyDescent="0.25">
      <c r="A333" t="s">
        <v>2917</v>
      </c>
      <c r="B333" t="s">
        <v>2918</v>
      </c>
      <c r="C333" t="s">
        <v>3221</v>
      </c>
      <c r="D333" t="s">
        <v>2596</v>
      </c>
      <c r="E333" t="s">
        <v>2597</v>
      </c>
      <c r="F333" t="s">
        <v>2598</v>
      </c>
      <c r="G333" t="s">
        <v>2920</v>
      </c>
      <c r="H333" t="s">
        <v>2921</v>
      </c>
      <c r="I333">
        <v>862095</v>
      </c>
      <c r="J333">
        <v>0</v>
      </c>
      <c r="K333" t="s">
        <v>3222</v>
      </c>
      <c r="L333" t="s">
        <v>3223</v>
      </c>
      <c r="M333">
        <v>44</v>
      </c>
      <c r="N333">
        <v>20631.705000000002</v>
      </c>
      <c r="O333" t="s">
        <v>136</v>
      </c>
      <c r="P333">
        <v>10</v>
      </c>
      <c r="Q333">
        <v>7</v>
      </c>
      <c r="R333">
        <v>94</v>
      </c>
      <c r="S333">
        <v>17974986</v>
      </c>
      <c r="T333">
        <v>46</v>
      </c>
      <c r="U333">
        <v>148</v>
      </c>
      <c r="V333">
        <v>20631.70572929232</v>
      </c>
      <c r="W333">
        <v>17974985.95263635</v>
      </c>
      <c r="X333">
        <v>64.817999999999998</v>
      </c>
      <c r="Y333">
        <f>VLOOKUP(AB333,'2000 Seattle Tracts'!$C$2:$Z$374,24,FALSE)</f>
        <v>862093.34100000001</v>
      </c>
      <c r="Z333">
        <f t="shared" si="10"/>
        <v>7.5186754052424581E-5</v>
      </c>
      <c r="AA333" t="s">
        <v>137</v>
      </c>
      <c r="AB333" t="str">
        <f t="shared" si="11"/>
        <v>Census Tract 71, King County, Washington</v>
      </c>
      <c r="AC333" s="3">
        <f>VLOOKUP($AB333,'2000 Seattle Tracts'!$C$2:$Y$374,AC$1,FALSE)*$Z333</f>
        <v>0.13503541027815455</v>
      </c>
      <c r="AD333" s="3">
        <f>VLOOKUP($AB333,'2000 Seattle Tracts'!$C$2:$Y$374,AD$1,FALSE)*$Z333</f>
        <v>0.11841913763256871</v>
      </c>
      <c r="AE333" s="3">
        <f>VLOOKUP($AB333,'2000 Seattle Tracts'!$C$2:$Y$374,AE$1,FALSE)*$Z333</f>
        <v>1.6616272645585833E-2</v>
      </c>
      <c r="AF333" s="3">
        <f>VLOOKUP($AB333,'2000 Seattle Tracts'!$C$2:$Y$374,AF$1,FALSE)*$Z333</f>
        <v>0.13503541027815455</v>
      </c>
      <c r="AG333" s="3">
        <f>VLOOKUP($AB333,'2000 Seattle Tracts'!$C$2:$Y$374,AG$1,FALSE)*$Z333</f>
        <v>0.11841913763256871</v>
      </c>
      <c r="AH333" s="3">
        <f>VLOOKUP($AB333,'2000 Seattle Tracts'!$C$2:$Y$374,AH$1,FALSE)*$Z333</f>
        <v>1.6616272645585833E-2</v>
      </c>
      <c r="AI333" s="3">
        <f>VLOOKUP($AB333,'2000 Seattle Tracts'!$C$2:$Y$374,AI$1,FALSE)*$Z333</f>
        <v>0.10097581069240621</v>
      </c>
      <c r="AJ333" s="3">
        <f>VLOOKUP($AB333,'2000 Seattle Tracts'!$C$2:$Y$374,AJ$1,FALSE)*$Z333</f>
        <v>1.067651907544429E-2</v>
      </c>
      <c r="AK333" s="3">
        <f>VLOOKUP($AB333,'2000 Seattle Tracts'!$C$2:$Y$374,AK$1,FALSE)*$Z333</f>
        <v>1.0526145567339442E-3</v>
      </c>
      <c r="AL333" s="3">
        <f>VLOOKUP($AB333,'2000 Seattle Tracts'!$C$2:$Y$374,AL$1,FALSE)*$Z333</f>
        <v>0</v>
      </c>
      <c r="AM333" s="3">
        <f>VLOOKUP($AB333,'2000 Seattle Tracts'!$C$2:$Y$374,AM$1,FALSE)*$Z333</f>
        <v>5.4134462917745695E-3</v>
      </c>
      <c r="AN333" s="3">
        <f>VLOOKUP($AB333,'2000 Seattle Tracts'!$C$2:$Y$374,AN$1,FALSE)*$Z333</f>
        <v>9.7742780268151946E-4</v>
      </c>
      <c r="AO333" s="3">
        <f>VLOOKUP($AB333,'2000 Seattle Tracts'!$C$2:$Y$374,AO$1,FALSE)*$Z333</f>
        <v>2.1052291134678884E-3</v>
      </c>
      <c r="AP333" s="3">
        <f>VLOOKUP($AB333,'2000 Seattle Tracts'!$C$2:$Y$374,AP$1,FALSE)*$Z333</f>
        <v>0</v>
      </c>
      <c r="AQ333" s="3">
        <f>VLOOKUP($AB333,'2000 Seattle Tracts'!$C$2:$Y$374,AQ$1,FALSE)*$Z333</f>
        <v>1.2781748188912178E-3</v>
      </c>
      <c r="AR333" s="3">
        <f>VLOOKUP($AB333,'2000 Seattle Tracts'!$C$2:$Y$374,AR$1,FALSE)*$Z333</f>
        <v>3.6089641945163797E-3</v>
      </c>
      <c r="AS333" s="3">
        <f>VLOOKUP($AB333,'2000 Seattle Tracts'!$C$2:$Y$374,AS$1,FALSE)*$Z333</f>
        <v>0</v>
      </c>
      <c r="AT333" s="3">
        <f>VLOOKUP($AB333,'2000 Seattle Tracts'!$C$2:$Y$374,AT$1,FALSE)*$Z333</f>
        <v>0</v>
      </c>
      <c r="AU333" s="3">
        <f>VLOOKUP($AB333,'2000 Seattle Tracts'!$C$2:$Y$374,AU$1,FALSE)*$Z333</f>
        <v>3.1578436702018324E-3</v>
      </c>
      <c r="AV333" s="3">
        <f>VLOOKUP($AB333,'2000 Seattle Tracts'!$C$2:$Y$374,AV$1,FALSE)*$Z333</f>
        <v>1.3533615729436424E-3</v>
      </c>
      <c r="AW333" s="3">
        <f>VLOOKUP($AB333,'2000 Seattle Tracts'!$C$2:$Y$374,AW$1,FALSE)*$Z333</f>
        <v>4.4360184890930507E-3</v>
      </c>
      <c r="AX333" s="3">
        <f>VLOOKUP($AB333,'2000 Seattle Tracts'!$C$2:$Y$374,AX$1,FALSE)*$Z333</f>
        <v>0</v>
      </c>
    </row>
    <row r="334" spans="1:50" x14ac:dyDescent="0.25">
      <c r="A334" t="s">
        <v>2917</v>
      </c>
      <c r="B334" t="s">
        <v>2918</v>
      </c>
      <c r="C334" t="s">
        <v>3221</v>
      </c>
      <c r="D334" t="s">
        <v>2596</v>
      </c>
      <c r="E334" t="s">
        <v>2597</v>
      </c>
      <c r="F334" t="s">
        <v>2598</v>
      </c>
      <c r="G334" t="s">
        <v>2920</v>
      </c>
      <c r="H334" t="s">
        <v>2921</v>
      </c>
      <c r="I334">
        <v>862095</v>
      </c>
      <c r="J334">
        <v>0</v>
      </c>
      <c r="K334" t="s">
        <v>3222</v>
      </c>
      <c r="L334" t="s">
        <v>3223</v>
      </c>
      <c r="M334">
        <v>45</v>
      </c>
      <c r="N334">
        <v>20496.728999999999</v>
      </c>
      <c r="O334" t="s">
        <v>136</v>
      </c>
      <c r="P334">
        <v>10</v>
      </c>
      <c r="Q334">
        <v>7</v>
      </c>
      <c r="R334">
        <v>9</v>
      </c>
      <c r="S334">
        <v>17515624</v>
      </c>
      <c r="T334">
        <v>47</v>
      </c>
      <c r="U334">
        <v>152</v>
      </c>
      <c r="V334">
        <v>20496.72892223937</v>
      </c>
      <c r="W334">
        <v>17515624.457026299</v>
      </c>
      <c r="X334">
        <v>720626.255</v>
      </c>
      <c r="Y334">
        <f>VLOOKUP(AB334,'2000 Seattle Tracts'!$C$2:$Z$374,24,FALSE)</f>
        <v>862093.34100000001</v>
      </c>
      <c r="Z334">
        <f t="shared" si="10"/>
        <v>0.83590282017965378</v>
      </c>
      <c r="AA334" t="s">
        <v>138</v>
      </c>
      <c r="AB334" t="str">
        <f t="shared" si="11"/>
        <v>Census Tract 71, King County, Washington</v>
      </c>
      <c r="AC334" s="3">
        <f>VLOOKUP($AB334,'2000 Seattle Tracts'!$C$2:$Y$374,AC$1,FALSE)*$Z334</f>
        <v>1501.2814650426583</v>
      </c>
      <c r="AD334" s="3">
        <f>VLOOKUP($AB334,'2000 Seattle Tracts'!$C$2:$Y$374,AD$1,FALSE)*$Z334</f>
        <v>1316.5469417829547</v>
      </c>
      <c r="AE334" s="3">
        <f>VLOOKUP($AB334,'2000 Seattle Tracts'!$C$2:$Y$374,AE$1,FALSE)*$Z334</f>
        <v>184.73452325970348</v>
      </c>
      <c r="AF334" s="3">
        <f>VLOOKUP($AB334,'2000 Seattle Tracts'!$C$2:$Y$374,AF$1,FALSE)*$Z334</f>
        <v>1501.2814650426583</v>
      </c>
      <c r="AG334" s="3">
        <f>VLOOKUP($AB334,'2000 Seattle Tracts'!$C$2:$Y$374,AG$1,FALSE)*$Z334</f>
        <v>1316.5469417829547</v>
      </c>
      <c r="AH334" s="3">
        <f>VLOOKUP($AB334,'2000 Seattle Tracts'!$C$2:$Y$374,AH$1,FALSE)*$Z334</f>
        <v>184.73452325970348</v>
      </c>
      <c r="AI334" s="3">
        <f>VLOOKUP($AB334,'2000 Seattle Tracts'!$C$2:$Y$374,AI$1,FALSE)*$Z334</f>
        <v>1122.617487501275</v>
      </c>
      <c r="AJ334" s="3">
        <f>VLOOKUP($AB334,'2000 Seattle Tracts'!$C$2:$Y$374,AJ$1,FALSE)*$Z334</f>
        <v>118.69820046551084</v>
      </c>
      <c r="AK334" s="3">
        <f>VLOOKUP($AB334,'2000 Seattle Tracts'!$C$2:$Y$374,AK$1,FALSE)*$Z334</f>
        <v>11.702639482515153</v>
      </c>
      <c r="AL334" s="3">
        <f>VLOOKUP($AB334,'2000 Seattle Tracts'!$C$2:$Y$374,AL$1,FALSE)*$Z334</f>
        <v>0</v>
      </c>
      <c r="AM334" s="3">
        <f>VLOOKUP($AB334,'2000 Seattle Tracts'!$C$2:$Y$374,AM$1,FALSE)*$Z334</f>
        <v>60.185003052935073</v>
      </c>
      <c r="AN334" s="3">
        <f>VLOOKUP($AB334,'2000 Seattle Tracts'!$C$2:$Y$374,AN$1,FALSE)*$Z334</f>
        <v>10.8667366623355</v>
      </c>
      <c r="AO334" s="3">
        <f>VLOOKUP($AB334,'2000 Seattle Tracts'!$C$2:$Y$374,AO$1,FALSE)*$Z334</f>
        <v>23.405278965030305</v>
      </c>
      <c r="AP334" s="3">
        <f>VLOOKUP($AB334,'2000 Seattle Tracts'!$C$2:$Y$374,AP$1,FALSE)*$Z334</f>
        <v>0</v>
      </c>
      <c r="AQ334" s="3">
        <f>VLOOKUP($AB334,'2000 Seattle Tracts'!$C$2:$Y$374,AQ$1,FALSE)*$Z334</f>
        <v>14.210347943054114</v>
      </c>
      <c r="AR334" s="3">
        <f>VLOOKUP($AB334,'2000 Seattle Tracts'!$C$2:$Y$374,AR$1,FALSE)*$Z334</f>
        <v>40.12333536862338</v>
      </c>
      <c r="AS334" s="3">
        <f>VLOOKUP($AB334,'2000 Seattle Tracts'!$C$2:$Y$374,AS$1,FALSE)*$Z334</f>
        <v>0</v>
      </c>
      <c r="AT334" s="3">
        <f>VLOOKUP($AB334,'2000 Seattle Tracts'!$C$2:$Y$374,AT$1,FALSE)*$Z334</f>
        <v>0</v>
      </c>
      <c r="AU334" s="3">
        <f>VLOOKUP($AB334,'2000 Seattle Tracts'!$C$2:$Y$374,AU$1,FALSE)*$Z334</f>
        <v>35.107918447545458</v>
      </c>
      <c r="AV334" s="3">
        <f>VLOOKUP($AB334,'2000 Seattle Tracts'!$C$2:$Y$374,AV$1,FALSE)*$Z334</f>
        <v>15.046250763233768</v>
      </c>
      <c r="AW334" s="3">
        <f>VLOOKUP($AB334,'2000 Seattle Tracts'!$C$2:$Y$374,AW$1,FALSE)*$Z334</f>
        <v>49.318266390599575</v>
      </c>
      <c r="AX334" s="3">
        <f>VLOOKUP($AB334,'2000 Seattle Tracts'!$C$2:$Y$374,AX$1,FALSE)*$Z334</f>
        <v>0</v>
      </c>
    </row>
    <row r="335" spans="1:50" x14ac:dyDescent="0.25">
      <c r="A335" t="s">
        <v>2917</v>
      </c>
      <c r="B335" t="s">
        <v>2918</v>
      </c>
      <c r="C335" t="s">
        <v>3221</v>
      </c>
      <c r="D335" t="s">
        <v>2596</v>
      </c>
      <c r="E335" t="s">
        <v>2597</v>
      </c>
      <c r="F335" t="s">
        <v>2598</v>
      </c>
      <c r="G335" t="s">
        <v>2920</v>
      </c>
      <c r="H335" t="s">
        <v>2921</v>
      </c>
      <c r="I335">
        <v>862095</v>
      </c>
      <c r="J335">
        <v>0</v>
      </c>
      <c r="K335" t="s">
        <v>3222</v>
      </c>
      <c r="L335" t="s">
        <v>3223</v>
      </c>
      <c r="M335">
        <v>49</v>
      </c>
      <c r="N335">
        <v>29323.546999999999</v>
      </c>
      <c r="O335" t="s">
        <v>141</v>
      </c>
      <c r="P335">
        <v>12</v>
      </c>
      <c r="Q335">
        <v>10</v>
      </c>
      <c r="R335">
        <v>95</v>
      </c>
      <c r="S335">
        <v>16107105</v>
      </c>
      <c r="T335">
        <v>51</v>
      </c>
      <c r="U335">
        <v>200</v>
      </c>
      <c r="V335">
        <v>29323.546284384702</v>
      </c>
      <c r="W335">
        <v>16107105.41912676</v>
      </c>
      <c r="X335">
        <v>42.436999999999998</v>
      </c>
      <c r="Y335">
        <f>VLOOKUP(AB335,'2000 Seattle Tracts'!$C$2:$Z$374,24,FALSE)</f>
        <v>862093.34100000001</v>
      </c>
      <c r="Z335">
        <f t="shared" si="10"/>
        <v>4.9225528120626092E-5</v>
      </c>
      <c r="AA335" t="s">
        <v>143</v>
      </c>
      <c r="AB335" t="str">
        <f t="shared" si="11"/>
        <v>Census Tract 71, King County, Washington</v>
      </c>
      <c r="AC335" s="3">
        <f>VLOOKUP($AB335,'2000 Seattle Tracts'!$C$2:$Y$374,AC$1,FALSE)*$Z335</f>
        <v>8.8409048504644455E-2</v>
      </c>
      <c r="AD335" s="3">
        <f>VLOOKUP($AB335,'2000 Seattle Tracts'!$C$2:$Y$374,AD$1,FALSE)*$Z335</f>
        <v>7.7530206789986095E-2</v>
      </c>
      <c r="AE335" s="3">
        <f>VLOOKUP($AB335,'2000 Seattle Tracts'!$C$2:$Y$374,AE$1,FALSE)*$Z335</f>
        <v>1.0878841714658366E-2</v>
      </c>
      <c r="AF335" s="3">
        <f>VLOOKUP($AB335,'2000 Seattle Tracts'!$C$2:$Y$374,AF$1,FALSE)*$Z335</f>
        <v>8.8409048504644455E-2</v>
      </c>
      <c r="AG335" s="3">
        <f>VLOOKUP($AB335,'2000 Seattle Tracts'!$C$2:$Y$374,AG$1,FALSE)*$Z335</f>
        <v>7.7530206789986095E-2</v>
      </c>
      <c r="AH335" s="3">
        <f>VLOOKUP($AB335,'2000 Seattle Tracts'!$C$2:$Y$374,AH$1,FALSE)*$Z335</f>
        <v>1.0878841714658366E-2</v>
      </c>
      <c r="AI335" s="3">
        <f>VLOOKUP($AB335,'2000 Seattle Tracts'!$C$2:$Y$374,AI$1,FALSE)*$Z335</f>
        <v>6.610988426600084E-2</v>
      </c>
      <c r="AJ335" s="3">
        <f>VLOOKUP($AB335,'2000 Seattle Tracts'!$C$2:$Y$374,AJ$1,FALSE)*$Z335</f>
        <v>6.9900249931289047E-3</v>
      </c>
      <c r="AK335" s="3">
        <f>VLOOKUP($AB335,'2000 Seattle Tracts'!$C$2:$Y$374,AK$1,FALSE)*$Z335</f>
        <v>6.8915739368876532E-4</v>
      </c>
      <c r="AL335" s="3">
        <f>VLOOKUP($AB335,'2000 Seattle Tracts'!$C$2:$Y$374,AL$1,FALSE)*$Z335</f>
        <v>0</v>
      </c>
      <c r="AM335" s="3">
        <f>VLOOKUP($AB335,'2000 Seattle Tracts'!$C$2:$Y$374,AM$1,FALSE)*$Z335</f>
        <v>3.5442380246850785E-3</v>
      </c>
      <c r="AN335" s="3">
        <f>VLOOKUP($AB335,'2000 Seattle Tracts'!$C$2:$Y$374,AN$1,FALSE)*$Z335</f>
        <v>6.3993186556813924E-4</v>
      </c>
      <c r="AO335" s="3">
        <f>VLOOKUP($AB335,'2000 Seattle Tracts'!$C$2:$Y$374,AO$1,FALSE)*$Z335</f>
        <v>1.3783147873775306E-3</v>
      </c>
      <c r="AP335" s="3">
        <f>VLOOKUP($AB335,'2000 Seattle Tracts'!$C$2:$Y$374,AP$1,FALSE)*$Z335</f>
        <v>0</v>
      </c>
      <c r="AQ335" s="3">
        <f>VLOOKUP($AB335,'2000 Seattle Tracts'!$C$2:$Y$374,AQ$1,FALSE)*$Z335</f>
        <v>8.3683397805064356E-4</v>
      </c>
      <c r="AR335" s="3">
        <f>VLOOKUP($AB335,'2000 Seattle Tracts'!$C$2:$Y$374,AR$1,FALSE)*$Z335</f>
        <v>2.3628253497900526E-3</v>
      </c>
      <c r="AS335" s="3">
        <f>VLOOKUP($AB335,'2000 Seattle Tracts'!$C$2:$Y$374,AS$1,FALSE)*$Z335</f>
        <v>0</v>
      </c>
      <c r="AT335" s="3">
        <f>VLOOKUP($AB335,'2000 Seattle Tracts'!$C$2:$Y$374,AT$1,FALSE)*$Z335</f>
        <v>0</v>
      </c>
      <c r="AU335" s="3">
        <f>VLOOKUP($AB335,'2000 Seattle Tracts'!$C$2:$Y$374,AU$1,FALSE)*$Z335</f>
        <v>2.067472181066296E-3</v>
      </c>
      <c r="AV335" s="3">
        <f>VLOOKUP($AB335,'2000 Seattle Tracts'!$C$2:$Y$374,AV$1,FALSE)*$Z335</f>
        <v>8.8605950617126963E-4</v>
      </c>
      <c r="AW335" s="3">
        <f>VLOOKUP($AB335,'2000 Seattle Tracts'!$C$2:$Y$374,AW$1,FALSE)*$Z335</f>
        <v>2.9043061591169394E-3</v>
      </c>
      <c r="AX335" s="3">
        <f>VLOOKUP($AB335,'2000 Seattle Tracts'!$C$2:$Y$374,AX$1,FALSE)*$Z335</f>
        <v>0</v>
      </c>
    </row>
    <row r="336" spans="1:50" x14ac:dyDescent="0.25">
      <c r="A336" t="s">
        <v>2917</v>
      </c>
      <c r="B336" t="s">
        <v>2918</v>
      </c>
      <c r="C336" t="s">
        <v>3221</v>
      </c>
      <c r="D336" t="s">
        <v>2596</v>
      </c>
      <c r="E336" t="s">
        <v>2597</v>
      </c>
      <c r="F336" t="s">
        <v>2598</v>
      </c>
      <c r="G336" t="s">
        <v>2920</v>
      </c>
      <c r="H336" t="s">
        <v>2921</v>
      </c>
      <c r="I336">
        <v>862095</v>
      </c>
      <c r="J336">
        <v>0</v>
      </c>
      <c r="K336" t="s">
        <v>3222</v>
      </c>
      <c r="L336" t="s">
        <v>3223</v>
      </c>
      <c r="M336">
        <v>60</v>
      </c>
      <c r="N336">
        <v>21967.599999999999</v>
      </c>
      <c r="O336" t="s">
        <v>156</v>
      </c>
      <c r="P336">
        <v>13</v>
      </c>
      <c r="Q336">
        <v>11</v>
      </c>
      <c r="R336">
        <v>81</v>
      </c>
      <c r="S336">
        <v>14974037</v>
      </c>
      <c r="T336">
        <v>62</v>
      </c>
      <c r="U336">
        <v>156</v>
      </c>
      <c r="V336">
        <v>21967.599459922661</v>
      </c>
      <c r="W336">
        <v>14974037.0994289</v>
      </c>
      <c r="X336">
        <v>5.1840000000000002</v>
      </c>
      <c r="Y336">
        <f>VLOOKUP(AB336,'2000 Seattle Tracts'!$C$2:$Z$374,24,FALSE)</f>
        <v>862093.34100000001</v>
      </c>
      <c r="Z336">
        <f t="shared" si="10"/>
        <v>6.0132699714241273E-6</v>
      </c>
      <c r="AA336" t="s">
        <v>157</v>
      </c>
      <c r="AB336" t="str">
        <f t="shared" si="11"/>
        <v>Census Tract 71, King County, Washington</v>
      </c>
      <c r="AC336" s="3">
        <f>VLOOKUP($AB336,'2000 Seattle Tracts'!$C$2:$Y$374,AC$1,FALSE)*$Z336</f>
        <v>1.0799832868677733E-2</v>
      </c>
      <c r="AD336" s="3">
        <f>VLOOKUP($AB336,'2000 Seattle Tracts'!$C$2:$Y$374,AD$1,FALSE)*$Z336</f>
        <v>9.4709002049930009E-3</v>
      </c>
      <c r="AE336" s="3">
        <f>VLOOKUP($AB336,'2000 Seattle Tracts'!$C$2:$Y$374,AE$1,FALSE)*$Z336</f>
        <v>1.3289326636847321E-3</v>
      </c>
      <c r="AF336" s="3">
        <f>VLOOKUP($AB336,'2000 Seattle Tracts'!$C$2:$Y$374,AF$1,FALSE)*$Z336</f>
        <v>1.0799832868677733E-2</v>
      </c>
      <c r="AG336" s="3">
        <f>VLOOKUP($AB336,'2000 Seattle Tracts'!$C$2:$Y$374,AG$1,FALSE)*$Z336</f>
        <v>9.4709002049930009E-3</v>
      </c>
      <c r="AH336" s="3">
        <f>VLOOKUP($AB336,'2000 Seattle Tracts'!$C$2:$Y$374,AH$1,FALSE)*$Z336</f>
        <v>1.3289326636847321E-3</v>
      </c>
      <c r="AI336" s="3">
        <f>VLOOKUP($AB336,'2000 Seattle Tracts'!$C$2:$Y$374,AI$1,FALSE)*$Z336</f>
        <v>8.0758215716226038E-3</v>
      </c>
      <c r="AJ336" s="3">
        <f>VLOOKUP($AB336,'2000 Seattle Tracts'!$C$2:$Y$374,AJ$1,FALSE)*$Z336</f>
        <v>8.5388433594222604E-4</v>
      </c>
      <c r="AK336" s="3">
        <f>VLOOKUP($AB336,'2000 Seattle Tracts'!$C$2:$Y$374,AK$1,FALSE)*$Z336</f>
        <v>8.4185779599937782E-5</v>
      </c>
      <c r="AL336" s="3">
        <f>VLOOKUP($AB336,'2000 Seattle Tracts'!$C$2:$Y$374,AL$1,FALSE)*$Z336</f>
        <v>0</v>
      </c>
      <c r="AM336" s="3">
        <f>VLOOKUP($AB336,'2000 Seattle Tracts'!$C$2:$Y$374,AM$1,FALSE)*$Z336</f>
        <v>4.3295543794253717E-4</v>
      </c>
      <c r="AN336" s="3">
        <f>VLOOKUP($AB336,'2000 Seattle Tracts'!$C$2:$Y$374,AN$1,FALSE)*$Z336</f>
        <v>7.8172509628513648E-5</v>
      </c>
      <c r="AO336" s="3">
        <f>VLOOKUP($AB336,'2000 Seattle Tracts'!$C$2:$Y$374,AO$1,FALSE)*$Z336</f>
        <v>1.6837155919987556E-4</v>
      </c>
      <c r="AP336" s="3">
        <f>VLOOKUP($AB336,'2000 Seattle Tracts'!$C$2:$Y$374,AP$1,FALSE)*$Z336</f>
        <v>0</v>
      </c>
      <c r="AQ336" s="3">
        <f>VLOOKUP($AB336,'2000 Seattle Tracts'!$C$2:$Y$374,AQ$1,FALSE)*$Z336</f>
        <v>1.0222558951421016E-4</v>
      </c>
      <c r="AR336" s="3">
        <f>VLOOKUP($AB336,'2000 Seattle Tracts'!$C$2:$Y$374,AR$1,FALSE)*$Z336</f>
        <v>2.8863695862835811E-4</v>
      </c>
      <c r="AS336" s="3">
        <f>VLOOKUP($AB336,'2000 Seattle Tracts'!$C$2:$Y$374,AS$1,FALSE)*$Z336</f>
        <v>0</v>
      </c>
      <c r="AT336" s="3">
        <f>VLOOKUP($AB336,'2000 Seattle Tracts'!$C$2:$Y$374,AT$1,FALSE)*$Z336</f>
        <v>0</v>
      </c>
      <c r="AU336" s="3">
        <f>VLOOKUP($AB336,'2000 Seattle Tracts'!$C$2:$Y$374,AU$1,FALSE)*$Z336</f>
        <v>2.5255733879981333E-4</v>
      </c>
      <c r="AV336" s="3">
        <f>VLOOKUP($AB336,'2000 Seattle Tracts'!$C$2:$Y$374,AV$1,FALSE)*$Z336</f>
        <v>1.0823885948563429E-4</v>
      </c>
      <c r="AW336" s="3">
        <f>VLOOKUP($AB336,'2000 Seattle Tracts'!$C$2:$Y$374,AW$1,FALSE)*$Z336</f>
        <v>3.5478292831402352E-4</v>
      </c>
      <c r="AX336" s="3">
        <f>VLOOKUP($AB336,'2000 Seattle Tracts'!$C$2:$Y$374,AX$1,FALSE)*$Z336</f>
        <v>0</v>
      </c>
    </row>
    <row r="337" spans="1:50" x14ac:dyDescent="0.25">
      <c r="A337" t="s">
        <v>2917</v>
      </c>
      <c r="B337" t="s">
        <v>2918</v>
      </c>
      <c r="C337" t="s">
        <v>3221</v>
      </c>
      <c r="D337" t="s">
        <v>2596</v>
      </c>
      <c r="E337" t="s">
        <v>2597</v>
      </c>
      <c r="F337" t="s">
        <v>2598</v>
      </c>
      <c r="G337" t="s">
        <v>2920</v>
      </c>
      <c r="H337" t="s">
        <v>2921</v>
      </c>
      <c r="I337">
        <v>862095</v>
      </c>
      <c r="J337">
        <v>0</v>
      </c>
      <c r="K337" t="s">
        <v>3222</v>
      </c>
      <c r="L337" t="s">
        <v>3223</v>
      </c>
      <c r="M337">
        <v>66</v>
      </c>
      <c r="N337">
        <v>64207.586000000003</v>
      </c>
      <c r="O337" t="s">
        <v>164</v>
      </c>
      <c r="P337">
        <v>9</v>
      </c>
      <c r="Q337">
        <v>12</v>
      </c>
      <c r="R337">
        <v>95</v>
      </c>
      <c r="S337">
        <v>33503942</v>
      </c>
      <c r="T337">
        <v>68</v>
      </c>
      <c r="U337">
        <v>199</v>
      </c>
      <c r="V337">
        <v>64207.586761171791</v>
      </c>
      <c r="W337">
        <v>33503941.092720222</v>
      </c>
      <c r="X337">
        <v>141354.64499999999</v>
      </c>
      <c r="Y337">
        <f>VLOOKUP(AB337,'2000 Seattle Tracts'!$C$2:$Z$374,24,FALSE)</f>
        <v>862093.34100000001</v>
      </c>
      <c r="Z337">
        <f t="shared" si="10"/>
        <v>0.16396675194826726</v>
      </c>
      <c r="AA337" t="s">
        <v>163</v>
      </c>
      <c r="AB337" t="str">
        <f t="shared" si="11"/>
        <v>Census Tract 71, King County, Washington</v>
      </c>
      <c r="AC337" s="3">
        <f>VLOOKUP($AB337,'2000 Seattle Tracts'!$C$2:$Y$374,AC$1,FALSE)*$Z337</f>
        <v>294.484286499088</v>
      </c>
      <c r="AD337" s="3">
        <f>VLOOKUP($AB337,'2000 Seattle Tracts'!$C$2:$Y$374,AD$1,FALSE)*$Z337</f>
        <v>258.24763431852097</v>
      </c>
      <c r="AE337" s="3">
        <f>VLOOKUP($AB337,'2000 Seattle Tracts'!$C$2:$Y$374,AE$1,FALSE)*$Z337</f>
        <v>36.236652180567063</v>
      </c>
      <c r="AF337" s="3">
        <f>VLOOKUP($AB337,'2000 Seattle Tracts'!$C$2:$Y$374,AF$1,FALSE)*$Z337</f>
        <v>294.484286499088</v>
      </c>
      <c r="AG337" s="3">
        <f>VLOOKUP($AB337,'2000 Seattle Tracts'!$C$2:$Y$374,AG$1,FALSE)*$Z337</f>
        <v>258.24763431852097</v>
      </c>
      <c r="AH337" s="3">
        <f>VLOOKUP($AB337,'2000 Seattle Tracts'!$C$2:$Y$374,AH$1,FALSE)*$Z337</f>
        <v>36.236652180567063</v>
      </c>
      <c r="AI337" s="3">
        <f>VLOOKUP($AB337,'2000 Seattle Tracts'!$C$2:$Y$374,AI$1,FALSE)*$Z337</f>
        <v>220.20734786652292</v>
      </c>
      <c r="AJ337" s="3">
        <f>VLOOKUP($AB337,'2000 Seattle Tracts'!$C$2:$Y$374,AJ$1,FALSE)*$Z337</f>
        <v>23.283278776653951</v>
      </c>
      <c r="AK337" s="3">
        <f>VLOOKUP($AB337,'2000 Seattle Tracts'!$C$2:$Y$374,AK$1,FALSE)*$Z337</f>
        <v>2.2955345272757417</v>
      </c>
      <c r="AL337" s="3">
        <f>VLOOKUP($AB337,'2000 Seattle Tracts'!$C$2:$Y$374,AL$1,FALSE)*$Z337</f>
        <v>0</v>
      </c>
      <c r="AM337" s="3">
        <f>VLOOKUP($AB337,'2000 Seattle Tracts'!$C$2:$Y$374,AM$1,FALSE)*$Z337</f>
        <v>11.805606140275243</v>
      </c>
      <c r="AN337" s="3">
        <f>VLOOKUP($AB337,'2000 Seattle Tracts'!$C$2:$Y$374,AN$1,FALSE)*$Z337</f>
        <v>2.1315677753274747</v>
      </c>
      <c r="AO337" s="3">
        <f>VLOOKUP($AB337,'2000 Seattle Tracts'!$C$2:$Y$374,AO$1,FALSE)*$Z337</f>
        <v>4.5910690545514834</v>
      </c>
      <c r="AP337" s="3">
        <f>VLOOKUP($AB337,'2000 Seattle Tracts'!$C$2:$Y$374,AP$1,FALSE)*$Z337</f>
        <v>0</v>
      </c>
      <c r="AQ337" s="3">
        <f>VLOOKUP($AB337,'2000 Seattle Tracts'!$C$2:$Y$374,AQ$1,FALSE)*$Z337</f>
        <v>2.7874347831205437</v>
      </c>
      <c r="AR337" s="3">
        <f>VLOOKUP($AB337,'2000 Seattle Tracts'!$C$2:$Y$374,AR$1,FALSE)*$Z337</f>
        <v>7.8704040935168287</v>
      </c>
      <c r="AS337" s="3">
        <f>VLOOKUP($AB337,'2000 Seattle Tracts'!$C$2:$Y$374,AS$1,FALSE)*$Z337</f>
        <v>0</v>
      </c>
      <c r="AT337" s="3">
        <f>VLOOKUP($AB337,'2000 Seattle Tracts'!$C$2:$Y$374,AT$1,FALSE)*$Z337</f>
        <v>0</v>
      </c>
      <c r="AU337" s="3">
        <f>VLOOKUP($AB337,'2000 Seattle Tracts'!$C$2:$Y$374,AU$1,FALSE)*$Z337</f>
        <v>6.8866035818272255</v>
      </c>
      <c r="AV337" s="3">
        <f>VLOOKUP($AB337,'2000 Seattle Tracts'!$C$2:$Y$374,AV$1,FALSE)*$Z337</f>
        <v>2.9514015350688108</v>
      </c>
      <c r="AW337" s="3">
        <f>VLOOKUP($AB337,'2000 Seattle Tracts'!$C$2:$Y$374,AW$1,FALSE)*$Z337</f>
        <v>9.6740383649477693</v>
      </c>
      <c r="AX337" s="3">
        <f>VLOOKUP($AB337,'2000 Seattle Tracts'!$C$2:$Y$374,AX$1,FALSE)*$Z337</f>
        <v>0</v>
      </c>
    </row>
    <row r="338" spans="1:50" x14ac:dyDescent="0.25">
      <c r="A338" t="s">
        <v>2917</v>
      </c>
      <c r="B338" t="s">
        <v>2918</v>
      </c>
      <c r="C338" t="s">
        <v>3212</v>
      </c>
      <c r="D338" t="s">
        <v>2599</v>
      </c>
      <c r="E338" t="s">
        <v>2600</v>
      </c>
      <c r="F338" t="s">
        <v>2601</v>
      </c>
      <c r="G338" t="s">
        <v>2920</v>
      </c>
      <c r="H338" t="s">
        <v>2921</v>
      </c>
      <c r="I338">
        <v>805962</v>
      </c>
      <c r="J338">
        <v>0</v>
      </c>
      <c r="K338" t="s">
        <v>3213</v>
      </c>
      <c r="L338" t="s">
        <v>3214</v>
      </c>
      <c r="M338">
        <v>43</v>
      </c>
      <c r="N338">
        <v>21488.398000000001</v>
      </c>
      <c r="O338" t="s">
        <v>136</v>
      </c>
      <c r="P338">
        <v>10</v>
      </c>
      <c r="Q338">
        <v>7</v>
      </c>
      <c r="R338">
        <v>23</v>
      </c>
      <c r="S338">
        <v>19354700</v>
      </c>
      <c r="T338">
        <v>45</v>
      </c>
      <c r="U338">
        <v>145</v>
      </c>
      <c r="V338">
        <v>21488.397378299011</v>
      </c>
      <c r="W338">
        <v>19354699.596078452</v>
      </c>
      <c r="X338">
        <v>201482.15700000001</v>
      </c>
      <c r="Y338">
        <f>VLOOKUP(AB338,'2000 Seattle Tracts'!$C$2:$Z$374,24,FALSE)</f>
        <v>805957.96200000006</v>
      </c>
      <c r="Z338">
        <f t="shared" si="10"/>
        <v>0.24999090089018811</v>
      </c>
      <c r="AA338" t="s">
        <v>135</v>
      </c>
      <c r="AB338" t="str">
        <f t="shared" si="11"/>
        <v>Census Tract 70, King County, Washington</v>
      </c>
      <c r="AC338" s="3">
        <f>VLOOKUP($AB338,'2000 Seattle Tracts'!$C$2:$Y$374,AC$1,FALSE)*$Z338</f>
        <v>1713.6876256022395</v>
      </c>
      <c r="AD338" s="3">
        <f>VLOOKUP($AB338,'2000 Seattle Tracts'!$C$2:$Y$374,AD$1,FALSE)*$Z338</f>
        <v>1447.1973252532989</v>
      </c>
      <c r="AE338" s="3">
        <f>VLOOKUP($AB338,'2000 Seattle Tracts'!$C$2:$Y$374,AE$1,FALSE)*$Z338</f>
        <v>266.49030034894054</v>
      </c>
      <c r="AF338" s="3">
        <f>VLOOKUP($AB338,'2000 Seattle Tracts'!$C$2:$Y$374,AF$1,FALSE)*$Z338</f>
        <v>1713.6876256022395</v>
      </c>
      <c r="AG338" s="3">
        <f>VLOOKUP($AB338,'2000 Seattle Tracts'!$C$2:$Y$374,AG$1,FALSE)*$Z338</f>
        <v>1447.1973252532989</v>
      </c>
      <c r="AH338" s="3">
        <f>VLOOKUP($AB338,'2000 Seattle Tracts'!$C$2:$Y$374,AH$1,FALSE)*$Z338</f>
        <v>266.49030034894054</v>
      </c>
      <c r="AI338" s="3">
        <f>VLOOKUP($AB338,'2000 Seattle Tracts'!$C$2:$Y$374,AI$1,FALSE)*$Z338</f>
        <v>1305.9524662503427</v>
      </c>
      <c r="AJ338" s="3">
        <f>VLOOKUP($AB338,'2000 Seattle Tracts'!$C$2:$Y$374,AJ$1,FALSE)*$Z338</f>
        <v>163.7440400830732</v>
      </c>
      <c r="AK338" s="3">
        <f>VLOOKUP($AB338,'2000 Seattle Tracts'!$C$2:$Y$374,AK$1,FALSE)*$Z338</f>
        <v>26.999017296140316</v>
      </c>
      <c r="AL338" s="3">
        <f>VLOOKUP($AB338,'2000 Seattle Tracts'!$C$2:$Y$374,AL$1,FALSE)*$Z338</f>
        <v>12.499545044509405</v>
      </c>
      <c r="AM338" s="3">
        <f>VLOOKUP($AB338,'2000 Seattle Tracts'!$C$2:$Y$374,AM$1,FALSE)*$Z338</f>
        <v>35.748698827296899</v>
      </c>
      <c r="AN338" s="3">
        <f>VLOOKUP($AB338,'2000 Seattle Tracts'!$C$2:$Y$374,AN$1,FALSE)*$Z338</f>
        <v>0</v>
      </c>
      <c r="AO338" s="3">
        <f>VLOOKUP($AB338,'2000 Seattle Tracts'!$C$2:$Y$374,AO$1,FALSE)*$Z338</f>
        <v>2.4999090089018812</v>
      </c>
      <c r="AP338" s="3">
        <f>VLOOKUP($AB338,'2000 Seattle Tracts'!$C$2:$Y$374,AP$1,FALSE)*$Z338</f>
        <v>0</v>
      </c>
      <c r="AQ338" s="3">
        <f>VLOOKUP($AB338,'2000 Seattle Tracts'!$C$2:$Y$374,AQ$1,FALSE)*$Z338</f>
        <v>25.499071890799186</v>
      </c>
      <c r="AR338" s="3">
        <f>VLOOKUP($AB338,'2000 Seattle Tracts'!$C$2:$Y$374,AR$1,FALSE)*$Z338</f>
        <v>67.747534141240976</v>
      </c>
      <c r="AS338" s="3">
        <f>VLOOKUP($AB338,'2000 Seattle Tracts'!$C$2:$Y$374,AS$1,FALSE)*$Z338</f>
        <v>2.249918108011693</v>
      </c>
      <c r="AT338" s="3">
        <f>VLOOKUP($AB338,'2000 Seattle Tracts'!$C$2:$Y$374,AT$1,FALSE)*$Z338</f>
        <v>0</v>
      </c>
      <c r="AU338" s="3">
        <f>VLOOKUP($AB338,'2000 Seattle Tracts'!$C$2:$Y$374,AU$1,FALSE)*$Z338</f>
        <v>6.2497725222547027</v>
      </c>
      <c r="AV338" s="3">
        <f>VLOOKUP($AB338,'2000 Seattle Tracts'!$C$2:$Y$374,AV$1,FALSE)*$Z338</f>
        <v>9.2496633329369597</v>
      </c>
      <c r="AW338" s="3">
        <f>VLOOKUP($AB338,'2000 Seattle Tracts'!$C$2:$Y$374,AW$1,FALSE)*$Z338</f>
        <v>41.9984713495516</v>
      </c>
      <c r="AX338" s="3">
        <f>VLOOKUP($AB338,'2000 Seattle Tracts'!$C$2:$Y$374,AX$1,FALSE)*$Z338</f>
        <v>13.24951774717997</v>
      </c>
    </row>
    <row r="339" spans="1:50" x14ac:dyDescent="0.25">
      <c r="A339" t="s">
        <v>2917</v>
      </c>
      <c r="B339" t="s">
        <v>2918</v>
      </c>
      <c r="C339" t="s">
        <v>3212</v>
      </c>
      <c r="D339" t="s">
        <v>2599</v>
      </c>
      <c r="E339" t="s">
        <v>2600</v>
      </c>
      <c r="F339" t="s">
        <v>2601</v>
      </c>
      <c r="G339" t="s">
        <v>2920</v>
      </c>
      <c r="H339" t="s">
        <v>2921</v>
      </c>
      <c r="I339">
        <v>805962</v>
      </c>
      <c r="J339">
        <v>0</v>
      </c>
      <c r="K339" t="s">
        <v>3213</v>
      </c>
      <c r="L339" t="s">
        <v>3214</v>
      </c>
      <c r="M339">
        <v>44</v>
      </c>
      <c r="N339">
        <v>20631.705000000002</v>
      </c>
      <c r="O339" t="s">
        <v>136</v>
      </c>
      <c r="P339">
        <v>10</v>
      </c>
      <c r="Q339">
        <v>7</v>
      </c>
      <c r="R339">
        <v>94</v>
      </c>
      <c r="S339">
        <v>17974986</v>
      </c>
      <c r="T339">
        <v>46</v>
      </c>
      <c r="U339">
        <v>148</v>
      </c>
      <c r="V339">
        <v>20631.70572929232</v>
      </c>
      <c r="W339">
        <v>17974985.95263635</v>
      </c>
      <c r="X339">
        <v>888.57899999999995</v>
      </c>
      <c r="Y339">
        <f>VLOOKUP(AB339,'2000 Seattle Tracts'!$C$2:$Z$374,24,FALSE)</f>
        <v>805957.96200000006</v>
      </c>
      <c r="Z339">
        <f t="shared" si="10"/>
        <v>1.1025128380082929E-3</v>
      </c>
      <c r="AA339" t="s">
        <v>137</v>
      </c>
      <c r="AB339" t="str">
        <f t="shared" si="11"/>
        <v>Census Tract 70, King County, Washington</v>
      </c>
      <c r="AC339" s="3">
        <f>VLOOKUP($AB339,'2000 Seattle Tracts'!$C$2:$Y$374,AC$1,FALSE)*$Z339</f>
        <v>7.5577255045468474</v>
      </c>
      <c r="AD339" s="3">
        <f>VLOOKUP($AB339,'2000 Seattle Tracts'!$C$2:$Y$374,AD$1,FALSE)*$Z339</f>
        <v>6.3824468192300072</v>
      </c>
      <c r="AE339" s="3">
        <f>VLOOKUP($AB339,'2000 Seattle Tracts'!$C$2:$Y$374,AE$1,FALSE)*$Z339</f>
        <v>1.1752786853168402</v>
      </c>
      <c r="AF339" s="3">
        <f>VLOOKUP($AB339,'2000 Seattle Tracts'!$C$2:$Y$374,AF$1,FALSE)*$Z339</f>
        <v>7.5577255045468474</v>
      </c>
      <c r="AG339" s="3">
        <f>VLOOKUP($AB339,'2000 Seattle Tracts'!$C$2:$Y$374,AG$1,FALSE)*$Z339</f>
        <v>6.3824468192300072</v>
      </c>
      <c r="AH339" s="3">
        <f>VLOOKUP($AB339,'2000 Seattle Tracts'!$C$2:$Y$374,AH$1,FALSE)*$Z339</f>
        <v>1.1752786853168402</v>
      </c>
      <c r="AI339" s="3">
        <f>VLOOKUP($AB339,'2000 Seattle Tracts'!$C$2:$Y$374,AI$1,FALSE)*$Z339</f>
        <v>5.7595270657553224</v>
      </c>
      <c r="AJ339" s="3">
        <f>VLOOKUP($AB339,'2000 Seattle Tracts'!$C$2:$Y$374,AJ$1,FALSE)*$Z339</f>
        <v>0.72214590889543184</v>
      </c>
      <c r="AK339" s="3">
        <f>VLOOKUP($AB339,'2000 Seattle Tracts'!$C$2:$Y$374,AK$1,FALSE)*$Z339</f>
        <v>0.11907138650489563</v>
      </c>
      <c r="AL339" s="3">
        <f>VLOOKUP($AB339,'2000 Seattle Tracts'!$C$2:$Y$374,AL$1,FALSE)*$Z339</f>
        <v>5.5125641900414649E-2</v>
      </c>
      <c r="AM339" s="3">
        <f>VLOOKUP($AB339,'2000 Seattle Tracts'!$C$2:$Y$374,AM$1,FALSE)*$Z339</f>
        <v>0.15765933583518588</v>
      </c>
      <c r="AN339" s="3">
        <f>VLOOKUP($AB339,'2000 Seattle Tracts'!$C$2:$Y$374,AN$1,FALSE)*$Z339</f>
        <v>0</v>
      </c>
      <c r="AO339" s="3">
        <f>VLOOKUP($AB339,'2000 Seattle Tracts'!$C$2:$Y$374,AO$1,FALSE)*$Z339</f>
        <v>1.1025128380082929E-2</v>
      </c>
      <c r="AP339" s="3">
        <f>VLOOKUP($AB339,'2000 Seattle Tracts'!$C$2:$Y$374,AP$1,FALSE)*$Z339</f>
        <v>0</v>
      </c>
      <c r="AQ339" s="3">
        <f>VLOOKUP($AB339,'2000 Seattle Tracts'!$C$2:$Y$374,AQ$1,FALSE)*$Z339</f>
        <v>0.11245630947684587</v>
      </c>
      <c r="AR339" s="3">
        <f>VLOOKUP($AB339,'2000 Seattle Tracts'!$C$2:$Y$374,AR$1,FALSE)*$Z339</f>
        <v>0.29878097910024737</v>
      </c>
      <c r="AS339" s="3">
        <f>VLOOKUP($AB339,'2000 Seattle Tracts'!$C$2:$Y$374,AS$1,FALSE)*$Z339</f>
        <v>9.9226155420746361E-3</v>
      </c>
      <c r="AT339" s="3">
        <f>VLOOKUP($AB339,'2000 Seattle Tracts'!$C$2:$Y$374,AT$1,FALSE)*$Z339</f>
        <v>0</v>
      </c>
      <c r="AU339" s="3">
        <f>VLOOKUP($AB339,'2000 Seattle Tracts'!$C$2:$Y$374,AU$1,FALSE)*$Z339</f>
        <v>2.7562820950207324E-2</v>
      </c>
      <c r="AV339" s="3">
        <f>VLOOKUP($AB339,'2000 Seattle Tracts'!$C$2:$Y$374,AV$1,FALSE)*$Z339</f>
        <v>4.0792975006306839E-2</v>
      </c>
      <c r="AW339" s="3">
        <f>VLOOKUP($AB339,'2000 Seattle Tracts'!$C$2:$Y$374,AW$1,FALSE)*$Z339</f>
        <v>0.18522215678539322</v>
      </c>
      <c r="AX339" s="3">
        <f>VLOOKUP($AB339,'2000 Seattle Tracts'!$C$2:$Y$374,AX$1,FALSE)*$Z339</f>
        <v>5.8433180414439526E-2</v>
      </c>
    </row>
    <row r="340" spans="1:50" x14ac:dyDescent="0.25">
      <c r="A340" t="s">
        <v>2917</v>
      </c>
      <c r="B340" t="s">
        <v>2918</v>
      </c>
      <c r="C340" t="s">
        <v>3212</v>
      </c>
      <c r="D340" t="s">
        <v>2599</v>
      </c>
      <c r="E340" t="s">
        <v>2600</v>
      </c>
      <c r="F340" t="s">
        <v>2601</v>
      </c>
      <c r="G340" t="s">
        <v>2920</v>
      </c>
      <c r="H340" t="s">
        <v>2921</v>
      </c>
      <c r="I340">
        <v>805962</v>
      </c>
      <c r="J340">
        <v>0</v>
      </c>
      <c r="K340" t="s">
        <v>3213</v>
      </c>
      <c r="L340" t="s">
        <v>3214</v>
      </c>
      <c r="M340">
        <v>45</v>
      </c>
      <c r="N340">
        <v>20496.728999999999</v>
      </c>
      <c r="O340" t="s">
        <v>136</v>
      </c>
      <c r="P340">
        <v>10</v>
      </c>
      <c r="Q340">
        <v>7</v>
      </c>
      <c r="R340">
        <v>9</v>
      </c>
      <c r="S340">
        <v>17515624</v>
      </c>
      <c r="T340">
        <v>47</v>
      </c>
      <c r="U340">
        <v>152</v>
      </c>
      <c r="V340">
        <v>20496.72892223937</v>
      </c>
      <c r="W340">
        <v>17515624.457026299</v>
      </c>
      <c r="X340">
        <v>603587.21</v>
      </c>
      <c r="Y340">
        <f>VLOOKUP(AB340,'2000 Seattle Tracts'!$C$2:$Z$374,24,FALSE)</f>
        <v>805957.96200000006</v>
      </c>
      <c r="Z340">
        <f t="shared" si="10"/>
        <v>0.74890656641965148</v>
      </c>
      <c r="AA340" t="s">
        <v>138</v>
      </c>
      <c r="AB340" t="str">
        <f t="shared" si="11"/>
        <v>Census Tract 70, King County, Washington</v>
      </c>
      <c r="AC340" s="3">
        <f>VLOOKUP($AB340,'2000 Seattle Tracts'!$C$2:$Y$374,AC$1,FALSE)*$Z340</f>
        <v>5133.7545128067113</v>
      </c>
      <c r="AD340" s="3">
        <f>VLOOKUP($AB340,'2000 Seattle Tracts'!$C$2:$Y$374,AD$1,FALSE)*$Z340</f>
        <v>4335.4201130033625</v>
      </c>
      <c r="AE340" s="3">
        <f>VLOOKUP($AB340,'2000 Seattle Tracts'!$C$2:$Y$374,AE$1,FALSE)*$Z340</f>
        <v>798.33439980334845</v>
      </c>
      <c r="AF340" s="3">
        <f>VLOOKUP($AB340,'2000 Seattle Tracts'!$C$2:$Y$374,AF$1,FALSE)*$Z340</f>
        <v>5133.7545128067113</v>
      </c>
      <c r="AG340" s="3">
        <f>VLOOKUP($AB340,'2000 Seattle Tracts'!$C$2:$Y$374,AG$1,FALSE)*$Z340</f>
        <v>4335.4201130033625</v>
      </c>
      <c r="AH340" s="3">
        <f>VLOOKUP($AB340,'2000 Seattle Tracts'!$C$2:$Y$374,AH$1,FALSE)*$Z340</f>
        <v>798.33439980334845</v>
      </c>
      <c r="AI340" s="3">
        <f>VLOOKUP($AB340,'2000 Seattle Tracts'!$C$2:$Y$374,AI$1,FALSE)*$Z340</f>
        <v>3912.2879029762594</v>
      </c>
      <c r="AJ340" s="3">
        <f>VLOOKUP($AB340,'2000 Seattle Tracts'!$C$2:$Y$374,AJ$1,FALSE)*$Z340</f>
        <v>490.53380100487169</v>
      </c>
      <c r="AK340" s="3">
        <f>VLOOKUP($AB340,'2000 Seattle Tracts'!$C$2:$Y$374,AK$1,FALSE)*$Z340</f>
        <v>80.881909173322356</v>
      </c>
      <c r="AL340" s="3">
        <f>VLOOKUP($AB340,'2000 Seattle Tracts'!$C$2:$Y$374,AL$1,FALSE)*$Z340</f>
        <v>37.445328320982576</v>
      </c>
      <c r="AM340" s="3">
        <f>VLOOKUP($AB340,'2000 Seattle Tracts'!$C$2:$Y$374,AM$1,FALSE)*$Z340</f>
        <v>107.09363899801016</v>
      </c>
      <c r="AN340" s="3">
        <f>VLOOKUP($AB340,'2000 Seattle Tracts'!$C$2:$Y$374,AN$1,FALSE)*$Z340</f>
        <v>0</v>
      </c>
      <c r="AO340" s="3">
        <f>VLOOKUP($AB340,'2000 Seattle Tracts'!$C$2:$Y$374,AO$1,FALSE)*$Z340</f>
        <v>7.4890656641965148</v>
      </c>
      <c r="AP340" s="3">
        <f>VLOOKUP($AB340,'2000 Seattle Tracts'!$C$2:$Y$374,AP$1,FALSE)*$Z340</f>
        <v>0</v>
      </c>
      <c r="AQ340" s="3">
        <f>VLOOKUP($AB340,'2000 Seattle Tracts'!$C$2:$Y$374,AQ$1,FALSE)*$Z340</f>
        <v>76.388469774804449</v>
      </c>
      <c r="AR340" s="3">
        <f>VLOOKUP($AB340,'2000 Seattle Tracts'!$C$2:$Y$374,AR$1,FALSE)*$Z340</f>
        <v>202.95367949972555</v>
      </c>
      <c r="AS340" s="3">
        <f>VLOOKUP($AB340,'2000 Seattle Tracts'!$C$2:$Y$374,AS$1,FALSE)*$Z340</f>
        <v>6.7401590977768633</v>
      </c>
      <c r="AT340" s="3">
        <f>VLOOKUP($AB340,'2000 Seattle Tracts'!$C$2:$Y$374,AT$1,FALSE)*$Z340</f>
        <v>0</v>
      </c>
      <c r="AU340" s="3">
        <f>VLOOKUP($AB340,'2000 Seattle Tracts'!$C$2:$Y$374,AU$1,FALSE)*$Z340</f>
        <v>18.722664160491288</v>
      </c>
      <c r="AV340" s="3">
        <f>VLOOKUP($AB340,'2000 Seattle Tracts'!$C$2:$Y$374,AV$1,FALSE)*$Z340</f>
        <v>27.709542957527106</v>
      </c>
      <c r="AW340" s="3">
        <f>VLOOKUP($AB340,'2000 Seattle Tracts'!$C$2:$Y$374,AW$1,FALSE)*$Z340</f>
        <v>125.81630315850146</v>
      </c>
      <c r="AX340" s="3">
        <f>VLOOKUP($AB340,'2000 Seattle Tracts'!$C$2:$Y$374,AX$1,FALSE)*$Z340</f>
        <v>39.692048020241529</v>
      </c>
    </row>
    <row r="341" spans="1:50" x14ac:dyDescent="0.25">
      <c r="A341" t="s">
        <v>2917</v>
      </c>
      <c r="B341" t="s">
        <v>2918</v>
      </c>
      <c r="C341" t="s">
        <v>3026</v>
      </c>
      <c r="D341" t="s">
        <v>2605</v>
      </c>
      <c r="E341" t="s">
        <v>2606</v>
      </c>
      <c r="F341" t="s">
        <v>2607</v>
      </c>
      <c r="G341" t="s">
        <v>2920</v>
      </c>
      <c r="H341" t="s">
        <v>2921</v>
      </c>
      <c r="I341">
        <v>902889</v>
      </c>
      <c r="J341">
        <v>0</v>
      </c>
      <c r="K341" t="s">
        <v>3027</v>
      </c>
      <c r="L341" t="s">
        <v>3028</v>
      </c>
      <c r="M341">
        <v>44</v>
      </c>
      <c r="N341">
        <v>20631.705000000002</v>
      </c>
      <c r="O341" t="s">
        <v>136</v>
      </c>
      <c r="P341">
        <v>10</v>
      </c>
      <c r="Q341">
        <v>7</v>
      </c>
      <c r="R341">
        <v>94</v>
      </c>
      <c r="S341">
        <v>17974986</v>
      </c>
      <c r="T341">
        <v>46</v>
      </c>
      <c r="U341">
        <v>148</v>
      </c>
      <c r="V341">
        <v>20631.70572929232</v>
      </c>
      <c r="W341">
        <v>17974985.95263635</v>
      </c>
      <c r="X341">
        <v>872935.95700000005</v>
      </c>
      <c r="Y341">
        <f>VLOOKUP(AB341,'2000 Seattle Tracts'!$C$2:$Z$374,24,FALSE)</f>
        <v>902888.83</v>
      </c>
      <c r="Z341">
        <f t="shared" si="10"/>
        <v>0.96682551383430015</v>
      </c>
      <c r="AA341" t="s">
        <v>137</v>
      </c>
      <c r="AB341" t="str">
        <f t="shared" si="11"/>
        <v>Census Tract 69, King County, Washington</v>
      </c>
      <c r="AC341" s="3">
        <f>VLOOKUP($AB341,'2000 Seattle Tracts'!$C$2:$Y$374,AC$1,FALSE)*$Z341</f>
        <v>3717.4441006928841</v>
      </c>
      <c r="AD341" s="3">
        <f>VLOOKUP($AB341,'2000 Seattle Tracts'!$C$2:$Y$374,AD$1,FALSE)*$Z341</f>
        <v>3460.2685140129602</v>
      </c>
      <c r="AE341" s="3">
        <f>VLOOKUP($AB341,'2000 Seattle Tracts'!$C$2:$Y$374,AE$1,FALSE)*$Z341</f>
        <v>257.17558667992387</v>
      </c>
      <c r="AF341" s="3">
        <f>VLOOKUP($AB341,'2000 Seattle Tracts'!$C$2:$Y$374,AF$1,FALSE)*$Z341</f>
        <v>3717.4441006928841</v>
      </c>
      <c r="AG341" s="3">
        <f>VLOOKUP($AB341,'2000 Seattle Tracts'!$C$2:$Y$374,AG$1,FALSE)*$Z341</f>
        <v>3460.2685140129602</v>
      </c>
      <c r="AH341" s="3">
        <f>VLOOKUP($AB341,'2000 Seattle Tracts'!$C$2:$Y$374,AH$1,FALSE)*$Z341</f>
        <v>257.17558667992387</v>
      </c>
      <c r="AI341" s="3">
        <f>VLOOKUP($AB341,'2000 Seattle Tracts'!$C$2:$Y$374,AI$1,FALSE)*$Z341</f>
        <v>3124.7800607124582</v>
      </c>
      <c r="AJ341" s="3">
        <f>VLOOKUP($AB341,'2000 Seattle Tracts'!$C$2:$Y$374,AJ$1,FALSE)*$Z341</f>
        <v>136.32239745063632</v>
      </c>
      <c r="AK341" s="3">
        <f>VLOOKUP($AB341,'2000 Seattle Tracts'!$C$2:$Y$374,AK$1,FALSE)*$Z341</f>
        <v>46.407624664046409</v>
      </c>
      <c r="AL341" s="3">
        <f>VLOOKUP($AB341,'2000 Seattle Tracts'!$C$2:$Y$374,AL$1,FALSE)*$Z341</f>
        <v>0</v>
      </c>
      <c r="AM341" s="3">
        <f>VLOOKUP($AB341,'2000 Seattle Tracts'!$C$2:$Y$374,AM$1,FALSE)*$Z341</f>
        <v>36.739369525703403</v>
      </c>
      <c r="AN341" s="3">
        <f>VLOOKUP($AB341,'2000 Seattle Tracts'!$C$2:$Y$374,AN$1,FALSE)*$Z341</f>
        <v>6.7677785968401007</v>
      </c>
      <c r="AO341" s="3">
        <f>VLOOKUP($AB341,'2000 Seattle Tracts'!$C$2:$Y$374,AO$1,FALSE)*$Z341</f>
        <v>22.236986818188903</v>
      </c>
      <c r="AP341" s="3">
        <f>VLOOKUP($AB341,'2000 Seattle Tracts'!$C$2:$Y$374,AP$1,FALSE)*$Z341</f>
        <v>0</v>
      </c>
      <c r="AQ341" s="3">
        <f>VLOOKUP($AB341,'2000 Seattle Tracts'!$C$2:$Y$374,AQ$1,FALSE)*$Z341</f>
        <v>61.87683288539521</v>
      </c>
      <c r="AR341" s="3">
        <f>VLOOKUP($AB341,'2000 Seattle Tracts'!$C$2:$Y$374,AR$1,FALSE)*$Z341</f>
        <v>83.146994189749819</v>
      </c>
      <c r="AS341" s="3">
        <f>VLOOKUP($AB341,'2000 Seattle Tracts'!$C$2:$Y$374,AS$1,FALSE)*$Z341</f>
        <v>0</v>
      </c>
      <c r="AT341" s="3">
        <f>VLOOKUP($AB341,'2000 Seattle Tracts'!$C$2:$Y$374,AT$1,FALSE)*$Z341</f>
        <v>0</v>
      </c>
      <c r="AU341" s="3">
        <f>VLOOKUP($AB341,'2000 Seattle Tracts'!$C$2:$Y$374,AU$1,FALSE)*$Z341</f>
        <v>21.270161304354602</v>
      </c>
      <c r="AV341" s="3">
        <f>VLOOKUP($AB341,'2000 Seattle Tracts'!$C$2:$Y$374,AV$1,FALSE)*$Z341</f>
        <v>13.535557193680201</v>
      </c>
      <c r="AW341" s="3">
        <f>VLOOKUP($AB341,'2000 Seattle Tracts'!$C$2:$Y$374,AW$1,FALSE)*$Z341</f>
        <v>146.95747810281361</v>
      </c>
      <c r="AX341" s="3">
        <f>VLOOKUP($AB341,'2000 Seattle Tracts'!$C$2:$Y$374,AX$1,FALSE)*$Z341</f>
        <v>17.402859249017403</v>
      </c>
    </row>
    <row r="342" spans="1:50" x14ac:dyDescent="0.25">
      <c r="A342" t="s">
        <v>2917</v>
      </c>
      <c r="B342" t="s">
        <v>2918</v>
      </c>
      <c r="C342" t="s">
        <v>3026</v>
      </c>
      <c r="D342" t="s">
        <v>2605</v>
      </c>
      <c r="E342" t="s">
        <v>2606</v>
      </c>
      <c r="F342" t="s">
        <v>2607</v>
      </c>
      <c r="G342" t="s">
        <v>2920</v>
      </c>
      <c r="H342" t="s">
        <v>2921</v>
      </c>
      <c r="I342">
        <v>902889</v>
      </c>
      <c r="J342">
        <v>0</v>
      </c>
      <c r="K342" t="s">
        <v>3027</v>
      </c>
      <c r="L342" t="s">
        <v>3028</v>
      </c>
      <c r="M342">
        <v>45</v>
      </c>
      <c r="N342">
        <v>20496.728999999999</v>
      </c>
      <c r="O342" t="s">
        <v>136</v>
      </c>
      <c r="P342">
        <v>10</v>
      </c>
      <c r="Q342">
        <v>7</v>
      </c>
      <c r="R342">
        <v>9</v>
      </c>
      <c r="S342">
        <v>17515624</v>
      </c>
      <c r="T342">
        <v>47</v>
      </c>
      <c r="U342">
        <v>152</v>
      </c>
      <c r="V342">
        <v>20496.72892223937</v>
      </c>
      <c r="W342">
        <v>17515624.457026299</v>
      </c>
      <c r="X342">
        <v>29869.484</v>
      </c>
      <c r="Y342">
        <f>VLOOKUP(AB342,'2000 Seattle Tracts'!$C$2:$Z$374,24,FALSE)</f>
        <v>902888.83</v>
      </c>
      <c r="Z342">
        <f t="shared" si="10"/>
        <v>3.3082128172966768E-2</v>
      </c>
      <c r="AA342" t="s">
        <v>138</v>
      </c>
      <c r="AB342" t="str">
        <f t="shared" si="11"/>
        <v>Census Tract 69, King County, Washington</v>
      </c>
      <c r="AC342" s="3">
        <f>VLOOKUP($AB342,'2000 Seattle Tracts'!$C$2:$Y$374,AC$1,FALSE)*$Z342</f>
        <v>127.20078282505722</v>
      </c>
      <c r="AD342" s="3">
        <f>VLOOKUP($AB342,'2000 Seattle Tracts'!$C$2:$Y$374,AD$1,FALSE)*$Z342</f>
        <v>118.40093673104806</v>
      </c>
      <c r="AE342" s="3">
        <f>VLOOKUP($AB342,'2000 Seattle Tracts'!$C$2:$Y$374,AE$1,FALSE)*$Z342</f>
        <v>8.7998460940091601</v>
      </c>
      <c r="AF342" s="3">
        <f>VLOOKUP($AB342,'2000 Seattle Tracts'!$C$2:$Y$374,AF$1,FALSE)*$Z342</f>
        <v>127.20078282505722</v>
      </c>
      <c r="AG342" s="3">
        <f>VLOOKUP($AB342,'2000 Seattle Tracts'!$C$2:$Y$374,AG$1,FALSE)*$Z342</f>
        <v>118.40093673104806</v>
      </c>
      <c r="AH342" s="3">
        <f>VLOOKUP($AB342,'2000 Seattle Tracts'!$C$2:$Y$374,AH$1,FALSE)*$Z342</f>
        <v>8.7998460940091601</v>
      </c>
      <c r="AI342" s="3">
        <f>VLOOKUP($AB342,'2000 Seattle Tracts'!$C$2:$Y$374,AI$1,FALSE)*$Z342</f>
        <v>106.92143825502859</v>
      </c>
      <c r="AJ342" s="3">
        <f>VLOOKUP($AB342,'2000 Seattle Tracts'!$C$2:$Y$374,AJ$1,FALSE)*$Z342</f>
        <v>4.664580072388314</v>
      </c>
      <c r="AK342" s="3">
        <f>VLOOKUP($AB342,'2000 Seattle Tracts'!$C$2:$Y$374,AK$1,FALSE)*$Z342</f>
        <v>1.5879421523024049</v>
      </c>
      <c r="AL342" s="3">
        <f>VLOOKUP($AB342,'2000 Seattle Tracts'!$C$2:$Y$374,AL$1,FALSE)*$Z342</f>
        <v>0</v>
      </c>
      <c r="AM342" s="3">
        <f>VLOOKUP($AB342,'2000 Seattle Tracts'!$C$2:$Y$374,AM$1,FALSE)*$Z342</f>
        <v>1.2571208705727372</v>
      </c>
      <c r="AN342" s="3">
        <f>VLOOKUP($AB342,'2000 Seattle Tracts'!$C$2:$Y$374,AN$1,FALSE)*$Z342</f>
        <v>0.23157489721076738</v>
      </c>
      <c r="AO342" s="3">
        <f>VLOOKUP($AB342,'2000 Seattle Tracts'!$C$2:$Y$374,AO$1,FALSE)*$Z342</f>
        <v>0.7608889479782357</v>
      </c>
      <c r="AP342" s="3">
        <f>VLOOKUP($AB342,'2000 Seattle Tracts'!$C$2:$Y$374,AP$1,FALSE)*$Z342</f>
        <v>0</v>
      </c>
      <c r="AQ342" s="3">
        <f>VLOOKUP($AB342,'2000 Seattle Tracts'!$C$2:$Y$374,AQ$1,FALSE)*$Z342</f>
        <v>2.1172562030698732</v>
      </c>
      <c r="AR342" s="3">
        <f>VLOOKUP($AB342,'2000 Seattle Tracts'!$C$2:$Y$374,AR$1,FALSE)*$Z342</f>
        <v>2.8450630228751419</v>
      </c>
      <c r="AS342" s="3">
        <f>VLOOKUP($AB342,'2000 Seattle Tracts'!$C$2:$Y$374,AS$1,FALSE)*$Z342</f>
        <v>0</v>
      </c>
      <c r="AT342" s="3">
        <f>VLOOKUP($AB342,'2000 Seattle Tracts'!$C$2:$Y$374,AT$1,FALSE)*$Z342</f>
        <v>0</v>
      </c>
      <c r="AU342" s="3">
        <f>VLOOKUP($AB342,'2000 Seattle Tracts'!$C$2:$Y$374,AU$1,FALSE)*$Z342</f>
        <v>0.72780681980526896</v>
      </c>
      <c r="AV342" s="3">
        <f>VLOOKUP($AB342,'2000 Seattle Tracts'!$C$2:$Y$374,AV$1,FALSE)*$Z342</f>
        <v>0.46314979442153476</v>
      </c>
      <c r="AW342" s="3">
        <f>VLOOKUP($AB342,'2000 Seattle Tracts'!$C$2:$Y$374,AW$1,FALSE)*$Z342</f>
        <v>5.028483482290949</v>
      </c>
      <c r="AX342" s="3">
        <f>VLOOKUP($AB342,'2000 Seattle Tracts'!$C$2:$Y$374,AX$1,FALSE)*$Z342</f>
        <v>0.59547830711340177</v>
      </c>
    </row>
    <row r="343" spans="1:50" x14ac:dyDescent="0.25">
      <c r="A343" t="s">
        <v>2917</v>
      </c>
      <c r="B343" t="s">
        <v>2918</v>
      </c>
      <c r="C343" t="s">
        <v>3026</v>
      </c>
      <c r="D343" t="s">
        <v>2605</v>
      </c>
      <c r="E343" t="s">
        <v>2606</v>
      </c>
      <c r="F343" t="s">
        <v>2607</v>
      </c>
      <c r="G343" t="s">
        <v>2920</v>
      </c>
      <c r="H343" t="s">
        <v>2921</v>
      </c>
      <c r="I343">
        <v>902889</v>
      </c>
      <c r="J343">
        <v>0</v>
      </c>
      <c r="K343" t="s">
        <v>3027</v>
      </c>
      <c r="L343" t="s">
        <v>3028</v>
      </c>
      <c r="M343">
        <v>46</v>
      </c>
      <c r="N343">
        <v>26753.555</v>
      </c>
      <c r="O343" t="s">
        <v>136</v>
      </c>
      <c r="P343">
        <v>10</v>
      </c>
      <c r="Q343">
        <v>7</v>
      </c>
      <c r="R343">
        <v>19</v>
      </c>
      <c r="S343">
        <v>29604288</v>
      </c>
      <c r="T343">
        <v>48</v>
      </c>
      <c r="U343">
        <v>140</v>
      </c>
      <c r="V343">
        <v>26753.55428174289</v>
      </c>
      <c r="W343">
        <v>29604288.332963161</v>
      </c>
      <c r="X343">
        <v>83.405000000000001</v>
      </c>
      <c r="Y343">
        <f>VLOOKUP(AB343,'2000 Seattle Tracts'!$C$2:$Z$374,24,FALSE)</f>
        <v>902888.83</v>
      </c>
      <c r="Z343">
        <f t="shared" si="10"/>
        <v>9.2375713630215152E-5</v>
      </c>
      <c r="AA343" t="s">
        <v>139</v>
      </c>
      <c r="AB343" t="str">
        <f t="shared" si="11"/>
        <v>Census Tract 69, King County, Washington</v>
      </c>
      <c r="AC343" s="3">
        <f>VLOOKUP($AB343,'2000 Seattle Tracts'!$C$2:$Y$374,AC$1,FALSE)*$Z343</f>
        <v>0.35518461890817726</v>
      </c>
      <c r="AD343" s="3">
        <f>VLOOKUP($AB343,'2000 Seattle Tracts'!$C$2:$Y$374,AD$1,FALSE)*$Z343</f>
        <v>0.33061267908254005</v>
      </c>
      <c r="AE343" s="3">
        <f>VLOOKUP($AB343,'2000 Seattle Tracts'!$C$2:$Y$374,AE$1,FALSE)*$Z343</f>
        <v>2.457193982563723E-2</v>
      </c>
      <c r="AF343" s="3">
        <f>VLOOKUP($AB343,'2000 Seattle Tracts'!$C$2:$Y$374,AF$1,FALSE)*$Z343</f>
        <v>0.35518461890817726</v>
      </c>
      <c r="AG343" s="3">
        <f>VLOOKUP($AB343,'2000 Seattle Tracts'!$C$2:$Y$374,AG$1,FALSE)*$Z343</f>
        <v>0.33061267908254005</v>
      </c>
      <c r="AH343" s="3">
        <f>VLOOKUP($AB343,'2000 Seattle Tracts'!$C$2:$Y$374,AH$1,FALSE)*$Z343</f>
        <v>2.457193982563723E-2</v>
      </c>
      <c r="AI343" s="3">
        <f>VLOOKUP($AB343,'2000 Seattle Tracts'!$C$2:$Y$374,AI$1,FALSE)*$Z343</f>
        <v>0.29855830645285536</v>
      </c>
      <c r="AJ343" s="3">
        <f>VLOOKUP($AB343,'2000 Seattle Tracts'!$C$2:$Y$374,AJ$1,FALSE)*$Z343</f>
        <v>1.3024975621860337E-2</v>
      </c>
      <c r="AK343" s="3">
        <f>VLOOKUP($AB343,'2000 Seattle Tracts'!$C$2:$Y$374,AK$1,FALSE)*$Z343</f>
        <v>4.4340342542503273E-3</v>
      </c>
      <c r="AL343" s="3">
        <f>VLOOKUP($AB343,'2000 Seattle Tracts'!$C$2:$Y$374,AL$1,FALSE)*$Z343</f>
        <v>0</v>
      </c>
      <c r="AM343" s="3">
        <f>VLOOKUP($AB343,'2000 Seattle Tracts'!$C$2:$Y$374,AM$1,FALSE)*$Z343</f>
        <v>3.5102771179481755E-3</v>
      </c>
      <c r="AN343" s="3">
        <f>VLOOKUP($AB343,'2000 Seattle Tracts'!$C$2:$Y$374,AN$1,FALSE)*$Z343</f>
        <v>6.4662999541150606E-4</v>
      </c>
      <c r="AO343" s="3">
        <f>VLOOKUP($AB343,'2000 Seattle Tracts'!$C$2:$Y$374,AO$1,FALSE)*$Z343</f>
        <v>2.1246414134949484E-3</v>
      </c>
      <c r="AP343" s="3">
        <f>VLOOKUP($AB343,'2000 Seattle Tracts'!$C$2:$Y$374,AP$1,FALSE)*$Z343</f>
        <v>0</v>
      </c>
      <c r="AQ343" s="3">
        <f>VLOOKUP($AB343,'2000 Seattle Tracts'!$C$2:$Y$374,AQ$1,FALSE)*$Z343</f>
        <v>5.9120456723337697E-3</v>
      </c>
      <c r="AR343" s="3">
        <f>VLOOKUP($AB343,'2000 Seattle Tracts'!$C$2:$Y$374,AR$1,FALSE)*$Z343</f>
        <v>7.9443113721985037E-3</v>
      </c>
      <c r="AS343" s="3">
        <f>VLOOKUP($AB343,'2000 Seattle Tracts'!$C$2:$Y$374,AS$1,FALSE)*$Z343</f>
        <v>0</v>
      </c>
      <c r="AT343" s="3">
        <f>VLOOKUP($AB343,'2000 Seattle Tracts'!$C$2:$Y$374,AT$1,FALSE)*$Z343</f>
        <v>0</v>
      </c>
      <c r="AU343" s="3">
        <f>VLOOKUP($AB343,'2000 Seattle Tracts'!$C$2:$Y$374,AU$1,FALSE)*$Z343</f>
        <v>2.0322656998647331E-3</v>
      </c>
      <c r="AV343" s="3">
        <f>VLOOKUP($AB343,'2000 Seattle Tracts'!$C$2:$Y$374,AV$1,FALSE)*$Z343</f>
        <v>1.2932599908230121E-3</v>
      </c>
      <c r="AW343" s="3">
        <f>VLOOKUP($AB343,'2000 Seattle Tracts'!$C$2:$Y$374,AW$1,FALSE)*$Z343</f>
        <v>1.4041108471792702E-2</v>
      </c>
      <c r="AX343" s="3">
        <f>VLOOKUP($AB343,'2000 Seattle Tracts'!$C$2:$Y$374,AX$1,FALSE)*$Z343</f>
        <v>1.6627628453438727E-3</v>
      </c>
    </row>
    <row r="344" spans="1:50" x14ac:dyDescent="0.25">
      <c r="A344" t="s">
        <v>2917</v>
      </c>
      <c r="B344" t="s">
        <v>2918</v>
      </c>
      <c r="C344" t="s">
        <v>3023</v>
      </c>
      <c r="D344" t="s">
        <v>2608</v>
      </c>
      <c r="E344" t="s">
        <v>2609</v>
      </c>
      <c r="F344" t="s">
        <v>2610</v>
      </c>
      <c r="G344" t="s">
        <v>2920</v>
      </c>
      <c r="H344" t="s">
        <v>2921</v>
      </c>
      <c r="I344">
        <v>718106</v>
      </c>
      <c r="J344">
        <v>0</v>
      </c>
      <c r="K344" t="s">
        <v>3024</v>
      </c>
      <c r="L344" t="s">
        <v>3025</v>
      </c>
      <c r="M344">
        <v>43</v>
      </c>
      <c r="N344">
        <v>21488.398000000001</v>
      </c>
      <c r="O344" t="s">
        <v>136</v>
      </c>
      <c r="P344">
        <v>10</v>
      </c>
      <c r="Q344">
        <v>7</v>
      </c>
      <c r="R344">
        <v>23</v>
      </c>
      <c r="S344">
        <v>19354700</v>
      </c>
      <c r="T344">
        <v>45</v>
      </c>
      <c r="U344">
        <v>145</v>
      </c>
      <c r="V344">
        <v>21488.397378299011</v>
      </c>
      <c r="W344">
        <v>19354699.596078452</v>
      </c>
      <c r="X344">
        <v>391864.00300000003</v>
      </c>
      <c r="Y344">
        <f>VLOOKUP(AB344,'2000 Seattle Tracts'!$C$2:$Z$374,24,FALSE)</f>
        <v>718104.83799999999</v>
      </c>
      <c r="Z344">
        <f t="shared" si="10"/>
        <v>0.54569191330249756</v>
      </c>
      <c r="AA344" t="s">
        <v>135</v>
      </c>
      <c r="AB344" t="str">
        <f t="shared" si="11"/>
        <v>Census Tract 68, King County, Washington</v>
      </c>
      <c r="AC344" s="3">
        <f>VLOOKUP($AB344,'2000 Seattle Tracts'!$C$2:$Y$374,AC$1,FALSE)*$Z344</f>
        <v>1501.1984534951707</v>
      </c>
      <c r="AD344" s="3">
        <f>VLOOKUP($AB344,'2000 Seattle Tracts'!$C$2:$Y$374,AD$1,FALSE)*$Z344</f>
        <v>1367.5039347360589</v>
      </c>
      <c r="AE344" s="3">
        <f>VLOOKUP($AB344,'2000 Seattle Tracts'!$C$2:$Y$374,AE$1,FALSE)*$Z344</f>
        <v>133.6945187591119</v>
      </c>
      <c r="AF344" s="3">
        <f>VLOOKUP($AB344,'2000 Seattle Tracts'!$C$2:$Y$374,AF$1,FALSE)*$Z344</f>
        <v>1501.1984534951707</v>
      </c>
      <c r="AG344" s="3">
        <f>VLOOKUP($AB344,'2000 Seattle Tracts'!$C$2:$Y$374,AG$1,FALSE)*$Z344</f>
        <v>1367.5039347360589</v>
      </c>
      <c r="AH344" s="3">
        <f>VLOOKUP($AB344,'2000 Seattle Tracts'!$C$2:$Y$374,AH$1,FALSE)*$Z344</f>
        <v>133.6945187591119</v>
      </c>
      <c r="AI344" s="3">
        <f>VLOOKUP($AB344,'2000 Seattle Tracts'!$C$2:$Y$374,AI$1,FALSE)*$Z344</f>
        <v>1249.088789549417</v>
      </c>
      <c r="AJ344" s="3">
        <f>VLOOKUP($AB344,'2000 Seattle Tracts'!$C$2:$Y$374,AJ$1,FALSE)*$Z344</f>
        <v>92.221933348122093</v>
      </c>
      <c r="AK344" s="3">
        <f>VLOOKUP($AB344,'2000 Seattle Tracts'!$C$2:$Y$374,AK$1,FALSE)*$Z344</f>
        <v>19.644908878889911</v>
      </c>
      <c r="AL344" s="3">
        <f>VLOOKUP($AB344,'2000 Seattle Tracts'!$C$2:$Y$374,AL$1,FALSE)*$Z344</f>
        <v>6.5483029596299707</v>
      </c>
      <c r="AM344" s="3">
        <f>VLOOKUP($AB344,'2000 Seattle Tracts'!$C$2:$Y$374,AM$1,FALSE)*$Z344</f>
        <v>38.198433931174826</v>
      </c>
      <c r="AN344" s="3">
        <f>VLOOKUP($AB344,'2000 Seattle Tracts'!$C$2:$Y$374,AN$1,FALSE)*$Z344</f>
        <v>15.279373572469932</v>
      </c>
      <c r="AO344" s="3">
        <f>VLOOKUP($AB344,'2000 Seattle Tracts'!$C$2:$Y$374,AO$1,FALSE)*$Z344</f>
        <v>6.0026110463274733</v>
      </c>
      <c r="AP344" s="3">
        <f>VLOOKUP($AB344,'2000 Seattle Tracts'!$C$2:$Y$374,AP$1,FALSE)*$Z344</f>
        <v>0</v>
      </c>
      <c r="AQ344" s="3">
        <f>VLOOKUP($AB344,'2000 Seattle Tracts'!$C$2:$Y$374,AQ$1,FALSE)*$Z344</f>
        <v>8.7310706128399609</v>
      </c>
      <c r="AR344" s="3">
        <f>VLOOKUP($AB344,'2000 Seattle Tracts'!$C$2:$Y$374,AR$1,FALSE)*$Z344</f>
        <v>19.644908878889911</v>
      </c>
      <c r="AS344" s="3">
        <f>VLOOKUP($AB344,'2000 Seattle Tracts'!$C$2:$Y$374,AS$1,FALSE)*$Z344</f>
        <v>0</v>
      </c>
      <c r="AT344" s="3">
        <f>VLOOKUP($AB344,'2000 Seattle Tracts'!$C$2:$Y$374,AT$1,FALSE)*$Z344</f>
        <v>0</v>
      </c>
      <c r="AU344" s="3">
        <f>VLOOKUP($AB344,'2000 Seattle Tracts'!$C$2:$Y$374,AU$1,FALSE)*$Z344</f>
        <v>0</v>
      </c>
      <c r="AV344" s="3">
        <f>VLOOKUP($AB344,'2000 Seattle Tracts'!$C$2:$Y$374,AV$1,FALSE)*$Z344</f>
        <v>0</v>
      </c>
      <c r="AW344" s="3">
        <f>VLOOKUP($AB344,'2000 Seattle Tracts'!$C$2:$Y$374,AW$1,FALSE)*$Z344</f>
        <v>45.838120717409794</v>
      </c>
      <c r="AX344" s="3">
        <f>VLOOKUP($AB344,'2000 Seattle Tracts'!$C$2:$Y$374,AX$1,FALSE)*$Z344</f>
        <v>0</v>
      </c>
    </row>
    <row r="345" spans="1:50" x14ac:dyDescent="0.25">
      <c r="A345" t="s">
        <v>2917</v>
      </c>
      <c r="B345" t="s">
        <v>2918</v>
      </c>
      <c r="C345" t="s">
        <v>3023</v>
      </c>
      <c r="D345" t="s">
        <v>2608</v>
      </c>
      <c r="E345" t="s">
        <v>2609</v>
      </c>
      <c r="F345" t="s">
        <v>2610</v>
      </c>
      <c r="G345" t="s">
        <v>2920</v>
      </c>
      <c r="H345" t="s">
        <v>2921</v>
      </c>
      <c r="I345">
        <v>718106</v>
      </c>
      <c r="J345">
        <v>0</v>
      </c>
      <c r="K345" t="s">
        <v>3024</v>
      </c>
      <c r="L345" t="s">
        <v>3025</v>
      </c>
      <c r="M345">
        <v>44</v>
      </c>
      <c r="N345">
        <v>20631.705000000002</v>
      </c>
      <c r="O345" t="s">
        <v>136</v>
      </c>
      <c r="P345">
        <v>10</v>
      </c>
      <c r="Q345">
        <v>7</v>
      </c>
      <c r="R345">
        <v>94</v>
      </c>
      <c r="S345">
        <v>17974986</v>
      </c>
      <c r="T345">
        <v>46</v>
      </c>
      <c r="U345">
        <v>148</v>
      </c>
      <c r="V345">
        <v>20631.70572929232</v>
      </c>
      <c r="W345">
        <v>17974985.95263635</v>
      </c>
      <c r="X345">
        <v>326084.77500000002</v>
      </c>
      <c r="Y345">
        <f>VLOOKUP(AB345,'2000 Seattle Tracts'!$C$2:$Z$374,24,FALSE)</f>
        <v>718104.83799999999</v>
      </c>
      <c r="Z345">
        <f t="shared" si="10"/>
        <v>0.45409076466909981</v>
      </c>
      <c r="AA345" t="s">
        <v>137</v>
      </c>
      <c r="AB345" t="str">
        <f t="shared" si="11"/>
        <v>Census Tract 68, King County, Washington</v>
      </c>
      <c r="AC345" s="3">
        <f>VLOOKUP($AB345,'2000 Seattle Tracts'!$C$2:$Y$374,AC$1,FALSE)*$Z345</f>
        <v>1249.2036936046936</v>
      </c>
      <c r="AD345" s="3">
        <f>VLOOKUP($AB345,'2000 Seattle Tracts'!$C$2:$Y$374,AD$1,FALSE)*$Z345</f>
        <v>1137.9514562607642</v>
      </c>
      <c r="AE345" s="3">
        <f>VLOOKUP($AB345,'2000 Seattle Tracts'!$C$2:$Y$374,AE$1,FALSE)*$Z345</f>
        <v>111.25223734392945</v>
      </c>
      <c r="AF345" s="3">
        <f>VLOOKUP($AB345,'2000 Seattle Tracts'!$C$2:$Y$374,AF$1,FALSE)*$Z345</f>
        <v>1249.2036936046936</v>
      </c>
      <c r="AG345" s="3">
        <f>VLOOKUP($AB345,'2000 Seattle Tracts'!$C$2:$Y$374,AG$1,FALSE)*$Z345</f>
        <v>1137.9514562607642</v>
      </c>
      <c r="AH345" s="3">
        <f>VLOOKUP($AB345,'2000 Seattle Tracts'!$C$2:$Y$374,AH$1,FALSE)*$Z345</f>
        <v>111.25223734392945</v>
      </c>
      <c r="AI345" s="3">
        <f>VLOOKUP($AB345,'2000 Seattle Tracts'!$C$2:$Y$374,AI$1,FALSE)*$Z345</f>
        <v>1039.4137603275694</v>
      </c>
      <c r="AJ345" s="3">
        <f>VLOOKUP($AB345,'2000 Seattle Tracts'!$C$2:$Y$374,AJ$1,FALSE)*$Z345</f>
        <v>76.741339229077866</v>
      </c>
      <c r="AK345" s="3">
        <f>VLOOKUP($AB345,'2000 Seattle Tracts'!$C$2:$Y$374,AK$1,FALSE)*$Z345</f>
        <v>16.347267528087592</v>
      </c>
      <c r="AL345" s="3">
        <f>VLOOKUP($AB345,'2000 Seattle Tracts'!$C$2:$Y$374,AL$1,FALSE)*$Z345</f>
        <v>5.4490891760291973</v>
      </c>
      <c r="AM345" s="3">
        <f>VLOOKUP($AB345,'2000 Seattle Tracts'!$C$2:$Y$374,AM$1,FALSE)*$Z345</f>
        <v>31.786353526836987</v>
      </c>
      <c r="AN345" s="3">
        <f>VLOOKUP($AB345,'2000 Seattle Tracts'!$C$2:$Y$374,AN$1,FALSE)*$Z345</f>
        <v>12.714541410734794</v>
      </c>
      <c r="AO345" s="3">
        <f>VLOOKUP($AB345,'2000 Seattle Tracts'!$C$2:$Y$374,AO$1,FALSE)*$Z345</f>
        <v>4.9949984113600978</v>
      </c>
      <c r="AP345" s="3">
        <f>VLOOKUP($AB345,'2000 Seattle Tracts'!$C$2:$Y$374,AP$1,FALSE)*$Z345</f>
        <v>0</v>
      </c>
      <c r="AQ345" s="3">
        <f>VLOOKUP($AB345,'2000 Seattle Tracts'!$C$2:$Y$374,AQ$1,FALSE)*$Z345</f>
        <v>7.265452234705597</v>
      </c>
      <c r="AR345" s="3">
        <f>VLOOKUP($AB345,'2000 Seattle Tracts'!$C$2:$Y$374,AR$1,FALSE)*$Z345</f>
        <v>16.347267528087592</v>
      </c>
      <c r="AS345" s="3">
        <f>VLOOKUP($AB345,'2000 Seattle Tracts'!$C$2:$Y$374,AS$1,FALSE)*$Z345</f>
        <v>0</v>
      </c>
      <c r="AT345" s="3">
        <f>VLOOKUP($AB345,'2000 Seattle Tracts'!$C$2:$Y$374,AT$1,FALSE)*$Z345</f>
        <v>0</v>
      </c>
      <c r="AU345" s="3">
        <f>VLOOKUP($AB345,'2000 Seattle Tracts'!$C$2:$Y$374,AU$1,FALSE)*$Z345</f>
        <v>0</v>
      </c>
      <c r="AV345" s="3">
        <f>VLOOKUP($AB345,'2000 Seattle Tracts'!$C$2:$Y$374,AV$1,FALSE)*$Z345</f>
        <v>0</v>
      </c>
      <c r="AW345" s="3">
        <f>VLOOKUP($AB345,'2000 Seattle Tracts'!$C$2:$Y$374,AW$1,FALSE)*$Z345</f>
        <v>38.143624232204381</v>
      </c>
      <c r="AX345" s="3">
        <f>VLOOKUP($AB345,'2000 Seattle Tracts'!$C$2:$Y$374,AX$1,FALSE)*$Z345</f>
        <v>0</v>
      </c>
    </row>
    <row r="346" spans="1:50" x14ac:dyDescent="0.25">
      <c r="A346" t="s">
        <v>2917</v>
      </c>
      <c r="B346" t="s">
        <v>2918</v>
      </c>
      <c r="C346" t="s">
        <v>3023</v>
      </c>
      <c r="D346" t="s">
        <v>2608</v>
      </c>
      <c r="E346" t="s">
        <v>2609</v>
      </c>
      <c r="F346" t="s">
        <v>2610</v>
      </c>
      <c r="G346" t="s">
        <v>2920</v>
      </c>
      <c r="H346" t="s">
        <v>2921</v>
      </c>
      <c r="I346">
        <v>718106</v>
      </c>
      <c r="J346">
        <v>0</v>
      </c>
      <c r="K346" t="s">
        <v>3024</v>
      </c>
      <c r="L346" t="s">
        <v>3025</v>
      </c>
      <c r="M346">
        <v>45</v>
      </c>
      <c r="N346">
        <v>20496.728999999999</v>
      </c>
      <c r="O346" t="s">
        <v>136</v>
      </c>
      <c r="P346">
        <v>10</v>
      </c>
      <c r="Q346">
        <v>7</v>
      </c>
      <c r="R346">
        <v>9</v>
      </c>
      <c r="S346">
        <v>17515624</v>
      </c>
      <c r="T346">
        <v>47</v>
      </c>
      <c r="U346">
        <v>152</v>
      </c>
      <c r="V346">
        <v>20496.72892223937</v>
      </c>
      <c r="W346">
        <v>17515624.457026299</v>
      </c>
      <c r="X346">
        <v>125.152</v>
      </c>
      <c r="Y346">
        <f>VLOOKUP(AB346,'2000 Seattle Tracts'!$C$2:$Z$374,24,FALSE)</f>
        <v>718104.83799999999</v>
      </c>
      <c r="Z346">
        <f t="shared" si="10"/>
        <v>1.7428095923787662E-4</v>
      </c>
      <c r="AA346" t="s">
        <v>138</v>
      </c>
      <c r="AB346" t="str">
        <f t="shared" si="11"/>
        <v>Census Tract 68, King County, Washington</v>
      </c>
      <c r="AC346" s="3">
        <f>VLOOKUP($AB346,'2000 Seattle Tracts'!$C$2:$Y$374,AC$1,FALSE)*$Z346</f>
        <v>0.47944691886339857</v>
      </c>
      <c r="AD346" s="3">
        <f>VLOOKUP($AB346,'2000 Seattle Tracts'!$C$2:$Y$374,AD$1,FALSE)*$Z346</f>
        <v>0.43674808385011882</v>
      </c>
      <c r="AE346" s="3">
        <f>VLOOKUP($AB346,'2000 Seattle Tracts'!$C$2:$Y$374,AE$1,FALSE)*$Z346</f>
        <v>4.2698835013279771E-2</v>
      </c>
      <c r="AF346" s="3">
        <f>VLOOKUP($AB346,'2000 Seattle Tracts'!$C$2:$Y$374,AF$1,FALSE)*$Z346</f>
        <v>0.47944691886339857</v>
      </c>
      <c r="AG346" s="3">
        <f>VLOOKUP($AB346,'2000 Seattle Tracts'!$C$2:$Y$374,AG$1,FALSE)*$Z346</f>
        <v>0.43674808385011882</v>
      </c>
      <c r="AH346" s="3">
        <f>VLOOKUP($AB346,'2000 Seattle Tracts'!$C$2:$Y$374,AH$1,FALSE)*$Z346</f>
        <v>4.2698835013279771E-2</v>
      </c>
      <c r="AI346" s="3">
        <f>VLOOKUP($AB346,'2000 Seattle Tracts'!$C$2:$Y$374,AI$1,FALSE)*$Z346</f>
        <v>0.3989291156954996</v>
      </c>
      <c r="AJ346" s="3">
        <f>VLOOKUP($AB346,'2000 Seattle Tracts'!$C$2:$Y$374,AJ$1,FALSE)*$Z346</f>
        <v>2.9453482111201149E-2</v>
      </c>
      <c r="AK346" s="3">
        <f>VLOOKUP($AB346,'2000 Seattle Tracts'!$C$2:$Y$374,AK$1,FALSE)*$Z346</f>
        <v>6.2741145325635583E-3</v>
      </c>
      <c r="AL346" s="3">
        <f>VLOOKUP($AB346,'2000 Seattle Tracts'!$C$2:$Y$374,AL$1,FALSE)*$Z346</f>
        <v>2.0913715108545196E-3</v>
      </c>
      <c r="AM346" s="3">
        <f>VLOOKUP($AB346,'2000 Seattle Tracts'!$C$2:$Y$374,AM$1,FALSE)*$Z346</f>
        <v>1.2199667146651364E-2</v>
      </c>
      <c r="AN346" s="3">
        <f>VLOOKUP($AB346,'2000 Seattle Tracts'!$C$2:$Y$374,AN$1,FALSE)*$Z346</f>
        <v>4.8798668586605455E-3</v>
      </c>
      <c r="AO346" s="3">
        <f>VLOOKUP($AB346,'2000 Seattle Tracts'!$C$2:$Y$374,AO$1,FALSE)*$Z346</f>
        <v>1.9170905516166428E-3</v>
      </c>
      <c r="AP346" s="3">
        <f>VLOOKUP($AB346,'2000 Seattle Tracts'!$C$2:$Y$374,AP$1,FALSE)*$Z346</f>
        <v>0</v>
      </c>
      <c r="AQ346" s="3">
        <f>VLOOKUP($AB346,'2000 Seattle Tracts'!$C$2:$Y$374,AQ$1,FALSE)*$Z346</f>
        <v>2.7884953478060259E-3</v>
      </c>
      <c r="AR346" s="3">
        <f>VLOOKUP($AB346,'2000 Seattle Tracts'!$C$2:$Y$374,AR$1,FALSE)*$Z346</f>
        <v>6.2741145325635583E-3</v>
      </c>
      <c r="AS346" s="3">
        <f>VLOOKUP($AB346,'2000 Seattle Tracts'!$C$2:$Y$374,AS$1,FALSE)*$Z346</f>
        <v>0</v>
      </c>
      <c r="AT346" s="3">
        <f>VLOOKUP($AB346,'2000 Seattle Tracts'!$C$2:$Y$374,AT$1,FALSE)*$Z346</f>
        <v>0</v>
      </c>
      <c r="AU346" s="3">
        <f>VLOOKUP($AB346,'2000 Seattle Tracts'!$C$2:$Y$374,AU$1,FALSE)*$Z346</f>
        <v>0</v>
      </c>
      <c r="AV346" s="3">
        <f>VLOOKUP($AB346,'2000 Seattle Tracts'!$C$2:$Y$374,AV$1,FALSE)*$Z346</f>
        <v>0</v>
      </c>
      <c r="AW346" s="3">
        <f>VLOOKUP($AB346,'2000 Seattle Tracts'!$C$2:$Y$374,AW$1,FALSE)*$Z346</f>
        <v>1.4639600575981637E-2</v>
      </c>
      <c r="AX346" s="3">
        <f>VLOOKUP($AB346,'2000 Seattle Tracts'!$C$2:$Y$374,AX$1,FALSE)*$Z346</f>
        <v>0</v>
      </c>
    </row>
    <row r="347" spans="1:50" x14ac:dyDescent="0.25">
      <c r="A347" t="s">
        <v>2917</v>
      </c>
      <c r="B347" t="s">
        <v>2918</v>
      </c>
      <c r="C347" t="s">
        <v>3023</v>
      </c>
      <c r="D347" t="s">
        <v>2608</v>
      </c>
      <c r="E347" t="s">
        <v>2609</v>
      </c>
      <c r="F347" t="s">
        <v>2610</v>
      </c>
      <c r="G347" t="s">
        <v>2920</v>
      </c>
      <c r="H347" t="s">
        <v>2921</v>
      </c>
      <c r="I347">
        <v>718106</v>
      </c>
      <c r="J347">
        <v>0</v>
      </c>
      <c r="K347" t="s">
        <v>3024</v>
      </c>
      <c r="L347" t="s">
        <v>3025</v>
      </c>
      <c r="M347">
        <v>46</v>
      </c>
      <c r="N347">
        <v>26753.555</v>
      </c>
      <c r="O347" t="s">
        <v>136</v>
      </c>
      <c r="P347">
        <v>10</v>
      </c>
      <c r="Q347">
        <v>7</v>
      </c>
      <c r="R347">
        <v>19</v>
      </c>
      <c r="S347">
        <v>29604288</v>
      </c>
      <c r="T347">
        <v>48</v>
      </c>
      <c r="U347">
        <v>140</v>
      </c>
      <c r="V347">
        <v>26753.55428174289</v>
      </c>
      <c r="W347">
        <v>29604288.332963161</v>
      </c>
      <c r="X347">
        <v>30.907</v>
      </c>
      <c r="Y347">
        <f>VLOOKUP(AB347,'2000 Seattle Tracts'!$C$2:$Z$374,24,FALSE)</f>
        <v>718104.83799999999</v>
      </c>
      <c r="Z347">
        <f t="shared" si="10"/>
        <v>4.3039676610561984E-5</v>
      </c>
      <c r="AA347" t="s">
        <v>139</v>
      </c>
      <c r="AB347" t="str">
        <f t="shared" si="11"/>
        <v>Census Tract 68, King County, Washington</v>
      </c>
      <c r="AC347" s="3">
        <f>VLOOKUP($AB347,'2000 Seattle Tracts'!$C$2:$Y$374,AC$1,FALSE)*$Z347</f>
        <v>0.11840215035565602</v>
      </c>
      <c r="AD347" s="3">
        <f>VLOOKUP($AB347,'2000 Seattle Tracts'!$C$2:$Y$374,AD$1,FALSE)*$Z347</f>
        <v>0.10785742958606834</v>
      </c>
      <c r="AE347" s="3">
        <f>VLOOKUP($AB347,'2000 Seattle Tracts'!$C$2:$Y$374,AE$1,FALSE)*$Z347</f>
        <v>1.0544720769587686E-2</v>
      </c>
      <c r="AF347" s="3">
        <f>VLOOKUP($AB347,'2000 Seattle Tracts'!$C$2:$Y$374,AF$1,FALSE)*$Z347</f>
        <v>0.11840215035565602</v>
      </c>
      <c r="AG347" s="3">
        <f>VLOOKUP($AB347,'2000 Seattle Tracts'!$C$2:$Y$374,AG$1,FALSE)*$Z347</f>
        <v>0.10785742958606834</v>
      </c>
      <c r="AH347" s="3">
        <f>VLOOKUP($AB347,'2000 Seattle Tracts'!$C$2:$Y$374,AH$1,FALSE)*$Z347</f>
        <v>1.0544720769587686E-2</v>
      </c>
      <c r="AI347" s="3">
        <f>VLOOKUP($AB347,'2000 Seattle Tracts'!$C$2:$Y$374,AI$1,FALSE)*$Z347</f>
        <v>9.8517819761576378E-2</v>
      </c>
      <c r="AJ347" s="3">
        <f>VLOOKUP($AB347,'2000 Seattle Tracts'!$C$2:$Y$374,AJ$1,FALSE)*$Z347</f>
        <v>7.2737053471849753E-3</v>
      </c>
      <c r="AK347" s="3">
        <f>VLOOKUP($AB347,'2000 Seattle Tracts'!$C$2:$Y$374,AK$1,FALSE)*$Z347</f>
        <v>1.5494283579802314E-3</v>
      </c>
      <c r="AL347" s="3">
        <f>VLOOKUP($AB347,'2000 Seattle Tracts'!$C$2:$Y$374,AL$1,FALSE)*$Z347</f>
        <v>5.1647611932674378E-4</v>
      </c>
      <c r="AM347" s="3">
        <f>VLOOKUP($AB347,'2000 Seattle Tracts'!$C$2:$Y$374,AM$1,FALSE)*$Z347</f>
        <v>3.0127773627393389E-3</v>
      </c>
      <c r="AN347" s="3">
        <f>VLOOKUP($AB347,'2000 Seattle Tracts'!$C$2:$Y$374,AN$1,FALSE)*$Z347</f>
        <v>1.2051109450957355E-3</v>
      </c>
      <c r="AO347" s="3">
        <f>VLOOKUP($AB347,'2000 Seattle Tracts'!$C$2:$Y$374,AO$1,FALSE)*$Z347</f>
        <v>4.7343644271618184E-4</v>
      </c>
      <c r="AP347" s="3">
        <f>VLOOKUP($AB347,'2000 Seattle Tracts'!$C$2:$Y$374,AP$1,FALSE)*$Z347</f>
        <v>0</v>
      </c>
      <c r="AQ347" s="3">
        <f>VLOOKUP($AB347,'2000 Seattle Tracts'!$C$2:$Y$374,AQ$1,FALSE)*$Z347</f>
        <v>6.8863482576899174E-4</v>
      </c>
      <c r="AR347" s="3">
        <f>VLOOKUP($AB347,'2000 Seattle Tracts'!$C$2:$Y$374,AR$1,FALSE)*$Z347</f>
        <v>1.5494283579802314E-3</v>
      </c>
      <c r="AS347" s="3">
        <f>VLOOKUP($AB347,'2000 Seattle Tracts'!$C$2:$Y$374,AS$1,FALSE)*$Z347</f>
        <v>0</v>
      </c>
      <c r="AT347" s="3">
        <f>VLOOKUP($AB347,'2000 Seattle Tracts'!$C$2:$Y$374,AT$1,FALSE)*$Z347</f>
        <v>0</v>
      </c>
      <c r="AU347" s="3">
        <f>VLOOKUP($AB347,'2000 Seattle Tracts'!$C$2:$Y$374,AU$1,FALSE)*$Z347</f>
        <v>0</v>
      </c>
      <c r="AV347" s="3">
        <f>VLOOKUP($AB347,'2000 Seattle Tracts'!$C$2:$Y$374,AV$1,FALSE)*$Z347</f>
        <v>0</v>
      </c>
      <c r="AW347" s="3">
        <f>VLOOKUP($AB347,'2000 Seattle Tracts'!$C$2:$Y$374,AW$1,FALSE)*$Z347</f>
        <v>3.6153328352872068E-3</v>
      </c>
      <c r="AX347" s="3">
        <f>VLOOKUP($AB347,'2000 Seattle Tracts'!$C$2:$Y$374,AX$1,FALSE)*$Z347</f>
        <v>0</v>
      </c>
    </row>
    <row r="348" spans="1:50" x14ac:dyDescent="0.25">
      <c r="A348" t="s">
        <v>2917</v>
      </c>
      <c r="B348" t="s">
        <v>2918</v>
      </c>
      <c r="C348" t="s">
        <v>3020</v>
      </c>
      <c r="D348" t="s">
        <v>2611</v>
      </c>
      <c r="E348" t="s">
        <v>2612</v>
      </c>
      <c r="F348" t="s">
        <v>2613</v>
      </c>
      <c r="G348" t="s">
        <v>2920</v>
      </c>
      <c r="H348" t="s">
        <v>2921</v>
      </c>
      <c r="I348">
        <v>1278220</v>
      </c>
      <c r="J348">
        <v>102394</v>
      </c>
      <c r="K348" t="s">
        <v>3021</v>
      </c>
      <c r="L348" t="s">
        <v>3022</v>
      </c>
      <c r="M348">
        <v>43</v>
      </c>
      <c r="N348">
        <v>21488.398000000001</v>
      </c>
      <c r="O348" t="s">
        <v>136</v>
      </c>
      <c r="P348">
        <v>10</v>
      </c>
      <c r="Q348">
        <v>7</v>
      </c>
      <c r="R348">
        <v>23</v>
      </c>
      <c r="S348">
        <v>19354700</v>
      </c>
      <c r="T348">
        <v>45</v>
      </c>
      <c r="U348">
        <v>145</v>
      </c>
      <c r="V348">
        <v>21488.397378299011</v>
      </c>
      <c r="W348">
        <v>19354699.596078452</v>
      </c>
      <c r="X348">
        <v>687257.06200000003</v>
      </c>
      <c r="Y348">
        <f>VLOOKUP(AB348,'2000 Seattle Tracts'!$C$2:$Z$374,24,FALSE)</f>
        <v>1214170.183</v>
      </c>
      <c r="Z348">
        <f t="shared" si="10"/>
        <v>0.56603025804991303</v>
      </c>
      <c r="AA348" t="s">
        <v>135</v>
      </c>
      <c r="AB348" t="str">
        <f t="shared" si="11"/>
        <v>Census Tract 67, King County, Washington</v>
      </c>
      <c r="AC348" s="3">
        <f>VLOOKUP($AB348,'2000 Seattle Tracts'!$C$2:$Y$374,AC$1,FALSE)*$Z348</f>
        <v>3039.0164554699832</v>
      </c>
      <c r="AD348" s="3">
        <f>VLOOKUP($AB348,'2000 Seattle Tracts'!$C$2:$Y$374,AD$1,FALSE)*$Z348</f>
        <v>2620.1540645130476</v>
      </c>
      <c r="AE348" s="3">
        <f>VLOOKUP($AB348,'2000 Seattle Tracts'!$C$2:$Y$374,AE$1,FALSE)*$Z348</f>
        <v>418.86239095693566</v>
      </c>
      <c r="AF348" s="3">
        <f>VLOOKUP($AB348,'2000 Seattle Tracts'!$C$2:$Y$374,AF$1,FALSE)*$Z348</f>
        <v>3039.0164554699832</v>
      </c>
      <c r="AG348" s="3">
        <f>VLOOKUP($AB348,'2000 Seattle Tracts'!$C$2:$Y$374,AG$1,FALSE)*$Z348</f>
        <v>2620.1540645130476</v>
      </c>
      <c r="AH348" s="3">
        <f>VLOOKUP($AB348,'2000 Seattle Tracts'!$C$2:$Y$374,AH$1,FALSE)*$Z348</f>
        <v>418.86239095693566</v>
      </c>
      <c r="AI348" s="3">
        <f>VLOOKUP($AB348,'2000 Seattle Tracts'!$C$2:$Y$374,AI$1,FALSE)*$Z348</f>
        <v>2306.5733015533956</v>
      </c>
      <c r="AJ348" s="3">
        <f>VLOOKUP($AB348,'2000 Seattle Tracts'!$C$2:$Y$374,AJ$1,FALSE)*$Z348</f>
        <v>260.37391870296</v>
      </c>
      <c r="AK348" s="3">
        <f>VLOOKUP($AB348,'2000 Seattle Tracts'!$C$2:$Y$374,AK$1,FALSE)*$Z348</f>
        <v>44.150360127893215</v>
      </c>
      <c r="AL348" s="3">
        <f>VLOOKUP($AB348,'2000 Seattle Tracts'!$C$2:$Y$374,AL$1,FALSE)*$Z348</f>
        <v>19.245028773697044</v>
      </c>
      <c r="AM348" s="3">
        <f>VLOOKUP($AB348,'2000 Seattle Tracts'!$C$2:$Y$374,AM$1,FALSE)*$Z348</f>
        <v>27.735482644445739</v>
      </c>
      <c r="AN348" s="3">
        <f>VLOOKUP($AB348,'2000 Seattle Tracts'!$C$2:$Y$374,AN$1,FALSE)*$Z348</f>
        <v>6.7923630965989563</v>
      </c>
      <c r="AO348" s="3">
        <f>VLOOKUP($AB348,'2000 Seattle Tracts'!$C$2:$Y$374,AO$1,FALSE)*$Z348</f>
        <v>20.377089289796871</v>
      </c>
      <c r="AP348" s="3">
        <f>VLOOKUP($AB348,'2000 Seattle Tracts'!$C$2:$Y$374,AP$1,FALSE)*$Z348</f>
        <v>0</v>
      </c>
      <c r="AQ348" s="3">
        <f>VLOOKUP($AB348,'2000 Seattle Tracts'!$C$2:$Y$374,AQ$1,FALSE)*$Z348</f>
        <v>83.206447933337216</v>
      </c>
      <c r="AR348" s="3">
        <f>VLOOKUP($AB348,'2000 Seattle Tracts'!$C$2:$Y$374,AR$1,FALSE)*$Z348</f>
        <v>114.33811212608244</v>
      </c>
      <c r="AS348" s="3">
        <f>VLOOKUP($AB348,'2000 Seattle Tracts'!$C$2:$Y$374,AS$1,FALSE)*$Z348</f>
        <v>4.5282420643993042</v>
      </c>
      <c r="AT348" s="3">
        <f>VLOOKUP($AB348,'2000 Seattle Tracts'!$C$2:$Y$374,AT$1,FALSE)*$Z348</f>
        <v>6.7923630965989563</v>
      </c>
      <c r="AU348" s="3">
        <f>VLOOKUP($AB348,'2000 Seattle Tracts'!$C$2:$Y$374,AU$1,FALSE)*$Z348</f>
        <v>16.414877483447476</v>
      </c>
      <c r="AV348" s="3">
        <f>VLOOKUP($AB348,'2000 Seattle Tracts'!$C$2:$Y$374,AV$1,FALSE)*$Z348</f>
        <v>5.6603025804991303</v>
      </c>
      <c r="AW348" s="3">
        <f>VLOOKUP($AB348,'2000 Seattle Tracts'!$C$2:$Y$374,AW$1,FALSE)*$Z348</f>
        <v>117.168263416332</v>
      </c>
      <c r="AX348" s="3">
        <f>VLOOKUP($AB348,'2000 Seattle Tracts'!$C$2:$Y$374,AX$1,FALSE)*$Z348</f>
        <v>5.6603025804991303</v>
      </c>
    </row>
    <row r="349" spans="1:50" x14ac:dyDescent="0.25">
      <c r="A349" t="s">
        <v>2917</v>
      </c>
      <c r="B349" t="s">
        <v>2918</v>
      </c>
      <c r="C349" t="s">
        <v>3020</v>
      </c>
      <c r="D349" t="s">
        <v>2611</v>
      </c>
      <c r="E349" t="s">
        <v>2612</v>
      </c>
      <c r="F349" t="s">
        <v>2613</v>
      </c>
      <c r="G349" t="s">
        <v>2920</v>
      </c>
      <c r="H349" t="s">
        <v>2921</v>
      </c>
      <c r="I349">
        <v>1278220</v>
      </c>
      <c r="J349">
        <v>102394</v>
      </c>
      <c r="K349" t="s">
        <v>3021</v>
      </c>
      <c r="L349" t="s">
        <v>3022</v>
      </c>
      <c r="M349">
        <v>45</v>
      </c>
      <c r="N349">
        <v>20496.728999999999</v>
      </c>
      <c r="O349" t="s">
        <v>136</v>
      </c>
      <c r="P349">
        <v>10</v>
      </c>
      <c r="Q349">
        <v>7</v>
      </c>
      <c r="R349">
        <v>9</v>
      </c>
      <c r="S349">
        <v>17515624</v>
      </c>
      <c r="T349">
        <v>47</v>
      </c>
      <c r="U349">
        <v>152</v>
      </c>
      <c r="V349">
        <v>20496.72892223937</v>
      </c>
      <c r="W349">
        <v>17515624.457026299</v>
      </c>
      <c r="X349">
        <v>136103.255</v>
      </c>
      <c r="Y349">
        <f>VLOOKUP(AB349,'2000 Seattle Tracts'!$C$2:$Z$374,24,FALSE)</f>
        <v>1214170.183</v>
      </c>
      <c r="Z349">
        <f t="shared" si="10"/>
        <v>0.11209569869662991</v>
      </c>
      <c r="AA349" t="s">
        <v>138</v>
      </c>
      <c r="AB349" t="str">
        <f t="shared" si="11"/>
        <v>Census Tract 67, King County, Washington</v>
      </c>
      <c r="AC349" s="3">
        <f>VLOOKUP($AB349,'2000 Seattle Tracts'!$C$2:$Y$374,AC$1,FALSE)*$Z349</f>
        <v>601.84180630220601</v>
      </c>
      <c r="AD349" s="3">
        <f>VLOOKUP($AB349,'2000 Seattle Tracts'!$C$2:$Y$374,AD$1,FALSE)*$Z349</f>
        <v>518.89098926669988</v>
      </c>
      <c r="AE349" s="3">
        <f>VLOOKUP($AB349,'2000 Seattle Tracts'!$C$2:$Y$374,AE$1,FALSE)*$Z349</f>
        <v>82.950817035506134</v>
      </c>
      <c r="AF349" s="3">
        <f>VLOOKUP($AB349,'2000 Seattle Tracts'!$C$2:$Y$374,AF$1,FALSE)*$Z349</f>
        <v>601.84180630220601</v>
      </c>
      <c r="AG349" s="3">
        <f>VLOOKUP($AB349,'2000 Seattle Tracts'!$C$2:$Y$374,AG$1,FALSE)*$Z349</f>
        <v>518.89098926669988</v>
      </c>
      <c r="AH349" s="3">
        <f>VLOOKUP($AB349,'2000 Seattle Tracts'!$C$2:$Y$374,AH$1,FALSE)*$Z349</f>
        <v>82.950817035506134</v>
      </c>
      <c r="AI349" s="3">
        <f>VLOOKUP($AB349,'2000 Seattle Tracts'!$C$2:$Y$374,AI$1,FALSE)*$Z349</f>
        <v>456.78997218876691</v>
      </c>
      <c r="AJ349" s="3">
        <f>VLOOKUP($AB349,'2000 Seattle Tracts'!$C$2:$Y$374,AJ$1,FALSE)*$Z349</f>
        <v>51.564021400449761</v>
      </c>
      <c r="AK349" s="3">
        <f>VLOOKUP($AB349,'2000 Seattle Tracts'!$C$2:$Y$374,AK$1,FALSE)*$Z349</f>
        <v>8.7434644983371328</v>
      </c>
      <c r="AL349" s="3">
        <f>VLOOKUP($AB349,'2000 Seattle Tracts'!$C$2:$Y$374,AL$1,FALSE)*$Z349</f>
        <v>3.8112537556854171</v>
      </c>
      <c r="AM349" s="3">
        <f>VLOOKUP($AB349,'2000 Seattle Tracts'!$C$2:$Y$374,AM$1,FALSE)*$Z349</f>
        <v>5.4926892361348658</v>
      </c>
      <c r="AN349" s="3">
        <f>VLOOKUP($AB349,'2000 Seattle Tracts'!$C$2:$Y$374,AN$1,FALSE)*$Z349</f>
        <v>1.3451483843595589</v>
      </c>
      <c r="AO349" s="3">
        <f>VLOOKUP($AB349,'2000 Seattle Tracts'!$C$2:$Y$374,AO$1,FALSE)*$Z349</f>
        <v>4.035445153078677</v>
      </c>
      <c r="AP349" s="3">
        <f>VLOOKUP($AB349,'2000 Seattle Tracts'!$C$2:$Y$374,AP$1,FALSE)*$Z349</f>
        <v>0</v>
      </c>
      <c r="AQ349" s="3">
        <f>VLOOKUP($AB349,'2000 Seattle Tracts'!$C$2:$Y$374,AQ$1,FALSE)*$Z349</f>
        <v>16.478067708404598</v>
      </c>
      <c r="AR349" s="3">
        <f>VLOOKUP($AB349,'2000 Seattle Tracts'!$C$2:$Y$374,AR$1,FALSE)*$Z349</f>
        <v>22.643331136719244</v>
      </c>
      <c r="AS349" s="3">
        <f>VLOOKUP($AB349,'2000 Seattle Tracts'!$C$2:$Y$374,AS$1,FALSE)*$Z349</f>
        <v>0.89676558957303931</v>
      </c>
      <c r="AT349" s="3">
        <f>VLOOKUP($AB349,'2000 Seattle Tracts'!$C$2:$Y$374,AT$1,FALSE)*$Z349</f>
        <v>1.3451483843595589</v>
      </c>
      <c r="AU349" s="3">
        <f>VLOOKUP($AB349,'2000 Seattle Tracts'!$C$2:$Y$374,AU$1,FALSE)*$Z349</f>
        <v>3.2507752622022674</v>
      </c>
      <c r="AV349" s="3">
        <f>VLOOKUP($AB349,'2000 Seattle Tracts'!$C$2:$Y$374,AV$1,FALSE)*$Z349</f>
        <v>1.1209569869662992</v>
      </c>
      <c r="AW349" s="3">
        <f>VLOOKUP($AB349,'2000 Seattle Tracts'!$C$2:$Y$374,AW$1,FALSE)*$Z349</f>
        <v>23.203809630202393</v>
      </c>
      <c r="AX349" s="3">
        <f>VLOOKUP($AB349,'2000 Seattle Tracts'!$C$2:$Y$374,AX$1,FALSE)*$Z349</f>
        <v>1.1209569869662992</v>
      </c>
    </row>
    <row r="350" spans="1:50" x14ac:dyDescent="0.25">
      <c r="A350" t="s">
        <v>2917</v>
      </c>
      <c r="B350" t="s">
        <v>2918</v>
      </c>
      <c r="C350" t="s">
        <v>3020</v>
      </c>
      <c r="D350" t="s">
        <v>2611</v>
      </c>
      <c r="E350" t="s">
        <v>2612</v>
      </c>
      <c r="F350" t="s">
        <v>2613</v>
      </c>
      <c r="G350" t="s">
        <v>2920</v>
      </c>
      <c r="H350" t="s">
        <v>2921</v>
      </c>
      <c r="I350">
        <v>1278220</v>
      </c>
      <c r="J350">
        <v>102394</v>
      </c>
      <c r="K350" t="s">
        <v>3021</v>
      </c>
      <c r="L350" t="s">
        <v>3022</v>
      </c>
      <c r="M350">
        <v>47</v>
      </c>
      <c r="N350">
        <v>11017.323</v>
      </c>
      <c r="O350" t="s">
        <v>141</v>
      </c>
      <c r="P350">
        <v>12</v>
      </c>
      <c r="Q350">
        <v>10</v>
      </c>
      <c r="R350">
        <v>0</v>
      </c>
      <c r="S350">
        <v>3645184</v>
      </c>
      <c r="T350">
        <v>49</v>
      </c>
      <c r="U350">
        <v>202</v>
      </c>
      <c r="V350">
        <v>11017.323173961489</v>
      </c>
      <c r="W350">
        <v>3645184.079040701</v>
      </c>
      <c r="X350">
        <v>319186.10399999999</v>
      </c>
      <c r="Y350">
        <f>VLOOKUP(AB350,'2000 Seattle Tracts'!$C$2:$Z$374,24,FALSE)</f>
        <v>1214170.183</v>
      </c>
      <c r="Z350">
        <f t="shared" si="10"/>
        <v>0.26288415616610478</v>
      </c>
      <c r="AA350" t="s">
        <v>140</v>
      </c>
      <c r="AB350" t="str">
        <f t="shared" si="11"/>
        <v>Census Tract 67, King County, Washington</v>
      </c>
      <c r="AC350" s="3">
        <f>VLOOKUP($AB350,'2000 Seattle Tracts'!$C$2:$Y$374,AC$1,FALSE)*$Z350</f>
        <v>1411.4250344558166</v>
      </c>
      <c r="AD350" s="3">
        <f>VLOOKUP($AB350,'2000 Seattle Tracts'!$C$2:$Y$374,AD$1,FALSE)*$Z350</f>
        <v>1216.8907588928989</v>
      </c>
      <c r="AE350" s="3">
        <f>VLOOKUP($AB350,'2000 Seattle Tracts'!$C$2:$Y$374,AE$1,FALSE)*$Z350</f>
        <v>194.53427556291754</v>
      </c>
      <c r="AF350" s="3">
        <f>VLOOKUP($AB350,'2000 Seattle Tracts'!$C$2:$Y$374,AF$1,FALSE)*$Z350</f>
        <v>1411.4250344558166</v>
      </c>
      <c r="AG350" s="3">
        <f>VLOOKUP($AB350,'2000 Seattle Tracts'!$C$2:$Y$374,AG$1,FALSE)*$Z350</f>
        <v>1216.8907588928989</v>
      </c>
      <c r="AH350" s="3">
        <f>VLOOKUP($AB350,'2000 Seattle Tracts'!$C$2:$Y$374,AH$1,FALSE)*$Z350</f>
        <v>194.53427556291754</v>
      </c>
      <c r="AI350" s="3">
        <f>VLOOKUP($AB350,'2000 Seattle Tracts'!$C$2:$Y$374,AI$1,FALSE)*$Z350</f>
        <v>1071.252936376877</v>
      </c>
      <c r="AJ350" s="3">
        <f>VLOOKUP($AB350,'2000 Seattle Tracts'!$C$2:$Y$374,AJ$1,FALSE)*$Z350</f>
        <v>120.9267118364082</v>
      </c>
      <c r="AK350" s="3">
        <f>VLOOKUP($AB350,'2000 Seattle Tracts'!$C$2:$Y$374,AK$1,FALSE)*$Z350</f>
        <v>20.504964180956172</v>
      </c>
      <c r="AL350" s="3">
        <f>VLOOKUP($AB350,'2000 Seattle Tracts'!$C$2:$Y$374,AL$1,FALSE)*$Z350</f>
        <v>8.9380613096475621</v>
      </c>
      <c r="AM350" s="3">
        <f>VLOOKUP($AB350,'2000 Seattle Tracts'!$C$2:$Y$374,AM$1,FALSE)*$Z350</f>
        <v>12.881323652139134</v>
      </c>
      <c r="AN350" s="3">
        <f>VLOOKUP($AB350,'2000 Seattle Tracts'!$C$2:$Y$374,AN$1,FALSE)*$Z350</f>
        <v>3.1546098739932571</v>
      </c>
      <c r="AO350" s="3">
        <f>VLOOKUP($AB350,'2000 Seattle Tracts'!$C$2:$Y$374,AO$1,FALSE)*$Z350</f>
        <v>9.4638296219797713</v>
      </c>
      <c r="AP350" s="3">
        <f>VLOOKUP($AB350,'2000 Seattle Tracts'!$C$2:$Y$374,AP$1,FALSE)*$Z350</f>
        <v>0</v>
      </c>
      <c r="AQ350" s="3">
        <f>VLOOKUP($AB350,'2000 Seattle Tracts'!$C$2:$Y$374,AQ$1,FALSE)*$Z350</f>
        <v>38.643970956417405</v>
      </c>
      <c r="AR350" s="3">
        <f>VLOOKUP($AB350,'2000 Seattle Tracts'!$C$2:$Y$374,AR$1,FALSE)*$Z350</f>
        <v>53.102599545553161</v>
      </c>
      <c r="AS350" s="3">
        <f>VLOOKUP($AB350,'2000 Seattle Tracts'!$C$2:$Y$374,AS$1,FALSE)*$Z350</f>
        <v>2.1030732493288382</v>
      </c>
      <c r="AT350" s="3">
        <f>VLOOKUP($AB350,'2000 Seattle Tracts'!$C$2:$Y$374,AT$1,FALSE)*$Z350</f>
        <v>3.1546098739932571</v>
      </c>
      <c r="AU350" s="3">
        <f>VLOOKUP($AB350,'2000 Seattle Tracts'!$C$2:$Y$374,AU$1,FALSE)*$Z350</f>
        <v>7.6236405288170381</v>
      </c>
      <c r="AV350" s="3">
        <f>VLOOKUP($AB350,'2000 Seattle Tracts'!$C$2:$Y$374,AV$1,FALSE)*$Z350</f>
        <v>2.6288415616610479</v>
      </c>
      <c r="AW350" s="3">
        <f>VLOOKUP($AB350,'2000 Seattle Tracts'!$C$2:$Y$374,AW$1,FALSE)*$Z350</f>
        <v>54.417020326383685</v>
      </c>
      <c r="AX350" s="3">
        <f>VLOOKUP($AB350,'2000 Seattle Tracts'!$C$2:$Y$374,AX$1,FALSE)*$Z350</f>
        <v>2.6288415616610479</v>
      </c>
    </row>
    <row r="351" spans="1:50" x14ac:dyDescent="0.25">
      <c r="A351" t="s">
        <v>2917</v>
      </c>
      <c r="B351" t="s">
        <v>2918</v>
      </c>
      <c r="C351" t="s">
        <v>3020</v>
      </c>
      <c r="D351" t="s">
        <v>2611</v>
      </c>
      <c r="E351" t="s">
        <v>2612</v>
      </c>
      <c r="F351" t="s">
        <v>2613</v>
      </c>
      <c r="G351" t="s">
        <v>2920</v>
      </c>
      <c r="H351" t="s">
        <v>2921</v>
      </c>
      <c r="I351">
        <v>1278220</v>
      </c>
      <c r="J351">
        <v>102394</v>
      </c>
      <c r="K351" t="s">
        <v>3021</v>
      </c>
      <c r="L351" t="s">
        <v>3022</v>
      </c>
      <c r="M351">
        <v>49</v>
      </c>
      <c r="N351">
        <v>29323.546999999999</v>
      </c>
      <c r="O351" t="s">
        <v>141</v>
      </c>
      <c r="P351">
        <v>12</v>
      </c>
      <c r="Q351">
        <v>10</v>
      </c>
      <c r="R351">
        <v>95</v>
      </c>
      <c r="S351">
        <v>16107105</v>
      </c>
      <c r="T351">
        <v>51</v>
      </c>
      <c r="U351">
        <v>200</v>
      </c>
      <c r="V351">
        <v>29323.546284384702</v>
      </c>
      <c r="W351">
        <v>16107105.41912676</v>
      </c>
      <c r="X351">
        <v>71136.894</v>
      </c>
      <c r="Y351">
        <f>VLOOKUP(AB351,'2000 Seattle Tracts'!$C$2:$Z$374,24,FALSE)</f>
        <v>1214170.183</v>
      </c>
      <c r="Z351">
        <f t="shared" si="10"/>
        <v>5.8588898818313348E-2</v>
      </c>
      <c r="AA351" t="s">
        <v>143</v>
      </c>
      <c r="AB351" t="str">
        <f t="shared" si="11"/>
        <v>Census Tract 67, King County, Washington</v>
      </c>
      <c r="AC351" s="3">
        <f>VLOOKUP($AB351,'2000 Seattle Tracts'!$C$2:$Y$374,AC$1,FALSE)*$Z351</f>
        <v>314.56379775552438</v>
      </c>
      <c r="AD351" s="3">
        <f>VLOOKUP($AB351,'2000 Seattle Tracts'!$C$2:$Y$374,AD$1,FALSE)*$Z351</f>
        <v>271.20801262997247</v>
      </c>
      <c r="AE351" s="3">
        <f>VLOOKUP($AB351,'2000 Seattle Tracts'!$C$2:$Y$374,AE$1,FALSE)*$Z351</f>
        <v>43.355785125551876</v>
      </c>
      <c r="AF351" s="3">
        <f>VLOOKUP($AB351,'2000 Seattle Tracts'!$C$2:$Y$374,AF$1,FALSE)*$Z351</f>
        <v>314.56379775552438</v>
      </c>
      <c r="AG351" s="3">
        <f>VLOOKUP($AB351,'2000 Seattle Tracts'!$C$2:$Y$374,AG$1,FALSE)*$Z351</f>
        <v>271.20801262997247</v>
      </c>
      <c r="AH351" s="3">
        <f>VLOOKUP($AB351,'2000 Seattle Tracts'!$C$2:$Y$374,AH$1,FALSE)*$Z351</f>
        <v>43.355785125551876</v>
      </c>
      <c r="AI351" s="3">
        <f>VLOOKUP($AB351,'2000 Seattle Tracts'!$C$2:$Y$374,AI$1,FALSE)*$Z351</f>
        <v>238.74976268462689</v>
      </c>
      <c r="AJ351" s="3">
        <f>VLOOKUP($AB351,'2000 Seattle Tracts'!$C$2:$Y$374,AJ$1,FALSE)*$Z351</f>
        <v>26.95089345642414</v>
      </c>
      <c r="AK351" s="3">
        <f>VLOOKUP($AB351,'2000 Seattle Tracts'!$C$2:$Y$374,AK$1,FALSE)*$Z351</f>
        <v>4.5699341078284412</v>
      </c>
      <c r="AL351" s="3">
        <f>VLOOKUP($AB351,'2000 Seattle Tracts'!$C$2:$Y$374,AL$1,FALSE)*$Z351</f>
        <v>1.9920225598226537</v>
      </c>
      <c r="AM351" s="3">
        <f>VLOOKUP($AB351,'2000 Seattle Tracts'!$C$2:$Y$374,AM$1,FALSE)*$Z351</f>
        <v>2.8708560420973539</v>
      </c>
      <c r="AN351" s="3">
        <f>VLOOKUP($AB351,'2000 Seattle Tracts'!$C$2:$Y$374,AN$1,FALSE)*$Z351</f>
        <v>0.70306678581976012</v>
      </c>
      <c r="AO351" s="3">
        <f>VLOOKUP($AB351,'2000 Seattle Tracts'!$C$2:$Y$374,AO$1,FALSE)*$Z351</f>
        <v>2.1092003574592804</v>
      </c>
      <c r="AP351" s="3">
        <f>VLOOKUP($AB351,'2000 Seattle Tracts'!$C$2:$Y$374,AP$1,FALSE)*$Z351</f>
        <v>0</v>
      </c>
      <c r="AQ351" s="3">
        <f>VLOOKUP($AB351,'2000 Seattle Tracts'!$C$2:$Y$374,AQ$1,FALSE)*$Z351</f>
        <v>8.6125681262920626</v>
      </c>
      <c r="AR351" s="3">
        <f>VLOOKUP($AB351,'2000 Seattle Tracts'!$C$2:$Y$374,AR$1,FALSE)*$Z351</f>
        <v>11.834957561299296</v>
      </c>
      <c r="AS351" s="3">
        <f>VLOOKUP($AB351,'2000 Seattle Tracts'!$C$2:$Y$374,AS$1,FALSE)*$Z351</f>
        <v>0.46871119054650678</v>
      </c>
      <c r="AT351" s="3">
        <f>VLOOKUP($AB351,'2000 Seattle Tracts'!$C$2:$Y$374,AT$1,FALSE)*$Z351</f>
        <v>0.70306678581976012</v>
      </c>
      <c r="AU351" s="3">
        <f>VLOOKUP($AB351,'2000 Seattle Tracts'!$C$2:$Y$374,AU$1,FALSE)*$Z351</f>
        <v>1.6990780657310871</v>
      </c>
      <c r="AV351" s="3">
        <f>VLOOKUP($AB351,'2000 Seattle Tracts'!$C$2:$Y$374,AV$1,FALSE)*$Z351</f>
        <v>0.58588898818313351</v>
      </c>
      <c r="AW351" s="3">
        <f>VLOOKUP($AB351,'2000 Seattle Tracts'!$C$2:$Y$374,AW$1,FALSE)*$Z351</f>
        <v>12.127902055390862</v>
      </c>
      <c r="AX351" s="3">
        <f>VLOOKUP($AB351,'2000 Seattle Tracts'!$C$2:$Y$374,AX$1,FALSE)*$Z351</f>
        <v>0.58588898818313351</v>
      </c>
    </row>
    <row r="352" spans="1:50" x14ac:dyDescent="0.25">
      <c r="A352" t="s">
        <v>2917</v>
      </c>
      <c r="B352" t="s">
        <v>2918</v>
      </c>
      <c r="C352" t="s">
        <v>3017</v>
      </c>
      <c r="D352" t="s">
        <v>2614</v>
      </c>
      <c r="E352" t="s">
        <v>2615</v>
      </c>
      <c r="F352" t="s">
        <v>2616</v>
      </c>
      <c r="G352" t="s">
        <v>2920</v>
      </c>
      <c r="H352" t="s">
        <v>2921</v>
      </c>
      <c r="I352">
        <v>1113996</v>
      </c>
      <c r="J352">
        <v>826398</v>
      </c>
      <c r="K352" t="s">
        <v>3475</v>
      </c>
      <c r="L352" t="s">
        <v>3476</v>
      </c>
      <c r="M352">
        <v>48</v>
      </c>
      <c r="N352">
        <v>16672.511999999999</v>
      </c>
      <c r="O352" t="s">
        <v>141</v>
      </c>
      <c r="P352">
        <v>12</v>
      </c>
      <c r="Q352">
        <v>10</v>
      </c>
      <c r="R352">
        <v>94</v>
      </c>
      <c r="S352">
        <v>7426908</v>
      </c>
      <c r="T352">
        <v>50</v>
      </c>
      <c r="U352">
        <v>142</v>
      </c>
      <c r="V352">
        <v>16672.51178374033</v>
      </c>
      <c r="W352">
        <v>7426907.9614261454</v>
      </c>
      <c r="X352">
        <v>228719.03400000001</v>
      </c>
      <c r="Y352">
        <f>VLOOKUP(AB352,'2000 Seattle Tracts'!$C$2:$Z$374,24,FALSE)</f>
        <v>1015324.775</v>
      </c>
      <c r="Z352">
        <f t="shared" si="10"/>
        <v>0.22526686990377046</v>
      </c>
      <c r="AA352" t="s">
        <v>142</v>
      </c>
      <c r="AB352" t="str">
        <f t="shared" si="11"/>
        <v>Census Tract 66, King County, Washington</v>
      </c>
      <c r="AC352" s="3">
        <f>VLOOKUP($AB352,'2000 Seattle Tracts'!$C$2:$Y$374,AC$1,FALSE)*$Z352</f>
        <v>641.78531235584205</v>
      </c>
      <c r="AD352" s="3">
        <f>VLOOKUP($AB352,'2000 Seattle Tracts'!$C$2:$Y$374,AD$1,FALSE)*$Z352</f>
        <v>551.45329752443013</v>
      </c>
      <c r="AE352" s="3">
        <f>VLOOKUP($AB352,'2000 Seattle Tracts'!$C$2:$Y$374,AE$1,FALSE)*$Z352</f>
        <v>90.332014831411954</v>
      </c>
      <c r="AF352" s="3">
        <f>VLOOKUP($AB352,'2000 Seattle Tracts'!$C$2:$Y$374,AF$1,FALSE)*$Z352</f>
        <v>641.78531235584205</v>
      </c>
      <c r="AG352" s="3">
        <f>VLOOKUP($AB352,'2000 Seattle Tracts'!$C$2:$Y$374,AG$1,FALSE)*$Z352</f>
        <v>551.45329752443013</v>
      </c>
      <c r="AH352" s="3">
        <f>VLOOKUP($AB352,'2000 Seattle Tracts'!$C$2:$Y$374,AH$1,FALSE)*$Z352</f>
        <v>90.332014831411954</v>
      </c>
      <c r="AI352" s="3">
        <f>VLOOKUP($AB352,'2000 Seattle Tracts'!$C$2:$Y$374,AI$1,FALSE)*$Z352</f>
        <v>492.20811073973846</v>
      </c>
      <c r="AJ352" s="3">
        <f>VLOOKUP($AB352,'2000 Seattle Tracts'!$C$2:$Y$374,AJ$1,FALSE)*$Z352</f>
        <v>31.762628656431634</v>
      </c>
      <c r="AK352" s="3">
        <f>VLOOKUP($AB352,'2000 Seattle Tracts'!$C$2:$Y$374,AK$1,FALSE)*$Z352</f>
        <v>5.631671747594261</v>
      </c>
      <c r="AL352" s="3">
        <f>VLOOKUP($AB352,'2000 Seattle Tracts'!$C$2:$Y$374,AL$1,FALSE)*$Z352</f>
        <v>7.884340446631966</v>
      </c>
      <c r="AM352" s="3">
        <f>VLOOKUP($AB352,'2000 Seattle Tracts'!$C$2:$Y$374,AM$1,FALSE)*$Z352</f>
        <v>12.840211584514917</v>
      </c>
      <c r="AN352" s="3">
        <f>VLOOKUP($AB352,'2000 Seattle Tracts'!$C$2:$Y$374,AN$1,FALSE)*$Z352</f>
        <v>3.1537361786527862</v>
      </c>
      <c r="AO352" s="3">
        <f>VLOOKUP($AB352,'2000 Seattle Tracts'!$C$2:$Y$374,AO$1,FALSE)*$Z352</f>
        <v>2.7032024388452456</v>
      </c>
      <c r="AP352" s="3">
        <f>VLOOKUP($AB352,'2000 Seattle Tracts'!$C$2:$Y$374,AP$1,FALSE)*$Z352</f>
        <v>0</v>
      </c>
      <c r="AQ352" s="3">
        <f>VLOOKUP($AB352,'2000 Seattle Tracts'!$C$2:$Y$374,AQ$1,FALSE)*$Z352</f>
        <v>18.697150202012949</v>
      </c>
      <c r="AR352" s="3">
        <f>VLOOKUP($AB352,'2000 Seattle Tracts'!$C$2:$Y$374,AR$1,FALSE)*$Z352</f>
        <v>31.987895526335404</v>
      </c>
      <c r="AS352" s="3">
        <f>VLOOKUP($AB352,'2000 Seattle Tracts'!$C$2:$Y$374,AS$1,FALSE)*$Z352</f>
        <v>1.3516012194226228</v>
      </c>
      <c r="AT352" s="3">
        <f>VLOOKUP($AB352,'2000 Seattle Tracts'!$C$2:$Y$374,AT$1,FALSE)*$Z352</f>
        <v>3.8295367883640976</v>
      </c>
      <c r="AU352" s="3">
        <f>VLOOKUP($AB352,'2000 Seattle Tracts'!$C$2:$Y$374,AU$1,FALSE)*$Z352</f>
        <v>5.631671747594261</v>
      </c>
      <c r="AV352" s="3">
        <f>VLOOKUP($AB352,'2000 Seattle Tracts'!$C$2:$Y$374,AV$1,FALSE)*$Z352</f>
        <v>7.2085398369206546</v>
      </c>
      <c r="AW352" s="3">
        <f>VLOOKUP($AB352,'2000 Seattle Tracts'!$C$2:$Y$374,AW$1,FALSE)*$Z352</f>
        <v>12.389677844707375</v>
      </c>
      <c r="AX352" s="3">
        <f>VLOOKUP($AB352,'2000 Seattle Tracts'!$C$2:$Y$374,AX$1,FALSE)*$Z352</f>
        <v>4.505337398075409</v>
      </c>
    </row>
    <row r="353" spans="1:50" x14ac:dyDescent="0.25">
      <c r="A353" t="s">
        <v>2917</v>
      </c>
      <c r="B353" t="s">
        <v>2918</v>
      </c>
      <c r="C353" t="s">
        <v>3017</v>
      </c>
      <c r="D353" t="s">
        <v>2614</v>
      </c>
      <c r="E353" t="s">
        <v>2615</v>
      </c>
      <c r="F353" t="s">
        <v>2616</v>
      </c>
      <c r="G353" t="s">
        <v>2920</v>
      </c>
      <c r="H353" t="s">
        <v>2921</v>
      </c>
      <c r="I353">
        <v>1113996</v>
      </c>
      <c r="J353">
        <v>826398</v>
      </c>
      <c r="K353" t="s">
        <v>3475</v>
      </c>
      <c r="L353" t="s">
        <v>3476</v>
      </c>
      <c r="M353">
        <v>49</v>
      </c>
      <c r="N353">
        <v>29323.546999999999</v>
      </c>
      <c r="O353" t="s">
        <v>141</v>
      </c>
      <c r="P353">
        <v>12</v>
      </c>
      <c r="Q353">
        <v>10</v>
      </c>
      <c r="R353">
        <v>95</v>
      </c>
      <c r="S353">
        <v>16107105</v>
      </c>
      <c r="T353">
        <v>51</v>
      </c>
      <c r="U353">
        <v>200</v>
      </c>
      <c r="V353">
        <v>29323.546284384702</v>
      </c>
      <c r="W353">
        <v>16107105.41912676</v>
      </c>
      <c r="X353">
        <v>403370.29800000001</v>
      </c>
      <c r="Y353">
        <f>VLOOKUP(AB353,'2000 Seattle Tracts'!$C$2:$Z$374,24,FALSE)</f>
        <v>1015324.775</v>
      </c>
      <c r="Z353">
        <f t="shared" si="10"/>
        <v>0.39728204012356538</v>
      </c>
      <c r="AA353" t="s">
        <v>143</v>
      </c>
      <c r="AB353" t="str">
        <f t="shared" si="11"/>
        <v>Census Tract 66, King County, Washington</v>
      </c>
      <c r="AC353" s="3">
        <f>VLOOKUP($AB353,'2000 Seattle Tracts'!$C$2:$Y$374,AC$1,FALSE)*$Z353</f>
        <v>1131.8565323120379</v>
      </c>
      <c r="AD353" s="3">
        <f>VLOOKUP($AB353,'2000 Seattle Tracts'!$C$2:$Y$374,AD$1,FALSE)*$Z353</f>
        <v>972.54643422248807</v>
      </c>
      <c r="AE353" s="3">
        <f>VLOOKUP($AB353,'2000 Seattle Tracts'!$C$2:$Y$374,AE$1,FALSE)*$Z353</f>
        <v>159.31009808954971</v>
      </c>
      <c r="AF353" s="3">
        <f>VLOOKUP($AB353,'2000 Seattle Tracts'!$C$2:$Y$374,AF$1,FALSE)*$Z353</f>
        <v>1131.8565323120379</v>
      </c>
      <c r="AG353" s="3">
        <f>VLOOKUP($AB353,'2000 Seattle Tracts'!$C$2:$Y$374,AG$1,FALSE)*$Z353</f>
        <v>972.54643422248807</v>
      </c>
      <c r="AH353" s="3">
        <f>VLOOKUP($AB353,'2000 Seattle Tracts'!$C$2:$Y$374,AH$1,FALSE)*$Z353</f>
        <v>159.31009808954971</v>
      </c>
      <c r="AI353" s="3">
        <f>VLOOKUP($AB353,'2000 Seattle Tracts'!$C$2:$Y$374,AI$1,FALSE)*$Z353</f>
        <v>868.06125766999037</v>
      </c>
      <c r="AJ353" s="3">
        <f>VLOOKUP($AB353,'2000 Seattle Tracts'!$C$2:$Y$374,AJ$1,FALSE)*$Z353</f>
        <v>56.016767657422719</v>
      </c>
      <c r="AK353" s="3">
        <f>VLOOKUP($AB353,'2000 Seattle Tracts'!$C$2:$Y$374,AK$1,FALSE)*$Z353</f>
        <v>9.9320510030891338</v>
      </c>
      <c r="AL353" s="3">
        <f>VLOOKUP($AB353,'2000 Seattle Tracts'!$C$2:$Y$374,AL$1,FALSE)*$Z353</f>
        <v>13.904871404324789</v>
      </c>
      <c r="AM353" s="3">
        <f>VLOOKUP($AB353,'2000 Seattle Tracts'!$C$2:$Y$374,AM$1,FALSE)*$Z353</f>
        <v>22.645076287043228</v>
      </c>
      <c r="AN353" s="3">
        <f>VLOOKUP($AB353,'2000 Seattle Tracts'!$C$2:$Y$374,AN$1,FALSE)*$Z353</f>
        <v>5.5619485617299151</v>
      </c>
      <c r="AO353" s="3">
        <f>VLOOKUP($AB353,'2000 Seattle Tracts'!$C$2:$Y$374,AO$1,FALSE)*$Z353</f>
        <v>4.7673844814827842</v>
      </c>
      <c r="AP353" s="3">
        <f>VLOOKUP($AB353,'2000 Seattle Tracts'!$C$2:$Y$374,AP$1,FALSE)*$Z353</f>
        <v>0</v>
      </c>
      <c r="AQ353" s="3">
        <f>VLOOKUP($AB353,'2000 Seattle Tracts'!$C$2:$Y$374,AQ$1,FALSE)*$Z353</f>
        <v>32.974409330255924</v>
      </c>
      <c r="AR353" s="3">
        <f>VLOOKUP($AB353,'2000 Seattle Tracts'!$C$2:$Y$374,AR$1,FALSE)*$Z353</f>
        <v>56.414049697546282</v>
      </c>
      <c r="AS353" s="3">
        <f>VLOOKUP($AB353,'2000 Seattle Tracts'!$C$2:$Y$374,AS$1,FALSE)*$Z353</f>
        <v>2.3836922407413921</v>
      </c>
      <c r="AT353" s="3">
        <f>VLOOKUP($AB353,'2000 Seattle Tracts'!$C$2:$Y$374,AT$1,FALSE)*$Z353</f>
        <v>6.7537946821006116</v>
      </c>
      <c r="AU353" s="3">
        <f>VLOOKUP($AB353,'2000 Seattle Tracts'!$C$2:$Y$374,AU$1,FALSE)*$Z353</f>
        <v>9.9320510030891338</v>
      </c>
      <c r="AV353" s="3">
        <f>VLOOKUP($AB353,'2000 Seattle Tracts'!$C$2:$Y$374,AV$1,FALSE)*$Z353</f>
        <v>12.713025283954092</v>
      </c>
      <c r="AW353" s="3">
        <f>VLOOKUP($AB353,'2000 Seattle Tracts'!$C$2:$Y$374,AW$1,FALSE)*$Z353</f>
        <v>21.850512206796097</v>
      </c>
      <c r="AX353" s="3">
        <f>VLOOKUP($AB353,'2000 Seattle Tracts'!$C$2:$Y$374,AX$1,FALSE)*$Z353</f>
        <v>7.9456408024713081</v>
      </c>
    </row>
    <row r="354" spans="1:50" x14ac:dyDescent="0.25">
      <c r="A354" t="s">
        <v>2917</v>
      </c>
      <c r="B354" t="s">
        <v>2918</v>
      </c>
      <c r="C354" t="s">
        <v>3017</v>
      </c>
      <c r="D354" t="s">
        <v>2614</v>
      </c>
      <c r="E354" t="s">
        <v>2615</v>
      </c>
      <c r="F354" t="s">
        <v>2616</v>
      </c>
      <c r="G354" t="s">
        <v>2920</v>
      </c>
      <c r="H354" t="s">
        <v>2921</v>
      </c>
      <c r="I354">
        <v>1113996</v>
      </c>
      <c r="J354">
        <v>826398</v>
      </c>
      <c r="K354" t="s">
        <v>3475</v>
      </c>
      <c r="L354" t="s">
        <v>3476</v>
      </c>
      <c r="M354">
        <v>98</v>
      </c>
      <c r="N354">
        <v>34138.93</v>
      </c>
      <c r="O354" t="s">
        <v>201</v>
      </c>
      <c r="P354">
        <v>11</v>
      </c>
      <c r="Q354">
        <v>3</v>
      </c>
      <c r="R354">
        <v>9</v>
      </c>
      <c r="S354">
        <v>19763186</v>
      </c>
      <c r="T354">
        <v>100</v>
      </c>
      <c r="U354">
        <v>146</v>
      </c>
      <c r="V354">
        <v>34138.92787921233</v>
      </c>
      <c r="W354">
        <v>19763186.566329598</v>
      </c>
      <c r="X354">
        <v>136.869</v>
      </c>
      <c r="Y354">
        <f>VLOOKUP(AB354,'2000 Seattle Tracts'!$C$2:$Z$374,24,FALSE)</f>
        <v>1015324.775</v>
      </c>
      <c r="Z354">
        <f t="shared" si="10"/>
        <v>1.3480317172404269E-4</v>
      </c>
      <c r="AA354" t="s">
        <v>202</v>
      </c>
      <c r="AB354" t="str">
        <f t="shared" si="11"/>
        <v>Census Tract 66, King County, Washington</v>
      </c>
      <c r="AC354" s="3">
        <f>VLOOKUP($AB354,'2000 Seattle Tracts'!$C$2:$Y$374,AC$1,FALSE)*$Z354</f>
        <v>0.38405423624179763</v>
      </c>
      <c r="AD354" s="3">
        <f>VLOOKUP($AB354,'2000 Seattle Tracts'!$C$2:$Y$374,AD$1,FALSE)*$Z354</f>
        <v>0.32999816438045648</v>
      </c>
      <c r="AE354" s="3">
        <f>VLOOKUP($AB354,'2000 Seattle Tracts'!$C$2:$Y$374,AE$1,FALSE)*$Z354</f>
        <v>5.4056071861341121E-2</v>
      </c>
      <c r="AF354" s="3">
        <f>VLOOKUP($AB354,'2000 Seattle Tracts'!$C$2:$Y$374,AF$1,FALSE)*$Z354</f>
        <v>0.38405423624179763</v>
      </c>
      <c r="AG354" s="3">
        <f>VLOOKUP($AB354,'2000 Seattle Tracts'!$C$2:$Y$374,AG$1,FALSE)*$Z354</f>
        <v>0.32999816438045648</v>
      </c>
      <c r="AH354" s="3">
        <f>VLOOKUP($AB354,'2000 Seattle Tracts'!$C$2:$Y$374,AH$1,FALSE)*$Z354</f>
        <v>5.4056071861341121E-2</v>
      </c>
      <c r="AI354" s="3">
        <f>VLOOKUP($AB354,'2000 Seattle Tracts'!$C$2:$Y$374,AI$1,FALSE)*$Z354</f>
        <v>0.29454493021703326</v>
      </c>
      <c r="AJ354" s="3">
        <f>VLOOKUP($AB354,'2000 Seattle Tracts'!$C$2:$Y$374,AJ$1,FALSE)*$Z354</f>
        <v>1.9007247213090019E-2</v>
      </c>
      <c r="AK354" s="3">
        <f>VLOOKUP($AB354,'2000 Seattle Tracts'!$C$2:$Y$374,AK$1,FALSE)*$Z354</f>
        <v>3.3700792931010671E-3</v>
      </c>
      <c r="AL354" s="3">
        <f>VLOOKUP($AB354,'2000 Seattle Tracts'!$C$2:$Y$374,AL$1,FALSE)*$Z354</f>
        <v>4.7181110103414938E-3</v>
      </c>
      <c r="AM354" s="3">
        <f>VLOOKUP($AB354,'2000 Seattle Tracts'!$C$2:$Y$374,AM$1,FALSE)*$Z354</f>
        <v>7.6837807882704336E-3</v>
      </c>
      <c r="AN354" s="3">
        <f>VLOOKUP($AB354,'2000 Seattle Tracts'!$C$2:$Y$374,AN$1,FALSE)*$Z354</f>
        <v>1.8872444041365976E-3</v>
      </c>
      <c r="AO354" s="3">
        <f>VLOOKUP($AB354,'2000 Seattle Tracts'!$C$2:$Y$374,AO$1,FALSE)*$Z354</f>
        <v>1.6176380606885122E-3</v>
      </c>
      <c r="AP354" s="3">
        <f>VLOOKUP($AB354,'2000 Seattle Tracts'!$C$2:$Y$374,AP$1,FALSE)*$Z354</f>
        <v>0</v>
      </c>
      <c r="AQ354" s="3">
        <f>VLOOKUP($AB354,'2000 Seattle Tracts'!$C$2:$Y$374,AQ$1,FALSE)*$Z354</f>
        <v>1.1188663253095543E-2</v>
      </c>
      <c r="AR354" s="3">
        <f>VLOOKUP($AB354,'2000 Seattle Tracts'!$C$2:$Y$374,AR$1,FALSE)*$Z354</f>
        <v>1.9142050384814063E-2</v>
      </c>
      <c r="AS354" s="3">
        <f>VLOOKUP($AB354,'2000 Seattle Tracts'!$C$2:$Y$374,AS$1,FALSE)*$Z354</f>
        <v>8.0881903034425609E-4</v>
      </c>
      <c r="AT354" s="3">
        <f>VLOOKUP($AB354,'2000 Seattle Tracts'!$C$2:$Y$374,AT$1,FALSE)*$Z354</f>
        <v>2.2916539193087258E-3</v>
      </c>
      <c r="AU354" s="3">
        <f>VLOOKUP($AB354,'2000 Seattle Tracts'!$C$2:$Y$374,AU$1,FALSE)*$Z354</f>
        <v>3.3700792931010671E-3</v>
      </c>
      <c r="AV354" s="3">
        <f>VLOOKUP($AB354,'2000 Seattle Tracts'!$C$2:$Y$374,AV$1,FALSE)*$Z354</f>
        <v>4.3137014951693661E-3</v>
      </c>
      <c r="AW354" s="3">
        <f>VLOOKUP($AB354,'2000 Seattle Tracts'!$C$2:$Y$374,AW$1,FALSE)*$Z354</f>
        <v>7.4141744448223482E-3</v>
      </c>
      <c r="AX354" s="3">
        <f>VLOOKUP($AB354,'2000 Seattle Tracts'!$C$2:$Y$374,AX$1,FALSE)*$Z354</f>
        <v>2.6960634344808539E-3</v>
      </c>
    </row>
    <row r="355" spans="1:50" x14ac:dyDescent="0.25">
      <c r="A355" t="s">
        <v>2917</v>
      </c>
      <c r="B355" t="s">
        <v>2918</v>
      </c>
      <c r="C355" t="s">
        <v>3017</v>
      </c>
      <c r="D355" t="s">
        <v>2614</v>
      </c>
      <c r="E355" t="s">
        <v>2615</v>
      </c>
      <c r="F355" t="s">
        <v>2616</v>
      </c>
      <c r="G355" t="s">
        <v>2920</v>
      </c>
      <c r="H355" t="s">
        <v>2921</v>
      </c>
      <c r="I355">
        <v>1113996</v>
      </c>
      <c r="J355">
        <v>826398</v>
      </c>
      <c r="K355" t="s">
        <v>3475</v>
      </c>
      <c r="L355" t="s">
        <v>3476</v>
      </c>
      <c r="M355">
        <v>100</v>
      </c>
      <c r="N355">
        <v>26851.947</v>
      </c>
      <c r="O355" t="s">
        <v>201</v>
      </c>
      <c r="P355">
        <v>11</v>
      </c>
      <c r="Q355">
        <v>3</v>
      </c>
      <c r="R355">
        <v>0</v>
      </c>
      <c r="S355">
        <v>30239240</v>
      </c>
      <c r="T355">
        <v>102</v>
      </c>
      <c r="U355">
        <v>151</v>
      </c>
      <c r="V355">
        <v>26851.9474418256</v>
      </c>
      <c r="W355">
        <v>30239240.52129779</v>
      </c>
      <c r="X355">
        <v>378586.446</v>
      </c>
      <c r="Y355">
        <f>VLOOKUP(AB355,'2000 Seattle Tracts'!$C$2:$Z$374,24,FALSE)</f>
        <v>1015324.775</v>
      </c>
      <c r="Z355">
        <f t="shared" si="10"/>
        <v>0.37287226247384736</v>
      </c>
      <c r="AA355" t="s">
        <v>204</v>
      </c>
      <c r="AB355" t="str">
        <f t="shared" si="11"/>
        <v>Census Tract 66, King County, Washington</v>
      </c>
      <c r="AC355" s="3">
        <f>VLOOKUP($AB355,'2000 Seattle Tracts'!$C$2:$Y$374,AC$1,FALSE)*$Z355</f>
        <v>1062.3130757879912</v>
      </c>
      <c r="AD355" s="3">
        <f>VLOOKUP($AB355,'2000 Seattle Tracts'!$C$2:$Y$374,AD$1,FALSE)*$Z355</f>
        <v>912.79129853597829</v>
      </c>
      <c r="AE355" s="3">
        <f>VLOOKUP($AB355,'2000 Seattle Tracts'!$C$2:$Y$374,AE$1,FALSE)*$Z355</f>
        <v>149.52177725201278</v>
      </c>
      <c r="AF355" s="3">
        <f>VLOOKUP($AB355,'2000 Seattle Tracts'!$C$2:$Y$374,AF$1,FALSE)*$Z355</f>
        <v>1062.3130757879912</v>
      </c>
      <c r="AG355" s="3">
        <f>VLOOKUP($AB355,'2000 Seattle Tracts'!$C$2:$Y$374,AG$1,FALSE)*$Z355</f>
        <v>912.79129853597829</v>
      </c>
      <c r="AH355" s="3">
        <f>VLOOKUP($AB355,'2000 Seattle Tracts'!$C$2:$Y$374,AH$1,FALSE)*$Z355</f>
        <v>149.52177725201278</v>
      </c>
      <c r="AI355" s="3">
        <f>VLOOKUP($AB355,'2000 Seattle Tracts'!$C$2:$Y$374,AI$1,FALSE)*$Z355</f>
        <v>814.72589350535645</v>
      </c>
      <c r="AJ355" s="3">
        <f>VLOOKUP($AB355,'2000 Seattle Tracts'!$C$2:$Y$374,AJ$1,FALSE)*$Z355</f>
        <v>52.57498900881248</v>
      </c>
      <c r="AK355" s="3">
        <f>VLOOKUP($AB355,'2000 Seattle Tracts'!$C$2:$Y$374,AK$1,FALSE)*$Z355</f>
        <v>9.3218065618461843</v>
      </c>
      <c r="AL355" s="3">
        <f>VLOOKUP($AB355,'2000 Seattle Tracts'!$C$2:$Y$374,AL$1,FALSE)*$Z355</f>
        <v>13.050529186584658</v>
      </c>
      <c r="AM355" s="3">
        <f>VLOOKUP($AB355,'2000 Seattle Tracts'!$C$2:$Y$374,AM$1,FALSE)*$Z355</f>
        <v>21.253718961009298</v>
      </c>
      <c r="AN355" s="3">
        <f>VLOOKUP($AB355,'2000 Seattle Tracts'!$C$2:$Y$374,AN$1,FALSE)*$Z355</f>
        <v>5.2202116746338634</v>
      </c>
      <c r="AO355" s="3">
        <f>VLOOKUP($AB355,'2000 Seattle Tracts'!$C$2:$Y$374,AO$1,FALSE)*$Z355</f>
        <v>4.4744671496861681</v>
      </c>
      <c r="AP355" s="3">
        <f>VLOOKUP($AB355,'2000 Seattle Tracts'!$C$2:$Y$374,AP$1,FALSE)*$Z355</f>
        <v>0</v>
      </c>
      <c r="AQ355" s="3">
        <f>VLOOKUP($AB355,'2000 Seattle Tracts'!$C$2:$Y$374,AQ$1,FALSE)*$Z355</f>
        <v>30.94839778532933</v>
      </c>
      <c r="AR355" s="3">
        <f>VLOOKUP($AB355,'2000 Seattle Tracts'!$C$2:$Y$374,AR$1,FALSE)*$Z355</f>
        <v>52.947861271286328</v>
      </c>
      <c r="AS355" s="3">
        <f>VLOOKUP($AB355,'2000 Seattle Tracts'!$C$2:$Y$374,AS$1,FALSE)*$Z355</f>
        <v>2.237233574843084</v>
      </c>
      <c r="AT355" s="3">
        <f>VLOOKUP($AB355,'2000 Seattle Tracts'!$C$2:$Y$374,AT$1,FALSE)*$Z355</f>
        <v>6.338828462055405</v>
      </c>
      <c r="AU355" s="3">
        <f>VLOOKUP($AB355,'2000 Seattle Tracts'!$C$2:$Y$374,AU$1,FALSE)*$Z355</f>
        <v>9.3218065618461843</v>
      </c>
      <c r="AV355" s="3">
        <f>VLOOKUP($AB355,'2000 Seattle Tracts'!$C$2:$Y$374,AV$1,FALSE)*$Z355</f>
        <v>11.931912399163116</v>
      </c>
      <c r="AW355" s="3">
        <f>VLOOKUP($AB355,'2000 Seattle Tracts'!$C$2:$Y$374,AW$1,FALSE)*$Z355</f>
        <v>20.507974436061605</v>
      </c>
      <c r="AX355" s="3">
        <f>VLOOKUP($AB355,'2000 Seattle Tracts'!$C$2:$Y$374,AX$1,FALSE)*$Z355</f>
        <v>7.4574452494769474</v>
      </c>
    </row>
    <row r="356" spans="1:50" x14ac:dyDescent="0.25">
      <c r="A356" t="s">
        <v>2917</v>
      </c>
      <c r="B356" t="s">
        <v>2918</v>
      </c>
      <c r="C356" t="s">
        <v>3143</v>
      </c>
      <c r="D356" t="s">
        <v>2617</v>
      </c>
      <c r="E356" t="s">
        <v>2618</v>
      </c>
      <c r="F356" t="s">
        <v>2619</v>
      </c>
      <c r="G356" t="s">
        <v>2920</v>
      </c>
      <c r="H356" t="s">
        <v>2921</v>
      </c>
      <c r="I356">
        <v>1147621</v>
      </c>
      <c r="J356">
        <v>0</v>
      </c>
      <c r="K356" t="s">
        <v>3144</v>
      </c>
      <c r="L356" t="s">
        <v>3145</v>
      </c>
      <c r="M356">
        <v>98</v>
      </c>
      <c r="N356">
        <v>34138.93</v>
      </c>
      <c r="O356" t="s">
        <v>201</v>
      </c>
      <c r="P356">
        <v>11</v>
      </c>
      <c r="Q356">
        <v>3</v>
      </c>
      <c r="R356">
        <v>9</v>
      </c>
      <c r="S356">
        <v>19763186</v>
      </c>
      <c r="T356">
        <v>100</v>
      </c>
      <c r="U356">
        <v>146</v>
      </c>
      <c r="V356">
        <v>34138.92787921233</v>
      </c>
      <c r="W356">
        <v>19763186.566329598</v>
      </c>
      <c r="X356">
        <v>212698.31700000001</v>
      </c>
      <c r="Y356">
        <f>VLOOKUP(AB356,'2000 Seattle Tracts'!$C$2:$Z$374,24,FALSE)</f>
        <v>1133539.8970000001</v>
      </c>
      <c r="Z356">
        <f t="shared" si="10"/>
        <v>0.18764078579229751</v>
      </c>
      <c r="AA356" t="s">
        <v>202</v>
      </c>
      <c r="AB356" t="str">
        <f t="shared" si="11"/>
        <v>Census Tract 65, King County, Washington</v>
      </c>
      <c r="AC356" s="3">
        <f>VLOOKUP($AB356,'2000 Seattle Tracts'!$C$2:$Y$374,AC$1,FALSE)*$Z356</f>
        <v>759.00697852984342</v>
      </c>
      <c r="AD356" s="3">
        <f>VLOOKUP($AB356,'2000 Seattle Tracts'!$C$2:$Y$374,AD$1,FALSE)*$Z356</f>
        <v>648.48655569818015</v>
      </c>
      <c r="AE356" s="3">
        <f>VLOOKUP($AB356,'2000 Seattle Tracts'!$C$2:$Y$374,AE$1,FALSE)*$Z356</f>
        <v>110.52042283166324</v>
      </c>
      <c r="AF356" s="3">
        <f>VLOOKUP($AB356,'2000 Seattle Tracts'!$C$2:$Y$374,AF$1,FALSE)*$Z356</f>
        <v>759.00697852984342</v>
      </c>
      <c r="AG356" s="3">
        <f>VLOOKUP($AB356,'2000 Seattle Tracts'!$C$2:$Y$374,AG$1,FALSE)*$Z356</f>
        <v>648.48655569818015</v>
      </c>
      <c r="AH356" s="3">
        <f>VLOOKUP($AB356,'2000 Seattle Tracts'!$C$2:$Y$374,AH$1,FALSE)*$Z356</f>
        <v>110.52042283166324</v>
      </c>
      <c r="AI356" s="3">
        <f>VLOOKUP($AB356,'2000 Seattle Tracts'!$C$2:$Y$374,AI$1,FALSE)*$Z356</f>
        <v>592.56960153207558</v>
      </c>
      <c r="AJ356" s="3">
        <f>VLOOKUP($AB356,'2000 Seattle Tracts'!$C$2:$Y$374,AJ$1,FALSE)*$Z356</f>
        <v>63.985507955173453</v>
      </c>
      <c r="AK356" s="3">
        <f>VLOOKUP($AB356,'2000 Seattle Tracts'!$C$2:$Y$374,AK$1,FALSE)*$Z356</f>
        <v>7.3179906458996031</v>
      </c>
      <c r="AL356" s="3">
        <f>VLOOKUP($AB356,'2000 Seattle Tracts'!$C$2:$Y$374,AL$1,FALSE)*$Z356</f>
        <v>6.9427090743150082</v>
      </c>
      <c r="AM356" s="3">
        <f>VLOOKUP($AB356,'2000 Seattle Tracts'!$C$2:$Y$374,AM$1,FALSE)*$Z356</f>
        <v>7.8809130032764951</v>
      </c>
      <c r="AN356" s="3">
        <f>VLOOKUP($AB356,'2000 Seattle Tracts'!$C$2:$Y$374,AN$1,FALSE)*$Z356</f>
        <v>2.6269710010921652</v>
      </c>
      <c r="AO356" s="3">
        <f>VLOOKUP($AB356,'2000 Seattle Tracts'!$C$2:$Y$374,AO$1,FALSE)*$Z356</f>
        <v>3.9404565016382476</v>
      </c>
      <c r="AP356" s="3">
        <f>VLOOKUP($AB356,'2000 Seattle Tracts'!$C$2:$Y$374,AP$1,FALSE)*$Z356</f>
        <v>0</v>
      </c>
      <c r="AQ356" s="3">
        <f>VLOOKUP($AB356,'2000 Seattle Tracts'!$C$2:$Y$374,AQ$1,FALSE)*$Z356</f>
        <v>15.76182600655299</v>
      </c>
      <c r="AR356" s="3">
        <f>VLOOKUP($AB356,'2000 Seattle Tracts'!$C$2:$Y$374,AR$1,FALSE)*$Z356</f>
        <v>27.770836297260033</v>
      </c>
      <c r="AS356" s="3">
        <f>VLOOKUP($AB356,'2000 Seattle Tracts'!$C$2:$Y$374,AS$1,FALSE)*$Z356</f>
        <v>0.93820392896148752</v>
      </c>
      <c r="AT356" s="3">
        <f>VLOOKUP($AB356,'2000 Seattle Tracts'!$C$2:$Y$374,AT$1,FALSE)*$Z356</f>
        <v>0</v>
      </c>
      <c r="AU356" s="3">
        <f>VLOOKUP($AB356,'2000 Seattle Tracts'!$C$2:$Y$374,AU$1,FALSE)*$Z356</f>
        <v>7.5056314316919002</v>
      </c>
      <c r="AV356" s="3">
        <f>VLOOKUP($AB356,'2000 Seattle Tracts'!$C$2:$Y$374,AV$1,FALSE)*$Z356</f>
        <v>3.7528157158459501</v>
      </c>
      <c r="AW356" s="3">
        <f>VLOOKUP($AB356,'2000 Seattle Tracts'!$C$2:$Y$374,AW$1,FALSE)*$Z356</f>
        <v>12.571932648083934</v>
      </c>
      <c r="AX356" s="3">
        <f>VLOOKUP($AB356,'2000 Seattle Tracts'!$C$2:$Y$374,AX$1,FALSE)*$Z356</f>
        <v>5.4415827879766274</v>
      </c>
    </row>
    <row r="357" spans="1:50" x14ac:dyDescent="0.25">
      <c r="A357" t="s">
        <v>2917</v>
      </c>
      <c r="B357" t="s">
        <v>2918</v>
      </c>
      <c r="C357" t="s">
        <v>3143</v>
      </c>
      <c r="D357" t="s">
        <v>2617</v>
      </c>
      <c r="E357" t="s">
        <v>2618</v>
      </c>
      <c r="F357" t="s">
        <v>2619</v>
      </c>
      <c r="G357" t="s">
        <v>2920</v>
      </c>
      <c r="H357" t="s">
        <v>2921</v>
      </c>
      <c r="I357">
        <v>1147621</v>
      </c>
      <c r="J357">
        <v>0</v>
      </c>
      <c r="K357" t="s">
        <v>3144</v>
      </c>
      <c r="L357" t="s">
        <v>3145</v>
      </c>
      <c r="M357">
        <v>100</v>
      </c>
      <c r="N357">
        <v>26851.947</v>
      </c>
      <c r="O357" t="s">
        <v>201</v>
      </c>
      <c r="P357">
        <v>11</v>
      </c>
      <c r="Q357">
        <v>3</v>
      </c>
      <c r="R357">
        <v>0</v>
      </c>
      <c r="S357">
        <v>30239240</v>
      </c>
      <c r="T357">
        <v>102</v>
      </c>
      <c r="U357">
        <v>151</v>
      </c>
      <c r="V357">
        <v>26851.9474418256</v>
      </c>
      <c r="W357">
        <v>30239240.52129779</v>
      </c>
      <c r="X357">
        <v>920761.26100000006</v>
      </c>
      <c r="Y357">
        <f>VLOOKUP(AB357,'2000 Seattle Tracts'!$C$2:$Z$374,24,FALSE)</f>
        <v>1133539.8970000001</v>
      </c>
      <c r="Z357">
        <f t="shared" si="10"/>
        <v>0.81228835741632477</v>
      </c>
      <c r="AA357" t="s">
        <v>204</v>
      </c>
      <c r="AB357" t="str">
        <f t="shared" si="11"/>
        <v>Census Tract 65, King County, Washington</v>
      </c>
      <c r="AC357" s="3">
        <f>VLOOKUP($AB357,'2000 Seattle Tracts'!$C$2:$Y$374,AC$1,FALSE)*$Z357</f>
        <v>3285.7064057490338</v>
      </c>
      <c r="AD357" s="3">
        <f>VLOOKUP($AB357,'2000 Seattle Tracts'!$C$2:$Y$374,AD$1,FALSE)*$Z357</f>
        <v>2807.2685632308185</v>
      </c>
      <c r="AE357" s="3">
        <f>VLOOKUP($AB357,'2000 Seattle Tracts'!$C$2:$Y$374,AE$1,FALSE)*$Z357</f>
        <v>478.43784251821529</v>
      </c>
      <c r="AF357" s="3">
        <f>VLOOKUP($AB357,'2000 Seattle Tracts'!$C$2:$Y$374,AF$1,FALSE)*$Z357</f>
        <v>3285.7064057490338</v>
      </c>
      <c r="AG357" s="3">
        <f>VLOOKUP($AB357,'2000 Seattle Tracts'!$C$2:$Y$374,AG$1,FALSE)*$Z357</f>
        <v>2807.2685632308185</v>
      </c>
      <c r="AH357" s="3">
        <f>VLOOKUP($AB357,'2000 Seattle Tracts'!$C$2:$Y$374,AH$1,FALSE)*$Z357</f>
        <v>478.43784251821529</v>
      </c>
      <c r="AI357" s="3">
        <f>VLOOKUP($AB357,'2000 Seattle Tracts'!$C$2:$Y$374,AI$1,FALSE)*$Z357</f>
        <v>2565.2066327207535</v>
      </c>
      <c r="AJ357" s="3">
        <f>VLOOKUP($AB357,'2000 Seattle Tracts'!$C$2:$Y$374,AJ$1,FALSE)*$Z357</f>
        <v>276.99032987896675</v>
      </c>
      <c r="AK357" s="3">
        <f>VLOOKUP($AB357,'2000 Seattle Tracts'!$C$2:$Y$374,AK$1,FALSE)*$Z357</f>
        <v>31.679245939236665</v>
      </c>
      <c r="AL357" s="3">
        <f>VLOOKUP($AB357,'2000 Seattle Tracts'!$C$2:$Y$374,AL$1,FALSE)*$Z357</f>
        <v>30.054669224404016</v>
      </c>
      <c r="AM357" s="3">
        <f>VLOOKUP($AB357,'2000 Seattle Tracts'!$C$2:$Y$374,AM$1,FALSE)*$Z357</f>
        <v>34.116111011485643</v>
      </c>
      <c r="AN357" s="3">
        <f>VLOOKUP($AB357,'2000 Seattle Tracts'!$C$2:$Y$374,AN$1,FALSE)*$Z357</f>
        <v>11.372037003828547</v>
      </c>
      <c r="AO357" s="3">
        <f>VLOOKUP($AB357,'2000 Seattle Tracts'!$C$2:$Y$374,AO$1,FALSE)*$Z357</f>
        <v>17.058055505742821</v>
      </c>
      <c r="AP357" s="3">
        <f>VLOOKUP($AB357,'2000 Seattle Tracts'!$C$2:$Y$374,AP$1,FALSE)*$Z357</f>
        <v>0</v>
      </c>
      <c r="AQ357" s="3">
        <f>VLOOKUP($AB357,'2000 Seattle Tracts'!$C$2:$Y$374,AQ$1,FALSE)*$Z357</f>
        <v>68.232222022971285</v>
      </c>
      <c r="AR357" s="3">
        <f>VLOOKUP($AB357,'2000 Seattle Tracts'!$C$2:$Y$374,AR$1,FALSE)*$Z357</f>
        <v>120.21867689761606</v>
      </c>
      <c r="AS357" s="3">
        <f>VLOOKUP($AB357,'2000 Seattle Tracts'!$C$2:$Y$374,AS$1,FALSE)*$Z357</f>
        <v>4.0614417870816242</v>
      </c>
      <c r="AT357" s="3">
        <f>VLOOKUP($AB357,'2000 Seattle Tracts'!$C$2:$Y$374,AT$1,FALSE)*$Z357</f>
        <v>0</v>
      </c>
      <c r="AU357" s="3">
        <f>VLOOKUP($AB357,'2000 Seattle Tracts'!$C$2:$Y$374,AU$1,FALSE)*$Z357</f>
        <v>32.491534296652993</v>
      </c>
      <c r="AV357" s="3">
        <f>VLOOKUP($AB357,'2000 Seattle Tracts'!$C$2:$Y$374,AV$1,FALSE)*$Z357</f>
        <v>16.245767148326497</v>
      </c>
      <c r="AW357" s="3">
        <f>VLOOKUP($AB357,'2000 Seattle Tracts'!$C$2:$Y$374,AW$1,FALSE)*$Z357</f>
        <v>54.423319946893763</v>
      </c>
      <c r="AX357" s="3">
        <f>VLOOKUP($AB357,'2000 Seattle Tracts'!$C$2:$Y$374,AX$1,FALSE)*$Z357</f>
        <v>23.556362365073419</v>
      </c>
    </row>
    <row r="358" spans="1:50" x14ac:dyDescent="0.25">
      <c r="A358" t="s">
        <v>2917</v>
      </c>
      <c r="B358" t="s">
        <v>2918</v>
      </c>
      <c r="C358" t="s">
        <v>3143</v>
      </c>
      <c r="D358" t="s">
        <v>2617</v>
      </c>
      <c r="E358" t="s">
        <v>2618</v>
      </c>
      <c r="F358" t="s">
        <v>2619</v>
      </c>
      <c r="G358" t="s">
        <v>2920</v>
      </c>
      <c r="H358" t="s">
        <v>2921</v>
      </c>
      <c r="I358">
        <v>1147621</v>
      </c>
      <c r="J358">
        <v>0</v>
      </c>
      <c r="K358" t="s">
        <v>3144</v>
      </c>
      <c r="L358" t="s">
        <v>3145</v>
      </c>
      <c r="M358">
        <v>101</v>
      </c>
      <c r="N358">
        <v>25522.346000000001</v>
      </c>
      <c r="O358" t="s">
        <v>201</v>
      </c>
      <c r="P358">
        <v>11</v>
      </c>
      <c r="Q358">
        <v>3</v>
      </c>
      <c r="R358">
        <v>23</v>
      </c>
      <c r="S358">
        <v>26039592</v>
      </c>
      <c r="T358">
        <v>103</v>
      </c>
      <c r="U358">
        <v>149</v>
      </c>
      <c r="V358">
        <v>25522.345636876809</v>
      </c>
      <c r="W358">
        <v>26039592.07912118</v>
      </c>
      <c r="X358">
        <v>80.322000000000003</v>
      </c>
      <c r="Y358">
        <f>VLOOKUP(AB358,'2000 Seattle Tracts'!$C$2:$Z$374,24,FALSE)</f>
        <v>1133539.8970000001</v>
      </c>
      <c r="Z358">
        <f t="shared" si="10"/>
        <v>7.0859437954127872E-5</v>
      </c>
      <c r="AA358" t="s">
        <v>205</v>
      </c>
      <c r="AB358" t="str">
        <f t="shared" si="11"/>
        <v>Census Tract 65, King County, Washington</v>
      </c>
      <c r="AC358" s="3">
        <f>VLOOKUP($AB358,'2000 Seattle Tracts'!$C$2:$Y$374,AC$1,FALSE)*$Z358</f>
        <v>0.28662642652444725</v>
      </c>
      <c r="AD358" s="3">
        <f>VLOOKUP($AB358,'2000 Seattle Tracts'!$C$2:$Y$374,AD$1,FALSE)*$Z358</f>
        <v>0.24489021756946594</v>
      </c>
      <c r="AE358" s="3">
        <f>VLOOKUP($AB358,'2000 Seattle Tracts'!$C$2:$Y$374,AE$1,FALSE)*$Z358</f>
        <v>4.173620895498132E-2</v>
      </c>
      <c r="AF358" s="3">
        <f>VLOOKUP($AB358,'2000 Seattle Tracts'!$C$2:$Y$374,AF$1,FALSE)*$Z358</f>
        <v>0.28662642652444725</v>
      </c>
      <c r="AG358" s="3">
        <f>VLOOKUP($AB358,'2000 Seattle Tracts'!$C$2:$Y$374,AG$1,FALSE)*$Z358</f>
        <v>0.24489021756946594</v>
      </c>
      <c r="AH358" s="3">
        <f>VLOOKUP($AB358,'2000 Seattle Tracts'!$C$2:$Y$374,AH$1,FALSE)*$Z358</f>
        <v>4.173620895498132E-2</v>
      </c>
      <c r="AI358" s="3">
        <f>VLOOKUP($AB358,'2000 Seattle Tracts'!$C$2:$Y$374,AI$1,FALSE)*$Z358</f>
        <v>0.22377410505913581</v>
      </c>
      <c r="AJ358" s="3">
        <f>VLOOKUP($AB358,'2000 Seattle Tracts'!$C$2:$Y$374,AJ$1,FALSE)*$Z358</f>
        <v>2.4163068342357603E-2</v>
      </c>
      <c r="AK358" s="3">
        <f>VLOOKUP($AB358,'2000 Seattle Tracts'!$C$2:$Y$374,AK$1,FALSE)*$Z358</f>
        <v>2.7635180802109871E-3</v>
      </c>
      <c r="AL358" s="3">
        <f>VLOOKUP($AB358,'2000 Seattle Tracts'!$C$2:$Y$374,AL$1,FALSE)*$Z358</f>
        <v>2.6217992043027312E-3</v>
      </c>
      <c r="AM358" s="3">
        <f>VLOOKUP($AB358,'2000 Seattle Tracts'!$C$2:$Y$374,AM$1,FALSE)*$Z358</f>
        <v>2.9760963940733704E-3</v>
      </c>
      <c r="AN358" s="3">
        <f>VLOOKUP($AB358,'2000 Seattle Tracts'!$C$2:$Y$374,AN$1,FALSE)*$Z358</f>
        <v>9.9203213135779021E-4</v>
      </c>
      <c r="AO358" s="3">
        <f>VLOOKUP($AB358,'2000 Seattle Tracts'!$C$2:$Y$374,AO$1,FALSE)*$Z358</f>
        <v>1.4880481970366852E-3</v>
      </c>
      <c r="AP358" s="3">
        <f>VLOOKUP($AB358,'2000 Seattle Tracts'!$C$2:$Y$374,AP$1,FALSE)*$Z358</f>
        <v>0</v>
      </c>
      <c r="AQ358" s="3">
        <f>VLOOKUP($AB358,'2000 Seattle Tracts'!$C$2:$Y$374,AQ$1,FALSE)*$Z358</f>
        <v>5.9521927881467408E-3</v>
      </c>
      <c r="AR358" s="3">
        <f>VLOOKUP($AB358,'2000 Seattle Tracts'!$C$2:$Y$374,AR$1,FALSE)*$Z358</f>
        <v>1.0487196817210925E-2</v>
      </c>
      <c r="AS358" s="3">
        <f>VLOOKUP($AB358,'2000 Seattle Tracts'!$C$2:$Y$374,AS$1,FALSE)*$Z358</f>
        <v>3.5429718977063936E-4</v>
      </c>
      <c r="AT358" s="3">
        <f>VLOOKUP($AB358,'2000 Seattle Tracts'!$C$2:$Y$374,AT$1,FALSE)*$Z358</f>
        <v>0</v>
      </c>
      <c r="AU358" s="3">
        <f>VLOOKUP($AB358,'2000 Seattle Tracts'!$C$2:$Y$374,AU$1,FALSE)*$Z358</f>
        <v>2.8343775181651149E-3</v>
      </c>
      <c r="AV358" s="3">
        <f>VLOOKUP($AB358,'2000 Seattle Tracts'!$C$2:$Y$374,AV$1,FALSE)*$Z358</f>
        <v>1.4171887590825574E-3</v>
      </c>
      <c r="AW358" s="3">
        <f>VLOOKUP($AB358,'2000 Seattle Tracts'!$C$2:$Y$374,AW$1,FALSE)*$Z358</f>
        <v>4.7475823429265675E-3</v>
      </c>
      <c r="AX358" s="3">
        <f>VLOOKUP($AB358,'2000 Seattle Tracts'!$C$2:$Y$374,AX$1,FALSE)*$Z358</f>
        <v>2.0549237006697082E-3</v>
      </c>
    </row>
    <row r="359" spans="1:50" x14ac:dyDescent="0.25">
      <c r="A359" t="s">
        <v>2917</v>
      </c>
      <c r="B359" t="s">
        <v>2918</v>
      </c>
      <c r="C359" t="s">
        <v>3194</v>
      </c>
      <c r="D359" t="s">
        <v>2620</v>
      </c>
      <c r="E359" t="s">
        <v>2621</v>
      </c>
      <c r="F359" t="s">
        <v>2622</v>
      </c>
      <c r="G359" t="s">
        <v>2920</v>
      </c>
      <c r="H359" t="s">
        <v>2921</v>
      </c>
      <c r="I359">
        <v>903649</v>
      </c>
      <c r="J359">
        <v>0</v>
      </c>
      <c r="K359" t="s">
        <v>3195</v>
      </c>
      <c r="L359" t="s">
        <v>3196</v>
      </c>
      <c r="M359">
        <v>100</v>
      </c>
      <c r="N359">
        <v>26851.947</v>
      </c>
      <c r="O359" t="s">
        <v>201</v>
      </c>
      <c r="P359">
        <v>11</v>
      </c>
      <c r="Q359">
        <v>3</v>
      </c>
      <c r="R359">
        <v>0</v>
      </c>
      <c r="S359">
        <v>30239240</v>
      </c>
      <c r="T359">
        <v>102</v>
      </c>
      <c r="U359">
        <v>151</v>
      </c>
      <c r="V359">
        <v>26851.9474418256</v>
      </c>
      <c r="W359">
        <v>30239240.52129779</v>
      </c>
      <c r="X359">
        <v>573.82600000000002</v>
      </c>
      <c r="Y359">
        <f>VLOOKUP(AB359,'2000 Seattle Tracts'!$C$2:$Z$374,24,FALSE)</f>
        <v>903650.33100000001</v>
      </c>
      <c r="Z359">
        <f t="shared" si="10"/>
        <v>6.3500889704205734E-4</v>
      </c>
      <c r="AA359" t="s">
        <v>204</v>
      </c>
      <c r="AB359" t="str">
        <f t="shared" si="11"/>
        <v>Census Tract 64, King County, Washington</v>
      </c>
      <c r="AC359" s="3">
        <f>VLOOKUP($AB359,'2000 Seattle Tracts'!$C$2:$Y$374,AC$1,FALSE)*$Z359</f>
        <v>2.0326634794316254</v>
      </c>
      <c r="AD359" s="3">
        <f>VLOOKUP($AB359,'2000 Seattle Tracts'!$C$2:$Y$374,AD$1,FALSE)*$Z359</f>
        <v>1.8288256234811251</v>
      </c>
      <c r="AE359" s="3">
        <f>VLOOKUP($AB359,'2000 Seattle Tracts'!$C$2:$Y$374,AE$1,FALSE)*$Z359</f>
        <v>0.20383785595050041</v>
      </c>
      <c r="AF359" s="3">
        <f>VLOOKUP($AB359,'2000 Seattle Tracts'!$C$2:$Y$374,AF$1,FALSE)*$Z359</f>
        <v>2.0326634794316254</v>
      </c>
      <c r="AG359" s="3">
        <f>VLOOKUP($AB359,'2000 Seattle Tracts'!$C$2:$Y$374,AG$1,FALSE)*$Z359</f>
        <v>1.8288256234811251</v>
      </c>
      <c r="AH359" s="3">
        <f>VLOOKUP($AB359,'2000 Seattle Tracts'!$C$2:$Y$374,AH$1,FALSE)*$Z359</f>
        <v>0.20383785595050041</v>
      </c>
      <c r="AI359" s="3">
        <f>VLOOKUP($AB359,'2000 Seattle Tracts'!$C$2:$Y$374,AI$1,FALSE)*$Z359</f>
        <v>1.5494217087826199</v>
      </c>
      <c r="AJ359" s="3">
        <f>VLOOKUP($AB359,'2000 Seattle Tracts'!$C$2:$Y$374,AJ$1,FALSE)*$Z359</f>
        <v>0.11176156587940209</v>
      </c>
      <c r="AK359" s="3">
        <f>VLOOKUP($AB359,'2000 Seattle Tracts'!$C$2:$Y$374,AK$1,FALSE)*$Z359</f>
        <v>3.175044485210287E-2</v>
      </c>
      <c r="AL359" s="3">
        <f>VLOOKUP($AB359,'2000 Seattle Tracts'!$C$2:$Y$374,AL$1,FALSE)*$Z359</f>
        <v>4.4450622792944015E-3</v>
      </c>
      <c r="AM359" s="3">
        <f>VLOOKUP($AB359,'2000 Seattle Tracts'!$C$2:$Y$374,AM$1,FALSE)*$Z359</f>
        <v>0.12573176161432736</v>
      </c>
      <c r="AN359" s="3">
        <f>VLOOKUP($AB359,'2000 Seattle Tracts'!$C$2:$Y$374,AN$1,FALSE)*$Z359</f>
        <v>1.5240213529009377E-2</v>
      </c>
      <c r="AO359" s="3">
        <f>VLOOKUP($AB359,'2000 Seattle Tracts'!$C$2:$Y$374,AO$1,FALSE)*$Z359</f>
        <v>1.1430160146757032E-2</v>
      </c>
      <c r="AP359" s="3">
        <f>VLOOKUP($AB359,'2000 Seattle Tracts'!$C$2:$Y$374,AP$1,FALSE)*$Z359</f>
        <v>0</v>
      </c>
      <c r="AQ359" s="3">
        <f>VLOOKUP($AB359,'2000 Seattle Tracts'!$C$2:$Y$374,AQ$1,FALSE)*$Z359</f>
        <v>4.1910587204775786E-2</v>
      </c>
      <c r="AR359" s="3">
        <f>VLOOKUP($AB359,'2000 Seattle Tracts'!$C$2:$Y$374,AR$1,FALSE)*$Z359</f>
        <v>6.350088970420574E-2</v>
      </c>
      <c r="AS359" s="3">
        <f>VLOOKUP($AB359,'2000 Seattle Tracts'!$C$2:$Y$374,AS$1,FALSE)*$Z359</f>
        <v>0</v>
      </c>
      <c r="AT359" s="3">
        <f>VLOOKUP($AB359,'2000 Seattle Tracts'!$C$2:$Y$374,AT$1,FALSE)*$Z359</f>
        <v>0</v>
      </c>
      <c r="AU359" s="3">
        <f>VLOOKUP($AB359,'2000 Seattle Tracts'!$C$2:$Y$374,AU$1,FALSE)*$Z359</f>
        <v>5.7150800733785159E-3</v>
      </c>
      <c r="AV359" s="3">
        <f>VLOOKUP($AB359,'2000 Seattle Tracts'!$C$2:$Y$374,AV$1,FALSE)*$Z359</f>
        <v>4.4450622792944015E-3</v>
      </c>
      <c r="AW359" s="3">
        <f>VLOOKUP($AB359,'2000 Seattle Tracts'!$C$2:$Y$374,AW$1,FALSE)*$Z359</f>
        <v>6.2865880807163682E-2</v>
      </c>
      <c r="AX359" s="3">
        <f>VLOOKUP($AB359,'2000 Seattle Tracts'!$C$2:$Y$374,AX$1,FALSE)*$Z359</f>
        <v>4.4450622792944015E-3</v>
      </c>
    </row>
    <row r="360" spans="1:50" x14ac:dyDescent="0.25">
      <c r="A360" t="s">
        <v>2917</v>
      </c>
      <c r="B360" t="s">
        <v>2918</v>
      </c>
      <c r="C360" t="s">
        <v>3194</v>
      </c>
      <c r="D360" t="s">
        <v>2620</v>
      </c>
      <c r="E360" t="s">
        <v>2621</v>
      </c>
      <c r="F360" t="s">
        <v>2622</v>
      </c>
      <c r="G360" t="s">
        <v>2920</v>
      </c>
      <c r="H360" t="s">
        <v>2921</v>
      </c>
      <c r="I360">
        <v>903649</v>
      </c>
      <c r="J360">
        <v>0</v>
      </c>
      <c r="K360" t="s">
        <v>3195</v>
      </c>
      <c r="L360" t="s">
        <v>3196</v>
      </c>
      <c r="M360">
        <v>101</v>
      </c>
      <c r="N360">
        <v>25522.346000000001</v>
      </c>
      <c r="O360" t="s">
        <v>201</v>
      </c>
      <c r="P360">
        <v>11</v>
      </c>
      <c r="Q360">
        <v>3</v>
      </c>
      <c r="R360">
        <v>23</v>
      </c>
      <c r="S360">
        <v>26039592</v>
      </c>
      <c r="T360">
        <v>103</v>
      </c>
      <c r="U360">
        <v>149</v>
      </c>
      <c r="V360">
        <v>25522.345636876809</v>
      </c>
      <c r="W360">
        <v>26039592.07912118</v>
      </c>
      <c r="X360">
        <v>903076.505</v>
      </c>
      <c r="Y360">
        <f>VLOOKUP(AB360,'2000 Seattle Tracts'!$C$2:$Z$374,24,FALSE)</f>
        <v>903650.33100000001</v>
      </c>
      <c r="Z360">
        <f t="shared" si="10"/>
        <v>0.99936499110295796</v>
      </c>
      <c r="AA360" t="s">
        <v>205</v>
      </c>
      <c r="AB360" t="str">
        <f t="shared" si="11"/>
        <v>Census Tract 64, King County, Washington</v>
      </c>
      <c r="AC360" s="3">
        <f>VLOOKUP($AB360,'2000 Seattle Tracts'!$C$2:$Y$374,AC$1,FALSE)*$Z360</f>
        <v>3198.9673365205686</v>
      </c>
      <c r="AD360" s="3">
        <f>VLOOKUP($AB360,'2000 Seattle Tracts'!$C$2:$Y$374,AD$1,FALSE)*$Z360</f>
        <v>2878.171174376519</v>
      </c>
      <c r="AE360" s="3">
        <f>VLOOKUP($AB360,'2000 Seattle Tracts'!$C$2:$Y$374,AE$1,FALSE)*$Z360</f>
        <v>320.7961621440495</v>
      </c>
      <c r="AF360" s="3">
        <f>VLOOKUP($AB360,'2000 Seattle Tracts'!$C$2:$Y$374,AF$1,FALSE)*$Z360</f>
        <v>3198.9673365205686</v>
      </c>
      <c r="AG360" s="3">
        <f>VLOOKUP($AB360,'2000 Seattle Tracts'!$C$2:$Y$374,AG$1,FALSE)*$Z360</f>
        <v>2878.171174376519</v>
      </c>
      <c r="AH360" s="3">
        <f>VLOOKUP($AB360,'2000 Seattle Tracts'!$C$2:$Y$374,AH$1,FALSE)*$Z360</f>
        <v>320.7961621440495</v>
      </c>
      <c r="AI360" s="3">
        <f>VLOOKUP($AB360,'2000 Seattle Tracts'!$C$2:$Y$374,AI$1,FALSE)*$Z360</f>
        <v>2438.4505782912174</v>
      </c>
      <c r="AJ360" s="3">
        <f>VLOOKUP($AB360,'2000 Seattle Tracts'!$C$2:$Y$374,AJ$1,FALSE)*$Z360</f>
        <v>175.88823843412061</v>
      </c>
      <c r="AK360" s="3">
        <f>VLOOKUP($AB360,'2000 Seattle Tracts'!$C$2:$Y$374,AK$1,FALSE)*$Z360</f>
        <v>49.968249555147899</v>
      </c>
      <c r="AL360" s="3">
        <f>VLOOKUP($AB360,'2000 Seattle Tracts'!$C$2:$Y$374,AL$1,FALSE)*$Z360</f>
        <v>6.9955549377207058</v>
      </c>
      <c r="AM360" s="3">
        <f>VLOOKUP($AB360,'2000 Seattle Tracts'!$C$2:$Y$374,AM$1,FALSE)*$Z360</f>
        <v>197.87426823838567</v>
      </c>
      <c r="AN360" s="3">
        <f>VLOOKUP($AB360,'2000 Seattle Tracts'!$C$2:$Y$374,AN$1,FALSE)*$Z360</f>
        <v>23.984759786470992</v>
      </c>
      <c r="AO360" s="3">
        <f>VLOOKUP($AB360,'2000 Seattle Tracts'!$C$2:$Y$374,AO$1,FALSE)*$Z360</f>
        <v>17.988569839853245</v>
      </c>
      <c r="AP360" s="3">
        <f>VLOOKUP($AB360,'2000 Seattle Tracts'!$C$2:$Y$374,AP$1,FALSE)*$Z360</f>
        <v>0</v>
      </c>
      <c r="AQ360" s="3">
        <f>VLOOKUP($AB360,'2000 Seattle Tracts'!$C$2:$Y$374,AQ$1,FALSE)*$Z360</f>
        <v>65.958089412795232</v>
      </c>
      <c r="AR360" s="3">
        <f>VLOOKUP($AB360,'2000 Seattle Tracts'!$C$2:$Y$374,AR$1,FALSE)*$Z360</f>
        <v>99.936499110295799</v>
      </c>
      <c r="AS360" s="3">
        <f>VLOOKUP($AB360,'2000 Seattle Tracts'!$C$2:$Y$374,AS$1,FALSE)*$Z360</f>
        <v>0</v>
      </c>
      <c r="AT360" s="3">
        <f>VLOOKUP($AB360,'2000 Seattle Tracts'!$C$2:$Y$374,AT$1,FALSE)*$Z360</f>
        <v>0</v>
      </c>
      <c r="AU360" s="3">
        <f>VLOOKUP($AB360,'2000 Seattle Tracts'!$C$2:$Y$374,AU$1,FALSE)*$Z360</f>
        <v>8.9942849199266224</v>
      </c>
      <c r="AV360" s="3">
        <f>VLOOKUP($AB360,'2000 Seattle Tracts'!$C$2:$Y$374,AV$1,FALSE)*$Z360</f>
        <v>6.9955549377207058</v>
      </c>
      <c r="AW360" s="3">
        <f>VLOOKUP($AB360,'2000 Seattle Tracts'!$C$2:$Y$374,AW$1,FALSE)*$Z360</f>
        <v>98.937134119192834</v>
      </c>
      <c r="AX360" s="3">
        <f>VLOOKUP($AB360,'2000 Seattle Tracts'!$C$2:$Y$374,AX$1,FALSE)*$Z360</f>
        <v>6.9955549377207058</v>
      </c>
    </row>
    <row r="361" spans="1:50" x14ac:dyDescent="0.25">
      <c r="A361" t="s">
        <v>2917</v>
      </c>
      <c r="B361" t="s">
        <v>2918</v>
      </c>
      <c r="C361" t="s">
        <v>3209</v>
      </c>
      <c r="D361" t="s">
        <v>2623</v>
      </c>
      <c r="E361" t="s">
        <v>2624</v>
      </c>
      <c r="F361" t="s">
        <v>2625</v>
      </c>
      <c r="G361" t="s">
        <v>2920</v>
      </c>
      <c r="H361" t="s">
        <v>2921</v>
      </c>
      <c r="I361">
        <v>2306076</v>
      </c>
      <c r="J361">
        <v>3491020</v>
      </c>
      <c r="K361" t="s">
        <v>3477</v>
      </c>
      <c r="L361" t="s">
        <v>3478</v>
      </c>
      <c r="M361">
        <v>54</v>
      </c>
      <c r="N361">
        <v>17241.273000000001</v>
      </c>
      <c r="O361" t="s">
        <v>149</v>
      </c>
      <c r="P361">
        <v>14</v>
      </c>
      <c r="Q361">
        <v>8</v>
      </c>
      <c r="R361">
        <v>94</v>
      </c>
      <c r="S361">
        <v>13603396</v>
      </c>
      <c r="T361">
        <v>56</v>
      </c>
      <c r="U361">
        <v>153</v>
      </c>
      <c r="V361">
        <v>17241.274319159489</v>
      </c>
      <c r="W361">
        <v>13603395.67284916</v>
      </c>
      <c r="X361">
        <v>446969.49</v>
      </c>
      <c r="Y361">
        <f>VLOOKUP(AB361,'2000 Seattle Tracts'!$C$2:$Z$374,24,FALSE)</f>
        <v>2321807.1039999998</v>
      </c>
      <c r="Z361">
        <f t="shared" si="10"/>
        <v>0.19250931278053321</v>
      </c>
      <c r="AA361" t="s">
        <v>150</v>
      </c>
      <c r="AB361" t="str">
        <f t="shared" si="11"/>
        <v>Census Tract 63, King County, Washington</v>
      </c>
      <c r="AC361" s="3">
        <f>VLOOKUP($AB361,'2000 Seattle Tracts'!$C$2:$Y$374,AC$1,FALSE)*$Z361</f>
        <v>963.70161977934924</v>
      </c>
      <c r="AD361" s="3">
        <f>VLOOKUP($AB361,'2000 Seattle Tracts'!$C$2:$Y$374,AD$1,FALSE)*$Z361</f>
        <v>885.15782016489175</v>
      </c>
      <c r="AE361" s="3">
        <f>VLOOKUP($AB361,'2000 Seattle Tracts'!$C$2:$Y$374,AE$1,FALSE)*$Z361</f>
        <v>78.543799614457555</v>
      </c>
      <c r="AF361" s="3">
        <f>VLOOKUP($AB361,'2000 Seattle Tracts'!$C$2:$Y$374,AF$1,FALSE)*$Z361</f>
        <v>963.70161977934924</v>
      </c>
      <c r="AG361" s="3">
        <f>VLOOKUP($AB361,'2000 Seattle Tracts'!$C$2:$Y$374,AG$1,FALSE)*$Z361</f>
        <v>885.15782016489175</v>
      </c>
      <c r="AH361" s="3">
        <f>VLOOKUP($AB361,'2000 Seattle Tracts'!$C$2:$Y$374,AH$1,FALSE)*$Z361</f>
        <v>78.543799614457555</v>
      </c>
      <c r="AI361" s="3">
        <f>VLOOKUP($AB361,'2000 Seattle Tracts'!$C$2:$Y$374,AI$1,FALSE)*$Z361</f>
        <v>837.6080199081</v>
      </c>
      <c r="AJ361" s="3">
        <f>VLOOKUP($AB361,'2000 Seattle Tracts'!$C$2:$Y$374,AJ$1,FALSE)*$Z361</f>
        <v>66.608222222064484</v>
      </c>
      <c r="AK361" s="3">
        <f>VLOOKUP($AB361,'2000 Seattle Tracts'!$C$2:$Y$374,AK$1,FALSE)*$Z361</f>
        <v>12.513105330734659</v>
      </c>
      <c r="AL361" s="3">
        <f>VLOOKUP($AB361,'2000 Seattle Tracts'!$C$2:$Y$374,AL$1,FALSE)*$Z361</f>
        <v>2.6951303789274648</v>
      </c>
      <c r="AM361" s="3">
        <f>VLOOKUP($AB361,'2000 Seattle Tracts'!$C$2:$Y$374,AM$1,FALSE)*$Z361</f>
        <v>12.898123956295725</v>
      </c>
      <c r="AN361" s="3">
        <f>VLOOKUP($AB361,'2000 Seattle Tracts'!$C$2:$Y$374,AN$1,FALSE)*$Z361</f>
        <v>0</v>
      </c>
      <c r="AO361" s="3">
        <f>VLOOKUP($AB361,'2000 Seattle Tracts'!$C$2:$Y$374,AO$1,FALSE)*$Z361</f>
        <v>2.6951303789274648</v>
      </c>
      <c r="AP361" s="3">
        <f>VLOOKUP($AB361,'2000 Seattle Tracts'!$C$2:$Y$374,AP$1,FALSE)*$Z361</f>
        <v>0</v>
      </c>
      <c r="AQ361" s="3">
        <f>VLOOKUP($AB361,'2000 Seattle Tracts'!$C$2:$Y$374,AQ$1,FALSE)*$Z361</f>
        <v>4.2352048811717307</v>
      </c>
      <c r="AR361" s="3">
        <f>VLOOKUP($AB361,'2000 Seattle Tracts'!$C$2:$Y$374,AR$1,FALSE)*$Z361</f>
        <v>4.2352048811717307</v>
      </c>
      <c r="AS361" s="3">
        <f>VLOOKUP($AB361,'2000 Seattle Tracts'!$C$2:$Y$374,AS$1,FALSE)*$Z361</f>
        <v>0.96254656390266602</v>
      </c>
      <c r="AT361" s="3">
        <f>VLOOKUP($AB361,'2000 Seattle Tracts'!$C$2:$Y$374,AT$1,FALSE)*$Z361</f>
        <v>0</v>
      </c>
      <c r="AU361" s="3">
        <f>VLOOKUP($AB361,'2000 Seattle Tracts'!$C$2:$Y$374,AU$1,FALSE)*$Z361</f>
        <v>1.732583815024799</v>
      </c>
      <c r="AV361" s="3">
        <f>VLOOKUP($AB361,'2000 Seattle Tracts'!$C$2:$Y$374,AV$1,FALSE)*$Z361</f>
        <v>3.6576769428301308</v>
      </c>
      <c r="AW361" s="3">
        <f>VLOOKUP($AB361,'2000 Seattle Tracts'!$C$2:$Y$374,AW$1,FALSE)*$Z361</f>
        <v>12.513105330734659</v>
      </c>
      <c r="AX361" s="3">
        <f>VLOOKUP($AB361,'2000 Seattle Tracts'!$C$2:$Y$374,AX$1,FALSE)*$Z361</f>
        <v>1.3475651894637324</v>
      </c>
    </row>
    <row r="362" spans="1:50" x14ac:dyDescent="0.25">
      <c r="A362" t="s">
        <v>2917</v>
      </c>
      <c r="B362" t="s">
        <v>2918</v>
      </c>
      <c r="C362" t="s">
        <v>3209</v>
      </c>
      <c r="D362" t="s">
        <v>2623</v>
      </c>
      <c r="E362" t="s">
        <v>2624</v>
      </c>
      <c r="F362" t="s">
        <v>2625</v>
      </c>
      <c r="G362" t="s">
        <v>2920</v>
      </c>
      <c r="H362" t="s">
        <v>2921</v>
      </c>
      <c r="I362">
        <v>2306076</v>
      </c>
      <c r="J362">
        <v>3491020</v>
      </c>
      <c r="K362" t="s">
        <v>3477</v>
      </c>
      <c r="L362" t="s">
        <v>3478</v>
      </c>
      <c r="M362">
        <v>98</v>
      </c>
      <c r="N362">
        <v>34138.93</v>
      </c>
      <c r="O362" t="s">
        <v>201</v>
      </c>
      <c r="P362">
        <v>11</v>
      </c>
      <c r="Q362">
        <v>3</v>
      </c>
      <c r="R362">
        <v>9</v>
      </c>
      <c r="S362">
        <v>19763186</v>
      </c>
      <c r="T362">
        <v>100</v>
      </c>
      <c r="U362">
        <v>146</v>
      </c>
      <c r="V362">
        <v>34138.92787921233</v>
      </c>
      <c r="W362">
        <v>19763186.566329598</v>
      </c>
      <c r="X362">
        <v>5502.277</v>
      </c>
      <c r="Y362">
        <f>VLOOKUP(AB362,'2000 Seattle Tracts'!$C$2:$Z$374,24,FALSE)</f>
        <v>2321807.1039999998</v>
      </c>
      <c r="Z362">
        <f t="shared" si="10"/>
        <v>2.3698252066335309E-3</v>
      </c>
      <c r="AA362" t="s">
        <v>202</v>
      </c>
      <c r="AB362" t="str">
        <f t="shared" si="11"/>
        <v>Census Tract 63, King County, Washington</v>
      </c>
      <c r="AC362" s="3">
        <f>VLOOKUP($AB362,'2000 Seattle Tracts'!$C$2:$Y$374,AC$1,FALSE)*$Z362</f>
        <v>11.863344984407457</v>
      </c>
      <c r="AD362" s="3">
        <f>VLOOKUP($AB362,'2000 Seattle Tracts'!$C$2:$Y$374,AD$1,FALSE)*$Z362</f>
        <v>10.896456300100976</v>
      </c>
      <c r="AE362" s="3">
        <f>VLOOKUP($AB362,'2000 Seattle Tracts'!$C$2:$Y$374,AE$1,FALSE)*$Z362</f>
        <v>0.96688868430648056</v>
      </c>
      <c r="AF362" s="3">
        <f>VLOOKUP($AB362,'2000 Seattle Tracts'!$C$2:$Y$374,AF$1,FALSE)*$Z362</f>
        <v>11.863344984407457</v>
      </c>
      <c r="AG362" s="3">
        <f>VLOOKUP($AB362,'2000 Seattle Tracts'!$C$2:$Y$374,AG$1,FALSE)*$Z362</f>
        <v>10.896456300100976</v>
      </c>
      <c r="AH362" s="3">
        <f>VLOOKUP($AB362,'2000 Seattle Tracts'!$C$2:$Y$374,AH$1,FALSE)*$Z362</f>
        <v>0.96688868430648056</v>
      </c>
      <c r="AI362" s="3">
        <f>VLOOKUP($AB362,'2000 Seattle Tracts'!$C$2:$Y$374,AI$1,FALSE)*$Z362</f>
        <v>10.311109474062492</v>
      </c>
      <c r="AJ362" s="3">
        <f>VLOOKUP($AB362,'2000 Seattle Tracts'!$C$2:$Y$374,AJ$1,FALSE)*$Z362</f>
        <v>0.81995952149520168</v>
      </c>
      <c r="AK362" s="3">
        <f>VLOOKUP($AB362,'2000 Seattle Tracts'!$C$2:$Y$374,AK$1,FALSE)*$Z362</f>
        <v>0.15403863843117951</v>
      </c>
      <c r="AL362" s="3">
        <f>VLOOKUP($AB362,'2000 Seattle Tracts'!$C$2:$Y$374,AL$1,FALSE)*$Z362</f>
        <v>3.317755289286943E-2</v>
      </c>
      <c r="AM362" s="3">
        <f>VLOOKUP($AB362,'2000 Seattle Tracts'!$C$2:$Y$374,AM$1,FALSE)*$Z362</f>
        <v>0.15877828884444656</v>
      </c>
      <c r="AN362" s="3">
        <f>VLOOKUP($AB362,'2000 Seattle Tracts'!$C$2:$Y$374,AN$1,FALSE)*$Z362</f>
        <v>0</v>
      </c>
      <c r="AO362" s="3">
        <f>VLOOKUP($AB362,'2000 Seattle Tracts'!$C$2:$Y$374,AO$1,FALSE)*$Z362</f>
        <v>3.317755289286943E-2</v>
      </c>
      <c r="AP362" s="3">
        <f>VLOOKUP($AB362,'2000 Seattle Tracts'!$C$2:$Y$374,AP$1,FALSE)*$Z362</f>
        <v>0</v>
      </c>
      <c r="AQ362" s="3">
        <f>VLOOKUP($AB362,'2000 Seattle Tracts'!$C$2:$Y$374,AQ$1,FALSE)*$Z362</f>
        <v>5.2136154545937681E-2</v>
      </c>
      <c r="AR362" s="3">
        <f>VLOOKUP($AB362,'2000 Seattle Tracts'!$C$2:$Y$374,AR$1,FALSE)*$Z362</f>
        <v>5.2136154545937681E-2</v>
      </c>
      <c r="AS362" s="3">
        <f>VLOOKUP($AB362,'2000 Seattle Tracts'!$C$2:$Y$374,AS$1,FALSE)*$Z362</f>
        <v>1.1849126033167654E-2</v>
      </c>
      <c r="AT362" s="3">
        <f>VLOOKUP($AB362,'2000 Seattle Tracts'!$C$2:$Y$374,AT$1,FALSE)*$Z362</f>
        <v>0</v>
      </c>
      <c r="AU362" s="3">
        <f>VLOOKUP($AB362,'2000 Seattle Tracts'!$C$2:$Y$374,AU$1,FALSE)*$Z362</f>
        <v>2.132842685970178E-2</v>
      </c>
      <c r="AV362" s="3">
        <f>VLOOKUP($AB362,'2000 Seattle Tracts'!$C$2:$Y$374,AV$1,FALSE)*$Z362</f>
        <v>4.5026678926037088E-2</v>
      </c>
      <c r="AW362" s="3">
        <f>VLOOKUP($AB362,'2000 Seattle Tracts'!$C$2:$Y$374,AW$1,FALSE)*$Z362</f>
        <v>0.15403863843117951</v>
      </c>
      <c r="AX362" s="3">
        <f>VLOOKUP($AB362,'2000 Seattle Tracts'!$C$2:$Y$374,AX$1,FALSE)*$Z362</f>
        <v>1.6588776446434715E-2</v>
      </c>
    </row>
    <row r="363" spans="1:50" x14ac:dyDescent="0.25">
      <c r="A363" t="s">
        <v>2917</v>
      </c>
      <c r="B363" t="s">
        <v>2918</v>
      </c>
      <c r="C363" t="s">
        <v>3209</v>
      </c>
      <c r="D363" t="s">
        <v>2623</v>
      </c>
      <c r="E363" t="s">
        <v>2624</v>
      </c>
      <c r="F363" t="s">
        <v>2625</v>
      </c>
      <c r="G363" t="s">
        <v>2920</v>
      </c>
      <c r="H363" t="s">
        <v>2921</v>
      </c>
      <c r="I363">
        <v>2306076</v>
      </c>
      <c r="J363">
        <v>3491020</v>
      </c>
      <c r="K363" t="s">
        <v>3477</v>
      </c>
      <c r="L363" t="s">
        <v>3478</v>
      </c>
      <c r="M363">
        <v>99</v>
      </c>
      <c r="N363">
        <v>26230.434000000001</v>
      </c>
      <c r="O363" t="s">
        <v>201</v>
      </c>
      <c r="P363">
        <v>11</v>
      </c>
      <c r="Q363">
        <v>3</v>
      </c>
      <c r="R363">
        <v>95</v>
      </c>
      <c r="S363">
        <v>24680950</v>
      </c>
      <c r="T363">
        <v>101</v>
      </c>
      <c r="U363">
        <v>147</v>
      </c>
      <c r="V363">
        <v>26230.4347480002</v>
      </c>
      <c r="W363">
        <v>24680950.222277801</v>
      </c>
      <c r="X363">
        <v>1843404.8540000001</v>
      </c>
      <c r="Y363">
        <f>VLOOKUP(AB363,'2000 Seattle Tracts'!$C$2:$Z$374,24,FALSE)</f>
        <v>2321807.1039999998</v>
      </c>
      <c r="Z363">
        <f t="shared" si="10"/>
        <v>0.79395262889160334</v>
      </c>
      <c r="AA363" t="s">
        <v>203</v>
      </c>
      <c r="AB363" t="str">
        <f t="shared" si="11"/>
        <v>Census Tract 63, King County, Washington</v>
      </c>
      <c r="AC363" s="3">
        <f>VLOOKUP($AB363,'2000 Seattle Tracts'!$C$2:$Y$374,AC$1,FALSE)*$Z363</f>
        <v>3974.5268602313663</v>
      </c>
      <c r="AD363" s="3">
        <f>VLOOKUP($AB363,'2000 Seattle Tracts'!$C$2:$Y$374,AD$1,FALSE)*$Z363</f>
        <v>3650.5941876435922</v>
      </c>
      <c r="AE363" s="3">
        <f>VLOOKUP($AB363,'2000 Seattle Tracts'!$C$2:$Y$374,AE$1,FALSE)*$Z363</f>
        <v>323.93267258777416</v>
      </c>
      <c r="AF363" s="3">
        <f>VLOOKUP($AB363,'2000 Seattle Tracts'!$C$2:$Y$374,AF$1,FALSE)*$Z363</f>
        <v>3974.5268602313663</v>
      </c>
      <c r="AG363" s="3">
        <f>VLOOKUP($AB363,'2000 Seattle Tracts'!$C$2:$Y$374,AG$1,FALSE)*$Z363</f>
        <v>3650.5941876435922</v>
      </c>
      <c r="AH363" s="3">
        <f>VLOOKUP($AB363,'2000 Seattle Tracts'!$C$2:$Y$374,AH$1,FALSE)*$Z363</f>
        <v>323.93267258777416</v>
      </c>
      <c r="AI363" s="3">
        <f>VLOOKUP($AB363,'2000 Seattle Tracts'!$C$2:$Y$374,AI$1,FALSE)*$Z363</f>
        <v>3454.4878883073661</v>
      </c>
      <c r="AJ363" s="3">
        <f>VLOOKUP($AB363,'2000 Seattle Tracts'!$C$2:$Y$374,AJ$1,FALSE)*$Z363</f>
        <v>274.70760959649476</v>
      </c>
      <c r="AK363" s="3">
        <f>VLOOKUP($AB363,'2000 Seattle Tracts'!$C$2:$Y$374,AK$1,FALSE)*$Z363</f>
        <v>51.606920877954217</v>
      </c>
      <c r="AL363" s="3">
        <f>VLOOKUP($AB363,'2000 Seattle Tracts'!$C$2:$Y$374,AL$1,FALSE)*$Z363</f>
        <v>11.115336804482446</v>
      </c>
      <c r="AM363" s="3">
        <f>VLOOKUP($AB363,'2000 Seattle Tracts'!$C$2:$Y$374,AM$1,FALSE)*$Z363</f>
        <v>53.194826135737422</v>
      </c>
      <c r="AN363" s="3">
        <f>VLOOKUP($AB363,'2000 Seattle Tracts'!$C$2:$Y$374,AN$1,FALSE)*$Z363</f>
        <v>0</v>
      </c>
      <c r="AO363" s="3">
        <f>VLOOKUP($AB363,'2000 Seattle Tracts'!$C$2:$Y$374,AO$1,FALSE)*$Z363</f>
        <v>11.115336804482446</v>
      </c>
      <c r="AP363" s="3">
        <f>VLOOKUP($AB363,'2000 Seattle Tracts'!$C$2:$Y$374,AP$1,FALSE)*$Z363</f>
        <v>0</v>
      </c>
      <c r="AQ363" s="3">
        <f>VLOOKUP($AB363,'2000 Seattle Tracts'!$C$2:$Y$374,AQ$1,FALSE)*$Z363</f>
        <v>17.466957835615272</v>
      </c>
      <c r="AR363" s="3">
        <f>VLOOKUP($AB363,'2000 Seattle Tracts'!$C$2:$Y$374,AR$1,FALSE)*$Z363</f>
        <v>17.466957835615272</v>
      </c>
      <c r="AS363" s="3">
        <f>VLOOKUP($AB363,'2000 Seattle Tracts'!$C$2:$Y$374,AS$1,FALSE)*$Z363</f>
        <v>3.9697631444580166</v>
      </c>
      <c r="AT363" s="3">
        <f>VLOOKUP($AB363,'2000 Seattle Tracts'!$C$2:$Y$374,AT$1,FALSE)*$Z363</f>
        <v>0</v>
      </c>
      <c r="AU363" s="3">
        <f>VLOOKUP($AB363,'2000 Seattle Tracts'!$C$2:$Y$374,AU$1,FALSE)*$Z363</f>
        <v>7.1455736600244304</v>
      </c>
      <c r="AV363" s="3">
        <f>VLOOKUP($AB363,'2000 Seattle Tracts'!$C$2:$Y$374,AV$1,FALSE)*$Z363</f>
        <v>15.085099948940464</v>
      </c>
      <c r="AW363" s="3">
        <f>VLOOKUP($AB363,'2000 Seattle Tracts'!$C$2:$Y$374,AW$1,FALSE)*$Z363</f>
        <v>51.606920877954217</v>
      </c>
      <c r="AX363" s="3">
        <f>VLOOKUP($AB363,'2000 Seattle Tracts'!$C$2:$Y$374,AX$1,FALSE)*$Z363</f>
        <v>5.557668402241223</v>
      </c>
    </row>
    <row r="364" spans="1:50" x14ac:dyDescent="0.25">
      <c r="A364" t="s">
        <v>2917</v>
      </c>
      <c r="B364" t="s">
        <v>2918</v>
      </c>
      <c r="C364" t="s">
        <v>3209</v>
      </c>
      <c r="D364" t="s">
        <v>2623</v>
      </c>
      <c r="E364" t="s">
        <v>2624</v>
      </c>
      <c r="F364" t="s">
        <v>2625</v>
      </c>
      <c r="G364" t="s">
        <v>2920</v>
      </c>
      <c r="H364" t="s">
        <v>2921</v>
      </c>
      <c r="I364">
        <v>2306076</v>
      </c>
      <c r="J364">
        <v>3491020</v>
      </c>
      <c r="K364" t="s">
        <v>3477</v>
      </c>
      <c r="L364" t="s">
        <v>3478</v>
      </c>
      <c r="M364">
        <v>101</v>
      </c>
      <c r="N364">
        <v>25522.346000000001</v>
      </c>
      <c r="O364" t="s">
        <v>201</v>
      </c>
      <c r="P364">
        <v>11</v>
      </c>
      <c r="Q364">
        <v>3</v>
      </c>
      <c r="R364">
        <v>23</v>
      </c>
      <c r="S364">
        <v>26039592</v>
      </c>
      <c r="T364">
        <v>103</v>
      </c>
      <c r="U364">
        <v>149</v>
      </c>
      <c r="V364">
        <v>25522.345636876809</v>
      </c>
      <c r="W364">
        <v>26039592.07912118</v>
      </c>
      <c r="X364">
        <v>5.7809999999999997</v>
      </c>
      <c r="Y364">
        <f>VLOOKUP(AB364,'2000 Seattle Tracts'!$C$2:$Z$374,24,FALSE)</f>
        <v>2321807.1039999998</v>
      </c>
      <c r="Z364">
        <f t="shared" si="10"/>
        <v>2.4898709242643442E-6</v>
      </c>
      <c r="AA364" t="s">
        <v>205</v>
      </c>
      <c r="AB364" t="str">
        <f t="shared" si="11"/>
        <v>Census Tract 63, King County, Washington</v>
      </c>
      <c r="AC364" s="3">
        <f>VLOOKUP($AB364,'2000 Seattle Tracts'!$C$2:$Y$374,AC$1,FALSE)*$Z364</f>
        <v>1.2464293846867307E-2</v>
      </c>
      <c r="AD364" s="3">
        <f>VLOOKUP($AB364,'2000 Seattle Tracts'!$C$2:$Y$374,AD$1,FALSE)*$Z364</f>
        <v>1.1448426509767455E-2</v>
      </c>
      <c r="AE364" s="3">
        <f>VLOOKUP($AB364,'2000 Seattle Tracts'!$C$2:$Y$374,AE$1,FALSE)*$Z364</f>
        <v>1.0158673370998525E-3</v>
      </c>
      <c r="AF364" s="3">
        <f>VLOOKUP($AB364,'2000 Seattle Tracts'!$C$2:$Y$374,AF$1,FALSE)*$Z364</f>
        <v>1.2464293846867307E-2</v>
      </c>
      <c r="AG364" s="3">
        <f>VLOOKUP($AB364,'2000 Seattle Tracts'!$C$2:$Y$374,AG$1,FALSE)*$Z364</f>
        <v>1.1448426509767455E-2</v>
      </c>
      <c r="AH364" s="3">
        <f>VLOOKUP($AB364,'2000 Seattle Tracts'!$C$2:$Y$374,AH$1,FALSE)*$Z364</f>
        <v>1.0158673370998525E-3</v>
      </c>
      <c r="AI364" s="3">
        <f>VLOOKUP($AB364,'2000 Seattle Tracts'!$C$2:$Y$374,AI$1,FALSE)*$Z364</f>
        <v>1.0833428391474161E-2</v>
      </c>
      <c r="AJ364" s="3">
        <f>VLOOKUP($AB364,'2000 Seattle Tracts'!$C$2:$Y$374,AJ$1,FALSE)*$Z364</f>
        <v>8.6149533979546313E-4</v>
      </c>
      <c r="AK364" s="3">
        <f>VLOOKUP($AB364,'2000 Seattle Tracts'!$C$2:$Y$374,AK$1,FALSE)*$Z364</f>
        <v>1.6184161007718237E-4</v>
      </c>
      <c r="AL364" s="3">
        <f>VLOOKUP($AB364,'2000 Seattle Tracts'!$C$2:$Y$374,AL$1,FALSE)*$Z364</f>
        <v>3.4858192939700821E-5</v>
      </c>
      <c r="AM364" s="3">
        <f>VLOOKUP($AB364,'2000 Seattle Tracts'!$C$2:$Y$374,AM$1,FALSE)*$Z364</f>
        <v>1.6682135192571106E-4</v>
      </c>
      <c r="AN364" s="3">
        <f>VLOOKUP($AB364,'2000 Seattle Tracts'!$C$2:$Y$374,AN$1,FALSE)*$Z364</f>
        <v>0</v>
      </c>
      <c r="AO364" s="3">
        <f>VLOOKUP($AB364,'2000 Seattle Tracts'!$C$2:$Y$374,AO$1,FALSE)*$Z364</f>
        <v>3.4858192939700821E-5</v>
      </c>
      <c r="AP364" s="3">
        <f>VLOOKUP($AB364,'2000 Seattle Tracts'!$C$2:$Y$374,AP$1,FALSE)*$Z364</f>
        <v>0</v>
      </c>
      <c r="AQ364" s="3">
        <f>VLOOKUP($AB364,'2000 Seattle Tracts'!$C$2:$Y$374,AQ$1,FALSE)*$Z364</f>
        <v>5.4777160333815575E-5</v>
      </c>
      <c r="AR364" s="3">
        <f>VLOOKUP($AB364,'2000 Seattle Tracts'!$C$2:$Y$374,AR$1,FALSE)*$Z364</f>
        <v>5.4777160333815575E-5</v>
      </c>
      <c r="AS364" s="3">
        <f>VLOOKUP($AB364,'2000 Seattle Tracts'!$C$2:$Y$374,AS$1,FALSE)*$Z364</f>
        <v>1.244935462132172E-5</v>
      </c>
      <c r="AT364" s="3">
        <f>VLOOKUP($AB364,'2000 Seattle Tracts'!$C$2:$Y$374,AT$1,FALSE)*$Z364</f>
        <v>0</v>
      </c>
      <c r="AU364" s="3">
        <f>VLOOKUP($AB364,'2000 Seattle Tracts'!$C$2:$Y$374,AU$1,FALSE)*$Z364</f>
        <v>2.2408838318379097E-5</v>
      </c>
      <c r="AV364" s="3">
        <f>VLOOKUP($AB364,'2000 Seattle Tracts'!$C$2:$Y$374,AV$1,FALSE)*$Z364</f>
        <v>4.7307547561022538E-5</v>
      </c>
      <c r="AW364" s="3">
        <f>VLOOKUP($AB364,'2000 Seattle Tracts'!$C$2:$Y$374,AW$1,FALSE)*$Z364</f>
        <v>1.6184161007718237E-4</v>
      </c>
      <c r="AX364" s="3">
        <f>VLOOKUP($AB364,'2000 Seattle Tracts'!$C$2:$Y$374,AX$1,FALSE)*$Z364</f>
        <v>1.742909646985041E-5</v>
      </c>
    </row>
    <row r="365" spans="1:50" x14ac:dyDescent="0.25">
      <c r="A365" t="s">
        <v>2917</v>
      </c>
      <c r="B365" t="s">
        <v>2918</v>
      </c>
      <c r="C365" t="s">
        <v>3206</v>
      </c>
      <c r="D365" t="s">
        <v>2626</v>
      </c>
      <c r="E365" t="s">
        <v>2627</v>
      </c>
      <c r="F365" t="s">
        <v>2628</v>
      </c>
      <c r="G365" t="s">
        <v>2920</v>
      </c>
      <c r="H365" t="s">
        <v>2921</v>
      </c>
      <c r="I365">
        <v>2730880</v>
      </c>
      <c r="J365">
        <v>285632</v>
      </c>
      <c r="K365" t="s">
        <v>3207</v>
      </c>
      <c r="L365" t="s">
        <v>3208</v>
      </c>
      <c r="M365">
        <v>19</v>
      </c>
      <c r="N365">
        <v>6965.4180000000006</v>
      </c>
      <c r="P365">
        <v>0</v>
      </c>
      <c r="Q365">
        <v>0</v>
      </c>
      <c r="R365">
        <v>0</v>
      </c>
      <c r="S365">
        <v>1462592.125</v>
      </c>
      <c r="T365">
        <v>21</v>
      </c>
      <c r="U365">
        <v>0</v>
      </c>
      <c r="V365">
        <v>6965.4187025619631</v>
      </c>
      <c r="W365">
        <v>1462592.1162423079</v>
      </c>
      <c r="X365">
        <v>102804.51300000001</v>
      </c>
      <c r="Y365">
        <f>VLOOKUP(AB365,'2000 Seattle Tracts'!$C$2:$Z$374,24,FALSE)</f>
        <v>2527641.2570000002</v>
      </c>
      <c r="Z365">
        <f t="shared" si="10"/>
        <v>4.0672113859233465E-2</v>
      </c>
      <c r="AA365" t="s">
        <v>115</v>
      </c>
      <c r="AB365" t="str">
        <f t="shared" si="11"/>
        <v>Census Tract 62, King County, Washington</v>
      </c>
      <c r="AC365" s="3">
        <f>VLOOKUP($AB365,'2000 Seattle Tracts'!$C$2:$Y$374,AC$1,FALSE)*$Z365</f>
        <v>154.55403266508716</v>
      </c>
      <c r="AD365" s="3">
        <f>VLOOKUP($AB365,'2000 Seattle Tracts'!$C$2:$Y$374,AD$1,FALSE)*$Z365</f>
        <v>137.06502370561677</v>
      </c>
      <c r="AE365" s="3">
        <f>VLOOKUP($AB365,'2000 Seattle Tracts'!$C$2:$Y$374,AE$1,FALSE)*$Z365</f>
        <v>17.489008959470389</v>
      </c>
      <c r="AF365" s="3">
        <f>VLOOKUP($AB365,'2000 Seattle Tracts'!$C$2:$Y$374,AF$1,FALSE)*$Z365</f>
        <v>154.55403266508716</v>
      </c>
      <c r="AG365" s="3">
        <f>VLOOKUP($AB365,'2000 Seattle Tracts'!$C$2:$Y$374,AG$1,FALSE)*$Z365</f>
        <v>137.06502370561677</v>
      </c>
      <c r="AH365" s="3">
        <f>VLOOKUP($AB365,'2000 Seattle Tracts'!$C$2:$Y$374,AH$1,FALSE)*$Z365</f>
        <v>17.489008959470389</v>
      </c>
      <c r="AI365" s="3">
        <f>VLOOKUP($AB365,'2000 Seattle Tracts'!$C$2:$Y$374,AI$1,FALSE)*$Z365</f>
        <v>125.10742223100213</v>
      </c>
      <c r="AJ365" s="3">
        <f>VLOOKUP($AB365,'2000 Seattle Tracts'!$C$2:$Y$374,AJ$1,FALSE)*$Z365</f>
        <v>10.2087005786676</v>
      </c>
      <c r="AK365" s="3">
        <f>VLOOKUP($AB365,'2000 Seattle Tracts'!$C$2:$Y$374,AK$1,FALSE)*$Z365</f>
        <v>1.7895730098062725</v>
      </c>
      <c r="AL365" s="3">
        <f>VLOOKUP($AB365,'2000 Seattle Tracts'!$C$2:$Y$374,AL$1,FALSE)*$Z365</f>
        <v>0.65075382174773544</v>
      </c>
      <c r="AM365" s="3">
        <f>VLOOKUP($AB365,'2000 Seattle Tracts'!$C$2:$Y$374,AM$1,FALSE)*$Z365</f>
        <v>1.5862124405101052</v>
      </c>
      <c r="AN365" s="3">
        <f>VLOOKUP($AB365,'2000 Seattle Tracts'!$C$2:$Y$374,AN$1,FALSE)*$Z365</f>
        <v>0.32537691087386772</v>
      </c>
      <c r="AO365" s="3">
        <f>VLOOKUP($AB365,'2000 Seattle Tracts'!$C$2:$Y$374,AO$1,FALSE)*$Z365</f>
        <v>0.40672113859233466</v>
      </c>
      <c r="AP365" s="3">
        <f>VLOOKUP($AB365,'2000 Seattle Tracts'!$C$2:$Y$374,AP$1,FALSE)*$Z365</f>
        <v>0</v>
      </c>
      <c r="AQ365" s="3">
        <f>VLOOKUP($AB365,'2000 Seattle Tracts'!$C$2:$Y$374,AQ$1,FALSE)*$Z365</f>
        <v>3.9045229304864124</v>
      </c>
      <c r="AR365" s="3">
        <f>VLOOKUP($AB365,'2000 Seattle Tracts'!$C$2:$Y$374,AR$1,FALSE)*$Z365</f>
        <v>5.1246863462634167</v>
      </c>
      <c r="AS365" s="3">
        <f>VLOOKUP($AB365,'2000 Seattle Tracts'!$C$2:$Y$374,AS$1,FALSE)*$Z365</f>
        <v>0</v>
      </c>
      <c r="AT365" s="3">
        <f>VLOOKUP($AB365,'2000 Seattle Tracts'!$C$2:$Y$374,AT$1,FALSE)*$Z365</f>
        <v>0</v>
      </c>
      <c r="AU365" s="3">
        <f>VLOOKUP($AB365,'2000 Seattle Tracts'!$C$2:$Y$374,AU$1,FALSE)*$Z365</f>
        <v>0</v>
      </c>
      <c r="AV365" s="3">
        <f>VLOOKUP($AB365,'2000 Seattle Tracts'!$C$2:$Y$374,AV$1,FALSE)*$Z365</f>
        <v>0.44739325245156814</v>
      </c>
      <c r="AW365" s="3">
        <f>VLOOKUP($AB365,'2000 Seattle Tracts'!$C$2:$Y$374,AW$1,FALSE)*$Z365</f>
        <v>4.2705719552195136</v>
      </c>
      <c r="AX365" s="3">
        <f>VLOOKUP($AB365,'2000 Seattle Tracts'!$C$2:$Y$374,AX$1,FALSE)*$Z365</f>
        <v>0.73209804946620238</v>
      </c>
    </row>
    <row r="366" spans="1:50" x14ac:dyDescent="0.25">
      <c r="A366" t="s">
        <v>2917</v>
      </c>
      <c r="B366" t="s">
        <v>2918</v>
      </c>
      <c r="C366" t="s">
        <v>3206</v>
      </c>
      <c r="D366" t="s">
        <v>2626</v>
      </c>
      <c r="E366" t="s">
        <v>2627</v>
      </c>
      <c r="F366" t="s">
        <v>2628</v>
      </c>
      <c r="G366" t="s">
        <v>2920</v>
      </c>
      <c r="H366" t="s">
        <v>2921</v>
      </c>
      <c r="I366">
        <v>2730880</v>
      </c>
      <c r="J366">
        <v>285632</v>
      </c>
      <c r="K366" t="s">
        <v>3207</v>
      </c>
      <c r="L366" t="s">
        <v>3208</v>
      </c>
      <c r="M366">
        <v>20</v>
      </c>
      <c r="N366">
        <v>2492.09</v>
      </c>
      <c r="P366">
        <v>0</v>
      </c>
      <c r="Q366">
        <v>0</v>
      </c>
      <c r="R366">
        <v>0</v>
      </c>
      <c r="S366">
        <v>180407.391</v>
      </c>
      <c r="T366">
        <v>22</v>
      </c>
      <c r="U366">
        <v>0</v>
      </c>
      <c r="V366">
        <v>2492.0901053322768</v>
      </c>
      <c r="W366">
        <v>180407.3846332895</v>
      </c>
      <c r="X366">
        <v>472.47500000000002</v>
      </c>
      <c r="Y366">
        <f>VLOOKUP(AB366,'2000 Seattle Tracts'!$C$2:$Z$374,24,FALSE)</f>
        <v>2527641.2570000002</v>
      </c>
      <c r="Z366">
        <f t="shared" si="10"/>
        <v>1.8692328220689427E-4</v>
      </c>
      <c r="AA366" t="s">
        <v>115</v>
      </c>
      <c r="AB366" t="str">
        <f t="shared" si="11"/>
        <v>Census Tract 62, King County, Washington</v>
      </c>
      <c r="AC366" s="3">
        <f>VLOOKUP($AB366,'2000 Seattle Tracts'!$C$2:$Y$374,AC$1,FALSE)*$Z366</f>
        <v>0.71030847238619821</v>
      </c>
      <c r="AD366" s="3">
        <f>VLOOKUP($AB366,'2000 Seattle Tracts'!$C$2:$Y$374,AD$1,FALSE)*$Z366</f>
        <v>0.62993146103723374</v>
      </c>
      <c r="AE366" s="3">
        <f>VLOOKUP($AB366,'2000 Seattle Tracts'!$C$2:$Y$374,AE$1,FALSE)*$Z366</f>
        <v>8.0377011348964536E-2</v>
      </c>
      <c r="AF366" s="3">
        <f>VLOOKUP($AB366,'2000 Seattle Tracts'!$C$2:$Y$374,AF$1,FALSE)*$Z366</f>
        <v>0.71030847238619821</v>
      </c>
      <c r="AG366" s="3">
        <f>VLOOKUP($AB366,'2000 Seattle Tracts'!$C$2:$Y$374,AG$1,FALSE)*$Z366</f>
        <v>0.62993146103723374</v>
      </c>
      <c r="AH366" s="3">
        <f>VLOOKUP($AB366,'2000 Seattle Tracts'!$C$2:$Y$374,AH$1,FALSE)*$Z366</f>
        <v>8.0377011348964536E-2</v>
      </c>
      <c r="AI366" s="3">
        <f>VLOOKUP($AB366,'2000 Seattle Tracts'!$C$2:$Y$374,AI$1,FALSE)*$Z366</f>
        <v>0.57497601606840676</v>
      </c>
      <c r="AJ366" s="3">
        <f>VLOOKUP($AB366,'2000 Seattle Tracts'!$C$2:$Y$374,AJ$1,FALSE)*$Z366</f>
        <v>4.6917743833930464E-2</v>
      </c>
      <c r="AK366" s="3">
        <f>VLOOKUP($AB366,'2000 Seattle Tracts'!$C$2:$Y$374,AK$1,FALSE)*$Z366</f>
        <v>8.2246244171033482E-3</v>
      </c>
      <c r="AL366" s="3">
        <f>VLOOKUP($AB366,'2000 Seattle Tracts'!$C$2:$Y$374,AL$1,FALSE)*$Z366</f>
        <v>2.9907725153103084E-3</v>
      </c>
      <c r="AM366" s="3">
        <f>VLOOKUP($AB366,'2000 Seattle Tracts'!$C$2:$Y$374,AM$1,FALSE)*$Z366</f>
        <v>7.2900080060688769E-3</v>
      </c>
      <c r="AN366" s="3">
        <f>VLOOKUP($AB366,'2000 Seattle Tracts'!$C$2:$Y$374,AN$1,FALSE)*$Z366</f>
        <v>1.4953862576551542E-3</v>
      </c>
      <c r="AO366" s="3">
        <f>VLOOKUP($AB366,'2000 Seattle Tracts'!$C$2:$Y$374,AO$1,FALSE)*$Z366</f>
        <v>1.8692328220689426E-3</v>
      </c>
      <c r="AP366" s="3">
        <f>VLOOKUP($AB366,'2000 Seattle Tracts'!$C$2:$Y$374,AP$1,FALSE)*$Z366</f>
        <v>0</v>
      </c>
      <c r="AQ366" s="3">
        <f>VLOOKUP($AB366,'2000 Seattle Tracts'!$C$2:$Y$374,AQ$1,FALSE)*$Z366</f>
        <v>1.7944635091861852E-2</v>
      </c>
      <c r="AR366" s="3">
        <f>VLOOKUP($AB366,'2000 Seattle Tracts'!$C$2:$Y$374,AR$1,FALSE)*$Z366</f>
        <v>2.355233355806868E-2</v>
      </c>
      <c r="AS366" s="3">
        <f>VLOOKUP($AB366,'2000 Seattle Tracts'!$C$2:$Y$374,AS$1,FALSE)*$Z366</f>
        <v>0</v>
      </c>
      <c r="AT366" s="3">
        <f>VLOOKUP($AB366,'2000 Seattle Tracts'!$C$2:$Y$374,AT$1,FALSE)*$Z366</f>
        <v>0</v>
      </c>
      <c r="AU366" s="3">
        <f>VLOOKUP($AB366,'2000 Seattle Tracts'!$C$2:$Y$374,AU$1,FALSE)*$Z366</f>
        <v>0</v>
      </c>
      <c r="AV366" s="3">
        <f>VLOOKUP($AB366,'2000 Seattle Tracts'!$C$2:$Y$374,AV$1,FALSE)*$Z366</f>
        <v>2.0561561042758371E-3</v>
      </c>
      <c r="AW366" s="3">
        <f>VLOOKUP($AB366,'2000 Seattle Tracts'!$C$2:$Y$374,AW$1,FALSE)*$Z366</f>
        <v>1.9626944631723899E-2</v>
      </c>
      <c r="AX366" s="3">
        <f>VLOOKUP($AB366,'2000 Seattle Tracts'!$C$2:$Y$374,AX$1,FALSE)*$Z366</f>
        <v>3.3646190797240968E-3</v>
      </c>
    </row>
    <row r="367" spans="1:50" x14ac:dyDescent="0.25">
      <c r="A367" t="s">
        <v>2917</v>
      </c>
      <c r="B367" t="s">
        <v>2918</v>
      </c>
      <c r="C367" t="s">
        <v>3206</v>
      </c>
      <c r="D367" t="s">
        <v>2626</v>
      </c>
      <c r="E367" t="s">
        <v>2627</v>
      </c>
      <c r="F367" t="s">
        <v>2628</v>
      </c>
      <c r="G367" t="s">
        <v>2920</v>
      </c>
      <c r="H367" t="s">
        <v>2921</v>
      </c>
      <c r="I367">
        <v>2730880</v>
      </c>
      <c r="J367">
        <v>285632</v>
      </c>
      <c r="K367" t="s">
        <v>3207</v>
      </c>
      <c r="L367" t="s">
        <v>3208</v>
      </c>
      <c r="M367">
        <v>22</v>
      </c>
      <c r="N367">
        <v>567.65</v>
      </c>
      <c r="P367">
        <v>0</v>
      </c>
      <c r="Q367">
        <v>0</v>
      </c>
      <c r="R367">
        <v>0</v>
      </c>
      <c r="S367">
        <v>14182.403</v>
      </c>
      <c r="T367">
        <v>24</v>
      </c>
      <c r="U367">
        <v>0</v>
      </c>
      <c r="V367">
        <v>567.64995519397837</v>
      </c>
      <c r="W367">
        <v>14182.40744683626</v>
      </c>
      <c r="X367">
        <v>1292.019</v>
      </c>
      <c r="Y367">
        <f>VLOOKUP(AB367,'2000 Seattle Tracts'!$C$2:$Z$374,24,FALSE)</f>
        <v>2527641.2570000002</v>
      </c>
      <c r="Z367">
        <f t="shared" si="10"/>
        <v>5.1115600223010599E-4</v>
      </c>
      <c r="AA367" t="s">
        <v>115</v>
      </c>
      <c r="AB367" t="str">
        <f t="shared" si="11"/>
        <v>Census Tract 62, King County, Washington</v>
      </c>
      <c r="AC367" s="3">
        <f>VLOOKUP($AB367,'2000 Seattle Tracts'!$C$2:$Y$374,AC$1,FALSE)*$Z367</f>
        <v>1.9423928084744027</v>
      </c>
      <c r="AD367" s="3">
        <f>VLOOKUP($AB367,'2000 Seattle Tracts'!$C$2:$Y$374,AD$1,FALSE)*$Z367</f>
        <v>1.7225957275154571</v>
      </c>
      <c r="AE367" s="3">
        <f>VLOOKUP($AB367,'2000 Seattle Tracts'!$C$2:$Y$374,AE$1,FALSE)*$Z367</f>
        <v>0.21979708095894557</v>
      </c>
      <c r="AF367" s="3">
        <f>VLOOKUP($AB367,'2000 Seattle Tracts'!$C$2:$Y$374,AF$1,FALSE)*$Z367</f>
        <v>1.9423928084744027</v>
      </c>
      <c r="AG367" s="3">
        <f>VLOOKUP($AB367,'2000 Seattle Tracts'!$C$2:$Y$374,AG$1,FALSE)*$Z367</f>
        <v>1.7225957275154571</v>
      </c>
      <c r="AH367" s="3">
        <f>VLOOKUP($AB367,'2000 Seattle Tracts'!$C$2:$Y$374,AH$1,FALSE)*$Z367</f>
        <v>0.21979708095894557</v>
      </c>
      <c r="AI367" s="3">
        <f>VLOOKUP($AB367,'2000 Seattle Tracts'!$C$2:$Y$374,AI$1,FALSE)*$Z367</f>
        <v>1.572315862859806</v>
      </c>
      <c r="AJ367" s="3">
        <f>VLOOKUP($AB367,'2000 Seattle Tracts'!$C$2:$Y$374,AJ$1,FALSE)*$Z367</f>
        <v>0.1283001565597566</v>
      </c>
      <c r="AK367" s="3">
        <f>VLOOKUP($AB367,'2000 Seattle Tracts'!$C$2:$Y$374,AK$1,FALSE)*$Z367</f>
        <v>2.2490864098124664E-2</v>
      </c>
      <c r="AL367" s="3">
        <f>VLOOKUP($AB367,'2000 Seattle Tracts'!$C$2:$Y$374,AL$1,FALSE)*$Z367</f>
        <v>8.1784960356816958E-3</v>
      </c>
      <c r="AM367" s="3">
        <f>VLOOKUP($AB367,'2000 Seattle Tracts'!$C$2:$Y$374,AM$1,FALSE)*$Z367</f>
        <v>1.9935084086974135E-2</v>
      </c>
      <c r="AN367" s="3">
        <f>VLOOKUP($AB367,'2000 Seattle Tracts'!$C$2:$Y$374,AN$1,FALSE)*$Z367</f>
        <v>4.0892480178408479E-3</v>
      </c>
      <c r="AO367" s="3">
        <f>VLOOKUP($AB367,'2000 Seattle Tracts'!$C$2:$Y$374,AO$1,FALSE)*$Z367</f>
        <v>5.1115600223010597E-3</v>
      </c>
      <c r="AP367" s="3">
        <f>VLOOKUP($AB367,'2000 Seattle Tracts'!$C$2:$Y$374,AP$1,FALSE)*$Z367</f>
        <v>0</v>
      </c>
      <c r="AQ367" s="3">
        <f>VLOOKUP($AB367,'2000 Seattle Tracts'!$C$2:$Y$374,AQ$1,FALSE)*$Z367</f>
        <v>4.9070976214090178E-2</v>
      </c>
      <c r="AR367" s="3">
        <f>VLOOKUP($AB367,'2000 Seattle Tracts'!$C$2:$Y$374,AR$1,FALSE)*$Z367</f>
        <v>6.4405656280993359E-2</v>
      </c>
      <c r="AS367" s="3">
        <f>VLOOKUP($AB367,'2000 Seattle Tracts'!$C$2:$Y$374,AS$1,FALSE)*$Z367</f>
        <v>0</v>
      </c>
      <c r="AT367" s="3">
        <f>VLOOKUP($AB367,'2000 Seattle Tracts'!$C$2:$Y$374,AT$1,FALSE)*$Z367</f>
        <v>0</v>
      </c>
      <c r="AU367" s="3">
        <f>VLOOKUP($AB367,'2000 Seattle Tracts'!$C$2:$Y$374,AU$1,FALSE)*$Z367</f>
        <v>0</v>
      </c>
      <c r="AV367" s="3">
        <f>VLOOKUP($AB367,'2000 Seattle Tracts'!$C$2:$Y$374,AV$1,FALSE)*$Z367</f>
        <v>5.622716024531166E-3</v>
      </c>
      <c r="AW367" s="3">
        <f>VLOOKUP($AB367,'2000 Seattle Tracts'!$C$2:$Y$374,AW$1,FALSE)*$Z367</f>
        <v>5.3671380234161126E-2</v>
      </c>
      <c r="AX367" s="3">
        <f>VLOOKUP($AB367,'2000 Seattle Tracts'!$C$2:$Y$374,AX$1,FALSE)*$Z367</f>
        <v>9.2008080401419085E-3</v>
      </c>
    </row>
    <row r="368" spans="1:50" x14ac:dyDescent="0.25">
      <c r="A368" t="s">
        <v>2917</v>
      </c>
      <c r="B368" t="s">
        <v>2918</v>
      </c>
      <c r="C368" t="s">
        <v>3206</v>
      </c>
      <c r="D368" t="s">
        <v>2626</v>
      </c>
      <c r="E368" t="s">
        <v>2627</v>
      </c>
      <c r="F368" t="s">
        <v>2628</v>
      </c>
      <c r="G368" t="s">
        <v>2920</v>
      </c>
      <c r="H368" t="s">
        <v>2921</v>
      </c>
      <c r="I368">
        <v>2730880</v>
      </c>
      <c r="J368">
        <v>285632</v>
      </c>
      <c r="K368" t="s">
        <v>3207</v>
      </c>
      <c r="L368" t="s">
        <v>3208</v>
      </c>
      <c r="M368">
        <v>23</v>
      </c>
      <c r="N368">
        <v>577.78700000000003</v>
      </c>
      <c r="P368">
        <v>0</v>
      </c>
      <c r="Q368">
        <v>0</v>
      </c>
      <c r="R368">
        <v>0</v>
      </c>
      <c r="S368">
        <v>18946.48</v>
      </c>
      <c r="T368">
        <v>25</v>
      </c>
      <c r="U368">
        <v>0</v>
      </c>
      <c r="V368">
        <v>577.78680810751928</v>
      </c>
      <c r="W368">
        <v>18946.48120583799</v>
      </c>
      <c r="X368">
        <v>375.45600000000002</v>
      </c>
      <c r="Y368">
        <f>VLOOKUP(AB368,'2000 Seattle Tracts'!$C$2:$Z$374,24,FALSE)</f>
        <v>2527641.2570000002</v>
      </c>
      <c r="Z368">
        <f t="shared" si="10"/>
        <v>1.4854006634059305E-4</v>
      </c>
      <c r="AA368" t="s">
        <v>115</v>
      </c>
      <c r="AB368" t="str">
        <f t="shared" si="11"/>
        <v>Census Tract 62, King County, Washington</v>
      </c>
      <c r="AC368" s="3">
        <f>VLOOKUP($AB368,'2000 Seattle Tracts'!$C$2:$Y$374,AC$1,FALSE)*$Z368</f>
        <v>0.56445225209425354</v>
      </c>
      <c r="AD368" s="3">
        <f>VLOOKUP($AB368,'2000 Seattle Tracts'!$C$2:$Y$374,AD$1,FALSE)*$Z368</f>
        <v>0.50058002356779863</v>
      </c>
      <c r="AE368" s="3">
        <f>VLOOKUP($AB368,'2000 Seattle Tracts'!$C$2:$Y$374,AE$1,FALSE)*$Z368</f>
        <v>6.3872228526455008E-2</v>
      </c>
      <c r="AF368" s="3">
        <f>VLOOKUP($AB368,'2000 Seattle Tracts'!$C$2:$Y$374,AF$1,FALSE)*$Z368</f>
        <v>0.56445225209425354</v>
      </c>
      <c r="AG368" s="3">
        <f>VLOOKUP($AB368,'2000 Seattle Tracts'!$C$2:$Y$374,AG$1,FALSE)*$Z368</f>
        <v>0.50058002356779863</v>
      </c>
      <c r="AH368" s="3">
        <f>VLOOKUP($AB368,'2000 Seattle Tracts'!$C$2:$Y$374,AH$1,FALSE)*$Z368</f>
        <v>6.3872228526455008E-2</v>
      </c>
      <c r="AI368" s="3">
        <f>VLOOKUP($AB368,'2000 Seattle Tracts'!$C$2:$Y$374,AI$1,FALSE)*$Z368</f>
        <v>0.45690924406366423</v>
      </c>
      <c r="AJ368" s="3">
        <f>VLOOKUP($AB368,'2000 Seattle Tracts'!$C$2:$Y$374,AJ$1,FALSE)*$Z368</f>
        <v>3.7283556651488858E-2</v>
      </c>
      <c r="AK368" s="3">
        <f>VLOOKUP($AB368,'2000 Seattle Tracts'!$C$2:$Y$374,AK$1,FALSE)*$Z368</f>
        <v>6.5357629189860943E-3</v>
      </c>
      <c r="AL368" s="3">
        <f>VLOOKUP($AB368,'2000 Seattle Tracts'!$C$2:$Y$374,AL$1,FALSE)*$Z368</f>
        <v>2.3766410614494888E-3</v>
      </c>
      <c r="AM368" s="3">
        <f>VLOOKUP($AB368,'2000 Seattle Tracts'!$C$2:$Y$374,AM$1,FALSE)*$Z368</f>
        <v>5.7930625872831291E-3</v>
      </c>
      <c r="AN368" s="3">
        <f>VLOOKUP($AB368,'2000 Seattle Tracts'!$C$2:$Y$374,AN$1,FALSE)*$Z368</f>
        <v>1.1883205307247444E-3</v>
      </c>
      <c r="AO368" s="3">
        <f>VLOOKUP($AB368,'2000 Seattle Tracts'!$C$2:$Y$374,AO$1,FALSE)*$Z368</f>
        <v>1.4854006634059305E-3</v>
      </c>
      <c r="AP368" s="3">
        <f>VLOOKUP($AB368,'2000 Seattle Tracts'!$C$2:$Y$374,AP$1,FALSE)*$Z368</f>
        <v>0</v>
      </c>
      <c r="AQ368" s="3">
        <f>VLOOKUP($AB368,'2000 Seattle Tracts'!$C$2:$Y$374,AQ$1,FALSE)*$Z368</f>
        <v>1.4259846368696934E-2</v>
      </c>
      <c r="AR368" s="3">
        <f>VLOOKUP($AB368,'2000 Seattle Tracts'!$C$2:$Y$374,AR$1,FALSE)*$Z368</f>
        <v>1.8716048358914723E-2</v>
      </c>
      <c r="AS368" s="3">
        <f>VLOOKUP($AB368,'2000 Seattle Tracts'!$C$2:$Y$374,AS$1,FALSE)*$Z368</f>
        <v>0</v>
      </c>
      <c r="AT368" s="3">
        <f>VLOOKUP($AB368,'2000 Seattle Tracts'!$C$2:$Y$374,AT$1,FALSE)*$Z368</f>
        <v>0</v>
      </c>
      <c r="AU368" s="3">
        <f>VLOOKUP($AB368,'2000 Seattle Tracts'!$C$2:$Y$374,AU$1,FALSE)*$Z368</f>
        <v>0</v>
      </c>
      <c r="AV368" s="3">
        <f>VLOOKUP($AB368,'2000 Seattle Tracts'!$C$2:$Y$374,AV$1,FALSE)*$Z368</f>
        <v>1.6339407297465236E-3</v>
      </c>
      <c r="AW368" s="3">
        <f>VLOOKUP($AB368,'2000 Seattle Tracts'!$C$2:$Y$374,AW$1,FALSE)*$Z368</f>
        <v>1.5596706965762271E-2</v>
      </c>
      <c r="AX368" s="3">
        <f>VLOOKUP($AB368,'2000 Seattle Tracts'!$C$2:$Y$374,AX$1,FALSE)*$Z368</f>
        <v>2.6737211941306751E-3</v>
      </c>
    </row>
    <row r="369" spans="1:50" x14ac:dyDescent="0.25">
      <c r="A369" t="s">
        <v>2917</v>
      </c>
      <c r="B369" t="s">
        <v>2918</v>
      </c>
      <c r="C369" t="s">
        <v>3206</v>
      </c>
      <c r="D369" t="s">
        <v>2626</v>
      </c>
      <c r="E369" t="s">
        <v>2627</v>
      </c>
      <c r="F369" t="s">
        <v>2628</v>
      </c>
      <c r="G369" t="s">
        <v>2920</v>
      </c>
      <c r="H369" t="s">
        <v>2921</v>
      </c>
      <c r="I369">
        <v>2730880</v>
      </c>
      <c r="J369">
        <v>285632</v>
      </c>
      <c r="K369" t="s">
        <v>3207</v>
      </c>
      <c r="L369" t="s">
        <v>3208</v>
      </c>
      <c r="M369">
        <v>24</v>
      </c>
      <c r="N369">
        <v>403.76</v>
      </c>
      <c r="P369">
        <v>0</v>
      </c>
      <c r="Q369">
        <v>0</v>
      </c>
      <c r="R369">
        <v>0</v>
      </c>
      <c r="S369">
        <v>9928.9670000000006</v>
      </c>
      <c r="T369">
        <v>26</v>
      </c>
      <c r="U369">
        <v>0</v>
      </c>
      <c r="V369">
        <v>403.7598553478249</v>
      </c>
      <c r="W369">
        <v>9928.9605542622412</v>
      </c>
      <c r="X369">
        <v>922.48</v>
      </c>
      <c r="Y369">
        <f>VLOOKUP(AB369,'2000 Seattle Tracts'!$C$2:$Z$374,24,FALSE)</f>
        <v>2527641.2570000002</v>
      </c>
      <c r="Z369">
        <f t="shared" si="10"/>
        <v>3.6495685352709844E-4</v>
      </c>
      <c r="AA369" t="s">
        <v>115</v>
      </c>
      <c r="AB369" t="str">
        <f t="shared" si="11"/>
        <v>Census Tract 62, King County, Washington</v>
      </c>
      <c r="AC369" s="3">
        <f>VLOOKUP($AB369,'2000 Seattle Tracts'!$C$2:$Y$374,AC$1,FALSE)*$Z369</f>
        <v>1.3868360434029741</v>
      </c>
      <c r="AD369" s="3">
        <f>VLOOKUP($AB369,'2000 Seattle Tracts'!$C$2:$Y$374,AD$1,FALSE)*$Z369</f>
        <v>1.2299045963863218</v>
      </c>
      <c r="AE369" s="3">
        <f>VLOOKUP($AB369,'2000 Seattle Tracts'!$C$2:$Y$374,AE$1,FALSE)*$Z369</f>
        <v>0.15693144701665232</v>
      </c>
      <c r="AF369" s="3">
        <f>VLOOKUP($AB369,'2000 Seattle Tracts'!$C$2:$Y$374,AF$1,FALSE)*$Z369</f>
        <v>1.3868360434029741</v>
      </c>
      <c r="AG369" s="3">
        <f>VLOOKUP($AB369,'2000 Seattle Tracts'!$C$2:$Y$374,AG$1,FALSE)*$Z369</f>
        <v>1.2299045963863218</v>
      </c>
      <c r="AH369" s="3">
        <f>VLOOKUP($AB369,'2000 Seattle Tracts'!$C$2:$Y$374,AH$1,FALSE)*$Z369</f>
        <v>0.15693144701665232</v>
      </c>
      <c r="AI369" s="3">
        <f>VLOOKUP($AB369,'2000 Seattle Tracts'!$C$2:$Y$374,AI$1,FALSE)*$Z369</f>
        <v>1.1226072814493548</v>
      </c>
      <c r="AJ369" s="3">
        <f>VLOOKUP($AB369,'2000 Seattle Tracts'!$C$2:$Y$374,AJ$1,FALSE)*$Z369</f>
        <v>9.1604170235301707E-2</v>
      </c>
      <c r="AK369" s="3">
        <f>VLOOKUP($AB369,'2000 Seattle Tracts'!$C$2:$Y$374,AK$1,FALSE)*$Z369</f>
        <v>1.6058101555192331E-2</v>
      </c>
      <c r="AL369" s="3">
        <f>VLOOKUP($AB369,'2000 Seattle Tracts'!$C$2:$Y$374,AL$1,FALSE)*$Z369</f>
        <v>5.839309656433575E-3</v>
      </c>
      <c r="AM369" s="3">
        <f>VLOOKUP($AB369,'2000 Seattle Tracts'!$C$2:$Y$374,AM$1,FALSE)*$Z369</f>
        <v>1.4233317287556838E-2</v>
      </c>
      <c r="AN369" s="3">
        <f>VLOOKUP($AB369,'2000 Seattle Tracts'!$C$2:$Y$374,AN$1,FALSE)*$Z369</f>
        <v>2.9196548282167875E-3</v>
      </c>
      <c r="AO369" s="3">
        <f>VLOOKUP($AB369,'2000 Seattle Tracts'!$C$2:$Y$374,AO$1,FALSE)*$Z369</f>
        <v>3.6495685352709844E-3</v>
      </c>
      <c r="AP369" s="3">
        <f>VLOOKUP($AB369,'2000 Seattle Tracts'!$C$2:$Y$374,AP$1,FALSE)*$Z369</f>
        <v>0</v>
      </c>
      <c r="AQ369" s="3">
        <f>VLOOKUP($AB369,'2000 Seattle Tracts'!$C$2:$Y$374,AQ$1,FALSE)*$Z369</f>
        <v>3.503585793860145E-2</v>
      </c>
      <c r="AR369" s="3">
        <f>VLOOKUP($AB369,'2000 Seattle Tracts'!$C$2:$Y$374,AR$1,FALSE)*$Z369</f>
        <v>4.5984563544414402E-2</v>
      </c>
      <c r="AS369" s="3">
        <f>VLOOKUP($AB369,'2000 Seattle Tracts'!$C$2:$Y$374,AS$1,FALSE)*$Z369</f>
        <v>0</v>
      </c>
      <c r="AT369" s="3">
        <f>VLOOKUP($AB369,'2000 Seattle Tracts'!$C$2:$Y$374,AT$1,FALSE)*$Z369</f>
        <v>0</v>
      </c>
      <c r="AU369" s="3">
        <f>VLOOKUP($AB369,'2000 Seattle Tracts'!$C$2:$Y$374,AU$1,FALSE)*$Z369</f>
        <v>0</v>
      </c>
      <c r="AV369" s="3">
        <f>VLOOKUP($AB369,'2000 Seattle Tracts'!$C$2:$Y$374,AV$1,FALSE)*$Z369</f>
        <v>4.0145253887980828E-3</v>
      </c>
      <c r="AW369" s="3">
        <f>VLOOKUP($AB369,'2000 Seattle Tracts'!$C$2:$Y$374,AW$1,FALSE)*$Z369</f>
        <v>3.8320469620345333E-2</v>
      </c>
      <c r="AX369" s="3">
        <f>VLOOKUP($AB369,'2000 Seattle Tracts'!$C$2:$Y$374,AX$1,FALSE)*$Z369</f>
        <v>6.5692233634877719E-3</v>
      </c>
    </row>
    <row r="370" spans="1:50" x14ac:dyDescent="0.25">
      <c r="A370" t="s">
        <v>2917</v>
      </c>
      <c r="B370" t="s">
        <v>2918</v>
      </c>
      <c r="C370" t="s">
        <v>3206</v>
      </c>
      <c r="D370" t="s">
        <v>2626</v>
      </c>
      <c r="E370" t="s">
        <v>2627</v>
      </c>
      <c r="F370" t="s">
        <v>2628</v>
      </c>
      <c r="G370" t="s">
        <v>2920</v>
      </c>
      <c r="H370" t="s">
        <v>2921</v>
      </c>
      <c r="I370">
        <v>2730880</v>
      </c>
      <c r="J370">
        <v>285632</v>
      </c>
      <c r="K370" t="s">
        <v>3207</v>
      </c>
      <c r="L370" t="s">
        <v>3208</v>
      </c>
      <c r="M370">
        <v>54</v>
      </c>
      <c r="N370">
        <v>17241.273000000001</v>
      </c>
      <c r="O370" t="s">
        <v>149</v>
      </c>
      <c r="P370">
        <v>14</v>
      </c>
      <c r="Q370">
        <v>8</v>
      </c>
      <c r="R370">
        <v>94</v>
      </c>
      <c r="S370">
        <v>13603396</v>
      </c>
      <c r="T370">
        <v>56</v>
      </c>
      <c r="U370">
        <v>153</v>
      </c>
      <c r="V370">
        <v>17241.274319159489</v>
      </c>
      <c r="W370">
        <v>13603395.67284916</v>
      </c>
      <c r="X370">
        <v>125.947</v>
      </c>
      <c r="Y370">
        <f>VLOOKUP(AB370,'2000 Seattle Tracts'!$C$2:$Z$374,24,FALSE)</f>
        <v>2527641.2570000002</v>
      </c>
      <c r="Z370">
        <f t="shared" si="10"/>
        <v>4.9827877928169137E-5</v>
      </c>
      <c r="AA370" t="s">
        <v>150</v>
      </c>
      <c r="AB370" t="str">
        <f t="shared" si="11"/>
        <v>Census Tract 62, King County, Washington</v>
      </c>
      <c r="AC370" s="3">
        <f>VLOOKUP($AB370,'2000 Seattle Tracts'!$C$2:$Y$374,AC$1,FALSE)*$Z370</f>
        <v>0.18934593612704273</v>
      </c>
      <c r="AD370" s="3">
        <f>VLOOKUP($AB370,'2000 Seattle Tracts'!$C$2:$Y$374,AD$1,FALSE)*$Z370</f>
        <v>0.16791994861793</v>
      </c>
      <c r="AE370" s="3">
        <f>VLOOKUP($AB370,'2000 Seattle Tracts'!$C$2:$Y$374,AE$1,FALSE)*$Z370</f>
        <v>2.1425987509112728E-2</v>
      </c>
      <c r="AF370" s="3">
        <f>VLOOKUP($AB370,'2000 Seattle Tracts'!$C$2:$Y$374,AF$1,FALSE)*$Z370</f>
        <v>0.18934593612704273</v>
      </c>
      <c r="AG370" s="3">
        <f>VLOOKUP($AB370,'2000 Seattle Tracts'!$C$2:$Y$374,AG$1,FALSE)*$Z370</f>
        <v>0.16791994861793</v>
      </c>
      <c r="AH370" s="3">
        <f>VLOOKUP($AB370,'2000 Seattle Tracts'!$C$2:$Y$374,AH$1,FALSE)*$Z370</f>
        <v>2.1425987509112728E-2</v>
      </c>
      <c r="AI370" s="3">
        <f>VLOOKUP($AB370,'2000 Seattle Tracts'!$C$2:$Y$374,AI$1,FALSE)*$Z370</f>
        <v>0.15327055250704827</v>
      </c>
      <c r="AJ370" s="3">
        <f>VLOOKUP($AB370,'2000 Seattle Tracts'!$C$2:$Y$374,AJ$1,FALSE)*$Z370</f>
        <v>1.2506797359970453E-2</v>
      </c>
      <c r="AK370" s="3">
        <f>VLOOKUP($AB370,'2000 Seattle Tracts'!$C$2:$Y$374,AK$1,FALSE)*$Z370</f>
        <v>2.1924266288394422E-3</v>
      </c>
      <c r="AL370" s="3">
        <f>VLOOKUP($AB370,'2000 Seattle Tracts'!$C$2:$Y$374,AL$1,FALSE)*$Z370</f>
        <v>7.9724604685070619E-4</v>
      </c>
      <c r="AM370" s="3">
        <f>VLOOKUP($AB370,'2000 Seattle Tracts'!$C$2:$Y$374,AM$1,FALSE)*$Z370</f>
        <v>1.9432872391985964E-3</v>
      </c>
      <c r="AN370" s="3">
        <f>VLOOKUP($AB370,'2000 Seattle Tracts'!$C$2:$Y$374,AN$1,FALSE)*$Z370</f>
        <v>3.986230234253531E-4</v>
      </c>
      <c r="AO370" s="3">
        <f>VLOOKUP($AB370,'2000 Seattle Tracts'!$C$2:$Y$374,AO$1,FALSE)*$Z370</f>
        <v>4.9827877928169137E-4</v>
      </c>
      <c r="AP370" s="3">
        <f>VLOOKUP($AB370,'2000 Seattle Tracts'!$C$2:$Y$374,AP$1,FALSE)*$Z370</f>
        <v>0</v>
      </c>
      <c r="AQ370" s="3">
        <f>VLOOKUP($AB370,'2000 Seattle Tracts'!$C$2:$Y$374,AQ$1,FALSE)*$Z370</f>
        <v>4.7834762811042372E-3</v>
      </c>
      <c r="AR370" s="3">
        <f>VLOOKUP($AB370,'2000 Seattle Tracts'!$C$2:$Y$374,AR$1,FALSE)*$Z370</f>
        <v>6.2783126189493114E-3</v>
      </c>
      <c r="AS370" s="3">
        <f>VLOOKUP($AB370,'2000 Seattle Tracts'!$C$2:$Y$374,AS$1,FALSE)*$Z370</f>
        <v>0</v>
      </c>
      <c r="AT370" s="3">
        <f>VLOOKUP($AB370,'2000 Seattle Tracts'!$C$2:$Y$374,AT$1,FALSE)*$Z370</f>
        <v>0</v>
      </c>
      <c r="AU370" s="3">
        <f>VLOOKUP($AB370,'2000 Seattle Tracts'!$C$2:$Y$374,AU$1,FALSE)*$Z370</f>
        <v>0</v>
      </c>
      <c r="AV370" s="3">
        <f>VLOOKUP($AB370,'2000 Seattle Tracts'!$C$2:$Y$374,AV$1,FALSE)*$Z370</f>
        <v>5.4810665720986056E-4</v>
      </c>
      <c r="AW370" s="3">
        <f>VLOOKUP($AB370,'2000 Seattle Tracts'!$C$2:$Y$374,AW$1,FALSE)*$Z370</f>
        <v>5.2319271824577598E-3</v>
      </c>
      <c r="AX370" s="3">
        <f>VLOOKUP($AB370,'2000 Seattle Tracts'!$C$2:$Y$374,AX$1,FALSE)*$Z370</f>
        <v>8.9690180270704447E-4</v>
      </c>
    </row>
    <row r="371" spans="1:50" x14ac:dyDescent="0.25">
      <c r="A371" t="s">
        <v>2917</v>
      </c>
      <c r="B371" t="s">
        <v>2918</v>
      </c>
      <c r="C371" t="s">
        <v>3206</v>
      </c>
      <c r="D371" t="s">
        <v>2626</v>
      </c>
      <c r="E371" t="s">
        <v>2627</v>
      </c>
      <c r="F371" t="s">
        <v>2628</v>
      </c>
      <c r="G371" t="s">
        <v>2920</v>
      </c>
      <c r="H371" t="s">
        <v>2921</v>
      </c>
      <c r="I371">
        <v>2730880</v>
      </c>
      <c r="J371">
        <v>285632</v>
      </c>
      <c r="K371" t="s">
        <v>3207</v>
      </c>
      <c r="L371" t="s">
        <v>3208</v>
      </c>
      <c r="M371">
        <v>98</v>
      </c>
      <c r="N371">
        <v>34138.93</v>
      </c>
      <c r="O371" t="s">
        <v>201</v>
      </c>
      <c r="P371">
        <v>11</v>
      </c>
      <c r="Q371">
        <v>3</v>
      </c>
      <c r="R371">
        <v>9</v>
      </c>
      <c r="S371">
        <v>19763186</v>
      </c>
      <c r="T371">
        <v>100</v>
      </c>
      <c r="U371">
        <v>146</v>
      </c>
      <c r="V371">
        <v>34138.92787921233</v>
      </c>
      <c r="W371">
        <v>19763186.566329598</v>
      </c>
      <c r="X371">
        <v>1369327.3049999999</v>
      </c>
      <c r="Y371">
        <f>VLOOKUP(AB371,'2000 Seattle Tracts'!$C$2:$Z$374,24,FALSE)</f>
        <v>2527641.2570000002</v>
      </c>
      <c r="Z371">
        <f t="shared" si="10"/>
        <v>0.54174115935471923</v>
      </c>
      <c r="AA371" t="s">
        <v>202</v>
      </c>
      <c r="AB371" t="str">
        <f t="shared" si="11"/>
        <v>Census Tract 62, King County, Washington</v>
      </c>
      <c r="AC371" s="3">
        <f>VLOOKUP($AB371,'2000 Seattle Tracts'!$C$2:$Y$374,AC$1,FALSE)*$Z371</f>
        <v>2058.616405547933</v>
      </c>
      <c r="AD371" s="3">
        <f>VLOOKUP($AB371,'2000 Seattle Tracts'!$C$2:$Y$374,AD$1,FALSE)*$Z371</f>
        <v>1825.6677070254038</v>
      </c>
      <c r="AE371" s="3">
        <f>VLOOKUP($AB371,'2000 Seattle Tracts'!$C$2:$Y$374,AE$1,FALSE)*$Z371</f>
        <v>232.94869852252927</v>
      </c>
      <c r="AF371" s="3">
        <f>VLOOKUP($AB371,'2000 Seattle Tracts'!$C$2:$Y$374,AF$1,FALSE)*$Z371</f>
        <v>2058.616405547933</v>
      </c>
      <c r="AG371" s="3">
        <f>VLOOKUP($AB371,'2000 Seattle Tracts'!$C$2:$Y$374,AG$1,FALSE)*$Z371</f>
        <v>1825.6677070254038</v>
      </c>
      <c r="AH371" s="3">
        <f>VLOOKUP($AB371,'2000 Seattle Tracts'!$C$2:$Y$374,AH$1,FALSE)*$Z371</f>
        <v>232.94869852252927</v>
      </c>
      <c r="AI371" s="3">
        <f>VLOOKUP($AB371,'2000 Seattle Tracts'!$C$2:$Y$374,AI$1,FALSE)*$Z371</f>
        <v>1666.3958061751164</v>
      </c>
      <c r="AJ371" s="3">
        <f>VLOOKUP($AB371,'2000 Seattle Tracts'!$C$2:$Y$374,AJ$1,FALSE)*$Z371</f>
        <v>135.97703099803454</v>
      </c>
      <c r="AK371" s="3">
        <f>VLOOKUP($AB371,'2000 Seattle Tracts'!$C$2:$Y$374,AK$1,FALSE)*$Z371</f>
        <v>23.836611011607644</v>
      </c>
      <c r="AL371" s="3">
        <f>VLOOKUP($AB371,'2000 Seattle Tracts'!$C$2:$Y$374,AL$1,FALSE)*$Z371</f>
        <v>8.6678585496755076</v>
      </c>
      <c r="AM371" s="3">
        <f>VLOOKUP($AB371,'2000 Seattle Tracts'!$C$2:$Y$374,AM$1,FALSE)*$Z371</f>
        <v>21.127905214834051</v>
      </c>
      <c r="AN371" s="3">
        <f>VLOOKUP($AB371,'2000 Seattle Tracts'!$C$2:$Y$374,AN$1,FALSE)*$Z371</f>
        <v>4.3339292748377538</v>
      </c>
      <c r="AO371" s="3">
        <f>VLOOKUP($AB371,'2000 Seattle Tracts'!$C$2:$Y$374,AO$1,FALSE)*$Z371</f>
        <v>5.4174115935471923</v>
      </c>
      <c r="AP371" s="3">
        <f>VLOOKUP($AB371,'2000 Seattle Tracts'!$C$2:$Y$374,AP$1,FALSE)*$Z371</f>
        <v>0</v>
      </c>
      <c r="AQ371" s="3">
        <f>VLOOKUP($AB371,'2000 Seattle Tracts'!$C$2:$Y$374,AQ$1,FALSE)*$Z371</f>
        <v>52.007151298053046</v>
      </c>
      <c r="AR371" s="3">
        <f>VLOOKUP($AB371,'2000 Seattle Tracts'!$C$2:$Y$374,AR$1,FALSE)*$Z371</f>
        <v>68.259386078694618</v>
      </c>
      <c r="AS371" s="3">
        <f>VLOOKUP($AB371,'2000 Seattle Tracts'!$C$2:$Y$374,AS$1,FALSE)*$Z371</f>
        <v>0</v>
      </c>
      <c r="AT371" s="3">
        <f>VLOOKUP($AB371,'2000 Seattle Tracts'!$C$2:$Y$374,AT$1,FALSE)*$Z371</f>
        <v>0</v>
      </c>
      <c r="AU371" s="3">
        <f>VLOOKUP($AB371,'2000 Seattle Tracts'!$C$2:$Y$374,AU$1,FALSE)*$Z371</f>
        <v>0</v>
      </c>
      <c r="AV371" s="3">
        <f>VLOOKUP($AB371,'2000 Seattle Tracts'!$C$2:$Y$374,AV$1,FALSE)*$Z371</f>
        <v>5.959152752901911</v>
      </c>
      <c r="AW371" s="3">
        <f>VLOOKUP($AB371,'2000 Seattle Tracts'!$C$2:$Y$374,AW$1,FALSE)*$Z371</f>
        <v>56.882821732245517</v>
      </c>
      <c r="AX371" s="3">
        <f>VLOOKUP($AB371,'2000 Seattle Tracts'!$C$2:$Y$374,AX$1,FALSE)*$Z371</f>
        <v>9.751340868384947</v>
      </c>
    </row>
    <row r="372" spans="1:50" x14ac:dyDescent="0.25">
      <c r="A372" t="s">
        <v>2917</v>
      </c>
      <c r="B372" t="s">
        <v>2918</v>
      </c>
      <c r="C372" t="s">
        <v>3206</v>
      </c>
      <c r="D372" t="s">
        <v>2626</v>
      </c>
      <c r="E372" t="s">
        <v>2627</v>
      </c>
      <c r="F372" t="s">
        <v>2628</v>
      </c>
      <c r="G372" t="s">
        <v>2920</v>
      </c>
      <c r="H372" t="s">
        <v>2921</v>
      </c>
      <c r="I372">
        <v>2730880</v>
      </c>
      <c r="J372">
        <v>285632</v>
      </c>
      <c r="K372" t="s">
        <v>3207</v>
      </c>
      <c r="L372" t="s">
        <v>3208</v>
      </c>
      <c r="M372">
        <v>99</v>
      </c>
      <c r="N372">
        <v>26230.434000000001</v>
      </c>
      <c r="O372" t="s">
        <v>201</v>
      </c>
      <c r="P372">
        <v>11</v>
      </c>
      <c r="Q372">
        <v>3</v>
      </c>
      <c r="R372">
        <v>95</v>
      </c>
      <c r="S372">
        <v>24680950</v>
      </c>
      <c r="T372">
        <v>101</v>
      </c>
      <c r="U372">
        <v>147</v>
      </c>
      <c r="V372">
        <v>26230.4347480002</v>
      </c>
      <c r="W372">
        <v>24680950.222277801</v>
      </c>
      <c r="X372">
        <v>401340.7</v>
      </c>
      <c r="Y372">
        <f>VLOOKUP(AB372,'2000 Seattle Tracts'!$C$2:$Z$374,24,FALSE)</f>
        <v>2527641.2570000002</v>
      </c>
      <c r="Z372">
        <f t="shared" si="10"/>
        <v>0.15878072051899569</v>
      </c>
      <c r="AA372" t="s">
        <v>203</v>
      </c>
      <c r="AB372" t="str">
        <f t="shared" si="11"/>
        <v>Census Tract 62, King County, Washington</v>
      </c>
      <c r="AC372" s="3">
        <f>VLOOKUP($AB372,'2000 Seattle Tracts'!$C$2:$Y$374,AC$1,FALSE)*$Z372</f>
        <v>603.36673797218361</v>
      </c>
      <c r="AD372" s="3">
        <f>VLOOKUP($AB372,'2000 Seattle Tracts'!$C$2:$Y$374,AD$1,FALSE)*$Z372</f>
        <v>535.09102814901553</v>
      </c>
      <c r="AE372" s="3">
        <f>VLOOKUP($AB372,'2000 Seattle Tracts'!$C$2:$Y$374,AE$1,FALSE)*$Z372</f>
        <v>68.275709823168143</v>
      </c>
      <c r="AF372" s="3">
        <f>VLOOKUP($AB372,'2000 Seattle Tracts'!$C$2:$Y$374,AF$1,FALSE)*$Z372</f>
        <v>603.36673797218361</v>
      </c>
      <c r="AG372" s="3">
        <f>VLOOKUP($AB372,'2000 Seattle Tracts'!$C$2:$Y$374,AG$1,FALSE)*$Z372</f>
        <v>535.09102814901553</v>
      </c>
      <c r="AH372" s="3">
        <f>VLOOKUP($AB372,'2000 Seattle Tracts'!$C$2:$Y$374,AH$1,FALSE)*$Z372</f>
        <v>68.275709823168143</v>
      </c>
      <c r="AI372" s="3">
        <f>VLOOKUP($AB372,'2000 Seattle Tracts'!$C$2:$Y$374,AI$1,FALSE)*$Z372</f>
        <v>488.40949631643076</v>
      </c>
      <c r="AJ372" s="3">
        <f>VLOOKUP($AB372,'2000 Seattle Tracts'!$C$2:$Y$374,AJ$1,FALSE)*$Z372</f>
        <v>39.853960850267917</v>
      </c>
      <c r="AK372" s="3">
        <f>VLOOKUP($AB372,'2000 Seattle Tracts'!$C$2:$Y$374,AK$1,FALSE)*$Z372</f>
        <v>6.9863517028358109</v>
      </c>
      <c r="AL372" s="3">
        <f>VLOOKUP($AB372,'2000 Seattle Tracts'!$C$2:$Y$374,AL$1,FALSE)*$Z372</f>
        <v>2.5404915283039311</v>
      </c>
      <c r="AM372" s="3">
        <f>VLOOKUP($AB372,'2000 Seattle Tracts'!$C$2:$Y$374,AM$1,FALSE)*$Z372</f>
        <v>6.1924481002408323</v>
      </c>
      <c r="AN372" s="3">
        <f>VLOOKUP($AB372,'2000 Seattle Tracts'!$C$2:$Y$374,AN$1,FALSE)*$Z372</f>
        <v>1.2702457641519656</v>
      </c>
      <c r="AO372" s="3">
        <f>VLOOKUP($AB372,'2000 Seattle Tracts'!$C$2:$Y$374,AO$1,FALSE)*$Z372</f>
        <v>1.587807205189957</v>
      </c>
      <c r="AP372" s="3">
        <f>VLOOKUP($AB372,'2000 Seattle Tracts'!$C$2:$Y$374,AP$1,FALSE)*$Z372</f>
        <v>0</v>
      </c>
      <c r="AQ372" s="3">
        <f>VLOOKUP($AB372,'2000 Seattle Tracts'!$C$2:$Y$374,AQ$1,FALSE)*$Z372</f>
        <v>15.242949169823586</v>
      </c>
      <c r="AR372" s="3">
        <f>VLOOKUP($AB372,'2000 Seattle Tracts'!$C$2:$Y$374,AR$1,FALSE)*$Z372</f>
        <v>20.006370785393457</v>
      </c>
      <c r="AS372" s="3">
        <f>VLOOKUP($AB372,'2000 Seattle Tracts'!$C$2:$Y$374,AS$1,FALSE)*$Z372</f>
        <v>0</v>
      </c>
      <c r="AT372" s="3">
        <f>VLOOKUP($AB372,'2000 Seattle Tracts'!$C$2:$Y$374,AT$1,FALSE)*$Z372</f>
        <v>0</v>
      </c>
      <c r="AU372" s="3">
        <f>VLOOKUP($AB372,'2000 Seattle Tracts'!$C$2:$Y$374,AU$1,FALSE)*$Z372</f>
        <v>0</v>
      </c>
      <c r="AV372" s="3">
        <f>VLOOKUP($AB372,'2000 Seattle Tracts'!$C$2:$Y$374,AV$1,FALSE)*$Z372</f>
        <v>1.7465879257089527</v>
      </c>
      <c r="AW372" s="3">
        <f>VLOOKUP($AB372,'2000 Seattle Tracts'!$C$2:$Y$374,AW$1,FALSE)*$Z372</f>
        <v>16.671975654494549</v>
      </c>
      <c r="AX372" s="3">
        <f>VLOOKUP($AB372,'2000 Seattle Tracts'!$C$2:$Y$374,AX$1,FALSE)*$Z372</f>
        <v>2.8580529693419225</v>
      </c>
    </row>
    <row r="373" spans="1:50" x14ac:dyDescent="0.25">
      <c r="A373" t="s">
        <v>2917</v>
      </c>
      <c r="B373" t="s">
        <v>2918</v>
      </c>
      <c r="C373" t="s">
        <v>3206</v>
      </c>
      <c r="D373" t="s">
        <v>2626</v>
      </c>
      <c r="E373" t="s">
        <v>2627</v>
      </c>
      <c r="F373" t="s">
        <v>2628</v>
      </c>
      <c r="G373" t="s">
        <v>2920</v>
      </c>
      <c r="H373" t="s">
        <v>2921</v>
      </c>
      <c r="I373">
        <v>2730880</v>
      </c>
      <c r="J373">
        <v>285632</v>
      </c>
      <c r="K373" t="s">
        <v>3207</v>
      </c>
      <c r="L373" t="s">
        <v>3208</v>
      </c>
      <c r="M373">
        <v>100</v>
      </c>
      <c r="N373">
        <v>26851.947</v>
      </c>
      <c r="O373" t="s">
        <v>201</v>
      </c>
      <c r="P373">
        <v>11</v>
      </c>
      <c r="Q373">
        <v>3</v>
      </c>
      <c r="R373">
        <v>0</v>
      </c>
      <c r="S373">
        <v>30239240</v>
      </c>
      <c r="T373">
        <v>102</v>
      </c>
      <c r="U373">
        <v>151</v>
      </c>
      <c r="V373">
        <v>26851.9474418256</v>
      </c>
      <c r="W373">
        <v>30239240.52129779</v>
      </c>
      <c r="X373">
        <v>146.32400000000001</v>
      </c>
      <c r="Y373">
        <f>VLOOKUP(AB373,'2000 Seattle Tracts'!$C$2:$Z$374,24,FALSE)</f>
        <v>2527641.2570000002</v>
      </c>
      <c r="Z373">
        <f t="shared" si="10"/>
        <v>5.788954409363797E-5</v>
      </c>
      <c r="AA373" t="s">
        <v>204</v>
      </c>
      <c r="AB373" t="str">
        <f t="shared" si="11"/>
        <v>Census Tract 62, King County, Washington</v>
      </c>
      <c r="AC373" s="3">
        <f>VLOOKUP($AB373,'2000 Seattle Tracts'!$C$2:$Y$374,AC$1,FALSE)*$Z373</f>
        <v>0.21998026755582428</v>
      </c>
      <c r="AD373" s="3">
        <f>VLOOKUP($AB373,'2000 Seattle Tracts'!$C$2:$Y$374,AD$1,FALSE)*$Z373</f>
        <v>0.19508776359555996</v>
      </c>
      <c r="AE373" s="3">
        <f>VLOOKUP($AB373,'2000 Seattle Tracts'!$C$2:$Y$374,AE$1,FALSE)*$Z373</f>
        <v>2.4892503960264326E-2</v>
      </c>
      <c r="AF373" s="3">
        <f>VLOOKUP($AB373,'2000 Seattle Tracts'!$C$2:$Y$374,AF$1,FALSE)*$Z373</f>
        <v>0.21998026755582428</v>
      </c>
      <c r="AG373" s="3">
        <f>VLOOKUP($AB373,'2000 Seattle Tracts'!$C$2:$Y$374,AG$1,FALSE)*$Z373</f>
        <v>0.19508776359555996</v>
      </c>
      <c r="AH373" s="3">
        <f>VLOOKUP($AB373,'2000 Seattle Tracts'!$C$2:$Y$374,AH$1,FALSE)*$Z373</f>
        <v>2.4892503960264326E-2</v>
      </c>
      <c r="AI373" s="3">
        <f>VLOOKUP($AB373,'2000 Seattle Tracts'!$C$2:$Y$374,AI$1,FALSE)*$Z373</f>
        <v>0.17806823763203039</v>
      </c>
      <c r="AJ373" s="3">
        <f>VLOOKUP($AB373,'2000 Seattle Tracts'!$C$2:$Y$374,AJ$1,FALSE)*$Z373</f>
        <v>1.453027556750313E-2</v>
      </c>
      <c r="AK373" s="3">
        <f>VLOOKUP($AB373,'2000 Seattle Tracts'!$C$2:$Y$374,AK$1,FALSE)*$Z373</f>
        <v>2.5471399401200707E-3</v>
      </c>
      <c r="AL373" s="3">
        <f>VLOOKUP($AB373,'2000 Seattle Tracts'!$C$2:$Y$374,AL$1,FALSE)*$Z373</f>
        <v>9.2623270549820752E-4</v>
      </c>
      <c r="AM373" s="3">
        <f>VLOOKUP($AB373,'2000 Seattle Tracts'!$C$2:$Y$374,AM$1,FALSE)*$Z373</f>
        <v>2.2576922196518808E-3</v>
      </c>
      <c r="AN373" s="3">
        <f>VLOOKUP($AB373,'2000 Seattle Tracts'!$C$2:$Y$374,AN$1,FALSE)*$Z373</f>
        <v>4.6311635274910376E-4</v>
      </c>
      <c r="AO373" s="3">
        <f>VLOOKUP($AB373,'2000 Seattle Tracts'!$C$2:$Y$374,AO$1,FALSE)*$Z373</f>
        <v>5.788954409363797E-4</v>
      </c>
      <c r="AP373" s="3">
        <f>VLOOKUP($AB373,'2000 Seattle Tracts'!$C$2:$Y$374,AP$1,FALSE)*$Z373</f>
        <v>0</v>
      </c>
      <c r="AQ373" s="3">
        <f>VLOOKUP($AB373,'2000 Seattle Tracts'!$C$2:$Y$374,AQ$1,FALSE)*$Z373</f>
        <v>5.5573962329892451E-3</v>
      </c>
      <c r="AR373" s="3">
        <f>VLOOKUP($AB373,'2000 Seattle Tracts'!$C$2:$Y$374,AR$1,FALSE)*$Z373</f>
        <v>7.2940825557983842E-3</v>
      </c>
      <c r="AS373" s="3">
        <f>VLOOKUP($AB373,'2000 Seattle Tracts'!$C$2:$Y$374,AS$1,FALSE)*$Z373</f>
        <v>0</v>
      </c>
      <c r="AT373" s="3">
        <f>VLOOKUP($AB373,'2000 Seattle Tracts'!$C$2:$Y$374,AT$1,FALSE)*$Z373</f>
        <v>0</v>
      </c>
      <c r="AU373" s="3">
        <f>VLOOKUP($AB373,'2000 Seattle Tracts'!$C$2:$Y$374,AU$1,FALSE)*$Z373</f>
        <v>0</v>
      </c>
      <c r="AV373" s="3">
        <f>VLOOKUP($AB373,'2000 Seattle Tracts'!$C$2:$Y$374,AV$1,FALSE)*$Z373</f>
        <v>6.3678498503001767E-4</v>
      </c>
      <c r="AW373" s="3">
        <f>VLOOKUP($AB373,'2000 Seattle Tracts'!$C$2:$Y$374,AW$1,FALSE)*$Z373</f>
        <v>6.0784021298319873E-3</v>
      </c>
      <c r="AX373" s="3">
        <f>VLOOKUP($AB373,'2000 Seattle Tracts'!$C$2:$Y$374,AX$1,FALSE)*$Z373</f>
        <v>1.0420117936854835E-3</v>
      </c>
    </row>
    <row r="374" spans="1:50" x14ac:dyDescent="0.25">
      <c r="A374" t="s">
        <v>2917</v>
      </c>
      <c r="B374" t="s">
        <v>2918</v>
      </c>
      <c r="C374" t="s">
        <v>3206</v>
      </c>
      <c r="D374" t="s">
        <v>2626</v>
      </c>
      <c r="E374" t="s">
        <v>2627</v>
      </c>
      <c r="F374" t="s">
        <v>2628</v>
      </c>
      <c r="G374" t="s">
        <v>2920</v>
      </c>
      <c r="H374" t="s">
        <v>2921</v>
      </c>
      <c r="I374">
        <v>2730880</v>
      </c>
      <c r="J374">
        <v>285632</v>
      </c>
      <c r="K374" t="s">
        <v>3207</v>
      </c>
      <c r="L374" t="s">
        <v>3208</v>
      </c>
      <c r="M374">
        <v>101</v>
      </c>
      <c r="N374">
        <v>25522.346000000001</v>
      </c>
      <c r="O374" t="s">
        <v>201</v>
      </c>
      <c r="P374">
        <v>11</v>
      </c>
      <c r="Q374">
        <v>3</v>
      </c>
      <c r="R374">
        <v>23</v>
      </c>
      <c r="S374">
        <v>26039592</v>
      </c>
      <c r="T374">
        <v>103</v>
      </c>
      <c r="U374">
        <v>149</v>
      </c>
      <c r="V374">
        <v>25522.345636876809</v>
      </c>
      <c r="W374">
        <v>26039592.07912118</v>
      </c>
      <c r="X374">
        <v>576829.58400000003</v>
      </c>
      <c r="Y374">
        <f>VLOOKUP(AB374,'2000 Seattle Tracts'!$C$2:$Z$374,24,FALSE)</f>
        <v>2527641.2570000002</v>
      </c>
      <c r="Z374">
        <f t="shared" si="10"/>
        <v>0.22820864408766056</v>
      </c>
      <c r="AA374" t="s">
        <v>205</v>
      </c>
      <c r="AB374" t="str">
        <f t="shared" si="11"/>
        <v>Census Tract 62, King County, Washington</v>
      </c>
      <c r="AC374" s="3">
        <f>VLOOKUP($AB374,'2000 Seattle Tracts'!$C$2:$Y$374,AC$1,FALSE)*$Z374</f>
        <v>867.19284753311013</v>
      </c>
      <c r="AD374" s="3">
        <f>VLOOKUP($AB374,'2000 Seattle Tracts'!$C$2:$Y$374,AD$1,FALSE)*$Z374</f>
        <v>769.06313057541604</v>
      </c>
      <c r="AE374" s="3">
        <f>VLOOKUP($AB374,'2000 Seattle Tracts'!$C$2:$Y$374,AE$1,FALSE)*$Z374</f>
        <v>98.129716957694043</v>
      </c>
      <c r="AF374" s="3">
        <f>VLOOKUP($AB374,'2000 Seattle Tracts'!$C$2:$Y$374,AF$1,FALSE)*$Z374</f>
        <v>867.19284753311013</v>
      </c>
      <c r="AG374" s="3">
        <f>VLOOKUP($AB374,'2000 Seattle Tracts'!$C$2:$Y$374,AG$1,FALSE)*$Z374</f>
        <v>769.06313057541604</v>
      </c>
      <c r="AH374" s="3">
        <f>VLOOKUP($AB374,'2000 Seattle Tracts'!$C$2:$Y$374,AH$1,FALSE)*$Z374</f>
        <v>98.129716957694043</v>
      </c>
      <c r="AI374" s="3">
        <f>VLOOKUP($AB374,'2000 Seattle Tracts'!$C$2:$Y$374,AI$1,FALSE)*$Z374</f>
        <v>701.96978921364393</v>
      </c>
      <c r="AJ374" s="3">
        <f>VLOOKUP($AB374,'2000 Seattle Tracts'!$C$2:$Y$374,AJ$1,FALSE)*$Z374</f>
        <v>57.280369666002798</v>
      </c>
      <c r="AK374" s="3">
        <f>VLOOKUP($AB374,'2000 Seattle Tracts'!$C$2:$Y$374,AK$1,FALSE)*$Z374</f>
        <v>10.041180339857064</v>
      </c>
      <c r="AL374" s="3">
        <f>VLOOKUP($AB374,'2000 Seattle Tracts'!$C$2:$Y$374,AL$1,FALSE)*$Z374</f>
        <v>3.651338305402569</v>
      </c>
      <c r="AM374" s="3">
        <f>VLOOKUP($AB374,'2000 Seattle Tracts'!$C$2:$Y$374,AM$1,FALSE)*$Z374</f>
        <v>8.900137119418762</v>
      </c>
      <c r="AN374" s="3">
        <f>VLOOKUP($AB374,'2000 Seattle Tracts'!$C$2:$Y$374,AN$1,FALSE)*$Z374</f>
        <v>1.8256691527012845</v>
      </c>
      <c r="AO374" s="3">
        <f>VLOOKUP($AB374,'2000 Seattle Tracts'!$C$2:$Y$374,AO$1,FALSE)*$Z374</f>
        <v>2.2820864408766055</v>
      </c>
      <c r="AP374" s="3">
        <f>VLOOKUP($AB374,'2000 Seattle Tracts'!$C$2:$Y$374,AP$1,FALSE)*$Z374</f>
        <v>0</v>
      </c>
      <c r="AQ374" s="3">
        <f>VLOOKUP($AB374,'2000 Seattle Tracts'!$C$2:$Y$374,AQ$1,FALSE)*$Z374</f>
        <v>21.908029832415416</v>
      </c>
      <c r="AR374" s="3">
        <f>VLOOKUP($AB374,'2000 Seattle Tracts'!$C$2:$Y$374,AR$1,FALSE)*$Z374</f>
        <v>28.754289155045232</v>
      </c>
      <c r="AS374" s="3">
        <f>VLOOKUP($AB374,'2000 Seattle Tracts'!$C$2:$Y$374,AS$1,FALSE)*$Z374</f>
        <v>0</v>
      </c>
      <c r="AT374" s="3">
        <f>VLOOKUP($AB374,'2000 Seattle Tracts'!$C$2:$Y$374,AT$1,FALSE)*$Z374</f>
        <v>0</v>
      </c>
      <c r="AU374" s="3">
        <f>VLOOKUP($AB374,'2000 Seattle Tracts'!$C$2:$Y$374,AU$1,FALSE)*$Z374</f>
        <v>0</v>
      </c>
      <c r="AV374" s="3">
        <f>VLOOKUP($AB374,'2000 Seattle Tracts'!$C$2:$Y$374,AV$1,FALSE)*$Z374</f>
        <v>2.510295084964266</v>
      </c>
      <c r="AW374" s="3">
        <f>VLOOKUP($AB374,'2000 Seattle Tracts'!$C$2:$Y$374,AW$1,FALSE)*$Z374</f>
        <v>23.961907629204358</v>
      </c>
      <c r="AX374" s="3">
        <f>VLOOKUP($AB374,'2000 Seattle Tracts'!$C$2:$Y$374,AX$1,FALSE)*$Z374</f>
        <v>4.10775559357789</v>
      </c>
    </row>
    <row r="375" spans="1:50" x14ac:dyDescent="0.25">
      <c r="A375" t="s">
        <v>2917</v>
      </c>
      <c r="B375" t="s">
        <v>2918</v>
      </c>
      <c r="C375" t="s">
        <v>3203</v>
      </c>
      <c r="D375" t="s">
        <v>2629</v>
      </c>
      <c r="E375" t="s">
        <v>2630</v>
      </c>
      <c r="F375" t="s">
        <v>2631</v>
      </c>
      <c r="G375" t="s">
        <v>2920</v>
      </c>
      <c r="H375" t="s">
        <v>2921</v>
      </c>
      <c r="I375">
        <v>1241431</v>
      </c>
      <c r="J375">
        <v>644264</v>
      </c>
      <c r="K375" t="s">
        <v>3479</v>
      </c>
      <c r="L375" t="s">
        <v>3480</v>
      </c>
      <c r="M375">
        <v>48</v>
      </c>
      <c r="N375">
        <v>16672.511999999999</v>
      </c>
      <c r="O375" t="s">
        <v>141</v>
      </c>
      <c r="P375">
        <v>12</v>
      </c>
      <c r="Q375">
        <v>10</v>
      </c>
      <c r="R375">
        <v>94</v>
      </c>
      <c r="S375">
        <v>7426908</v>
      </c>
      <c r="T375">
        <v>50</v>
      </c>
      <c r="U375">
        <v>142</v>
      </c>
      <c r="V375">
        <v>16672.51178374033</v>
      </c>
      <c r="W375">
        <v>7426907.9614261454</v>
      </c>
      <c r="X375">
        <v>439393.984</v>
      </c>
      <c r="Y375">
        <f>VLOOKUP(AB375,'2000 Seattle Tracts'!$C$2:$Z$374,24,FALSE)</f>
        <v>1106777.6270000001</v>
      </c>
      <c r="Z375">
        <f t="shared" si="10"/>
        <v>0.39700295098213073</v>
      </c>
      <c r="AA375" t="s">
        <v>142</v>
      </c>
      <c r="AB375" t="str">
        <f t="shared" si="11"/>
        <v>Census Tract 61, King County, Washington</v>
      </c>
      <c r="AC375" s="3">
        <f>VLOOKUP($AB375,'2000 Seattle Tracts'!$C$2:$Y$374,AC$1,FALSE)*$Z375</f>
        <v>1765.4721230175353</v>
      </c>
      <c r="AD375" s="3">
        <f>VLOOKUP($AB375,'2000 Seattle Tracts'!$C$2:$Y$374,AD$1,FALSE)*$Z375</f>
        <v>1582.0567596637909</v>
      </c>
      <c r="AE375" s="3">
        <f>VLOOKUP($AB375,'2000 Seattle Tracts'!$C$2:$Y$374,AE$1,FALSE)*$Z375</f>
        <v>183.4153633537444</v>
      </c>
      <c r="AF375" s="3">
        <f>VLOOKUP($AB375,'2000 Seattle Tracts'!$C$2:$Y$374,AF$1,FALSE)*$Z375</f>
        <v>1765.4721230175353</v>
      </c>
      <c r="AG375" s="3">
        <f>VLOOKUP($AB375,'2000 Seattle Tracts'!$C$2:$Y$374,AG$1,FALSE)*$Z375</f>
        <v>1582.0567596637909</v>
      </c>
      <c r="AH375" s="3">
        <f>VLOOKUP($AB375,'2000 Seattle Tracts'!$C$2:$Y$374,AH$1,FALSE)*$Z375</f>
        <v>183.4153633537444</v>
      </c>
      <c r="AI375" s="3">
        <f>VLOOKUP($AB375,'2000 Seattle Tracts'!$C$2:$Y$374,AI$1,FALSE)*$Z375</f>
        <v>1418.094540908171</v>
      </c>
      <c r="AJ375" s="3">
        <f>VLOOKUP($AB375,'2000 Seattle Tracts'!$C$2:$Y$374,AJ$1,FALSE)*$Z375</f>
        <v>91.310678725890071</v>
      </c>
      <c r="AK375" s="3">
        <f>VLOOKUP($AB375,'2000 Seattle Tracts'!$C$2:$Y$374,AK$1,FALSE)*$Z375</f>
        <v>36.127268539373894</v>
      </c>
      <c r="AL375" s="3">
        <f>VLOOKUP($AB375,'2000 Seattle Tracts'!$C$2:$Y$374,AL$1,FALSE)*$Z375</f>
        <v>6.7490501666962226</v>
      </c>
      <c r="AM375" s="3">
        <f>VLOOKUP($AB375,'2000 Seattle Tracts'!$C$2:$Y$374,AM$1,FALSE)*$Z375</f>
        <v>23.423174107945712</v>
      </c>
      <c r="AN375" s="3">
        <f>VLOOKUP($AB375,'2000 Seattle Tracts'!$C$2:$Y$374,AN$1,FALSE)*$Z375</f>
        <v>0</v>
      </c>
      <c r="AO375" s="3">
        <f>VLOOKUP($AB375,'2000 Seattle Tracts'!$C$2:$Y$374,AO$1,FALSE)*$Z375</f>
        <v>0</v>
      </c>
      <c r="AP375" s="3">
        <f>VLOOKUP($AB375,'2000 Seattle Tracts'!$C$2:$Y$374,AP$1,FALSE)*$Z375</f>
        <v>0</v>
      </c>
      <c r="AQ375" s="3">
        <f>VLOOKUP($AB375,'2000 Seattle Tracts'!$C$2:$Y$374,AQ$1,FALSE)*$Z375</f>
        <v>40.494301000177337</v>
      </c>
      <c r="AR375" s="3">
        <f>VLOOKUP($AB375,'2000 Seattle Tracts'!$C$2:$Y$374,AR$1,FALSE)*$Z375</f>
        <v>69.078513470890741</v>
      </c>
      <c r="AS375" s="3">
        <f>VLOOKUP($AB375,'2000 Seattle Tracts'!$C$2:$Y$374,AS$1,FALSE)*$Z375</f>
        <v>0</v>
      </c>
      <c r="AT375" s="3">
        <f>VLOOKUP($AB375,'2000 Seattle Tracts'!$C$2:$Y$374,AT$1,FALSE)*$Z375</f>
        <v>0</v>
      </c>
      <c r="AU375" s="3">
        <f>VLOOKUP($AB375,'2000 Seattle Tracts'!$C$2:$Y$374,AU$1,FALSE)*$Z375</f>
        <v>8.3370619706247453</v>
      </c>
      <c r="AV375" s="3">
        <f>VLOOKUP($AB375,'2000 Seattle Tracts'!$C$2:$Y$374,AV$1,FALSE)*$Z375</f>
        <v>7.1460531176783535</v>
      </c>
      <c r="AW375" s="3">
        <f>VLOOKUP($AB375,'2000 Seattle Tracts'!$C$2:$Y$374,AW$1,FALSE)*$Z375</f>
        <v>55.580413137498304</v>
      </c>
      <c r="AX375" s="3">
        <f>VLOOKUP($AB375,'2000 Seattle Tracts'!$C$2:$Y$374,AX$1,FALSE)*$Z375</f>
        <v>9.1310678725890071</v>
      </c>
    </row>
    <row r="376" spans="1:50" x14ac:dyDescent="0.25">
      <c r="A376" t="s">
        <v>2917</v>
      </c>
      <c r="B376" t="s">
        <v>2918</v>
      </c>
      <c r="C376" t="s">
        <v>3203</v>
      </c>
      <c r="D376" t="s">
        <v>2629</v>
      </c>
      <c r="E376" t="s">
        <v>2630</v>
      </c>
      <c r="F376" t="s">
        <v>2631</v>
      </c>
      <c r="G376" t="s">
        <v>2920</v>
      </c>
      <c r="H376" t="s">
        <v>2921</v>
      </c>
      <c r="I376">
        <v>1241431</v>
      </c>
      <c r="J376">
        <v>644264</v>
      </c>
      <c r="K376" t="s">
        <v>3479</v>
      </c>
      <c r="L376" t="s">
        <v>3480</v>
      </c>
      <c r="M376">
        <v>97</v>
      </c>
      <c r="N376">
        <v>10013.273999999999</v>
      </c>
      <c r="O376" t="s">
        <v>201</v>
      </c>
      <c r="P376">
        <v>11</v>
      </c>
      <c r="Q376">
        <v>3</v>
      </c>
      <c r="R376">
        <v>23</v>
      </c>
      <c r="S376">
        <v>4421635.5</v>
      </c>
      <c r="T376">
        <v>99</v>
      </c>
      <c r="U376">
        <v>143</v>
      </c>
      <c r="V376">
        <v>10013.27395639886</v>
      </c>
      <c r="W376">
        <v>4421635.2673367513</v>
      </c>
      <c r="X376">
        <v>407477.201</v>
      </c>
      <c r="Y376">
        <f>VLOOKUP(AB376,'2000 Seattle Tracts'!$C$2:$Z$374,24,FALSE)</f>
        <v>1106777.6270000001</v>
      </c>
      <c r="Z376">
        <f t="shared" si="10"/>
        <v>0.36816537582576192</v>
      </c>
      <c r="AA376" t="s">
        <v>200</v>
      </c>
      <c r="AB376" t="str">
        <f t="shared" si="11"/>
        <v>Census Tract 61, King County, Washington</v>
      </c>
      <c r="AC376" s="3">
        <f>VLOOKUP($AB376,'2000 Seattle Tracts'!$C$2:$Y$374,AC$1,FALSE)*$Z376</f>
        <v>1637.2314262971634</v>
      </c>
      <c r="AD376" s="3">
        <f>VLOOKUP($AB376,'2000 Seattle Tracts'!$C$2:$Y$374,AD$1,FALSE)*$Z376</f>
        <v>1467.1390226656613</v>
      </c>
      <c r="AE376" s="3">
        <f>VLOOKUP($AB376,'2000 Seattle Tracts'!$C$2:$Y$374,AE$1,FALSE)*$Z376</f>
        <v>170.09240363150201</v>
      </c>
      <c r="AF376" s="3">
        <f>VLOOKUP($AB376,'2000 Seattle Tracts'!$C$2:$Y$374,AF$1,FALSE)*$Z376</f>
        <v>1637.2314262971634</v>
      </c>
      <c r="AG376" s="3">
        <f>VLOOKUP($AB376,'2000 Seattle Tracts'!$C$2:$Y$374,AG$1,FALSE)*$Z376</f>
        <v>1467.1390226656613</v>
      </c>
      <c r="AH376" s="3">
        <f>VLOOKUP($AB376,'2000 Seattle Tracts'!$C$2:$Y$374,AH$1,FALSE)*$Z376</f>
        <v>170.09240363150201</v>
      </c>
      <c r="AI376" s="3">
        <f>VLOOKUP($AB376,'2000 Seattle Tracts'!$C$2:$Y$374,AI$1,FALSE)*$Z376</f>
        <v>1315.0867224496217</v>
      </c>
      <c r="AJ376" s="3">
        <f>VLOOKUP($AB376,'2000 Seattle Tracts'!$C$2:$Y$374,AJ$1,FALSE)*$Z376</f>
        <v>84.678036439925236</v>
      </c>
      <c r="AK376" s="3">
        <f>VLOOKUP($AB376,'2000 Seattle Tracts'!$C$2:$Y$374,AK$1,FALSE)*$Z376</f>
        <v>33.503049200144332</v>
      </c>
      <c r="AL376" s="3">
        <f>VLOOKUP($AB376,'2000 Seattle Tracts'!$C$2:$Y$374,AL$1,FALSE)*$Z376</f>
        <v>6.2588113890379526</v>
      </c>
      <c r="AM376" s="3">
        <f>VLOOKUP($AB376,'2000 Seattle Tracts'!$C$2:$Y$374,AM$1,FALSE)*$Z376</f>
        <v>21.721757173719954</v>
      </c>
      <c r="AN376" s="3">
        <f>VLOOKUP($AB376,'2000 Seattle Tracts'!$C$2:$Y$374,AN$1,FALSE)*$Z376</f>
        <v>0</v>
      </c>
      <c r="AO376" s="3">
        <f>VLOOKUP($AB376,'2000 Seattle Tracts'!$C$2:$Y$374,AO$1,FALSE)*$Z376</f>
        <v>0</v>
      </c>
      <c r="AP376" s="3">
        <f>VLOOKUP($AB376,'2000 Seattle Tracts'!$C$2:$Y$374,AP$1,FALSE)*$Z376</f>
        <v>0</v>
      </c>
      <c r="AQ376" s="3">
        <f>VLOOKUP($AB376,'2000 Seattle Tracts'!$C$2:$Y$374,AQ$1,FALSE)*$Z376</f>
        <v>37.552868334227718</v>
      </c>
      <c r="AR376" s="3">
        <f>VLOOKUP($AB376,'2000 Seattle Tracts'!$C$2:$Y$374,AR$1,FALSE)*$Z376</f>
        <v>64.060775393682576</v>
      </c>
      <c r="AS376" s="3">
        <f>VLOOKUP($AB376,'2000 Seattle Tracts'!$C$2:$Y$374,AS$1,FALSE)*$Z376</f>
        <v>0</v>
      </c>
      <c r="AT376" s="3">
        <f>VLOOKUP($AB376,'2000 Seattle Tracts'!$C$2:$Y$374,AT$1,FALSE)*$Z376</f>
        <v>0</v>
      </c>
      <c r="AU376" s="3">
        <f>VLOOKUP($AB376,'2000 Seattle Tracts'!$C$2:$Y$374,AU$1,FALSE)*$Z376</f>
        <v>7.7314728923410003</v>
      </c>
      <c r="AV376" s="3">
        <f>VLOOKUP($AB376,'2000 Seattle Tracts'!$C$2:$Y$374,AV$1,FALSE)*$Z376</f>
        <v>6.6269767648637146</v>
      </c>
      <c r="AW376" s="3">
        <f>VLOOKUP($AB376,'2000 Seattle Tracts'!$C$2:$Y$374,AW$1,FALSE)*$Z376</f>
        <v>51.543152615606672</v>
      </c>
      <c r="AX376" s="3">
        <f>VLOOKUP($AB376,'2000 Seattle Tracts'!$C$2:$Y$374,AX$1,FALSE)*$Z376</f>
        <v>8.4678036439925251</v>
      </c>
    </row>
    <row r="377" spans="1:50" x14ac:dyDescent="0.25">
      <c r="A377" t="s">
        <v>2917</v>
      </c>
      <c r="B377" t="s">
        <v>2918</v>
      </c>
      <c r="C377" t="s">
        <v>3203</v>
      </c>
      <c r="D377" t="s">
        <v>2629</v>
      </c>
      <c r="E377" t="s">
        <v>2630</v>
      </c>
      <c r="F377" t="s">
        <v>2631</v>
      </c>
      <c r="G377" t="s">
        <v>2920</v>
      </c>
      <c r="H377" t="s">
        <v>2921</v>
      </c>
      <c r="I377">
        <v>1241431</v>
      </c>
      <c r="J377">
        <v>644264</v>
      </c>
      <c r="K377" t="s">
        <v>3479</v>
      </c>
      <c r="L377" t="s">
        <v>3480</v>
      </c>
      <c r="M377">
        <v>98</v>
      </c>
      <c r="N377">
        <v>34138.93</v>
      </c>
      <c r="O377" t="s">
        <v>201</v>
      </c>
      <c r="P377">
        <v>11</v>
      </c>
      <c r="Q377">
        <v>3</v>
      </c>
      <c r="R377">
        <v>9</v>
      </c>
      <c r="S377">
        <v>19763186</v>
      </c>
      <c r="T377">
        <v>100</v>
      </c>
      <c r="U377">
        <v>146</v>
      </c>
      <c r="V377">
        <v>34138.92787921233</v>
      </c>
      <c r="W377">
        <v>19763186.566329598</v>
      </c>
      <c r="X377">
        <v>241308.21</v>
      </c>
      <c r="Y377">
        <f>VLOOKUP(AB377,'2000 Seattle Tracts'!$C$2:$Z$374,24,FALSE)</f>
        <v>1106777.6270000001</v>
      </c>
      <c r="Z377">
        <f t="shared" si="10"/>
        <v>0.21802772672057272</v>
      </c>
      <c r="AA377" t="s">
        <v>202</v>
      </c>
      <c r="AB377" t="str">
        <f t="shared" si="11"/>
        <v>Census Tract 61, King County, Washington</v>
      </c>
      <c r="AC377" s="3">
        <f>VLOOKUP($AB377,'2000 Seattle Tracts'!$C$2:$Y$374,AC$1,FALSE)*$Z377</f>
        <v>969.56930072638693</v>
      </c>
      <c r="AD377" s="3">
        <f>VLOOKUP($AB377,'2000 Seattle Tracts'!$C$2:$Y$374,AD$1,FALSE)*$Z377</f>
        <v>868.84049098148228</v>
      </c>
      <c r="AE377" s="3">
        <f>VLOOKUP($AB377,'2000 Seattle Tracts'!$C$2:$Y$374,AE$1,FALSE)*$Z377</f>
        <v>100.72880974490459</v>
      </c>
      <c r="AF377" s="3">
        <f>VLOOKUP($AB377,'2000 Seattle Tracts'!$C$2:$Y$374,AF$1,FALSE)*$Z377</f>
        <v>969.56930072638693</v>
      </c>
      <c r="AG377" s="3">
        <f>VLOOKUP($AB377,'2000 Seattle Tracts'!$C$2:$Y$374,AG$1,FALSE)*$Z377</f>
        <v>868.84049098148228</v>
      </c>
      <c r="AH377" s="3">
        <f>VLOOKUP($AB377,'2000 Seattle Tracts'!$C$2:$Y$374,AH$1,FALSE)*$Z377</f>
        <v>100.72880974490459</v>
      </c>
      <c r="AI377" s="3">
        <f>VLOOKUP($AB377,'2000 Seattle Tracts'!$C$2:$Y$374,AI$1,FALSE)*$Z377</f>
        <v>778.79503984588575</v>
      </c>
      <c r="AJ377" s="3">
        <f>VLOOKUP($AB377,'2000 Seattle Tracts'!$C$2:$Y$374,AJ$1,FALSE)*$Z377</f>
        <v>50.146377145731726</v>
      </c>
      <c r="AK377" s="3">
        <f>VLOOKUP($AB377,'2000 Seattle Tracts'!$C$2:$Y$374,AK$1,FALSE)*$Z377</f>
        <v>19.840523131572116</v>
      </c>
      <c r="AL377" s="3">
        <f>VLOOKUP($AB377,'2000 Seattle Tracts'!$C$2:$Y$374,AL$1,FALSE)*$Z377</f>
        <v>3.7064713542497363</v>
      </c>
      <c r="AM377" s="3">
        <f>VLOOKUP($AB377,'2000 Seattle Tracts'!$C$2:$Y$374,AM$1,FALSE)*$Z377</f>
        <v>12.86363587651379</v>
      </c>
      <c r="AN377" s="3">
        <f>VLOOKUP($AB377,'2000 Seattle Tracts'!$C$2:$Y$374,AN$1,FALSE)*$Z377</f>
        <v>0</v>
      </c>
      <c r="AO377" s="3">
        <f>VLOOKUP($AB377,'2000 Seattle Tracts'!$C$2:$Y$374,AO$1,FALSE)*$Z377</f>
        <v>0</v>
      </c>
      <c r="AP377" s="3">
        <f>VLOOKUP($AB377,'2000 Seattle Tracts'!$C$2:$Y$374,AP$1,FALSE)*$Z377</f>
        <v>0</v>
      </c>
      <c r="AQ377" s="3">
        <f>VLOOKUP($AB377,'2000 Seattle Tracts'!$C$2:$Y$374,AQ$1,FALSE)*$Z377</f>
        <v>22.238828125498419</v>
      </c>
      <c r="AR377" s="3">
        <f>VLOOKUP($AB377,'2000 Seattle Tracts'!$C$2:$Y$374,AR$1,FALSE)*$Z377</f>
        <v>37.93682444937965</v>
      </c>
      <c r="AS377" s="3">
        <f>VLOOKUP($AB377,'2000 Seattle Tracts'!$C$2:$Y$374,AS$1,FALSE)*$Z377</f>
        <v>0</v>
      </c>
      <c r="AT377" s="3">
        <f>VLOOKUP($AB377,'2000 Seattle Tracts'!$C$2:$Y$374,AT$1,FALSE)*$Z377</f>
        <v>0</v>
      </c>
      <c r="AU377" s="3">
        <f>VLOOKUP($AB377,'2000 Seattle Tracts'!$C$2:$Y$374,AU$1,FALSE)*$Z377</f>
        <v>4.578582261132027</v>
      </c>
      <c r="AV377" s="3">
        <f>VLOOKUP($AB377,'2000 Seattle Tracts'!$C$2:$Y$374,AV$1,FALSE)*$Z377</f>
        <v>3.9244990809703091</v>
      </c>
      <c r="AW377" s="3">
        <f>VLOOKUP($AB377,'2000 Seattle Tracts'!$C$2:$Y$374,AW$1,FALSE)*$Z377</f>
        <v>30.523881740880181</v>
      </c>
      <c r="AX377" s="3">
        <f>VLOOKUP($AB377,'2000 Seattle Tracts'!$C$2:$Y$374,AX$1,FALSE)*$Z377</f>
        <v>5.0146377145731726</v>
      </c>
    </row>
    <row r="378" spans="1:50" x14ac:dyDescent="0.25">
      <c r="A378" t="s">
        <v>2917</v>
      </c>
      <c r="B378" t="s">
        <v>2918</v>
      </c>
      <c r="C378" t="s">
        <v>3203</v>
      </c>
      <c r="D378" t="s">
        <v>2629</v>
      </c>
      <c r="E378" t="s">
        <v>2630</v>
      </c>
      <c r="F378" t="s">
        <v>2631</v>
      </c>
      <c r="G378" t="s">
        <v>2920</v>
      </c>
      <c r="H378" t="s">
        <v>2921</v>
      </c>
      <c r="I378">
        <v>1241431</v>
      </c>
      <c r="J378">
        <v>644264</v>
      </c>
      <c r="K378" t="s">
        <v>3479</v>
      </c>
      <c r="L378" t="s">
        <v>3480</v>
      </c>
      <c r="M378">
        <v>100</v>
      </c>
      <c r="N378">
        <v>26851.947</v>
      </c>
      <c r="O378" t="s">
        <v>201</v>
      </c>
      <c r="P378">
        <v>11</v>
      </c>
      <c r="Q378">
        <v>3</v>
      </c>
      <c r="R378">
        <v>0</v>
      </c>
      <c r="S378">
        <v>30239240</v>
      </c>
      <c r="T378">
        <v>102</v>
      </c>
      <c r="U378">
        <v>151</v>
      </c>
      <c r="V378">
        <v>26851.9474418256</v>
      </c>
      <c r="W378">
        <v>30239240.52129779</v>
      </c>
      <c r="X378">
        <v>5257.0290000000005</v>
      </c>
      <c r="Y378">
        <f>VLOOKUP(AB378,'2000 Seattle Tracts'!$C$2:$Z$374,24,FALSE)</f>
        <v>1106777.6270000001</v>
      </c>
      <c r="Z378">
        <f t="shared" si="10"/>
        <v>4.7498511640947727E-3</v>
      </c>
      <c r="AA378" t="s">
        <v>204</v>
      </c>
      <c r="AB378" t="str">
        <f t="shared" si="11"/>
        <v>Census Tract 61, King County, Washington</v>
      </c>
      <c r="AC378" s="3">
        <f>VLOOKUP($AB378,'2000 Seattle Tracts'!$C$2:$Y$374,AC$1,FALSE)*$Z378</f>
        <v>21.122588126729454</v>
      </c>
      <c r="AD378" s="3">
        <f>VLOOKUP($AB378,'2000 Seattle Tracts'!$C$2:$Y$374,AD$1,FALSE)*$Z378</f>
        <v>18.92815688891767</v>
      </c>
      <c r="AE378" s="3">
        <f>VLOOKUP($AB378,'2000 Seattle Tracts'!$C$2:$Y$374,AE$1,FALSE)*$Z378</f>
        <v>2.1944312378117852</v>
      </c>
      <c r="AF378" s="3">
        <f>VLOOKUP($AB378,'2000 Seattle Tracts'!$C$2:$Y$374,AF$1,FALSE)*$Z378</f>
        <v>21.122588126729454</v>
      </c>
      <c r="AG378" s="3">
        <f>VLOOKUP($AB378,'2000 Seattle Tracts'!$C$2:$Y$374,AG$1,FALSE)*$Z378</f>
        <v>18.92815688891767</v>
      </c>
      <c r="AH378" s="3">
        <f>VLOOKUP($AB378,'2000 Seattle Tracts'!$C$2:$Y$374,AH$1,FALSE)*$Z378</f>
        <v>2.1944312378117852</v>
      </c>
      <c r="AI378" s="3">
        <f>VLOOKUP($AB378,'2000 Seattle Tracts'!$C$2:$Y$374,AI$1,FALSE)*$Z378</f>
        <v>16.966468358146528</v>
      </c>
      <c r="AJ378" s="3">
        <f>VLOOKUP($AB378,'2000 Seattle Tracts'!$C$2:$Y$374,AJ$1,FALSE)*$Z378</f>
        <v>1.0924657677417977</v>
      </c>
      <c r="AK378" s="3">
        <f>VLOOKUP($AB378,'2000 Seattle Tracts'!$C$2:$Y$374,AK$1,FALSE)*$Z378</f>
        <v>0.43223645593262433</v>
      </c>
      <c r="AL378" s="3">
        <f>VLOOKUP($AB378,'2000 Seattle Tracts'!$C$2:$Y$374,AL$1,FALSE)*$Z378</f>
        <v>8.0747469789611143E-2</v>
      </c>
      <c r="AM378" s="3">
        <f>VLOOKUP($AB378,'2000 Seattle Tracts'!$C$2:$Y$374,AM$1,FALSE)*$Z378</f>
        <v>0.28024121868159158</v>
      </c>
      <c r="AN378" s="3">
        <f>VLOOKUP($AB378,'2000 Seattle Tracts'!$C$2:$Y$374,AN$1,FALSE)*$Z378</f>
        <v>0</v>
      </c>
      <c r="AO378" s="3">
        <f>VLOOKUP($AB378,'2000 Seattle Tracts'!$C$2:$Y$374,AO$1,FALSE)*$Z378</f>
        <v>0</v>
      </c>
      <c r="AP378" s="3">
        <f>VLOOKUP($AB378,'2000 Seattle Tracts'!$C$2:$Y$374,AP$1,FALSE)*$Z378</f>
        <v>0</v>
      </c>
      <c r="AQ378" s="3">
        <f>VLOOKUP($AB378,'2000 Seattle Tracts'!$C$2:$Y$374,AQ$1,FALSE)*$Z378</f>
        <v>0.4844848187376668</v>
      </c>
      <c r="AR378" s="3">
        <f>VLOOKUP($AB378,'2000 Seattle Tracts'!$C$2:$Y$374,AR$1,FALSE)*$Z378</f>
        <v>0.82647410255249043</v>
      </c>
      <c r="AS378" s="3">
        <f>VLOOKUP($AB378,'2000 Seattle Tracts'!$C$2:$Y$374,AS$1,FALSE)*$Z378</f>
        <v>0</v>
      </c>
      <c r="AT378" s="3">
        <f>VLOOKUP($AB378,'2000 Seattle Tracts'!$C$2:$Y$374,AT$1,FALSE)*$Z378</f>
        <v>0</v>
      </c>
      <c r="AU378" s="3">
        <f>VLOOKUP($AB378,'2000 Seattle Tracts'!$C$2:$Y$374,AU$1,FALSE)*$Z378</f>
        <v>9.974687444599023E-2</v>
      </c>
      <c r="AV378" s="3">
        <f>VLOOKUP($AB378,'2000 Seattle Tracts'!$C$2:$Y$374,AV$1,FALSE)*$Z378</f>
        <v>8.5497320953705908E-2</v>
      </c>
      <c r="AW378" s="3">
        <f>VLOOKUP($AB378,'2000 Seattle Tracts'!$C$2:$Y$374,AW$1,FALSE)*$Z378</f>
        <v>0.6649791629732682</v>
      </c>
      <c r="AX378" s="3">
        <f>VLOOKUP($AB378,'2000 Seattle Tracts'!$C$2:$Y$374,AX$1,FALSE)*$Z378</f>
        <v>0.10924657677417977</v>
      </c>
    </row>
    <row r="379" spans="1:50" x14ac:dyDescent="0.25">
      <c r="A379" t="s">
        <v>2917</v>
      </c>
      <c r="B379" t="s">
        <v>2918</v>
      </c>
      <c r="C379" t="s">
        <v>3014</v>
      </c>
      <c r="D379" t="s">
        <v>2632</v>
      </c>
      <c r="E379" t="s">
        <v>2633</v>
      </c>
      <c r="F379" t="s">
        <v>2634</v>
      </c>
      <c r="G379" t="s">
        <v>2920</v>
      </c>
      <c r="H379" t="s">
        <v>2921</v>
      </c>
      <c r="I379">
        <v>1349233</v>
      </c>
      <c r="J379">
        <v>150279</v>
      </c>
      <c r="K379" t="s">
        <v>3481</v>
      </c>
      <c r="L379" t="s">
        <v>3482</v>
      </c>
      <c r="M379">
        <v>43</v>
      </c>
      <c r="N379">
        <v>21488.398000000001</v>
      </c>
      <c r="O379" t="s">
        <v>136</v>
      </c>
      <c r="P379">
        <v>10</v>
      </c>
      <c r="Q379">
        <v>7</v>
      </c>
      <c r="R379">
        <v>23</v>
      </c>
      <c r="S379">
        <v>19354700</v>
      </c>
      <c r="T379">
        <v>45</v>
      </c>
      <c r="U379">
        <v>145</v>
      </c>
      <c r="V379">
        <v>21488.397378299011</v>
      </c>
      <c r="W379">
        <v>19354699.596078452</v>
      </c>
      <c r="X379">
        <v>502487.76699999999</v>
      </c>
      <c r="Y379">
        <f>VLOOKUP(AB379,'2000 Seattle Tracts'!$C$2:$Z$374,24,FALSE)</f>
        <v>1295262.5260000001</v>
      </c>
      <c r="Z379">
        <f t="shared" si="10"/>
        <v>0.38794279685661187</v>
      </c>
      <c r="AA379" t="s">
        <v>135</v>
      </c>
      <c r="AB379" t="str">
        <f t="shared" si="11"/>
        <v>Census Tract 60, King County, Washington</v>
      </c>
      <c r="AC379" s="3">
        <f>VLOOKUP($AB379,'2000 Seattle Tracts'!$C$2:$Y$374,AC$1,FALSE)*$Z379</f>
        <v>1833.0297151474911</v>
      </c>
      <c r="AD379" s="3">
        <f>VLOOKUP($AB379,'2000 Seattle Tracts'!$C$2:$Y$374,AD$1,FALSE)*$Z379</f>
        <v>1626.6441472197737</v>
      </c>
      <c r="AE379" s="3">
        <f>VLOOKUP($AB379,'2000 Seattle Tracts'!$C$2:$Y$374,AE$1,FALSE)*$Z379</f>
        <v>206.38556792771752</v>
      </c>
      <c r="AF379" s="3">
        <f>VLOOKUP($AB379,'2000 Seattle Tracts'!$C$2:$Y$374,AF$1,FALSE)*$Z379</f>
        <v>1833.0297151474911</v>
      </c>
      <c r="AG379" s="3">
        <f>VLOOKUP($AB379,'2000 Seattle Tracts'!$C$2:$Y$374,AG$1,FALSE)*$Z379</f>
        <v>1626.6441472197737</v>
      </c>
      <c r="AH379" s="3">
        <f>VLOOKUP($AB379,'2000 Seattle Tracts'!$C$2:$Y$374,AH$1,FALSE)*$Z379</f>
        <v>206.38556792771752</v>
      </c>
      <c r="AI379" s="3">
        <f>VLOOKUP($AB379,'2000 Seattle Tracts'!$C$2:$Y$374,AI$1,FALSE)*$Z379</f>
        <v>1470.6911428834155</v>
      </c>
      <c r="AJ379" s="3">
        <f>VLOOKUP($AB379,'2000 Seattle Tracts'!$C$2:$Y$374,AJ$1,FALSE)*$Z379</f>
        <v>109.39986871356454</v>
      </c>
      <c r="AK379" s="3">
        <f>VLOOKUP($AB379,'2000 Seattle Tracts'!$C$2:$Y$374,AK$1,FALSE)*$Z379</f>
        <v>20.94891103025704</v>
      </c>
      <c r="AL379" s="3">
        <f>VLOOKUP($AB379,'2000 Seattle Tracts'!$C$2:$Y$374,AL$1,FALSE)*$Z379</f>
        <v>2.3276567811396713</v>
      </c>
      <c r="AM379" s="3">
        <f>VLOOKUP($AB379,'2000 Seattle Tracts'!$C$2:$Y$374,AM$1,FALSE)*$Z379</f>
        <v>21.724796623970263</v>
      </c>
      <c r="AN379" s="3">
        <f>VLOOKUP($AB379,'2000 Seattle Tracts'!$C$2:$Y$374,AN$1,FALSE)*$Z379</f>
        <v>0</v>
      </c>
      <c r="AO379" s="3">
        <f>VLOOKUP($AB379,'2000 Seattle Tracts'!$C$2:$Y$374,AO$1,FALSE)*$Z379</f>
        <v>30.259538154815726</v>
      </c>
      <c r="AP379" s="3">
        <f>VLOOKUP($AB379,'2000 Seattle Tracts'!$C$2:$Y$374,AP$1,FALSE)*$Z379</f>
        <v>2.7155995779962829</v>
      </c>
      <c r="AQ379" s="3">
        <f>VLOOKUP($AB379,'2000 Seattle Tracts'!$C$2:$Y$374,AQ$1,FALSE)*$Z379</f>
        <v>41.121936466800861</v>
      </c>
      <c r="AR379" s="3">
        <f>VLOOKUP($AB379,'2000 Seattle Tracts'!$C$2:$Y$374,AR$1,FALSE)*$Z379</f>
        <v>58.967305122205005</v>
      </c>
      <c r="AS379" s="3">
        <f>VLOOKUP($AB379,'2000 Seattle Tracts'!$C$2:$Y$374,AS$1,FALSE)*$Z379</f>
        <v>0</v>
      </c>
      <c r="AT379" s="3">
        <f>VLOOKUP($AB379,'2000 Seattle Tracts'!$C$2:$Y$374,AT$1,FALSE)*$Z379</f>
        <v>5.4311991559925659</v>
      </c>
      <c r="AU379" s="3">
        <f>VLOOKUP($AB379,'2000 Seattle Tracts'!$C$2:$Y$374,AU$1,FALSE)*$Z379</f>
        <v>13.965940686838028</v>
      </c>
      <c r="AV379" s="3">
        <f>VLOOKUP($AB379,'2000 Seattle Tracts'!$C$2:$Y$374,AV$1,FALSE)*$Z379</f>
        <v>12.026226702554968</v>
      </c>
      <c r="AW379" s="3">
        <f>VLOOKUP($AB379,'2000 Seattle Tracts'!$C$2:$Y$374,AW$1,FALSE)*$Z379</f>
        <v>27.931881373676056</v>
      </c>
      <c r="AX379" s="3">
        <f>VLOOKUP($AB379,'2000 Seattle Tracts'!$C$2:$Y$374,AX$1,FALSE)*$Z379</f>
        <v>15.517711874264474</v>
      </c>
    </row>
    <row r="380" spans="1:50" x14ac:dyDescent="0.25">
      <c r="A380" t="s">
        <v>2917</v>
      </c>
      <c r="B380" t="s">
        <v>2918</v>
      </c>
      <c r="C380" t="s">
        <v>3014</v>
      </c>
      <c r="D380" t="s">
        <v>2632</v>
      </c>
      <c r="E380" t="s">
        <v>2633</v>
      </c>
      <c r="F380" t="s">
        <v>2634</v>
      </c>
      <c r="G380" t="s">
        <v>2920</v>
      </c>
      <c r="H380" t="s">
        <v>2921</v>
      </c>
      <c r="I380">
        <v>1349233</v>
      </c>
      <c r="J380">
        <v>150279</v>
      </c>
      <c r="K380" t="s">
        <v>3481</v>
      </c>
      <c r="L380" t="s">
        <v>3482</v>
      </c>
      <c r="M380">
        <v>44</v>
      </c>
      <c r="N380">
        <v>20631.705000000002</v>
      </c>
      <c r="O380" t="s">
        <v>136</v>
      </c>
      <c r="P380">
        <v>10</v>
      </c>
      <c r="Q380">
        <v>7</v>
      </c>
      <c r="R380">
        <v>94</v>
      </c>
      <c r="S380">
        <v>17974986</v>
      </c>
      <c r="T380">
        <v>46</v>
      </c>
      <c r="U380">
        <v>148</v>
      </c>
      <c r="V380">
        <v>20631.70572929232</v>
      </c>
      <c r="W380">
        <v>17974985.95263635</v>
      </c>
      <c r="X380">
        <v>13.778</v>
      </c>
      <c r="Y380">
        <f>VLOOKUP(AB380,'2000 Seattle Tracts'!$C$2:$Z$374,24,FALSE)</f>
        <v>1295262.5260000001</v>
      </c>
      <c r="Z380">
        <f t="shared" si="10"/>
        <v>1.0637225831391033E-5</v>
      </c>
      <c r="AA380" t="s">
        <v>137</v>
      </c>
      <c r="AB380" t="str">
        <f t="shared" si="11"/>
        <v>Census Tract 60, King County, Washington</v>
      </c>
      <c r="AC380" s="3">
        <f>VLOOKUP($AB380,'2000 Seattle Tracts'!$C$2:$Y$374,AC$1,FALSE)*$Z380</f>
        <v>5.0260892053322626E-2</v>
      </c>
      <c r="AD380" s="3">
        <f>VLOOKUP($AB380,'2000 Seattle Tracts'!$C$2:$Y$374,AD$1,FALSE)*$Z380</f>
        <v>4.4601887911022597E-2</v>
      </c>
      <c r="AE380" s="3">
        <f>VLOOKUP($AB380,'2000 Seattle Tracts'!$C$2:$Y$374,AE$1,FALSE)*$Z380</f>
        <v>5.659004142300029E-3</v>
      </c>
      <c r="AF380" s="3">
        <f>VLOOKUP($AB380,'2000 Seattle Tracts'!$C$2:$Y$374,AF$1,FALSE)*$Z380</f>
        <v>5.0260892053322626E-2</v>
      </c>
      <c r="AG380" s="3">
        <f>VLOOKUP($AB380,'2000 Seattle Tracts'!$C$2:$Y$374,AG$1,FALSE)*$Z380</f>
        <v>4.4601887911022597E-2</v>
      </c>
      <c r="AH380" s="3">
        <f>VLOOKUP($AB380,'2000 Seattle Tracts'!$C$2:$Y$374,AH$1,FALSE)*$Z380</f>
        <v>5.659004142300029E-3</v>
      </c>
      <c r="AI380" s="3">
        <f>VLOOKUP($AB380,'2000 Seattle Tracts'!$C$2:$Y$374,AI$1,FALSE)*$Z380</f>
        <v>4.0325723126803402E-2</v>
      </c>
      <c r="AJ380" s="3">
        <f>VLOOKUP($AB380,'2000 Seattle Tracts'!$C$2:$Y$374,AJ$1,FALSE)*$Z380</f>
        <v>2.9996976844522713E-3</v>
      </c>
      <c r="AK380" s="3">
        <f>VLOOKUP($AB380,'2000 Seattle Tracts'!$C$2:$Y$374,AK$1,FALSE)*$Z380</f>
        <v>5.744101948951158E-4</v>
      </c>
      <c r="AL380" s="3">
        <f>VLOOKUP($AB380,'2000 Seattle Tracts'!$C$2:$Y$374,AL$1,FALSE)*$Z380</f>
        <v>6.3823354988346188E-5</v>
      </c>
      <c r="AM380" s="3">
        <f>VLOOKUP($AB380,'2000 Seattle Tracts'!$C$2:$Y$374,AM$1,FALSE)*$Z380</f>
        <v>5.9568464655789779E-4</v>
      </c>
      <c r="AN380" s="3">
        <f>VLOOKUP($AB380,'2000 Seattle Tracts'!$C$2:$Y$374,AN$1,FALSE)*$Z380</f>
        <v>0</v>
      </c>
      <c r="AO380" s="3">
        <f>VLOOKUP($AB380,'2000 Seattle Tracts'!$C$2:$Y$374,AO$1,FALSE)*$Z380</f>
        <v>8.2970361484850056E-4</v>
      </c>
      <c r="AP380" s="3">
        <f>VLOOKUP($AB380,'2000 Seattle Tracts'!$C$2:$Y$374,AP$1,FALSE)*$Z380</f>
        <v>7.4460580819737224E-5</v>
      </c>
      <c r="AQ380" s="3">
        <f>VLOOKUP($AB380,'2000 Seattle Tracts'!$C$2:$Y$374,AQ$1,FALSE)*$Z380</f>
        <v>1.1275459381274494E-3</v>
      </c>
      <c r="AR380" s="3">
        <f>VLOOKUP($AB380,'2000 Seattle Tracts'!$C$2:$Y$374,AR$1,FALSE)*$Z380</f>
        <v>1.6168583263714369E-3</v>
      </c>
      <c r="AS380" s="3">
        <f>VLOOKUP($AB380,'2000 Seattle Tracts'!$C$2:$Y$374,AS$1,FALSE)*$Z380</f>
        <v>0</v>
      </c>
      <c r="AT380" s="3">
        <f>VLOOKUP($AB380,'2000 Seattle Tracts'!$C$2:$Y$374,AT$1,FALSE)*$Z380</f>
        <v>1.4892116163947445E-4</v>
      </c>
      <c r="AU380" s="3">
        <f>VLOOKUP($AB380,'2000 Seattle Tracts'!$C$2:$Y$374,AU$1,FALSE)*$Z380</f>
        <v>3.8294012993007718E-4</v>
      </c>
      <c r="AV380" s="3">
        <f>VLOOKUP($AB380,'2000 Seattle Tracts'!$C$2:$Y$374,AV$1,FALSE)*$Z380</f>
        <v>3.2975400077312199E-4</v>
      </c>
      <c r="AW380" s="3">
        <f>VLOOKUP($AB380,'2000 Seattle Tracts'!$C$2:$Y$374,AW$1,FALSE)*$Z380</f>
        <v>7.6588025986015437E-4</v>
      </c>
      <c r="AX380" s="3">
        <f>VLOOKUP($AB380,'2000 Seattle Tracts'!$C$2:$Y$374,AX$1,FALSE)*$Z380</f>
        <v>4.2548903325564133E-4</v>
      </c>
    </row>
    <row r="381" spans="1:50" x14ac:dyDescent="0.25">
      <c r="A381" t="s">
        <v>2917</v>
      </c>
      <c r="B381" t="s">
        <v>2918</v>
      </c>
      <c r="C381" t="s">
        <v>3014</v>
      </c>
      <c r="D381" t="s">
        <v>2632</v>
      </c>
      <c r="E381" t="s">
        <v>2633</v>
      </c>
      <c r="F381" t="s">
        <v>2634</v>
      </c>
      <c r="G381" t="s">
        <v>2920</v>
      </c>
      <c r="H381" t="s">
        <v>2921</v>
      </c>
      <c r="I381">
        <v>1349233</v>
      </c>
      <c r="J381">
        <v>150279</v>
      </c>
      <c r="K381" t="s">
        <v>3481</v>
      </c>
      <c r="L381" t="s">
        <v>3482</v>
      </c>
      <c r="M381">
        <v>46</v>
      </c>
      <c r="N381">
        <v>26753.555</v>
      </c>
      <c r="O381" t="s">
        <v>136</v>
      </c>
      <c r="P381">
        <v>10</v>
      </c>
      <c r="Q381">
        <v>7</v>
      </c>
      <c r="R381">
        <v>19</v>
      </c>
      <c r="S381">
        <v>29604288</v>
      </c>
      <c r="T381">
        <v>48</v>
      </c>
      <c r="U381">
        <v>140</v>
      </c>
      <c r="V381">
        <v>26753.55428174289</v>
      </c>
      <c r="W381">
        <v>29604288.332963161</v>
      </c>
      <c r="X381">
        <v>791787.48400000005</v>
      </c>
      <c r="Y381">
        <f>VLOOKUP(AB381,'2000 Seattle Tracts'!$C$2:$Z$374,24,FALSE)</f>
        <v>1295262.5260000001</v>
      </c>
      <c r="Z381">
        <f t="shared" si="10"/>
        <v>0.61129498314537045</v>
      </c>
      <c r="AA381" t="s">
        <v>139</v>
      </c>
      <c r="AB381" t="str">
        <f t="shared" si="11"/>
        <v>Census Tract 60, King County, Washington</v>
      </c>
      <c r="AC381" s="3">
        <f>VLOOKUP($AB381,'2000 Seattle Tracts'!$C$2:$Y$374,AC$1,FALSE)*$Z381</f>
        <v>2888.3687953618755</v>
      </c>
      <c r="AD381" s="3">
        <f>VLOOKUP($AB381,'2000 Seattle Tracts'!$C$2:$Y$374,AD$1,FALSE)*$Z381</f>
        <v>2563.1598643285383</v>
      </c>
      <c r="AE381" s="3">
        <f>VLOOKUP($AB381,'2000 Seattle Tracts'!$C$2:$Y$374,AE$1,FALSE)*$Z381</f>
        <v>325.20893103333708</v>
      </c>
      <c r="AF381" s="3">
        <f>VLOOKUP($AB381,'2000 Seattle Tracts'!$C$2:$Y$374,AF$1,FALSE)*$Z381</f>
        <v>2888.3687953618755</v>
      </c>
      <c r="AG381" s="3">
        <f>VLOOKUP($AB381,'2000 Seattle Tracts'!$C$2:$Y$374,AG$1,FALSE)*$Z381</f>
        <v>2563.1598643285383</v>
      </c>
      <c r="AH381" s="3">
        <f>VLOOKUP($AB381,'2000 Seattle Tracts'!$C$2:$Y$374,AH$1,FALSE)*$Z381</f>
        <v>325.20893103333708</v>
      </c>
      <c r="AI381" s="3">
        <f>VLOOKUP($AB381,'2000 Seattle Tracts'!$C$2:$Y$374,AI$1,FALSE)*$Z381</f>
        <v>2317.4192811040994</v>
      </c>
      <c r="AJ381" s="3">
        <f>VLOOKUP($AB381,'2000 Seattle Tracts'!$C$2:$Y$374,AJ$1,FALSE)*$Z381</f>
        <v>172.38518524699447</v>
      </c>
      <c r="AK381" s="3">
        <f>VLOOKUP($AB381,'2000 Seattle Tracts'!$C$2:$Y$374,AK$1,FALSE)*$Z381</f>
        <v>33.009929089850004</v>
      </c>
      <c r="AL381" s="3">
        <f>VLOOKUP($AB381,'2000 Seattle Tracts'!$C$2:$Y$374,AL$1,FALSE)*$Z381</f>
        <v>3.6677698988722227</v>
      </c>
      <c r="AM381" s="3">
        <f>VLOOKUP($AB381,'2000 Seattle Tracts'!$C$2:$Y$374,AM$1,FALSE)*$Z381</f>
        <v>34.232519056140745</v>
      </c>
      <c r="AN381" s="3">
        <f>VLOOKUP($AB381,'2000 Seattle Tracts'!$C$2:$Y$374,AN$1,FALSE)*$Z381</f>
        <v>0</v>
      </c>
      <c r="AO381" s="3">
        <f>VLOOKUP($AB381,'2000 Seattle Tracts'!$C$2:$Y$374,AO$1,FALSE)*$Z381</f>
        <v>47.681008685338895</v>
      </c>
      <c r="AP381" s="3">
        <f>VLOOKUP($AB381,'2000 Seattle Tracts'!$C$2:$Y$374,AP$1,FALSE)*$Z381</f>
        <v>4.2790648820175932</v>
      </c>
      <c r="AQ381" s="3">
        <f>VLOOKUP($AB381,'2000 Seattle Tracts'!$C$2:$Y$374,AQ$1,FALSE)*$Z381</f>
        <v>64.797268213409268</v>
      </c>
      <c r="AR381" s="3">
        <f>VLOOKUP($AB381,'2000 Seattle Tracts'!$C$2:$Y$374,AR$1,FALSE)*$Z381</f>
        <v>92.916837438096309</v>
      </c>
      <c r="AS381" s="3">
        <f>VLOOKUP($AB381,'2000 Seattle Tracts'!$C$2:$Y$374,AS$1,FALSE)*$Z381</f>
        <v>0</v>
      </c>
      <c r="AT381" s="3">
        <f>VLOOKUP($AB381,'2000 Seattle Tracts'!$C$2:$Y$374,AT$1,FALSE)*$Z381</f>
        <v>8.5581297640351863</v>
      </c>
      <c r="AU381" s="3">
        <f>VLOOKUP($AB381,'2000 Seattle Tracts'!$C$2:$Y$374,AU$1,FALSE)*$Z381</f>
        <v>22.006619393233336</v>
      </c>
      <c r="AV381" s="3">
        <f>VLOOKUP($AB381,'2000 Seattle Tracts'!$C$2:$Y$374,AV$1,FALSE)*$Z381</f>
        <v>18.950144477506484</v>
      </c>
      <c r="AW381" s="3">
        <f>VLOOKUP($AB381,'2000 Seattle Tracts'!$C$2:$Y$374,AW$1,FALSE)*$Z381</f>
        <v>44.013238786466673</v>
      </c>
      <c r="AX381" s="3">
        <f>VLOOKUP($AB381,'2000 Seattle Tracts'!$C$2:$Y$374,AX$1,FALSE)*$Z381</f>
        <v>24.451799325814818</v>
      </c>
    </row>
    <row r="382" spans="1:50" x14ac:dyDescent="0.25">
      <c r="A382" t="s">
        <v>2917</v>
      </c>
      <c r="B382" t="s">
        <v>2918</v>
      </c>
      <c r="C382" t="s">
        <v>3014</v>
      </c>
      <c r="D382" t="s">
        <v>2632</v>
      </c>
      <c r="E382" t="s">
        <v>2633</v>
      </c>
      <c r="F382" t="s">
        <v>2634</v>
      </c>
      <c r="G382" t="s">
        <v>2920</v>
      </c>
      <c r="H382" t="s">
        <v>2921</v>
      </c>
      <c r="I382">
        <v>1349233</v>
      </c>
      <c r="J382">
        <v>150279</v>
      </c>
      <c r="K382" t="s">
        <v>3481</v>
      </c>
      <c r="L382" t="s">
        <v>3482</v>
      </c>
      <c r="M382">
        <v>47</v>
      </c>
      <c r="N382">
        <v>11017.323</v>
      </c>
      <c r="O382" t="s">
        <v>141</v>
      </c>
      <c r="P382">
        <v>12</v>
      </c>
      <c r="Q382">
        <v>10</v>
      </c>
      <c r="R382">
        <v>0</v>
      </c>
      <c r="S382">
        <v>3645184</v>
      </c>
      <c r="T382">
        <v>49</v>
      </c>
      <c r="U382">
        <v>202</v>
      </c>
      <c r="V382">
        <v>11017.323173961489</v>
      </c>
      <c r="W382">
        <v>3645184.079040701</v>
      </c>
      <c r="X382">
        <v>91.465000000000003</v>
      </c>
      <c r="Y382">
        <f>VLOOKUP(AB382,'2000 Seattle Tracts'!$C$2:$Z$374,24,FALSE)</f>
        <v>1295262.5260000001</v>
      </c>
      <c r="Z382">
        <f t="shared" si="10"/>
        <v>7.0615028354491282E-5</v>
      </c>
      <c r="AA382" t="s">
        <v>140</v>
      </c>
      <c r="AB382" t="str">
        <f t="shared" si="11"/>
        <v>Census Tract 60, King County, Washington</v>
      </c>
      <c r="AC382" s="3">
        <f>VLOOKUP($AB382,'2000 Seattle Tracts'!$C$2:$Y$374,AC$1,FALSE)*$Z382</f>
        <v>0.33365600897497133</v>
      </c>
      <c r="AD382" s="3">
        <f>VLOOKUP($AB382,'2000 Seattle Tracts'!$C$2:$Y$374,AD$1,FALSE)*$Z382</f>
        <v>0.29608881389038194</v>
      </c>
      <c r="AE382" s="3">
        <f>VLOOKUP($AB382,'2000 Seattle Tracts'!$C$2:$Y$374,AE$1,FALSE)*$Z382</f>
        <v>3.7567195084589361E-2</v>
      </c>
      <c r="AF382" s="3">
        <f>VLOOKUP($AB382,'2000 Seattle Tracts'!$C$2:$Y$374,AF$1,FALSE)*$Z382</f>
        <v>0.33365600897497133</v>
      </c>
      <c r="AG382" s="3">
        <f>VLOOKUP($AB382,'2000 Seattle Tracts'!$C$2:$Y$374,AG$1,FALSE)*$Z382</f>
        <v>0.29608881389038194</v>
      </c>
      <c r="AH382" s="3">
        <f>VLOOKUP($AB382,'2000 Seattle Tracts'!$C$2:$Y$374,AH$1,FALSE)*$Z382</f>
        <v>3.7567195084589361E-2</v>
      </c>
      <c r="AI382" s="3">
        <f>VLOOKUP($AB382,'2000 Seattle Tracts'!$C$2:$Y$374,AI$1,FALSE)*$Z382</f>
        <v>0.26770157249187643</v>
      </c>
      <c r="AJ382" s="3">
        <f>VLOOKUP($AB382,'2000 Seattle Tracts'!$C$2:$Y$374,AJ$1,FALSE)*$Z382</f>
        <v>1.9913437995966541E-2</v>
      </c>
      <c r="AK382" s="3">
        <f>VLOOKUP($AB382,'2000 Seattle Tracts'!$C$2:$Y$374,AK$1,FALSE)*$Z382</f>
        <v>3.8132115311425292E-3</v>
      </c>
      <c r="AL382" s="3">
        <f>VLOOKUP($AB382,'2000 Seattle Tracts'!$C$2:$Y$374,AL$1,FALSE)*$Z382</f>
        <v>4.2369017012694769E-4</v>
      </c>
      <c r="AM382" s="3">
        <f>VLOOKUP($AB382,'2000 Seattle Tracts'!$C$2:$Y$374,AM$1,FALSE)*$Z382</f>
        <v>3.9544415878515118E-3</v>
      </c>
      <c r="AN382" s="3">
        <f>VLOOKUP($AB382,'2000 Seattle Tracts'!$C$2:$Y$374,AN$1,FALSE)*$Z382</f>
        <v>0</v>
      </c>
      <c r="AO382" s="3">
        <f>VLOOKUP($AB382,'2000 Seattle Tracts'!$C$2:$Y$374,AO$1,FALSE)*$Z382</f>
        <v>5.5079722116503204E-3</v>
      </c>
      <c r="AP382" s="3">
        <f>VLOOKUP($AB382,'2000 Seattle Tracts'!$C$2:$Y$374,AP$1,FALSE)*$Z382</f>
        <v>4.9430519848143897E-4</v>
      </c>
      <c r="AQ382" s="3">
        <f>VLOOKUP($AB382,'2000 Seattle Tracts'!$C$2:$Y$374,AQ$1,FALSE)*$Z382</f>
        <v>7.4851930055760754E-3</v>
      </c>
      <c r="AR382" s="3">
        <f>VLOOKUP($AB382,'2000 Seattle Tracts'!$C$2:$Y$374,AR$1,FALSE)*$Z382</f>
        <v>1.0733484309882675E-2</v>
      </c>
      <c r="AS382" s="3">
        <f>VLOOKUP($AB382,'2000 Seattle Tracts'!$C$2:$Y$374,AS$1,FALSE)*$Z382</f>
        <v>0</v>
      </c>
      <c r="AT382" s="3">
        <f>VLOOKUP($AB382,'2000 Seattle Tracts'!$C$2:$Y$374,AT$1,FALSE)*$Z382</f>
        <v>9.8861039696287794E-4</v>
      </c>
      <c r="AU382" s="3">
        <f>VLOOKUP($AB382,'2000 Seattle Tracts'!$C$2:$Y$374,AU$1,FALSE)*$Z382</f>
        <v>2.5421410207616861E-3</v>
      </c>
      <c r="AV382" s="3">
        <f>VLOOKUP($AB382,'2000 Seattle Tracts'!$C$2:$Y$374,AV$1,FALSE)*$Z382</f>
        <v>2.1890658789892299E-3</v>
      </c>
      <c r="AW382" s="3">
        <f>VLOOKUP($AB382,'2000 Seattle Tracts'!$C$2:$Y$374,AW$1,FALSE)*$Z382</f>
        <v>5.0842820415233723E-3</v>
      </c>
      <c r="AX382" s="3">
        <f>VLOOKUP($AB382,'2000 Seattle Tracts'!$C$2:$Y$374,AX$1,FALSE)*$Z382</f>
        <v>2.8246011341796513E-3</v>
      </c>
    </row>
    <row r="383" spans="1:50" x14ac:dyDescent="0.25">
      <c r="A383" t="s">
        <v>2917</v>
      </c>
      <c r="B383" t="s">
        <v>2918</v>
      </c>
      <c r="C383" t="s">
        <v>3164</v>
      </c>
      <c r="D383" t="s">
        <v>2644</v>
      </c>
      <c r="E383" t="s">
        <v>2645</v>
      </c>
      <c r="F383" t="s">
        <v>2646</v>
      </c>
      <c r="G383" t="s">
        <v>2920</v>
      </c>
      <c r="H383" t="s">
        <v>2921</v>
      </c>
      <c r="I383">
        <v>1779677</v>
      </c>
      <c r="J383">
        <v>301744</v>
      </c>
      <c r="K383" t="s">
        <v>3165</v>
      </c>
      <c r="L383" t="s">
        <v>3166</v>
      </c>
      <c r="M383">
        <v>46</v>
      </c>
      <c r="N383">
        <v>26753.555</v>
      </c>
      <c r="O383" t="s">
        <v>136</v>
      </c>
      <c r="P383">
        <v>10</v>
      </c>
      <c r="Q383">
        <v>7</v>
      </c>
      <c r="R383">
        <v>19</v>
      </c>
      <c r="S383">
        <v>29604288</v>
      </c>
      <c r="T383">
        <v>48</v>
      </c>
      <c r="U383">
        <v>140</v>
      </c>
      <c r="V383">
        <v>26753.55428174289</v>
      </c>
      <c r="W383">
        <v>29604288.332963161</v>
      </c>
      <c r="X383">
        <v>66917.501999999993</v>
      </c>
      <c r="Y383">
        <f>VLOOKUP(AB383,'2000 Seattle Tracts'!$C$2:$Z$374,24,FALSE)</f>
        <v>1808549.6240000001</v>
      </c>
      <c r="Z383">
        <f t="shared" si="10"/>
        <v>3.7000644666855979E-2</v>
      </c>
      <c r="AA383" t="s">
        <v>139</v>
      </c>
      <c r="AB383" t="str">
        <f t="shared" si="11"/>
        <v>Census Tract 58.01, King County, Washington</v>
      </c>
      <c r="AC383" s="3">
        <f>VLOOKUP($AB383,'2000 Seattle Tracts'!$C$2:$Y$374,AC$1,FALSE)*$Z383</f>
        <v>168.09392872152671</v>
      </c>
      <c r="AD383" s="3">
        <f>VLOOKUP($AB383,'2000 Seattle Tracts'!$C$2:$Y$374,AD$1,FALSE)*$Z383</f>
        <v>136.97638655670085</v>
      </c>
      <c r="AE383" s="3">
        <f>VLOOKUP($AB383,'2000 Seattle Tracts'!$C$2:$Y$374,AE$1,FALSE)*$Z383</f>
        <v>31.117542164825878</v>
      </c>
      <c r="AF383" s="3">
        <f>VLOOKUP($AB383,'2000 Seattle Tracts'!$C$2:$Y$374,AF$1,FALSE)*$Z383</f>
        <v>168.09392872152671</v>
      </c>
      <c r="AG383" s="3">
        <f>VLOOKUP($AB383,'2000 Seattle Tracts'!$C$2:$Y$374,AG$1,FALSE)*$Z383</f>
        <v>136.97638655670085</v>
      </c>
      <c r="AH383" s="3">
        <f>VLOOKUP($AB383,'2000 Seattle Tracts'!$C$2:$Y$374,AH$1,FALSE)*$Z383</f>
        <v>31.117542164825878</v>
      </c>
      <c r="AI383" s="3">
        <f>VLOOKUP($AB383,'2000 Seattle Tracts'!$C$2:$Y$374,AI$1,FALSE)*$Z383</f>
        <v>120.54810032461678</v>
      </c>
      <c r="AJ383" s="3">
        <f>VLOOKUP($AB383,'2000 Seattle Tracts'!$C$2:$Y$374,AJ$1,FALSE)*$Z383</f>
        <v>17.575306216756591</v>
      </c>
      <c r="AK383" s="3">
        <f>VLOOKUP($AB383,'2000 Seattle Tracts'!$C$2:$Y$374,AK$1,FALSE)*$Z383</f>
        <v>2.4420425480124948</v>
      </c>
      <c r="AL383" s="3">
        <f>VLOOKUP($AB383,'2000 Seattle Tracts'!$C$2:$Y$374,AL$1,FALSE)*$Z383</f>
        <v>1.665029010008519</v>
      </c>
      <c r="AM383" s="3">
        <f>VLOOKUP($AB383,'2000 Seattle Tracts'!$C$2:$Y$374,AM$1,FALSE)*$Z383</f>
        <v>3.3670586646838943</v>
      </c>
      <c r="AN383" s="3">
        <f>VLOOKUP($AB383,'2000 Seattle Tracts'!$C$2:$Y$374,AN$1,FALSE)*$Z383</f>
        <v>0.37000644666855981</v>
      </c>
      <c r="AO383" s="3">
        <f>VLOOKUP($AB383,'2000 Seattle Tracts'!$C$2:$Y$374,AO$1,FALSE)*$Z383</f>
        <v>0.25900451266799185</v>
      </c>
      <c r="AP383" s="3">
        <f>VLOOKUP($AB383,'2000 Seattle Tracts'!$C$2:$Y$374,AP$1,FALSE)*$Z383</f>
        <v>0</v>
      </c>
      <c r="AQ383" s="3">
        <f>VLOOKUP($AB383,'2000 Seattle Tracts'!$C$2:$Y$374,AQ$1,FALSE)*$Z383</f>
        <v>5.2910921873604053</v>
      </c>
      <c r="AR383" s="3">
        <f>VLOOKUP($AB383,'2000 Seattle Tracts'!$C$2:$Y$374,AR$1,FALSE)*$Z383</f>
        <v>9.1021585880465707</v>
      </c>
      <c r="AS383" s="3">
        <f>VLOOKUP($AB383,'2000 Seattle Tracts'!$C$2:$Y$374,AS$1,FALSE)*$Z383</f>
        <v>0</v>
      </c>
      <c r="AT383" s="3">
        <f>VLOOKUP($AB383,'2000 Seattle Tracts'!$C$2:$Y$374,AT$1,FALSE)*$Z383</f>
        <v>0.5180090253359837</v>
      </c>
      <c r="AU383" s="3">
        <f>VLOOKUP($AB383,'2000 Seattle Tracts'!$C$2:$Y$374,AU$1,FALSE)*$Z383</f>
        <v>1.5540270760079511</v>
      </c>
      <c r="AV383" s="3">
        <f>VLOOKUP($AB383,'2000 Seattle Tracts'!$C$2:$Y$374,AV$1,FALSE)*$Z383</f>
        <v>1.1470199846725353</v>
      </c>
      <c r="AW383" s="3">
        <f>VLOOKUP($AB383,'2000 Seattle Tracts'!$C$2:$Y$374,AW$1,FALSE)*$Z383</f>
        <v>3.515061243351318</v>
      </c>
      <c r="AX383" s="3">
        <f>VLOOKUP($AB383,'2000 Seattle Tracts'!$C$2:$Y$374,AX$1,FALSE)*$Z383</f>
        <v>0.74001289333711961</v>
      </c>
    </row>
    <row r="384" spans="1:50" x14ac:dyDescent="0.25">
      <c r="A384" t="s">
        <v>2917</v>
      </c>
      <c r="B384" t="s">
        <v>2918</v>
      </c>
      <c r="C384" t="s">
        <v>3164</v>
      </c>
      <c r="D384" t="s">
        <v>2644</v>
      </c>
      <c r="E384" t="s">
        <v>2645</v>
      </c>
      <c r="F384" t="s">
        <v>2646</v>
      </c>
      <c r="G384" t="s">
        <v>2920</v>
      </c>
      <c r="H384" t="s">
        <v>2921</v>
      </c>
      <c r="I384">
        <v>1779677</v>
      </c>
      <c r="J384">
        <v>301744</v>
      </c>
      <c r="K384" t="s">
        <v>3165</v>
      </c>
      <c r="L384" t="s">
        <v>3166</v>
      </c>
      <c r="M384">
        <v>50</v>
      </c>
      <c r="N384">
        <v>38766.065999999999</v>
      </c>
      <c r="O384" t="s">
        <v>145</v>
      </c>
      <c r="P384">
        <v>8</v>
      </c>
      <c r="Q384">
        <v>4</v>
      </c>
      <c r="R384">
        <v>23</v>
      </c>
      <c r="S384">
        <v>55091524</v>
      </c>
      <c r="T384">
        <v>52</v>
      </c>
      <c r="U384">
        <v>134</v>
      </c>
      <c r="V384">
        <v>38766.06733491068</v>
      </c>
      <c r="W384">
        <v>55091525.290939339</v>
      </c>
      <c r="X384">
        <v>911635.429</v>
      </c>
      <c r="Y384">
        <f>VLOOKUP(AB384,'2000 Seattle Tracts'!$C$2:$Z$374,24,FALSE)</f>
        <v>1808549.6240000001</v>
      </c>
      <c r="Z384">
        <f t="shared" si="10"/>
        <v>0.50406990048949851</v>
      </c>
      <c r="AA384" t="s">
        <v>144</v>
      </c>
      <c r="AB384" t="str">
        <f t="shared" si="11"/>
        <v>Census Tract 58.01, King County, Washington</v>
      </c>
      <c r="AC384" s="3">
        <f>VLOOKUP($AB384,'2000 Seattle Tracts'!$C$2:$Y$374,AC$1,FALSE)*$Z384</f>
        <v>2289.9895579237918</v>
      </c>
      <c r="AD384" s="3">
        <f>VLOOKUP($AB384,'2000 Seattle Tracts'!$C$2:$Y$374,AD$1,FALSE)*$Z384</f>
        <v>1866.0667716121236</v>
      </c>
      <c r="AE384" s="3">
        <f>VLOOKUP($AB384,'2000 Seattle Tracts'!$C$2:$Y$374,AE$1,FALSE)*$Z384</f>
        <v>423.92278631166823</v>
      </c>
      <c r="AF384" s="3">
        <f>VLOOKUP($AB384,'2000 Seattle Tracts'!$C$2:$Y$374,AF$1,FALSE)*$Z384</f>
        <v>2289.9895579237918</v>
      </c>
      <c r="AG384" s="3">
        <f>VLOOKUP($AB384,'2000 Seattle Tracts'!$C$2:$Y$374,AG$1,FALSE)*$Z384</f>
        <v>1866.0667716121236</v>
      </c>
      <c r="AH384" s="3">
        <f>VLOOKUP($AB384,'2000 Seattle Tracts'!$C$2:$Y$374,AH$1,FALSE)*$Z384</f>
        <v>423.92278631166823</v>
      </c>
      <c r="AI384" s="3">
        <f>VLOOKUP($AB384,'2000 Seattle Tracts'!$C$2:$Y$374,AI$1,FALSE)*$Z384</f>
        <v>1642.2597357947861</v>
      </c>
      <c r="AJ384" s="3">
        <f>VLOOKUP($AB384,'2000 Seattle Tracts'!$C$2:$Y$374,AJ$1,FALSE)*$Z384</f>
        <v>239.4332027325118</v>
      </c>
      <c r="AK384" s="3">
        <f>VLOOKUP($AB384,'2000 Seattle Tracts'!$C$2:$Y$374,AK$1,FALSE)*$Z384</f>
        <v>33.2686134323069</v>
      </c>
      <c r="AL384" s="3">
        <f>VLOOKUP($AB384,'2000 Seattle Tracts'!$C$2:$Y$374,AL$1,FALSE)*$Z384</f>
        <v>22.683145522027434</v>
      </c>
      <c r="AM384" s="3">
        <f>VLOOKUP($AB384,'2000 Seattle Tracts'!$C$2:$Y$374,AM$1,FALSE)*$Z384</f>
        <v>45.870360944544366</v>
      </c>
      <c r="AN384" s="3">
        <f>VLOOKUP($AB384,'2000 Seattle Tracts'!$C$2:$Y$374,AN$1,FALSE)*$Z384</f>
        <v>5.0406990048949849</v>
      </c>
      <c r="AO384" s="3">
        <f>VLOOKUP($AB384,'2000 Seattle Tracts'!$C$2:$Y$374,AO$1,FALSE)*$Z384</f>
        <v>3.5284893034264897</v>
      </c>
      <c r="AP384" s="3">
        <f>VLOOKUP($AB384,'2000 Seattle Tracts'!$C$2:$Y$374,AP$1,FALSE)*$Z384</f>
        <v>0</v>
      </c>
      <c r="AQ384" s="3">
        <f>VLOOKUP($AB384,'2000 Seattle Tracts'!$C$2:$Y$374,AQ$1,FALSE)*$Z384</f>
        <v>72.081995769998287</v>
      </c>
      <c r="AR384" s="3">
        <f>VLOOKUP($AB384,'2000 Seattle Tracts'!$C$2:$Y$374,AR$1,FALSE)*$Z384</f>
        <v>124.00119552041663</v>
      </c>
      <c r="AS384" s="3">
        <f>VLOOKUP($AB384,'2000 Seattle Tracts'!$C$2:$Y$374,AS$1,FALSE)*$Z384</f>
        <v>0</v>
      </c>
      <c r="AT384" s="3">
        <f>VLOOKUP($AB384,'2000 Seattle Tracts'!$C$2:$Y$374,AT$1,FALSE)*$Z384</f>
        <v>7.0569786068529794</v>
      </c>
      <c r="AU384" s="3">
        <f>VLOOKUP($AB384,'2000 Seattle Tracts'!$C$2:$Y$374,AU$1,FALSE)*$Z384</f>
        <v>21.170935820558938</v>
      </c>
      <c r="AV384" s="3">
        <f>VLOOKUP($AB384,'2000 Seattle Tracts'!$C$2:$Y$374,AV$1,FALSE)*$Z384</f>
        <v>15.626166915174453</v>
      </c>
      <c r="AW384" s="3">
        <f>VLOOKUP($AB384,'2000 Seattle Tracts'!$C$2:$Y$374,AW$1,FALSE)*$Z384</f>
        <v>47.886640546502356</v>
      </c>
      <c r="AX384" s="3">
        <f>VLOOKUP($AB384,'2000 Seattle Tracts'!$C$2:$Y$374,AX$1,FALSE)*$Z384</f>
        <v>10.08139800978997</v>
      </c>
    </row>
    <row r="385" spans="1:50" x14ac:dyDescent="0.25">
      <c r="A385" t="s">
        <v>2917</v>
      </c>
      <c r="B385" t="s">
        <v>2918</v>
      </c>
      <c r="C385" t="s">
        <v>3164</v>
      </c>
      <c r="D385" t="s">
        <v>2644</v>
      </c>
      <c r="E385" t="s">
        <v>2645</v>
      </c>
      <c r="F385" t="s">
        <v>2646</v>
      </c>
      <c r="G385" t="s">
        <v>2920</v>
      </c>
      <c r="H385" t="s">
        <v>2921</v>
      </c>
      <c r="I385">
        <v>1779677</v>
      </c>
      <c r="J385">
        <v>301744</v>
      </c>
      <c r="K385" t="s">
        <v>3165</v>
      </c>
      <c r="L385" t="s">
        <v>3166</v>
      </c>
      <c r="M385">
        <v>52</v>
      </c>
      <c r="N385">
        <v>20223.18</v>
      </c>
      <c r="O385" t="s">
        <v>145</v>
      </c>
      <c r="P385">
        <v>8</v>
      </c>
      <c r="Q385">
        <v>4</v>
      </c>
      <c r="R385">
        <v>24</v>
      </c>
      <c r="S385">
        <v>18469264</v>
      </c>
      <c r="T385">
        <v>54</v>
      </c>
      <c r="U385">
        <v>144</v>
      </c>
      <c r="V385">
        <v>20223.18015015221</v>
      </c>
      <c r="W385">
        <v>18469263.88812134</v>
      </c>
      <c r="X385">
        <v>277.03100000000001</v>
      </c>
      <c r="Y385">
        <f>VLOOKUP(AB385,'2000 Seattle Tracts'!$C$2:$Z$374,24,FALSE)</f>
        <v>1808549.6240000001</v>
      </c>
      <c r="Z385">
        <f t="shared" si="10"/>
        <v>1.5317854501956425E-4</v>
      </c>
      <c r="AA385" t="s">
        <v>147</v>
      </c>
      <c r="AB385" t="str">
        <f t="shared" si="11"/>
        <v>Census Tract 58.01, King County, Washington</v>
      </c>
      <c r="AC385" s="3">
        <f>VLOOKUP($AB385,'2000 Seattle Tracts'!$C$2:$Y$374,AC$1,FALSE)*$Z385</f>
        <v>0.69589013002388034</v>
      </c>
      <c r="AD385" s="3">
        <f>VLOOKUP($AB385,'2000 Seattle Tracts'!$C$2:$Y$374,AD$1,FALSE)*$Z385</f>
        <v>0.56706697366242687</v>
      </c>
      <c r="AE385" s="3">
        <f>VLOOKUP($AB385,'2000 Seattle Tracts'!$C$2:$Y$374,AE$1,FALSE)*$Z385</f>
        <v>0.12882315636145353</v>
      </c>
      <c r="AF385" s="3">
        <f>VLOOKUP($AB385,'2000 Seattle Tracts'!$C$2:$Y$374,AF$1,FALSE)*$Z385</f>
        <v>0.69589013002388034</v>
      </c>
      <c r="AG385" s="3">
        <f>VLOOKUP($AB385,'2000 Seattle Tracts'!$C$2:$Y$374,AG$1,FALSE)*$Z385</f>
        <v>0.56706697366242687</v>
      </c>
      <c r="AH385" s="3">
        <f>VLOOKUP($AB385,'2000 Seattle Tracts'!$C$2:$Y$374,AH$1,FALSE)*$Z385</f>
        <v>0.12882315636145353</v>
      </c>
      <c r="AI385" s="3">
        <f>VLOOKUP($AB385,'2000 Seattle Tracts'!$C$2:$Y$374,AI$1,FALSE)*$Z385</f>
        <v>0.49905569967374031</v>
      </c>
      <c r="AJ385" s="3">
        <f>VLOOKUP($AB385,'2000 Seattle Tracts'!$C$2:$Y$374,AJ$1,FALSE)*$Z385</f>
        <v>7.2759808884293023E-2</v>
      </c>
      <c r="AK385" s="3">
        <f>VLOOKUP($AB385,'2000 Seattle Tracts'!$C$2:$Y$374,AK$1,FALSE)*$Z385</f>
        <v>1.0109783971291241E-2</v>
      </c>
      <c r="AL385" s="3">
        <f>VLOOKUP($AB385,'2000 Seattle Tracts'!$C$2:$Y$374,AL$1,FALSE)*$Z385</f>
        <v>6.8930345258803915E-3</v>
      </c>
      <c r="AM385" s="3">
        <f>VLOOKUP($AB385,'2000 Seattle Tracts'!$C$2:$Y$374,AM$1,FALSE)*$Z385</f>
        <v>1.3939247596780346E-2</v>
      </c>
      <c r="AN385" s="3">
        <f>VLOOKUP($AB385,'2000 Seattle Tracts'!$C$2:$Y$374,AN$1,FALSE)*$Z385</f>
        <v>1.5317854501956424E-3</v>
      </c>
      <c r="AO385" s="3">
        <f>VLOOKUP($AB385,'2000 Seattle Tracts'!$C$2:$Y$374,AO$1,FALSE)*$Z385</f>
        <v>1.0722498151369496E-3</v>
      </c>
      <c r="AP385" s="3">
        <f>VLOOKUP($AB385,'2000 Seattle Tracts'!$C$2:$Y$374,AP$1,FALSE)*$Z385</f>
        <v>0</v>
      </c>
      <c r="AQ385" s="3">
        <f>VLOOKUP($AB385,'2000 Seattle Tracts'!$C$2:$Y$374,AQ$1,FALSE)*$Z385</f>
        <v>2.1904531937797688E-2</v>
      </c>
      <c r="AR385" s="3">
        <f>VLOOKUP($AB385,'2000 Seattle Tracts'!$C$2:$Y$374,AR$1,FALSE)*$Z385</f>
        <v>3.7681922074812801E-2</v>
      </c>
      <c r="AS385" s="3">
        <f>VLOOKUP($AB385,'2000 Seattle Tracts'!$C$2:$Y$374,AS$1,FALSE)*$Z385</f>
        <v>0</v>
      </c>
      <c r="AT385" s="3">
        <f>VLOOKUP($AB385,'2000 Seattle Tracts'!$C$2:$Y$374,AT$1,FALSE)*$Z385</f>
        <v>2.1444996302738993E-3</v>
      </c>
      <c r="AU385" s="3">
        <f>VLOOKUP($AB385,'2000 Seattle Tracts'!$C$2:$Y$374,AU$1,FALSE)*$Z385</f>
        <v>6.4334988908216987E-3</v>
      </c>
      <c r="AV385" s="3">
        <f>VLOOKUP($AB385,'2000 Seattle Tracts'!$C$2:$Y$374,AV$1,FALSE)*$Z385</f>
        <v>4.7485348956064913E-3</v>
      </c>
      <c r="AW385" s="3">
        <f>VLOOKUP($AB385,'2000 Seattle Tracts'!$C$2:$Y$374,AW$1,FALSE)*$Z385</f>
        <v>1.4551961776858604E-2</v>
      </c>
      <c r="AX385" s="3">
        <f>VLOOKUP($AB385,'2000 Seattle Tracts'!$C$2:$Y$374,AX$1,FALSE)*$Z385</f>
        <v>3.0635709003912848E-3</v>
      </c>
    </row>
    <row r="386" spans="1:50" x14ac:dyDescent="0.25">
      <c r="A386" t="s">
        <v>2917</v>
      </c>
      <c r="B386" t="s">
        <v>2918</v>
      </c>
      <c r="C386" t="s">
        <v>3164</v>
      </c>
      <c r="D386" t="s">
        <v>2644</v>
      </c>
      <c r="E386" t="s">
        <v>2645</v>
      </c>
      <c r="F386" t="s">
        <v>2646</v>
      </c>
      <c r="G386" t="s">
        <v>2920</v>
      </c>
      <c r="H386" t="s">
        <v>2921</v>
      </c>
      <c r="I386">
        <v>1779677</v>
      </c>
      <c r="J386">
        <v>301744</v>
      </c>
      <c r="K386" t="s">
        <v>3165</v>
      </c>
      <c r="L386" t="s">
        <v>3166</v>
      </c>
      <c r="M386">
        <v>66</v>
      </c>
      <c r="N386">
        <v>64207.586000000003</v>
      </c>
      <c r="O386" t="s">
        <v>164</v>
      </c>
      <c r="P386">
        <v>9</v>
      </c>
      <c r="Q386">
        <v>12</v>
      </c>
      <c r="R386">
        <v>95</v>
      </c>
      <c r="S386">
        <v>33503942</v>
      </c>
      <c r="T386">
        <v>68</v>
      </c>
      <c r="U386">
        <v>199</v>
      </c>
      <c r="V386">
        <v>64207.586761171791</v>
      </c>
      <c r="W386">
        <v>33503941.092720222</v>
      </c>
      <c r="X386">
        <v>825635.522</v>
      </c>
      <c r="Y386">
        <f>VLOOKUP(AB386,'2000 Seattle Tracts'!$C$2:$Z$374,24,FALSE)</f>
        <v>1808549.6240000001</v>
      </c>
      <c r="Z386">
        <f t="shared" si="10"/>
        <v>0.45651803580259404</v>
      </c>
      <c r="AA386" t="s">
        <v>163</v>
      </c>
      <c r="AB386" t="str">
        <f t="shared" si="11"/>
        <v>Census Tract 58.01, King County, Washington</v>
      </c>
      <c r="AC386" s="3">
        <f>VLOOKUP($AB386,'2000 Seattle Tracts'!$C$2:$Y$374,AC$1,FALSE)*$Z386</f>
        <v>2073.9614366511846</v>
      </c>
      <c r="AD386" s="3">
        <f>VLOOKUP($AB386,'2000 Seattle Tracts'!$C$2:$Y$374,AD$1,FALSE)*$Z386</f>
        <v>1690.0297685412031</v>
      </c>
      <c r="AE386" s="3">
        <f>VLOOKUP($AB386,'2000 Seattle Tracts'!$C$2:$Y$374,AE$1,FALSE)*$Z386</f>
        <v>383.93166810998156</v>
      </c>
      <c r="AF386" s="3">
        <f>VLOOKUP($AB386,'2000 Seattle Tracts'!$C$2:$Y$374,AF$1,FALSE)*$Z386</f>
        <v>2073.9614366511846</v>
      </c>
      <c r="AG386" s="3">
        <f>VLOOKUP($AB386,'2000 Seattle Tracts'!$C$2:$Y$374,AG$1,FALSE)*$Z386</f>
        <v>1690.0297685412031</v>
      </c>
      <c r="AH386" s="3">
        <f>VLOOKUP($AB386,'2000 Seattle Tracts'!$C$2:$Y$374,AH$1,FALSE)*$Z386</f>
        <v>383.93166810998156</v>
      </c>
      <c r="AI386" s="3">
        <f>VLOOKUP($AB386,'2000 Seattle Tracts'!$C$2:$Y$374,AI$1,FALSE)*$Z386</f>
        <v>1487.3357606448515</v>
      </c>
      <c r="AJ386" s="3">
        <f>VLOOKUP($AB386,'2000 Seattle Tracts'!$C$2:$Y$374,AJ$1,FALSE)*$Z386</f>
        <v>216.84606700623218</v>
      </c>
      <c r="AK386" s="3">
        <f>VLOOKUP($AB386,'2000 Seattle Tracts'!$C$2:$Y$374,AK$1,FALSE)*$Z386</f>
        <v>30.130190362971206</v>
      </c>
      <c r="AL386" s="3">
        <f>VLOOKUP($AB386,'2000 Seattle Tracts'!$C$2:$Y$374,AL$1,FALSE)*$Z386</f>
        <v>20.543311611116732</v>
      </c>
      <c r="AM386" s="3">
        <f>VLOOKUP($AB386,'2000 Seattle Tracts'!$C$2:$Y$374,AM$1,FALSE)*$Z386</f>
        <v>41.543141258036059</v>
      </c>
      <c r="AN386" s="3">
        <f>VLOOKUP($AB386,'2000 Seattle Tracts'!$C$2:$Y$374,AN$1,FALSE)*$Z386</f>
        <v>4.5651803580259402</v>
      </c>
      <c r="AO386" s="3">
        <f>VLOOKUP($AB386,'2000 Seattle Tracts'!$C$2:$Y$374,AO$1,FALSE)*$Z386</f>
        <v>3.1956262506181581</v>
      </c>
      <c r="AP386" s="3">
        <f>VLOOKUP($AB386,'2000 Seattle Tracts'!$C$2:$Y$374,AP$1,FALSE)*$Z386</f>
        <v>0</v>
      </c>
      <c r="AQ386" s="3">
        <f>VLOOKUP($AB386,'2000 Seattle Tracts'!$C$2:$Y$374,AQ$1,FALSE)*$Z386</f>
        <v>65.282079119770941</v>
      </c>
      <c r="AR386" s="3">
        <f>VLOOKUP($AB386,'2000 Seattle Tracts'!$C$2:$Y$374,AR$1,FALSE)*$Z386</f>
        <v>112.30343680743813</v>
      </c>
      <c r="AS386" s="3">
        <f>VLOOKUP($AB386,'2000 Seattle Tracts'!$C$2:$Y$374,AS$1,FALSE)*$Z386</f>
        <v>0</v>
      </c>
      <c r="AT386" s="3">
        <f>VLOOKUP($AB386,'2000 Seattle Tracts'!$C$2:$Y$374,AT$1,FALSE)*$Z386</f>
        <v>6.3912525012363162</v>
      </c>
      <c r="AU386" s="3">
        <f>VLOOKUP($AB386,'2000 Seattle Tracts'!$C$2:$Y$374,AU$1,FALSE)*$Z386</f>
        <v>19.173757503708948</v>
      </c>
      <c r="AV386" s="3">
        <f>VLOOKUP($AB386,'2000 Seattle Tracts'!$C$2:$Y$374,AV$1,FALSE)*$Z386</f>
        <v>14.152059109880415</v>
      </c>
      <c r="AW386" s="3">
        <f>VLOOKUP($AB386,'2000 Seattle Tracts'!$C$2:$Y$374,AW$1,FALSE)*$Z386</f>
        <v>43.369213401246434</v>
      </c>
      <c r="AX386" s="3">
        <f>VLOOKUP($AB386,'2000 Seattle Tracts'!$C$2:$Y$374,AX$1,FALSE)*$Z386</f>
        <v>9.1303607160518805</v>
      </c>
    </row>
    <row r="387" spans="1:50" x14ac:dyDescent="0.25">
      <c r="A387" t="s">
        <v>2917</v>
      </c>
      <c r="B387" t="s">
        <v>2918</v>
      </c>
      <c r="C387" t="s">
        <v>3191</v>
      </c>
      <c r="D387" t="s">
        <v>2647</v>
      </c>
      <c r="E387" t="s">
        <v>2648</v>
      </c>
      <c r="F387" t="s">
        <v>2649</v>
      </c>
      <c r="G387" t="s">
        <v>2920</v>
      </c>
      <c r="H387" t="s">
        <v>2921</v>
      </c>
      <c r="I387">
        <v>5107335</v>
      </c>
      <c r="J387">
        <v>12308425</v>
      </c>
      <c r="K387" t="s">
        <v>3483</v>
      </c>
      <c r="L387" t="s">
        <v>3484</v>
      </c>
      <c r="M387">
        <v>50</v>
      </c>
      <c r="N387">
        <v>38766.065999999999</v>
      </c>
      <c r="O387" t="s">
        <v>145</v>
      </c>
      <c r="P387">
        <v>8</v>
      </c>
      <c r="Q387">
        <v>4</v>
      </c>
      <c r="R387">
        <v>23</v>
      </c>
      <c r="S387">
        <v>55091524</v>
      </c>
      <c r="T387">
        <v>52</v>
      </c>
      <c r="U387">
        <v>134</v>
      </c>
      <c r="V387">
        <v>38766.06733491068</v>
      </c>
      <c r="W387">
        <v>55091525.290939339</v>
      </c>
      <c r="X387">
        <v>4180226.3160000001</v>
      </c>
      <c r="Y387">
        <f>VLOOKUP(AB387,'2000 Seattle Tracts'!$C$2:$Z$374,24,FALSE)</f>
        <v>4973399.7120000003</v>
      </c>
      <c r="Z387">
        <f t="shared" si="10"/>
        <v>0.84051686131597214</v>
      </c>
      <c r="AA387" t="s">
        <v>144</v>
      </c>
      <c r="AB387" t="str">
        <f t="shared" si="11"/>
        <v>Census Tract 57, King County, Washington</v>
      </c>
      <c r="AC387" s="3">
        <f>VLOOKUP($AB387,'2000 Seattle Tracts'!$C$2:$Y$374,AC$1,FALSE)*$Z387</f>
        <v>5034.6959992826733</v>
      </c>
      <c r="AD387" s="3">
        <f>VLOOKUP($AB387,'2000 Seattle Tracts'!$C$2:$Y$374,AD$1,FALSE)*$Z387</f>
        <v>4448.8557469454408</v>
      </c>
      <c r="AE387" s="3">
        <f>VLOOKUP($AB387,'2000 Seattle Tracts'!$C$2:$Y$374,AE$1,FALSE)*$Z387</f>
        <v>585.84025233723253</v>
      </c>
      <c r="AF387" s="3">
        <f>VLOOKUP($AB387,'2000 Seattle Tracts'!$C$2:$Y$374,AF$1,FALSE)*$Z387</f>
        <v>5034.6959992826733</v>
      </c>
      <c r="AG387" s="3">
        <f>VLOOKUP($AB387,'2000 Seattle Tracts'!$C$2:$Y$374,AG$1,FALSE)*$Z387</f>
        <v>4448.8557469454408</v>
      </c>
      <c r="AH387" s="3">
        <f>VLOOKUP($AB387,'2000 Seattle Tracts'!$C$2:$Y$374,AH$1,FALSE)*$Z387</f>
        <v>585.84025233723253</v>
      </c>
      <c r="AI387" s="3">
        <f>VLOOKUP($AB387,'2000 Seattle Tracts'!$C$2:$Y$374,AI$1,FALSE)*$Z387</f>
        <v>3951.2697650463851</v>
      </c>
      <c r="AJ387" s="3">
        <f>VLOOKUP($AB387,'2000 Seattle Tracts'!$C$2:$Y$374,AJ$1,FALSE)*$Z387</f>
        <v>273.16797992769096</v>
      </c>
      <c r="AK387" s="3">
        <f>VLOOKUP($AB387,'2000 Seattle Tracts'!$C$2:$Y$374,AK$1,FALSE)*$Z387</f>
        <v>59.67669715343402</v>
      </c>
      <c r="AL387" s="3">
        <f>VLOOKUP($AB387,'2000 Seattle Tracts'!$C$2:$Y$374,AL$1,FALSE)*$Z387</f>
        <v>24.374988978163191</v>
      </c>
      <c r="AM387" s="3">
        <f>VLOOKUP($AB387,'2000 Seattle Tracts'!$C$2:$Y$374,AM$1,FALSE)*$Z387</f>
        <v>88.254270438177073</v>
      </c>
      <c r="AN387" s="3">
        <f>VLOOKUP($AB387,'2000 Seattle Tracts'!$C$2:$Y$374,AN$1,FALSE)*$Z387</f>
        <v>24.374988978163191</v>
      </c>
      <c r="AO387" s="3">
        <f>VLOOKUP($AB387,'2000 Seattle Tracts'!$C$2:$Y$374,AO$1,FALSE)*$Z387</f>
        <v>42.86635992711458</v>
      </c>
      <c r="AP387" s="3">
        <f>VLOOKUP($AB387,'2000 Seattle Tracts'!$C$2:$Y$374,AP$1,FALSE)*$Z387</f>
        <v>9.2456854744756942</v>
      </c>
      <c r="AQ387" s="3">
        <f>VLOOKUP($AB387,'2000 Seattle Tracts'!$C$2:$Y$374,AQ$1,FALSE)*$Z387</f>
        <v>100.86202335791666</v>
      </c>
      <c r="AR387" s="3">
        <f>VLOOKUP($AB387,'2000 Seattle Tracts'!$C$2:$Y$374,AR$1,FALSE)*$Z387</f>
        <v>216.85335021952082</v>
      </c>
      <c r="AS387" s="3">
        <f>VLOOKUP($AB387,'2000 Seattle Tracts'!$C$2:$Y$374,AS$1,FALSE)*$Z387</f>
        <v>5.8836180292118048</v>
      </c>
      <c r="AT387" s="3">
        <f>VLOOKUP($AB387,'2000 Seattle Tracts'!$C$2:$Y$374,AT$1,FALSE)*$Z387</f>
        <v>32.780157591322912</v>
      </c>
      <c r="AU387" s="3">
        <f>VLOOKUP($AB387,'2000 Seattle Tracts'!$C$2:$Y$374,AU$1,FALSE)*$Z387</f>
        <v>70.603416350541664</v>
      </c>
      <c r="AV387" s="3">
        <f>VLOOKUP($AB387,'2000 Seattle Tracts'!$C$2:$Y$374,AV$1,FALSE)*$Z387</f>
        <v>0</v>
      </c>
      <c r="AW387" s="3">
        <f>VLOOKUP($AB387,'2000 Seattle Tracts'!$C$2:$Y$374,AW$1,FALSE)*$Z387</f>
        <v>129.43959664265972</v>
      </c>
      <c r="AX387" s="3">
        <f>VLOOKUP($AB387,'2000 Seattle Tracts'!$C$2:$Y$374,AX$1,FALSE)*$Z387</f>
        <v>5.0431011678958324</v>
      </c>
    </row>
    <row r="388" spans="1:50" x14ac:dyDescent="0.25">
      <c r="A388" t="s">
        <v>2917</v>
      </c>
      <c r="B388" t="s">
        <v>2918</v>
      </c>
      <c r="C388" t="s">
        <v>3191</v>
      </c>
      <c r="D388" t="s">
        <v>2647</v>
      </c>
      <c r="E388" t="s">
        <v>2648</v>
      </c>
      <c r="F388" t="s">
        <v>2649</v>
      </c>
      <c r="G388" t="s">
        <v>2920</v>
      </c>
      <c r="H388" t="s">
        <v>2921</v>
      </c>
      <c r="I388">
        <v>5107335</v>
      </c>
      <c r="J388">
        <v>12308425</v>
      </c>
      <c r="K388" t="s">
        <v>3483</v>
      </c>
      <c r="L388" t="s">
        <v>3484</v>
      </c>
      <c r="M388">
        <v>51</v>
      </c>
      <c r="N388">
        <v>26609.791000000001</v>
      </c>
      <c r="O388" t="s">
        <v>145</v>
      </c>
      <c r="P388">
        <v>8</v>
      </c>
      <c r="Q388">
        <v>4</v>
      </c>
      <c r="R388">
        <v>81</v>
      </c>
      <c r="S388">
        <v>26550936</v>
      </c>
      <c r="T388">
        <v>53</v>
      </c>
      <c r="U388">
        <v>141</v>
      </c>
      <c r="V388">
        <v>26609.791226113481</v>
      </c>
      <c r="W388">
        <v>26550936.578557741</v>
      </c>
      <c r="X388">
        <v>404.05599999999998</v>
      </c>
      <c r="Y388">
        <f>VLOOKUP(AB388,'2000 Seattle Tracts'!$C$2:$Z$374,24,FALSE)</f>
        <v>4973399.7120000003</v>
      </c>
      <c r="Z388">
        <f t="shared" ref="Z388:Z451" si="12">X388/Y388</f>
        <v>8.1243419672277488E-5</v>
      </c>
      <c r="AA388" t="s">
        <v>146</v>
      </c>
      <c r="AB388" t="str">
        <f t="shared" ref="AB388:AB451" si="13">_xlfn.CONCAT(F388, ", King County, Washington")</f>
        <v>Census Tract 57, King County, Washington</v>
      </c>
      <c r="AC388" s="3">
        <f>VLOOKUP($AB388,'2000 Seattle Tracts'!$C$2:$Y$374,AC$1,FALSE)*$Z388</f>
        <v>0.48664808383694214</v>
      </c>
      <c r="AD388" s="3">
        <f>VLOOKUP($AB388,'2000 Seattle Tracts'!$C$2:$Y$374,AD$1,FALSE)*$Z388</f>
        <v>0.43002142032536472</v>
      </c>
      <c r="AE388" s="3">
        <f>VLOOKUP($AB388,'2000 Seattle Tracts'!$C$2:$Y$374,AE$1,FALSE)*$Z388</f>
        <v>5.6626663511577406E-2</v>
      </c>
      <c r="AF388" s="3">
        <f>VLOOKUP($AB388,'2000 Seattle Tracts'!$C$2:$Y$374,AF$1,FALSE)*$Z388</f>
        <v>0.48664808383694214</v>
      </c>
      <c r="AG388" s="3">
        <f>VLOOKUP($AB388,'2000 Seattle Tracts'!$C$2:$Y$374,AG$1,FALSE)*$Z388</f>
        <v>0.43002142032536472</v>
      </c>
      <c r="AH388" s="3">
        <f>VLOOKUP($AB388,'2000 Seattle Tracts'!$C$2:$Y$374,AH$1,FALSE)*$Z388</f>
        <v>5.6626663511577406E-2</v>
      </c>
      <c r="AI388" s="3">
        <f>VLOOKUP($AB388,'2000 Seattle Tracts'!$C$2:$Y$374,AI$1,FALSE)*$Z388</f>
        <v>0.38192531587937645</v>
      </c>
      <c r="AJ388" s="3">
        <f>VLOOKUP($AB388,'2000 Seattle Tracts'!$C$2:$Y$374,AJ$1,FALSE)*$Z388</f>
        <v>2.6404111393490182E-2</v>
      </c>
      <c r="AK388" s="3">
        <f>VLOOKUP($AB388,'2000 Seattle Tracts'!$C$2:$Y$374,AK$1,FALSE)*$Z388</f>
        <v>5.7682827967317019E-3</v>
      </c>
      <c r="AL388" s="3">
        <f>VLOOKUP($AB388,'2000 Seattle Tracts'!$C$2:$Y$374,AL$1,FALSE)*$Z388</f>
        <v>2.3560591704960472E-3</v>
      </c>
      <c r="AM388" s="3">
        <f>VLOOKUP($AB388,'2000 Seattle Tracts'!$C$2:$Y$374,AM$1,FALSE)*$Z388</f>
        <v>8.5305590655891366E-3</v>
      </c>
      <c r="AN388" s="3">
        <f>VLOOKUP($AB388,'2000 Seattle Tracts'!$C$2:$Y$374,AN$1,FALSE)*$Z388</f>
        <v>2.3560591704960472E-3</v>
      </c>
      <c r="AO388" s="3">
        <f>VLOOKUP($AB388,'2000 Seattle Tracts'!$C$2:$Y$374,AO$1,FALSE)*$Z388</f>
        <v>4.1434144032861516E-3</v>
      </c>
      <c r="AP388" s="3">
        <f>VLOOKUP($AB388,'2000 Seattle Tracts'!$C$2:$Y$374,AP$1,FALSE)*$Z388</f>
        <v>8.9367761639505235E-4</v>
      </c>
      <c r="AQ388" s="3">
        <f>VLOOKUP($AB388,'2000 Seattle Tracts'!$C$2:$Y$374,AQ$1,FALSE)*$Z388</f>
        <v>9.749210360673298E-3</v>
      </c>
      <c r="AR388" s="3">
        <f>VLOOKUP($AB388,'2000 Seattle Tracts'!$C$2:$Y$374,AR$1,FALSE)*$Z388</f>
        <v>2.0960802275447592E-2</v>
      </c>
      <c r="AS388" s="3">
        <f>VLOOKUP($AB388,'2000 Seattle Tracts'!$C$2:$Y$374,AS$1,FALSE)*$Z388</f>
        <v>5.6870393770594246E-4</v>
      </c>
      <c r="AT388" s="3">
        <f>VLOOKUP($AB388,'2000 Seattle Tracts'!$C$2:$Y$374,AT$1,FALSE)*$Z388</f>
        <v>3.1684933672188218E-3</v>
      </c>
      <c r="AU388" s="3">
        <f>VLOOKUP($AB388,'2000 Seattle Tracts'!$C$2:$Y$374,AU$1,FALSE)*$Z388</f>
        <v>6.8244472524713086E-3</v>
      </c>
      <c r="AV388" s="3">
        <f>VLOOKUP($AB388,'2000 Seattle Tracts'!$C$2:$Y$374,AV$1,FALSE)*$Z388</f>
        <v>0</v>
      </c>
      <c r="AW388" s="3">
        <f>VLOOKUP($AB388,'2000 Seattle Tracts'!$C$2:$Y$374,AW$1,FALSE)*$Z388</f>
        <v>1.2511486629530734E-2</v>
      </c>
      <c r="AX388" s="3">
        <f>VLOOKUP($AB388,'2000 Seattle Tracts'!$C$2:$Y$374,AX$1,FALSE)*$Z388</f>
        <v>4.874605180336649E-4</v>
      </c>
    </row>
    <row r="389" spans="1:50" x14ac:dyDescent="0.25">
      <c r="A389" t="s">
        <v>2917</v>
      </c>
      <c r="B389" t="s">
        <v>2918</v>
      </c>
      <c r="C389" t="s">
        <v>3191</v>
      </c>
      <c r="D389" t="s">
        <v>2647</v>
      </c>
      <c r="E389" t="s">
        <v>2648</v>
      </c>
      <c r="F389" t="s">
        <v>2649</v>
      </c>
      <c r="G389" t="s">
        <v>2920</v>
      </c>
      <c r="H389" t="s">
        <v>2921</v>
      </c>
      <c r="I389">
        <v>5107335</v>
      </c>
      <c r="J389">
        <v>12308425</v>
      </c>
      <c r="K389" t="s">
        <v>3483</v>
      </c>
      <c r="L389" t="s">
        <v>3484</v>
      </c>
      <c r="M389">
        <v>52</v>
      </c>
      <c r="N389">
        <v>20223.18</v>
      </c>
      <c r="O389" t="s">
        <v>145</v>
      </c>
      <c r="P389">
        <v>8</v>
      </c>
      <c r="Q389">
        <v>4</v>
      </c>
      <c r="R389">
        <v>24</v>
      </c>
      <c r="S389">
        <v>18469264</v>
      </c>
      <c r="T389">
        <v>54</v>
      </c>
      <c r="U389">
        <v>144</v>
      </c>
      <c r="V389">
        <v>20223.18015015221</v>
      </c>
      <c r="W389">
        <v>18469263.88812134</v>
      </c>
      <c r="X389">
        <v>638132.41</v>
      </c>
      <c r="Y389">
        <f>VLOOKUP(AB389,'2000 Seattle Tracts'!$C$2:$Z$374,24,FALSE)</f>
        <v>4973399.7120000003</v>
      </c>
      <c r="Z389">
        <f t="shared" si="12"/>
        <v>0.12830909376945732</v>
      </c>
      <c r="AA389" t="s">
        <v>147</v>
      </c>
      <c r="AB389" t="str">
        <f t="shared" si="13"/>
        <v>Census Tract 57, King County, Washington</v>
      </c>
      <c r="AC389" s="3">
        <f>VLOOKUP($AB389,'2000 Seattle Tracts'!$C$2:$Y$374,AC$1,FALSE)*$Z389</f>
        <v>768.5714716790493</v>
      </c>
      <c r="AD389" s="3">
        <f>VLOOKUP($AB389,'2000 Seattle Tracts'!$C$2:$Y$374,AD$1,FALSE)*$Z389</f>
        <v>679.14003332173752</v>
      </c>
      <c r="AE389" s="3">
        <f>VLOOKUP($AB389,'2000 Seattle Tracts'!$C$2:$Y$374,AE$1,FALSE)*$Z389</f>
        <v>89.431438357311748</v>
      </c>
      <c r="AF389" s="3">
        <f>VLOOKUP($AB389,'2000 Seattle Tracts'!$C$2:$Y$374,AF$1,FALSE)*$Z389</f>
        <v>768.5714716790493</v>
      </c>
      <c r="AG389" s="3">
        <f>VLOOKUP($AB389,'2000 Seattle Tracts'!$C$2:$Y$374,AG$1,FALSE)*$Z389</f>
        <v>679.14003332173752</v>
      </c>
      <c r="AH389" s="3">
        <f>VLOOKUP($AB389,'2000 Seattle Tracts'!$C$2:$Y$374,AH$1,FALSE)*$Z389</f>
        <v>89.431438357311748</v>
      </c>
      <c r="AI389" s="3">
        <f>VLOOKUP($AB389,'2000 Seattle Tracts'!$C$2:$Y$374,AI$1,FALSE)*$Z389</f>
        <v>603.18104981021884</v>
      </c>
      <c r="AJ389" s="3">
        <f>VLOOKUP($AB389,'2000 Seattle Tracts'!$C$2:$Y$374,AJ$1,FALSE)*$Z389</f>
        <v>41.700455475073625</v>
      </c>
      <c r="AK389" s="3">
        <f>VLOOKUP($AB389,'2000 Seattle Tracts'!$C$2:$Y$374,AK$1,FALSE)*$Z389</f>
        <v>9.109945657631469</v>
      </c>
      <c r="AL389" s="3">
        <f>VLOOKUP($AB389,'2000 Seattle Tracts'!$C$2:$Y$374,AL$1,FALSE)*$Z389</f>
        <v>3.7209637193142622</v>
      </c>
      <c r="AM389" s="3">
        <f>VLOOKUP($AB389,'2000 Seattle Tracts'!$C$2:$Y$374,AM$1,FALSE)*$Z389</f>
        <v>13.472454845793019</v>
      </c>
      <c r="AN389" s="3">
        <f>VLOOKUP($AB389,'2000 Seattle Tracts'!$C$2:$Y$374,AN$1,FALSE)*$Z389</f>
        <v>3.7209637193142622</v>
      </c>
      <c r="AO389" s="3">
        <f>VLOOKUP($AB389,'2000 Seattle Tracts'!$C$2:$Y$374,AO$1,FALSE)*$Z389</f>
        <v>6.5437637822423227</v>
      </c>
      <c r="AP389" s="3">
        <f>VLOOKUP($AB389,'2000 Seattle Tracts'!$C$2:$Y$374,AP$1,FALSE)*$Z389</f>
        <v>1.4114000314640305</v>
      </c>
      <c r="AQ389" s="3">
        <f>VLOOKUP($AB389,'2000 Seattle Tracts'!$C$2:$Y$374,AQ$1,FALSE)*$Z389</f>
        <v>15.397091252334878</v>
      </c>
      <c r="AR389" s="3">
        <f>VLOOKUP($AB389,'2000 Seattle Tracts'!$C$2:$Y$374,AR$1,FALSE)*$Z389</f>
        <v>33.103746192519985</v>
      </c>
      <c r="AS389" s="3">
        <f>VLOOKUP($AB389,'2000 Seattle Tracts'!$C$2:$Y$374,AS$1,FALSE)*$Z389</f>
        <v>0.89816365638620121</v>
      </c>
      <c r="AT389" s="3">
        <f>VLOOKUP($AB389,'2000 Seattle Tracts'!$C$2:$Y$374,AT$1,FALSE)*$Z389</f>
        <v>5.0040546570088349</v>
      </c>
      <c r="AU389" s="3">
        <f>VLOOKUP($AB389,'2000 Seattle Tracts'!$C$2:$Y$374,AU$1,FALSE)*$Z389</f>
        <v>10.777963876634415</v>
      </c>
      <c r="AV389" s="3">
        <f>VLOOKUP($AB389,'2000 Seattle Tracts'!$C$2:$Y$374,AV$1,FALSE)*$Z389</f>
        <v>0</v>
      </c>
      <c r="AW389" s="3">
        <f>VLOOKUP($AB389,'2000 Seattle Tracts'!$C$2:$Y$374,AW$1,FALSE)*$Z389</f>
        <v>19.759600440496428</v>
      </c>
      <c r="AX389" s="3">
        <f>VLOOKUP($AB389,'2000 Seattle Tracts'!$C$2:$Y$374,AX$1,FALSE)*$Z389</f>
        <v>0.7698545626167439</v>
      </c>
    </row>
    <row r="390" spans="1:50" x14ac:dyDescent="0.25">
      <c r="A390" t="s">
        <v>2917</v>
      </c>
      <c r="B390" t="s">
        <v>2918</v>
      </c>
      <c r="C390" t="s">
        <v>3191</v>
      </c>
      <c r="D390" t="s">
        <v>2647</v>
      </c>
      <c r="E390" t="s">
        <v>2648</v>
      </c>
      <c r="F390" t="s">
        <v>2649</v>
      </c>
      <c r="G390" t="s">
        <v>2920</v>
      </c>
      <c r="H390" t="s">
        <v>2921</v>
      </c>
      <c r="I390">
        <v>5107335</v>
      </c>
      <c r="J390">
        <v>12308425</v>
      </c>
      <c r="K390" t="s">
        <v>3483</v>
      </c>
      <c r="L390" t="s">
        <v>3484</v>
      </c>
      <c r="M390">
        <v>66</v>
      </c>
      <c r="N390">
        <v>64207.586000000003</v>
      </c>
      <c r="O390" t="s">
        <v>164</v>
      </c>
      <c r="P390">
        <v>9</v>
      </c>
      <c r="Q390">
        <v>12</v>
      </c>
      <c r="R390">
        <v>95</v>
      </c>
      <c r="S390">
        <v>33503942</v>
      </c>
      <c r="T390">
        <v>68</v>
      </c>
      <c r="U390">
        <v>199</v>
      </c>
      <c r="V390">
        <v>64207.586761171791</v>
      </c>
      <c r="W390">
        <v>33503941.092720222</v>
      </c>
      <c r="X390">
        <v>136465.62100000001</v>
      </c>
      <c r="Y390">
        <f>VLOOKUP(AB390,'2000 Seattle Tracts'!$C$2:$Z$374,24,FALSE)</f>
        <v>4973399.7120000003</v>
      </c>
      <c r="Z390">
        <f t="shared" si="12"/>
        <v>2.7439101802079327E-2</v>
      </c>
      <c r="AA390" t="s">
        <v>163</v>
      </c>
      <c r="AB390" t="str">
        <f t="shared" si="13"/>
        <v>Census Tract 57, King County, Washington</v>
      </c>
      <c r="AC390" s="3">
        <f>VLOOKUP($AB390,'2000 Seattle Tracts'!$C$2:$Y$374,AC$1,FALSE)*$Z390</f>
        <v>164.36021979445516</v>
      </c>
      <c r="AD390" s="3">
        <f>VLOOKUP($AB390,'2000 Seattle Tracts'!$C$2:$Y$374,AD$1,FALSE)*$Z390</f>
        <v>145.23516583840589</v>
      </c>
      <c r="AE390" s="3">
        <f>VLOOKUP($AB390,'2000 Seattle Tracts'!$C$2:$Y$374,AE$1,FALSE)*$Z390</f>
        <v>19.125053956049292</v>
      </c>
      <c r="AF390" s="3">
        <f>VLOOKUP($AB390,'2000 Seattle Tracts'!$C$2:$Y$374,AF$1,FALSE)*$Z390</f>
        <v>164.36021979445516</v>
      </c>
      <c r="AG390" s="3">
        <f>VLOOKUP($AB390,'2000 Seattle Tracts'!$C$2:$Y$374,AG$1,FALSE)*$Z390</f>
        <v>145.23516583840589</v>
      </c>
      <c r="AH390" s="3">
        <f>VLOOKUP($AB390,'2000 Seattle Tracts'!$C$2:$Y$374,AH$1,FALSE)*$Z390</f>
        <v>19.125053956049292</v>
      </c>
      <c r="AI390" s="3">
        <f>VLOOKUP($AB390,'2000 Seattle Tracts'!$C$2:$Y$374,AI$1,FALSE)*$Z390</f>
        <v>128.99121757157491</v>
      </c>
      <c r="AJ390" s="3">
        <f>VLOOKUP($AB390,'2000 Seattle Tracts'!$C$2:$Y$374,AJ$1,FALSE)*$Z390</f>
        <v>8.9177080856757804</v>
      </c>
      <c r="AK390" s="3">
        <f>VLOOKUP($AB390,'2000 Seattle Tracts'!$C$2:$Y$374,AK$1,FALSE)*$Z390</f>
        <v>1.9481762279476322</v>
      </c>
      <c r="AL390" s="3">
        <f>VLOOKUP($AB390,'2000 Seattle Tracts'!$C$2:$Y$374,AL$1,FALSE)*$Z390</f>
        <v>0.79573395226030053</v>
      </c>
      <c r="AM390" s="3">
        <f>VLOOKUP($AB390,'2000 Seattle Tracts'!$C$2:$Y$374,AM$1,FALSE)*$Z390</f>
        <v>2.8811056892183293</v>
      </c>
      <c r="AN390" s="3">
        <f>VLOOKUP($AB390,'2000 Seattle Tracts'!$C$2:$Y$374,AN$1,FALSE)*$Z390</f>
        <v>0.79573395226030053</v>
      </c>
      <c r="AO390" s="3">
        <f>VLOOKUP($AB390,'2000 Seattle Tracts'!$C$2:$Y$374,AO$1,FALSE)*$Z390</f>
        <v>1.3993941919060457</v>
      </c>
      <c r="AP390" s="3">
        <f>VLOOKUP($AB390,'2000 Seattle Tracts'!$C$2:$Y$374,AP$1,FALSE)*$Z390</f>
        <v>0.30183011982287261</v>
      </c>
      <c r="AQ390" s="3">
        <f>VLOOKUP($AB390,'2000 Seattle Tracts'!$C$2:$Y$374,AQ$1,FALSE)*$Z390</f>
        <v>3.2926922162495194</v>
      </c>
      <c r="AR390" s="3">
        <f>VLOOKUP($AB390,'2000 Seattle Tracts'!$C$2:$Y$374,AR$1,FALSE)*$Z390</f>
        <v>7.0792882649364666</v>
      </c>
      <c r="AS390" s="3">
        <f>VLOOKUP($AB390,'2000 Seattle Tracts'!$C$2:$Y$374,AS$1,FALSE)*$Z390</f>
        <v>0.1920737126145553</v>
      </c>
      <c r="AT390" s="3">
        <f>VLOOKUP($AB390,'2000 Seattle Tracts'!$C$2:$Y$374,AT$1,FALSE)*$Z390</f>
        <v>1.0701249702810938</v>
      </c>
      <c r="AU390" s="3">
        <f>VLOOKUP($AB390,'2000 Seattle Tracts'!$C$2:$Y$374,AU$1,FALSE)*$Z390</f>
        <v>2.3048845513746636</v>
      </c>
      <c r="AV390" s="3">
        <f>VLOOKUP($AB390,'2000 Seattle Tracts'!$C$2:$Y$374,AV$1,FALSE)*$Z390</f>
        <v>0</v>
      </c>
      <c r="AW390" s="3">
        <f>VLOOKUP($AB390,'2000 Seattle Tracts'!$C$2:$Y$374,AW$1,FALSE)*$Z390</f>
        <v>4.2256216775202162</v>
      </c>
      <c r="AX390" s="3">
        <f>VLOOKUP($AB390,'2000 Seattle Tracts'!$C$2:$Y$374,AX$1,FALSE)*$Z390</f>
        <v>0.16463461081247596</v>
      </c>
    </row>
    <row r="391" spans="1:50" x14ac:dyDescent="0.25">
      <c r="A391" t="s">
        <v>2917</v>
      </c>
      <c r="B391" t="s">
        <v>2918</v>
      </c>
      <c r="C391" t="s">
        <v>3281</v>
      </c>
      <c r="D391" t="s">
        <v>2650</v>
      </c>
      <c r="E391" t="s">
        <v>2651</v>
      </c>
      <c r="F391" t="s">
        <v>2652</v>
      </c>
      <c r="G391" t="s">
        <v>2920</v>
      </c>
      <c r="H391" t="s">
        <v>2921</v>
      </c>
      <c r="I391">
        <v>3032928</v>
      </c>
      <c r="J391">
        <v>19889515</v>
      </c>
      <c r="K391" t="s">
        <v>3485</v>
      </c>
      <c r="L391" t="s">
        <v>3486</v>
      </c>
      <c r="M391">
        <v>50</v>
      </c>
      <c r="N391">
        <v>38766.065999999999</v>
      </c>
      <c r="O391" t="s">
        <v>145</v>
      </c>
      <c r="P391">
        <v>8</v>
      </c>
      <c r="Q391">
        <v>4</v>
      </c>
      <c r="R391">
        <v>23</v>
      </c>
      <c r="S391">
        <v>55091524</v>
      </c>
      <c r="T391">
        <v>52</v>
      </c>
      <c r="U391">
        <v>134</v>
      </c>
      <c r="V391">
        <v>38766.06733491068</v>
      </c>
      <c r="W391">
        <v>55091525.290939339</v>
      </c>
      <c r="X391">
        <v>2215.6480000000001</v>
      </c>
      <c r="Y391">
        <f>VLOOKUP(AB391,'2000 Seattle Tracts'!$C$2:$Z$374,24,FALSE)</f>
        <v>2978462.2429999998</v>
      </c>
      <c r="Z391">
        <f t="shared" si="12"/>
        <v>7.4388990668162059E-4</v>
      </c>
      <c r="AA391" t="s">
        <v>144</v>
      </c>
      <c r="AB391" t="str">
        <f t="shared" si="13"/>
        <v>Census Tract 56, King County, Washington</v>
      </c>
      <c r="AC391" s="3">
        <f>VLOOKUP($AB391,'2000 Seattle Tracts'!$C$2:$Y$374,AC$1,FALSE)*$Z391</f>
        <v>4.6336902287198143</v>
      </c>
      <c r="AD391" s="3">
        <f>VLOOKUP($AB391,'2000 Seattle Tracts'!$C$2:$Y$374,AD$1,FALSE)*$Z391</f>
        <v>4.2037218626578383</v>
      </c>
      <c r="AE391" s="3">
        <f>VLOOKUP($AB391,'2000 Seattle Tracts'!$C$2:$Y$374,AE$1,FALSE)*$Z391</f>
        <v>0.42996836606197669</v>
      </c>
      <c r="AF391" s="3">
        <f>VLOOKUP($AB391,'2000 Seattle Tracts'!$C$2:$Y$374,AF$1,FALSE)*$Z391</f>
        <v>4.6336902287198143</v>
      </c>
      <c r="AG391" s="3">
        <f>VLOOKUP($AB391,'2000 Seattle Tracts'!$C$2:$Y$374,AG$1,FALSE)*$Z391</f>
        <v>4.2037218626578383</v>
      </c>
      <c r="AH391" s="3">
        <f>VLOOKUP($AB391,'2000 Seattle Tracts'!$C$2:$Y$374,AH$1,FALSE)*$Z391</f>
        <v>0.42996836606197669</v>
      </c>
      <c r="AI391" s="3">
        <f>VLOOKUP($AB391,'2000 Seattle Tracts'!$C$2:$Y$374,AI$1,FALSE)*$Z391</f>
        <v>3.8518619367974316</v>
      </c>
      <c r="AJ391" s="3">
        <f>VLOOKUP($AB391,'2000 Seattle Tracts'!$C$2:$Y$374,AJ$1,FALSE)*$Z391</f>
        <v>0.30797042136619091</v>
      </c>
      <c r="AK391" s="3">
        <f>VLOOKUP($AB391,'2000 Seattle Tracts'!$C$2:$Y$374,AK$1,FALSE)*$Z391</f>
        <v>4.3889504494215616E-2</v>
      </c>
      <c r="AL391" s="3">
        <f>VLOOKUP($AB391,'2000 Seattle Tracts'!$C$2:$Y$374,AL$1,FALSE)*$Z391</f>
        <v>5.2072293467713441E-3</v>
      </c>
      <c r="AM391" s="3">
        <f>VLOOKUP($AB391,'2000 Seattle Tracts'!$C$2:$Y$374,AM$1,FALSE)*$Z391</f>
        <v>4.1657834774170753E-2</v>
      </c>
      <c r="AN391" s="3">
        <f>VLOOKUP($AB391,'2000 Seattle Tracts'!$C$2:$Y$374,AN$1,FALSE)*$Z391</f>
        <v>4.4633394400897235E-3</v>
      </c>
      <c r="AO391" s="3">
        <f>VLOOKUP($AB391,'2000 Seattle Tracts'!$C$2:$Y$374,AO$1,FALSE)*$Z391</f>
        <v>1.6365577946995655E-2</v>
      </c>
      <c r="AP391" s="3">
        <f>VLOOKUP($AB391,'2000 Seattle Tracts'!$C$2:$Y$374,AP$1,FALSE)*$Z391</f>
        <v>0</v>
      </c>
      <c r="AQ391" s="3">
        <f>VLOOKUP($AB391,'2000 Seattle Tracts'!$C$2:$Y$374,AQ$1,FALSE)*$Z391</f>
        <v>7.8852330108251781E-2</v>
      </c>
      <c r="AR391" s="3">
        <f>VLOOKUP($AB391,'2000 Seattle Tracts'!$C$2:$Y$374,AR$1,FALSE)*$Z391</f>
        <v>8.7035119081749615E-2</v>
      </c>
      <c r="AS391" s="3">
        <f>VLOOKUP($AB391,'2000 Seattle Tracts'!$C$2:$Y$374,AS$1,FALSE)*$Z391</f>
        <v>5.2072293467713441E-3</v>
      </c>
      <c r="AT391" s="3">
        <f>VLOOKUP($AB391,'2000 Seattle Tracts'!$C$2:$Y$374,AT$1,FALSE)*$Z391</f>
        <v>0</v>
      </c>
      <c r="AU391" s="3">
        <f>VLOOKUP($AB391,'2000 Seattle Tracts'!$C$2:$Y$374,AU$1,FALSE)*$Z391</f>
        <v>7.4388990668162059E-3</v>
      </c>
      <c r="AV391" s="3">
        <f>VLOOKUP($AB391,'2000 Seattle Tracts'!$C$2:$Y$374,AV$1,FALSE)*$Z391</f>
        <v>2.3804477013811859E-2</v>
      </c>
      <c r="AW391" s="3">
        <f>VLOOKUP($AB391,'2000 Seattle Tracts'!$C$2:$Y$374,AW$1,FALSE)*$Z391</f>
        <v>0.15844855012318518</v>
      </c>
      <c r="AX391" s="3">
        <f>VLOOKUP($AB391,'2000 Seattle Tracts'!$C$2:$Y$374,AX$1,FALSE)*$Z391</f>
        <v>1.4877798133632412E-3</v>
      </c>
    </row>
    <row r="392" spans="1:50" x14ac:dyDescent="0.25">
      <c r="A392" t="s">
        <v>2917</v>
      </c>
      <c r="B392" t="s">
        <v>2918</v>
      </c>
      <c r="C392" t="s">
        <v>3281</v>
      </c>
      <c r="D392" t="s">
        <v>2650</v>
      </c>
      <c r="E392" t="s">
        <v>2651</v>
      </c>
      <c r="F392" t="s">
        <v>2652</v>
      </c>
      <c r="G392" t="s">
        <v>2920</v>
      </c>
      <c r="H392" t="s">
        <v>2921</v>
      </c>
      <c r="I392">
        <v>3032928</v>
      </c>
      <c r="J392">
        <v>19889515</v>
      </c>
      <c r="K392" t="s">
        <v>3485</v>
      </c>
      <c r="L392" t="s">
        <v>3486</v>
      </c>
      <c r="M392">
        <v>51</v>
      </c>
      <c r="N392">
        <v>26609.791000000001</v>
      </c>
      <c r="O392" t="s">
        <v>145</v>
      </c>
      <c r="P392">
        <v>8</v>
      </c>
      <c r="Q392">
        <v>4</v>
      </c>
      <c r="R392">
        <v>81</v>
      </c>
      <c r="S392">
        <v>26550936</v>
      </c>
      <c r="T392">
        <v>53</v>
      </c>
      <c r="U392">
        <v>141</v>
      </c>
      <c r="V392">
        <v>26609.791226113481</v>
      </c>
      <c r="W392">
        <v>26550936.578557741</v>
      </c>
      <c r="X392">
        <v>2457051.09</v>
      </c>
      <c r="Y392">
        <f>VLOOKUP(AB392,'2000 Seattle Tracts'!$C$2:$Z$374,24,FALSE)</f>
        <v>2978462.2429999998</v>
      </c>
      <c r="Z392">
        <f t="shared" si="12"/>
        <v>0.82493947867715178</v>
      </c>
      <c r="AA392" t="s">
        <v>146</v>
      </c>
      <c r="AB392" t="str">
        <f t="shared" si="13"/>
        <v>Census Tract 56, King County, Washington</v>
      </c>
      <c r="AC392" s="3">
        <f>VLOOKUP($AB392,'2000 Seattle Tracts'!$C$2:$Y$374,AC$1,FALSE)*$Z392</f>
        <v>5138.5480126799785</v>
      </c>
      <c r="AD392" s="3">
        <f>VLOOKUP($AB392,'2000 Seattle Tracts'!$C$2:$Y$374,AD$1,FALSE)*$Z392</f>
        <v>4661.7329940045847</v>
      </c>
      <c r="AE392" s="3">
        <f>VLOOKUP($AB392,'2000 Seattle Tracts'!$C$2:$Y$374,AE$1,FALSE)*$Z392</f>
        <v>476.81501867539373</v>
      </c>
      <c r="AF392" s="3">
        <f>VLOOKUP($AB392,'2000 Seattle Tracts'!$C$2:$Y$374,AF$1,FALSE)*$Z392</f>
        <v>5138.5480126799785</v>
      </c>
      <c r="AG392" s="3">
        <f>VLOOKUP($AB392,'2000 Seattle Tracts'!$C$2:$Y$374,AG$1,FALSE)*$Z392</f>
        <v>4661.7329940045847</v>
      </c>
      <c r="AH392" s="3">
        <f>VLOOKUP($AB392,'2000 Seattle Tracts'!$C$2:$Y$374,AH$1,FALSE)*$Z392</f>
        <v>476.81501867539373</v>
      </c>
      <c r="AI392" s="3">
        <f>VLOOKUP($AB392,'2000 Seattle Tracts'!$C$2:$Y$374,AI$1,FALSE)*$Z392</f>
        <v>4271.5366205902919</v>
      </c>
      <c r="AJ392" s="3">
        <f>VLOOKUP($AB392,'2000 Seattle Tracts'!$C$2:$Y$374,AJ$1,FALSE)*$Z392</f>
        <v>341.52494417234084</v>
      </c>
      <c r="AK392" s="3">
        <f>VLOOKUP($AB392,'2000 Seattle Tracts'!$C$2:$Y$374,AK$1,FALSE)*$Z392</f>
        <v>48.671429241951955</v>
      </c>
      <c r="AL392" s="3">
        <f>VLOOKUP($AB392,'2000 Seattle Tracts'!$C$2:$Y$374,AL$1,FALSE)*$Z392</f>
        <v>5.7745763507400625</v>
      </c>
      <c r="AM392" s="3">
        <f>VLOOKUP($AB392,'2000 Seattle Tracts'!$C$2:$Y$374,AM$1,FALSE)*$Z392</f>
        <v>46.1966108059205</v>
      </c>
      <c r="AN392" s="3">
        <f>VLOOKUP($AB392,'2000 Seattle Tracts'!$C$2:$Y$374,AN$1,FALSE)*$Z392</f>
        <v>4.9496368720629107</v>
      </c>
      <c r="AO392" s="3">
        <f>VLOOKUP($AB392,'2000 Seattle Tracts'!$C$2:$Y$374,AO$1,FALSE)*$Z392</f>
        <v>18.148668530897339</v>
      </c>
      <c r="AP392" s="3">
        <f>VLOOKUP($AB392,'2000 Seattle Tracts'!$C$2:$Y$374,AP$1,FALSE)*$Z392</f>
        <v>0</v>
      </c>
      <c r="AQ392" s="3">
        <f>VLOOKUP($AB392,'2000 Seattle Tracts'!$C$2:$Y$374,AQ$1,FALSE)*$Z392</f>
        <v>87.443584739778089</v>
      </c>
      <c r="AR392" s="3">
        <f>VLOOKUP($AB392,'2000 Seattle Tracts'!$C$2:$Y$374,AR$1,FALSE)*$Z392</f>
        <v>96.517919005226759</v>
      </c>
      <c r="AS392" s="3">
        <f>VLOOKUP($AB392,'2000 Seattle Tracts'!$C$2:$Y$374,AS$1,FALSE)*$Z392</f>
        <v>5.7745763507400625</v>
      </c>
      <c r="AT392" s="3">
        <f>VLOOKUP($AB392,'2000 Seattle Tracts'!$C$2:$Y$374,AT$1,FALSE)*$Z392</f>
        <v>0</v>
      </c>
      <c r="AU392" s="3">
        <f>VLOOKUP($AB392,'2000 Seattle Tracts'!$C$2:$Y$374,AU$1,FALSE)*$Z392</f>
        <v>8.2493947867715178</v>
      </c>
      <c r="AV392" s="3">
        <f>VLOOKUP($AB392,'2000 Seattle Tracts'!$C$2:$Y$374,AV$1,FALSE)*$Z392</f>
        <v>26.398063317668857</v>
      </c>
      <c r="AW392" s="3">
        <f>VLOOKUP($AB392,'2000 Seattle Tracts'!$C$2:$Y$374,AW$1,FALSE)*$Z392</f>
        <v>175.71210895823333</v>
      </c>
      <c r="AX392" s="3">
        <f>VLOOKUP($AB392,'2000 Seattle Tracts'!$C$2:$Y$374,AX$1,FALSE)*$Z392</f>
        <v>1.6498789573543036</v>
      </c>
    </row>
    <row r="393" spans="1:50" x14ac:dyDescent="0.25">
      <c r="A393" t="s">
        <v>2917</v>
      </c>
      <c r="B393" t="s">
        <v>2918</v>
      </c>
      <c r="C393" t="s">
        <v>3281</v>
      </c>
      <c r="D393" t="s">
        <v>2650</v>
      </c>
      <c r="E393" t="s">
        <v>2651</v>
      </c>
      <c r="F393" t="s">
        <v>2652</v>
      </c>
      <c r="G393" t="s">
        <v>2920</v>
      </c>
      <c r="H393" t="s">
        <v>2921</v>
      </c>
      <c r="I393">
        <v>3032928</v>
      </c>
      <c r="J393">
        <v>19889515</v>
      </c>
      <c r="K393" t="s">
        <v>3485</v>
      </c>
      <c r="L393" t="s">
        <v>3486</v>
      </c>
      <c r="M393">
        <v>52</v>
      </c>
      <c r="N393">
        <v>20223.18</v>
      </c>
      <c r="O393" t="s">
        <v>145</v>
      </c>
      <c r="P393">
        <v>8</v>
      </c>
      <c r="Q393">
        <v>4</v>
      </c>
      <c r="R393">
        <v>24</v>
      </c>
      <c r="S393">
        <v>18469264</v>
      </c>
      <c r="T393">
        <v>54</v>
      </c>
      <c r="U393">
        <v>144</v>
      </c>
      <c r="V393">
        <v>20223.18015015221</v>
      </c>
      <c r="W393">
        <v>18469263.88812134</v>
      </c>
      <c r="X393">
        <v>447452.04499999998</v>
      </c>
      <c r="Y393">
        <f>VLOOKUP(AB393,'2000 Seattle Tracts'!$C$2:$Z$374,24,FALSE)</f>
        <v>2978462.2429999998</v>
      </c>
      <c r="Z393">
        <f t="shared" si="12"/>
        <v>0.15022921510977838</v>
      </c>
      <c r="AA393" t="s">
        <v>147</v>
      </c>
      <c r="AB393" t="str">
        <f t="shared" si="13"/>
        <v>Census Tract 56, King County, Washington</v>
      </c>
      <c r="AC393" s="3">
        <f>VLOOKUP($AB393,'2000 Seattle Tracts'!$C$2:$Y$374,AC$1,FALSE)*$Z393</f>
        <v>935.77778091880953</v>
      </c>
      <c r="AD393" s="3">
        <f>VLOOKUP($AB393,'2000 Seattle Tracts'!$C$2:$Y$374,AD$1,FALSE)*$Z393</f>
        <v>848.9452945853576</v>
      </c>
      <c r="AE393" s="3">
        <f>VLOOKUP($AB393,'2000 Seattle Tracts'!$C$2:$Y$374,AE$1,FALSE)*$Z393</f>
        <v>86.832486333451897</v>
      </c>
      <c r="AF393" s="3">
        <f>VLOOKUP($AB393,'2000 Seattle Tracts'!$C$2:$Y$374,AF$1,FALSE)*$Z393</f>
        <v>935.77778091880953</v>
      </c>
      <c r="AG393" s="3">
        <f>VLOOKUP($AB393,'2000 Seattle Tracts'!$C$2:$Y$374,AG$1,FALSE)*$Z393</f>
        <v>848.9452945853576</v>
      </c>
      <c r="AH393" s="3">
        <f>VLOOKUP($AB393,'2000 Seattle Tracts'!$C$2:$Y$374,AH$1,FALSE)*$Z393</f>
        <v>86.832486333451897</v>
      </c>
      <c r="AI393" s="3">
        <f>VLOOKUP($AB393,'2000 Seattle Tracts'!$C$2:$Y$374,AI$1,FALSE)*$Z393</f>
        <v>777.8868758384325</v>
      </c>
      <c r="AJ393" s="3">
        <f>VLOOKUP($AB393,'2000 Seattle Tracts'!$C$2:$Y$374,AJ$1,FALSE)*$Z393</f>
        <v>62.194895055448249</v>
      </c>
      <c r="AK393" s="3">
        <f>VLOOKUP($AB393,'2000 Seattle Tracts'!$C$2:$Y$374,AK$1,FALSE)*$Z393</f>
        <v>8.8635236914769244</v>
      </c>
      <c r="AL393" s="3">
        <f>VLOOKUP($AB393,'2000 Seattle Tracts'!$C$2:$Y$374,AL$1,FALSE)*$Z393</f>
        <v>1.0516045057684487</v>
      </c>
      <c r="AM393" s="3">
        <f>VLOOKUP($AB393,'2000 Seattle Tracts'!$C$2:$Y$374,AM$1,FALSE)*$Z393</f>
        <v>8.4128360461475893</v>
      </c>
      <c r="AN393" s="3">
        <f>VLOOKUP($AB393,'2000 Seattle Tracts'!$C$2:$Y$374,AN$1,FALSE)*$Z393</f>
        <v>0.90137529065867028</v>
      </c>
      <c r="AO393" s="3">
        <f>VLOOKUP($AB393,'2000 Seattle Tracts'!$C$2:$Y$374,AO$1,FALSE)*$Z393</f>
        <v>3.3050427324151244</v>
      </c>
      <c r="AP393" s="3">
        <f>VLOOKUP($AB393,'2000 Seattle Tracts'!$C$2:$Y$374,AP$1,FALSE)*$Z393</f>
        <v>0</v>
      </c>
      <c r="AQ393" s="3">
        <f>VLOOKUP($AB393,'2000 Seattle Tracts'!$C$2:$Y$374,AQ$1,FALSE)*$Z393</f>
        <v>15.924296801636508</v>
      </c>
      <c r="AR393" s="3">
        <f>VLOOKUP($AB393,'2000 Seattle Tracts'!$C$2:$Y$374,AR$1,FALSE)*$Z393</f>
        <v>17.57681816784407</v>
      </c>
      <c r="AS393" s="3">
        <f>VLOOKUP($AB393,'2000 Seattle Tracts'!$C$2:$Y$374,AS$1,FALSE)*$Z393</f>
        <v>1.0516045057684487</v>
      </c>
      <c r="AT393" s="3">
        <f>VLOOKUP($AB393,'2000 Seattle Tracts'!$C$2:$Y$374,AT$1,FALSE)*$Z393</f>
        <v>0</v>
      </c>
      <c r="AU393" s="3">
        <f>VLOOKUP($AB393,'2000 Seattle Tracts'!$C$2:$Y$374,AU$1,FALSE)*$Z393</f>
        <v>1.5022921510977838</v>
      </c>
      <c r="AV393" s="3">
        <f>VLOOKUP($AB393,'2000 Seattle Tracts'!$C$2:$Y$374,AV$1,FALSE)*$Z393</f>
        <v>4.8073348835129082</v>
      </c>
      <c r="AW393" s="3">
        <f>VLOOKUP($AB393,'2000 Seattle Tracts'!$C$2:$Y$374,AW$1,FALSE)*$Z393</f>
        <v>31.998822818382795</v>
      </c>
      <c r="AX393" s="3">
        <f>VLOOKUP($AB393,'2000 Seattle Tracts'!$C$2:$Y$374,AX$1,FALSE)*$Z393</f>
        <v>0.30045843021955676</v>
      </c>
    </row>
    <row r="394" spans="1:50" x14ac:dyDescent="0.25">
      <c r="A394" t="s">
        <v>2917</v>
      </c>
      <c r="B394" t="s">
        <v>2918</v>
      </c>
      <c r="C394" t="s">
        <v>3281</v>
      </c>
      <c r="D394" t="s">
        <v>2650</v>
      </c>
      <c r="E394" t="s">
        <v>2651</v>
      </c>
      <c r="F394" t="s">
        <v>2652</v>
      </c>
      <c r="G394" t="s">
        <v>2920</v>
      </c>
      <c r="H394" t="s">
        <v>2921</v>
      </c>
      <c r="I394">
        <v>3032928</v>
      </c>
      <c r="J394">
        <v>19889515</v>
      </c>
      <c r="K394" t="s">
        <v>3485</v>
      </c>
      <c r="L394" t="s">
        <v>3486</v>
      </c>
      <c r="M394">
        <v>66</v>
      </c>
      <c r="N394">
        <v>64207.586000000003</v>
      </c>
      <c r="O394" t="s">
        <v>164</v>
      </c>
      <c r="P394">
        <v>9</v>
      </c>
      <c r="Q394">
        <v>12</v>
      </c>
      <c r="R394">
        <v>95</v>
      </c>
      <c r="S394">
        <v>33503942</v>
      </c>
      <c r="T394">
        <v>68</v>
      </c>
      <c r="U394">
        <v>199</v>
      </c>
      <c r="V394">
        <v>64207.586761171791</v>
      </c>
      <c r="W394">
        <v>33503941.092720222</v>
      </c>
      <c r="X394">
        <v>66878.116999999998</v>
      </c>
      <c r="Y394">
        <f>VLOOKUP(AB394,'2000 Seattle Tracts'!$C$2:$Z$374,24,FALSE)</f>
        <v>2978462.2429999998</v>
      </c>
      <c r="Z394">
        <f t="shared" si="12"/>
        <v>2.2453907937620279E-2</v>
      </c>
      <c r="AA394" t="s">
        <v>163</v>
      </c>
      <c r="AB394" t="str">
        <f t="shared" si="13"/>
        <v>Census Tract 56, King County, Washington</v>
      </c>
      <c r="AC394" s="3">
        <f>VLOOKUP($AB394,'2000 Seattle Tracts'!$C$2:$Y$374,AC$1,FALSE)*$Z394</f>
        <v>139.86539254343671</v>
      </c>
      <c r="AD394" s="3">
        <f>VLOOKUP($AB394,'2000 Seattle Tracts'!$C$2:$Y$374,AD$1,FALSE)*$Z394</f>
        <v>126.8870337554922</v>
      </c>
      <c r="AE394" s="3">
        <f>VLOOKUP($AB394,'2000 Seattle Tracts'!$C$2:$Y$374,AE$1,FALSE)*$Z394</f>
        <v>12.97835878794452</v>
      </c>
      <c r="AF394" s="3">
        <f>VLOOKUP($AB394,'2000 Seattle Tracts'!$C$2:$Y$374,AF$1,FALSE)*$Z394</f>
        <v>139.86539254343671</v>
      </c>
      <c r="AG394" s="3">
        <f>VLOOKUP($AB394,'2000 Seattle Tracts'!$C$2:$Y$374,AG$1,FALSE)*$Z394</f>
        <v>126.8870337554922</v>
      </c>
      <c r="AH394" s="3">
        <f>VLOOKUP($AB394,'2000 Seattle Tracts'!$C$2:$Y$374,AH$1,FALSE)*$Z394</f>
        <v>12.97835878794452</v>
      </c>
      <c r="AI394" s="3">
        <f>VLOOKUP($AB394,'2000 Seattle Tracts'!$C$2:$Y$374,AI$1,FALSE)*$Z394</f>
        <v>116.26633530099781</v>
      </c>
      <c r="AJ394" s="3">
        <f>VLOOKUP($AB394,'2000 Seattle Tracts'!$C$2:$Y$374,AJ$1,FALSE)*$Z394</f>
        <v>9.2959178861747951</v>
      </c>
      <c r="AK394" s="3">
        <f>VLOOKUP($AB394,'2000 Seattle Tracts'!$C$2:$Y$374,AK$1,FALSE)*$Z394</f>
        <v>1.3247805683195963</v>
      </c>
      <c r="AL394" s="3">
        <f>VLOOKUP($AB394,'2000 Seattle Tracts'!$C$2:$Y$374,AL$1,FALSE)*$Z394</f>
        <v>0.15717735556334195</v>
      </c>
      <c r="AM394" s="3">
        <f>VLOOKUP($AB394,'2000 Seattle Tracts'!$C$2:$Y$374,AM$1,FALSE)*$Z394</f>
        <v>1.2574188445067356</v>
      </c>
      <c r="AN394" s="3">
        <f>VLOOKUP($AB394,'2000 Seattle Tracts'!$C$2:$Y$374,AN$1,FALSE)*$Z394</f>
        <v>0.13472344762572167</v>
      </c>
      <c r="AO394" s="3">
        <f>VLOOKUP($AB394,'2000 Seattle Tracts'!$C$2:$Y$374,AO$1,FALSE)*$Z394</f>
        <v>0.49398597462764615</v>
      </c>
      <c r="AP394" s="3">
        <f>VLOOKUP($AB394,'2000 Seattle Tracts'!$C$2:$Y$374,AP$1,FALSE)*$Z394</f>
        <v>0</v>
      </c>
      <c r="AQ394" s="3">
        <f>VLOOKUP($AB394,'2000 Seattle Tracts'!$C$2:$Y$374,AQ$1,FALSE)*$Z394</f>
        <v>2.3801142413877496</v>
      </c>
      <c r="AR394" s="3">
        <f>VLOOKUP($AB394,'2000 Seattle Tracts'!$C$2:$Y$374,AR$1,FALSE)*$Z394</f>
        <v>2.6271072287015724</v>
      </c>
      <c r="AS394" s="3">
        <f>VLOOKUP($AB394,'2000 Seattle Tracts'!$C$2:$Y$374,AS$1,FALSE)*$Z394</f>
        <v>0.15717735556334195</v>
      </c>
      <c r="AT394" s="3">
        <f>VLOOKUP($AB394,'2000 Seattle Tracts'!$C$2:$Y$374,AT$1,FALSE)*$Z394</f>
        <v>0</v>
      </c>
      <c r="AU394" s="3">
        <f>VLOOKUP($AB394,'2000 Seattle Tracts'!$C$2:$Y$374,AU$1,FALSE)*$Z394</f>
        <v>0.22453907937620279</v>
      </c>
      <c r="AV394" s="3">
        <f>VLOOKUP($AB394,'2000 Seattle Tracts'!$C$2:$Y$374,AV$1,FALSE)*$Z394</f>
        <v>0.71852505400384892</v>
      </c>
      <c r="AW394" s="3">
        <f>VLOOKUP($AB394,'2000 Seattle Tracts'!$C$2:$Y$374,AW$1,FALSE)*$Z394</f>
        <v>4.7826823907131191</v>
      </c>
      <c r="AX394" s="3">
        <f>VLOOKUP($AB394,'2000 Seattle Tracts'!$C$2:$Y$374,AX$1,FALSE)*$Z394</f>
        <v>4.4907815875240557E-2</v>
      </c>
    </row>
    <row r="395" spans="1:50" x14ac:dyDescent="0.25">
      <c r="A395" t="s">
        <v>2917</v>
      </c>
      <c r="B395" t="s">
        <v>2918</v>
      </c>
      <c r="C395" t="s">
        <v>2936</v>
      </c>
      <c r="D395" t="s">
        <v>2653</v>
      </c>
      <c r="E395" t="s">
        <v>2654</v>
      </c>
      <c r="F395" t="s">
        <v>2655</v>
      </c>
      <c r="G395" t="s">
        <v>2920</v>
      </c>
      <c r="H395" t="s">
        <v>2921</v>
      </c>
      <c r="I395">
        <v>1199238</v>
      </c>
      <c r="J395">
        <v>647090</v>
      </c>
      <c r="K395" t="s">
        <v>2937</v>
      </c>
      <c r="L395" t="s">
        <v>2938</v>
      </c>
      <c r="M395">
        <v>32</v>
      </c>
      <c r="N395">
        <v>33040.245999999999</v>
      </c>
      <c r="O395" t="s">
        <v>122</v>
      </c>
      <c r="P395">
        <v>6</v>
      </c>
      <c r="Q395">
        <v>9</v>
      </c>
      <c r="R395">
        <v>19</v>
      </c>
      <c r="S395">
        <v>42068344</v>
      </c>
      <c r="T395">
        <v>34</v>
      </c>
      <c r="U395">
        <v>133</v>
      </c>
      <c r="V395">
        <v>33040.246986119782</v>
      </c>
      <c r="W395">
        <v>42068342.613789164</v>
      </c>
      <c r="X395">
        <v>845053.60600000003</v>
      </c>
      <c r="Y395">
        <f>VLOOKUP(AB395,'2000 Seattle Tracts'!$C$2:$Z$374,24,FALSE)</f>
        <v>1173294.4720000001</v>
      </c>
      <c r="Z395">
        <f t="shared" si="12"/>
        <v>0.72023999615332712</v>
      </c>
      <c r="AA395" t="s">
        <v>123</v>
      </c>
      <c r="AB395" t="str">
        <f t="shared" si="13"/>
        <v>Census Tract 54, King County, Washington</v>
      </c>
      <c r="AC395" s="3">
        <f>VLOOKUP($AB395,'2000 Seattle Tracts'!$C$2:$Y$374,AC$1,FALSE)*$Z395</f>
        <v>3054.5378236862603</v>
      </c>
      <c r="AD395" s="3">
        <f>VLOOKUP($AB395,'2000 Seattle Tracts'!$C$2:$Y$374,AD$1,FALSE)*$Z395</f>
        <v>2745.5548653364831</v>
      </c>
      <c r="AE395" s="3">
        <f>VLOOKUP($AB395,'2000 Seattle Tracts'!$C$2:$Y$374,AE$1,FALSE)*$Z395</f>
        <v>308.98295834977733</v>
      </c>
      <c r="AF395" s="3">
        <f>VLOOKUP($AB395,'2000 Seattle Tracts'!$C$2:$Y$374,AF$1,FALSE)*$Z395</f>
        <v>3054.5378236862603</v>
      </c>
      <c r="AG395" s="3">
        <f>VLOOKUP($AB395,'2000 Seattle Tracts'!$C$2:$Y$374,AG$1,FALSE)*$Z395</f>
        <v>2745.5548653364831</v>
      </c>
      <c r="AH395" s="3">
        <f>VLOOKUP($AB395,'2000 Seattle Tracts'!$C$2:$Y$374,AH$1,FALSE)*$Z395</f>
        <v>308.98295834977733</v>
      </c>
      <c r="AI395" s="3">
        <f>VLOOKUP($AB395,'2000 Seattle Tracts'!$C$2:$Y$374,AI$1,FALSE)*$Z395</f>
        <v>2450.976706909772</v>
      </c>
      <c r="AJ395" s="3">
        <f>VLOOKUP($AB395,'2000 Seattle Tracts'!$C$2:$Y$374,AJ$1,FALSE)*$Z395</f>
        <v>198.78623893831829</v>
      </c>
      <c r="AK395" s="3">
        <f>VLOOKUP($AB395,'2000 Seattle Tracts'!$C$2:$Y$374,AK$1,FALSE)*$Z395</f>
        <v>66.982319642259426</v>
      </c>
      <c r="AL395" s="3">
        <f>VLOOKUP($AB395,'2000 Seattle Tracts'!$C$2:$Y$374,AL$1,FALSE)*$Z395</f>
        <v>8.642879953839925</v>
      </c>
      <c r="AM395" s="3">
        <f>VLOOKUP($AB395,'2000 Seattle Tracts'!$C$2:$Y$374,AM$1,FALSE)*$Z395</f>
        <v>28.809599846133086</v>
      </c>
      <c r="AN395" s="3">
        <f>VLOOKUP($AB395,'2000 Seattle Tracts'!$C$2:$Y$374,AN$1,FALSE)*$Z395</f>
        <v>0</v>
      </c>
      <c r="AO395" s="3">
        <f>VLOOKUP($AB395,'2000 Seattle Tracts'!$C$2:$Y$374,AO$1,FALSE)*$Z395</f>
        <v>8.642879953839925</v>
      </c>
      <c r="AP395" s="3">
        <f>VLOOKUP($AB395,'2000 Seattle Tracts'!$C$2:$Y$374,AP$1,FALSE)*$Z395</f>
        <v>0</v>
      </c>
      <c r="AQ395" s="3">
        <f>VLOOKUP($AB395,'2000 Seattle Tracts'!$C$2:$Y$374,AQ$1,FALSE)*$Z395</f>
        <v>97.952639476852482</v>
      </c>
      <c r="AR395" s="3">
        <f>VLOOKUP($AB395,'2000 Seattle Tracts'!$C$2:$Y$374,AR$1,FALSE)*$Z395</f>
        <v>88.589519526859235</v>
      </c>
      <c r="AS395" s="3">
        <f>VLOOKUP($AB395,'2000 Seattle Tracts'!$C$2:$Y$374,AS$1,FALSE)*$Z395</f>
        <v>10.803599942299908</v>
      </c>
      <c r="AT395" s="3">
        <f>VLOOKUP($AB395,'2000 Seattle Tracts'!$C$2:$Y$374,AT$1,FALSE)*$Z395</f>
        <v>0</v>
      </c>
      <c r="AU395" s="3">
        <f>VLOOKUP($AB395,'2000 Seattle Tracts'!$C$2:$Y$374,AU$1,FALSE)*$Z395</f>
        <v>8.642879953839925</v>
      </c>
      <c r="AV395" s="3">
        <f>VLOOKUP($AB395,'2000 Seattle Tracts'!$C$2:$Y$374,AV$1,FALSE)*$Z395</f>
        <v>0</v>
      </c>
      <c r="AW395" s="3">
        <f>VLOOKUP($AB395,'2000 Seattle Tracts'!$C$2:$Y$374,AW$1,FALSE)*$Z395</f>
        <v>72.744239611486037</v>
      </c>
      <c r="AX395" s="3">
        <f>VLOOKUP($AB395,'2000 Seattle Tracts'!$C$2:$Y$374,AX$1,FALSE)*$Z395</f>
        <v>12.964319930759888</v>
      </c>
    </row>
    <row r="396" spans="1:50" x14ac:dyDescent="0.25">
      <c r="A396" t="s">
        <v>2917</v>
      </c>
      <c r="B396" t="s">
        <v>2918</v>
      </c>
      <c r="C396" t="s">
        <v>2936</v>
      </c>
      <c r="D396" t="s">
        <v>2653</v>
      </c>
      <c r="E396" t="s">
        <v>2654</v>
      </c>
      <c r="F396" t="s">
        <v>2655</v>
      </c>
      <c r="G396" t="s">
        <v>2920</v>
      </c>
      <c r="H396" t="s">
        <v>2921</v>
      </c>
      <c r="I396">
        <v>1199238</v>
      </c>
      <c r="J396">
        <v>647090</v>
      </c>
      <c r="K396" t="s">
        <v>2937</v>
      </c>
      <c r="L396" t="s">
        <v>2938</v>
      </c>
      <c r="M396">
        <v>33</v>
      </c>
      <c r="N396">
        <v>25999.285</v>
      </c>
      <c r="O396" t="s">
        <v>122</v>
      </c>
      <c r="P396">
        <v>6</v>
      </c>
      <c r="Q396">
        <v>9</v>
      </c>
      <c r="R396">
        <v>94</v>
      </c>
      <c r="S396">
        <v>26503756</v>
      </c>
      <c r="T396">
        <v>35</v>
      </c>
      <c r="U396">
        <v>137</v>
      </c>
      <c r="V396">
        <v>25999.284935718741</v>
      </c>
      <c r="W396">
        <v>26503756.57148983</v>
      </c>
      <c r="X396">
        <v>325271.98499999999</v>
      </c>
      <c r="Y396">
        <f>VLOOKUP(AB396,'2000 Seattle Tracts'!$C$2:$Z$374,24,FALSE)</f>
        <v>1173294.4720000001</v>
      </c>
      <c r="Z396">
        <f t="shared" si="12"/>
        <v>0.27722962373251508</v>
      </c>
      <c r="AA396" t="s">
        <v>124</v>
      </c>
      <c r="AB396" t="str">
        <f t="shared" si="13"/>
        <v>Census Tract 54, King County, Washington</v>
      </c>
      <c r="AC396" s="3">
        <f>VLOOKUP($AB396,'2000 Seattle Tracts'!$C$2:$Y$374,AC$1,FALSE)*$Z396</f>
        <v>1175.7308342495965</v>
      </c>
      <c r="AD396" s="3">
        <f>VLOOKUP($AB396,'2000 Seattle Tracts'!$C$2:$Y$374,AD$1,FALSE)*$Z396</f>
        <v>1056.7993256683476</v>
      </c>
      <c r="AE396" s="3">
        <f>VLOOKUP($AB396,'2000 Seattle Tracts'!$C$2:$Y$374,AE$1,FALSE)*$Z396</f>
        <v>118.93150858124898</v>
      </c>
      <c r="AF396" s="3">
        <f>VLOOKUP($AB396,'2000 Seattle Tracts'!$C$2:$Y$374,AF$1,FALSE)*$Z396</f>
        <v>1175.7308342495965</v>
      </c>
      <c r="AG396" s="3">
        <f>VLOOKUP($AB396,'2000 Seattle Tracts'!$C$2:$Y$374,AG$1,FALSE)*$Z396</f>
        <v>1056.7993256683476</v>
      </c>
      <c r="AH396" s="3">
        <f>VLOOKUP($AB396,'2000 Seattle Tracts'!$C$2:$Y$374,AH$1,FALSE)*$Z396</f>
        <v>118.93150858124898</v>
      </c>
      <c r="AI396" s="3">
        <f>VLOOKUP($AB396,'2000 Seattle Tracts'!$C$2:$Y$374,AI$1,FALSE)*$Z396</f>
        <v>943.41240956174886</v>
      </c>
      <c r="AJ396" s="3">
        <f>VLOOKUP($AB396,'2000 Seattle Tracts'!$C$2:$Y$374,AJ$1,FALSE)*$Z396</f>
        <v>76.515376150174163</v>
      </c>
      <c r="AK396" s="3">
        <f>VLOOKUP($AB396,'2000 Seattle Tracts'!$C$2:$Y$374,AK$1,FALSE)*$Z396</f>
        <v>25.782355007123904</v>
      </c>
      <c r="AL396" s="3">
        <f>VLOOKUP($AB396,'2000 Seattle Tracts'!$C$2:$Y$374,AL$1,FALSE)*$Z396</f>
        <v>3.3267554847901808</v>
      </c>
      <c r="AM396" s="3">
        <f>VLOOKUP($AB396,'2000 Seattle Tracts'!$C$2:$Y$374,AM$1,FALSE)*$Z396</f>
        <v>11.089184949300604</v>
      </c>
      <c r="AN396" s="3">
        <f>VLOOKUP($AB396,'2000 Seattle Tracts'!$C$2:$Y$374,AN$1,FALSE)*$Z396</f>
        <v>0</v>
      </c>
      <c r="AO396" s="3">
        <f>VLOOKUP($AB396,'2000 Seattle Tracts'!$C$2:$Y$374,AO$1,FALSE)*$Z396</f>
        <v>3.3267554847901808</v>
      </c>
      <c r="AP396" s="3">
        <f>VLOOKUP($AB396,'2000 Seattle Tracts'!$C$2:$Y$374,AP$1,FALSE)*$Z396</f>
        <v>0</v>
      </c>
      <c r="AQ396" s="3">
        <f>VLOOKUP($AB396,'2000 Seattle Tracts'!$C$2:$Y$374,AQ$1,FALSE)*$Z396</f>
        <v>37.703228827622048</v>
      </c>
      <c r="AR396" s="3">
        <f>VLOOKUP($AB396,'2000 Seattle Tracts'!$C$2:$Y$374,AR$1,FALSE)*$Z396</f>
        <v>34.099243719099356</v>
      </c>
      <c r="AS396" s="3">
        <f>VLOOKUP($AB396,'2000 Seattle Tracts'!$C$2:$Y$374,AS$1,FALSE)*$Z396</f>
        <v>4.1584443559877267</v>
      </c>
      <c r="AT396" s="3">
        <f>VLOOKUP($AB396,'2000 Seattle Tracts'!$C$2:$Y$374,AT$1,FALSE)*$Z396</f>
        <v>0</v>
      </c>
      <c r="AU396" s="3">
        <f>VLOOKUP($AB396,'2000 Seattle Tracts'!$C$2:$Y$374,AU$1,FALSE)*$Z396</f>
        <v>3.3267554847901808</v>
      </c>
      <c r="AV396" s="3">
        <f>VLOOKUP($AB396,'2000 Seattle Tracts'!$C$2:$Y$374,AV$1,FALSE)*$Z396</f>
        <v>0</v>
      </c>
      <c r="AW396" s="3">
        <f>VLOOKUP($AB396,'2000 Seattle Tracts'!$C$2:$Y$374,AW$1,FALSE)*$Z396</f>
        <v>28.000191996984025</v>
      </c>
      <c r="AX396" s="3">
        <f>VLOOKUP($AB396,'2000 Seattle Tracts'!$C$2:$Y$374,AX$1,FALSE)*$Z396</f>
        <v>4.9901332271852716</v>
      </c>
    </row>
    <row r="397" spans="1:50" x14ac:dyDescent="0.25">
      <c r="A397" t="s">
        <v>2917</v>
      </c>
      <c r="B397" t="s">
        <v>2918</v>
      </c>
      <c r="C397" t="s">
        <v>3188</v>
      </c>
      <c r="D397" t="s">
        <v>2656</v>
      </c>
      <c r="E397" t="s">
        <v>2657</v>
      </c>
      <c r="F397" t="s">
        <v>2658</v>
      </c>
      <c r="G397" t="s">
        <v>2920</v>
      </c>
      <c r="H397" t="s">
        <v>2921</v>
      </c>
      <c r="I397">
        <v>2511641</v>
      </c>
      <c r="J397">
        <v>745303</v>
      </c>
      <c r="K397" t="s">
        <v>3487</v>
      </c>
      <c r="L397" t="s">
        <v>3488</v>
      </c>
      <c r="M397">
        <v>6</v>
      </c>
      <c r="N397">
        <v>408.58600000000001</v>
      </c>
      <c r="P397">
        <v>0</v>
      </c>
      <c r="Q397">
        <v>0</v>
      </c>
      <c r="R397">
        <v>0</v>
      </c>
      <c r="S397">
        <v>11371.064</v>
      </c>
      <c r="T397">
        <v>8</v>
      </c>
      <c r="U397">
        <v>0</v>
      </c>
      <c r="V397">
        <v>408.58655743365171</v>
      </c>
      <c r="W397">
        <v>11371.06663516377</v>
      </c>
      <c r="X397">
        <v>502.89299999999997</v>
      </c>
      <c r="Y397">
        <f>VLOOKUP(AB397,'2000 Seattle Tracts'!$C$2:$Z$374,24,FALSE)</f>
        <v>2405232.8909999998</v>
      </c>
      <c r="Z397">
        <f t="shared" si="12"/>
        <v>2.0908287171763943E-4</v>
      </c>
      <c r="AA397" t="s">
        <v>115</v>
      </c>
      <c r="AB397" t="str">
        <f t="shared" si="13"/>
        <v>Census Tract 53.02, King County, Washington</v>
      </c>
      <c r="AC397" s="3">
        <f>VLOOKUP($AB397,'2000 Seattle Tracts'!$C$2:$Y$374,AC$1,FALSE)*$Z397</f>
        <v>0.53546123446887461</v>
      </c>
      <c r="AD397" s="3">
        <f>VLOOKUP($AB397,'2000 Seattle Tracts'!$C$2:$Y$374,AD$1,FALSE)*$Z397</f>
        <v>0.37551283760488041</v>
      </c>
      <c r="AE397" s="3">
        <f>VLOOKUP($AB397,'2000 Seattle Tracts'!$C$2:$Y$374,AE$1,FALSE)*$Z397</f>
        <v>0.15994839686399417</v>
      </c>
      <c r="AF397" s="3">
        <f>VLOOKUP($AB397,'2000 Seattle Tracts'!$C$2:$Y$374,AF$1,FALSE)*$Z397</f>
        <v>0.53546123446887461</v>
      </c>
      <c r="AG397" s="3">
        <f>VLOOKUP($AB397,'2000 Seattle Tracts'!$C$2:$Y$374,AG$1,FALSE)*$Z397</f>
        <v>0.37551283760488041</v>
      </c>
      <c r="AH397" s="3">
        <f>VLOOKUP($AB397,'2000 Seattle Tracts'!$C$2:$Y$374,AH$1,FALSE)*$Z397</f>
        <v>0.15994839686399417</v>
      </c>
      <c r="AI397" s="3">
        <f>VLOOKUP($AB397,'2000 Seattle Tracts'!$C$2:$Y$374,AI$1,FALSE)*$Z397</f>
        <v>0.27034415313090776</v>
      </c>
      <c r="AJ397" s="3">
        <f>VLOOKUP($AB397,'2000 Seattle Tracts'!$C$2:$Y$374,AJ$1,FALSE)*$Z397</f>
        <v>2.8644353425316602E-2</v>
      </c>
      <c r="AK397" s="3">
        <f>VLOOKUP($AB397,'2000 Seattle Tracts'!$C$2:$Y$374,AK$1,FALSE)*$Z397</f>
        <v>7.1088176383997401E-3</v>
      </c>
      <c r="AL397" s="3">
        <f>VLOOKUP($AB397,'2000 Seattle Tracts'!$C$2:$Y$374,AL$1,FALSE)*$Z397</f>
        <v>1.045414358588197E-3</v>
      </c>
      <c r="AM397" s="3">
        <f>VLOOKUP($AB397,'2000 Seattle Tracts'!$C$2:$Y$374,AM$1,FALSE)*$Z397</f>
        <v>9.6178120990114135E-3</v>
      </c>
      <c r="AN397" s="3">
        <f>VLOOKUP($AB397,'2000 Seattle Tracts'!$C$2:$Y$374,AN$1,FALSE)*$Z397</f>
        <v>3.3453259474822308E-3</v>
      </c>
      <c r="AO397" s="3">
        <f>VLOOKUP($AB397,'2000 Seattle Tracts'!$C$2:$Y$374,AO$1,FALSE)*$Z397</f>
        <v>9.6178120990114135E-3</v>
      </c>
      <c r="AP397" s="3">
        <f>VLOOKUP($AB397,'2000 Seattle Tracts'!$C$2:$Y$374,AP$1,FALSE)*$Z397</f>
        <v>3.3453259474822308E-3</v>
      </c>
      <c r="AQ397" s="3">
        <f>VLOOKUP($AB397,'2000 Seattle Tracts'!$C$2:$Y$374,AQ$1,FALSE)*$Z397</f>
        <v>4.8089060495057068E-2</v>
      </c>
      <c r="AR397" s="3">
        <f>VLOOKUP($AB397,'2000 Seattle Tracts'!$C$2:$Y$374,AR$1,FALSE)*$Z397</f>
        <v>0.1097685076517607</v>
      </c>
      <c r="AS397" s="3">
        <f>VLOOKUP($AB397,'2000 Seattle Tracts'!$C$2:$Y$374,AS$1,FALSE)*$Z397</f>
        <v>0</v>
      </c>
      <c r="AT397" s="3">
        <f>VLOOKUP($AB397,'2000 Seattle Tracts'!$C$2:$Y$374,AT$1,FALSE)*$Z397</f>
        <v>2.2999115888940338E-3</v>
      </c>
      <c r="AU397" s="3">
        <f>VLOOKUP($AB397,'2000 Seattle Tracts'!$C$2:$Y$374,AU$1,FALSE)*$Z397</f>
        <v>1.1917723687905448E-2</v>
      </c>
      <c r="AV397" s="3">
        <f>VLOOKUP($AB397,'2000 Seattle Tracts'!$C$2:$Y$374,AV$1,FALSE)*$Z397</f>
        <v>0</v>
      </c>
      <c r="AW397" s="3">
        <f>VLOOKUP($AB397,'2000 Seattle Tracts'!$C$2:$Y$374,AW$1,FALSE)*$Z397</f>
        <v>1.8817458454587547E-2</v>
      </c>
      <c r="AX397" s="3">
        <f>VLOOKUP($AB397,'2000 Seattle Tracts'!$C$2:$Y$374,AX$1,FALSE)*$Z397</f>
        <v>1.1499557944470169E-2</v>
      </c>
    </row>
    <row r="398" spans="1:50" x14ac:dyDescent="0.25">
      <c r="A398" t="s">
        <v>2917</v>
      </c>
      <c r="B398" t="s">
        <v>2918</v>
      </c>
      <c r="C398" t="s">
        <v>3188</v>
      </c>
      <c r="D398" t="s">
        <v>2656</v>
      </c>
      <c r="E398" t="s">
        <v>2657</v>
      </c>
      <c r="F398" t="s">
        <v>2658</v>
      </c>
      <c r="G398" t="s">
        <v>2920</v>
      </c>
      <c r="H398" t="s">
        <v>2921</v>
      </c>
      <c r="I398">
        <v>2511641</v>
      </c>
      <c r="J398">
        <v>745303</v>
      </c>
      <c r="K398" t="s">
        <v>3487</v>
      </c>
      <c r="L398" t="s">
        <v>3488</v>
      </c>
      <c r="M398">
        <v>7</v>
      </c>
      <c r="N398">
        <v>474.93099999999998</v>
      </c>
      <c r="P398">
        <v>0</v>
      </c>
      <c r="Q398">
        <v>0</v>
      </c>
      <c r="R398">
        <v>0</v>
      </c>
      <c r="S398">
        <v>13157.798000000001</v>
      </c>
      <c r="T398">
        <v>9</v>
      </c>
      <c r="U398">
        <v>0</v>
      </c>
      <c r="V398">
        <v>474.93119023150228</v>
      </c>
      <c r="W398">
        <v>13157.79965980863</v>
      </c>
      <c r="X398">
        <v>1019.134</v>
      </c>
      <c r="Y398">
        <f>VLOOKUP(AB398,'2000 Seattle Tracts'!$C$2:$Z$374,24,FALSE)</f>
        <v>2405232.8909999998</v>
      </c>
      <c r="Z398">
        <f t="shared" si="12"/>
        <v>4.2371530998658709E-4</v>
      </c>
      <c r="AA398" t="s">
        <v>115</v>
      </c>
      <c r="AB398" t="str">
        <f t="shared" si="13"/>
        <v>Census Tract 53.02, King County, Washington</v>
      </c>
      <c r="AC398" s="3">
        <f>VLOOKUP($AB398,'2000 Seattle Tracts'!$C$2:$Y$374,AC$1,FALSE)*$Z398</f>
        <v>1.0851349088756495</v>
      </c>
      <c r="AD398" s="3">
        <f>VLOOKUP($AB398,'2000 Seattle Tracts'!$C$2:$Y$374,AD$1,FALSE)*$Z398</f>
        <v>0.76099269673591041</v>
      </c>
      <c r="AE398" s="3">
        <f>VLOOKUP($AB398,'2000 Seattle Tracts'!$C$2:$Y$374,AE$1,FALSE)*$Z398</f>
        <v>0.32414221213973915</v>
      </c>
      <c r="AF398" s="3">
        <f>VLOOKUP($AB398,'2000 Seattle Tracts'!$C$2:$Y$374,AF$1,FALSE)*$Z398</f>
        <v>1.0851349088756495</v>
      </c>
      <c r="AG398" s="3">
        <f>VLOOKUP($AB398,'2000 Seattle Tracts'!$C$2:$Y$374,AG$1,FALSE)*$Z398</f>
        <v>0.76099269673591041</v>
      </c>
      <c r="AH398" s="3">
        <f>VLOOKUP($AB398,'2000 Seattle Tracts'!$C$2:$Y$374,AH$1,FALSE)*$Z398</f>
        <v>0.32414221213973915</v>
      </c>
      <c r="AI398" s="3">
        <f>VLOOKUP($AB398,'2000 Seattle Tracts'!$C$2:$Y$374,AI$1,FALSE)*$Z398</f>
        <v>0.54786389581265715</v>
      </c>
      <c r="AJ398" s="3">
        <f>VLOOKUP($AB398,'2000 Seattle Tracts'!$C$2:$Y$374,AJ$1,FALSE)*$Z398</f>
        <v>5.804899746816243E-2</v>
      </c>
      <c r="AK398" s="3">
        <f>VLOOKUP($AB398,'2000 Seattle Tracts'!$C$2:$Y$374,AK$1,FALSE)*$Z398</f>
        <v>1.4406320539543962E-2</v>
      </c>
      <c r="AL398" s="3">
        <f>VLOOKUP($AB398,'2000 Seattle Tracts'!$C$2:$Y$374,AL$1,FALSE)*$Z398</f>
        <v>2.1185765499329356E-3</v>
      </c>
      <c r="AM398" s="3">
        <f>VLOOKUP($AB398,'2000 Seattle Tracts'!$C$2:$Y$374,AM$1,FALSE)*$Z398</f>
        <v>1.9490904259383005E-2</v>
      </c>
      <c r="AN398" s="3">
        <f>VLOOKUP($AB398,'2000 Seattle Tracts'!$C$2:$Y$374,AN$1,FALSE)*$Z398</f>
        <v>6.7794449597853934E-3</v>
      </c>
      <c r="AO398" s="3">
        <f>VLOOKUP($AB398,'2000 Seattle Tracts'!$C$2:$Y$374,AO$1,FALSE)*$Z398</f>
        <v>1.9490904259383005E-2</v>
      </c>
      <c r="AP398" s="3">
        <f>VLOOKUP($AB398,'2000 Seattle Tracts'!$C$2:$Y$374,AP$1,FALSE)*$Z398</f>
        <v>6.7794449597853934E-3</v>
      </c>
      <c r="AQ398" s="3">
        <f>VLOOKUP($AB398,'2000 Seattle Tracts'!$C$2:$Y$374,AQ$1,FALSE)*$Z398</f>
        <v>9.7454521296915037E-2</v>
      </c>
      <c r="AR398" s="3">
        <f>VLOOKUP($AB398,'2000 Seattle Tracts'!$C$2:$Y$374,AR$1,FALSE)*$Z398</f>
        <v>0.22245053774295823</v>
      </c>
      <c r="AS398" s="3">
        <f>VLOOKUP($AB398,'2000 Seattle Tracts'!$C$2:$Y$374,AS$1,FALSE)*$Z398</f>
        <v>0</v>
      </c>
      <c r="AT398" s="3">
        <f>VLOOKUP($AB398,'2000 Seattle Tracts'!$C$2:$Y$374,AT$1,FALSE)*$Z398</f>
        <v>4.6608684098524578E-3</v>
      </c>
      <c r="AU398" s="3">
        <f>VLOOKUP($AB398,'2000 Seattle Tracts'!$C$2:$Y$374,AU$1,FALSE)*$Z398</f>
        <v>2.4151772669235464E-2</v>
      </c>
      <c r="AV398" s="3">
        <f>VLOOKUP($AB398,'2000 Seattle Tracts'!$C$2:$Y$374,AV$1,FALSE)*$Z398</f>
        <v>0</v>
      </c>
      <c r="AW398" s="3">
        <f>VLOOKUP($AB398,'2000 Seattle Tracts'!$C$2:$Y$374,AW$1,FALSE)*$Z398</f>
        <v>3.8134377898792836E-2</v>
      </c>
      <c r="AX398" s="3">
        <f>VLOOKUP($AB398,'2000 Seattle Tracts'!$C$2:$Y$374,AX$1,FALSE)*$Z398</f>
        <v>2.3304342049262291E-2</v>
      </c>
    </row>
    <row r="399" spans="1:50" x14ac:dyDescent="0.25">
      <c r="A399" t="s">
        <v>2917</v>
      </c>
      <c r="B399" t="s">
        <v>2918</v>
      </c>
      <c r="C399" t="s">
        <v>3188</v>
      </c>
      <c r="D399" t="s">
        <v>2656</v>
      </c>
      <c r="E399" t="s">
        <v>2657</v>
      </c>
      <c r="F399" t="s">
        <v>2658</v>
      </c>
      <c r="G399" t="s">
        <v>2920</v>
      </c>
      <c r="H399" t="s">
        <v>2921</v>
      </c>
      <c r="I399">
        <v>2511641</v>
      </c>
      <c r="J399">
        <v>745303</v>
      </c>
      <c r="K399" t="s">
        <v>3487</v>
      </c>
      <c r="L399" t="s">
        <v>3488</v>
      </c>
      <c r="M399">
        <v>9</v>
      </c>
      <c r="N399">
        <v>184.87</v>
      </c>
      <c r="P399">
        <v>0</v>
      </c>
      <c r="Q399">
        <v>0</v>
      </c>
      <c r="R399">
        <v>0</v>
      </c>
      <c r="S399">
        <v>1773.268</v>
      </c>
      <c r="T399">
        <v>11</v>
      </c>
      <c r="U399">
        <v>0</v>
      </c>
      <c r="V399">
        <v>184.86951587798481</v>
      </c>
      <c r="W399">
        <v>1773.267977738122</v>
      </c>
      <c r="X399">
        <v>158.81800000000001</v>
      </c>
      <c r="Y399">
        <f>VLOOKUP(AB399,'2000 Seattle Tracts'!$C$2:$Z$374,24,FALSE)</f>
        <v>2405232.8909999998</v>
      </c>
      <c r="Z399">
        <f t="shared" si="12"/>
        <v>6.6030196324967855E-5</v>
      </c>
      <c r="AA399" t="s">
        <v>115</v>
      </c>
      <c r="AB399" t="str">
        <f t="shared" si="13"/>
        <v>Census Tract 53.02, King County, Washington</v>
      </c>
      <c r="AC399" s="3">
        <f>VLOOKUP($AB399,'2000 Seattle Tracts'!$C$2:$Y$374,AC$1,FALSE)*$Z399</f>
        <v>0.16910333278824269</v>
      </c>
      <c r="AD399" s="3">
        <f>VLOOKUP($AB399,'2000 Seattle Tracts'!$C$2:$Y$374,AD$1,FALSE)*$Z399</f>
        <v>0.11859023259964227</v>
      </c>
      <c r="AE399" s="3">
        <f>VLOOKUP($AB399,'2000 Seattle Tracts'!$C$2:$Y$374,AE$1,FALSE)*$Z399</f>
        <v>5.0513100188600411E-2</v>
      </c>
      <c r="AF399" s="3">
        <f>VLOOKUP($AB399,'2000 Seattle Tracts'!$C$2:$Y$374,AF$1,FALSE)*$Z399</f>
        <v>0.16910333278824269</v>
      </c>
      <c r="AG399" s="3">
        <f>VLOOKUP($AB399,'2000 Seattle Tracts'!$C$2:$Y$374,AG$1,FALSE)*$Z399</f>
        <v>0.11859023259964227</v>
      </c>
      <c r="AH399" s="3">
        <f>VLOOKUP($AB399,'2000 Seattle Tracts'!$C$2:$Y$374,AH$1,FALSE)*$Z399</f>
        <v>5.0513100188600411E-2</v>
      </c>
      <c r="AI399" s="3">
        <f>VLOOKUP($AB399,'2000 Seattle Tracts'!$C$2:$Y$374,AI$1,FALSE)*$Z399</f>
        <v>8.537704384818344E-2</v>
      </c>
      <c r="AJ399" s="3">
        <f>VLOOKUP($AB399,'2000 Seattle Tracts'!$C$2:$Y$374,AJ$1,FALSE)*$Z399</f>
        <v>9.0461368965205954E-3</v>
      </c>
      <c r="AK399" s="3">
        <f>VLOOKUP($AB399,'2000 Seattle Tracts'!$C$2:$Y$374,AK$1,FALSE)*$Z399</f>
        <v>2.2450266750489072E-3</v>
      </c>
      <c r="AL399" s="3">
        <f>VLOOKUP($AB399,'2000 Seattle Tracts'!$C$2:$Y$374,AL$1,FALSE)*$Z399</f>
        <v>3.3015098162483928E-4</v>
      </c>
      <c r="AM399" s="3">
        <f>VLOOKUP($AB399,'2000 Seattle Tracts'!$C$2:$Y$374,AM$1,FALSE)*$Z399</f>
        <v>3.0373890309485212E-3</v>
      </c>
      <c r="AN399" s="3">
        <f>VLOOKUP($AB399,'2000 Seattle Tracts'!$C$2:$Y$374,AN$1,FALSE)*$Z399</f>
        <v>1.0564831411994857E-3</v>
      </c>
      <c r="AO399" s="3">
        <f>VLOOKUP($AB399,'2000 Seattle Tracts'!$C$2:$Y$374,AO$1,FALSE)*$Z399</f>
        <v>3.0373890309485212E-3</v>
      </c>
      <c r="AP399" s="3">
        <f>VLOOKUP($AB399,'2000 Seattle Tracts'!$C$2:$Y$374,AP$1,FALSE)*$Z399</f>
        <v>1.0564831411994857E-3</v>
      </c>
      <c r="AQ399" s="3">
        <f>VLOOKUP($AB399,'2000 Seattle Tracts'!$C$2:$Y$374,AQ$1,FALSE)*$Z399</f>
        <v>1.5186945154742606E-2</v>
      </c>
      <c r="AR399" s="3">
        <f>VLOOKUP($AB399,'2000 Seattle Tracts'!$C$2:$Y$374,AR$1,FALSE)*$Z399</f>
        <v>3.4665853070608127E-2</v>
      </c>
      <c r="AS399" s="3">
        <f>VLOOKUP($AB399,'2000 Seattle Tracts'!$C$2:$Y$374,AS$1,FALSE)*$Z399</f>
        <v>0</v>
      </c>
      <c r="AT399" s="3">
        <f>VLOOKUP($AB399,'2000 Seattle Tracts'!$C$2:$Y$374,AT$1,FALSE)*$Z399</f>
        <v>7.2633215957464635E-4</v>
      </c>
      <c r="AU399" s="3">
        <f>VLOOKUP($AB399,'2000 Seattle Tracts'!$C$2:$Y$374,AU$1,FALSE)*$Z399</f>
        <v>3.7637211905231678E-3</v>
      </c>
      <c r="AV399" s="3">
        <f>VLOOKUP($AB399,'2000 Seattle Tracts'!$C$2:$Y$374,AV$1,FALSE)*$Z399</f>
        <v>0</v>
      </c>
      <c r="AW399" s="3">
        <f>VLOOKUP($AB399,'2000 Seattle Tracts'!$C$2:$Y$374,AW$1,FALSE)*$Z399</f>
        <v>5.9427176692471067E-3</v>
      </c>
      <c r="AX399" s="3">
        <f>VLOOKUP($AB399,'2000 Seattle Tracts'!$C$2:$Y$374,AX$1,FALSE)*$Z399</f>
        <v>3.631660797873232E-3</v>
      </c>
    </row>
    <row r="400" spans="1:50" x14ac:dyDescent="0.25">
      <c r="A400" t="s">
        <v>2917</v>
      </c>
      <c r="B400" t="s">
        <v>2918</v>
      </c>
      <c r="C400" t="s">
        <v>3188</v>
      </c>
      <c r="D400" t="s">
        <v>2656</v>
      </c>
      <c r="E400" t="s">
        <v>2657</v>
      </c>
      <c r="F400" t="s">
        <v>2658</v>
      </c>
      <c r="G400" t="s">
        <v>2920</v>
      </c>
      <c r="H400" t="s">
        <v>2921</v>
      </c>
      <c r="I400">
        <v>2511641</v>
      </c>
      <c r="J400">
        <v>745303</v>
      </c>
      <c r="K400" t="s">
        <v>3487</v>
      </c>
      <c r="L400" t="s">
        <v>3488</v>
      </c>
      <c r="M400">
        <v>10</v>
      </c>
      <c r="N400">
        <v>1688.76</v>
      </c>
      <c r="P400">
        <v>0</v>
      </c>
      <c r="Q400">
        <v>0</v>
      </c>
      <c r="R400">
        <v>0</v>
      </c>
      <c r="S400">
        <v>119022.55499999999</v>
      </c>
      <c r="T400">
        <v>12</v>
      </c>
      <c r="U400">
        <v>0</v>
      </c>
      <c r="V400">
        <v>1688.759499539053</v>
      </c>
      <c r="W400">
        <v>119022.5467645348</v>
      </c>
      <c r="X400">
        <v>10879.933999999999</v>
      </c>
      <c r="Y400">
        <f>VLOOKUP(AB400,'2000 Seattle Tracts'!$C$2:$Z$374,24,FALSE)</f>
        <v>2405232.8909999998</v>
      </c>
      <c r="Z400">
        <f t="shared" si="12"/>
        <v>4.5234430481601124E-3</v>
      </c>
      <c r="AA400" t="s">
        <v>115</v>
      </c>
      <c r="AB400" t="str">
        <f t="shared" si="13"/>
        <v>Census Tract 53.02, King County, Washington</v>
      </c>
      <c r="AC400" s="3">
        <f>VLOOKUP($AB400,'2000 Seattle Tracts'!$C$2:$Y$374,AC$1,FALSE)*$Z400</f>
        <v>11.584537646338047</v>
      </c>
      <c r="AD400" s="3">
        <f>VLOOKUP($AB400,'2000 Seattle Tracts'!$C$2:$Y$374,AD$1,FALSE)*$Z400</f>
        <v>8.1241037144955612</v>
      </c>
      <c r="AE400" s="3">
        <f>VLOOKUP($AB400,'2000 Seattle Tracts'!$C$2:$Y$374,AE$1,FALSE)*$Z400</f>
        <v>3.4604339318424859</v>
      </c>
      <c r="AF400" s="3">
        <f>VLOOKUP($AB400,'2000 Seattle Tracts'!$C$2:$Y$374,AF$1,FALSE)*$Z400</f>
        <v>11.584537646338047</v>
      </c>
      <c r="AG400" s="3">
        <f>VLOOKUP($AB400,'2000 Seattle Tracts'!$C$2:$Y$374,AG$1,FALSE)*$Z400</f>
        <v>8.1241037144955612</v>
      </c>
      <c r="AH400" s="3">
        <f>VLOOKUP($AB400,'2000 Seattle Tracts'!$C$2:$Y$374,AH$1,FALSE)*$Z400</f>
        <v>3.4604339318424859</v>
      </c>
      <c r="AI400" s="3">
        <f>VLOOKUP($AB400,'2000 Seattle Tracts'!$C$2:$Y$374,AI$1,FALSE)*$Z400</f>
        <v>5.8488118612710256</v>
      </c>
      <c r="AJ400" s="3">
        <f>VLOOKUP($AB400,'2000 Seattle Tracts'!$C$2:$Y$374,AJ$1,FALSE)*$Z400</f>
        <v>0.61971169759793543</v>
      </c>
      <c r="AK400" s="3">
        <f>VLOOKUP($AB400,'2000 Seattle Tracts'!$C$2:$Y$374,AK$1,FALSE)*$Z400</f>
        <v>0.15379706363744383</v>
      </c>
      <c r="AL400" s="3">
        <f>VLOOKUP($AB400,'2000 Seattle Tracts'!$C$2:$Y$374,AL$1,FALSE)*$Z400</f>
        <v>2.2617215240800563E-2</v>
      </c>
      <c r="AM400" s="3">
        <f>VLOOKUP($AB400,'2000 Seattle Tracts'!$C$2:$Y$374,AM$1,FALSE)*$Z400</f>
        <v>0.20807838021536518</v>
      </c>
      <c r="AN400" s="3">
        <f>VLOOKUP($AB400,'2000 Seattle Tracts'!$C$2:$Y$374,AN$1,FALSE)*$Z400</f>
        <v>7.2375088770561799E-2</v>
      </c>
      <c r="AO400" s="3">
        <f>VLOOKUP($AB400,'2000 Seattle Tracts'!$C$2:$Y$374,AO$1,FALSE)*$Z400</f>
        <v>0.20807838021536518</v>
      </c>
      <c r="AP400" s="3">
        <f>VLOOKUP($AB400,'2000 Seattle Tracts'!$C$2:$Y$374,AP$1,FALSE)*$Z400</f>
        <v>7.2375088770561799E-2</v>
      </c>
      <c r="AQ400" s="3">
        <f>VLOOKUP($AB400,'2000 Seattle Tracts'!$C$2:$Y$374,AQ$1,FALSE)*$Z400</f>
        <v>1.0403919010768259</v>
      </c>
      <c r="AR400" s="3">
        <f>VLOOKUP($AB400,'2000 Seattle Tracts'!$C$2:$Y$374,AR$1,FALSE)*$Z400</f>
        <v>2.374807600284059</v>
      </c>
      <c r="AS400" s="3">
        <f>VLOOKUP($AB400,'2000 Seattle Tracts'!$C$2:$Y$374,AS$1,FALSE)*$Z400</f>
        <v>0</v>
      </c>
      <c r="AT400" s="3">
        <f>VLOOKUP($AB400,'2000 Seattle Tracts'!$C$2:$Y$374,AT$1,FALSE)*$Z400</f>
        <v>4.9757873529761236E-2</v>
      </c>
      <c r="AU400" s="3">
        <f>VLOOKUP($AB400,'2000 Seattle Tracts'!$C$2:$Y$374,AU$1,FALSE)*$Z400</f>
        <v>0.25783625374512642</v>
      </c>
      <c r="AV400" s="3">
        <f>VLOOKUP($AB400,'2000 Seattle Tracts'!$C$2:$Y$374,AV$1,FALSE)*$Z400</f>
        <v>0</v>
      </c>
      <c r="AW400" s="3">
        <f>VLOOKUP($AB400,'2000 Seattle Tracts'!$C$2:$Y$374,AW$1,FALSE)*$Z400</f>
        <v>0.40710987433441009</v>
      </c>
      <c r="AX400" s="3">
        <f>VLOOKUP($AB400,'2000 Seattle Tracts'!$C$2:$Y$374,AX$1,FALSE)*$Z400</f>
        <v>0.24878936764880619</v>
      </c>
    </row>
    <row r="401" spans="1:50" x14ac:dyDescent="0.25">
      <c r="A401" t="s">
        <v>2917</v>
      </c>
      <c r="B401" t="s">
        <v>2918</v>
      </c>
      <c r="C401" t="s">
        <v>3188</v>
      </c>
      <c r="D401" t="s">
        <v>2656</v>
      </c>
      <c r="E401" t="s">
        <v>2657</v>
      </c>
      <c r="F401" t="s">
        <v>2658</v>
      </c>
      <c r="G401" t="s">
        <v>2920</v>
      </c>
      <c r="H401" t="s">
        <v>2921</v>
      </c>
      <c r="I401">
        <v>2511641</v>
      </c>
      <c r="J401">
        <v>745303</v>
      </c>
      <c r="K401" t="s">
        <v>3487</v>
      </c>
      <c r="L401" t="s">
        <v>3488</v>
      </c>
      <c r="M401">
        <v>13</v>
      </c>
      <c r="N401">
        <v>434.34500000000003</v>
      </c>
      <c r="P401">
        <v>0</v>
      </c>
      <c r="Q401">
        <v>0</v>
      </c>
      <c r="R401">
        <v>0</v>
      </c>
      <c r="S401">
        <v>6258.4769999999999</v>
      </c>
      <c r="T401">
        <v>15</v>
      </c>
      <c r="U401">
        <v>0</v>
      </c>
      <c r="V401">
        <v>434.34476842877319</v>
      </c>
      <c r="W401">
        <v>6258.4732060065699</v>
      </c>
      <c r="X401">
        <v>581.46299999999997</v>
      </c>
      <c r="Y401">
        <f>VLOOKUP(AB401,'2000 Seattle Tracts'!$C$2:$Z$374,24,FALSE)</f>
        <v>2405232.8909999998</v>
      </c>
      <c r="Z401">
        <f t="shared" si="12"/>
        <v>2.417491471099295E-4</v>
      </c>
      <c r="AA401" t="s">
        <v>115</v>
      </c>
      <c r="AB401" t="str">
        <f t="shared" si="13"/>
        <v>Census Tract 53.02, King County, Washington</v>
      </c>
      <c r="AC401" s="3">
        <f>VLOOKUP($AB401,'2000 Seattle Tracts'!$C$2:$Y$374,AC$1,FALSE)*$Z401</f>
        <v>0.61911956574852944</v>
      </c>
      <c r="AD401" s="3">
        <f>VLOOKUP($AB401,'2000 Seattle Tracts'!$C$2:$Y$374,AD$1,FALSE)*$Z401</f>
        <v>0.43418146820943337</v>
      </c>
      <c r="AE401" s="3">
        <f>VLOOKUP($AB401,'2000 Seattle Tracts'!$C$2:$Y$374,AE$1,FALSE)*$Z401</f>
        <v>0.18493809753909607</v>
      </c>
      <c r="AF401" s="3">
        <f>VLOOKUP($AB401,'2000 Seattle Tracts'!$C$2:$Y$374,AF$1,FALSE)*$Z401</f>
        <v>0.61911956574852944</v>
      </c>
      <c r="AG401" s="3">
        <f>VLOOKUP($AB401,'2000 Seattle Tracts'!$C$2:$Y$374,AG$1,FALSE)*$Z401</f>
        <v>0.43418146820943337</v>
      </c>
      <c r="AH401" s="3">
        <f>VLOOKUP($AB401,'2000 Seattle Tracts'!$C$2:$Y$374,AH$1,FALSE)*$Z401</f>
        <v>0.18493809753909607</v>
      </c>
      <c r="AI401" s="3">
        <f>VLOOKUP($AB401,'2000 Seattle Tracts'!$C$2:$Y$374,AI$1,FALSE)*$Z401</f>
        <v>0.31258164721313886</v>
      </c>
      <c r="AJ401" s="3">
        <f>VLOOKUP($AB401,'2000 Seattle Tracts'!$C$2:$Y$374,AJ$1,FALSE)*$Z401</f>
        <v>3.3119633154060343E-2</v>
      </c>
      <c r="AK401" s="3">
        <f>VLOOKUP($AB401,'2000 Seattle Tracts'!$C$2:$Y$374,AK$1,FALSE)*$Z401</f>
        <v>8.2194710017376021E-3</v>
      </c>
      <c r="AL401" s="3">
        <f>VLOOKUP($AB401,'2000 Seattle Tracts'!$C$2:$Y$374,AL$1,FALSE)*$Z401</f>
        <v>1.2087457355496475E-3</v>
      </c>
      <c r="AM401" s="3">
        <f>VLOOKUP($AB401,'2000 Seattle Tracts'!$C$2:$Y$374,AM$1,FALSE)*$Z401</f>
        <v>1.1120460767056757E-2</v>
      </c>
      <c r="AN401" s="3">
        <f>VLOOKUP($AB401,'2000 Seattle Tracts'!$C$2:$Y$374,AN$1,FALSE)*$Z401</f>
        <v>3.8679863537588719E-3</v>
      </c>
      <c r="AO401" s="3">
        <f>VLOOKUP($AB401,'2000 Seattle Tracts'!$C$2:$Y$374,AO$1,FALSE)*$Z401</f>
        <v>1.1120460767056757E-2</v>
      </c>
      <c r="AP401" s="3">
        <f>VLOOKUP($AB401,'2000 Seattle Tracts'!$C$2:$Y$374,AP$1,FALSE)*$Z401</f>
        <v>3.8679863537588719E-3</v>
      </c>
      <c r="AQ401" s="3">
        <f>VLOOKUP($AB401,'2000 Seattle Tracts'!$C$2:$Y$374,AQ$1,FALSE)*$Z401</f>
        <v>5.5602303835283785E-2</v>
      </c>
      <c r="AR401" s="3">
        <f>VLOOKUP($AB401,'2000 Seattle Tracts'!$C$2:$Y$374,AR$1,FALSE)*$Z401</f>
        <v>0.126918302232713</v>
      </c>
      <c r="AS401" s="3">
        <f>VLOOKUP($AB401,'2000 Seattle Tracts'!$C$2:$Y$374,AS$1,FALSE)*$Z401</f>
        <v>0</v>
      </c>
      <c r="AT401" s="3">
        <f>VLOOKUP($AB401,'2000 Seattle Tracts'!$C$2:$Y$374,AT$1,FALSE)*$Z401</f>
        <v>2.6592406182092245E-3</v>
      </c>
      <c r="AU401" s="3">
        <f>VLOOKUP($AB401,'2000 Seattle Tracts'!$C$2:$Y$374,AU$1,FALSE)*$Z401</f>
        <v>1.3779701385265981E-2</v>
      </c>
      <c r="AV401" s="3">
        <f>VLOOKUP($AB401,'2000 Seattle Tracts'!$C$2:$Y$374,AV$1,FALSE)*$Z401</f>
        <v>0</v>
      </c>
      <c r="AW401" s="3">
        <f>VLOOKUP($AB401,'2000 Seattle Tracts'!$C$2:$Y$374,AW$1,FALSE)*$Z401</f>
        <v>2.1757423239893655E-2</v>
      </c>
      <c r="AX401" s="3">
        <f>VLOOKUP($AB401,'2000 Seattle Tracts'!$C$2:$Y$374,AX$1,FALSE)*$Z401</f>
        <v>1.3296203091046122E-2</v>
      </c>
    </row>
    <row r="402" spans="1:50" x14ac:dyDescent="0.25">
      <c r="A402" t="s">
        <v>2917</v>
      </c>
      <c r="B402" t="s">
        <v>2918</v>
      </c>
      <c r="C402" t="s">
        <v>3188</v>
      </c>
      <c r="D402" t="s">
        <v>2656</v>
      </c>
      <c r="E402" t="s">
        <v>2657</v>
      </c>
      <c r="F402" t="s">
        <v>2658</v>
      </c>
      <c r="G402" t="s">
        <v>2920</v>
      </c>
      <c r="H402" t="s">
        <v>2921</v>
      </c>
      <c r="I402">
        <v>2511641</v>
      </c>
      <c r="J402">
        <v>745303</v>
      </c>
      <c r="K402" t="s">
        <v>3487</v>
      </c>
      <c r="L402" t="s">
        <v>3488</v>
      </c>
      <c r="M402">
        <v>14</v>
      </c>
      <c r="N402">
        <v>403.78699999999998</v>
      </c>
      <c r="P402">
        <v>0</v>
      </c>
      <c r="Q402">
        <v>0</v>
      </c>
      <c r="R402">
        <v>0</v>
      </c>
      <c r="S402">
        <v>11386.205</v>
      </c>
      <c r="T402">
        <v>16</v>
      </c>
      <c r="U402">
        <v>0</v>
      </c>
      <c r="V402">
        <v>403.78685404708813</v>
      </c>
      <c r="W402">
        <v>11386.205781612271</v>
      </c>
      <c r="X402">
        <v>1057.8699999999999</v>
      </c>
      <c r="Y402">
        <f>VLOOKUP(AB402,'2000 Seattle Tracts'!$C$2:$Z$374,24,FALSE)</f>
        <v>2405232.8909999998</v>
      </c>
      <c r="Z402">
        <f t="shared" si="12"/>
        <v>4.3982019535753972E-4</v>
      </c>
      <c r="AA402" t="s">
        <v>115</v>
      </c>
      <c r="AB402" t="str">
        <f t="shared" si="13"/>
        <v>Census Tract 53.02, King County, Washington</v>
      </c>
      <c r="AC402" s="3">
        <f>VLOOKUP($AB402,'2000 Seattle Tracts'!$C$2:$Y$374,AC$1,FALSE)*$Z402</f>
        <v>1.1263795203106592</v>
      </c>
      <c r="AD402" s="3">
        <f>VLOOKUP($AB402,'2000 Seattle Tracts'!$C$2:$Y$374,AD$1,FALSE)*$Z402</f>
        <v>0.78991707086214136</v>
      </c>
      <c r="AE402" s="3">
        <f>VLOOKUP($AB402,'2000 Seattle Tracts'!$C$2:$Y$374,AE$1,FALSE)*$Z402</f>
        <v>0.33646244944851789</v>
      </c>
      <c r="AF402" s="3">
        <f>VLOOKUP($AB402,'2000 Seattle Tracts'!$C$2:$Y$374,AF$1,FALSE)*$Z402</f>
        <v>1.1263795203106592</v>
      </c>
      <c r="AG402" s="3">
        <f>VLOOKUP($AB402,'2000 Seattle Tracts'!$C$2:$Y$374,AG$1,FALSE)*$Z402</f>
        <v>0.78991707086214136</v>
      </c>
      <c r="AH402" s="3">
        <f>VLOOKUP($AB402,'2000 Seattle Tracts'!$C$2:$Y$374,AH$1,FALSE)*$Z402</f>
        <v>0.33646244944851789</v>
      </c>
      <c r="AI402" s="3">
        <f>VLOOKUP($AB402,'2000 Seattle Tracts'!$C$2:$Y$374,AI$1,FALSE)*$Z402</f>
        <v>0.56868751259729888</v>
      </c>
      <c r="AJ402" s="3">
        <f>VLOOKUP($AB402,'2000 Seattle Tracts'!$C$2:$Y$374,AJ$1,FALSE)*$Z402</f>
        <v>6.0255366763982944E-2</v>
      </c>
      <c r="AK402" s="3">
        <f>VLOOKUP($AB402,'2000 Seattle Tracts'!$C$2:$Y$374,AK$1,FALSE)*$Z402</f>
        <v>1.495388664215635E-2</v>
      </c>
      <c r="AL402" s="3">
        <f>VLOOKUP($AB402,'2000 Seattle Tracts'!$C$2:$Y$374,AL$1,FALSE)*$Z402</f>
        <v>2.1991009767876987E-3</v>
      </c>
      <c r="AM402" s="3">
        <f>VLOOKUP($AB402,'2000 Seattle Tracts'!$C$2:$Y$374,AM$1,FALSE)*$Z402</f>
        <v>2.0231728986446828E-2</v>
      </c>
      <c r="AN402" s="3">
        <f>VLOOKUP($AB402,'2000 Seattle Tracts'!$C$2:$Y$374,AN$1,FALSE)*$Z402</f>
        <v>7.0371231257206355E-3</v>
      </c>
      <c r="AO402" s="3">
        <f>VLOOKUP($AB402,'2000 Seattle Tracts'!$C$2:$Y$374,AO$1,FALSE)*$Z402</f>
        <v>2.0231728986446828E-2</v>
      </c>
      <c r="AP402" s="3">
        <f>VLOOKUP($AB402,'2000 Seattle Tracts'!$C$2:$Y$374,AP$1,FALSE)*$Z402</f>
        <v>7.0371231257206355E-3</v>
      </c>
      <c r="AQ402" s="3">
        <f>VLOOKUP($AB402,'2000 Seattle Tracts'!$C$2:$Y$374,AQ$1,FALSE)*$Z402</f>
        <v>0.10115864493223413</v>
      </c>
      <c r="AR402" s="3">
        <f>VLOOKUP($AB402,'2000 Seattle Tracts'!$C$2:$Y$374,AR$1,FALSE)*$Z402</f>
        <v>0.23090560256270834</v>
      </c>
      <c r="AS402" s="3">
        <f>VLOOKUP($AB402,'2000 Seattle Tracts'!$C$2:$Y$374,AS$1,FALSE)*$Z402</f>
        <v>0</v>
      </c>
      <c r="AT402" s="3">
        <f>VLOOKUP($AB402,'2000 Seattle Tracts'!$C$2:$Y$374,AT$1,FALSE)*$Z402</f>
        <v>4.8380221489329371E-3</v>
      </c>
      <c r="AU402" s="3">
        <f>VLOOKUP($AB402,'2000 Seattle Tracts'!$C$2:$Y$374,AU$1,FALSE)*$Z402</f>
        <v>2.5069751135379764E-2</v>
      </c>
      <c r="AV402" s="3">
        <f>VLOOKUP($AB402,'2000 Seattle Tracts'!$C$2:$Y$374,AV$1,FALSE)*$Z402</f>
        <v>0</v>
      </c>
      <c r="AW402" s="3">
        <f>VLOOKUP($AB402,'2000 Seattle Tracts'!$C$2:$Y$374,AW$1,FALSE)*$Z402</f>
        <v>3.9583817582178576E-2</v>
      </c>
      <c r="AX402" s="3">
        <f>VLOOKUP($AB402,'2000 Seattle Tracts'!$C$2:$Y$374,AX$1,FALSE)*$Z402</f>
        <v>2.4190110744664685E-2</v>
      </c>
    </row>
    <row r="403" spans="1:50" x14ac:dyDescent="0.25">
      <c r="A403" t="s">
        <v>2917</v>
      </c>
      <c r="B403" t="s">
        <v>2918</v>
      </c>
      <c r="C403" t="s">
        <v>3188</v>
      </c>
      <c r="D403" t="s">
        <v>2656</v>
      </c>
      <c r="E403" t="s">
        <v>2657</v>
      </c>
      <c r="F403" t="s">
        <v>2658</v>
      </c>
      <c r="G403" t="s">
        <v>2920</v>
      </c>
      <c r="H403" t="s">
        <v>2921</v>
      </c>
      <c r="I403">
        <v>2511641</v>
      </c>
      <c r="J403">
        <v>745303</v>
      </c>
      <c r="K403" t="s">
        <v>3487</v>
      </c>
      <c r="L403" t="s">
        <v>3488</v>
      </c>
      <c r="M403">
        <v>15</v>
      </c>
      <c r="N403">
        <v>666.71900000000005</v>
      </c>
      <c r="P403">
        <v>0</v>
      </c>
      <c r="Q403">
        <v>0</v>
      </c>
      <c r="R403">
        <v>0</v>
      </c>
      <c r="S403">
        <v>16989.307000000001</v>
      </c>
      <c r="T403">
        <v>17</v>
      </c>
      <c r="U403">
        <v>0</v>
      </c>
      <c r="V403">
        <v>666.71868222244677</v>
      </c>
      <c r="W403">
        <v>16989.311083938759</v>
      </c>
      <c r="X403">
        <v>1578.3530000000001</v>
      </c>
      <c r="Y403">
        <f>VLOOKUP(AB403,'2000 Seattle Tracts'!$C$2:$Z$374,24,FALSE)</f>
        <v>2405232.8909999998</v>
      </c>
      <c r="Z403">
        <f t="shared" si="12"/>
        <v>6.5621628820475004E-4</v>
      </c>
      <c r="AA403" t="s">
        <v>115</v>
      </c>
      <c r="AB403" t="str">
        <f t="shared" si="13"/>
        <v>Census Tract 53.02, King County, Washington</v>
      </c>
      <c r="AC403" s="3">
        <f>VLOOKUP($AB403,'2000 Seattle Tracts'!$C$2:$Y$374,AC$1,FALSE)*$Z403</f>
        <v>1.6805699140923649</v>
      </c>
      <c r="AD403" s="3">
        <f>VLOOKUP($AB403,'2000 Seattle Tracts'!$C$2:$Y$374,AD$1,FALSE)*$Z403</f>
        <v>1.1785644536157311</v>
      </c>
      <c r="AE403" s="3">
        <f>VLOOKUP($AB403,'2000 Seattle Tracts'!$C$2:$Y$374,AE$1,FALSE)*$Z403</f>
        <v>0.50200546047663375</v>
      </c>
      <c r="AF403" s="3">
        <f>VLOOKUP($AB403,'2000 Seattle Tracts'!$C$2:$Y$374,AF$1,FALSE)*$Z403</f>
        <v>1.6805699140923649</v>
      </c>
      <c r="AG403" s="3">
        <f>VLOOKUP($AB403,'2000 Seattle Tracts'!$C$2:$Y$374,AG$1,FALSE)*$Z403</f>
        <v>1.1785644536157311</v>
      </c>
      <c r="AH403" s="3">
        <f>VLOOKUP($AB403,'2000 Seattle Tracts'!$C$2:$Y$374,AH$1,FALSE)*$Z403</f>
        <v>0.50200546047663375</v>
      </c>
      <c r="AI403" s="3">
        <f>VLOOKUP($AB403,'2000 Seattle Tracts'!$C$2:$Y$374,AI$1,FALSE)*$Z403</f>
        <v>0.84848766064874181</v>
      </c>
      <c r="AJ403" s="3">
        <f>VLOOKUP($AB403,'2000 Seattle Tracts'!$C$2:$Y$374,AJ$1,FALSE)*$Z403</f>
        <v>8.9901631484050754E-2</v>
      </c>
      <c r="AK403" s="3">
        <f>VLOOKUP($AB403,'2000 Seattle Tracts'!$C$2:$Y$374,AK$1,FALSE)*$Z403</f>
        <v>2.23113537989615E-2</v>
      </c>
      <c r="AL403" s="3">
        <f>VLOOKUP($AB403,'2000 Seattle Tracts'!$C$2:$Y$374,AL$1,FALSE)*$Z403</f>
        <v>3.2810814410237504E-3</v>
      </c>
      <c r="AM403" s="3">
        <f>VLOOKUP($AB403,'2000 Seattle Tracts'!$C$2:$Y$374,AM$1,FALSE)*$Z403</f>
        <v>3.0185949257418503E-2</v>
      </c>
      <c r="AN403" s="3">
        <f>VLOOKUP($AB403,'2000 Seattle Tracts'!$C$2:$Y$374,AN$1,FALSE)*$Z403</f>
        <v>1.0499460611276001E-2</v>
      </c>
      <c r="AO403" s="3">
        <f>VLOOKUP($AB403,'2000 Seattle Tracts'!$C$2:$Y$374,AO$1,FALSE)*$Z403</f>
        <v>3.0185949257418503E-2</v>
      </c>
      <c r="AP403" s="3">
        <f>VLOOKUP($AB403,'2000 Seattle Tracts'!$C$2:$Y$374,AP$1,FALSE)*$Z403</f>
        <v>1.0499460611276001E-2</v>
      </c>
      <c r="AQ403" s="3">
        <f>VLOOKUP($AB403,'2000 Seattle Tracts'!$C$2:$Y$374,AQ$1,FALSE)*$Z403</f>
        <v>0.15092974628709252</v>
      </c>
      <c r="AR403" s="3">
        <f>VLOOKUP($AB403,'2000 Seattle Tracts'!$C$2:$Y$374,AR$1,FALSE)*$Z403</f>
        <v>0.34451355130749378</v>
      </c>
      <c r="AS403" s="3">
        <f>VLOOKUP($AB403,'2000 Seattle Tracts'!$C$2:$Y$374,AS$1,FALSE)*$Z403</f>
        <v>0</v>
      </c>
      <c r="AT403" s="3">
        <f>VLOOKUP($AB403,'2000 Seattle Tracts'!$C$2:$Y$374,AT$1,FALSE)*$Z403</f>
        <v>7.2183791702522503E-3</v>
      </c>
      <c r="AU403" s="3">
        <f>VLOOKUP($AB403,'2000 Seattle Tracts'!$C$2:$Y$374,AU$1,FALSE)*$Z403</f>
        <v>3.7404328427670754E-2</v>
      </c>
      <c r="AV403" s="3">
        <f>VLOOKUP($AB403,'2000 Seattle Tracts'!$C$2:$Y$374,AV$1,FALSE)*$Z403</f>
        <v>0</v>
      </c>
      <c r="AW403" s="3">
        <f>VLOOKUP($AB403,'2000 Seattle Tracts'!$C$2:$Y$374,AW$1,FALSE)*$Z403</f>
        <v>5.9059465938427501E-2</v>
      </c>
      <c r="AX403" s="3">
        <f>VLOOKUP($AB403,'2000 Seattle Tracts'!$C$2:$Y$374,AX$1,FALSE)*$Z403</f>
        <v>3.6091895851261255E-2</v>
      </c>
    </row>
    <row r="404" spans="1:50" x14ac:dyDescent="0.25">
      <c r="A404" t="s">
        <v>2917</v>
      </c>
      <c r="B404" t="s">
        <v>2918</v>
      </c>
      <c r="C404" t="s">
        <v>3188</v>
      </c>
      <c r="D404" t="s">
        <v>2656</v>
      </c>
      <c r="E404" t="s">
        <v>2657</v>
      </c>
      <c r="F404" t="s">
        <v>2658</v>
      </c>
      <c r="G404" t="s">
        <v>2920</v>
      </c>
      <c r="H404" t="s">
        <v>2921</v>
      </c>
      <c r="I404">
        <v>2511641</v>
      </c>
      <c r="J404">
        <v>745303</v>
      </c>
      <c r="K404" t="s">
        <v>3487</v>
      </c>
      <c r="L404" t="s">
        <v>3488</v>
      </c>
      <c r="M404">
        <v>16</v>
      </c>
      <c r="N404">
        <v>216.947</v>
      </c>
      <c r="P404">
        <v>0</v>
      </c>
      <c r="Q404">
        <v>0</v>
      </c>
      <c r="R404">
        <v>0</v>
      </c>
      <c r="S404">
        <v>2708.875</v>
      </c>
      <c r="T404">
        <v>18</v>
      </c>
      <c r="U404">
        <v>0</v>
      </c>
      <c r="V404">
        <v>216.94722964844601</v>
      </c>
      <c r="W404">
        <v>2708.8772491515401</v>
      </c>
      <c r="X404">
        <v>248.69</v>
      </c>
      <c r="Y404">
        <f>VLOOKUP(AB404,'2000 Seattle Tracts'!$C$2:$Z$374,24,FALSE)</f>
        <v>2405232.8909999998</v>
      </c>
      <c r="Z404">
        <f t="shared" si="12"/>
        <v>1.0339539299107315E-4</v>
      </c>
      <c r="AA404" t="s">
        <v>115</v>
      </c>
      <c r="AB404" t="str">
        <f t="shared" si="13"/>
        <v>Census Tract 53.02, King County, Washington</v>
      </c>
      <c r="AC404" s="3">
        <f>VLOOKUP($AB404,'2000 Seattle Tracts'!$C$2:$Y$374,AC$1,FALSE)*$Z404</f>
        <v>0.26479560145013836</v>
      </c>
      <c r="AD404" s="3">
        <f>VLOOKUP($AB404,'2000 Seattle Tracts'!$C$2:$Y$374,AD$1,FALSE)*$Z404</f>
        <v>0.18569812581196737</v>
      </c>
      <c r="AE404" s="3">
        <f>VLOOKUP($AB404,'2000 Seattle Tracts'!$C$2:$Y$374,AE$1,FALSE)*$Z404</f>
        <v>7.9097475638170961E-2</v>
      </c>
      <c r="AF404" s="3">
        <f>VLOOKUP($AB404,'2000 Seattle Tracts'!$C$2:$Y$374,AF$1,FALSE)*$Z404</f>
        <v>0.26479560145013836</v>
      </c>
      <c r="AG404" s="3">
        <f>VLOOKUP($AB404,'2000 Seattle Tracts'!$C$2:$Y$374,AG$1,FALSE)*$Z404</f>
        <v>0.18569812581196737</v>
      </c>
      <c r="AH404" s="3">
        <f>VLOOKUP($AB404,'2000 Seattle Tracts'!$C$2:$Y$374,AH$1,FALSE)*$Z404</f>
        <v>7.9097475638170961E-2</v>
      </c>
      <c r="AI404" s="3">
        <f>VLOOKUP($AB404,'2000 Seattle Tracts'!$C$2:$Y$374,AI$1,FALSE)*$Z404</f>
        <v>0.13369024313745759</v>
      </c>
      <c r="AJ404" s="3">
        <f>VLOOKUP($AB404,'2000 Seattle Tracts'!$C$2:$Y$374,AJ$1,FALSE)*$Z404</f>
        <v>1.4165168839777021E-2</v>
      </c>
      <c r="AK404" s="3">
        <f>VLOOKUP($AB404,'2000 Seattle Tracts'!$C$2:$Y$374,AK$1,FALSE)*$Z404</f>
        <v>3.515443361696487E-3</v>
      </c>
      <c r="AL404" s="3">
        <f>VLOOKUP($AB404,'2000 Seattle Tracts'!$C$2:$Y$374,AL$1,FALSE)*$Z404</f>
        <v>5.1697696495536577E-4</v>
      </c>
      <c r="AM404" s="3">
        <f>VLOOKUP($AB404,'2000 Seattle Tracts'!$C$2:$Y$374,AM$1,FALSE)*$Z404</f>
        <v>4.7561880775893652E-3</v>
      </c>
      <c r="AN404" s="3">
        <f>VLOOKUP($AB404,'2000 Seattle Tracts'!$C$2:$Y$374,AN$1,FALSE)*$Z404</f>
        <v>1.6543262878571704E-3</v>
      </c>
      <c r="AO404" s="3">
        <f>VLOOKUP($AB404,'2000 Seattle Tracts'!$C$2:$Y$374,AO$1,FALSE)*$Z404</f>
        <v>4.7561880775893652E-3</v>
      </c>
      <c r="AP404" s="3">
        <f>VLOOKUP($AB404,'2000 Seattle Tracts'!$C$2:$Y$374,AP$1,FALSE)*$Z404</f>
        <v>1.6543262878571704E-3</v>
      </c>
      <c r="AQ404" s="3">
        <f>VLOOKUP($AB404,'2000 Seattle Tracts'!$C$2:$Y$374,AQ$1,FALSE)*$Z404</f>
        <v>2.3780940387946824E-2</v>
      </c>
      <c r="AR404" s="3">
        <f>VLOOKUP($AB404,'2000 Seattle Tracts'!$C$2:$Y$374,AR$1,FALSE)*$Z404</f>
        <v>5.4282581320313404E-2</v>
      </c>
      <c r="AS404" s="3">
        <f>VLOOKUP($AB404,'2000 Seattle Tracts'!$C$2:$Y$374,AS$1,FALSE)*$Z404</f>
        <v>0</v>
      </c>
      <c r="AT404" s="3">
        <f>VLOOKUP($AB404,'2000 Seattle Tracts'!$C$2:$Y$374,AT$1,FALSE)*$Z404</f>
        <v>1.1373493229018046E-3</v>
      </c>
      <c r="AU404" s="3">
        <f>VLOOKUP($AB404,'2000 Seattle Tracts'!$C$2:$Y$374,AU$1,FALSE)*$Z404</f>
        <v>5.8935374004911696E-3</v>
      </c>
      <c r="AV404" s="3">
        <f>VLOOKUP($AB404,'2000 Seattle Tracts'!$C$2:$Y$374,AV$1,FALSE)*$Z404</f>
        <v>0</v>
      </c>
      <c r="AW404" s="3">
        <f>VLOOKUP($AB404,'2000 Seattle Tracts'!$C$2:$Y$374,AW$1,FALSE)*$Z404</f>
        <v>9.3055853691965829E-3</v>
      </c>
      <c r="AX404" s="3">
        <f>VLOOKUP($AB404,'2000 Seattle Tracts'!$C$2:$Y$374,AX$1,FALSE)*$Z404</f>
        <v>5.686746614509023E-3</v>
      </c>
    </row>
    <row r="405" spans="1:50" x14ac:dyDescent="0.25">
      <c r="A405" t="s">
        <v>2917</v>
      </c>
      <c r="B405" t="s">
        <v>2918</v>
      </c>
      <c r="C405" t="s">
        <v>3188</v>
      </c>
      <c r="D405" t="s">
        <v>2656</v>
      </c>
      <c r="E405" t="s">
        <v>2657</v>
      </c>
      <c r="F405" t="s">
        <v>2658</v>
      </c>
      <c r="G405" t="s">
        <v>2920</v>
      </c>
      <c r="H405" t="s">
        <v>2921</v>
      </c>
      <c r="I405">
        <v>2511641</v>
      </c>
      <c r="J405">
        <v>745303</v>
      </c>
      <c r="K405" t="s">
        <v>3487</v>
      </c>
      <c r="L405" t="s">
        <v>3488</v>
      </c>
      <c r="M405">
        <v>17</v>
      </c>
      <c r="N405">
        <v>143.47800000000001</v>
      </c>
      <c r="P405">
        <v>0</v>
      </c>
      <c r="Q405">
        <v>0</v>
      </c>
      <c r="R405">
        <v>0</v>
      </c>
      <c r="S405">
        <v>724.58400000000006</v>
      </c>
      <c r="T405">
        <v>19</v>
      </c>
      <c r="U405">
        <v>0</v>
      </c>
      <c r="V405">
        <v>143.47839739761611</v>
      </c>
      <c r="W405">
        <v>724.58383275054996</v>
      </c>
      <c r="X405">
        <v>58.042000000000002</v>
      </c>
      <c r="Y405">
        <f>VLOOKUP(AB405,'2000 Seattle Tracts'!$C$2:$Z$374,24,FALSE)</f>
        <v>2405232.8909999998</v>
      </c>
      <c r="Z405">
        <f t="shared" si="12"/>
        <v>2.4131550926807944E-5</v>
      </c>
      <c r="AA405" t="s">
        <v>115</v>
      </c>
      <c r="AB405" t="str">
        <f t="shared" si="13"/>
        <v>Census Tract 53.02, King County, Washington</v>
      </c>
      <c r="AC405" s="3">
        <f>VLOOKUP($AB405,'2000 Seattle Tracts'!$C$2:$Y$374,AC$1,FALSE)*$Z405</f>
        <v>6.1800901923555147E-2</v>
      </c>
      <c r="AD405" s="3">
        <f>VLOOKUP($AB405,'2000 Seattle Tracts'!$C$2:$Y$374,AD$1,FALSE)*$Z405</f>
        <v>4.334026546454707E-2</v>
      </c>
      <c r="AE405" s="3">
        <f>VLOOKUP($AB405,'2000 Seattle Tracts'!$C$2:$Y$374,AE$1,FALSE)*$Z405</f>
        <v>1.8460636459008077E-2</v>
      </c>
      <c r="AF405" s="3">
        <f>VLOOKUP($AB405,'2000 Seattle Tracts'!$C$2:$Y$374,AF$1,FALSE)*$Z405</f>
        <v>6.1800901923555147E-2</v>
      </c>
      <c r="AG405" s="3">
        <f>VLOOKUP($AB405,'2000 Seattle Tracts'!$C$2:$Y$374,AG$1,FALSE)*$Z405</f>
        <v>4.334026546454707E-2</v>
      </c>
      <c r="AH405" s="3">
        <f>VLOOKUP($AB405,'2000 Seattle Tracts'!$C$2:$Y$374,AH$1,FALSE)*$Z405</f>
        <v>1.8460636459008077E-2</v>
      </c>
      <c r="AI405" s="3">
        <f>VLOOKUP($AB405,'2000 Seattle Tracts'!$C$2:$Y$374,AI$1,FALSE)*$Z405</f>
        <v>3.1202095348362671E-2</v>
      </c>
      <c r="AJ405" s="3">
        <f>VLOOKUP($AB405,'2000 Seattle Tracts'!$C$2:$Y$374,AJ$1,FALSE)*$Z405</f>
        <v>3.3060224769726884E-3</v>
      </c>
      <c r="AK405" s="3">
        <f>VLOOKUP($AB405,'2000 Seattle Tracts'!$C$2:$Y$374,AK$1,FALSE)*$Z405</f>
        <v>8.2047273151147015E-4</v>
      </c>
      <c r="AL405" s="3">
        <f>VLOOKUP($AB405,'2000 Seattle Tracts'!$C$2:$Y$374,AL$1,FALSE)*$Z405</f>
        <v>1.2065775463403973E-4</v>
      </c>
      <c r="AM405" s="3">
        <f>VLOOKUP($AB405,'2000 Seattle Tracts'!$C$2:$Y$374,AM$1,FALSE)*$Z405</f>
        <v>1.1100513426331655E-3</v>
      </c>
      <c r="AN405" s="3">
        <f>VLOOKUP($AB405,'2000 Seattle Tracts'!$C$2:$Y$374,AN$1,FALSE)*$Z405</f>
        <v>3.8610481482892711E-4</v>
      </c>
      <c r="AO405" s="3">
        <f>VLOOKUP($AB405,'2000 Seattle Tracts'!$C$2:$Y$374,AO$1,FALSE)*$Z405</f>
        <v>1.1100513426331655E-3</v>
      </c>
      <c r="AP405" s="3">
        <f>VLOOKUP($AB405,'2000 Seattle Tracts'!$C$2:$Y$374,AP$1,FALSE)*$Z405</f>
        <v>3.8610481482892711E-4</v>
      </c>
      <c r="AQ405" s="3">
        <f>VLOOKUP($AB405,'2000 Seattle Tracts'!$C$2:$Y$374,AQ$1,FALSE)*$Z405</f>
        <v>5.5502567131658275E-3</v>
      </c>
      <c r="AR405" s="3">
        <f>VLOOKUP($AB405,'2000 Seattle Tracts'!$C$2:$Y$374,AR$1,FALSE)*$Z405</f>
        <v>1.2669064236574171E-2</v>
      </c>
      <c r="AS405" s="3">
        <f>VLOOKUP($AB405,'2000 Seattle Tracts'!$C$2:$Y$374,AS$1,FALSE)*$Z405</f>
        <v>0</v>
      </c>
      <c r="AT405" s="3">
        <f>VLOOKUP($AB405,'2000 Seattle Tracts'!$C$2:$Y$374,AT$1,FALSE)*$Z405</f>
        <v>2.6544706019488741E-4</v>
      </c>
      <c r="AU405" s="3">
        <f>VLOOKUP($AB405,'2000 Seattle Tracts'!$C$2:$Y$374,AU$1,FALSE)*$Z405</f>
        <v>1.3754984028280528E-3</v>
      </c>
      <c r="AV405" s="3">
        <f>VLOOKUP($AB405,'2000 Seattle Tracts'!$C$2:$Y$374,AV$1,FALSE)*$Z405</f>
        <v>0</v>
      </c>
      <c r="AW405" s="3">
        <f>VLOOKUP($AB405,'2000 Seattle Tracts'!$C$2:$Y$374,AW$1,FALSE)*$Z405</f>
        <v>2.1718395834127149E-3</v>
      </c>
      <c r="AX405" s="3">
        <f>VLOOKUP($AB405,'2000 Seattle Tracts'!$C$2:$Y$374,AX$1,FALSE)*$Z405</f>
        <v>1.327235300974437E-3</v>
      </c>
    </row>
    <row r="406" spans="1:50" x14ac:dyDescent="0.25">
      <c r="A406" t="s">
        <v>2917</v>
      </c>
      <c r="B406" t="s">
        <v>2918</v>
      </c>
      <c r="C406" t="s">
        <v>3188</v>
      </c>
      <c r="D406" t="s">
        <v>2656</v>
      </c>
      <c r="E406" t="s">
        <v>2657</v>
      </c>
      <c r="F406" t="s">
        <v>2658</v>
      </c>
      <c r="G406" t="s">
        <v>2920</v>
      </c>
      <c r="H406" t="s">
        <v>2921</v>
      </c>
      <c r="I406">
        <v>2511641</v>
      </c>
      <c r="J406">
        <v>745303</v>
      </c>
      <c r="K406" t="s">
        <v>3487</v>
      </c>
      <c r="L406" t="s">
        <v>3488</v>
      </c>
      <c r="M406">
        <v>18</v>
      </c>
      <c r="N406">
        <v>130.73500000000001</v>
      </c>
      <c r="P406">
        <v>0</v>
      </c>
      <c r="Q406">
        <v>0</v>
      </c>
      <c r="R406">
        <v>0</v>
      </c>
      <c r="S406">
        <v>771.57800000000009</v>
      </c>
      <c r="T406">
        <v>20</v>
      </c>
      <c r="U406">
        <v>0</v>
      </c>
      <c r="V406">
        <v>130.73519393442041</v>
      </c>
      <c r="W406">
        <v>771.57842556147398</v>
      </c>
      <c r="X406">
        <v>71.686000000000007</v>
      </c>
      <c r="Y406">
        <f>VLOOKUP(AB406,'2000 Seattle Tracts'!$C$2:$Z$374,24,FALSE)</f>
        <v>2405232.8909999998</v>
      </c>
      <c r="Z406">
        <f t="shared" si="12"/>
        <v>2.98041824840487E-5</v>
      </c>
      <c r="AA406" t="s">
        <v>115</v>
      </c>
      <c r="AB406" t="str">
        <f t="shared" si="13"/>
        <v>Census Tract 53.02, King County, Washington</v>
      </c>
      <c r="AC406" s="3">
        <f>VLOOKUP($AB406,'2000 Seattle Tracts'!$C$2:$Y$374,AC$1,FALSE)*$Z406</f>
        <v>7.6328511341648725E-2</v>
      </c>
      <c r="AD406" s="3">
        <f>VLOOKUP($AB406,'2000 Seattle Tracts'!$C$2:$Y$374,AD$1,FALSE)*$Z406</f>
        <v>5.3528311741351461E-2</v>
      </c>
      <c r="AE406" s="3">
        <f>VLOOKUP($AB406,'2000 Seattle Tracts'!$C$2:$Y$374,AE$1,FALSE)*$Z406</f>
        <v>2.2800199600297257E-2</v>
      </c>
      <c r="AF406" s="3">
        <f>VLOOKUP($AB406,'2000 Seattle Tracts'!$C$2:$Y$374,AF$1,FALSE)*$Z406</f>
        <v>7.6328511341648725E-2</v>
      </c>
      <c r="AG406" s="3">
        <f>VLOOKUP($AB406,'2000 Seattle Tracts'!$C$2:$Y$374,AG$1,FALSE)*$Z406</f>
        <v>5.3528311741351461E-2</v>
      </c>
      <c r="AH406" s="3">
        <f>VLOOKUP($AB406,'2000 Seattle Tracts'!$C$2:$Y$374,AH$1,FALSE)*$Z406</f>
        <v>2.2800199600297257E-2</v>
      </c>
      <c r="AI406" s="3">
        <f>VLOOKUP($AB406,'2000 Seattle Tracts'!$C$2:$Y$374,AI$1,FALSE)*$Z406</f>
        <v>3.8536807951874967E-2</v>
      </c>
      <c r="AJ406" s="3">
        <f>VLOOKUP($AB406,'2000 Seattle Tracts'!$C$2:$Y$374,AJ$1,FALSE)*$Z406</f>
        <v>4.0831730003146717E-3</v>
      </c>
      <c r="AK406" s="3">
        <f>VLOOKUP($AB406,'2000 Seattle Tracts'!$C$2:$Y$374,AK$1,FALSE)*$Z406</f>
        <v>1.0133422044576559E-3</v>
      </c>
      <c r="AL406" s="3">
        <f>VLOOKUP($AB406,'2000 Seattle Tracts'!$C$2:$Y$374,AL$1,FALSE)*$Z406</f>
        <v>1.4902091242024351E-4</v>
      </c>
      <c r="AM406" s="3">
        <f>VLOOKUP($AB406,'2000 Seattle Tracts'!$C$2:$Y$374,AM$1,FALSE)*$Z406</f>
        <v>1.3709923942662402E-3</v>
      </c>
      <c r="AN406" s="3">
        <f>VLOOKUP($AB406,'2000 Seattle Tracts'!$C$2:$Y$374,AN$1,FALSE)*$Z406</f>
        <v>4.768669197447792E-4</v>
      </c>
      <c r="AO406" s="3">
        <f>VLOOKUP($AB406,'2000 Seattle Tracts'!$C$2:$Y$374,AO$1,FALSE)*$Z406</f>
        <v>1.3709923942662402E-3</v>
      </c>
      <c r="AP406" s="3">
        <f>VLOOKUP($AB406,'2000 Seattle Tracts'!$C$2:$Y$374,AP$1,FALSE)*$Z406</f>
        <v>4.768669197447792E-4</v>
      </c>
      <c r="AQ406" s="3">
        <f>VLOOKUP($AB406,'2000 Seattle Tracts'!$C$2:$Y$374,AQ$1,FALSE)*$Z406</f>
        <v>6.8549619713312009E-3</v>
      </c>
      <c r="AR406" s="3">
        <f>VLOOKUP($AB406,'2000 Seattle Tracts'!$C$2:$Y$374,AR$1,FALSE)*$Z406</f>
        <v>1.5647195804125567E-2</v>
      </c>
      <c r="AS406" s="3">
        <f>VLOOKUP($AB406,'2000 Seattle Tracts'!$C$2:$Y$374,AS$1,FALSE)*$Z406</f>
        <v>0</v>
      </c>
      <c r="AT406" s="3">
        <f>VLOOKUP($AB406,'2000 Seattle Tracts'!$C$2:$Y$374,AT$1,FALSE)*$Z406</f>
        <v>3.2784600732453569E-4</v>
      </c>
      <c r="AU406" s="3">
        <f>VLOOKUP($AB406,'2000 Seattle Tracts'!$C$2:$Y$374,AU$1,FALSE)*$Z406</f>
        <v>1.6988384015907759E-3</v>
      </c>
      <c r="AV406" s="3">
        <f>VLOOKUP($AB406,'2000 Seattle Tracts'!$C$2:$Y$374,AV$1,FALSE)*$Z406</f>
        <v>0</v>
      </c>
      <c r="AW406" s="3">
        <f>VLOOKUP($AB406,'2000 Seattle Tracts'!$C$2:$Y$374,AW$1,FALSE)*$Z406</f>
        <v>2.682376423564383E-3</v>
      </c>
      <c r="AX406" s="3">
        <f>VLOOKUP($AB406,'2000 Seattle Tracts'!$C$2:$Y$374,AX$1,FALSE)*$Z406</f>
        <v>1.6392300366226784E-3</v>
      </c>
    </row>
    <row r="407" spans="1:50" x14ac:dyDescent="0.25">
      <c r="A407" t="s">
        <v>2917</v>
      </c>
      <c r="B407" t="s">
        <v>2918</v>
      </c>
      <c r="C407" t="s">
        <v>3188</v>
      </c>
      <c r="D407" t="s">
        <v>2656</v>
      </c>
      <c r="E407" t="s">
        <v>2657</v>
      </c>
      <c r="F407" t="s">
        <v>2658</v>
      </c>
      <c r="G407" t="s">
        <v>2920</v>
      </c>
      <c r="H407" t="s">
        <v>2921</v>
      </c>
      <c r="I407">
        <v>2511641</v>
      </c>
      <c r="J407">
        <v>745303</v>
      </c>
      <c r="K407" t="s">
        <v>3487</v>
      </c>
      <c r="L407" t="s">
        <v>3488</v>
      </c>
      <c r="M407">
        <v>36</v>
      </c>
      <c r="N407">
        <v>30993.599999999999</v>
      </c>
      <c r="O407" t="s">
        <v>122</v>
      </c>
      <c r="P407">
        <v>4</v>
      </c>
      <c r="Q407">
        <v>5</v>
      </c>
      <c r="R407">
        <v>81</v>
      </c>
      <c r="S407">
        <v>37020968</v>
      </c>
      <c r="T407">
        <v>38</v>
      </c>
      <c r="U407">
        <v>125</v>
      </c>
      <c r="V407">
        <v>30993.600213945359</v>
      </c>
      <c r="W407">
        <v>37020968.872468568</v>
      </c>
      <c r="X407">
        <v>211.92699999999999</v>
      </c>
      <c r="Y407">
        <f>VLOOKUP(AB407,'2000 Seattle Tracts'!$C$2:$Z$374,24,FALSE)</f>
        <v>2405232.8909999998</v>
      </c>
      <c r="Z407">
        <f t="shared" si="12"/>
        <v>8.8110802406285576E-5</v>
      </c>
      <c r="AA407" t="s">
        <v>127</v>
      </c>
      <c r="AB407" t="str">
        <f t="shared" si="13"/>
        <v>Census Tract 53.02, King County, Washington</v>
      </c>
      <c r="AC407" s="3">
        <f>VLOOKUP($AB407,'2000 Seattle Tracts'!$C$2:$Y$374,AC$1,FALSE)*$Z407</f>
        <v>0.22565176496249736</v>
      </c>
      <c r="AD407" s="3">
        <f>VLOOKUP($AB407,'2000 Seattle Tracts'!$C$2:$Y$374,AD$1,FALSE)*$Z407</f>
        <v>0.15824700112168891</v>
      </c>
      <c r="AE407" s="3">
        <f>VLOOKUP($AB407,'2000 Seattle Tracts'!$C$2:$Y$374,AE$1,FALSE)*$Z407</f>
        <v>6.7404763840808471E-2</v>
      </c>
      <c r="AF407" s="3">
        <f>VLOOKUP($AB407,'2000 Seattle Tracts'!$C$2:$Y$374,AF$1,FALSE)*$Z407</f>
        <v>0.22565176496249736</v>
      </c>
      <c r="AG407" s="3">
        <f>VLOOKUP($AB407,'2000 Seattle Tracts'!$C$2:$Y$374,AG$1,FALSE)*$Z407</f>
        <v>0.15824700112168891</v>
      </c>
      <c r="AH407" s="3">
        <f>VLOOKUP($AB407,'2000 Seattle Tracts'!$C$2:$Y$374,AH$1,FALSE)*$Z407</f>
        <v>6.7404763840808471E-2</v>
      </c>
      <c r="AI407" s="3">
        <f>VLOOKUP($AB407,'2000 Seattle Tracts'!$C$2:$Y$374,AI$1,FALSE)*$Z407</f>
        <v>0.11392726751132724</v>
      </c>
      <c r="AJ407" s="3">
        <f>VLOOKUP($AB407,'2000 Seattle Tracts'!$C$2:$Y$374,AJ$1,FALSE)*$Z407</f>
        <v>1.2071179929661124E-2</v>
      </c>
      <c r="AK407" s="3">
        <f>VLOOKUP($AB407,'2000 Seattle Tracts'!$C$2:$Y$374,AK$1,FALSE)*$Z407</f>
        <v>2.9957672818137094E-3</v>
      </c>
      <c r="AL407" s="3">
        <f>VLOOKUP($AB407,'2000 Seattle Tracts'!$C$2:$Y$374,AL$1,FALSE)*$Z407</f>
        <v>4.4055401203142789E-4</v>
      </c>
      <c r="AM407" s="3">
        <f>VLOOKUP($AB407,'2000 Seattle Tracts'!$C$2:$Y$374,AM$1,FALSE)*$Z407</f>
        <v>4.0530969106891369E-3</v>
      </c>
      <c r="AN407" s="3">
        <f>VLOOKUP($AB407,'2000 Seattle Tracts'!$C$2:$Y$374,AN$1,FALSE)*$Z407</f>
        <v>1.4097728385005692E-3</v>
      </c>
      <c r="AO407" s="3">
        <f>VLOOKUP($AB407,'2000 Seattle Tracts'!$C$2:$Y$374,AO$1,FALSE)*$Z407</f>
        <v>4.0530969106891369E-3</v>
      </c>
      <c r="AP407" s="3">
        <f>VLOOKUP($AB407,'2000 Seattle Tracts'!$C$2:$Y$374,AP$1,FALSE)*$Z407</f>
        <v>1.4097728385005692E-3</v>
      </c>
      <c r="AQ407" s="3">
        <f>VLOOKUP($AB407,'2000 Seattle Tracts'!$C$2:$Y$374,AQ$1,FALSE)*$Z407</f>
        <v>2.0265484553445682E-2</v>
      </c>
      <c r="AR407" s="3">
        <f>VLOOKUP($AB407,'2000 Seattle Tracts'!$C$2:$Y$374,AR$1,FALSE)*$Z407</f>
        <v>4.6258171263299924E-2</v>
      </c>
      <c r="AS407" s="3">
        <f>VLOOKUP($AB407,'2000 Seattle Tracts'!$C$2:$Y$374,AS$1,FALSE)*$Z407</f>
        <v>0</v>
      </c>
      <c r="AT407" s="3">
        <f>VLOOKUP($AB407,'2000 Seattle Tracts'!$C$2:$Y$374,AT$1,FALSE)*$Z407</f>
        <v>9.6921882646914138E-4</v>
      </c>
      <c r="AU407" s="3">
        <f>VLOOKUP($AB407,'2000 Seattle Tracts'!$C$2:$Y$374,AU$1,FALSE)*$Z407</f>
        <v>5.0223157371582774E-3</v>
      </c>
      <c r="AV407" s="3">
        <f>VLOOKUP($AB407,'2000 Seattle Tracts'!$C$2:$Y$374,AV$1,FALSE)*$Z407</f>
        <v>0</v>
      </c>
      <c r="AW407" s="3">
        <f>VLOOKUP($AB407,'2000 Seattle Tracts'!$C$2:$Y$374,AW$1,FALSE)*$Z407</f>
        <v>7.9299722165657015E-3</v>
      </c>
      <c r="AX407" s="3">
        <f>VLOOKUP($AB407,'2000 Seattle Tracts'!$C$2:$Y$374,AX$1,FALSE)*$Z407</f>
        <v>4.8460941323457069E-3</v>
      </c>
    </row>
    <row r="408" spans="1:50" x14ac:dyDescent="0.25">
      <c r="A408" t="s">
        <v>2917</v>
      </c>
      <c r="B408" t="s">
        <v>2918</v>
      </c>
      <c r="C408" t="s">
        <v>3188</v>
      </c>
      <c r="D408" t="s">
        <v>2656</v>
      </c>
      <c r="E408" t="s">
        <v>2657</v>
      </c>
      <c r="F408" t="s">
        <v>2658</v>
      </c>
      <c r="G408" t="s">
        <v>2920</v>
      </c>
      <c r="H408" t="s">
        <v>2921</v>
      </c>
      <c r="I408">
        <v>2511641</v>
      </c>
      <c r="J408">
        <v>745303</v>
      </c>
      <c r="K408" t="s">
        <v>3487</v>
      </c>
      <c r="L408" t="s">
        <v>3488</v>
      </c>
      <c r="M408">
        <v>40</v>
      </c>
      <c r="N408">
        <v>26489.241999999998</v>
      </c>
      <c r="O408" t="s">
        <v>122</v>
      </c>
      <c r="P408">
        <v>4</v>
      </c>
      <c r="Q408">
        <v>5</v>
      </c>
      <c r="R408">
        <v>95</v>
      </c>
      <c r="S408">
        <v>19051776</v>
      </c>
      <c r="T408">
        <v>42</v>
      </c>
      <c r="U408">
        <v>136</v>
      </c>
      <c r="V408">
        <v>26489.242232173649</v>
      </c>
      <c r="W408">
        <v>19051776.818690982</v>
      </c>
      <c r="X408">
        <v>5052.3059999999996</v>
      </c>
      <c r="Y408">
        <f>VLOOKUP(AB408,'2000 Seattle Tracts'!$C$2:$Z$374,24,FALSE)</f>
        <v>2405232.8909999998</v>
      </c>
      <c r="Z408">
        <f t="shared" si="12"/>
        <v>2.1005475265638215E-3</v>
      </c>
      <c r="AA408" t="s">
        <v>131</v>
      </c>
      <c r="AB408" t="str">
        <f t="shared" si="13"/>
        <v>Census Tract 53.02, King County, Washington</v>
      </c>
      <c r="AC408" s="3">
        <f>VLOOKUP($AB408,'2000 Seattle Tracts'!$C$2:$Y$374,AC$1,FALSE)*$Z408</f>
        <v>5.3795022155299472</v>
      </c>
      <c r="AD408" s="3">
        <f>VLOOKUP($AB408,'2000 Seattle Tracts'!$C$2:$Y$374,AD$1,FALSE)*$Z408</f>
        <v>3.7725833577086236</v>
      </c>
      <c r="AE408" s="3">
        <f>VLOOKUP($AB408,'2000 Seattle Tracts'!$C$2:$Y$374,AE$1,FALSE)*$Z408</f>
        <v>1.6069188578213234</v>
      </c>
      <c r="AF408" s="3">
        <f>VLOOKUP($AB408,'2000 Seattle Tracts'!$C$2:$Y$374,AF$1,FALSE)*$Z408</f>
        <v>5.3795022155299472</v>
      </c>
      <c r="AG408" s="3">
        <f>VLOOKUP($AB408,'2000 Seattle Tracts'!$C$2:$Y$374,AG$1,FALSE)*$Z408</f>
        <v>3.7725833577086236</v>
      </c>
      <c r="AH408" s="3">
        <f>VLOOKUP($AB408,'2000 Seattle Tracts'!$C$2:$Y$374,AH$1,FALSE)*$Z408</f>
        <v>1.6069188578213234</v>
      </c>
      <c r="AI408" s="3">
        <f>VLOOKUP($AB408,'2000 Seattle Tracts'!$C$2:$Y$374,AI$1,FALSE)*$Z408</f>
        <v>2.716007951847021</v>
      </c>
      <c r="AJ408" s="3">
        <f>VLOOKUP($AB408,'2000 Seattle Tracts'!$C$2:$Y$374,AJ$1,FALSE)*$Z408</f>
        <v>0.28777501113924353</v>
      </c>
      <c r="AK408" s="3">
        <f>VLOOKUP($AB408,'2000 Seattle Tracts'!$C$2:$Y$374,AK$1,FALSE)*$Z408</f>
        <v>7.1418615903169932E-2</v>
      </c>
      <c r="AL408" s="3">
        <f>VLOOKUP($AB408,'2000 Seattle Tracts'!$C$2:$Y$374,AL$1,FALSE)*$Z408</f>
        <v>1.0502737632819108E-2</v>
      </c>
      <c r="AM408" s="3">
        <f>VLOOKUP($AB408,'2000 Seattle Tracts'!$C$2:$Y$374,AM$1,FALSE)*$Z408</f>
        <v>9.6625186221935791E-2</v>
      </c>
      <c r="AN408" s="3">
        <f>VLOOKUP($AB408,'2000 Seattle Tracts'!$C$2:$Y$374,AN$1,FALSE)*$Z408</f>
        <v>3.3608760425021145E-2</v>
      </c>
      <c r="AO408" s="3">
        <f>VLOOKUP($AB408,'2000 Seattle Tracts'!$C$2:$Y$374,AO$1,FALSE)*$Z408</f>
        <v>9.6625186221935791E-2</v>
      </c>
      <c r="AP408" s="3">
        <f>VLOOKUP($AB408,'2000 Seattle Tracts'!$C$2:$Y$374,AP$1,FALSE)*$Z408</f>
        <v>3.3608760425021145E-2</v>
      </c>
      <c r="AQ408" s="3">
        <f>VLOOKUP($AB408,'2000 Seattle Tracts'!$C$2:$Y$374,AQ$1,FALSE)*$Z408</f>
        <v>0.48312593110967894</v>
      </c>
      <c r="AR408" s="3">
        <f>VLOOKUP($AB408,'2000 Seattle Tracts'!$C$2:$Y$374,AR$1,FALSE)*$Z408</f>
        <v>1.1027874514460063</v>
      </c>
      <c r="AS408" s="3">
        <f>VLOOKUP($AB408,'2000 Seattle Tracts'!$C$2:$Y$374,AS$1,FALSE)*$Z408</f>
        <v>0</v>
      </c>
      <c r="AT408" s="3">
        <f>VLOOKUP($AB408,'2000 Seattle Tracts'!$C$2:$Y$374,AT$1,FALSE)*$Z408</f>
        <v>2.3106022792202037E-2</v>
      </c>
      <c r="AU408" s="3">
        <f>VLOOKUP($AB408,'2000 Seattle Tracts'!$C$2:$Y$374,AU$1,FALSE)*$Z408</f>
        <v>0.11973120901413783</v>
      </c>
      <c r="AV408" s="3">
        <f>VLOOKUP($AB408,'2000 Seattle Tracts'!$C$2:$Y$374,AV$1,FALSE)*$Z408</f>
        <v>0</v>
      </c>
      <c r="AW408" s="3">
        <f>VLOOKUP($AB408,'2000 Seattle Tracts'!$C$2:$Y$374,AW$1,FALSE)*$Z408</f>
        <v>0.18904927739074395</v>
      </c>
      <c r="AX408" s="3">
        <f>VLOOKUP($AB408,'2000 Seattle Tracts'!$C$2:$Y$374,AX$1,FALSE)*$Z408</f>
        <v>0.11553011396101018</v>
      </c>
    </row>
    <row r="409" spans="1:50" x14ac:dyDescent="0.25">
      <c r="A409" t="s">
        <v>2917</v>
      </c>
      <c r="B409" t="s">
        <v>2918</v>
      </c>
      <c r="C409" t="s">
        <v>3188</v>
      </c>
      <c r="D409" t="s">
        <v>2656</v>
      </c>
      <c r="E409" t="s">
        <v>2657</v>
      </c>
      <c r="F409" t="s">
        <v>2658</v>
      </c>
      <c r="G409" t="s">
        <v>2920</v>
      </c>
      <c r="H409" t="s">
        <v>2921</v>
      </c>
      <c r="I409">
        <v>2511641</v>
      </c>
      <c r="J409">
        <v>745303</v>
      </c>
      <c r="K409" t="s">
        <v>3487</v>
      </c>
      <c r="L409" t="s">
        <v>3488</v>
      </c>
      <c r="M409">
        <v>42</v>
      </c>
      <c r="N409">
        <v>41446.940999999999</v>
      </c>
      <c r="O409" t="s">
        <v>134</v>
      </c>
      <c r="P409">
        <v>5</v>
      </c>
      <c r="Q409">
        <v>12</v>
      </c>
      <c r="R409">
        <v>33</v>
      </c>
      <c r="S409">
        <v>49348388</v>
      </c>
      <c r="T409">
        <v>44</v>
      </c>
      <c r="U409">
        <v>139</v>
      </c>
      <c r="V409">
        <v>41446.941321259314</v>
      </c>
      <c r="W409">
        <v>49348387.058142804</v>
      </c>
      <c r="X409">
        <v>2317508.3569999998</v>
      </c>
      <c r="Y409">
        <f>VLOOKUP(AB409,'2000 Seattle Tracts'!$C$2:$Z$374,24,FALSE)</f>
        <v>2405232.8909999998</v>
      </c>
      <c r="Z409">
        <f t="shared" si="12"/>
        <v>0.96352763413129294</v>
      </c>
      <c r="AA409" t="s">
        <v>133</v>
      </c>
      <c r="AB409" t="str">
        <f t="shared" si="13"/>
        <v>Census Tract 53.02, King County, Washington</v>
      </c>
      <c r="AC409" s="3">
        <f>VLOOKUP($AB409,'2000 Seattle Tracts'!$C$2:$Y$374,AC$1,FALSE)*$Z409</f>
        <v>2467.5942710102413</v>
      </c>
      <c r="AD409" s="3">
        <f>VLOOKUP($AB409,'2000 Seattle Tracts'!$C$2:$Y$374,AD$1,FALSE)*$Z409</f>
        <v>1730.4956308998021</v>
      </c>
      <c r="AE409" s="3">
        <f>VLOOKUP($AB409,'2000 Seattle Tracts'!$C$2:$Y$374,AE$1,FALSE)*$Z409</f>
        <v>737.09864011043908</v>
      </c>
      <c r="AF409" s="3">
        <f>VLOOKUP($AB409,'2000 Seattle Tracts'!$C$2:$Y$374,AF$1,FALSE)*$Z409</f>
        <v>2467.5942710102413</v>
      </c>
      <c r="AG409" s="3">
        <f>VLOOKUP($AB409,'2000 Seattle Tracts'!$C$2:$Y$374,AG$1,FALSE)*$Z409</f>
        <v>1730.4956308998021</v>
      </c>
      <c r="AH409" s="3">
        <f>VLOOKUP($AB409,'2000 Seattle Tracts'!$C$2:$Y$374,AH$1,FALSE)*$Z409</f>
        <v>737.09864011043908</v>
      </c>
      <c r="AI409" s="3">
        <f>VLOOKUP($AB409,'2000 Seattle Tracts'!$C$2:$Y$374,AI$1,FALSE)*$Z409</f>
        <v>1245.8412309317619</v>
      </c>
      <c r="AJ409" s="3">
        <f>VLOOKUP($AB409,'2000 Seattle Tracts'!$C$2:$Y$374,AJ$1,FALSE)*$Z409</f>
        <v>132.00328587598713</v>
      </c>
      <c r="AK409" s="3">
        <f>VLOOKUP($AB409,'2000 Seattle Tracts'!$C$2:$Y$374,AK$1,FALSE)*$Z409</f>
        <v>32.759939560463962</v>
      </c>
      <c r="AL409" s="3">
        <f>VLOOKUP($AB409,'2000 Seattle Tracts'!$C$2:$Y$374,AL$1,FALSE)*$Z409</f>
        <v>4.8176381706564646</v>
      </c>
      <c r="AM409" s="3">
        <f>VLOOKUP($AB409,'2000 Seattle Tracts'!$C$2:$Y$374,AM$1,FALSE)*$Z409</f>
        <v>44.322271170039478</v>
      </c>
      <c r="AN409" s="3">
        <f>VLOOKUP($AB409,'2000 Seattle Tracts'!$C$2:$Y$374,AN$1,FALSE)*$Z409</f>
        <v>15.416442146100687</v>
      </c>
      <c r="AO409" s="3">
        <f>VLOOKUP($AB409,'2000 Seattle Tracts'!$C$2:$Y$374,AO$1,FALSE)*$Z409</f>
        <v>44.322271170039478</v>
      </c>
      <c r="AP409" s="3">
        <f>VLOOKUP($AB409,'2000 Seattle Tracts'!$C$2:$Y$374,AP$1,FALSE)*$Z409</f>
        <v>15.416442146100687</v>
      </c>
      <c r="AQ409" s="3">
        <f>VLOOKUP($AB409,'2000 Seattle Tracts'!$C$2:$Y$374,AQ$1,FALSE)*$Z409</f>
        <v>221.61135585019738</v>
      </c>
      <c r="AR409" s="3">
        <f>VLOOKUP($AB409,'2000 Seattle Tracts'!$C$2:$Y$374,AR$1,FALSE)*$Z409</f>
        <v>505.85200791892879</v>
      </c>
      <c r="AS409" s="3">
        <f>VLOOKUP($AB409,'2000 Seattle Tracts'!$C$2:$Y$374,AS$1,FALSE)*$Z409</f>
        <v>0</v>
      </c>
      <c r="AT409" s="3">
        <f>VLOOKUP($AB409,'2000 Seattle Tracts'!$C$2:$Y$374,AT$1,FALSE)*$Z409</f>
        <v>10.598803975444222</v>
      </c>
      <c r="AU409" s="3">
        <f>VLOOKUP($AB409,'2000 Seattle Tracts'!$C$2:$Y$374,AU$1,FALSE)*$Z409</f>
        <v>54.921075145483698</v>
      </c>
      <c r="AV409" s="3">
        <f>VLOOKUP($AB409,'2000 Seattle Tracts'!$C$2:$Y$374,AV$1,FALSE)*$Z409</f>
        <v>0</v>
      </c>
      <c r="AW409" s="3">
        <f>VLOOKUP($AB409,'2000 Seattle Tracts'!$C$2:$Y$374,AW$1,FALSE)*$Z409</f>
        <v>86.717487071816365</v>
      </c>
      <c r="AX409" s="3">
        <f>VLOOKUP($AB409,'2000 Seattle Tracts'!$C$2:$Y$374,AX$1,FALSE)*$Z409</f>
        <v>52.994019877221113</v>
      </c>
    </row>
    <row r="410" spans="1:50" x14ac:dyDescent="0.25">
      <c r="A410" t="s">
        <v>2917</v>
      </c>
      <c r="B410" t="s">
        <v>2918</v>
      </c>
      <c r="C410" t="s">
        <v>3185</v>
      </c>
      <c r="D410" t="s">
        <v>2659</v>
      </c>
      <c r="E410" t="s">
        <v>2660</v>
      </c>
      <c r="F410" t="s">
        <v>2661</v>
      </c>
      <c r="G410" t="s">
        <v>2920</v>
      </c>
      <c r="H410" t="s">
        <v>2921</v>
      </c>
      <c r="I410">
        <v>543485</v>
      </c>
      <c r="J410">
        <v>0</v>
      </c>
      <c r="K410" t="s">
        <v>3186</v>
      </c>
      <c r="L410" t="s">
        <v>3187</v>
      </c>
      <c r="M410">
        <v>42</v>
      </c>
      <c r="N410">
        <v>41446.940999999999</v>
      </c>
      <c r="O410" t="s">
        <v>134</v>
      </c>
      <c r="P410">
        <v>5</v>
      </c>
      <c r="Q410">
        <v>12</v>
      </c>
      <c r="R410">
        <v>33</v>
      </c>
      <c r="S410">
        <v>49348388</v>
      </c>
      <c r="T410">
        <v>44</v>
      </c>
      <c r="U410">
        <v>139</v>
      </c>
      <c r="V410">
        <v>41446.941321259314</v>
      </c>
      <c r="W410">
        <v>49348387.058142804</v>
      </c>
      <c r="X410">
        <v>543482.07700000005</v>
      </c>
      <c r="Y410">
        <f>VLOOKUP(AB410,'2000 Seattle Tracts'!$C$2:$Z$374,24,FALSE)</f>
        <v>543482.07700000005</v>
      </c>
      <c r="Z410">
        <f t="shared" si="12"/>
        <v>1</v>
      </c>
      <c r="AA410" t="s">
        <v>133</v>
      </c>
      <c r="AB410" t="str">
        <f t="shared" si="13"/>
        <v>Census Tract 53.01, King County, Washington</v>
      </c>
      <c r="AC410" s="3">
        <f>VLOOKUP($AB410,'2000 Seattle Tracts'!$C$2:$Y$374,AC$1,FALSE)*$Z410</f>
        <v>8509</v>
      </c>
      <c r="AD410" s="3">
        <f>VLOOKUP($AB410,'2000 Seattle Tracts'!$C$2:$Y$374,AD$1,FALSE)*$Z410</f>
        <v>6920</v>
      </c>
      <c r="AE410" s="3">
        <f>VLOOKUP($AB410,'2000 Seattle Tracts'!$C$2:$Y$374,AE$1,FALSE)*$Z410</f>
        <v>1589</v>
      </c>
      <c r="AF410" s="3">
        <f>VLOOKUP($AB410,'2000 Seattle Tracts'!$C$2:$Y$374,AF$1,FALSE)*$Z410</f>
        <v>8509</v>
      </c>
      <c r="AG410" s="3">
        <f>VLOOKUP($AB410,'2000 Seattle Tracts'!$C$2:$Y$374,AG$1,FALSE)*$Z410</f>
        <v>6920</v>
      </c>
      <c r="AH410" s="3">
        <f>VLOOKUP($AB410,'2000 Seattle Tracts'!$C$2:$Y$374,AH$1,FALSE)*$Z410</f>
        <v>1589</v>
      </c>
      <c r="AI410" s="3">
        <f>VLOOKUP($AB410,'2000 Seattle Tracts'!$C$2:$Y$374,AI$1,FALSE)*$Z410</f>
        <v>5573</v>
      </c>
      <c r="AJ410" s="3">
        <f>VLOOKUP($AB410,'2000 Seattle Tracts'!$C$2:$Y$374,AJ$1,FALSE)*$Z410</f>
        <v>357</v>
      </c>
      <c r="AK410" s="3">
        <f>VLOOKUP($AB410,'2000 Seattle Tracts'!$C$2:$Y$374,AK$1,FALSE)*$Z410</f>
        <v>89</v>
      </c>
      <c r="AL410" s="3">
        <f>VLOOKUP($AB410,'2000 Seattle Tracts'!$C$2:$Y$374,AL$1,FALSE)*$Z410</f>
        <v>75</v>
      </c>
      <c r="AM410" s="3">
        <f>VLOOKUP($AB410,'2000 Seattle Tracts'!$C$2:$Y$374,AM$1,FALSE)*$Z410</f>
        <v>140</v>
      </c>
      <c r="AN410" s="3">
        <f>VLOOKUP($AB410,'2000 Seattle Tracts'!$C$2:$Y$374,AN$1,FALSE)*$Z410</f>
        <v>0</v>
      </c>
      <c r="AO410" s="3">
        <f>VLOOKUP($AB410,'2000 Seattle Tracts'!$C$2:$Y$374,AO$1,FALSE)*$Z410</f>
        <v>35</v>
      </c>
      <c r="AP410" s="3">
        <f>VLOOKUP($AB410,'2000 Seattle Tracts'!$C$2:$Y$374,AP$1,FALSE)*$Z410</f>
        <v>0</v>
      </c>
      <c r="AQ410" s="3">
        <f>VLOOKUP($AB410,'2000 Seattle Tracts'!$C$2:$Y$374,AQ$1,FALSE)*$Z410</f>
        <v>664</v>
      </c>
      <c r="AR410" s="3">
        <f>VLOOKUP($AB410,'2000 Seattle Tracts'!$C$2:$Y$374,AR$1,FALSE)*$Z410</f>
        <v>1008</v>
      </c>
      <c r="AS410" s="3">
        <f>VLOOKUP($AB410,'2000 Seattle Tracts'!$C$2:$Y$374,AS$1,FALSE)*$Z410</f>
        <v>11</v>
      </c>
      <c r="AT410" s="3">
        <f>VLOOKUP($AB410,'2000 Seattle Tracts'!$C$2:$Y$374,AT$1,FALSE)*$Z410</f>
        <v>11</v>
      </c>
      <c r="AU410" s="3">
        <f>VLOOKUP($AB410,'2000 Seattle Tracts'!$C$2:$Y$374,AU$1,FALSE)*$Z410</f>
        <v>83</v>
      </c>
      <c r="AV410" s="3">
        <f>VLOOKUP($AB410,'2000 Seattle Tracts'!$C$2:$Y$374,AV$1,FALSE)*$Z410</f>
        <v>55</v>
      </c>
      <c r="AW410" s="3">
        <f>VLOOKUP($AB410,'2000 Seattle Tracts'!$C$2:$Y$374,AW$1,FALSE)*$Z410</f>
        <v>325</v>
      </c>
      <c r="AX410" s="3">
        <f>VLOOKUP($AB410,'2000 Seattle Tracts'!$C$2:$Y$374,AX$1,FALSE)*$Z410</f>
        <v>83</v>
      </c>
    </row>
    <row r="411" spans="1:50" x14ac:dyDescent="0.25">
      <c r="A411" t="s">
        <v>2917</v>
      </c>
      <c r="B411" t="s">
        <v>2918</v>
      </c>
      <c r="C411" t="s">
        <v>3278</v>
      </c>
      <c r="D411" t="s">
        <v>2662</v>
      </c>
      <c r="E411" t="s">
        <v>2663</v>
      </c>
      <c r="F411" t="s">
        <v>2664</v>
      </c>
      <c r="G411" t="s">
        <v>2920</v>
      </c>
      <c r="H411" t="s">
        <v>2921</v>
      </c>
      <c r="I411">
        <v>964684</v>
      </c>
      <c r="J411">
        <v>85584</v>
      </c>
      <c r="K411" t="s">
        <v>3279</v>
      </c>
      <c r="L411" t="s">
        <v>3280</v>
      </c>
      <c r="M411">
        <v>32</v>
      </c>
      <c r="N411">
        <v>33040.245999999999</v>
      </c>
      <c r="O411" t="s">
        <v>122</v>
      </c>
      <c r="P411">
        <v>6</v>
      </c>
      <c r="Q411">
        <v>9</v>
      </c>
      <c r="R411">
        <v>19</v>
      </c>
      <c r="S411">
        <v>42068344</v>
      </c>
      <c r="T411">
        <v>34</v>
      </c>
      <c r="U411">
        <v>133</v>
      </c>
      <c r="V411">
        <v>33040.246986119782</v>
      </c>
      <c r="W411">
        <v>42068342.613789164</v>
      </c>
      <c r="X411">
        <v>558521.46900000004</v>
      </c>
      <c r="Y411">
        <f>VLOOKUP(AB411,'2000 Seattle Tracts'!$C$2:$Z$374,24,FALSE)</f>
        <v>961971.79599999997</v>
      </c>
      <c r="Z411">
        <f t="shared" si="12"/>
        <v>0.58060066971027913</v>
      </c>
      <c r="AA411" t="s">
        <v>123</v>
      </c>
      <c r="AB411" t="str">
        <f t="shared" si="13"/>
        <v>Census Tract 52, King County, Washington</v>
      </c>
      <c r="AC411" s="3">
        <f>VLOOKUP($AB411,'2000 Seattle Tracts'!$C$2:$Y$374,AC$1,FALSE)*$Z411</f>
        <v>3066.1521367399841</v>
      </c>
      <c r="AD411" s="3">
        <f>VLOOKUP($AB411,'2000 Seattle Tracts'!$C$2:$Y$374,AD$1,FALSE)*$Z411</f>
        <v>2539.5473293127611</v>
      </c>
      <c r="AE411" s="3">
        <f>VLOOKUP($AB411,'2000 Seattle Tracts'!$C$2:$Y$374,AE$1,FALSE)*$Z411</f>
        <v>526.60480742722314</v>
      </c>
      <c r="AF411" s="3">
        <f>VLOOKUP($AB411,'2000 Seattle Tracts'!$C$2:$Y$374,AF$1,FALSE)*$Z411</f>
        <v>3066.1521367399841</v>
      </c>
      <c r="AG411" s="3">
        <f>VLOOKUP($AB411,'2000 Seattle Tracts'!$C$2:$Y$374,AG$1,FALSE)*$Z411</f>
        <v>2539.5473293127611</v>
      </c>
      <c r="AH411" s="3">
        <f>VLOOKUP($AB411,'2000 Seattle Tracts'!$C$2:$Y$374,AH$1,FALSE)*$Z411</f>
        <v>526.60480742722314</v>
      </c>
      <c r="AI411" s="3">
        <f>VLOOKUP($AB411,'2000 Seattle Tracts'!$C$2:$Y$374,AI$1,FALSE)*$Z411</f>
        <v>2025.1351359494536</v>
      </c>
      <c r="AJ411" s="3">
        <f>VLOOKUP($AB411,'2000 Seattle Tracts'!$C$2:$Y$374,AJ$1,FALSE)*$Z411</f>
        <v>227.59546252642943</v>
      </c>
      <c r="AK411" s="3">
        <f>VLOOKUP($AB411,'2000 Seattle Tracts'!$C$2:$Y$374,AK$1,FALSE)*$Z411</f>
        <v>31.933036834065351</v>
      </c>
      <c r="AL411" s="3">
        <f>VLOOKUP($AB411,'2000 Seattle Tracts'!$C$2:$Y$374,AL$1,FALSE)*$Z411</f>
        <v>15.676218082177536</v>
      </c>
      <c r="AM411" s="3">
        <f>VLOOKUP($AB411,'2000 Seattle Tracts'!$C$2:$Y$374,AM$1,FALSE)*$Z411</f>
        <v>55.737664292186793</v>
      </c>
      <c r="AN411" s="3">
        <f>VLOOKUP($AB411,'2000 Seattle Tracts'!$C$2:$Y$374,AN$1,FALSE)*$Z411</f>
        <v>8.1284093759439084</v>
      </c>
      <c r="AO411" s="3">
        <f>VLOOKUP($AB411,'2000 Seattle Tracts'!$C$2:$Y$374,AO$1,FALSE)*$Z411</f>
        <v>51.092858934504562</v>
      </c>
      <c r="AP411" s="3">
        <f>VLOOKUP($AB411,'2000 Seattle Tracts'!$C$2:$Y$374,AP$1,FALSE)*$Z411</f>
        <v>0</v>
      </c>
      <c r="AQ411" s="3">
        <f>VLOOKUP($AB411,'2000 Seattle Tracts'!$C$2:$Y$374,AQ$1,FALSE)*$Z411</f>
        <v>177.08320426163513</v>
      </c>
      <c r="AR411" s="3">
        <f>VLOOKUP($AB411,'2000 Seattle Tracts'!$C$2:$Y$374,AR$1,FALSE)*$Z411</f>
        <v>207.27443908656966</v>
      </c>
      <c r="AS411" s="3">
        <f>VLOOKUP($AB411,'2000 Seattle Tracts'!$C$2:$Y$374,AS$1,FALSE)*$Z411</f>
        <v>26.707630806672839</v>
      </c>
      <c r="AT411" s="3">
        <f>VLOOKUP($AB411,'2000 Seattle Tracts'!$C$2:$Y$374,AT$1,FALSE)*$Z411</f>
        <v>16.837419421598096</v>
      </c>
      <c r="AU411" s="3">
        <f>VLOOKUP($AB411,'2000 Seattle Tracts'!$C$2:$Y$374,AU$1,FALSE)*$Z411</f>
        <v>44.125650897981217</v>
      </c>
      <c r="AV411" s="3">
        <f>VLOOKUP($AB411,'2000 Seattle Tracts'!$C$2:$Y$374,AV$1,FALSE)*$Z411</f>
        <v>13.934416073046698</v>
      </c>
      <c r="AW411" s="3">
        <f>VLOOKUP($AB411,'2000 Seattle Tracts'!$C$2:$Y$374,AW$1,FALSE)*$Z411</f>
        <v>127.73214733626141</v>
      </c>
      <c r="AX411" s="3">
        <f>VLOOKUP($AB411,'2000 Seattle Tracts'!$C$2:$Y$374,AX$1,FALSE)*$Z411</f>
        <v>37.158442861457864</v>
      </c>
    </row>
    <row r="412" spans="1:50" x14ac:dyDescent="0.25">
      <c r="A412" t="s">
        <v>2917</v>
      </c>
      <c r="B412" t="s">
        <v>2918</v>
      </c>
      <c r="C412" t="s">
        <v>3278</v>
      </c>
      <c r="D412" t="s">
        <v>2662</v>
      </c>
      <c r="E412" t="s">
        <v>2663</v>
      </c>
      <c r="F412" t="s">
        <v>2664</v>
      </c>
      <c r="G412" t="s">
        <v>2920</v>
      </c>
      <c r="H412" t="s">
        <v>2921</v>
      </c>
      <c r="I412">
        <v>964684</v>
      </c>
      <c r="J412">
        <v>85584</v>
      </c>
      <c r="K412" t="s">
        <v>3279</v>
      </c>
      <c r="L412" t="s">
        <v>3280</v>
      </c>
      <c r="M412">
        <v>42</v>
      </c>
      <c r="N412">
        <v>41446.940999999999</v>
      </c>
      <c r="O412" t="s">
        <v>134</v>
      </c>
      <c r="P412">
        <v>5</v>
      </c>
      <c r="Q412">
        <v>12</v>
      </c>
      <c r="R412">
        <v>33</v>
      </c>
      <c r="S412">
        <v>49348388</v>
      </c>
      <c r="T412">
        <v>44</v>
      </c>
      <c r="U412">
        <v>139</v>
      </c>
      <c r="V412">
        <v>41446.941321259314</v>
      </c>
      <c r="W412">
        <v>49348387.058142804</v>
      </c>
      <c r="X412">
        <v>402535.29200000002</v>
      </c>
      <c r="Y412">
        <f>VLOOKUP(AB412,'2000 Seattle Tracts'!$C$2:$Z$374,24,FALSE)</f>
        <v>961971.79599999997</v>
      </c>
      <c r="Z412">
        <f t="shared" si="12"/>
        <v>0.41844812256845004</v>
      </c>
      <c r="AA412" t="s">
        <v>133</v>
      </c>
      <c r="AB412" t="str">
        <f t="shared" si="13"/>
        <v>Census Tract 52, King County, Washington</v>
      </c>
      <c r="AC412" s="3">
        <f>VLOOKUP($AB412,'2000 Seattle Tracts'!$C$2:$Y$374,AC$1,FALSE)*$Z412</f>
        <v>2209.8245352839845</v>
      </c>
      <c r="AD412" s="3">
        <f>VLOOKUP($AB412,'2000 Seattle Tracts'!$C$2:$Y$374,AD$1,FALSE)*$Z412</f>
        <v>1830.2920881144005</v>
      </c>
      <c r="AE412" s="3">
        <f>VLOOKUP($AB412,'2000 Seattle Tracts'!$C$2:$Y$374,AE$1,FALSE)*$Z412</f>
        <v>379.5324471695842</v>
      </c>
      <c r="AF412" s="3">
        <f>VLOOKUP($AB412,'2000 Seattle Tracts'!$C$2:$Y$374,AF$1,FALSE)*$Z412</f>
        <v>2209.8245352839845</v>
      </c>
      <c r="AG412" s="3">
        <f>VLOOKUP($AB412,'2000 Seattle Tracts'!$C$2:$Y$374,AG$1,FALSE)*$Z412</f>
        <v>1830.2920881144005</v>
      </c>
      <c r="AH412" s="3">
        <f>VLOOKUP($AB412,'2000 Seattle Tracts'!$C$2:$Y$374,AH$1,FALSE)*$Z412</f>
        <v>379.5324471695842</v>
      </c>
      <c r="AI412" s="3">
        <f>VLOOKUP($AB412,'2000 Seattle Tracts'!$C$2:$Y$374,AI$1,FALSE)*$Z412</f>
        <v>1459.5470515187537</v>
      </c>
      <c r="AJ412" s="3">
        <f>VLOOKUP($AB412,'2000 Seattle Tracts'!$C$2:$Y$374,AJ$1,FALSE)*$Z412</f>
        <v>164.03166404683242</v>
      </c>
      <c r="AK412" s="3">
        <f>VLOOKUP($AB412,'2000 Seattle Tracts'!$C$2:$Y$374,AK$1,FALSE)*$Z412</f>
        <v>23.014646741264752</v>
      </c>
      <c r="AL412" s="3">
        <f>VLOOKUP($AB412,'2000 Seattle Tracts'!$C$2:$Y$374,AL$1,FALSE)*$Z412</f>
        <v>11.298099309348151</v>
      </c>
      <c r="AM412" s="3">
        <f>VLOOKUP($AB412,'2000 Seattle Tracts'!$C$2:$Y$374,AM$1,FALSE)*$Z412</f>
        <v>40.171019766571206</v>
      </c>
      <c r="AN412" s="3">
        <f>VLOOKUP($AB412,'2000 Seattle Tracts'!$C$2:$Y$374,AN$1,FALSE)*$Z412</f>
        <v>5.8582737159583003</v>
      </c>
      <c r="AO412" s="3">
        <f>VLOOKUP($AB412,'2000 Seattle Tracts'!$C$2:$Y$374,AO$1,FALSE)*$Z412</f>
        <v>36.823434786023604</v>
      </c>
      <c r="AP412" s="3">
        <f>VLOOKUP($AB412,'2000 Seattle Tracts'!$C$2:$Y$374,AP$1,FALSE)*$Z412</f>
        <v>0</v>
      </c>
      <c r="AQ412" s="3">
        <f>VLOOKUP($AB412,'2000 Seattle Tracts'!$C$2:$Y$374,AQ$1,FALSE)*$Z412</f>
        <v>127.62667738337726</v>
      </c>
      <c r="AR412" s="3">
        <f>VLOOKUP($AB412,'2000 Seattle Tracts'!$C$2:$Y$374,AR$1,FALSE)*$Z412</f>
        <v>149.38597975693668</v>
      </c>
      <c r="AS412" s="3">
        <f>VLOOKUP($AB412,'2000 Seattle Tracts'!$C$2:$Y$374,AS$1,FALSE)*$Z412</f>
        <v>19.248613638148701</v>
      </c>
      <c r="AT412" s="3">
        <f>VLOOKUP($AB412,'2000 Seattle Tracts'!$C$2:$Y$374,AT$1,FALSE)*$Z412</f>
        <v>12.134995554485052</v>
      </c>
      <c r="AU412" s="3">
        <f>VLOOKUP($AB412,'2000 Seattle Tracts'!$C$2:$Y$374,AU$1,FALSE)*$Z412</f>
        <v>31.802057315202202</v>
      </c>
      <c r="AV412" s="3">
        <f>VLOOKUP($AB412,'2000 Seattle Tracts'!$C$2:$Y$374,AV$1,FALSE)*$Z412</f>
        <v>10.042754941642801</v>
      </c>
      <c r="AW412" s="3">
        <f>VLOOKUP($AB412,'2000 Seattle Tracts'!$C$2:$Y$374,AW$1,FALSE)*$Z412</f>
        <v>92.058586965059007</v>
      </c>
      <c r="AX412" s="3">
        <f>VLOOKUP($AB412,'2000 Seattle Tracts'!$C$2:$Y$374,AX$1,FALSE)*$Z412</f>
        <v>26.780679844380803</v>
      </c>
    </row>
    <row r="413" spans="1:50" x14ac:dyDescent="0.25">
      <c r="A413" t="s">
        <v>2917</v>
      </c>
      <c r="B413" t="s">
        <v>2918</v>
      </c>
      <c r="C413" t="s">
        <v>3275</v>
      </c>
      <c r="D413" t="s">
        <v>2665</v>
      </c>
      <c r="E413" t="s">
        <v>2666</v>
      </c>
      <c r="F413" t="s">
        <v>2667</v>
      </c>
      <c r="G413" t="s">
        <v>2920</v>
      </c>
      <c r="H413" t="s">
        <v>2921</v>
      </c>
      <c r="I413">
        <v>881711</v>
      </c>
      <c r="J413">
        <v>0</v>
      </c>
      <c r="K413" t="s">
        <v>3276</v>
      </c>
      <c r="L413" t="s">
        <v>3277</v>
      </c>
      <c r="M413">
        <v>32</v>
      </c>
      <c r="N413">
        <v>33040.245999999999</v>
      </c>
      <c r="O413" t="s">
        <v>122</v>
      </c>
      <c r="P413">
        <v>6</v>
      </c>
      <c r="Q413">
        <v>9</v>
      </c>
      <c r="R413">
        <v>19</v>
      </c>
      <c r="S413">
        <v>42068344</v>
      </c>
      <c r="T413">
        <v>34</v>
      </c>
      <c r="U413">
        <v>133</v>
      </c>
      <c r="V413">
        <v>33040.246986119782</v>
      </c>
      <c r="W413">
        <v>42068342.613789164</v>
      </c>
      <c r="X413">
        <v>881712.23899999994</v>
      </c>
      <c r="Y413">
        <f>VLOOKUP(AB413,'2000 Seattle Tracts'!$C$2:$Z$374,24,FALSE)</f>
        <v>881712.23899999994</v>
      </c>
      <c r="Z413">
        <f t="shared" si="12"/>
        <v>1</v>
      </c>
      <c r="AA413" t="s">
        <v>123</v>
      </c>
      <c r="AB413" t="str">
        <f t="shared" si="13"/>
        <v>Census Tract 51, King County, Washington</v>
      </c>
      <c r="AC413" s="3">
        <f>VLOOKUP($AB413,'2000 Seattle Tracts'!$C$2:$Y$374,AC$1,FALSE)*$Z413</f>
        <v>3420</v>
      </c>
      <c r="AD413" s="3">
        <f>VLOOKUP($AB413,'2000 Seattle Tracts'!$C$2:$Y$374,AD$1,FALSE)*$Z413</f>
        <v>2952</v>
      </c>
      <c r="AE413" s="3">
        <f>VLOOKUP($AB413,'2000 Seattle Tracts'!$C$2:$Y$374,AE$1,FALSE)*$Z413</f>
        <v>468</v>
      </c>
      <c r="AF413" s="3">
        <f>VLOOKUP($AB413,'2000 Seattle Tracts'!$C$2:$Y$374,AF$1,FALSE)*$Z413</f>
        <v>3420</v>
      </c>
      <c r="AG413" s="3">
        <f>VLOOKUP($AB413,'2000 Seattle Tracts'!$C$2:$Y$374,AG$1,FALSE)*$Z413</f>
        <v>2952</v>
      </c>
      <c r="AH413" s="3">
        <f>VLOOKUP($AB413,'2000 Seattle Tracts'!$C$2:$Y$374,AH$1,FALSE)*$Z413</f>
        <v>468</v>
      </c>
      <c r="AI413" s="3">
        <f>VLOOKUP($AB413,'2000 Seattle Tracts'!$C$2:$Y$374,AI$1,FALSE)*$Z413</f>
        <v>2639</v>
      </c>
      <c r="AJ413" s="3">
        <f>VLOOKUP($AB413,'2000 Seattle Tracts'!$C$2:$Y$374,AJ$1,FALSE)*$Z413</f>
        <v>296</v>
      </c>
      <c r="AK413" s="3">
        <f>VLOOKUP($AB413,'2000 Seattle Tracts'!$C$2:$Y$374,AK$1,FALSE)*$Z413</f>
        <v>39</v>
      </c>
      <c r="AL413" s="3">
        <f>VLOOKUP($AB413,'2000 Seattle Tracts'!$C$2:$Y$374,AL$1,FALSE)*$Z413</f>
        <v>37</v>
      </c>
      <c r="AM413" s="3">
        <f>VLOOKUP($AB413,'2000 Seattle Tracts'!$C$2:$Y$374,AM$1,FALSE)*$Z413</f>
        <v>44</v>
      </c>
      <c r="AN413" s="3">
        <f>VLOOKUP($AB413,'2000 Seattle Tracts'!$C$2:$Y$374,AN$1,FALSE)*$Z413</f>
        <v>0</v>
      </c>
      <c r="AO413" s="3">
        <f>VLOOKUP($AB413,'2000 Seattle Tracts'!$C$2:$Y$374,AO$1,FALSE)*$Z413</f>
        <v>9</v>
      </c>
      <c r="AP413" s="3">
        <f>VLOOKUP($AB413,'2000 Seattle Tracts'!$C$2:$Y$374,AP$1,FALSE)*$Z413</f>
        <v>0</v>
      </c>
      <c r="AQ413" s="3">
        <f>VLOOKUP($AB413,'2000 Seattle Tracts'!$C$2:$Y$374,AQ$1,FALSE)*$Z413</f>
        <v>61</v>
      </c>
      <c r="AR413" s="3">
        <f>VLOOKUP($AB413,'2000 Seattle Tracts'!$C$2:$Y$374,AR$1,FALSE)*$Z413</f>
        <v>116</v>
      </c>
      <c r="AS413" s="3">
        <f>VLOOKUP($AB413,'2000 Seattle Tracts'!$C$2:$Y$374,AS$1,FALSE)*$Z413</f>
        <v>0</v>
      </c>
      <c r="AT413" s="3">
        <f>VLOOKUP($AB413,'2000 Seattle Tracts'!$C$2:$Y$374,AT$1,FALSE)*$Z413</f>
        <v>0</v>
      </c>
      <c r="AU413" s="3">
        <f>VLOOKUP($AB413,'2000 Seattle Tracts'!$C$2:$Y$374,AU$1,FALSE)*$Z413</f>
        <v>12</v>
      </c>
      <c r="AV413" s="3">
        <f>VLOOKUP($AB413,'2000 Seattle Tracts'!$C$2:$Y$374,AV$1,FALSE)*$Z413</f>
        <v>6</v>
      </c>
      <c r="AW413" s="3">
        <f>VLOOKUP($AB413,'2000 Seattle Tracts'!$C$2:$Y$374,AW$1,FALSE)*$Z413</f>
        <v>148</v>
      </c>
      <c r="AX413" s="3">
        <f>VLOOKUP($AB413,'2000 Seattle Tracts'!$C$2:$Y$374,AX$1,FALSE)*$Z413</f>
        <v>13</v>
      </c>
    </row>
    <row r="414" spans="1:50" x14ac:dyDescent="0.25">
      <c r="A414" t="s">
        <v>2917</v>
      </c>
      <c r="B414" t="s">
        <v>2918</v>
      </c>
      <c r="C414" t="s">
        <v>3182</v>
      </c>
      <c r="D414" t="s">
        <v>2668</v>
      </c>
      <c r="E414" t="s">
        <v>2669</v>
      </c>
      <c r="F414" t="s">
        <v>2670</v>
      </c>
      <c r="G414" t="s">
        <v>2920</v>
      </c>
      <c r="H414" t="s">
        <v>2921</v>
      </c>
      <c r="I414">
        <v>757380</v>
      </c>
      <c r="J414">
        <v>0</v>
      </c>
      <c r="K414" t="s">
        <v>3183</v>
      </c>
      <c r="L414" t="s">
        <v>3184</v>
      </c>
      <c r="M414">
        <v>31</v>
      </c>
      <c r="N414">
        <v>27120.785</v>
      </c>
      <c r="O414" t="s">
        <v>122</v>
      </c>
      <c r="P414">
        <v>6</v>
      </c>
      <c r="Q414">
        <v>9</v>
      </c>
      <c r="R414">
        <v>95</v>
      </c>
      <c r="S414">
        <v>32123118</v>
      </c>
      <c r="T414">
        <v>33</v>
      </c>
      <c r="U414">
        <v>126</v>
      </c>
      <c r="V414">
        <v>27120.785937968081</v>
      </c>
      <c r="W414">
        <v>32123117.878249042</v>
      </c>
      <c r="X414">
        <v>530.36400000000003</v>
      </c>
      <c r="Y414">
        <f>VLOOKUP(AB414,'2000 Seattle Tracts'!$C$2:$Z$374,24,FALSE)</f>
        <v>757382.46699999995</v>
      </c>
      <c r="Z414">
        <f t="shared" si="12"/>
        <v>7.0025914661158914E-4</v>
      </c>
      <c r="AA414" t="s">
        <v>121</v>
      </c>
      <c r="AB414" t="str">
        <f t="shared" si="13"/>
        <v>Census Tract 50, King County, Washington</v>
      </c>
      <c r="AC414" s="3">
        <f>VLOOKUP($AB414,'2000 Seattle Tracts'!$C$2:$Y$374,AC$1,FALSE)*$Z414</f>
        <v>2.2772427447808878</v>
      </c>
      <c r="AD414" s="3">
        <f>VLOOKUP($AB414,'2000 Seattle Tracts'!$C$2:$Y$374,AD$1,FALSE)*$Z414</f>
        <v>2.0321520434668319</v>
      </c>
      <c r="AE414" s="3">
        <f>VLOOKUP($AB414,'2000 Seattle Tracts'!$C$2:$Y$374,AE$1,FALSE)*$Z414</f>
        <v>0.24509070131405619</v>
      </c>
      <c r="AF414" s="3">
        <f>VLOOKUP($AB414,'2000 Seattle Tracts'!$C$2:$Y$374,AF$1,FALSE)*$Z414</f>
        <v>2.2772427447808878</v>
      </c>
      <c r="AG414" s="3">
        <f>VLOOKUP($AB414,'2000 Seattle Tracts'!$C$2:$Y$374,AG$1,FALSE)*$Z414</f>
        <v>2.0321520434668319</v>
      </c>
      <c r="AH414" s="3">
        <f>VLOOKUP($AB414,'2000 Seattle Tracts'!$C$2:$Y$374,AH$1,FALSE)*$Z414</f>
        <v>0.24509070131405619</v>
      </c>
      <c r="AI414" s="3">
        <f>VLOOKUP($AB414,'2000 Seattle Tracts'!$C$2:$Y$374,AI$1,FALSE)*$Z414</f>
        <v>1.7821595281264944</v>
      </c>
      <c r="AJ414" s="3">
        <f>VLOOKUP($AB414,'2000 Seattle Tracts'!$C$2:$Y$374,AJ$1,FALSE)*$Z414</f>
        <v>0.14915519822826848</v>
      </c>
      <c r="AK414" s="3">
        <f>VLOOKUP($AB414,'2000 Seattle Tracts'!$C$2:$Y$374,AK$1,FALSE)*$Z414</f>
        <v>2.7310106717851976E-2</v>
      </c>
      <c r="AL414" s="3">
        <f>VLOOKUP($AB414,'2000 Seattle Tracts'!$C$2:$Y$374,AL$1,FALSE)*$Z414</f>
        <v>1.7506478665289728E-2</v>
      </c>
      <c r="AM414" s="3">
        <f>VLOOKUP($AB414,'2000 Seattle Tracts'!$C$2:$Y$374,AM$1,FALSE)*$Z414</f>
        <v>6.5824359781489372E-2</v>
      </c>
      <c r="AN414" s="3">
        <f>VLOOKUP($AB414,'2000 Seattle Tracts'!$C$2:$Y$374,AN$1,FALSE)*$Z414</f>
        <v>5.6020731728927131E-3</v>
      </c>
      <c r="AO414" s="3">
        <f>VLOOKUP($AB414,'2000 Seattle Tracts'!$C$2:$Y$374,AO$1,FALSE)*$Z414</f>
        <v>0</v>
      </c>
      <c r="AP414" s="3">
        <f>VLOOKUP($AB414,'2000 Seattle Tracts'!$C$2:$Y$374,AP$1,FALSE)*$Z414</f>
        <v>0</v>
      </c>
      <c r="AQ414" s="3">
        <f>VLOOKUP($AB414,'2000 Seattle Tracts'!$C$2:$Y$374,AQ$1,FALSE)*$Z414</f>
        <v>3.8514253063637399E-2</v>
      </c>
      <c r="AR414" s="3">
        <f>VLOOKUP($AB414,'2000 Seattle Tracts'!$C$2:$Y$374,AR$1,FALSE)*$Z414</f>
        <v>5.6020731728927131E-2</v>
      </c>
      <c r="AS414" s="3">
        <f>VLOOKUP($AB414,'2000 Seattle Tracts'!$C$2:$Y$374,AS$1,FALSE)*$Z414</f>
        <v>1.3304923785620194E-2</v>
      </c>
      <c r="AT414" s="3">
        <f>VLOOKUP($AB414,'2000 Seattle Tracts'!$C$2:$Y$374,AT$1,FALSE)*$Z414</f>
        <v>4.901814026281124E-3</v>
      </c>
      <c r="AU414" s="3">
        <f>VLOOKUP($AB414,'2000 Seattle Tracts'!$C$2:$Y$374,AU$1,FALSE)*$Z414</f>
        <v>4.2015548796695348E-2</v>
      </c>
      <c r="AV414" s="3">
        <f>VLOOKUP($AB414,'2000 Seattle Tracts'!$C$2:$Y$374,AV$1,FALSE)*$Z414</f>
        <v>7.0025914661158914E-3</v>
      </c>
      <c r="AW414" s="3">
        <f>VLOOKUP($AB414,'2000 Seattle Tracts'!$C$2:$Y$374,AW$1,FALSE)*$Z414</f>
        <v>6.3023323195043029E-2</v>
      </c>
      <c r="AX414" s="3">
        <f>VLOOKUP($AB414,'2000 Seattle Tracts'!$C$2:$Y$374,AX$1,FALSE)*$Z414</f>
        <v>4.901814026281124E-3</v>
      </c>
    </row>
    <row r="415" spans="1:50" x14ac:dyDescent="0.25">
      <c r="A415" t="s">
        <v>2917</v>
      </c>
      <c r="B415" t="s">
        <v>2918</v>
      </c>
      <c r="C415" t="s">
        <v>3182</v>
      </c>
      <c r="D415" t="s">
        <v>2668</v>
      </c>
      <c r="E415" t="s">
        <v>2669</v>
      </c>
      <c r="F415" t="s">
        <v>2670</v>
      </c>
      <c r="G415" t="s">
        <v>2920</v>
      </c>
      <c r="H415" t="s">
        <v>2921</v>
      </c>
      <c r="I415">
        <v>757380</v>
      </c>
      <c r="J415">
        <v>0</v>
      </c>
      <c r="K415" t="s">
        <v>3183</v>
      </c>
      <c r="L415" t="s">
        <v>3184</v>
      </c>
      <c r="M415">
        <v>32</v>
      </c>
      <c r="N415">
        <v>33040.245999999999</v>
      </c>
      <c r="O415" t="s">
        <v>122</v>
      </c>
      <c r="P415">
        <v>6</v>
      </c>
      <c r="Q415">
        <v>9</v>
      </c>
      <c r="R415">
        <v>19</v>
      </c>
      <c r="S415">
        <v>42068344</v>
      </c>
      <c r="T415">
        <v>34</v>
      </c>
      <c r="U415">
        <v>133</v>
      </c>
      <c r="V415">
        <v>33040.246986119782</v>
      </c>
      <c r="W415">
        <v>42068342.613789164</v>
      </c>
      <c r="X415">
        <v>559194.66</v>
      </c>
      <c r="Y415">
        <f>VLOOKUP(AB415,'2000 Seattle Tracts'!$C$2:$Z$374,24,FALSE)</f>
        <v>757382.46699999995</v>
      </c>
      <c r="Z415">
        <f t="shared" si="12"/>
        <v>0.73832533015317359</v>
      </c>
      <c r="AA415" t="s">
        <v>123</v>
      </c>
      <c r="AB415" t="str">
        <f t="shared" si="13"/>
        <v>Census Tract 50, King County, Washington</v>
      </c>
      <c r="AC415" s="3">
        <f>VLOOKUP($AB415,'2000 Seattle Tracts'!$C$2:$Y$374,AC$1,FALSE)*$Z415</f>
        <v>2401.0339736581204</v>
      </c>
      <c r="AD415" s="3">
        <f>VLOOKUP($AB415,'2000 Seattle Tracts'!$C$2:$Y$374,AD$1,FALSE)*$Z415</f>
        <v>2142.6201081045097</v>
      </c>
      <c r="AE415" s="3">
        <f>VLOOKUP($AB415,'2000 Seattle Tracts'!$C$2:$Y$374,AE$1,FALSE)*$Z415</f>
        <v>258.41386555361078</v>
      </c>
      <c r="AF415" s="3">
        <f>VLOOKUP($AB415,'2000 Seattle Tracts'!$C$2:$Y$374,AF$1,FALSE)*$Z415</f>
        <v>2401.0339736581204</v>
      </c>
      <c r="AG415" s="3">
        <f>VLOOKUP($AB415,'2000 Seattle Tracts'!$C$2:$Y$374,AG$1,FALSE)*$Z415</f>
        <v>2142.6201081045097</v>
      </c>
      <c r="AH415" s="3">
        <f>VLOOKUP($AB415,'2000 Seattle Tracts'!$C$2:$Y$374,AH$1,FALSE)*$Z415</f>
        <v>258.41386555361078</v>
      </c>
      <c r="AI415" s="3">
        <f>VLOOKUP($AB415,'2000 Seattle Tracts'!$C$2:$Y$374,AI$1,FALSE)*$Z415</f>
        <v>1879.0379652398267</v>
      </c>
      <c r="AJ415" s="3">
        <f>VLOOKUP($AB415,'2000 Seattle Tracts'!$C$2:$Y$374,AJ$1,FALSE)*$Z415</f>
        <v>157.26329532262596</v>
      </c>
      <c r="AK415" s="3">
        <f>VLOOKUP($AB415,'2000 Seattle Tracts'!$C$2:$Y$374,AK$1,FALSE)*$Z415</f>
        <v>28.794687875973771</v>
      </c>
      <c r="AL415" s="3">
        <f>VLOOKUP($AB415,'2000 Seattle Tracts'!$C$2:$Y$374,AL$1,FALSE)*$Z415</f>
        <v>18.458133253829338</v>
      </c>
      <c r="AM415" s="3">
        <f>VLOOKUP($AB415,'2000 Seattle Tracts'!$C$2:$Y$374,AM$1,FALSE)*$Z415</f>
        <v>69.402581034398324</v>
      </c>
      <c r="AN415" s="3">
        <f>VLOOKUP($AB415,'2000 Seattle Tracts'!$C$2:$Y$374,AN$1,FALSE)*$Z415</f>
        <v>5.9066026412253887</v>
      </c>
      <c r="AO415" s="3">
        <f>VLOOKUP($AB415,'2000 Seattle Tracts'!$C$2:$Y$374,AO$1,FALSE)*$Z415</f>
        <v>0</v>
      </c>
      <c r="AP415" s="3">
        <f>VLOOKUP($AB415,'2000 Seattle Tracts'!$C$2:$Y$374,AP$1,FALSE)*$Z415</f>
        <v>0</v>
      </c>
      <c r="AQ415" s="3">
        <f>VLOOKUP($AB415,'2000 Seattle Tracts'!$C$2:$Y$374,AQ$1,FALSE)*$Z415</f>
        <v>40.607893158424545</v>
      </c>
      <c r="AR415" s="3">
        <f>VLOOKUP($AB415,'2000 Seattle Tracts'!$C$2:$Y$374,AR$1,FALSE)*$Z415</f>
        <v>59.06602641225389</v>
      </c>
      <c r="AS415" s="3">
        <f>VLOOKUP($AB415,'2000 Seattle Tracts'!$C$2:$Y$374,AS$1,FALSE)*$Z415</f>
        <v>14.028181272910299</v>
      </c>
      <c r="AT415" s="3">
        <f>VLOOKUP($AB415,'2000 Seattle Tracts'!$C$2:$Y$374,AT$1,FALSE)*$Z415</f>
        <v>5.1682773110722149</v>
      </c>
      <c r="AU415" s="3">
        <f>VLOOKUP($AB415,'2000 Seattle Tracts'!$C$2:$Y$374,AU$1,FALSE)*$Z415</f>
        <v>44.299519809190414</v>
      </c>
      <c r="AV415" s="3">
        <f>VLOOKUP($AB415,'2000 Seattle Tracts'!$C$2:$Y$374,AV$1,FALSE)*$Z415</f>
        <v>7.3832533015317363</v>
      </c>
      <c r="AW415" s="3">
        <f>VLOOKUP($AB415,'2000 Seattle Tracts'!$C$2:$Y$374,AW$1,FALSE)*$Z415</f>
        <v>66.449279713785629</v>
      </c>
      <c r="AX415" s="3">
        <f>VLOOKUP($AB415,'2000 Seattle Tracts'!$C$2:$Y$374,AX$1,FALSE)*$Z415</f>
        <v>5.1682773110722149</v>
      </c>
    </row>
    <row r="416" spans="1:50" x14ac:dyDescent="0.25">
      <c r="A416" t="s">
        <v>2917</v>
      </c>
      <c r="B416" t="s">
        <v>2918</v>
      </c>
      <c r="C416" t="s">
        <v>3182</v>
      </c>
      <c r="D416" t="s">
        <v>2668</v>
      </c>
      <c r="E416" t="s">
        <v>2669</v>
      </c>
      <c r="F416" t="s">
        <v>2670</v>
      </c>
      <c r="G416" t="s">
        <v>2920</v>
      </c>
      <c r="H416" t="s">
        <v>2921</v>
      </c>
      <c r="I416">
        <v>757380</v>
      </c>
      <c r="J416">
        <v>0</v>
      </c>
      <c r="K416" t="s">
        <v>3183</v>
      </c>
      <c r="L416" t="s">
        <v>3184</v>
      </c>
      <c r="M416">
        <v>33</v>
      </c>
      <c r="N416">
        <v>25999.285</v>
      </c>
      <c r="O416" t="s">
        <v>122</v>
      </c>
      <c r="P416">
        <v>6</v>
      </c>
      <c r="Q416">
        <v>9</v>
      </c>
      <c r="R416">
        <v>94</v>
      </c>
      <c r="S416">
        <v>26503756</v>
      </c>
      <c r="T416">
        <v>35</v>
      </c>
      <c r="U416">
        <v>137</v>
      </c>
      <c r="V416">
        <v>25999.284935718741</v>
      </c>
      <c r="W416">
        <v>26503756.57148983</v>
      </c>
      <c r="X416">
        <v>197657.443</v>
      </c>
      <c r="Y416">
        <f>VLOOKUP(AB416,'2000 Seattle Tracts'!$C$2:$Z$374,24,FALSE)</f>
        <v>757382.46699999995</v>
      </c>
      <c r="Z416">
        <f t="shared" si="12"/>
        <v>0.26097441070021499</v>
      </c>
      <c r="AA416" t="s">
        <v>124</v>
      </c>
      <c r="AB416" t="str">
        <f t="shared" si="13"/>
        <v>Census Tract 50, King County, Washington</v>
      </c>
      <c r="AC416" s="3">
        <f>VLOOKUP($AB416,'2000 Seattle Tracts'!$C$2:$Y$374,AC$1,FALSE)*$Z416</f>
        <v>848.68878359709913</v>
      </c>
      <c r="AD416" s="3">
        <f>VLOOKUP($AB416,'2000 Seattle Tracts'!$C$2:$Y$374,AD$1,FALSE)*$Z416</f>
        <v>757.34773985202389</v>
      </c>
      <c r="AE416" s="3">
        <f>VLOOKUP($AB416,'2000 Seattle Tracts'!$C$2:$Y$374,AE$1,FALSE)*$Z416</f>
        <v>91.34104374507524</v>
      </c>
      <c r="AF416" s="3">
        <f>VLOOKUP($AB416,'2000 Seattle Tracts'!$C$2:$Y$374,AF$1,FALSE)*$Z416</f>
        <v>848.68878359709913</v>
      </c>
      <c r="AG416" s="3">
        <f>VLOOKUP($AB416,'2000 Seattle Tracts'!$C$2:$Y$374,AG$1,FALSE)*$Z416</f>
        <v>757.34773985202389</v>
      </c>
      <c r="AH416" s="3">
        <f>VLOOKUP($AB416,'2000 Seattle Tracts'!$C$2:$Y$374,AH$1,FALSE)*$Z416</f>
        <v>91.34104374507524</v>
      </c>
      <c r="AI416" s="3">
        <f>VLOOKUP($AB416,'2000 Seattle Tracts'!$C$2:$Y$374,AI$1,FALSE)*$Z416</f>
        <v>664.17987523204715</v>
      </c>
      <c r="AJ416" s="3">
        <f>VLOOKUP($AB416,'2000 Seattle Tracts'!$C$2:$Y$374,AJ$1,FALSE)*$Z416</f>
        <v>55.587549479145792</v>
      </c>
      <c r="AK416" s="3">
        <f>VLOOKUP($AB416,'2000 Seattle Tracts'!$C$2:$Y$374,AK$1,FALSE)*$Z416</f>
        <v>10.178002017308385</v>
      </c>
      <c r="AL416" s="3">
        <f>VLOOKUP($AB416,'2000 Seattle Tracts'!$C$2:$Y$374,AL$1,FALSE)*$Z416</f>
        <v>6.5243602675053749</v>
      </c>
      <c r="AM416" s="3">
        <f>VLOOKUP($AB416,'2000 Seattle Tracts'!$C$2:$Y$374,AM$1,FALSE)*$Z416</f>
        <v>24.53159460582021</v>
      </c>
      <c r="AN416" s="3">
        <f>VLOOKUP($AB416,'2000 Seattle Tracts'!$C$2:$Y$374,AN$1,FALSE)*$Z416</f>
        <v>2.0877952856017199</v>
      </c>
      <c r="AO416" s="3">
        <f>VLOOKUP($AB416,'2000 Seattle Tracts'!$C$2:$Y$374,AO$1,FALSE)*$Z416</f>
        <v>0</v>
      </c>
      <c r="AP416" s="3">
        <f>VLOOKUP($AB416,'2000 Seattle Tracts'!$C$2:$Y$374,AP$1,FALSE)*$Z416</f>
        <v>0</v>
      </c>
      <c r="AQ416" s="3">
        <f>VLOOKUP($AB416,'2000 Seattle Tracts'!$C$2:$Y$374,AQ$1,FALSE)*$Z416</f>
        <v>14.353592588511825</v>
      </c>
      <c r="AR416" s="3">
        <f>VLOOKUP($AB416,'2000 Seattle Tracts'!$C$2:$Y$374,AR$1,FALSE)*$Z416</f>
        <v>20.877952856017199</v>
      </c>
      <c r="AS416" s="3">
        <f>VLOOKUP($AB416,'2000 Seattle Tracts'!$C$2:$Y$374,AS$1,FALSE)*$Z416</f>
        <v>4.9585138033040845</v>
      </c>
      <c r="AT416" s="3">
        <f>VLOOKUP($AB416,'2000 Seattle Tracts'!$C$2:$Y$374,AT$1,FALSE)*$Z416</f>
        <v>1.8268208749015049</v>
      </c>
      <c r="AU416" s="3">
        <f>VLOOKUP($AB416,'2000 Seattle Tracts'!$C$2:$Y$374,AU$1,FALSE)*$Z416</f>
        <v>15.658464642012898</v>
      </c>
      <c r="AV416" s="3">
        <f>VLOOKUP($AB416,'2000 Seattle Tracts'!$C$2:$Y$374,AV$1,FALSE)*$Z416</f>
        <v>2.6097441070021499</v>
      </c>
      <c r="AW416" s="3">
        <f>VLOOKUP($AB416,'2000 Seattle Tracts'!$C$2:$Y$374,AW$1,FALSE)*$Z416</f>
        <v>23.487696963019349</v>
      </c>
      <c r="AX416" s="3">
        <f>VLOOKUP($AB416,'2000 Seattle Tracts'!$C$2:$Y$374,AX$1,FALSE)*$Z416</f>
        <v>1.8268208749015049</v>
      </c>
    </row>
    <row r="417" spans="1:50" x14ac:dyDescent="0.25">
      <c r="A417" t="s">
        <v>2917</v>
      </c>
      <c r="B417" t="s">
        <v>2918</v>
      </c>
      <c r="C417" t="s">
        <v>3179</v>
      </c>
      <c r="D417" t="s">
        <v>2674</v>
      </c>
      <c r="E417" t="s">
        <v>2675</v>
      </c>
      <c r="F417" t="s">
        <v>2676</v>
      </c>
      <c r="G417" t="s">
        <v>2920</v>
      </c>
      <c r="H417" t="s">
        <v>2921</v>
      </c>
      <c r="I417">
        <v>1085823</v>
      </c>
      <c r="J417">
        <v>25325</v>
      </c>
      <c r="K417" t="s">
        <v>3180</v>
      </c>
      <c r="L417" t="s">
        <v>3181</v>
      </c>
      <c r="M417">
        <v>31</v>
      </c>
      <c r="N417">
        <v>27120.785</v>
      </c>
      <c r="O417" t="s">
        <v>122</v>
      </c>
      <c r="P417">
        <v>6</v>
      </c>
      <c r="Q417">
        <v>9</v>
      </c>
      <c r="R417">
        <v>95</v>
      </c>
      <c r="S417">
        <v>32123118</v>
      </c>
      <c r="T417">
        <v>33</v>
      </c>
      <c r="U417">
        <v>126</v>
      </c>
      <c r="V417">
        <v>27120.785937968081</v>
      </c>
      <c r="W417">
        <v>32123117.878249042</v>
      </c>
      <c r="X417">
        <v>889.08799999999997</v>
      </c>
      <c r="Y417">
        <f>VLOOKUP(AB417,'2000 Seattle Tracts'!$C$2:$Z$374,24,FALSE)</f>
        <v>1096632.0989999999</v>
      </c>
      <c r="Z417">
        <f t="shared" si="12"/>
        <v>8.1074409622948669E-4</v>
      </c>
      <c r="AA417" t="s">
        <v>121</v>
      </c>
      <c r="AB417" t="str">
        <f t="shared" si="13"/>
        <v>Census Tract 49, King County, Washington</v>
      </c>
      <c r="AC417" s="3">
        <f>VLOOKUP($AB417,'2000 Seattle Tracts'!$C$2:$Y$374,AC$1,FALSE)*$Z417</f>
        <v>4.4793611316679138</v>
      </c>
      <c r="AD417" s="3">
        <f>VLOOKUP($AB417,'2000 Seattle Tracts'!$C$2:$Y$374,AD$1,FALSE)*$Z417</f>
        <v>4.0991221505362843</v>
      </c>
      <c r="AE417" s="3">
        <f>VLOOKUP($AB417,'2000 Seattle Tracts'!$C$2:$Y$374,AE$1,FALSE)*$Z417</f>
        <v>0.38023898113162924</v>
      </c>
      <c r="AF417" s="3">
        <f>VLOOKUP($AB417,'2000 Seattle Tracts'!$C$2:$Y$374,AF$1,FALSE)*$Z417</f>
        <v>4.4793611316679138</v>
      </c>
      <c r="AG417" s="3">
        <f>VLOOKUP($AB417,'2000 Seattle Tracts'!$C$2:$Y$374,AG$1,FALSE)*$Z417</f>
        <v>4.0991221505362843</v>
      </c>
      <c r="AH417" s="3">
        <f>VLOOKUP($AB417,'2000 Seattle Tracts'!$C$2:$Y$374,AH$1,FALSE)*$Z417</f>
        <v>0.38023898113162924</v>
      </c>
      <c r="AI417" s="3">
        <f>VLOOKUP($AB417,'2000 Seattle Tracts'!$C$2:$Y$374,AI$1,FALSE)*$Z417</f>
        <v>3.6070004841249861</v>
      </c>
      <c r="AJ417" s="3">
        <f>VLOOKUP($AB417,'2000 Seattle Tracts'!$C$2:$Y$374,AJ$1,FALSE)*$Z417</f>
        <v>0.23430504381032166</v>
      </c>
      <c r="AK417" s="3">
        <f>VLOOKUP($AB417,'2000 Seattle Tracts'!$C$2:$Y$374,AK$1,FALSE)*$Z417</f>
        <v>5.8373574928523041E-2</v>
      </c>
      <c r="AL417" s="3">
        <f>VLOOKUP($AB417,'2000 Seattle Tracts'!$C$2:$Y$374,AL$1,FALSE)*$Z417</f>
        <v>2.1079346501966655E-2</v>
      </c>
      <c r="AM417" s="3">
        <f>VLOOKUP($AB417,'2000 Seattle Tracts'!$C$2:$Y$374,AM$1,FALSE)*$Z417</f>
        <v>0.10458598841360378</v>
      </c>
      <c r="AN417" s="3">
        <f>VLOOKUP($AB417,'2000 Seattle Tracts'!$C$2:$Y$374,AN$1,FALSE)*$Z417</f>
        <v>0</v>
      </c>
      <c r="AO417" s="3">
        <f>VLOOKUP($AB417,'2000 Seattle Tracts'!$C$2:$Y$374,AO$1,FALSE)*$Z417</f>
        <v>3.6483484330326901E-2</v>
      </c>
      <c r="AP417" s="3">
        <f>VLOOKUP($AB417,'2000 Seattle Tracts'!$C$2:$Y$374,AP$1,FALSE)*$Z417</f>
        <v>4.8644645773769203E-3</v>
      </c>
      <c r="AQ417" s="3">
        <f>VLOOKUP($AB417,'2000 Seattle Tracts'!$C$2:$Y$374,AQ$1,FALSE)*$Z417</f>
        <v>4.1347948907703824E-2</v>
      </c>
      <c r="AR417" s="3">
        <f>VLOOKUP($AB417,'2000 Seattle Tracts'!$C$2:$Y$374,AR$1,FALSE)*$Z417</f>
        <v>7.2966968660653803E-2</v>
      </c>
      <c r="AS417" s="3">
        <f>VLOOKUP($AB417,'2000 Seattle Tracts'!$C$2:$Y$374,AS$1,FALSE)*$Z417</f>
        <v>6.4859527698358935E-3</v>
      </c>
      <c r="AT417" s="3">
        <f>VLOOKUP($AB417,'2000 Seattle Tracts'!$C$2:$Y$374,AT$1,FALSE)*$Z417</f>
        <v>0</v>
      </c>
      <c r="AU417" s="3">
        <f>VLOOKUP($AB417,'2000 Seattle Tracts'!$C$2:$Y$374,AU$1,FALSE)*$Z417</f>
        <v>6.5670271794588425E-2</v>
      </c>
      <c r="AV417" s="3">
        <f>VLOOKUP($AB417,'2000 Seattle Tracts'!$C$2:$Y$374,AV$1,FALSE)*$Z417</f>
        <v>5.6752086736064069E-3</v>
      </c>
      <c r="AW417" s="3">
        <f>VLOOKUP($AB417,'2000 Seattle Tracts'!$C$2:$Y$374,AW$1,FALSE)*$Z417</f>
        <v>0.17917444526671655</v>
      </c>
      <c r="AX417" s="3">
        <f>VLOOKUP($AB417,'2000 Seattle Tracts'!$C$2:$Y$374,AX$1,FALSE)*$Z417</f>
        <v>4.1347948907703824E-2</v>
      </c>
    </row>
    <row r="418" spans="1:50" x14ac:dyDescent="0.25">
      <c r="A418" t="s">
        <v>2917</v>
      </c>
      <c r="B418" t="s">
        <v>2918</v>
      </c>
      <c r="C418" t="s">
        <v>3179</v>
      </c>
      <c r="D418" t="s">
        <v>2674</v>
      </c>
      <c r="E418" t="s">
        <v>2675</v>
      </c>
      <c r="F418" t="s">
        <v>2676</v>
      </c>
      <c r="G418" t="s">
        <v>2920</v>
      </c>
      <c r="H418" t="s">
        <v>2921</v>
      </c>
      <c r="I418">
        <v>1085823</v>
      </c>
      <c r="J418">
        <v>25325</v>
      </c>
      <c r="K418" t="s">
        <v>3180</v>
      </c>
      <c r="L418" t="s">
        <v>3181</v>
      </c>
      <c r="M418">
        <v>32</v>
      </c>
      <c r="N418">
        <v>33040.245999999999</v>
      </c>
      <c r="O418" t="s">
        <v>122</v>
      </c>
      <c r="P418">
        <v>6</v>
      </c>
      <c r="Q418">
        <v>9</v>
      </c>
      <c r="R418">
        <v>19</v>
      </c>
      <c r="S418">
        <v>42068344</v>
      </c>
      <c r="T418">
        <v>34</v>
      </c>
      <c r="U418">
        <v>133</v>
      </c>
      <c r="V418">
        <v>33040.246986119782</v>
      </c>
      <c r="W418">
        <v>42068342.613789164</v>
      </c>
      <c r="X418">
        <v>1949.2</v>
      </c>
      <c r="Y418">
        <f>VLOOKUP(AB418,'2000 Seattle Tracts'!$C$2:$Z$374,24,FALSE)</f>
        <v>1096632.0989999999</v>
      </c>
      <c r="Z418">
        <f t="shared" si="12"/>
        <v>1.7774420443988847E-3</v>
      </c>
      <c r="AA418" t="s">
        <v>123</v>
      </c>
      <c r="AB418" t="str">
        <f t="shared" si="13"/>
        <v>Census Tract 49, King County, Washington</v>
      </c>
      <c r="AC418" s="3">
        <f>VLOOKUP($AB418,'2000 Seattle Tracts'!$C$2:$Y$374,AC$1,FALSE)*$Z418</f>
        <v>9.8203672953038375</v>
      </c>
      <c r="AD418" s="3">
        <f>VLOOKUP($AB418,'2000 Seattle Tracts'!$C$2:$Y$374,AD$1,FALSE)*$Z418</f>
        <v>8.9867469764807613</v>
      </c>
      <c r="AE418" s="3">
        <f>VLOOKUP($AB418,'2000 Seattle Tracts'!$C$2:$Y$374,AE$1,FALSE)*$Z418</f>
        <v>0.83362031882307697</v>
      </c>
      <c r="AF418" s="3">
        <f>VLOOKUP($AB418,'2000 Seattle Tracts'!$C$2:$Y$374,AF$1,FALSE)*$Z418</f>
        <v>9.8203672953038375</v>
      </c>
      <c r="AG418" s="3">
        <f>VLOOKUP($AB418,'2000 Seattle Tracts'!$C$2:$Y$374,AG$1,FALSE)*$Z418</f>
        <v>8.9867469764807613</v>
      </c>
      <c r="AH418" s="3">
        <f>VLOOKUP($AB418,'2000 Seattle Tracts'!$C$2:$Y$374,AH$1,FALSE)*$Z418</f>
        <v>0.83362031882307697</v>
      </c>
      <c r="AI418" s="3">
        <f>VLOOKUP($AB418,'2000 Seattle Tracts'!$C$2:$Y$374,AI$1,FALSE)*$Z418</f>
        <v>7.9078396555306378</v>
      </c>
      <c r="AJ418" s="3">
        <f>VLOOKUP($AB418,'2000 Seattle Tracts'!$C$2:$Y$374,AJ$1,FALSE)*$Z418</f>
        <v>0.51368075083127773</v>
      </c>
      <c r="AK418" s="3">
        <f>VLOOKUP($AB418,'2000 Seattle Tracts'!$C$2:$Y$374,AK$1,FALSE)*$Z418</f>
        <v>0.12797582719671971</v>
      </c>
      <c r="AL418" s="3">
        <f>VLOOKUP($AB418,'2000 Seattle Tracts'!$C$2:$Y$374,AL$1,FALSE)*$Z418</f>
        <v>4.6213493154371003E-2</v>
      </c>
      <c r="AM418" s="3">
        <f>VLOOKUP($AB418,'2000 Seattle Tracts'!$C$2:$Y$374,AM$1,FALSE)*$Z418</f>
        <v>0.22929002372745613</v>
      </c>
      <c r="AN418" s="3">
        <f>VLOOKUP($AB418,'2000 Seattle Tracts'!$C$2:$Y$374,AN$1,FALSE)*$Z418</f>
        <v>0</v>
      </c>
      <c r="AO418" s="3">
        <f>VLOOKUP($AB418,'2000 Seattle Tracts'!$C$2:$Y$374,AO$1,FALSE)*$Z418</f>
        <v>7.9984891997949809E-2</v>
      </c>
      <c r="AP418" s="3">
        <f>VLOOKUP($AB418,'2000 Seattle Tracts'!$C$2:$Y$374,AP$1,FALSE)*$Z418</f>
        <v>1.0664652266393309E-2</v>
      </c>
      <c r="AQ418" s="3">
        <f>VLOOKUP($AB418,'2000 Seattle Tracts'!$C$2:$Y$374,AQ$1,FALSE)*$Z418</f>
        <v>9.0649544264343115E-2</v>
      </c>
      <c r="AR418" s="3">
        <f>VLOOKUP($AB418,'2000 Seattle Tracts'!$C$2:$Y$374,AR$1,FALSE)*$Z418</f>
        <v>0.15996978399589962</v>
      </c>
      <c r="AS418" s="3">
        <f>VLOOKUP($AB418,'2000 Seattle Tracts'!$C$2:$Y$374,AS$1,FALSE)*$Z418</f>
        <v>1.4219536355191078E-2</v>
      </c>
      <c r="AT418" s="3">
        <f>VLOOKUP($AB418,'2000 Seattle Tracts'!$C$2:$Y$374,AT$1,FALSE)*$Z418</f>
        <v>0</v>
      </c>
      <c r="AU418" s="3">
        <f>VLOOKUP($AB418,'2000 Seattle Tracts'!$C$2:$Y$374,AU$1,FALSE)*$Z418</f>
        <v>0.14397280559630965</v>
      </c>
      <c r="AV418" s="3">
        <f>VLOOKUP($AB418,'2000 Seattle Tracts'!$C$2:$Y$374,AV$1,FALSE)*$Z418</f>
        <v>1.2442094310792193E-2</v>
      </c>
      <c r="AW418" s="3">
        <f>VLOOKUP($AB418,'2000 Seattle Tracts'!$C$2:$Y$374,AW$1,FALSE)*$Z418</f>
        <v>0.3928146918121535</v>
      </c>
      <c r="AX418" s="3">
        <f>VLOOKUP($AB418,'2000 Seattle Tracts'!$C$2:$Y$374,AX$1,FALSE)*$Z418</f>
        <v>9.0649544264343115E-2</v>
      </c>
    </row>
    <row r="419" spans="1:50" x14ac:dyDescent="0.25">
      <c r="A419" t="s">
        <v>2917</v>
      </c>
      <c r="B419" t="s">
        <v>2918</v>
      </c>
      <c r="C419" t="s">
        <v>3179</v>
      </c>
      <c r="D419" t="s">
        <v>2674</v>
      </c>
      <c r="E419" t="s">
        <v>2675</v>
      </c>
      <c r="F419" t="s">
        <v>2676</v>
      </c>
      <c r="G419" t="s">
        <v>2920</v>
      </c>
      <c r="H419" t="s">
        <v>2921</v>
      </c>
      <c r="I419">
        <v>1085823</v>
      </c>
      <c r="J419">
        <v>25325</v>
      </c>
      <c r="K419" t="s">
        <v>3180</v>
      </c>
      <c r="L419" t="s">
        <v>3181</v>
      </c>
      <c r="M419">
        <v>33</v>
      </c>
      <c r="N419">
        <v>25999.285</v>
      </c>
      <c r="O419" t="s">
        <v>122</v>
      </c>
      <c r="P419">
        <v>6</v>
      </c>
      <c r="Q419">
        <v>9</v>
      </c>
      <c r="R419">
        <v>94</v>
      </c>
      <c r="S419">
        <v>26503756</v>
      </c>
      <c r="T419">
        <v>35</v>
      </c>
      <c r="U419">
        <v>137</v>
      </c>
      <c r="V419">
        <v>25999.284935718741</v>
      </c>
      <c r="W419">
        <v>26503756.57148983</v>
      </c>
      <c r="X419">
        <v>1091923.8810000001</v>
      </c>
      <c r="Y419">
        <f>VLOOKUP(AB419,'2000 Seattle Tracts'!$C$2:$Z$374,24,FALSE)</f>
        <v>1096632.0989999999</v>
      </c>
      <c r="Z419">
        <f t="shared" si="12"/>
        <v>0.9957066567682149</v>
      </c>
      <c r="AA419" t="s">
        <v>124</v>
      </c>
      <c r="AB419" t="str">
        <f t="shared" si="13"/>
        <v>Census Tract 49, King County, Washington</v>
      </c>
      <c r="AC419" s="3">
        <f>VLOOKUP($AB419,'2000 Seattle Tracts'!$C$2:$Y$374,AC$1,FALSE)*$Z419</f>
        <v>5501.279278644387</v>
      </c>
      <c r="AD419" s="3">
        <f>VLOOKUP($AB419,'2000 Seattle Tracts'!$C$2:$Y$374,AD$1,FALSE)*$Z419</f>
        <v>5034.2928566200944</v>
      </c>
      <c r="AE419" s="3">
        <f>VLOOKUP($AB419,'2000 Seattle Tracts'!$C$2:$Y$374,AE$1,FALSE)*$Z419</f>
        <v>466.98642202429278</v>
      </c>
      <c r="AF419" s="3">
        <f>VLOOKUP($AB419,'2000 Seattle Tracts'!$C$2:$Y$374,AF$1,FALSE)*$Z419</f>
        <v>5501.279278644387</v>
      </c>
      <c r="AG419" s="3">
        <f>VLOOKUP($AB419,'2000 Seattle Tracts'!$C$2:$Y$374,AG$1,FALSE)*$Z419</f>
        <v>5034.2928566200944</v>
      </c>
      <c r="AH419" s="3">
        <f>VLOOKUP($AB419,'2000 Seattle Tracts'!$C$2:$Y$374,AH$1,FALSE)*$Z419</f>
        <v>466.98642202429278</v>
      </c>
      <c r="AI419" s="3">
        <f>VLOOKUP($AB419,'2000 Seattle Tracts'!$C$2:$Y$374,AI$1,FALSE)*$Z419</f>
        <v>4429.8989159617877</v>
      </c>
      <c r="AJ419" s="3">
        <f>VLOOKUP($AB419,'2000 Seattle Tracts'!$C$2:$Y$374,AJ$1,FALSE)*$Z419</f>
        <v>287.75922380601412</v>
      </c>
      <c r="AK419" s="3">
        <f>VLOOKUP($AB419,'2000 Seattle Tracts'!$C$2:$Y$374,AK$1,FALSE)*$Z419</f>
        <v>71.690879287311475</v>
      </c>
      <c r="AL419" s="3">
        <f>VLOOKUP($AB419,'2000 Seattle Tracts'!$C$2:$Y$374,AL$1,FALSE)*$Z419</f>
        <v>25.888373075973586</v>
      </c>
      <c r="AM419" s="3">
        <f>VLOOKUP($AB419,'2000 Seattle Tracts'!$C$2:$Y$374,AM$1,FALSE)*$Z419</f>
        <v>128.44615872309973</v>
      </c>
      <c r="AN419" s="3">
        <f>VLOOKUP($AB419,'2000 Seattle Tracts'!$C$2:$Y$374,AN$1,FALSE)*$Z419</f>
        <v>0</v>
      </c>
      <c r="AO419" s="3">
        <f>VLOOKUP($AB419,'2000 Seattle Tracts'!$C$2:$Y$374,AO$1,FALSE)*$Z419</f>
        <v>44.806799554569672</v>
      </c>
      <c r="AP419" s="3">
        <f>VLOOKUP($AB419,'2000 Seattle Tracts'!$C$2:$Y$374,AP$1,FALSE)*$Z419</f>
        <v>5.974239940609289</v>
      </c>
      <c r="AQ419" s="3">
        <f>VLOOKUP($AB419,'2000 Seattle Tracts'!$C$2:$Y$374,AQ$1,FALSE)*$Z419</f>
        <v>50.781039495178959</v>
      </c>
      <c r="AR419" s="3">
        <f>VLOOKUP($AB419,'2000 Seattle Tracts'!$C$2:$Y$374,AR$1,FALSE)*$Z419</f>
        <v>89.613599109139344</v>
      </c>
      <c r="AS419" s="3">
        <f>VLOOKUP($AB419,'2000 Seattle Tracts'!$C$2:$Y$374,AS$1,FALSE)*$Z419</f>
        <v>7.9656532541457192</v>
      </c>
      <c r="AT419" s="3">
        <f>VLOOKUP($AB419,'2000 Seattle Tracts'!$C$2:$Y$374,AT$1,FALSE)*$Z419</f>
        <v>0</v>
      </c>
      <c r="AU419" s="3">
        <f>VLOOKUP($AB419,'2000 Seattle Tracts'!$C$2:$Y$374,AU$1,FALSE)*$Z419</f>
        <v>80.652239198225402</v>
      </c>
      <c r="AV419" s="3">
        <f>VLOOKUP($AB419,'2000 Seattle Tracts'!$C$2:$Y$374,AV$1,FALSE)*$Z419</f>
        <v>6.9699465973775041</v>
      </c>
      <c r="AW419" s="3">
        <f>VLOOKUP($AB419,'2000 Seattle Tracts'!$C$2:$Y$374,AW$1,FALSE)*$Z419</f>
        <v>220.0511711457755</v>
      </c>
      <c r="AX419" s="3">
        <f>VLOOKUP($AB419,'2000 Seattle Tracts'!$C$2:$Y$374,AX$1,FALSE)*$Z419</f>
        <v>50.781039495178959</v>
      </c>
    </row>
    <row r="420" spans="1:50" x14ac:dyDescent="0.25">
      <c r="A420" t="s">
        <v>2917</v>
      </c>
      <c r="B420" t="s">
        <v>2918</v>
      </c>
      <c r="C420" t="s">
        <v>3068</v>
      </c>
      <c r="D420" t="s">
        <v>2677</v>
      </c>
      <c r="E420" t="s">
        <v>2678</v>
      </c>
      <c r="F420" t="s">
        <v>2679</v>
      </c>
      <c r="G420" t="s">
        <v>2920</v>
      </c>
      <c r="H420" t="s">
        <v>2921</v>
      </c>
      <c r="I420">
        <v>1318565</v>
      </c>
      <c r="J420">
        <v>41555</v>
      </c>
      <c r="K420" t="s">
        <v>3069</v>
      </c>
      <c r="L420" t="s">
        <v>3070</v>
      </c>
      <c r="M420">
        <v>30</v>
      </c>
      <c r="N420">
        <v>21789.65</v>
      </c>
      <c r="O420" t="s">
        <v>117</v>
      </c>
      <c r="P420">
        <v>7</v>
      </c>
      <c r="Q420">
        <v>11</v>
      </c>
      <c r="R420">
        <v>9</v>
      </c>
      <c r="S420">
        <v>22199366</v>
      </c>
      <c r="T420">
        <v>32</v>
      </c>
      <c r="U420">
        <v>130</v>
      </c>
      <c r="V420">
        <v>21789.651087349259</v>
      </c>
      <c r="W420">
        <v>22199366.873256031</v>
      </c>
      <c r="X420">
        <v>336826.538</v>
      </c>
      <c r="Y420">
        <f>VLOOKUP(AB420,'2000 Seattle Tracts'!$C$2:$Z$374,24,FALSE)</f>
        <v>1332369.4750000001</v>
      </c>
      <c r="Z420">
        <f t="shared" si="12"/>
        <v>0.25280265295780657</v>
      </c>
      <c r="AA420" t="s">
        <v>120</v>
      </c>
      <c r="AB420" t="str">
        <f t="shared" si="13"/>
        <v>Census Tract 48, King County, Washington</v>
      </c>
      <c r="AC420" s="3">
        <f>VLOOKUP($AB420,'2000 Seattle Tracts'!$C$2:$Y$374,AC$1,FALSE)*$Z420</f>
        <v>1093.3714740425135</v>
      </c>
      <c r="AD420" s="3">
        <f>VLOOKUP($AB420,'2000 Seattle Tracts'!$C$2:$Y$374,AD$1,FALSE)*$Z420</f>
        <v>993.26162347122204</v>
      </c>
      <c r="AE420" s="3">
        <f>VLOOKUP($AB420,'2000 Seattle Tracts'!$C$2:$Y$374,AE$1,FALSE)*$Z420</f>
        <v>100.1098505712914</v>
      </c>
      <c r="AF420" s="3">
        <f>VLOOKUP($AB420,'2000 Seattle Tracts'!$C$2:$Y$374,AF$1,FALSE)*$Z420</f>
        <v>1093.3714740425135</v>
      </c>
      <c r="AG420" s="3">
        <f>VLOOKUP($AB420,'2000 Seattle Tracts'!$C$2:$Y$374,AG$1,FALSE)*$Z420</f>
        <v>993.26162347122204</v>
      </c>
      <c r="AH420" s="3">
        <f>VLOOKUP($AB420,'2000 Seattle Tracts'!$C$2:$Y$374,AH$1,FALSE)*$Z420</f>
        <v>100.1098505712914</v>
      </c>
      <c r="AI420" s="3">
        <f>VLOOKUP($AB420,'2000 Seattle Tracts'!$C$2:$Y$374,AI$1,FALSE)*$Z420</f>
        <v>895.67979942950865</v>
      </c>
      <c r="AJ420" s="3">
        <f>VLOOKUP($AB420,'2000 Seattle Tracts'!$C$2:$Y$374,AJ$1,FALSE)*$Z420</f>
        <v>43.734858961700539</v>
      </c>
      <c r="AK420" s="3">
        <f>VLOOKUP($AB420,'2000 Seattle Tracts'!$C$2:$Y$374,AK$1,FALSE)*$Z420</f>
        <v>24.521857336907239</v>
      </c>
      <c r="AL420" s="3">
        <f>VLOOKUP($AB420,'2000 Seattle Tracts'!$C$2:$Y$374,AL$1,FALSE)*$Z420</f>
        <v>14.156948565637169</v>
      </c>
      <c r="AM420" s="3">
        <f>VLOOKUP($AB420,'2000 Seattle Tracts'!$C$2:$Y$374,AM$1,FALSE)*$Z420</f>
        <v>15.168159177468395</v>
      </c>
      <c r="AN420" s="3">
        <f>VLOOKUP($AB420,'2000 Seattle Tracts'!$C$2:$Y$374,AN$1,FALSE)*$Z420</f>
        <v>3.5392371414092922</v>
      </c>
      <c r="AO420" s="3">
        <f>VLOOKUP($AB420,'2000 Seattle Tracts'!$C$2:$Y$374,AO$1,FALSE)*$Z420</f>
        <v>12.387329994932522</v>
      </c>
      <c r="AP420" s="3">
        <f>VLOOKUP($AB420,'2000 Seattle Tracts'!$C$2:$Y$374,AP$1,FALSE)*$Z420</f>
        <v>0</v>
      </c>
      <c r="AQ420" s="3">
        <f>VLOOKUP($AB420,'2000 Seattle Tracts'!$C$2:$Y$374,AQ$1,FALSE)*$Z420</f>
        <v>6.0672636709873577</v>
      </c>
      <c r="AR420" s="3">
        <f>VLOOKUP($AB420,'2000 Seattle Tracts'!$C$2:$Y$374,AR$1,FALSE)*$Z420</f>
        <v>28.313897131274338</v>
      </c>
      <c r="AS420" s="3">
        <f>VLOOKUP($AB420,'2000 Seattle Tracts'!$C$2:$Y$374,AS$1,FALSE)*$Z420</f>
        <v>0</v>
      </c>
      <c r="AT420" s="3">
        <f>VLOOKUP($AB420,'2000 Seattle Tracts'!$C$2:$Y$374,AT$1,FALSE)*$Z420</f>
        <v>0</v>
      </c>
      <c r="AU420" s="3">
        <f>VLOOKUP($AB420,'2000 Seattle Tracts'!$C$2:$Y$374,AU$1,FALSE)*$Z420</f>
        <v>0</v>
      </c>
      <c r="AV420" s="3">
        <f>VLOOKUP($AB420,'2000 Seattle Tracts'!$C$2:$Y$374,AV$1,FALSE)*$Z420</f>
        <v>5.5616583650717448</v>
      </c>
      <c r="AW420" s="3">
        <f>VLOOKUP($AB420,'2000 Seattle Tracts'!$C$2:$Y$374,AW$1,FALSE)*$Z420</f>
        <v>39.437213861417824</v>
      </c>
      <c r="AX420" s="3">
        <f>VLOOKUP($AB420,'2000 Seattle Tracts'!$C$2:$Y$374,AX$1,FALSE)*$Z420</f>
        <v>4.803250406198325</v>
      </c>
    </row>
    <row r="421" spans="1:50" x14ac:dyDescent="0.25">
      <c r="A421" t="s">
        <v>2917</v>
      </c>
      <c r="B421" t="s">
        <v>2918</v>
      </c>
      <c r="C421" t="s">
        <v>3068</v>
      </c>
      <c r="D421" t="s">
        <v>2677</v>
      </c>
      <c r="E421" t="s">
        <v>2678</v>
      </c>
      <c r="F421" t="s">
        <v>2679</v>
      </c>
      <c r="G421" t="s">
        <v>2920</v>
      </c>
      <c r="H421" t="s">
        <v>2921</v>
      </c>
      <c r="I421">
        <v>1318565</v>
      </c>
      <c r="J421">
        <v>41555</v>
      </c>
      <c r="K421" t="s">
        <v>3069</v>
      </c>
      <c r="L421" t="s">
        <v>3070</v>
      </c>
      <c r="M421">
        <v>31</v>
      </c>
      <c r="N421">
        <v>27120.785</v>
      </c>
      <c r="O421" t="s">
        <v>122</v>
      </c>
      <c r="P421">
        <v>6</v>
      </c>
      <c r="Q421">
        <v>9</v>
      </c>
      <c r="R421">
        <v>95</v>
      </c>
      <c r="S421">
        <v>32123118</v>
      </c>
      <c r="T421">
        <v>33</v>
      </c>
      <c r="U421">
        <v>126</v>
      </c>
      <c r="V421">
        <v>27120.785937968081</v>
      </c>
      <c r="W421">
        <v>32123117.878249042</v>
      </c>
      <c r="X421">
        <v>158003.79399999999</v>
      </c>
      <c r="Y421">
        <f>VLOOKUP(AB421,'2000 Seattle Tracts'!$C$2:$Z$374,24,FALSE)</f>
        <v>1332369.4750000001</v>
      </c>
      <c r="Z421">
        <f t="shared" si="12"/>
        <v>0.11858857243783673</v>
      </c>
      <c r="AA421" t="s">
        <v>121</v>
      </c>
      <c r="AB421" t="str">
        <f t="shared" si="13"/>
        <v>Census Tract 48, King County, Washington</v>
      </c>
      <c r="AC421" s="3">
        <f>VLOOKUP($AB421,'2000 Seattle Tracts'!$C$2:$Y$374,AC$1,FALSE)*$Z421</f>
        <v>512.89557579364384</v>
      </c>
      <c r="AD421" s="3">
        <f>VLOOKUP($AB421,'2000 Seattle Tracts'!$C$2:$Y$374,AD$1,FALSE)*$Z421</f>
        <v>465.93450110826052</v>
      </c>
      <c r="AE421" s="3">
        <f>VLOOKUP($AB421,'2000 Seattle Tracts'!$C$2:$Y$374,AE$1,FALSE)*$Z421</f>
        <v>46.961074685383345</v>
      </c>
      <c r="AF421" s="3">
        <f>VLOOKUP($AB421,'2000 Seattle Tracts'!$C$2:$Y$374,AF$1,FALSE)*$Z421</f>
        <v>512.89557579364384</v>
      </c>
      <c r="AG421" s="3">
        <f>VLOOKUP($AB421,'2000 Seattle Tracts'!$C$2:$Y$374,AG$1,FALSE)*$Z421</f>
        <v>465.93450110826052</v>
      </c>
      <c r="AH421" s="3">
        <f>VLOOKUP($AB421,'2000 Seattle Tracts'!$C$2:$Y$374,AH$1,FALSE)*$Z421</f>
        <v>46.961074685383345</v>
      </c>
      <c r="AI421" s="3">
        <f>VLOOKUP($AB421,'2000 Seattle Tracts'!$C$2:$Y$374,AI$1,FALSE)*$Z421</f>
        <v>420.15931214725555</v>
      </c>
      <c r="AJ421" s="3">
        <f>VLOOKUP($AB421,'2000 Seattle Tracts'!$C$2:$Y$374,AJ$1,FALSE)*$Z421</f>
        <v>20.515823031745754</v>
      </c>
      <c r="AK421" s="3">
        <f>VLOOKUP($AB421,'2000 Seattle Tracts'!$C$2:$Y$374,AK$1,FALSE)*$Z421</f>
        <v>11.503091526470163</v>
      </c>
      <c r="AL421" s="3">
        <f>VLOOKUP($AB421,'2000 Seattle Tracts'!$C$2:$Y$374,AL$1,FALSE)*$Z421</f>
        <v>6.6409600565188569</v>
      </c>
      <c r="AM421" s="3">
        <f>VLOOKUP($AB421,'2000 Seattle Tracts'!$C$2:$Y$374,AM$1,FALSE)*$Z421</f>
        <v>7.1153143462702033</v>
      </c>
      <c r="AN421" s="3">
        <f>VLOOKUP($AB421,'2000 Seattle Tracts'!$C$2:$Y$374,AN$1,FALSE)*$Z421</f>
        <v>1.6602400141297142</v>
      </c>
      <c r="AO421" s="3">
        <f>VLOOKUP($AB421,'2000 Seattle Tracts'!$C$2:$Y$374,AO$1,FALSE)*$Z421</f>
        <v>5.8108400494539998</v>
      </c>
      <c r="AP421" s="3">
        <f>VLOOKUP($AB421,'2000 Seattle Tracts'!$C$2:$Y$374,AP$1,FALSE)*$Z421</f>
        <v>0</v>
      </c>
      <c r="AQ421" s="3">
        <f>VLOOKUP($AB421,'2000 Seattle Tracts'!$C$2:$Y$374,AQ$1,FALSE)*$Z421</f>
        <v>2.8461257385080816</v>
      </c>
      <c r="AR421" s="3">
        <f>VLOOKUP($AB421,'2000 Seattle Tracts'!$C$2:$Y$374,AR$1,FALSE)*$Z421</f>
        <v>13.281920113037714</v>
      </c>
      <c r="AS421" s="3">
        <f>VLOOKUP($AB421,'2000 Seattle Tracts'!$C$2:$Y$374,AS$1,FALSE)*$Z421</f>
        <v>0</v>
      </c>
      <c r="AT421" s="3">
        <f>VLOOKUP($AB421,'2000 Seattle Tracts'!$C$2:$Y$374,AT$1,FALSE)*$Z421</f>
        <v>0</v>
      </c>
      <c r="AU421" s="3">
        <f>VLOOKUP($AB421,'2000 Seattle Tracts'!$C$2:$Y$374,AU$1,FALSE)*$Z421</f>
        <v>0</v>
      </c>
      <c r="AV421" s="3">
        <f>VLOOKUP($AB421,'2000 Seattle Tracts'!$C$2:$Y$374,AV$1,FALSE)*$Z421</f>
        <v>2.6089485936324079</v>
      </c>
      <c r="AW421" s="3">
        <f>VLOOKUP($AB421,'2000 Seattle Tracts'!$C$2:$Y$374,AW$1,FALSE)*$Z421</f>
        <v>18.499817300302528</v>
      </c>
      <c r="AX421" s="3">
        <f>VLOOKUP($AB421,'2000 Seattle Tracts'!$C$2:$Y$374,AX$1,FALSE)*$Z421</f>
        <v>2.2531828763188977</v>
      </c>
    </row>
    <row r="422" spans="1:50" x14ac:dyDescent="0.25">
      <c r="A422" t="s">
        <v>2917</v>
      </c>
      <c r="B422" t="s">
        <v>2918</v>
      </c>
      <c r="C422" t="s">
        <v>3068</v>
      </c>
      <c r="D422" t="s">
        <v>2677</v>
      </c>
      <c r="E422" t="s">
        <v>2678</v>
      </c>
      <c r="F422" t="s">
        <v>2679</v>
      </c>
      <c r="G422" t="s">
        <v>2920</v>
      </c>
      <c r="H422" t="s">
        <v>2921</v>
      </c>
      <c r="I422">
        <v>1318565</v>
      </c>
      <c r="J422">
        <v>41555</v>
      </c>
      <c r="K422" t="s">
        <v>3069</v>
      </c>
      <c r="L422" t="s">
        <v>3070</v>
      </c>
      <c r="M422">
        <v>33</v>
      </c>
      <c r="N422">
        <v>25999.285</v>
      </c>
      <c r="O422" t="s">
        <v>122</v>
      </c>
      <c r="P422">
        <v>6</v>
      </c>
      <c r="Q422">
        <v>9</v>
      </c>
      <c r="R422">
        <v>94</v>
      </c>
      <c r="S422">
        <v>26503756</v>
      </c>
      <c r="T422">
        <v>35</v>
      </c>
      <c r="U422">
        <v>137</v>
      </c>
      <c r="V422">
        <v>25999.284935718741</v>
      </c>
      <c r="W422">
        <v>26503756.57148983</v>
      </c>
      <c r="X422">
        <v>836492.54</v>
      </c>
      <c r="Y422">
        <f>VLOOKUP(AB422,'2000 Seattle Tracts'!$C$2:$Z$374,24,FALSE)</f>
        <v>1332369.4750000001</v>
      </c>
      <c r="Z422">
        <f t="shared" si="12"/>
        <v>0.62782325450678755</v>
      </c>
      <c r="AA422" t="s">
        <v>124</v>
      </c>
      <c r="AB422" t="str">
        <f t="shared" si="13"/>
        <v>Census Tract 48, King County, Washington</v>
      </c>
      <c r="AC422" s="3">
        <f>VLOOKUP($AB422,'2000 Seattle Tracts'!$C$2:$Y$374,AC$1,FALSE)*$Z422</f>
        <v>2715.3355757418562</v>
      </c>
      <c r="AD422" s="3">
        <f>VLOOKUP($AB422,'2000 Seattle Tracts'!$C$2:$Y$374,AD$1,FALSE)*$Z422</f>
        <v>2466.7175669571684</v>
      </c>
      <c r="AE422" s="3">
        <f>VLOOKUP($AB422,'2000 Seattle Tracts'!$C$2:$Y$374,AE$1,FALSE)*$Z422</f>
        <v>248.61800878468787</v>
      </c>
      <c r="AF422" s="3">
        <f>VLOOKUP($AB422,'2000 Seattle Tracts'!$C$2:$Y$374,AF$1,FALSE)*$Z422</f>
        <v>2715.3355757418562</v>
      </c>
      <c r="AG422" s="3">
        <f>VLOOKUP($AB422,'2000 Seattle Tracts'!$C$2:$Y$374,AG$1,FALSE)*$Z422</f>
        <v>2466.7175669571684</v>
      </c>
      <c r="AH422" s="3">
        <f>VLOOKUP($AB422,'2000 Seattle Tracts'!$C$2:$Y$374,AH$1,FALSE)*$Z422</f>
        <v>248.61800878468787</v>
      </c>
      <c r="AI422" s="3">
        <f>VLOOKUP($AB422,'2000 Seattle Tracts'!$C$2:$Y$374,AI$1,FALSE)*$Z422</f>
        <v>2224.3777907175481</v>
      </c>
      <c r="AJ422" s="3">
        <f>VLOOKUP($AB422,'2000 Seattle Tracts'!$C$2:$Y$374,AJ$1,FALSE)*$Z422</f>
        <v>108.61342302967425</v>
      </c>
      <c r="AK422" s="3">
        <f>VLOOKUP($AB422,'2000 Seattle Tracts'!$C$2:$Y$374,AK$1,FALSE)*$Z422</f>
        <v>60.898855687158395</v>
      </c>
      <c r="AL422" s="3">
        <f>VLOOKUP($AB422,'2000 Seattle Tracts'!$C$2:$Y$374,AL$1,FALSE)*$Z422</f>
        <v>35.158102252380104</v>
      </c>
      <c r="AM422" s="3">
        <f>VLOOKUP($AB422,'2000 Seattle Tracts'!$C$2:$Y$374,AM$1,FALSE)*$Z422</f>
        <v>37.66939527040725</v>
      </c>
      <c r="AN422" s="3">
        <f>VLOOKUP($AB422,'2000 Seattle Tracts'!$C$2:$Y$374,AN$1,FALSE)*$Z422</f>
        <v>8.789525563095026</v>
      </c>
      <c r="AO422" s="3">
        <f>VLOOKUP($AB422,'2000 Seattle Tracts'!$C$2:$Y$374,AO$1,FALSE)*$Z422</f>
        <v>30.763339470832591</v>
      </c>
      <c r="AP422" s="3">
        <f>VLOOKUP($AB422,'2000 Seattle Tracts'!$C$2:$Y$374,AP$1,FALSE)*$Z422</f>
        <v>0</v>
      </c>
      <c r="AQ422" s="3">
        <f>VLOOKUP($AB422,'2000 Seattle Tracts'!$C$2:$Y$374,AQ$1,FALSE)*$Z422</f>
        <v>15.067758108162902</v>
      </c>
      <c r="AR422" s="3">
        <f>VLOOKUP($AB422,'2000 Seattle Tracts'!$C$2:$Y$374,AR$1,FALSE)*$Z422</f>
        <v>70.316204504760208</v>
      </c>
      <c r="AS422" s="3">
        <f>VLOOKUP($AB422,'2000 Seattle Tracts'!$C$2:$Y$374,AS$1,FALSE)*$Z422</f>
        <v>0</v>
      </c>
      <c r="AT422" s="3">
        <f>VLOOKUP($AB422,'2000 Seattle Tracts'!$C$2:$Y$374,AT$1,FALSE)*$Z422</f>
        <v>0</v>
      </c>
      <c r="AU422" s="3">
        <f>VLOOKUP($AB422,'2000 Seattle Tracts'!$C$2:$Y$374,AU$1,FALSE)*$Z422</f>
        <v>0</v>
      </c>
      <c r="AV422" s="3">
        <f>VLOOKUP($AB422,'2000 Seattle Tracts'!$C$2:$Y$374,AV$1,FALSE)*$Z422</f>
        <v>13.812111599149326</v>
      </c>
      <c r="AW422" s="3">
        <f>VLOOKUP($AB422,'2000 Seattle Tracts'!$C$2:$Y$374,AW$1,FALSE)*$Z422</f>
        <v>97.940427703058859</v>
      </c>
      <c r="AX422" s="3">
        <f>VLOOKUP($AB422,'2000 Seattle Tracts'!$C$2:$Y$374,AX$1,FALSE)*$Z422</f>
        <v>11.928641835628964</v>
      </c>
    </row>
    <row r="423" spans="1:50" x14ac:dyDescent="0.25">
      <c r="A423" t="s">
        <v>2917</v>
      </c>
      <c r="B423" t="s">
        <v>2918</v>
      </c>
      <c r="C423" t="s">
        <v>3065</v>
      </c>
      <c r="D423" t="s">
        <v>2680</v>
      </c>
      <c r="E423" t="s">
        <v>2681</v>
      </c>
      <c r="F423" t="s">
        <v>2682</v>
      </c>
      <c r="G423" t="s">
        <v>2920</v>
      </c>
      <c r="H423" t="s">
        <v>2921</v>
      </c>
      <c r="I423">
        <v>1950914</v>
      </c>
      <c r="J423">
        <v>353088</v>
      </c>
      <c r="K423" t="s">
        <v>3066</v>
      </c>
      <c r="L423" t="s">
        <v>3067</v>
      </c>
      <c r="M423">
        <v>28</v>
      </c>
      <c r="N423">
        <v>27347.493999999999</v>
      </c>
      <c r="O423" t="s">
        <v>117</v>
      </c>
      <c r="P423">
        <v>7</v>
      </c>
      <c r="Q423">
        <v>11</v>
      </c>
      <c r="R423">
        <v>33</v>
      </c>
      <c r="S423">
        <v>22431280</v>
      </c>
      <c r="T423">
        <v>30</v>
      </c>
      <c r="U423">
        <v>129</v>
      </c>
      <c r="V423">
        <v>27347.49435016256</v>
      </c>
      <c r="W423">
        <v>22431280.790773079</v>
      </c>
      <c r="X423">
        <v>889232.125</v>
      </c>
      <c r="Y423">
        <f>VLOOKUP(AB423,'2000 Seattle Tracts'!$C$2:$Z$374,24,FALSE)</f>
        <v>1985387.925</v>
      </c>
      <c r="Z423">
        <f t="shared" si="12"/>
        <v>0.44788835159254831</v>
      </c>
      <c r="AA423" t="s">
        <v>118</v>
      </c>
      <c r="AB423" t="str">
        <f t="shared" si="13"/>
        <v>Census Tract 47, King County, Washington</v>
      </c>
      <c r="AC423" s="3">
        <f>VLOOKUP($AB423,'2000 Seattle Tracts'!$C$2:$Y$374,AC$1,FALSE)*$Z423</f>
        <v>2201.8191364289673</v>
      </c>
      <c r="AD423" s="3">
        <f>VLOOKUP($AB423,'2000 Seattle Tracts'!$C$2:$Y$374,AD$1,FALSE)*$Z423</f>
        <v>1913.8269263549589</v>
      </c>
      <c r="AE423" s="3">
        <f>VLOOKUP($AB423,'2000 Seattle Tracts'!$C$2:$Y$374,AE$1,FALSE)*$Z423</f>
        <v>287.99221007400854</v>
      </c>
      <c r="AF423" s="3">
        <f>VLOOKUP($AB423,'2000 Seattle Tracts'!$C$2:$Y$374,AF$1,FALSE)*$Z423</f>
        <v>2201.8191364289673</v>
      </c>
      <c r="AG423" s="3">
        <f>VLOOKUP($AB423,'2000 Seattle Tracts'!$C$2:$Y$374,AG$1,FALSE)*$Z423</f>
        <v>1913.8269263549589</v>
      </c>
      <c r="AH423" s="3">
        <f>VLOOKUP($AB423,'2000 Seattle Tracts'!$C$2:$Y$374,AH$1,FALSE)*$Z423</f>
        <v>287.99221007400854</v>
      </c>
      <c r="AI423" s="3">
        <f>VLOOKUP($AB423,'2000 Seattle Tracts'!$C$2:$Y$374,AI$1,FALSE)*$Z423</f>
        <v>1683.612313636389</v>
      </c>
      <c r="AJ423" s="3">
        <f>VLOOKUP($AB423,'2000 Seattle Tracts'!$C$2:$Y$374,AJ$1,FALSE)*$Z423</f>
        <v>112.41997624972963</v>
      </c>
      <c r="AK423" s="3">
        <f>VLOOKUP($AB423,'2000 Seattle Tracts'!$C$2:$Y$374,AK$1,FALSE)*$Z423</f>
        <v>29.112742853515641</v>
      </c>
      <c r="AL423" s="3">
        <f>VLOOKUP($AB423,'2000 Seattle Tracts'!$C$2:$Y$374,AL$1,FALSE)*$Z423</f>
        <v>10.30143208662861</v>
      </c>
      <c r="AM423" s="3">
        <f>VLOOKUP($AB423,'2000 Seattle Tracts'!$C$2:$Y$374,AM$1,FALSE)*$Z423</f>
        <v>34.487403072626222</v>
      </c>
      <c r="AN423" s="3">
        <f>VLOOKUP($AB423,'2000 Seattle Tracts'!$C$2:$Y$374,AN$1,FALSE)*$Z423</f>
        <v>24.633859337590156</v>
      </c>
      <c r="AO423" s="3">
        <f>VLOOKUP($AB423,'2000 Seattle Tracts'!$C$2:$Y$374,AO$1,FALSE)*$Z423</f>
        <v>14.780315602554094</v>
      </c>
      <c r="AP423" s="3">
        <f>VLOOKUP($AB423,'2000 Seattle Tracts'!$C$2:$Y$374,AP$1,FALSE)*$Z423</f>
        <v>0</v>
      </c>
      <c r="AQ423" s="3">
        <f>VLOOKUP($AB423,'2000 Seattle Tracts'!$C$2:$Y$374,AQ$1,FALSE)*$Z423</f>
        <v>23.73808263440506</v>
      </c>
      <c r="AR423" s="3">
        <f>VLOOKUP($AB423,'2000 Seattle Tracts'!$C$2:$Y$374,AR$1,FALSE)*$Z423</f>
        <v>59.121262410216374</v>
      </c>
      <c r="AS423" s="3">
        <f>VLOOKUP($AB423,'2000 Seattle Tracts'!$C$2:$Y$374,AS$1,FALSE)*$Z423</f>
        <v>0</v>
      </c>
      <c r="AT423" s="3">
        <f>VLOOKUP($AB423,'2000 Seattle Tracts'!$C$2:$Y$374,AT$1,FALSE)*$Z423</f>
        <v>0</v>
      </c>
      <c r="AU423" s="3">
        <f>VLOOKUP($AB423,'2000 Seattle Tracts'!$C$2:$Y$374,AU$1,FALSE)*$Z423</f>
        <v>43.445170104477185</v>
      </c>
      <c r="AV423" s="3">
        <f>VLOOKUP($AB423,'2000 Seattle Tracts'!$C$2:$Y$374,AV$1,FALSE)*$Z423</f>
        <v>57.777597355438729</v>
      </c>
      <c r="AW423" s="3">
        <f>VLOOKUP($AB423,'2000 Seattle Tracts'!$C$2:$Y$374,AW$1,FALSE)*$Z423</f>
        <v>84.650898450991633</v>
      </c>
      <c r="AX423" s="3">
        <f>VLOOKUP($AB423,'2000 Seattle Tracts'!$C$2:$Y$374,AX$1,FALSE)*$Z423</f>
        <v>23.73808263440506</v>
      </c>
    </row>
    <row r="424" spans="1:50" x14ac:dyDescent="0.25">
      <c r="A424" t="s">
        <v>2917</v>
      </c>
      <c r="B424" t="s">
        <v>2918</v>
      </c>
      <c r="C424" t="s">
        <v>3065</v>
      </c>
      <c r="D424" t="s">
        <v>2680</v>
      </c>
      <c r="E424" t="s">
        <v>2681</v>
      </c>
      <c r="F424" t="s">
        <v>2682</v>
      </c>
      <c r="G424" t="s">
        <v>2920</v>
      </c>
      <c r="H424" t="s">
        <v>2921</v>
      </c>
      <c r="I424">
        <v>1950914</v>
      </c>
      <c r="J424">
        <v>353088</v>
      </c>
      <c r="K424" t="s">
        <v>3066</v>
      </c>
      <c r="L424" t="s">
        <v>3067</v>
      </c>
      <c r="M424">
        <v>30</v>
      </c>
      <c r="N424">
        <v>21789.65</v>
      </c>
      <c r="O424" t="s">
        <v>117</v>
      </c>
      <c r="P424">
        <v>7</v>
      </c>
      <c r="Q424">
        <v>11</v>
      </c>
      <c r="R424">
        <v>9</v>
      </c>
      <c r="S424">
        <v>22199366</v>
      </c>
      <c r="T424">
        <v>32</v>
      </c>
      <c r="U424">
        <v>130</v>
      </c>
      <c r="V424">
        <v>21789.651087349259</v>
      </c>
      <c r="W424">
        <v>22199366.873256031</v>
      </c>
      <c r="X424">
        <v>1092237.6240000001</v>
      </c>
      <c r="Y424">
        <f>VLOOKUP(AB424,'2000 Seattle Tracts'!$C$2:$Z$374,24,FALSE)</f>
        <v>1985387.925</v>
      </c>
      <c r="Z424">
        <f t="shared" si="12"/>
        <v>0.55013814189486421</v>
      </c>
      <c r="AA424" t="s">
        <v>120</v>
      </c>
      <c r="AB424" t="str">
        <f t="shared" si="13"/>
        <v>Census Tract 47, King County, Washington</v>
      </c>
      <c r="AC424" s="3">
        <f>VLOOKUP($AB424,'2000 Seattle Tracts'!$C$2:$Y$374,AC$1,FALSE)*$Z424</f>
        <v>2704.4791055551523</v>
      </c>
      <c r="AD424" s="3">
        <f>VLOOKUP($AB424,'2000 Seattle Tracts'!$C$2:$Y$374,AD$1,FALSE)*$Z424</f>
        <v>2350.7402803167547</v>
      </c>
      <c r="AE424" s="3">
        <f>VLOOKUP($AB424,'2000 Seattle Tracts'!$C$2:$Y$374,AE$1,FALSE)*$Z424</f>
        <v>353.73882523839768</v>
      </c>
      <c r="AF424" s="3">
        <f>VLOOKUP($AB424,'2000 Seattle Tracts'!$C$2:$Y$374,AF$1,FALSE)*$Z424</f>
        <v>2704.4791055551523</v>
      </c>
      <c r="AG424" s="3">
        <f>VLOOKUP($AB424,'2000 Seattle Tracts'!$C$2:$Y$374,AG$1,FALSE)*$Z424</f>
        <v>2350.7402803167547</v>
      </c>
      <c r="AH424" s="3">
        <f>VLOOKUP($AB424,'2000 Seattle Tracts'!$C$2:$Y$374,AH$1,FALSE)*$Z424</f>
        <v>353.73882523839768</v>
      </c>
      <c r="AI424" s="3">
        <f>VLOOKUP($AB424,'2000 Seattle Tracts'!$C$2:$Y$374,AI$1,FALSE)*$Z424</f>
        <v>2067.9692753827944</v>
      </c>
      <c r="AJ424" s="3">
        <f>VLOOKUP($AB424,'2000 Seattle Tracts'!$C$2:$Y$374,AJ$1,FALSE)*$Z424</f>
        <v>138.08467361561091</v>
      </c>
      <c r="AK424" s="3">
        <f>VLOOKUP($AB424,'2000 Seattle Tracts'!$C$2:$Y$374,AK$1,FALSE)*$Z424</f>
        <v>35.758979223166172</v>
      </c>
      <c r="AL424" s="3">
        <f>VLOOKUP($AB424,'2000 Seattle Tracts'!$C$2:$Y$374,AL$1,FALSE)*$Z424</f>
        <v>12.653177263581878</v>
      </c>
      <c r="AM424" s="3">
        <f>VLOOKUP($AB424,'2000 Seattle Tracts'!$C$2:$Y$374,AM$1,FALSE)*$Z424</f>
        <v>42.360636925904544</v>
      </c>
      <c r="AN424" s="3">
        <f>VLOOKUP($AB424,'2000 Seattle Tracts'!$C$2:$Y$374,AN$1,FALSE)*$Z424</f>
        <v>30.257597804217532</v>
      </c>
      <c r="AO424" s="3">
        <f>VLOOKUP($AB424,'2000 Seattle Tracts'!$C$2:$Y$374,AO$1,FALSE)*$Z424</f>
        <v>18.154558682530517</v>
      </c>
      <c r="AP424" s="3">
        <f>VLOOKUP($AB424,'2000 Seattle Tracts'!$C$2:$Y$374,AP$1,FALSE)*$Z424</f>
        <v>0</v>
      </c>
      <c r="AQ424" s="3">
        <f>VLOOKUP($AB424,'2000 Seattle Tracts'!$C$2:$Y$374,AQ$1,FALSE)*$Z424</f>
        <v>29.157321520427804</v>
      </c>
      <c r="AR424" s="3">
        <f>VLOOKUP($AB424,'2000 Seattle Tracts'!$C$2:$Y$374,AR$1,FALSE)*$Z424</f>
        <v>72.618234730122069</v>
      </c>
      <c r="AS424" s="3">
        <f>VLOOKUP($AB424,'2000 Seattle Tracts'!$C$2:$Y$374,AS$1,FALSE)*$Z424</f>
        <v>0</v>
      </c>
      <c r="AT424" s="3">
        <f>VLOOKUP($AB424,'2000 Seattle Tracts'!$C$2:$Y$374,AT$1,FALSE)*$Z424</f>
        <v>0</v>
      </c>
      <c r="AU424" s="3">
        <f>VLOOKUP($AB424,'2000 Seattle Tracts'!$C$2:$Y$374,AU$1,FALSE)*$Z424</f>
        <v>53.36339976380183</v>
      </c>
      <c r="AV424" s="3">
        <f>VLOOKUP($AB424,'2000 Seattle Tracts'!$C$2:$Y$374,AV$1,FALSE)*$Z424</f>
        <v>70.967820304437481</v>
      </c>
      <c r="AW424" s="3">
        <f>VLOOKUP($AB424,'2000 Seattle Tracts'!$C$2:$Y$374,AW$1,FALSE)*$Z424</f>
        <v>103.97610881812933</v>
      </c>
      <c r="AX424" s="3">
        <f>VLOOKUP($AB424,'2000 Seattle Tracts'!$C$2:$Y$374,AX$1,FALSE)*$Z424</f>
        <v>29.157321520427804</v>
      </c>
    </row>
    <row r="425" spans="1:50" x14ac:dyDescent="0.25">
      <c r="A425" t="s">
        <v>2917</v>
      </c>
      <c r="B425" t="s">
        <v>2918</v>
      </c>
      <c r="C425" t="s">
        <v>3065</v>
      </c>
      <c r="D425" t="s">
        <v>2680</v>
      </c>
      <c r="E425" t="s">
        <v>2681</v>
      </c>
      <c r="F425" t="s">
        <v>2682</v>
      </c>
      <c r="G425" t="s">
        <v>2920</v>
      </c>
      <c r="H425" t="s">
        <v>2921</v>
      </c>
      <c r="I425">
        <v>1950914</v>
      </c>
      <c r="J425">
        <v>353088</v>
      </c>
      <c r="K425" t="s">
        <v>3066</v>
      </c>
      <c r="L425" t="s">
        <v>3067</v>
      </c>
      <c r="M425">
        <v>33</v>
      </c>
      <c r="N425">
        <v>25999.285</v>
      </c>
      <c r="O425" t="s">
        <v>122</v>
      </c>
      <c r="P425">
        <v>6</v>
      </c>
      <c r="Q425">
        <v>9</v>
      </c>
      <c r="R425">
        <v>94</v>
      </c>
      <c r="S425">
        <v>26503756</v>
      </c>
      <c r="T425">
        <v>35</v>
      </c>
      <c r="U425">
        <v>137</v>
      </c>
      <c r="V425">
        <v>25999.284935718741</v>
      </c>
      <c r="W425">
        <v>26503756.57148983</v>
      </c>
      <c r="X425">
        <v>4.5419999999999998</v>
      </c>
      <c r="Y425">
        <f>VLOOKUP(AB425,'2000 Seattle Tracts'!$C$2:$Z$374,24,FALSE)</f>
        <v>1985387.925</v>
      </c>
      <c r="Z425">
        <f t="shared" si="12"/>
        <v>2.2877141251879024E-6</v>
      </c>
      <c r="AA425" t="s">
        <v>124</v>
      </c>
      <c r="AB425" t="str">
        <f t="shared" si="13"/>
        <v>Census Tract 47, King County, Washington</v>
      </c>
      <c r="AC425" s="3">
        <f>VLOOKUP($AB425,'2000 Seattle Tracts'!$C$2:$Y$374,AC$1,FALSE)*$Z425</f>
        <v>1.1246402639423728E-2</v>
      </c>
      <c r="AD425" s="3">
        <f>VLOOKUP($AB425,'2000 Seattle Tracts'!$C$2:$Y$374,AD$1,FALSE)*$Z425</f>
        <v>9.7754024569279077E-3</v>
      </c>
      <c r="AE425" s="3">
        <f>VLOOKUP($AB425,'2000 Seattle Tracts'!$C$2:$Y$374,AE$1,FALSE)*$Z425</f>
        <v>1.4710001824958213E-3</v>
      </c>
      <c r="AF425" s="3">
        <f>VLOOKUP($AB425,'2000 Seattle Tracts'!$C$2:$Y$374,AF$1,FALSE)*$Z425</f>
        <v>1.1246402639423728E-2</v>
      </c>
      <c r="AG425" s="3">
        <f>VLOOKUP($AB425,'2000 Seattle Tracts'!$C$2:$Y$374,AG$1,FALSE)*$Z425</f>
        <v>9.7754024569279077E-3</v>
      </c>
      <c r="AH425" s="3">
        <f>VLOOKUP($AB425,'2000 Seattle Tracts'!$C$2:$Y$374,AH$1,FALSE)*$Z425</f>
        <v>1.4710001824958213E-3</v>
      </c>
      <c r="AI425" s="3">
        <f>VLOOKUP($AB425,'2000 Seattle Tracts'!$C$2:$Y$374,AI$1,FALSE)*$Z425</f>
        <v>8.599517396581326E-3</v>
      </c>
      <c r="AJ425" s="3">
        <f>VLOOKUP($AB425,'2000 Seattle Tracts'!$C$2:$Y$374,AJ$1,FALSE)*$Z425</f>
        <v>5.742162454221635E-4</v>
      </c>
      <c r="AK425" s="3">
        <f>VLOOKUP($AB425,'2000 Seattle Tracts'!$C$2:$Y$374,AK$1,FALSE)*$Z425</f>
        <v>1.4870141813721365E-4</v>
      </c>
      <c r="AL425" s="3">
        <f>VLOOKUP($AB425,'2000 Seattle Tracts'!$C$2:$Y$374,AL$1,FALSE)*$Z425</f>
        <v>5.2617424879321756E-5</v>
      </c>
      <c r="AM425" s="3">
        <f>VLOOKUP($AB425,'2000 Seattle Tracts'!$C$2:$Y$374,AM$1,FALSE)*$Z425</f>
        <v>1.7615398763946849E-4</v>
      </c>
      <c r="AN425" s="3">
        <f>VLOOKUP($AB425,'2000 Seattle Tracts'!$C$2:$Y$374,AN$1,FALSE)*$Z425</f>
        <v>1.2582427688533464E-4</v>
      </c>
      <c r="AO425" s="3">
        <f>VLOOKUP($AB425,'2000 Seattle Tracts'!$C$2:$Y$374,AO$1,FALSE)*$Z425</f>
        <v>7.5494566131200776E-5</v>
      </c>
      <c r="AP425" s="3">
        <f>VLOOKUP($AB425,'2000 Seattle Tracts'!$C$2:$Y$374,AP$1,FALSE)*$Z425</f>
        <v>0</v>
      </c>
      <c r="AQ425" s="3">
        <f>VLOOKUP($AB425,'2000 Seattle Tracts'!$C$2:$Y$374,AQ$1,FALSE)*$Z425</f>
        <v>1.2124884863495883E-4</v>
      </c>
      <c r="AR425" s="3">
        <f>VLOOKUP($AB425,'2000 Seattle Tracts'!$C$2:$Y$374,AR$1,FALSE)*$Z425</f>
        <v>3.019782645248031E-4</v>
      </c>
      <c r="AS425" s="3">
        <f>VLOOKUP($AB425,'2000 Seattle Tracts'!$C$2:$Y$374,AS$1,FALSE)*$Z425</f>
        <v>0</v>
      </c>
      <c r="AT425" s="3">
        <f>VLOOKUP($AB425,'2000 Seattle Tracts'!$C$2:$Y$374,AT$1,FALSE)*$Z425</f>
        <v>0</v>
      </c>
      <c r="AU425" s="3">
        <f>VLOOKUP($AB425,'2000 Seattle Tracts'!$C$2:$Y$374,AU$1,FALSE)*$Z425</f>
        <v>2.2190827014322654E-4</v>
      </c>
      <c r="AV425" s="3">
        <f>VLOOKUP($AB425,'2000 Seattle Tracts'!$C$2:$Y$374,AV$1,FALSE)*$Z425</f>
        <v>2.9511512214923944E-4</v>
      </c>
      <c r="AW425" s="3">
        <f>VLOOKUP($AB425,'2000 Seattle Tracts'!$C$2:$Y$374,AW$1,FALSE)*$Z425</f>
        <v>4.3237796966051357E-4</v>
      </c>
      <c r="AX425" s="3">
        <f>VLOOKUP($AB425,'2000 Seattle Tracts'!$C$2:$Y$374,AX$1,FALSE)*$Z425</f>
        <v>1.2124884863495883E-4</v>
      </c>
    </row>
    <row r="426" spans="1:50" x14ac:dyDescent="0.25">
      <c r="A426" t="s">
        <v>2917</v>
      </c>
      <c r="B426" t="s">
        <v>2918</v>
      </c>
      <c r="C426" t="s">
        <v>3176</v>
      </c>
      <c r="D426" t="s">
        <v>2683</v>
      </c>
      <c r="E426" t="s">
        <v>2684</v>
      </c>
      <c r="F426" t="s">
        <v>2685</v>
      </c>
      <c r="G426" t="s">
        <v>2920</v>
      </c>
      <c r="H426" t="s">
        <v>2921</v>
      </c>
      <c r="I426">
        <v>1552357</v>
      </c>
      <c r="J426">
        <v>1033231</v>
      </c>
      <c r="K426" t="s">
        <v>3177</v>
      </c>
      <c r="L426" t="s">
        <v>3178</v>
      </c>
      <c r="M426">
        <v>31</v>
      </c>
      <c r="N426">
        <v>27120.785</v>
      </c>
      <c r="O426" t="s">
        <v>122</v>
      </c>
      <c r="P426">
        <v>6</v>
      </c>
      <c r="Q426">
        <v>9</v>
      </c>
      <c r="R426">
        <v>95</v>
      </c>
      <c r="S426">
        <v>32123118</v>
      </c>
      <c r="T426">
        <v>33</v>
      </c>
      <c r="U426">
        <v>126</v>
      </c>
      <c r="V426">
        <v>27120.785937968081</v>
      </c>
      <c r="W426">
        <v>32123117.878249042</v>
      </c>
      <c r="X426">
        <v>424840.31</v>
      </c>
      <c r="Y426">
        <f>VLOOKUP(AB426,'2000 Seattle Tracts'!$C$2:$Z$374,24,FALSE)</f>
        <v>1574150.358</v>
      </c>
      <c r="Z426">
        <f t="shared" si="12"/>
        <v>0.26988547049582412</v>
      </c>
      <c r="AA426" t="s">
        <v>121</v>
      </c>
      <c r="AB426" t="str">
        <f t="shared" si="13"/>
        <v>Census Tract 46, King County, Washington</v>
      </c>
      <c r="AC426" s="3">
        <f>VLOOKUP($AB426,'2000 Seattle Tracts'!$C$2:$Y$374,AC$1,FALSE)*$Z426</f>
        <v>828.00862348118835</v>
      </c>
      <c r="AD426" s="3">
        <f>VLOOKUP($AB426,'2000 Seattle Tracts'!$C$2:$Y$374,AD$1,FALSE)*$Z426</f>
        <v>740.29584557004557</v>
      </c>
      <c r="AE426" s="3">
        <f>VLOOKUP($AB426,'2000 Seattle Tracts'!$C$2:$Y$374,AE$1,FALSE)*$Z426</f>
        <v>87.712777911142837</v>
      </c>
      <c r="AF426" s="3">
        <f>VLOOKUP($AB426,'2000 Seattle Tracts'!$C$2:$Y$374,AF$1,FALSE)*$Z426</f>
        <v>828.00862348118835</v>
      </c>
      <c r="AG426" s="3">
        <f>VLOOKUP($AB426,'2000 Seattle Tracts'!$C$2:$Y$374,AG$1,FALSE)*$Z426</f>
        <v>740.29584557004557</v>
      </c>
      <c r="AH426" s="3">
        <f>VLOOKUP($AB426,'2000 Seattle Tracts'!$C$2:$Y$374,AH$1,FALSE)*$Z426</f>
        <v>87.712777911142837</v>
      </c>
      <c r="AI426" s="3">
        <f>VLOOKUP($AB426,'2000 Seattle Tracts'!$C$2:$Y$374,AI$1,FALSE)*$Z426</f>
        <v>683.88978223641834</v>
      </c>
      <c r="AJ426" s="3">
        <f>VLOOKUP($AB426,'2000 Seattle Tracts'!$C$2:$Y$374,AJ$1,FALSE)*$Z426</f>
        <v>60.724230861560429</v>
      </c>
      <c r="AK426" s="3">
        <f>VLOOKUP($AB426,'2000 Seattle Tracts'!$C$2:$Y$374,AK$1,FALSE)*$Z426</f>
        <v>12.684617113303734</v>
      </c>
      <c r="AL426" s="3">
        <f>VLOOKUP($AB426,'2000 Seattle Tracts'!$C$2:$Y$374,AL$1,FALSE)*$Z426</f>
        <v>6.7471367623956029</v>
      </c>
      <c r="AM426" s="3">
        <f>VLOOKUP($AB426,'2000 Seattle Tracts'!$C$2:$Y$374,AM$1,FALSE)*$Z426</f>
        <v>5.397709409916482</v>
      </c>
      <c r="AN426" s="3">
        <f>VLOOKUP($AB426,'2000 Seattle Tracts'!$C$2:$Y$374,AN$1,FALSE)*$Z426</f>
        <v>0</v>
      </c>
      <c r="AO426" s="3">
        <f>VLOOKUP($AB426,'2000 Seattle Tracts'!$C$2:$Y$374,AO$1,FALSE)*$Z426</f>
        <v>0</v>
      </c>
      <c r="AP426" s="3">
        <f>VLOOKUP($AB426,'2000 Seattle Tracts'!$C$2:$Y$374,AP$1,FALSE)*$Z426</f>
        <v>1.6193128229749447</v>
      </c>
      <c r="AQ426" s="3">
        <f>VLOOKUP($AB426,'2000 Seattle Tracts'!$C$2:$Y$374,AQ$1,FALSE)*$Z426</f>
        <v>11.605075231320438</v>
      </c>
      <c r="AR426" s="3">
        <f>VLOOKUP($AB426,'2000 Seattle Tracts'!$C$2:$Y$374,AR$1,FALSE)*$Z426</f>
        <v>11.06530429032879</v>
      </c>
      <c r="AS426" s="3">
        <f>VLOOKUP($AB426,'2000 Seattle Tracts'!$C$2:$Y$374,AS$1,FALSE)*$Z426</f>
        <v>3.5085111164457135</v>
      </c>
      <c r="AT426" s="3">
        <f>VLOOKUP($AB426,'2000 Seattle Tracts'!$C$2:$Y$374,AT$1,FALSE)*$Z426</f>
        <v>1.6193128229749447</v>
      </c>
      <c r="AU426" s="3">
        <f>VLOOKUP($AB426,'2000 Seattle Tracts'!$C$2:$Y$374,AU$1,FALSE)*$Z426</f>
        <v>1.3494273524791205</v>
      </c>
      <c r="AV426" s="3">
        <f>VLOOKUP($AB426,'2000 Seattle Tracts'!$C$2:$Y$374,AV$1,FALSE)*$Z426</f>
        <v>2.159083763966593</v>
      </c>
      <c r="AW426" s="3">
        <f>VLOOKUP($AB426,'2000 Seattle Tracts'!$C$2:$Y$374,AW$1,FALSE)*$Z426</f>
        <v>21.860723110161754</v>
      </c>
      <c r="AX426" s="3">
        <f>VLOOKUP($AB426,'2000 Seattle Tracts'!$C$2:$Y$374,AX$1,FALSE)*$Z426</f>
        <v>3.7783965869415379</v>
      </c>
    </row>
    <row r="427" spans="1:50" x14ac:dyDescent="0.25">
      <c r="A427" t="s">
        <v>2917</v>
      </c>
      <c r="B427" t="s">
        <v>2918</v>
      </c>
      <c r="C427" t="s">
        <v>3176</v>
      </c>
      <c r="D427" t="s">
        <v>2683</v>
      </c>
      <c r="E427" t="s">
        <v>2684</v>
      </c>
      <c r="F427" t="s">
        <v>2685</v>
      </c>
      <c r="G427" t="s">
        <v>2920</v>
      </c>
      <c r="H427" t="s">
        <v>2921</v>
      </c>
      <c r="I427">
        <v>1552357</v>
      </c>
      <c r="J427">
        <v>1033231</v>
      </c>
      <c r="K427" t="s">
        <v>3177</v>
      </c>
      <c r="L427" t="s">
        <v>3178</v>
      </c>
      <c r="M427">
        <v>32</v>
      </c>
      <c r="N427">
        <v>33040.245999999999</v>
      </c>
      <c r="O427" t="s">
        <v>122</v>
      </c>
      <c r="P427">
        <v>6</v>
      </c>
      <c r="Q427">
        <v>9</v>
      </c>
      <c r="R427">
        <v>19</v>
      </c>
      <c r="S427">
        <v>42068344</v>
      </c>
      <c r="T427">
        <v>34</v>
      </c>
      <c r="U427">
        <v>133</v>
      </c>
      <c r="V427">
        <v>33040.246986119782</v>
      </c>
      <c r="W427">
        <v>42068342.613789164</v>
      </c>
      <c r="X427">
        <v>644199.28</v>
      </c>
      <c r="Y427">
        <f>VLOOKUP(AB427,'2000 Seattle Tracts'!$C$2:$Z$374,24,FALSE)</f>
        <v>1574150.358</v>
      </c>
      <c r="Z427">
        <f t="shared" si="12"/>
        <v>0.4092361804741908</v>
      </c>
      <c r="AA427" t="s">
        <v>123</v>
      </c>
      <c r="AB427" t="str">
        <f t="shared" si="13"/>
        <v>Census Tract 46, King County, Washington</v>
      </c>
      <c r="AC427" s="3">
        <f>VLOOKUP($AB427,'2000 Seattle Tracts'!$C$2:$Y$374,AC$1,FALSE)*$Z427</f>
        <v>1255.5366016948174</v>
      </c>
      <c r="AD427" s="3">
        <f>VLOOKUP($AB427,'2000 Seattle Tracts'!$C$2:$Y$374,AD$1,FALSE)*$Z427</f>
        <v>1122.5348430407055</v>
      </c>
      <c r="AE427" s="3">
        <f>VLOOKUP($AB427,'2000 Seattle Tracts'!$C$2:$Y$374,AE$1,FALSE)*$Z427</f>
        <v>133.00175865411202</v>
      </c>
      <c r="AF427" s="3">
        <f>VLOOKUP($AB427,'2000 Seattle Tracts'!$C$2:$Y$374,AF$1,FALSE)*$Z427</f>
        <v>1255.5366016948174</v>
      </c>
      <c r="AG427" s="3">
        <f>VLOOKUP($AB427,'2000 Seattle Tracts'!$C$2:$Y$374,AG$1,FALSE)*$Z427</f>
        <v>1122.5348430407055</v>
      </c>
      <c r="AH427" s="3">
        <f>VLOOKUP($AB427,'2000 Seattle Tracts'!$C$2:$Y$374,AH$1,FALSE)*$Z427</f>
        <v>133.00175865411202</v>
      </c>
      <c r="AI427" s="3">
        <f>VLOOKUP($AB427,'2000 Seattle Tracts'!$C$2:$Y$374,AI$1,FALSE)*$Z427</f>
        <v>1037.0044813215995</v>
      </c>
      <c r="AJ427" s="3">
        <f>VLOOKUP($AB427,'2000 Seattle Tracts'!$C$2:$Y$374,AJ$1,FALSE)*$Z427</f>
        <v>92.078140606692926</v>
      </c>
      <c r="AK427" s="3">
        <f>VLOOKUP($AB427,'2000 Seattle Tracts'!$C$2:$Y$374,AK$1,FALSE)*$Z427</f>
        <v>19.234100482286969</v>
      </c>
      <c r="AL427" s="3">
        <f>VLOOKUP($AB427,'2000 Seattle Tracts'!$C$2:$Y$374,AL$1,FALSE)*$Z427</f>
        <v>10.230904511854771</v>
      </c>
      <c r="AM427" s="3">
        <f>VLOOKUP($AB427,'2000 Seattle Tracts'!$C$2:$Y$374,AM$1,FALSE)*$Z427</f>
        <v>8.1847236094838163</v>
      </c>
      <c r="AN427" s="3">
        <f>VLOOKUP($AB427,'2000 Seattle Tracts'!$C$2:$Y$374,AN$1,FALSE)*$Z427</f>
        <v>0</v>
      </c>
      <c r="AO427" s="3">
        <f>VLOOKUP($AB427,'2000 Seattle Tracts'!$C$2:$Y$374,AO$1,FALSE)*$Z427</f>
        <v>0</v>
      </c>
      <c r="AP427" s="3">
        <f>VLOOKUP($AB427,'2000 Seattle Tracts'!$C$2:$Y$374,AP$1,FALSE)*$Z427</f>
        <v>2.4554170828451447</v>
      </c>
      <c r="AQ427" s="3">
        <f>VLOOKUP($AB427,'2000 Seattle Tracts'!$C$2:$Y$374,AQ$1,FALSE)*$Z427</f>
        <v>17.597155760390205</v>
      </c>
      <c r="AR427" s="3">
        <f>VLOOKUP($AB427,'2000 Seattle Tracts'!$C$2:$Y$374,AR$1,FALSE)*$Z427</f>
        <v>16.778683399441825</v>
      </c>
      <c r="AS427" s="3">
        <f>VLOOKUP($AB427,'2000 Seattle Tracts'!$C$2:$Y$374,AS$1,FALSE)*$Z427</f>
        <v>5.3200703461644805</v>
      </c>
      <c r="AT427" s="3">
        <f>VLOOKUP($AB427,'2000 Seattle Tracts'!$C$2:$Y$374,AT$1,FALSE)*$Z427</f>
        <v>2.4554170828451447</v>
      </c>
      <c r="AU427" s="3">
        <f>VLOOKUP($AB427,'2000 Seattle Tracts'!$C$2:$Y$374,AU$1,FALSE)*$Z427</f>
        <v>2.0461809023709541</v>
      </c>
      <c r="AV427" s="3">
        <f>VLOOKUP($AB427,'2000 Seattle Tracts'!$C$2:$Y$374,AV$1,FALSE)*$Z427</f>
        <v>3.2738894437935264</v>
      </c>
      <c r="AW427" s="3">
        <f>VLOOKUP($AB427,'2000 Seattle Tracts'!$C$2:$Y$374,AW$1,FALSE)*$Z427</f>
        <v>33.148130618409454</v>
      </c>
      <c r="AX427" s="3">
        <f>VLOOKUP($AB427,'2000 Seattle Tracts'!$C$2:$Y$374,AX$1,FALSE)*$Z427</f>
        <v>5.7293065266386716</v>
      </c>
    </row>
    <row r="428" spans="1:50" x14ac:dyDescent="0.25">
      <c r="A428" t="s">
        <v>2917</v>
      </c>
      <c r="B428" t="s">
        <v>2918</v>
      </c>
      <c r="C428" t="s">
        <v>3176</v>
      </c>
      <c r="D428" t="s">
        <v>2683</v>
      </c>
      <c r="E428" t="s">
        <v>2684</v>
      </c>
      <c r="F428" t="s">
        <v>2685</v>
      </c>
      <c r="G428" t="s">
        <v>2920</v>
      </c>
      <c r="H428" t="s">
        <v>2921</v>
      </c>
      <c r="I428">
        <v>1552357</v>
      </c>
      <c r="J428">
        <v>1033231</v>
      </c>
      <c r="K428" t="s">
        <v>3177</v>
      </c>
      <c r="L428" t="s">
        <v>3178</v>
      </c>
      <c r="M428">
        <v>34</v>
      </c>
      <c r="N428">
        <v>25387.706999999999</v>
      </c>
      <c r="O428" t="s">
        <v>122</v>
      </c>
      <c r="P428">
        <v>6</v>
      </c>
      <c r="Q428">
        <v>9</v>
      </c>
      <c r="R428">
        <v>24</v>
      </c>
      <c r="S428">
        <v>37314628</v>
      </c>
      <c r="T428">
        <v>36</v>
      </c>
      <c r="U428">
        <v>123</v>
      </c>
      <c r="V428">
        <v>25387.707496248549</v>
      </c>
      <c r="W428">
        <v>37314629.789188273</v>
      </c>
      <c r="X428">
        <v>505110.77100000001</v>
      </c>
      <c r="Y428">
        <f>VLOOKUP(AB428,'2000 Seattle Tracts'!$C$2:$Z$374,24,FALSE)</f>
        <v>1574150.358</v>
      </c>
      <c r="Z428">
        <f t="shared" si="12"/>
        <v>0.3208783509357751</v>
      </c>
      <c r="AA428" t="s">
        <v>125</v>
      </c>
      <c r="AB428" t="str">
        <f t="shared" si="13"/>
        <v>Census Tract 46, King County, Washington</v>
      </c>
      <c r="AC428" s="3">
        <f>VLOOKUP($AB428,'2000 Seattle Tracts'!$C$2:$Y$374,AC$1,FALSE)*$Z428</f>
        <v>984.45478067095803</v>
      </c>
      <c r="AD428" s="3">
        <f>VLOOKUP($AB428,'2000 Seattle Tracts'!$C$2:$Y$374,AD$1,FALSE)*$Z428</f>
        <v>880.16931661683111</v>
      </c>
      <c r="AE428" s="3">
        <f>VLOOKUP($AB428,'2000 Seattle Tracts'!$C$2:$Y$374,AE$1,FALSE)*$Z428</f>
        <v>104.2854640541269</v>
      </c>
      <c r="AF428" s="3">
        <f>VLOOKUP($AB428,'2000 Seattle Tracts'!$C$2:$Y$374,AF$1,FALSE)*$Z428</f>
        <v>984.45478067095803</v>
      </c>
      <c r="AG428" s="3">
        <f>VLOOKUP($AB428,'2000 Seattle Tracts'!$C$2:$Y$374,AG$1,FALSE)*$Z428</f>
        <v>880.16931661683111</v>
      </c>
      <c r="AH428" s="3">
        <f>VLOOKUP($AB428,'2000 Seattle Tracts'!$C$2:$Y$374,AH$1,FALSE)*$Z428</f>
        <v>104.2854640541269</v>
      </c>
      <c r="AI428" s="3">
        <f>VLOOKUP($AB428,'2000 Seattle Tracts'!$C$2:$Y$374,AI$1,FALSE)*$Z428</f>
        <v>813.10574127125415</v>
      </c>
      <c r="AJ428" s="3">
        <f>VLOOKUP($AB428,'2000 Seattle Tracts'!$C$2:$Y$374,AJ$1,FALSE)*$Z428</f>
        <v>72.197628960549395</v>
      </c>
      <c r="AK428" s="3">
        <f>VLOOKUP($AB428,'2000 Seattle Tracts'!$C$2:$Y$374,AK$1,FALSE)*$Z428</f>
        <v>15.08128249398143</v>
      </c>
      <c r="AL428" s="3">
        <f>VLOOKUP($AB428,'2000 Seattle Tracts'!$C$2:$Y$374,AL$1,FALSE)*$Z428</f>
        <v>8.0219587733943776</v>
      </c>
      <c r="AM428" s="3">
        <f>VLOOKUP($AB428,'2000 Seattle Tracts'!$C$2:$Y$374,AM$1,FALSE)*$Z428</f>
        <v>6.4175670187155021</v>
      </c>
      <c r="AN428" s="3">
        <f>VLOOKUP($AB428,'2000 Seattle Tracts'!$C$2:$Y$374,AN$1,FALSE)*$Z428</f>
        <v>0</v>
      </c>
      <c r="AO428" s="3">
        <f>VLOOKUP($AB428,'2000 Seattle Tracts'!$C$2:$Y$374,AO$1,FALSE)*$Z428</f>
        <v>0</v>
      </c>
      <c r="AP428" s="3">
        <f>VLOOKUP($AB428,'2000 Seattle Tracts'!$C$2:$Y$374,AP$1,FALSE)*$Z428</f>
        <v>1.9252701056146506</v>
      </c>
      <c r="AQ428" s="3">
        <f>VLOOKUP($AB428,'2000 Seattle Tracts'!$C$2:$Y$374,AQ$1,FALSE)*$Z428</f>
        <v>13.797769090238329</v>
      </c>
      <c r="AR428" s="3">
        <f>VLOOKUP($AB428,'2000 Seattle Tracts'!$C$2:$Y$374,AR$1,FALSE)*$Z428</f>
        <v>13.156012388366779</v>
      </c>
      <c r="AS428" s="3">
        <f>VLOOKUP($AB428,'2000 Seattle Tracts'!$C$2:$Y$374,AS$1,FALSE)*$Z428</f>
        <v>4.1714185621650763</v>
      </c>
      <c r="AT428" s="3">
        <f>VLOOKUP($AB428,'2000 Seattle Tracts'!$C$2:$Y$374,AT$1,FALSE)*$Z428</f>
        <v>1.9252701056146506</v>
      </c>
      <c r="AU428" s="3">
        <f>VLOOKUP($AB428,'2000 Seattle Tracts'!$C$2:$Y$374,AU$1,FALSE)*$Z428</f>
        <v>1.6043917546788755</v>
      </c>
      <c r="AV428" s="3">
        <f>VLOOKUP($AB428,'2000 Seattle Tracts'!$C$2:$Y$374,AV$1,FALSE)*$Z428</f>
        <v>2.5670268074862008</v>
      </c>
      <c r="AW428" s="3">
        <f>VLOOKUP($AB428,'2000 Seattle Tracts'!$C$2:$Y$374,AW$1,FALSE)*$Z428</f>
        <v>25.991146425797783</v>
      </c>
      <c r="AX428" s="3">
        <f>VLOOKUP($AB428,'2000 Seattle Tracts'!$C$2:$Y$374,AX$1,FALSE)*$Z428</f>
        <v>4.4922969131008514</v>
      </c>
    </row>
    <row r="429" spans="1:50" x14ac:dyDescent="0.25">
      <c r="A429" t="s">
        <v>2917</v>
      </c>
      <c r="B429" t="s">
        <v>2918</v>
      </c>
      <c r="C429" t="s">
        <v>3062</v>
      </c>
      <c r="D429" t="s">
        <v>2686</v>
      </c>
      <c r="E429" t="s">
        <v>2687</v>
      </c>
      <c r="F429" t="s">
        <v>2688</v>
      </c>
      <c r="G429" t="s">
        <v>2920</v>
      </c>
      <c r="H429" t="s">
        <v>2921</v>
      </c>
      <c r="I429">
        <v>671000</v>
      </c>
      <c r="J429">
        <v>0</v>
      </c>
      <c r="K429" t="s">
        <v>3063</v>
      </c>
      <c r="L429" t="s">
        <v>3064</v>
      </c>
      <c r="M429">
        <v>32</v>
      </c>
      <c r="N429">
        <v>33040.245999999999</v>
      </c>
      <c r="O429" t="s">
        <v>122</v>
      </c>
      <c r="P429">
        <v>6</v>
      </c>
      <c r="Q429">
        <v>9</v>
      </c>
      <c r="R429">
        <v>19</v>
      </c>
      <c r="S429">
        <v>42068344</v>
      </c>
      <c r="T429">
        <v>34</v>
      </c>
      <c r="U429">
        <v>133</v>
      </c>
      <c r="V429">
        <v>33040.246986119782</v>
      </c>
      <c r="W429">
        <v>42068342.613789164</v>
      </c>
      <c r="X429">
        <v>394813.88699999999</v>
      </c>
      <c r="Y429">
        <f>VLOOKUP(AB429,'2000 Seattle Tracts'!$C$2:$Z$374,24,FALSE)</f>
        <v>670998.06999999995</v>
      </c>
      <c r="Z429">
        <f t="shared" si="12"/>
        <v>0.58839794725490047</v>
      </c>
      <c r="AA429" t="s">
        <v>123</v>
      </c>
      <c r="AB429" t="str">
        <f t="shared" si="13"/>
        <v>Census Tract 45, King County, Washington</v>
      </c>
      <c r="AC429" s="3">
        <f>VLOOKUP($AB429,'2000 Seattle Tracts'!$C$2:$Y$374,AC$1,FALSE)*$Z429</f>
        <v>1393.9147370468593</v>
      </c>
      <c r="AD429" s="3">
        <f>VLOOKUP($AB429,'2000 Seattle Tracts'!$C$2:$Y$374,AD$1,FALSE)*$Z429</f>
        <v>1196.8014247164676</v>
      </c>
      <c r="AE429" s="3">
        <f>VLOOKUP($AB429,'2000 Seattle Tracts'!$C$2:$Y$374,AE$1,FALSE)*$Z429</f>
        <v>197.11331233039166</v>
      </c>
      <c r="AF429" s="3">
        <f>VLOOKUP($AB429,'2000 Seattle Tracts'!$C$2:$Y$374,AF$1,FALSE)*$Z429</f>
        <v>1393.9147370468593</v>
      </c>
      <c r="AG429" s="3">
        <f>VLOOKUP($AB429,'2000 Seattle Tracts'!$C$2:$Y$374,AG$1,FALSE)*$Z429</f>
        <v>1196.8014247164676</v>
      </c>
      <c r="AH429" s="3">
        <f>VLOOKUP($AB429,'2000 Seattle Tracts'!$C$2:$Y$374,AH$1,FALSE)*$Z429</f>
        <v>197.11331233039166</v>
      </c>
      <c r="AI429" s="3">
        <f>VLOOKUP($AB429,'2000 Seattle Tracts'!$C$2:$Y$374,AI$1,FALSE)*$Z429</f>
        <v>1018.5168466982327</v>
      </c>
      <c r="AJ429" s="3">
        <f>VLOOKUP($AB429,'2000 Seattle Tracts'!$C$2:$Y$374,AJ$1,FALSE)*$Z429</f>
        <v>103.55803871686248</v>
      </c>
      <c r="AK429" s="3">
        <f>VLOOKUP($AB429,'2000 Seattle Tracts'!$C$2:$Y$374,AK$1,FALSE)*$Z429</f>
        <v>33.538682993529328</v>
      </c>
      <c r="AL429" s="3">
        <f>VLOOKUP($AB429,'2000 Seattle Tracts'!$C$2:$Y$374,AL$1,FALSE)*$Z429</f>
        <v>6.4723774198039052</v>
      </c>
      <c r="AM429" s="3">
        <f>VLOOKUP($AB429,'2000 Seattle Tracts'!$C$2:$Y$374,AM$1,FALSE)*$Z429</f>
        <v>10.591163050588209</v>
      </c>
      <c r="AN429" s="3">
        <f>VLOOKUP($AB429,'2000 Seattle Tracts'!$C$2:$Y$374,AN$1,FALSE)*$Z429</f>
        <v>14.121550734117612</v>
      </c>
      <c r="AO429" s="3">
        <f>VLOOKUP($AB429,'2000 Seattle Tracts'!$C$2:$Y$374,AO$1,FALSE)*$Z429</f>
        <v>0</v>
      </c>
      <c r="AP429" s="3">
        <f>VLOOKUP($AB429,'2000 Seattle Tracts'!$C$2:$Y$374,AP$1,FALSE)*$Z429</f>
        <v>0</v>
      </c>
      <c r="AQ429" s="3">
        <f>VLOOKUP($AB429,'2000 Seattle Tracts'!$C$2:$Y$374,AQ$1,FALSE)*$Z429</f>
        <v>40.59945836058813</v>
      </c>
      <c r="AR429" s="3">
        <f>VLOOKUP($AB429,'2000 Seattle Tracts'!$C$2:$Y$374,AR$1,FALSE)*$Z429</f>
        <v>66.488968039803751</v>
      </c>
      <c r="AS429" s="3">
        <f>VLOOKUP($AB429,'2000 Seattle Tracts'!$C$2:$Y$374,AS$1,FALSE)*$Z429</f>
        <v>12.35635689235291</v>
      </c>
      <c r="AT429" s="3">
        <f>VLOOKUP($AB429,'2000 Seattle Tracts'!$C$2:$Y$374,AT$1,FALSE)*$Z429</f>
        <v>0</v>
      </c>
      <c r="AU429" s="3">
        <f>VLOOKUP($AB429,'2000 Seattle Tracts'!$C$2:$Y$374,AU$1,FALSE)*$Z429</f>
        <v>0</v>
      </c>
      <c r="AV429" s="3">
        <f>VLOOKUP($AB429,'2000 Seattle Tracts'!$C$2:$Y$374,AV$1,FALSE)*$Z429</f>
        <v>0</v>
      </c>
      <c r="AW429" s="3">
        <f>VLOOKUP($AB429,'2000 Seattle Tracts'!$C$2:$Y$374,AW$1,FALSE)*$Z429</f>
        <v>81.198916721176261</v>
      </c>
      <c r="AX429" s="3">
        <f>VLOOKUP($AB429,'2000 Seattle Tracts'!$C$2:$Y$374,AX$1,FALSE)*$Z429</f>
        <v>6.4723774198039052</v>
      </c>
    </row>
    <row r="430" spans="1:50" x14ac:dyDescent="0.25">
      <c r="A430" t="s">
        <v>2917</v>
      </c>
      <c r="B430" t="s">
        <v>2918</v>
      </c>
      <c r="C430" t="s">
        <v>3062</v>
      </c>
      <c r="D430" t="s">
        <v>2686</v>
      </c>
      <c r="E430" t="s">
        <v>2687</v>
      </c>
      <c r="F430" t="s">
        <v>2688</v>
      </c>
      <c r="G430" t="s">
        <v>2920</v>
      </c>
      <c r="H430" t="s">
        <v>2921</v>
      </c>
      <c r="I430">
        <v>671000</v>
      </c>
      <c r="J430">
        <v>0</v>
      </c>
      <c r="K430" t="s">
        <v>3063</v>
      </c>
      <c r="L430" t="s">
        <v>3064</v>
      </c>
      <c r="M430">
        <v>34</v>
      </c>
      <c r="N430">
        <v>25387.706999999999</v>
      </c>
      <c r="O430" t="s">
        <v>122</v>
      </c>
      <c r="P430">
        <v>6</v>
      </c>
      <c r="Q430">
        <v>9</v>
      </c>
      <c r="R430">
        <v>24</v>
      </c>
      <c r="S430">
        <v>37314628</v>
      </c>
      <c r="T430">
        <v>36</v>
      </c>
      <c r="U430">
        <v>123</v>
      </c>
      <c r="V430">
        <v>25387.707496248549</v>
      </c>
      <c r="W430">
        <v>37314629.789188273</v>
      </c>
      <c r="X430">
        <v>390.209</v>
      </c>
      <c r="Y430">
        <f>VLOOKUP(AB430,'2000 Seattle Tracts'!$C$2:$Z$374,24,FALSE)</f>
        <v>670998.06999999995</v>
      </c>
      <c r="Z430">
        <f t="shared" si="12"/>
        <v>5.8153520471377815E-4</v>
      </c>
      <c r="AA430" t="s">
        <v>125</v>
      </c>
      <c r="AB430" t="str">
        <f t="shared" si="13"/>
        <v>Census Tract 45, King County, Washington</v>
      </c>
      <c r="AC430" s="3">
        <f>VLOOKUP($AB430,'2000 Seattle Tracts'!$C$2:$Y$374,AC$1,FALSE)*$Z430</f>
        <v>1.3776568999669405</v>
      </c>
      <c r="AD430" s="3">
        <f>VLOOKUP($AB430,'2000 Seattle Tracts'!$C$2:$Y$374,AD$1,FALSE)*$Z430</f>
        <v>1.1828426063878248</v>
      </c>
      <c r="AE430" s="3">
        <f>VLOOKUP($AB430,'2000 Seattle Tracts'!$C$2:$Y$374,AE$1,FALSE)*$Z430</f>
        <v>0.19481429357911567</v>
      </c>
      <c r="AF430" s="3">
        <f>VLOOKUP($AB430,'2000 Seattle Tracts'!$C$2:$Y$374,AF$1,FALSE)*$Z430</f>
        <v>1.3776568999669405</v>
      </c>
      <c r="AG430" s="3">
        <f>VLOOKUP($AB430,'2000 Seattle Tracts'!$C$2:$Y$374,AG$1,FALSE)*$Z430</f>
        <v>1.1828426063878248</v>
      </c>
      <c r="AH430" s="3">
        <f>VLOOKUP($AB430,'2000 Seattle Tracts'!$C$2:$Y$374,AH$1,FALSE)*$Z430</f>
        <v>0.19481429357911567</v>
      </c>
      <c r="AI430" s="3">
        <f>VLOOKUP($AB430,'2000 Seattle Tracts'!$C$2:$Y$374,AI$1,FALSE)*$Z430</f>
        <v>1.0066374393595501</v>
      </c>
      <c r="AJ430" s="3">
        <f>VLOOKUP($AB430,'2000 Seattle Tracts'!$C$2:$Y$374,AJ$1,FALSE)*$Z430</f>
        <v>0.10235019602962496</v>
      </c>
      <c r="AK430" s="3">
        <f>VLOOKUP($AB430,'2000 Seattle Tracts'!$C$2:$Y$374,AK$1,FALSE)*$Z430</f>
        <v>3.3147506668685357E-2</v>
      </c>
      <c r="AL430" s="3">
        <f>VLOOKUP($AB430,'2000 Seattle Tracts'!$C$2:$Y$374,AL$1,FALSE)*$Z430</f>
        <v>6.39688725185156E-3</v>
      </c>
      <c r="AM430" s="3">
        <f>VLOOKUP($AB430,'2000 Seattle Tracts'!$C$2:$Y$374,AM$1,FALSE)*$Z430</f>
        <v>1.0467633684848007E-2</v>
      </c>
      <c r="AN430" s="3">
        <f>VLOOKUP($AB430,'2000 Seattle Tracts'!$C$2:$Y$374,AN$1,FALSE)*$Z430</f>
        <v>1.3956844913130675E-2</v>
      </c>
      <c r="AO430" s="3">
        <f>VLOOKUP($AB430,'2000 Seattle Tracts'!$C$2:$Y$374,AO$1,FALSE)*$Z430</f>
        <v>0</v>
      </c>
      <c r="AP430" s="3">
        <f>VLOOKUP($AB430,'2000 Seattle Tracts'!$C$2:$Y$374,AP$1,FALSE)*$Z430</f>
        <v>0</v>
      </c>
      <c r="AQ430" s="3">
        <f>VLOOKUP($AB430,'2000 Seattle Tracts'!$C$2:$Y$374,AQ$1,FALSE)*$Z430</f>
        <v>4.0125929125250689E-2</v>
      </c>
      <c r="AR430" s="3">
        <f>VLOOKUP($AB430,'2000 Seattle Tracts'!$C$2:$Y$374,AR$1,FALSE)*$Z430</f>
        <v>6.5713478132656933E-2</v>
      </c>
      <c r="AS430" s="3">
        <f>VLOOKUP($AB430,'2000 Seattle Tracts'!$C$2:$Y$374,AS$1,FALSE)*$Z430</f>
        <v>1.2212239298989342E-2</v>
      </c>
      <c r="AT430" s="3">
        <f>VLOOKUP($AB430,'2000 Seattle Tracts'!$C$2:$Y$374,AT$1,FALSE)*$Z430</f>
        <v>0</v>
      </c>
      <c r="AU430" s="3">
        <f>VLOOKUP($AB430,'2000 Seattle Tracts'!$C$2:$Y$374,AU$1,FALSE)*$Z430</f>
        <v>0</v>
      </c>
      <c r="AV430" s="3">
        <f>VLOOKUP($AB430,'2000 Seattle Tracts'!$C$2:$Y$374,AV$1,FALSE)*$Z430</f>
        <v>0</v>
      </c>
      <c r="AW430" s="3">
        <f>VLOOKUP($AB430,'2000 Seattle Tracts'!$C$2:$Y$374,AW$1,FALSE)*$Z430</f>
        <v>8.0251858250501379E-2</v>
      </c>
      <c r="AX430" s="3">
        <f>VLOOKUP($AB430,'2000 Seattle Tracts'!$C$2:$Y$374,AX$1,FALSE)*$Z430</f>
        <v>6.39688725185156E-3</v>
      </c>
    </row>
    <row r="431" spans="1:50" x14ac:dyDescent="0.25">
      <c r="A431" t="s">
        <v>2917</v>
      </c>
      <c r="B431" t="s">
        <v>2918</v>
      </c>
      <c r="C431" t="s">
        <v>3062</v>
      </c>
      <c r="D431" t="s">
        <v>2686</v>
      </c>
      <c r="E431" t="s">
        <v>2687</v>
      </c>
      <c r="F431" t="s">
        <v>2688</v>
      </c>
      <c r="G431" t="s">
        <v>2920</v>
      </c>
      <c r="H431" t="s">
        <v>2921</v>
      </c>
      <c r="I431">
        <v>671000</v>
      </c>
      <c r="J431">
        <v>0</v>
      </c>
      <c r="K431" t="s">
        <v>3063</v>
      </c>
      <c r="L431" t="s">
        <v>3064</v>
      </c>
      <c r="M431">
        <v>41</v>
      </c>
      <c r="N431">
        <v>22865.453000000001</v>
      </c>
      <c r="O431" t="s">
        <v>122</v>
      </c>
      <c r="P431">
        <v>4</v>
      </c>
      <c r="Q431">
        <v>5</v>
      </c>
      <c r="R431">
        <v>95</v>
      </c>
      <c r="S431">
        <v>21491312</v>
      </c>
      <c r="T431">
        <v>43</v>
      </c>
      <c r="U431">
        <v>124</v>
      </c>
      <c r="V431">
        <v>22865.452635921651</v>
      </c>
      <c r="W431">
        <v>21491312.22830575</v>
      </c>
      <c r="X431">
        <v>0.77200000000000002</v>
      </c>
      <c r="Y431">
        <f>VLOOKUP(AB431,'2000 Seattle Tracts'!$C$2:$Z$374,24,FALSE)</f>
        <v>670998.06999999995</v>
      </c>
      <c r="Z431">
        <f t="shared" si="12"/>
        <v>1.1505249187974565E-6</v>
      </c>
      <c r="AA431" t="s">
        <v>132</v>
      </c>
      <c r="AB431" t="str">
        <f t="shared" si="13"/>
        <v>Census Tract 45, King County, Washington</v>
      </c>
      <c r="AC431" s="3">
        <f>VLOOKUP($AB431,'2000 Seattle Tracts'!$C$2:$Y$374,AC$1,FALSE)*$Z431</f>
        <v>2.7255935326311745E-3</v>
      </c>
      <c r="AD431" s="3">
        <f>VLOOKUP($AB431,'2000 Seattle Tracts'!$C$2:$Y$374,AD$1,FALSE)*$Z431</f>
        <v>2.3401676848340265E-3</v>
      </c>
      <c r="AE431" s="3">
        <f>VLOOKUP($AB431,'2000 Seattle Tracts'!$C$2:$Y$374,AE$1,FALSE)*$Z431</f>
        <v>3.8542584779714792E-4</v>
      </c>
      <c r="AF431" s="3">
        <f>VLOOKUP($AB431,'2000 Seattle Tracts'!$C$2:$Y$374,AF$1,FALSE)*$Z431</f>
        <v>2.7255935326311745E-3</v>
      </c>
      <c r="AG431" s="3">
        <f>VLOOKUP($AB431,'2000 Seattle Tracts'!$C$2:$Y$374,AG$1,FALSE)*$Z431</f>
        <v>2.3401676848340265E-3</v>
      </c>
      <c r="AH431" s="3">
        <f>VLOOKUP($AB431,'2000 Seattle Tracts'!$C$2:$Y$374,AH$1,FALSE)*$Z431</f>
        <v>3.8542584779714792E-4</v>
      </c>
      <c r="AI431" s="3">
        <f>VLOOKUP($AB431,'2000 Seattle Tracts'!$C$2:$Y$374,AI$1,FALSE)*$Z431</f>
        <v>1.9915586344383973E-3</v>
      </c>
      <c r="AJ431" s="3">
        <f>VLOOKUP($AB431,'2000 Seattle Tracts'!$C$2:$Y$374,AJ$1,FALSE)*$Z431</f>
        <v>2.0249238570835235E-4</v>
      </c>
      <c r="AK431" s="3">
        <f>VLOOKUP($AB431,'2000 Seattle Tracts'!$C$2:$Y$374,AK$1,FALSE)*$Z431</f>
        <v>6.5579920371455023E-5</v>
      </c>
      <c r="AL431" s="3">
        <f>VLOOKUP($AB431,'2000 Seattle Tracts'!$C$2:$Y$374,AL$1,FALSE)*$Z431</f>
        <v>1.2655774106772022E-5</v>
      </c>
      <c r="AM431" s="3">
        <f>VLOOKUP($AB431,'2000 Seattle Tracts'!$C$2:$Y$374,AM$1,FALSE)*$Z431</f>
        <v>2.0709448538354219E-5</v>
      </c>
      <c r="AN431" s="3">
        <f>VLOOKUP($AB431,'2000 Seattle Tracts'!$C$2:$Y$374,AN$1,FALSE)*$Z431</f>
        <v>2.7612598051138959E-5</v>
      </c>
      <c r="AO431" s="3">
        <f>VLOOKUP($AB431,'2000 Seattle Tracts'!$C$2:$Y$374,AO$1,FALSE)*$Z431</f>
        <v>0</v>
      </c>
      <c r="AP431" s="3">
        <f>VLOOKUP($AB431,'2000 Seattle Tracts'!$C$2:$Y$374,AP$1,FALSE)*$Z431</f>
        <v>0</v>
      </c>
      <c r="AQ431" s="3">
        <f>VLOOKUP($AB431,'2000 Seattle Tracts'!$C$2:$Y$374,AQ$1,FALSE)*$Z431</f>
        <v>7.9386219397024503E-5</v>
      </c>
      <c r="AR431" s="3">
        <f>VLOOKUP($AB431,'2000 Seattle Tracts'!$C$2:$Y$374,AR$1,FALSE)*$Z431</f>
        <v>1.300093158241126E-4</v>
      </c>
      <c r="AS431" s="3">
        <f>VLOOKUP($AB431,'2000 Seattle Tracts'!$C$2:$Y$374,AS$1,FALSE)*$Z431</f>
        <v>2.4161023294746589E-5</v>
      </c>
      <c r="AT431" s="3">
        <f>VLOOKUP($AB431,'2000 Seattle Tracts'!$C$2:$Y$374,AT$1,FALSE)*$Z431</f>
        <v>0</v>
      </c>
      <c r="AU431" s="3">
        <f>VLOOKUP($AB431,'2000 Seattle Tracts'!$C$2:$Y$374,AU$1,FALSE)*$Z431</f>
        <v>0</v>
      </c>
      <c r="AV431" s="3">
        <f>VLOOKUP($AB431,'2000 Seattle Tracts'!$C$2:$Y$374,AV$1,FALSE)*$Z431</f>
        <v>0</v>
      </c>
      <c r="AW431" s="3">
        <f>VLOOKUP($AB431,'2000 Seattle Tracts'!$C$2:$Y$374,AW$1,FALSE)*$Z431</f>
        <v>1.5877243879404901E-4</v>
      </c>
      <c r="AX431" s="3">
        <f>VLOOKUP($AB431,'2000 Seattle Tracts'!$C$2:$Y$374,AX$1,FALSE)*$Z431</f>
        <v>1.2655774106772022E-5</v>
      </c>
    </row>
    <row r="432" spans="1:50" x14ac:dyDescent="0.25">
      <c r="A432" t="s">
        <v>2917</v>
      </c>
      <c r="B432" t="s">
        <v>2918</v>
      </c>
      <c r="C432" t="s">
        <v>3062</v>
      </c>
      <c r="D432" t="s">
        <v>2686</v>
      </c>
      <c r="E432" t="s">
        <v>2687</v>
      </c>
      <c r="F432" t="s">
        <v>2688</v>
      </c>
      <c r="G432" t="s">
        <v>2920</v>
      </c>
      <c r="H432" t="s">
        <v>2921</v>
      </c>
      <c r="I432">
        <v>671000</v>
      </c>
      <c r="J432">
        <v>0</v>
      </c>
      <c r="K432" t="s">
        <v>3063</v>
      </c>
      <c r="L432" t="s">
        <v>3064</v>
      </c>
      <c r="M432">
        <v>42</v>
      </c>
      <c r="N432">
        <v>41446.940999999999</v>
      </c>
      <c r="O432" t="s">
        <v>134</v>
      </c>
      <c r="P432">
        <v>5</v>
      </c>
      <c r="Q432">
        <v>12</v>
      </c>
      <c r="R432">
        <v>33</v>
      </c>
      <c r="S432">
        <v>49348388</v>
      </c>
      <c r="T432">
        <v>44</v>
      </c>
      <c r="U432">
        <v>139</v>
      </c>
      <c r="V432">
        <v>41446.941321259314</v>
      </c>
      <c r="W432">
        <v>49348387.058142804</v>
      </c>
      <c r="X432">
        <v>275793.19199999998</v>
      </c>
      <c r="Y432">
        <f>VLOOKUP(AB432,'2000 Seattle Tracts'!$C$2:$Z$374,24,FALSE)</f>
        <v>670998.06999999995</v>
      </c>
      <c r="Z432">
        <f t="shared" si="12"/>
        <v>0.41101935211229446</v>
      </c>
      <c r="AA432" t="s">
        <v>133</v>
      </c>
      <c r="AB432" t="str">
        <f t="shared" si="13"/>
        <v>Census Tract 45, King County, Washington</v>
      </c>
      <c r="AC432" s="3">
        <f>VLOOKUP($AB432,'2000 Seattle Tracts'!$C$2:$Y$374,AC$1,FALSE)*$Z432</f>
        <v>973.70484515402552</v>
      </c>
      <c r="AD432" s="3">
        <f>VLOOKUP($AB432,'2000 Seattle Tracts'!$C$2:$Y$374,AD$1,FALSE)*$Z432</f>
        <v>836.01336219640689</v>
      </c>
      <c r="AE432" s="3">
        <f>VLOOKUP($AB432,'2000 Seattle Tracts'!$C$2:$Y$374,AE$1,FALSE)*$Z432</f>
        <v>137.69148295761863</v>
      </c>
      <c r="AF432" s="3">
        <f>VLOOKUP($AB432,'2000 Seattle Tracts'!$C$2:$Y$374,AF$1,FALSE)*$Z432</f>
        <v>973.70484515402552</v>
      </c>
      <c r="AG432" s="3">
        <f>VLOOKUP($AB432,'2000 Seattle Tracts'!$C$2:$Y$374,AG$1,FALSE)*$Z432</f>
        <v>836.01336219640689</v>
      </c>
      <c r="AH432" s="3">
        <f>VLOOKUP($AB432,'2000 Seattle Tracts'!$C$2:$Y$374,AH$1,FALSE)*$Z432</f>
        <v>137.69148295761863</v>
      </c>
      <c r="AI432" s="3">
        <f>VLOOKUP($AB432,'2000 Seattle Tracts'!$C$2:$Y$374,AI$1,FALSE)*$Z432</f>
        <v>711.47449850638168</v>
      </c>
      <c r="AJ432" s="3">
        <f>VLOOKUP($AB432,'2000 Seattle Tracts'!$C$2:$Y$374,AJ$1,FALSE)*$Z432</f>
        <v>72.339405971763824</v>
      </c>
      <c r="AK432" s="3">
        <f>VLOOKUP($AB432,'2000 Seattle Tracts'!$C$2:$Y$374,AK$1,FALSE)*$Z432</f>
        <v>23.428103070400784</v>
      </c>
      <c r="AL432" s="3">
        <f>VLOOKUP($AB432,'2000 Seattle Tracts'!$C$2:$Y$374,AL$1,FALSE)*$Z432</f>
        <v>4.521212873235239</v>
      </c>
      <c r="AM432" s="3">
        <f>VLOOKUP($AB432,'2000 Seattle Tracts'!$C$2:$Y$374,AM$1,FALSE)*$Z432</f>
        <v>7.3983483380213002</v>
      </c>
      <c r="AN432" s="3">
        <f>VLOOKUP($AB432,'2000 Seattle Tracts'!$C$2:$Y$374,AN$1,FALSE)*$Z432</f>
        <v>9.8644644506950669</v>
      </c>
      <c r="AO432" s="3">
        <f>VLOOKUP($AB432,'2000 Seattle Tracts'!$C$2:$Y$374,AO$1,FALSE)*$Z432</f>
        <v>0</v>
      </c>
      <c r="AP432" s="3">
        <f>VLOOKUP($AB432,'2000 Seattle Tracts'!$C$2:$Y$374,AP$1,FALSE)*$Z432</f>
        <v>0</v>
      </c>
      <c r="AQ432" s="3">
        <f>VLOOKUP($AB432,'2000 Seattle Tracts'!$C$2:$Y$374,AQ$1,FALSE)*$Z432</f>
        <v>28.360335295748317</v>
      </c>
      <c r="AR432" s="3">
        <f>VLOOKUP($AB432,'2000 Seattle Tracts'!$C$2:$Y$374,AR$1,FALSE)*$Z432</f>
        <v>46.44518678868927</v>
      </c>
      <c r="AS432" s="3">
        <f>VLOOKUP($AB432,'2000 Seattle Tracts'!$C$2:$Y$374,AS$1,FALSE)*$Z432</f>
        <v>8.6314063943581836</v>
      </c>
      <c r="AT432" s="3">
        <f>VLOOKUP($AB432,'2000 Seattle Tracts'!$C$2:$Y$374,AT$1,FALSE)*$Z432</f>
        <v>0</v>
      </c>
      <c r="AU432" s="3">
        <f>VLOOKUP($AB432,'2000 Seattle Tracts'!$C$2:$Y$374,AU$1,FALSE)*$Z432</f>
        <v>0</v>
      </c>
      <c r="AV432" s="3">
        <f>VLOOKUP($AB432,'2000 Seattle Tracts'!$C$2:$Y$374,AV$1,FALSE)*$Z432</f>
        <v>0</v>
      </c>
      <c r="AW432" s="3">
        <f>VLOOKUP($AB432,'2000 Seattle Tracts'!$C$2:$Y$374,AW$1,FALSE)*$Z432</f>
        <v>56.720670591496635</v>
      </c>
      <c r="AX432" s="3">
        <f>VLOOKUP($AB432,'2000 Seattle Tracts'!$C$2:$Y$374,AX$1,FALSE)*$Z432</f>
        <v>4.521212873235239</v>
      </c>
    </row>
    <row r="433" spans="1:50" x14ac:dyDescent="0.25">
      <c r="A433" t="s">
        <v>2917</v>
      </c>
      <c r="B433" t="s">
        <v>2918</v>
      </c>
      <c r="C433" t="s">
        <v>3218</v>
      </c>
      <c r="D433" t="s">
        <v>2689</v>
      </c>
      <c r="E433" t="s">
        <v>2690</v>
      </c>
      <c r="F433" t="s">
        <v>2691</v>
      </c>
      <c r="G433" t="s">
        <v>2920</v>
      </c>
      <c r="H433" t="s">
        <v>2921</v>
      </c>
      <c r="I433">
        <v>989908</v>
      </c>
      <c r="J433">
        <v>0</v>
      </c>
      <c r="K433" t="s">
        <v>3219</v>
      </c>
      <c r="L433" t="s">
        <v>3220</v>
      </c>
      <c r="M433">
        <v>36</v>
      </c>
      <c r="N433">
        <v>30993.599999999999</v>
      </c>
      <c r="O433" t="s">
        <v>122</v>
      </c>
      <c r="P433">
        <v>4</v>
      </c>
      <c r="Q433">
        <v>5</v>
      </c>
      <c r="R433">
        <v>81</v>
      </c>
      <c r="S433">
        <v>37020968</v>
      </c>
      <c r="T433">
        <v>38</v>
      </c>
      <c r="U433">
        <v>125</v>
      </c>
      <c r="V433">
        <v>30993.600213945359</v>
      </c>
      <c r="W433">
        <v>37020968.872468568</v>
      </c>
      <c r="X433">
        <v>206314.10800000001</v>
      </c>
      <c r="Y433">
        <f>VLOOKUP(AB433,'2000 Seattle Tracts'!$C$2:$Z$374,24,FALSE)</f>
        <v>989902.56900000002</v>
      </c>
      <c r="Z433">
        <f t="shared" si="12"/>
        <v>0.20841860043702948</v>
      </c>
      <c r="AA433" t="s">
        <v>127</v>
      </c>
      <c r="AB433" t="str">
        <f t="shared" si="13"/>
        <v>Census Tract 44, King County, Washington</v>
      </c>
      <c r="AC433" s="3">
        <f>VLOOKUP($AB433,'2000 Seattle Tracts'!$C$2:$Y$374,AC$1,FALSE)*$Z433</f>
        <v>1196.3227665085492</v>
      </c>
      <c r="AD433" s="3">
        <f>VLOOKUP($AB433,'2000 Seattle Tracts'!$C$2:$Y$374,AD$1,FALSE)*$Z433</f>
        <v>978.52532905185342</v>
      </c>
      <c r="AE433" s="3">
        <f>VLOOKUP($AB433,'2000 Seattle Tracts'!$C$2:$Y$374,AE$1,FALSE)*$Z433</f>
        <v>217.7974374566958</v>
      </c>
      <c r="AF433" s="3">
        <f>VLOOKUP($AB433,'2000 Seattle Tracts'!$C$2:$Y$374,AF$1,FALSE)*$Z433</f>
        <v>1196.3227665085492</v>
      </c>
      <c r="AG433" s="3">
        <f>VLOOKUP($AB433,'2000 Seattle Tracts'!$C$2:$Y$374,AG$1,FALSE)*$Z433</f>
        <v>978.52532905185342</v>
      </c>
      <c r="AH433" s="3">
        <f>VLOOKUP($AB433,'2000 Seattle Tracts'!$C$2:$Y$374,AH$1,FALSE)*$Z433</f>
        <v>217.7974374566958</v>
      </c>
      <c r="AI433" s="3">
        <f>VLOOKUP($AB433,'2000 Seattle Tracts'!$C$2:$Y$374,AI$1,FALSE)*$Z433</f>
        <v>843.26165736822122</v>
      </c>
      <c r="AJ433" s="3">
        <f>VLOOKUP($AB433,'2000 Seattle Tracts'!$C$2:$Y$374,AJ$1,FALSE)*$Z433</f>
        <v>80.657998369130411</v>
      </c>
      <c r="AK433" s="3">
        <f>VLOOKUP($AB433,'2000 Seattle Tracts'!$C$2:$Y$374,AK$1,FALSE)*$Z433</f>
        <v>13.755627628843946</v>
      </c>
      <c r="AL433" s="3">
        <f>VLOOKUP($AB433,'2000 Seattle Tracts'!$C$2:$Y$374,AL$1,FALSE)*$Z433</f>
        <v>10.629348622288504</v>
      </c>
      <c r="AM433" s="3">
        <f>VLOOKUP($AB433,'2000 Seattle Tracts'!$C$2:$Y$374,AM$1,FALSE)*$Z433</f>
        <v>10.629348622288504</v>
      </c>
      <c r="AN433" s="3">
        <f>VLOOKUP($AB433,'2000 Seattle Tracts'!$C$2:$Y$374,AN$1,FALSE)*$Z433</f>
        <v>0</v>
      </c>
      <c r="AO433" s="3">
        <f>VLOOKUP($AB433,'2000 Seattle Tracts'!$C$2:$Y$374,AO$1,FALSE)*$Z433</f>
        <v>3.1262790065554422</v>
      </c>
      <c r="AP433" s="3">
        <f>VLOOKUP($AB433,'2000 Seattle Tracts'!$C$2:$Y$374,AP$1,FALSE)*$Z433</f>
        <v>0</v>
      </c>
      <c r="AQ433" s="3">
        <f>VLOOKUP($AB433,'2000 Seattle Tracts'!$C$2:$Y$374,AQ$1,FALSE)*$Z433</f>
        <v>44.393161893087282</v>
      </c>
      <c r="AR433" s="3">
        <f>VLOOKUP($AB433,'2000 Seattle Tracts'!$C$2:$Y$374,AR$1,FALSE)*$Z433</f>
        <v>105.66823042157395</v>
      </c>
      <c r="AS433" s="3">
        <f>VLOOKUP($AB433,'2000 Seattle Tracts'!$C$2:$Y$374,AS$1,FALSE)*$Z433</f>
        <v>0</v>
      </c>
      <c r="AT433" s="3">
        <f>VLOOKUP($AB433,'2000 Seattle Tracts'!$C$2:$Y$374,AT$1,FALSE)*$Z433</f>
        <v>0</v>
      </c>
      <c r="AU433" s="3">
        <f>VLOOKUP($AB433,'2000 Seattle Tracts'!$C$2:$Y$374,AU$1,FALSE)*$Z433</f>
        <v>12.505116026221769</v>
      </c>
      <c r="AV433" s="3">
        <f>VLOOKUP($AB433,'2000 Seattle Tracts'!$C$2:$Y$374,AV$1,FALSE)*$Z433</f>
        <v>6.4609766135479134</v>
      </c>
      <c r="AW433" s="3">
        <f>VLOOKUP($AB433,'2000 Seattle Tracts'!$C$2:$Y$374,AW$1,FALSE)*$Z433</f>
        <v>50.854138506635195</v>
      </c>
      <c r="AX433" s="3">
        <f>VLOOKUP($AB433,'2000 Seattle Tracts'!$C$2:$Y$374,AX$1,FALSE)*$Z433</f>
        <v>14.380883430155034</v>
      </c>
    </row>
    <row r="434" spans="1:50" x14ac:dyDescent="0.25">
      <c r="A434" t="s">
        <v>2917</v>
      </c>
      <c r="B434" t="s">
        <v>2918</v>
      </c>
      <c r="C434" t="s">
        <v>3218</v>
      </c>
      <c r="D434" t="s">
        <v>2689</v>
      </c>
      <c r="E434" t="s">
        <v>2690</v>
      </c>
      <c r="F434" t="s">
        <v>2691</v>
      </c>
      <c r="G434" t="s">
        <v>2920</v>
      </c>
      <c r="H434" t="s">
        <v>2921</v>
      </c>
      <c r="I434">
        <v>989908</v>
      </c>
      <c r="J434">
        <v>0</v>
      </c>
      <c r="K434" t="s">
        <v>3219</v>
      </c>
      <c r="L434" t="s">
        <v>3220</v>
      </c>
      <c r="M434">
        <v>41</v>
      </c>
      <c r="N434">
        <v>22865.453000000001</v>
      </c>
      <c r="O434" t="s">
        <v>122</v>
      </c>
      <c r="P434">
        <v>4</v>
      </c>
      <c r="Q434">
        <v>5</v>
      </c>
      <c r="R434">
        <v>95</v>
      </c>
      <c r="S434">
        <v>21491312</v>
      </c>
      <c r="T434">
        <v>43</v>
      </c>
      <c r="U434">
        <v>124</v>
      </c>
      <c r="V434">
        <v>22865.452635921651</v>
      </c>
      <c r="W434">
        <v>21491312.22830575</v>
      </c>
      <c r="X434">
        <v>194180.85800000001</v>
      </c>
      <c r="Y434">
        <f>VLOOKUP(AB434,'2000 Seattle Tracts'!$C$2:$Z$374,24,FALSE)</f>
        <v>989902.56900000002</v>
      </c>
      <c r="Z434">
        <f t="shared" si="12"/>
        <v>0.19616158608029635</v>
      </c>
      <c r="AA434" t="s">
        <v>132</v>
      </c>
      <c r="AB434" t="str">
        <f t="shared" si="13"/>
        <v>Census Tract 44, King County, Washington</v>
      </c>
      <c r="AC434" s="3">
        <f>VLOOKUP($AB434,'2000 Seattle Tracts'!$C$2:$Y$374,AC$1,FALSE)*$Z434</f>
        <v>1125.9675041009011</v>
      </c>
      <c r="AD434" s="3">
        <f>VLOOKUP($AB434,'2000 Seattle Tracts'!$C$2:$Y$374,AD$1,FALSE)*$Z434</f>
        <v>920.97864664699136</v>
      </c>
      <c r="AE434" s="3">
        <f>VLOOKUP($AB434,'2000 Seattle Tracts'!$C$2:$Y$374,AE$1,FALSE)*$Z434</f>
        <v>204.98885745390967</v>
      </c>
      <c r="AF434" s="3">
        <f>VLOOKUP($AB434,'2000 Seattle Tracts'!$C$2:$Y$374,AF$1,FALSE)*$Z434</f>
        <v>1125.9675041009011</v>
      </c>
      <c r="AG434" s="3">
        <f>VLOOKUP($AB434,'2000 Seattle Tracts'!$C$2:$Y$374,AG$1,FALSE)*$Z434</f>
        <v>920.97864664699136</v>
      </c>
      <c r="AH434" s="3">
        <f>VLOOKUP($AB434,'2000 Seattle Tracts'!$C$2:$Y$374,AH$1,FALSE)*$Z434</f>
        <v>204.98885745390967</v>
      </c>
      <c r="AI434" s="3">
        <f>VLOOKUP($AB434,'2000 Seattle Tracts'!$C$2:$Y$374,AI$1,FALSE)*$Z434</f>
        <v>793.66977728087909</v>
      </c>
      <c r="AJ434" s="3">
        <f>VLOOKUP($AB434,'2000 Seattle Tracts'!$C$2:$Y$374,AJ$1,FALSE)*$Z434</f>
        <v>75.914533813074684</v>
      </c>
      <c r="AK434" s="3">
        <f>VLOOKUP($AB434,'2000 Seattle Tracts'!$C$2:$Y$374,AK$1,FALSE)*$Z434</f>
        <v>12.946664681299559</v>
      </c>
      <c r="AL434" s="3">
        <f>VLOOKUP($AB434,'2000 Seattle Tracts'!$C$2:$Y$374,AL$1,FALSE)*$Z434</f>
        <v>10.004240890095113</v>
      </c>
      <c r="AM434" s="3">
        <f>VLOOKUP($AB434,'2000 Seattle Tracts'!$C$2:$Y$374,AM$1,FALSE)*$Z434</f>
        <v>10.004240890095113</v>
      </c>
      <c r="AN434" s="3">
        <f>VLOOKUP($AB434,'2000 Seattle Tracts'!$C$2:$Y$374,AN$1,FALSE)*$Z434</f>
        <v>0</v>
      </c>
      <c r="AO434" s="3">
        <f>VLOOKUP($AB434,'2000 Seattle Tracts'!$C$2:$Y$374,AO$1,FALSE)*$Z434</f>
        <v>2.9424237912044453</v>
      </c>
      <c r="AP434" s="3">
        <f>VLOOKUP($AB434,'2000 Seattle Tracts'!$C$2:$Y$374,AP$1,FALSE)*$Z434</f>
        <v>0</v>
      </c>
      <c r="AQ434" s="3">
        <f>VLOOKUP($AB434,'2000 Seattle Tracts'!$C$2:$Y$374,AQ$1,FALSE)*$Z434</f>
        <v>41.782417835103125</v>
      </c>
      <c r="AR434" s="3">
        <f>VLOOKUP($AB434,'2000 Seattle Tracts'!$C$2:$Y$374,AR$1,FALSE)*$Z434</f>
        <v>99.45392414271025</v>
      </c>
      <c r="AS434" s="3">
        <f>VLOOKUP($AB434,'2000 Seattle Tracts'!$C$2:$Y$374,AS$1,FALSE)*$Z434</f>
        <v>0</v>
      </c>
      <c r="AT434" s="3">
        <f>VLOOKUP($AB434,'2000 Seattle Tracts'!$C$2:$Y$374,AT$1,FALSE)*$Z434</f>
        <v>0</v>
      </c>
      <c r="AU434" s="3">
        <f>VLOOKUP($AB434,'2000 Seattle Tracts'!$C$2:$Y$374,AU$1,FALSE)*$Z434</f>
        <v>11.769695164817781</v>
      </c>
      <c r="AV434" s="3">
        <f>VLOOKUP($AB434,'2000 Seattle Tracts'!$C$2:$Y$374,AV$1,FALSE)*$Z434</f>
        <v>6.0810091684891869</v>
      </c>
      <c r="AW434" s="3">
        <f>VLOOKUP($AB434,'2000 Seattle Tracts'!$C$2:$Y$374,AW$1,FALSE)*$Z434</f>
        <v>47.863427003592307</v>
      </c>
      <c r="AX434" s="3">
        <f>VLOOKUP($AB434,'2000 Seattle Tracts'!$C$2:$Y$374,AX$1,FALSE)*$Z434</f>
        <v>13.535149439540449</v>
      </c>
    </row>
    <row r="435" spans="1:50" x14ac:dyDescent="0.25">
      <c r="A435" t="s">
        <v>2917</v>
      </c>
      <c r="B435" t="s">
        <v>2918</v>
      </c>
      <c r="C435" t="s">
        <v>3218</v>
      </c>
      <c r="D435" t="s">
        <v>2689</v>
      </c>
      <c r="E435" t="s">
        <v>2690</v>
      </c>
      <c r="F435" t="s">
        <v>2691</v>
      </c>
      <c r="G435" t="s">
        <v>2920</v>
      </c>
      <c r="H435" t="s">
        <v>2921</v>
      </c>
      <c r="I435">
        <v>989908</v>
      </c>
      <c r="J435">
        <v>0</v>
      </c>
      <c r="K435" t="s">
        <v>3219</v>
      </c>
      <c r="L435" t="s">
        <v>3220</v>
      </c>
      <c r="M435">
        <v>42</v>
      </c>
      <c r="N435">
        <v>41446.940999999999</v>
      </c>
      <c r="O435" t="s">
        <v>134</v>
      </c>
      <c r="P435">
        <v>5</v>
      </c>
      <c r="Q435">
        <v>12</v>
      </c>
      <c r="R435">
        <v>33</v>
      </c>
      <c r="S435">
        <v>49348388</v>
      </c>
      <c r="T435">
        <v>44</v>
      </c>
      <c r="U435">
        <v>139</v>
      </c>
      <c r="V435">
        <v>41446.941321259314</v>
      </c>
      <c r="W435">
        <v>49348387.058142804</v>
      </c>
      <c r="X435">
        <v>589407.603</v>
      </c>
      <c r="Y435">
        <f>VLOOKUP(AB435,'2000 Seattle Tracts'!$C$2:$Z$374,24,FALSE)</f>
        <v>989902.56900000002</v>
      </c>
      <c r="Z435">
        <f t="shared" si="12"/>
        <v>0.59541981348267414</v>
      </c>
      <c r="AA435" t="s">
        <v>133</v>
      </c>
      <c r="AB435" t="str">
        <f t="shared" si="13"/>
        <v>Census Tract 44, King County, Washington</v>
      </c>
      <c r="AC435" s="3">
        <f>VLOOKUP($AB435,'2000 Seattle Tracts'!$C$2:$Y$374,AC$1,FALSE)*$Z435</f>
        <v>3417.7097293905495</v>
      </c>
      <c r="AD435" s="3">
        <f>VLOOKUP($AB435,'2000 Seattle Tracts'!$C$2:$Y$374,AD$1,FALSE)*$Z435</f>
        <v>2795.4960243011551</v>
      </c>
      <c r="AE435" s="3">
        <f>VLOOKUP($AB435,'2000 Seattle Tracts'!$C$2:$Y$374,AE$1,FALSE)*$Z435</f>
        <v>622.21370508939447</v>
      </c>
      <c r="AF435" s="3">
        <f>VLOOKUP($AB435,'2000 Seattle Tracts'!$C$2:$Y$374,AF$1,FALSE)*$Z435</f>
        <v>3417.7097293905495</v>
      </c>
      <c r="AG435" s="3">
        <f>VLOOKUP($AB435,'2000 Seattle Tracts'!$C$2:$Y$374,AG$1,FALSE)*$Z435</f>
        <v>2795.4960243011551</v>
      </c>
      <c r="AH435" s="3">
        <f>VLOOKUP($AB435,'2000 Seattle Tracts'!$C$2:$Y$374,AH$1,FALSE)*$Z435</f>
        <v>622.21370508939447</v>
      </c>
      <c r="AI435" s="3">
        <f>VLOOKUP($AB435,'2000 Seattle Tracts'!$C$2:$Y$374,AI$1,FALSE)*$Z435</f>
        <v>2409.0685653508995</v>
      </c>
      <c r="AJ435" s="3">
        <f>VLOOKUP($AB435,'2000 Seattle Tracts'!$C$2:$Y$374,AJ$1,FALSE)*$Z435</f>
        <v>230.42746781779491</v>
      </c>
      <c r="AK435" s="3">
        <f>VLOOKUP($AB435,'2000 Seattle Tracts'!$C$2:$Y$374,AK$1,FALSE)*$Z435</f>
        <v>39.297707689856495</v>
      </c>
      <c r="AL435" s="3">
        <f>VLOOKUP($AB435,'2000 Seattle Tracts'!$C$2:$Y$374,AL$1,FALSE)*$Z435</f>
        <v>30.366410487616381</v>
      </c>
      <c r="AM435" s="3">
        <f>VLOOKUP($AB435,'2000 Seattle Tracts'!$C$2:$Y$374,AM$1,FALSE)*$Z435</f>
        <v>30.366410487616381</v>
      </c>
      <c r="AN435" s="3">
        <f>VLOOKUP($AB435,'2000 Seattle Tracts'!$C$2:$Y$374,AN$1,FALSE)*$Z435</f>
        <v>0</v>
      </c>
      <c r="AO435" s="3">
        <f>VLOOKUP($AB435,'2000 Seattle Tracts'!$C$2:$Y$374,AO$1,FALSE)*$Z435</f>
        <v>8.9312972022401116</v>
      </c>
      <c r="AP435" s="3">
        <f>VLOOKUP($AB435,'2000 Seattle Tracts'!$C$2:$Y$374,AP$1,FALSE)*$Z435</f>
        <v>0</v>
      </c>
      <c r="AQ435" s="3">
        <f>VLOOKUP($AB435,'2000 Seattle Tracts'!$C$2:$Y$374,AQ$1,FALSE)*$Z435</f>
        <v>126.82442027180959</v>
      </c>
      <c r="AR435" s="3">
        <f>VLOOKUP($AB435,'2000 Seattle Tracts'!$C$2:$Y$374,AR$1,FALSE)*$Z435</f>
        <v>301.87784543571581</v>
      </c>
      <c r="AS435" s="3">
        <f>VLOOKUP($AB435,'2000 Seattle Tracts'!$C$2:$Y$374,AS$1,FALSE)*$Z435</f>
        <v>0</v>
      </c>
      <c r="AT435" s="3">
        <f>VLOOKUP($AB435,'2000 Seattle Tracts'!$C$2:$Y$374,AT$1,FALSE)*$Z435</f>
        <v>0</v>
      </c>
      <c r="AU435" s="3">
        <f>VLOOKUP($AB435,'2000 Seattle Tracts'!$C$2:$Y$374,AU$1,FALSE)*$Z435</f>
        <v>35.725188808960446</v>
      </c>
      <c r="AV435" s="3">
        <f>VLOOKUP($AB435,'2000 Seattle Tracts'!$C$2:$Y$374,AV$1,FALSE)*$Z435</f>
        <v>18.458014217962898</v>
      </c>
      <c r="AW435" s="3">
        <f>VLOOKUP($AB435,'2000 Seattle Tracts'!$C$2:$Y$374,AW$1,FALSE)*$Z435</f>
        <v>145.2824344897725</v>
      </c>
      <c r="AX435" s="3">
        <f>VLOOKUP($AB435,'2000 Seattle Tracts'!$C$2:$Y$374,AX$1,FALSE)*$Z435</f>
        <v>41.083967130304515</v>
      </c>
    </row>
    <row r="436" spans="1:50" x14ac:dyDescent="0.25">
      <c r="A436" t="s">
        <v>2917</v>
      </c>
      <c r="B436" t="s">
        <v>2918</v>
      </c>
      <c r="C436" t="s">
        <v>3489</v>
      </c>
      <c r="D436" t="s">
        <v>3490</v>
      </c>
      <c r="E436" t="s">
        <v>3491</v>
      </c>
      <c r="F436" t="s">
        <v>3492</v>
      </c>
      <c r="G436" t="s">
        <v>2920</v>
      </c>
      <c r="H436" t="s">
        <v>2921</v>
      </c>
      <c r="I436">
        <v>1310073</v>
      </c>
      <c r="J436">
        <v>0</v>
      </c>
      <c r="K436" t="s">
        <v>3493</v>
      </c>
      <c r="L436" t="s">
        <v>3494</v>
      </c>
      <c r="M436">
        <v>36</v>
      </c>
      <c r="N436">
        <v>30993.599999999999</v>
      </c>
      <c r="O436" t="s">
        <v>122</v>
      </c>
      <c r="P436">
        <v>4</v>
      </c>
      <c r="Q436">
        <v>5</v>
      </c>
      <c r="R436">
        <v>81</v>
      </c>
      <c r="S436">
        <v>37020968</v>
      </c>
      <c r="T436">
        <v>38</v>
      </c>
      <c r="U436">
        <v>125</v>
      </c>
      <c r="V436">
        <v>30993.600213945359</v>
      </c>
      <c r="W436">
        <v>37020968.872468568</v>
      </c>
      <c r="X436">
        <v>933584.16200000001</v>
      </c>
      <c r="Y436">
        <f>VLOOKUP(AB436,'2000 Seattle Tracts'!$C$2:$Z$374,24,FALSE)</f>
        <v>1310074.1229999999</v>
      </c>
      <c r="Z436">
        <f t="shared" si="12"/>
        <v>0.71261934390562731</v>
      </c>
      <c r="AA436" t="s">
        <v>127</v>
      </c>
      <c r="AB436" t="str">
        <f t="shared" si="13"/>
        <v>Census Tract 43, King County, Washington</v>
      </c>
      <c r="AC436" s="3">
        <f>VLOOKUP($AB436,'2000 Seattle Tracts'!$C$2:$Y$374,AC$1,FALSE)*$Z436</f>
        <v>4369.781816829307</v>
      </c>
      <c r="AD436" s="3">
        <f>VLOOKUP($AB436,'2000 Seattle Tracts'!$C$2:$Y$374,AD$1,FALSE)*$Z436</f>
        <v>3643.6227053894722</v>
      </c>
      <c r="AE436" s="3">
        <f>VLOOKUP($AB436,'2000 Seattle Tracts'!$C$2:$Y$374,AE$1,FALSE)*$Z436</f>
        <v>726.15911143983419</v>
      </c>
      <c r="AF436" s="3">
        <f>VLOOKUP($AB436,'2000 Seattle Tracts'!$C$2:$Y$374,AF$1,FALSE)*$Z436</f>
        <v>4369.781816829307</v>
      </c>
      <c r="AG436" s="3">
        <f>VLOOKUP($AB436,'2000 Seattle Tracts'!$C$2:$Y$374,AG$1,FALSE)*$Z436</f>
        <v>3643.6227053894722</v>
      </c>
      <c r="AH436" s="3">
        <f>VLOOKUP($AB436,'2000 Seattle Tracts'!$C$2:$Y$374,AH$1,FALSE)*$Z436</f>
        <v>726.15911143983419</v>
      </c>
      <c r="AI436" s="3">
        <f>VLOOKUP($AB436,'2000 Seattle Tracts'!$C$2:$Y$374,AI$1,FALSE)*$Z436</f>
        <v>3023.6438761915765</v>
      </c>
      <c r="AJ436" s="3">
        <f>VLOOKUP($AB436,'2000 Seattle Tracts'!$C$2:$Y$374,AJ$1,FALSE)*$Z436</f>
        <v>357.02229129671929</v>
      </c>
      <c r="AK436" s="3">
        <f>VLOOKUP($AB436,'2000 Seattle Tracts'!$C$2:$Y$374,AK$1,FALSE)*$Z436</f>
        <v>67.698837671034596</v>
      </c>
      <c r="AL436" s="3">
        <f>VLOOKUP($AB436,'2000 Seattle Tracts'!$C$2:$Y$374,AL$1,FALSE)*$Z436</f>
        <v>19.953341629357563</v>
      </c>
      <c r="AM436" s="3">
        <f>VLOOKUP($AB436,'2000 Seattle Tracts'!$C$2:$Y$374,AM$1,FALSE)*$Z436</f>
        <v>116.15695305661725</v>
      </c>
      <c r="AN436" s="3">
        <f>VLOOKUP($AB436,'2000 Seattle Tracts'!$C$2:$Y$374,AN$1,FALSE)*$Z436</f>
        <v>10.689290158584409</v>
      </c>
      <c r="AO436" s="3">
        <f>VLOOKUP($AB436,'2000 Seattle Tracts'!$C$2:$Y$374,AO$1,FALSE)*$Z436</f>
        <v>5.7009547512450185</v>
      </c>
      <c r="AP436" s="3">
        <f>VLOOKUP($AB436,'2000 Seattle Tracts'!$C$2:$Y$374,AP$1,FALSE)*$Z436</f>
        <v>0</v>
      </c>
      <c r="AQ436" s="3">
        <f>VLOOKUP($AB436,'2000 Seattle Tracts'!$C$2:$Y$374,AQ$1,FALSE)*$Z436</f>
        <v>220.19937726683884</v>
      </c>
      <c r="AR436" s="3">
        <f>VLOOKUP($AB436,'2000 Seattle Tracts'!$C$2:$Y$374,AR$1,FALSE)*$Z436</f>
        <v>287.89821493787343</v>
      </c>
      <c r="AS436" s="3">
        <f>VLOOKUP($AB436,'2000 Seattle Tracts'!$C$2:$Y$374,AS$1,FALSE)*$Z436</f>
        <v>0</v>
      </c>
      <c r="AT436" s="3">
        <f>VLOOKUP($AB436,'2000 Seattle Tracts'!$C$2:$Y$374,AT$1,FALSE)*$Z436</f>
        <v>0</v>
      </c>
      <c r="AU436" s="3">
        <f>VLOOKUP($AB436,'2000 Seattle Tracts'!$C$2:$Y$374,AU$1,FALSE)*$Z436</f>
        <v>69.124076358845855</v>
      </c>
      <c r="AV436" s="3">
        <f>VLOOKUP($AB436,'2000 Seattle Tracts'!$C$2:$Y$374,AV$1,FALSE)*$Z436</f>
        <v>14.965006222018173</v>
      </c>
      <c r="AW436" s="3">
        <f>VLOOKUP($AB436,'2000 Seattle Tracts'!$C$2:$Y$374,AW$1,FALSE)*$Z436</f>
        <v>141.0986300933142</v>
      </c>
      <c r="AX436" s="3">
        <f>VLOOKUP($AB436,'2000 Seattle Tracts'!$C$2:$Y$374,AX$1,FALSE)*$Z436</f>
        <v>35.630967195281364</v>
      </c>
    </row>
    <row r="437" spans="1:50" x14ac:dyDescent="0.25">
      <c r="A437" t="s">
        <v>2917</v>
      </c>
      <c r="B437" t="s">
        <v>2918</v>
      </c>
      <c r="C437" t="s">
        <v>3489</v>
      </c>
      <c r="D437" t="s">
        <v>3490</v>
      </c>
      <c r="E437" t="s">
        <v>3491</v>
      </c>
      <c r="F437" t="s">
        <v>3492</v>
      </c>
      <c r="G437" t="s">
        <v>2920</v>
      </c>
      <c r="H437" t="s">
        <v>2921</v>
      </c>
      <c r="I437">
        <v>1310073</v>
      </c>
      <c r="J437">
        <v>0</v>
      </c>
      <c r="K437" t="s">
        <v>3493</v>
      </c>
      <c r="L437" t="s">
        <v>3494</v>
      </c>
      <c r="M437">
        <v>38</v>
      </c>
      <c r="N437">
        <v>20928.002</v>
      </c>
      <c r="O437" t="s">
        <v>122</v>
      </c>
      <c r="P437">
        <v>4</v>
      </c>
      <c r="Q437">
        <v>5</v>
      </c>
      <c r="R437">
        <v>24</v>
      </c>
      <c r="S437">
        <v>15485078</v>
      </c>
      <c r="T437">
        <v>40</v>
      </c>
      <c r="U437">
        <v>128</v>
      </c>
      <c r="V437">
        <v>20928.00172430617</v>
      </c>
      <c r="W437">
        <v>15485078.03322144</v>
      </c>
      <c r="X437">
        <v>8.1000000000000003E-2</v>
      </c>
      <c r="Y437">
        <f>VLOOKUP(AB437,'2000 Seattle Tracts'!$C$2:$Z$374,24,FALSE)</f>
        <v>1310074.1229999999</v>
      </c>
      <c r="Z437">
        <f t="shared" si="12"/>
        <v>6.1828562657595527E-8</v>
      </c>
      <c r="AA437" t="s">
        <v>129</v>
      </c>
      <c r="AB437" t="str">
        <f t="shared" si="13"/>
        <v>Census Tract 43, King County, Washington</v>
      </c>
      <c r="AC437" s="3">
        <f>VLOOKUP($AB437,'2000 Seattle Tracts'!$C$2:$Y$374,AC$1,FALSE)*$Z437</f>
        <v>3.7913274621637576E-4</v>
      </c>
      <c r="AD437" s="3">
        <f>VLOOKUP($AB437,'2000 Seattle Tracts'!$C$2:$Y$374,AD$1,FALSE)*$Z437</f>
        <v>3.1612944086828595E-4</v>
      </c>
      <c r="AE437" s="3">
        <f>VLOOKUP($AB437,'2000 Seattle Tracts'!$C$2:$Y$374,AE$1,FALSE)*$Z437</f>
        <v>6.3003305348089837E-5</v>
      </c>
      <c r="AF437" s="3">
        <f>VLOOKUP($AB437,'2000 Seattle Tracts'!$C$2:$Y$374,AF$1,FALSE)*$Z437</f>
        <v>3.7913274621637576E-4</v>
      </c>
      <c r="AG437" s="3">
        <f>VLOOKUP($AB437,'2000 Seattle Tracts'!$C$2:$Y$374,AG$1,FALSE)*$Z437</f>
        <v>3.1612944086828595E-4</v>
      </c>
      <c r="AH437" s="3">
        <f>VLOOKUP($AB437,'2000 Seattle Tracts'!$C$2:$Y$374,AH$1,FALSE)*$Z437</f>
        <v>6.3003305348089837E-5</v>
      </c>
      <c r="AI437" s="3">
        <f>VLOOKUP($AB437,'2000 Seattle Tracts'!$C$2:$Y$374,AI$1,FALSE)*$Z437</f>
        <v>2.6233859135617782E-4</v>
      </c>
      <c r="AJ437" s="3">
        <f>VLOOKUP($AB437,'2000 Seattle Tracts'!$C$2:$Y$374,AJ$1,FALSE)*$Z437</f>
        <v>3.0976109891455361E-5</v>
      </c>
      <c r="AK437" s="3">
        <f>VLOOKUP($AB437,'2000 Seattle Tracts'!$C$2:$Y$374,AK$1,FALSE)*$Z437</f>
        <v>5.8737134524715749E-6</v>
      </c>
      <c r="AL437" s="3">
        <f>VLOOKUP($AB437,'2000 Seattle Tracts'!$C$2:$Y$374,AL$1,FALSE)*$Z437</f>
        <v>1.7311997544126747E-6</v>
      </c>
      <c r="AM437" s="3">
        <f>VLOOKUP($AB437,'2000 Seattle Tracts'!$C$2:$Y$374,AM$1,FALSE)*$Z437</f>
        <v>1.0078055713188072E-5</v>
      </c>
      <c r="AN437" s="3">
        <f>VLOOKUP($AB437,'2000 Seattle Tracts'!$C$2:$Y$374,AN$1,FALSE)*$Z437</f>
        <v>9.2742843986393288E-7</v>
      </c>
      <c r="AO437" s="3">
        <f>VLOOKUP($AB437,'2000 Seattle Tracts'!$C$2:$Y$374,AO$1,FALSE)*$Z437</f>
        <v>4.9462850126076422E-7</v>
      </c>
      <c r="AP437" s="3">
        <f>VLOOKUP($AB437,'2000 Seattle Tracts'!$C$2:$Y$374,AP$1,FALSE)*$Z437</f>
        <v>0</v>
      </c>
      <c r="AQ437" s="3">
        <f>VLOOKUP($AB437,'2000 Seattle Tracts'!$C$2:$Y$374,AQ$1,FALSE)*$Z437</f>
        <v>1.9105025861197018E-5</v>
      </c>
      <c r="AR437" s="3">
        <f>VLOOKUP($AB437,'2000 Seattle Tracts'!$C$2:$Y$374,AR$1,FALSE)*$Z437</f>
        <v>2.4978739313668594E-5</v>
      </c>
      <c r="AS437" s="3">
        <f>VLOOKUP($AB437,'2000 Seattle Tracts'!$C$2:$Y$374,AS$1,FALSE)*$Z437</f>
        <v>0</v>
      </c>
      <c r="AT437" s="3">
        <f>VLOOKUP($AB437,'2000 Seattle Tracts'!$C$2:$Y$374,AT$1,FALSE)*$Z437</f>
        <v>0</v>
      </c>
      <c r="AU437" s="3">
        <f>VLOOKUP($AB437,'2000 Seattle Tracts'!$C$2:$Y$374,AU$1,FALSE)*$Z437</f>
        <v>5.9973705777867664E-6</v>
      </c>
      <c r="AV437" s="3">
        <f>VLOOKUP($AB437,'2000 Seattle Tracts'!$C$2:$Y$374,AV$1,FALSE)*$Z437</f>
        <v>1.298399815809506E-6</v>
      </c>
      <c r="AW437" s="3">
        <f>VLOOKUP($AB437,'2000 Seattle Tracts'!$C$2:$Y$374,AW$1,FALSE)*$Z437</f>
        <v>1.2242055406203914E-5</v>
      </c>
      <c r="AX437" s="3">
        <f>VLOOKUP($AB437,'2000 Seattle Tracts'!$C$2:$Y$374,AX$1,FALSE)*$Z437</f>
        <v>3.0914281328797764E-6</v>
      </c>
    </row>
    <row r="438" spans="1:50" x14ac:dyDescent="0.25">
      <c r="A438" t="s">
        <v>2917</v>
      </c>
      <c r="B438" t="s">
        <v>2918</v>
      </c>
      <c r="C438" t="s">
        <v>3489</v>
      </c>
      <c r="D438" t="s">
        <v>3490</v>
      </c>
      <c r="E438" t="s">
        <v>3491</v>
      </c>
      <c r="F438" t="s">
        <v>3492</v>
      </c>
      <c r="G438" t="s">
        <v>2920</v>
      </c>
      <c r="H438" t="s">
        <v>2921</v>
      </c>
      <c r="I438">
        <v>1310073</v>
      </c>
      <c r="J438">
        <v>0</v>
      </c>
      <c r="K438" t="s">
        <v>3493</v>
      </c>
      <c r="L438" t="s">
        <v>3494</v>
      </c>
      <c r="M438">
        <v>42</v>
      </c>
      <c r="N438">
        <v>41446.940999999999</v>
      </c>
      <c r="O438" t="s">
        <v>134</v>
      </c>
      <c r="P438">
        <v>5</v>
      </c>
      <c r="Q438">
        <v>12</v>
      </c>
      <c r="R438">
        <v>33</v>
      </c>
      <c r="S438">
        <v>49348388</v>
      </c>
      <c r="T438">
        <v>44</v>
      </c>
      <c r="U438">
        <v>139</v>
      </c>
      <c r="V438">
        <v>41446.941321259314</v>
      </c>
      <c r="W438">
        <v>49348387.058142804</v>
      </c>
      <c r="X438">
        <v>376489.87800000003</v>
      </c>
      <c r="Y438">
        <f>VLOOKUP(AB438,'2000 Seattle Tracts'!$C$2:$Z$374,24,FALSE)</f>
        <v>1310074.1229999999</v>
      </c>
      <c r="Z438">
        <f t="shared" si="12"/>
        <v>0.28738059273917899</v>
      </c>
      <c r="AA438" t="s">
        <v>133</v>
      </c>
      <c r="AB438" t="str">
        <f t="shared" si="13"/>
        <v>Census Tract 43, King County, Washington</v>
      </c>
      <c r="AC438" s="3">
        <f>VLOOKUP($AB438,'2000 Seattle Tracts'!$C$2:$Y$374,AC$1,FALSE)*$Z438</f>
        <v>1762.2177946766456</v>
      </c>
      <c r="AD438" s="3">
        <f>VLOOKUP($AB438,'2000 Seattle Tracts'!$C$2:$Y$374,AD$1,FALSE)*$Z438</f>
        <v>1469.3769706754222</v>
      </c>
      <c r="AE438" s="3">
        <f>VLOOKUP($AB438,'2000 Seattle Tracts'!$C$2:$Y$374,AE$1,FALSE)*$Z438</f>
        <v>292.84082400122338</v>
      </c>
      <c r="AF438" s="3">
        <f>VLOOKUP($AB438,'2000 Seattle Tracts'!$C$2:$Y$374,AF$1,FALSE)*$Z438</f>
        <v>1762.2177946766456</v>
      </c>
      <c r="AG438" s="3">
        <f>VLOOKUP($AB438,'2000 Seattle Tracts'!$C$2:$Y$374,AG$1,FALSE)*$Z438</f>
        <v>1469.3769706754222</v>
      </c>
      <c r="AH438" s="3">
        <f>VLOOKUP($AB438,'2000 Seattle Tracts'!$C$2:$Y$374,AH$1,FALSE)*$Z438</f>
        <v>292.84082400122338</v>
      </c>
      <c r="AI438" s="3">
        <f>VLOOKUP($AB438,'2000 Seattle Tracts'!$C$2:$Y$374,AI$1,FALSE)*$Z438</f>
        <v>1219.3558549923364</v>
      </c>
      <c r="AJ438" s="3">
        <f>VLOOKUP($AB438,'2000 Seattle Tracts'!$C$2:$Y$374,AJ$1,FALSE)*$Z438</f>
        <v>143.97767696232867</v>
      </c>
      <c r="AK438" s="3">
        <f>VLOOKUP($AB438,'2000 Seattle Tracts'!$C$2:$Y$374,AK$1,FALSE)*$Z438</f>
        <v>27.301156310222005</v>
      </c>
      <c r="AL438" s="3">
        <f>VLOOKUP($AB438,'2000 Seattle Tracts'!$C$2:$Y$374,AL$1,FALSE)*$Z438</f>
        <v>8.0466565966970123</v>
      </c>
      <c r="AM438" s="3">
        <f>VLOOKUP($AB438,'2000 Seattle Tracts'!$C$2:$Y$374,AM$1,FALSE)*$Z438</f>
        <v>46.843036616486174</v>
      </c>
      <c r="AN438" s="3">
        <f>VLOOKUP($AB438,'2000 Seattle Tracts'!$C$2:$Y$374,AN$1,FALSE)*$Z438</f>
        <v>4.3107088910876845</v>
      </c>
      <c r="AO438" s="3">
        <f>VLOOKUP($AB438,'2000 Seattle Tracts'!$C$2:$Y$374,AO$1,FALSE)*$Z438</f>
        <v>2.2990447419134319</v>
      </c>
      <c r="AP438" s="3">
        <f>VLOOKUP($AB438,'2000 Seattle Tracts'!$C$2:$Y$374,AP$1,FALSE)*$Z438</f>
        <v>0</v>
      </c>
      <c r="AQ438" s="3">
        <f>VLOOKUP($AB438,'2000 Seattle Tracts'!$C$2:$Y$374,AQ$1,FALSE)*$Z438</f>
        <v>88.800603156406311</v>
      </c>
      <c r="AR438" s="3">
        <f>VLOOKUP($AB438,'2000 Seattle Tracts'!$C$2:$Y$374,AR$1,FALSE)*$Z438</f>
        <v>116.10175946662831</v>
      </c>
      <c r="AS438" s="3">
        <f>VLOOKUP($AB438,'2000 Seattle Tracts'!$C$2:$Y$374,AS$1,FALSE)*$Z438</f>
        <v>0</v>
      </c>
      <c r="AT438" s="3">
        <f>VLOOKUP($AB438,'2000 Seattle Tracts'!$C$2:$Y$374,AT$1,FALSE)*$Z438</f>
        <v>0</v>
      </c>
      <c r="AU438" s="3">
        <f>VLOOKUP($AB438,'2000 Seattle Tracts'!$C$2:$Y$374,AU$1,FALSE)*$Z438</f>
        <v>27.87591749570036</v>
      </c>
      <c r="AV438" s="3">
        <f>VLOOKUP($AB438,'2000 Seattle Tracts'!$C$2:$Y$374,AV$1,FALSE)*$Z438</f>
        <v>6.0349924475227583</v>
      </c>
      <c r="AW438" s="3">
        <f>VLOOKUP($AB438,'2000 Seattle Tracts'!$C$2:$Y$374,AW$1,FALSE)*$Z438</f>
        <v>56.901357362357437</v>
      </c>
      <c r="AX438" s="3">
        <f>VLOOKUP($AB438,'2000 Seattle Tracts'!$C$2:$Y$374,AX$1,FALSE)*$Z438</f>
        <v>14.369029636958949</v>
      </c>
    </row>
    <row r="439" spans="1:50" x14ac:dyDescent="0.25">
      <c r="A439" t="s">
        <v>2917</v>
      </c>
      <c r="B439" t="s">
        <v>2918</v>
      </c>
      <c r="C439" t="s">
        <v>3056</v>
      </c>
      <c r="D439" t="s">
        <v>2698</v>
      </c>
      <c r="E439" t="s">
        <v>2699</v>
      </c>
      <c r="F439" t="s">
        <v>2700</v>
      </c>
      <c r="G439" t="s">
        <v>2920</v>
      </c>
      <c r="H439" t="s">
        <v>2921</v>
      </c>
      <c r="I439">
        <v>2464009</v>
      </c>
      <c r="J439">
        <v>0</v>
      </c>
      <c r="K439" t="s">
        <v>3495</v>
      </c>
      <c r="L439" t="s">
        <v>3496</v>
      </c>
      <c r="M439">
        <v>35</v>
      </c>
      <c r="N439">
        <v>22657.039000000001</v>
      </c>
      <c r="O439" t="s">
        <v>122</v>
      </c>
      <c r="P439">
        <v>4</v>
      </c>
      <c r="Q439">
        <v>5</v>
      </c>
      <c r="R439">
        <v>94</v>
      </c>
      <c r="S439">
        <v>25612980</v>
      </c>
      <c r="T439">
        <v>37</v>
      </c>
      <c r="U439">
        <v>119</v>
      </c>
      <c r="V439">
        <v>22657.0394732799</v>
      </c>
      <c r="W439">
        <v>25612979.943988901</v>
      </c>
      <c r="X439">
        <v>167.358</v>
      </c>
      <c r="Y439">
        <f>VLOOKUP(AB439,'2000 Seattle Tracts'!$C$2:$Z$374,24,FALSE)</f>
        <v>2464003.8820000002</v>
      </c>
      <c r="Z439">
        <f t="shared" si="12"/>
        <v>6.7921159224861963E-5</v>
      </c>
      <c r="AA439" t="s">
        <v>126</v>
      </c>
      <c r="AB439" t="str">
        <f t="shared" si="13"/>
        <v>Census Tract 42, King County, Washington</v>
      </c>
      <c r="AC439" s="3">
        <f>VLOOKUP($AB439,'2000 Seattle Tracts'!$C$2:$Y$374,AC$1,FALSE)*$Z439</f>
        <v>0.48916818873745588</v>
      </c>
      <c r="AD439" s="3">
        <f>VLOOKUP($AB439,'2000 Seattle Tracts'!$C$2:$Y$374,AD$1,FALSE)*$Z439</f>
        <v>0.42321674313011487</v>
      </c>
      <c r="AE439" s="3">
        <f>VLOOKUP($AB439,'2000 Seattle Tracts'!$C$2:$Y$374,AE$1,FALSE)*$Z439</f>
        <v>6.5951445607340967E-2</v>
      </c>
      <c r="AF439" s="3">
        <f>VLOOKUP($AB439,'2000 Seattle Tracts'!$C$2:$Y$374,AF$1,FALSE)*$Z439</f>
        <v>0.48916818873745588</v>
      </c>
      <c r="AG439" s="3">
        <f>VLOOKUP($AB439,'2000 Seattle Tracts'!$C$2:$Y$374,AG$1,FALSE)*$Z439</f>
        <v>0.42321674313011487</v>
      </c>
      <c r="AH439" s="3">
        <f>VLOOKUP($AB439,'2000 Seattle Tracts'!$C$2:$Y$374,AH$1,FALSE)*$Z439</f>
        <v>6.5951445607340967E-2</v>
      </c>
      <c r="AI439" s="3">
        <f>VLOOKUP($AB439,'2000 Seattle Tracts'!$C$2:$Y$374,AI$1,FALSE)*$Z439</f>
        <v>0.37472103544356344</v>
      </c>
      <c r="AJ439" s="3">
        <f>VLOOKUP($AB439,'2000 Seattle Tracts'!$C$2:$Y$374,AJ$1,FALSE)*$Z439</f>
        <v>3.3892658453206118E-2</v>
      </c>
      <c r="AK439" s="3">
        <f>VLOOKUP($AB439,'2000 Seattle Tracts'!$C$2:$Y$374,AK$1,FALSE)*$Z439</f>
        <v>6.3845889671370242E-3</v>
      </c>
      <c r="AL439" s="3">
        <f>VLOOKUP($AB439,'2000 Seattle Tracts'!$C$2:$Y$374,AL$1,FALSE)*$Z439</f>
        <v>4.4148753496160275E-3</v>
      </c>
      <c r="AM439" s="3">
        <f>VLOOKUP($AB439,'2000 Seattle Tracts'!$C$2:$Y$374,AM$1,FALSE)*$Z439</f>
        <v>1.1206991272102224E-2</v>
      </c>
      <c r="AN439" s="3">
        <f>VLOOKUP($AB439,'2000 Seattle Tracts'!$C$2:$Y$374,AN$1,FALSE)*$Z439</f>
        <v>1.8338712990712729E-3</v>
      </c>
      <c r="AO439" s="3">
        <f>VLOOKUP($AB439,'2000 Seattle Tracts'!$C$2:$Y$374,AO$1,FALSE)*$Z439</f>
        <v>2.7168463689944785E-4</v>
      </c>
      <c r="AP439" s="3">
        <f>VLOOKUP($AB439,'2000 Seattle Tracts'!$C$2:$Y$374,AP$1,FALSE)*$Z439</f>
        <v>0</v>
      </c>
      <c r="AQ439" s="3">
        <f>VLOOKUP($AB439,'2000 Seattle Tracts'!$C$2:$Y$374,AQ$1,FALSE)*$Z439</f>
        <v>1.3584231844972393E-2</v>
      </c>
      <c r="AR439" s="3">
        <f>VLOOKUP($AB439,'2000 Seattle Tracts'!$C$2:$Y$374,AR$1,FALSE)*$Z439</f>
        <v>1.6504841691641455E-2</v>
      </c>
      <c r="AS439" s="3">
        <f>VLOOKUP($AB439,'2000 Seattle Tracts'!$C$2:$Y$374,AS$1,FALSE)*$Z439</f>
        <v>3.6677425981425458E-3</v>
      </c>
      <c r="AT439" s="3">
        <f>VLOOKUP($AB439,'2000 Seattle Tracts'!$C$2:$Y$374,AT$1,FALSE)*$Z439</f>
        <v>1.2905020252723773E-3</v>
      </c>
      <c r="AU439" s="3">
        <f>VLOOKUP($AB439,'2000 Seattle Tracts'!$C$2:$Y$374,AU$1,FALSE)*$Z439</f>
        <v>1.1546597068226533E-3</v>
      </c>
      <c r="AV439" s="3">
        <f>VLOOKUP($AB439,'2000 Seattle Tracts'!$C$2:$Y$374,AV$1,FALSE)*$Z439</f>
        <v>4.7544811457403375E-4</v>
      </c>
      <c r="AW439" s="3">
        <f>VLOOKUP($AB439,'2000 Seattle Tracts'!$C$2:$Y$374,AW$1,FALSE)*$Z439</f>
        <v>1.2225808660475153E-2</v>
      </c>
      <c r="AX439" s="3">
        <f>VLOOKUP($AB439,'2000 Seattle Tracts'!$C$2:$Y$374,AX$1,FALSE)*$Z439</f>
        <v>7.5392486739596781E-3</v>
      </c>
    </row>
    <row r="440" spans="1:50" x14ac:dyDescent="0.25">
      <c r="A440" t="s">
        <v>2917</v>
      </c>
      <c r="B440" t="s">
        <v>2918</v>
      </c>
      <c r="C440" t="s">
        <v>3056</v>
      </c>
      <c r="D440" t="s">
        <v>2698</v>
      </c>
      <c r="E440" t="s">
        <v>2699</v>
      </c>
      <c r="F440" t="s">
        <v>2700</v>
      </c>
      <c r="G440" t="s">
        <v>2920</v>
      </c>
      <c r="H440" t="s">
        <v>2921</v>
      </c>
      <c r="I440">
        <v>2464009</v>
      </c>
      <c r="J440">
        <v>0</v>
      </c>
      <c r="K440" t="s">
        <v>3495</v>
      </c>
      <c r="L440" t="s">
        <v>3496</v>
      </c>
      <c r="M440">
        <v>36</v>
      </c>
      <c r="N440">
        <v>30993.599999999999</v>
      </c>
      <c r="O440" t="s">
        <v>122</v>
      </c>
      <c r="P440">
        <v>4</v>
      </c>
      <c r="Q440">
        <v>5</v>
      </c>
      <c r="R440">
        <v>81</v>
      </c>
      <c r="S440">
        <v>37020968</v>
      </c>
      <c r="T440">
        <v>38</v>
      </c>
      <c r="U440">
        <v>125</v>
      </c>
      <c r="V440">
        <v>30993.600213945359</v>
      </c>
      <c r="W440">
        <v>37020968.872468568</v>
      </c>
      <c r="X440">
        <v>653802.69999999995</v>
      </c>
      <c r="Y440">
        <f>VLOOKUP(AB440,'2000 Seattle Tracts'!$C$2:$Z$374,24,FALSE)</f>
        <v>2464003.8820000002</v>
      </c>
      <c r="Z440">
        <f t="shared" si="12"/>
        <v>0.26534158682790576</v>
      </c>
      <c r="AA440" t="s">
        <v>127</v>
      </c>
      <c r="AB440" t="str">
        <f t="shared" si="13"/>
        <v>Census Tract 42, King County, Washington</v>
      </c>
      <c r="AC440" s="3">
        <f>VLOOKUP($AB440,'2000 Seattle Tracts'!$C$2:$Y$374,AC$1,FALSE)*$Z440</f>
        <v>1910.9901083345774</v>
      </c>
      <c r="AD440" s="3">
        <f>VLOOKUP($AB440,'2000 Seattle Tracts'!$C$2:$Y$374,AD$1,FALSE)*$Z440</f>
        <v>1653.3434275246807</v>
      </c>
      <c r="AE440" s="3">
        <f>VLOOKUP($AB440,'2000 Seattle Tracts'!$C$2:$Y$374,AE$1,FALSE)*$Z440</f>
        <v>257.64668080989651</v>
      </c>
      <c r="AF440" s="3">
        <f>VLOOKUP($AB440,'2000 Seattle Tracts'!$C$2:$Y$374,AF$1,FALSE)*$Z440</f>
        <v>1910.9901083345774</v>
      </c>
      <c r="AG440" s="3">
        <f>VLOOKUP($AB440,'2000 Seattle Tracts'!$C$2:$Y$374,AG$1,FALSE)*$Z440</f>
        <v>1653.3434275246807</v>
      </c>
      <c r="AH440" s="3">
        <f>VLOOKUP($AB440,'2000 Seattle Tracts'!$C$2:$Y$374,AH$1,FALSE)*$Z440</f>
        <v>257.64668080989651</v>
      </c>
      <c r="AI440" s="3">
        <f>VLOOKUP($AB440,'2000 Seattle Tracts'!$C$2:$Y$374,AI$1,FALSE)*$Z440</f>
        <v>1463.8895345295562</v>
      </c>
      <c r="AJ440" s="3">
        <f>VLOOKUP($AB440,'2000 Seattle Tracts'!$C$2:$Y$374,AJ$1,FALSE)*$Z440</f>
        <v>132.40545182712498</v>
      </c>
      <c r="AK440" s="3">
        <f>VLOOKUP($AB440,'2000 Seattle Tracts'!$C$2:$Y$374,AK$1,FALSE)*$Z440</f>
        <v>24.94210916182314</v>
      </c>
      <c r="AL440" s="3">
        <f>VLOOKUP($AB440,'2000 Seattle Tracts'!$C$2:$Y$374,AL$1,FALSE)*$Z440</f>
        <v>17.247203143813874</v>
      </c>
      <c r="AM440" s="3">
        <f>VLOOKUP($AB440,'2000 Seattle Tracts'!$C$2:$Y$374,AM$1,FALSE)*$Z440</f>
        <v>43.781361826604453</v>
      </c>
      <c r="AN440" s="3">
        <f>VLOOKUP($AB440,'2000 Seattle Tracts'!$C$2:$Y$374,AN$1,FALSE)*$Z440</f>
        <v>7.1642228443534552</v>
      </c>
      <c r="AO440" s="3">
        <f>VLOOKUP($AB440,'2000 Seattle Tracts'!$C$2:$Y$374,AO$1,FALSE)*$Z440</f>
        <v>1.061366347311623</v>
      </c>
      <c r="AP440" s="3">
        <f>VLOOKUP($AB440,'2000 Seattle Tracts'!$C$2:$Y$374,AP$1,FALSE)*$Z440</f>
        <v>0</v>
      </c>
      <c r="AQ440" s="3">
        <f>VLOOKUP($AB440,'2000 Seattle Tracts'!$C$2:$Y$374,AQ$1,FALSE)*$Z440</f>
        <v>53.068317365581152</v>
      </c>
      <c r="AR440" s="3">
        <f>VLOOKUP($AB440,'2000 Seattle Tracts'!$C$2:$Y$374,AR$1,FALSE)*$Z440</f>
        <v>64.478005599181103</v>
      </c>
      <c r="AS440" s="3">
        <f>VLOOKUP($AB440,'2000 Seattle Tracts'!$C$2:$Y$374,AS$1,FALSE)*$Z440</f>
        <v>14.32844568870691</v>
      </c>
      <c r="AT440" s="3">
        <f>VLOOKUP($AB440,'2000 Seattle Tracts'!$C$2:$Y$374,AT$1,FALSE)*$Z440</f>
        <v>5.0414901497302091</v>
      </c>
      <c r="AU440" s="3">
        <f>VLOOKUP($AB440,'2000 Seattle Tracts'!$C$2:$Y$374,AU$1,FALSE)*$Z440</f>
        <v>4.5108069760743978</v>
      </c>
      <c r="AV440" s="3">
        <f>VLOOKUP($AB440,'2000 Seattle Tracts'!$C$2:$Y$374,AV$1,FALSE)*$Z440</f>
        <v>1.8573911077953404</v>
      </c>
      <c r="AW440" s="3">
        <f>VLOOKUP($AB440,'2000 Seattle Tracts'!$C$2:$Y$374,AW$1,FALSE)*$Z440</f>
        <v>47.761485629023035</v>
      </c>
      <c r="AX440" s="3">
        <f>VLOOKUP($AB440,'2000 Seattle Tracts'!$C$2:$Y$374,AX$1,FALSE)*$Z440</f>
        <v>29.452916137897539</v>
      </c>
    </row>
    <row r="441" spans="1:50" x14ac:dyDescent="0.25">
      <c r="A441" t="s">
        <v>2917</v>
      </c>
      <c r="B441" t="s">
        <v>2918</v>
      </c>
      <c r="C441" t="s">
        <v>3056</v>
      </c>
      <c r="D441" t="s">
        <v>2698</v>
      </c>
      <c r="E441" t="s">
        <v>2699</v>
      </c>
      <c r="F441" t="s">
        <v>2700</v>
      </c>
      <c r="G441" t="s">
        <v>2920</v>
      </c>
      <c r="H441" t="s">
        <v>2921</v>
      </c>
      <c r="I441">
        <v>2464009</v>
      </c>
      <c r="J441">
        <v>0</v>
      </c>
      <c r="K441" t="s">
        <v>3495</v>
      </c>
      <c r="L441" t="s">
        <v>3496</v>
      </c>
      <c r="M441">
        <v>37</v>
      </c>
      <c r="N441">
        <v>21396.695</v>
      </c>
      <c r="O441" t="s">
        <v>122</v>
      </c>
      <c r="P441">
        <v>4</v>
      </c>
      <c r="Q441">
        <v>5</v>
      </c>
      <c r="R441">
        <v>19</v>
      </c>
      <c r="S441">
        <v>19249858</v>
      </c>
      <c r="T441">
        <v>39</v>
      </c>
      <c r="U441">
        <v>196</v>
      </c>
      <c r="V441">
        <v>21396.695800864782</v>
      </c>
      <c r="W441">
        <v>19249857.13974366</v>
      </c>
      <c r="X441">
        <v>2.0059999999999998</v>
      </c>
      <c r="Y441">
        <f>VLOOKUP(AB441,'2000 Seattle Tracts'!$C$2:$Z$374,24,FALSE)</f>
        <v>2464003.8820000002</v>
      </c>
      <c r="Z441">
        <f t="shared" si="12"/>
        <v>8.1412209398459042E-7</v>
      </c>
      <c r="AA441" t="s">
        <v>128</v>
      </c>
      <c r="AB441" t="str">
        <f t="shared" si="13"/>
        <v>Census Tract 42, King County, Washington</v>
      </c>
      <c r="AC441" s="3">
        <f>VLOOKUP($AB441,'2000 Seattle Tracts'!$C$2:$Y$374,AC$1,FALSE)*$Z441</f>
        <v>5.8633073208770202E-3</v>
      </c>
      <c r="AD441" s="3">
        <f>VLOOKUP($AB441,'2000 Seattle Tracts'!$C$2:$Y$374,AD$1,FALSE)*$Z441</f>
        <v>5.0727947676179833E-3</v>
      </c>
      <c r="AE441" s="3">
        <f>VLOOKUP($AB441,'2000 Seattle Tracts'!$C$2:$Y$374,AE$1,FALSE)*$Z441</f>
        <v>7.9051255325903727E-4</v>
      </c>
      <c r="AF441" s="3">
        <f>VLOOKUP($AB441,'2000 Seattle Tracts'!$C$2:$Y$374,AF$1,FALSE)*$Z441</f>
        <v>5.8633073208770202E-3</v>
      </c>
      <c r="AG441" s="3">
        <f>VLOOKUP($AB441,'2000 Seattle Tracts'!$C$2:$Y$374,AG$1,FALSE)*$Z441</f>
        <v>5.0727947676179833E-3</v>
      </c>
      <c r="AH441" s="3">
        <f>VLOOKUP($AB441,'2000 Seattle Tracts'!$C$2:$Y$374,AH$1,FALSE)*$Z441</f>
        <v>7.9051255325903727E-4</v>
      </c>
      <c r="AI441" s="3">
        <f>VLOOKUP($AB441,'2000 Seattle Tracts'!$C$2:$Y$374,AI$1,FALSE)*$Z441</f>
        <v>4.491511592512985E-3</v>
      </c>
      <c r="AJ441" s="3">
        <f>VLOOKUP($AB441,'2000 Seattle Tracts'!$C$2:$Y$374,AJ$1,FALSE)*$Z441</f>
        <v>4.0624692489831064E-4</v>
      </c>
      <c r="AK441" s="3">
        <f>VLOOKUP($AB441,'2000 Seattle Tracts'!$C$2:$Y$374,AK$1,FALSE)*$Z441</f>
        <v>7.6527476834551493E-5</v>
      </c>
      <c r="AL441" s="3">
        <f>VLOOKUP($AB441,'2000 Seattle Tracts'!$C$2:$Y$374,AL$1,FALSE)*$Z441</f>
        <v>5.2917936108998377E-5</v>
      </c>
      <c r="AM441" s="3">
        <f>VLOOKUP($AB441,'2000 Seattle Tracts'!$C$2:$Y$374,AM$1,FALSE)*$Z441</f>
        <v>1.3433014550745742E-4</v>
      </c>
      <c r="AN441" s="3">
        <f>VLOOKUP($AB441,'2000 Seattle Tracts'!$C$2:$Y$374,AN$1,FALSE)*$Z441</f>
        <v>2.1981296537583942E-5</v>
      </c>
      <c r="AO441" s="3">
        <f>VLOOKUP($AB441,'2000 Seattle Tracts'!$C$2:$Y$374,AO$1,FALSE)*$Z441</f>
        <v>3.2564883759383617E-6</v>
      </c>
      <c r="AP441" s="3">
        <f>VLOOKUP($AB441,'2000 Seattle Tracts'!$C$2:$Y$374,AP$1,FALSE)*$Z441</f>
        <v>0</v>
      </c>
      <c r="AQ441" s="3">
        <f>VLOOKUP($AB441,'2000 Seattle Tracts'!$C$2:$Y$374,AQ$1,FALSE)*$Z441</f>
        <v>1.628244187969181E-4</v>
      </c>
      <c r="AR441" s="3">
        <f>VLOOKUP($AB441,'2000 Seattle Tracts'!$C$2:$Y$374,AR$1,FALSE)*$Z441</f>
        <v>1.9783166883825546E-4</v>
      </c>
      <c r="AS441" s="3">
        <f>VLOOKUP($AB441,'2000 Seattle Tracts'!$C$2:$Y$374,AS$1,FALSE)*$Z441</f>
        <v>4.3962593075167885E-5</v>
      </c>
      <c r="AT441" s="3">
        <f>VLOOKUP($AB441,'2000 Seattle Tracts'!$C$2:$Y$374,AT$1,FALSE)*$Z441</f>
        <v>1.5468319785707217E-5</v>
      </c>
      <c r="AU441" s="3">
        <f>VLOOKUP($AB441,'2000 Seattle Tracts'!$C$2:$Y$374,AU$1,FALSE)*$Z441</f>
        <v>1.3840075597738037E-5</v>
      </c>
      <c r="AV441" s="3">
        <f>VLOOKUP($AB441,'2000 Seattle Tracts'!$C$2:$Y$374,AV$1,FALSE)*$Z441</f>
        <v>5.6988546578921331E-6</v>
      </c>
      <c r="AW441" s="3">
        <f>VLOOKUP($AB441,'2000 Seattle Tracts'!$C$2:$Y$374,AW$1,FALSE)*$Z441</f>
        <v>1.4654197691722626E-4</v>
      </c>
      <c r="AX441" s="3">
        <f>VLOOKUP($AB441,'2000 Seattle Tracts'!$C$2:$Y$374,AX$1,FALSE)*$Z441</f>
        <v>9.036755243228954E-5</v>
      </c>
    </row>
    <row r="442" spans="1:50" x14ac:dyDescent="0.25">
      <c r="A442" t="s">
        <v>2917</v>
      </c>
      <c r="B442" t="s">
        <v>2918</v>
      </c>
      <c r="C442" t="s">
        <v>3056</v>
      </c>
      <c r="D442" t="s">
        <v>2698</v>
      </c>
      <c r="E442" t="s">
        <v>2699</v>
      </c>
      <c r="F442" t="s">
        <v>2700</v>
      </c>
      <c r="G442" t="s">
        <v>2920</v>
      </c>
      <c r="H442" t="s">
        <v>2921</v>
      </c>
      <c r="I442">
        <v>2464009</v>
      </c>
      <c r="J442">
        <v>0</v>
      </c>
      <c r="K442" t="s">
        <v>3495</v>
      </c>
      <c r="L442" t="s">
        <v>3496</v>
      </c>
      <c r="M442">
        <v>38</v>
      </c>
      <c r="N442">
        <v>20928.002</v>
      </c>
      <c r="O442" t="s">
        <v>122</v>
      </c>
      <c r="P442">
        <v>4</v>
      </c>
      <c r="Q442">
        <v>5</v>
      </c>
      <c r="R442">
        <v>24</v>
      </c>
      <c r="S442">
        <v>15485078</v>
      </c>
      <c r="T442">
        <v>40</v>
      </c>
      <c r="U442">
        <v>128</v>
      </c>
      <c r="V442">
        <v>20928.00172430617</v>
      </c>
      <c r="W442">
        <v>15485078.03322144</v>
      </c>
      <c r="X442">
        <v>1111575.4240000001</v>
      </c>
      <c r="Y442">
        <f>VLOOKUP(AB442,'2000 Seattle Tracts'!$C$2:$Z$374,24,FALSE)</f>
        <v>2464003.8820000002</v>
      </c>
      <c r="Z442">
        <f t="shared" si="12"/>
        <v>0.45112567886774135</v>
      </c>
      <c r="AA442" t="s">
        <v>129</v>
      </c>
      <c r="AB442" t="str">
        <f t="shared" si="13"/>
        <v>Census Tract 42, King County, Washington</v>
      </c>
      <c r="AC442" s="3">
        <f>VLOOKUP($AB442,'2000 Seattle Tracts'!$C$2:$Y$374,AC$1,FALSE)*$Z442</f>
        <v>3249.0071392054733</v>
      </c>
      <c r="AD442" s="3">
        <f>VLOOKUP($AB442,'2000 Seattle Tracts'!$C$2:$Y$374,AD$1,FALSE)*$Z442</f>
        <v>2810.9641050248965</v>
      </c>
      <c r="AE442" s="3">
        <f>VLOOKUP($AB442,'2000 Seattle Tracts'!$C$2:$Y$374,AE$1,FALSE)*$Z442</f>
        <v>438.04303418057685</v>
      </c>
      <c r="AF442" s="3">
        <f>VLOOKUP($AB442,'2000 Seattle Tracts'!$C$2:$Y$374,AF$1,FALSE)*$Z442</f>
        <v>3249.0071392054733</v>
      </c>
      <c r="AG442" s="3">
        <f>VLOOKUP($AB442,'2000 Seattle Tracts'!$C$2:$Y$374,AG$1,FALSE)*$Z442</f>
        <v>2810.9641050248965</v>
      </c>
      <c r="AH442" s="3">
        <f>VLOOKUP($AB442,'2000 Seattle Tracts'!$C$2:$Y$374,AH$1,FALSE)*$Z442</f>
        <v>438.04303418057685</v>
      </c>
      <c r="AI442" s="3">
        <f>VLOOKUP($AB442,'2000 Seattle Tracts'!$C$2:$Y$374,AI$1,FALSE)*$Z442</f>
        <v>2488.860370313329</v>
      </c>
      <c r="AJ442" s="3">
        <f>VLOOKUP($AB442,'2000 Seattle Tracts'!$C$2:$Y$374,AJ$1,FALSE)*$Z442</f>
        <v>225.11171375500294</v>
      </c>
      <c r="AK442" s="3">
        <f>VLOOKUP($AB442,'2000 Seattle Tracts'!$C$2:$Y$374,AK$1,FALSE)*$Z442</f>
        <v>42.40581381356769</v>
      </c>
      <c r="AL442" s="3">
        <f>VLOOKUP($AB442,'2000 Seattle Tracts'!$C$2:$Y$374,AL$1,FALSE)*$Z442</f>
        <v>29.323169126403187</v>
      </c>
      <c r="AM442" s="3">
        <f>VLOOKUP($AB442,'2000 Seattle Tracts'!$C$2:$Y$374,AM$1,FALSE)*$Z442</f>
        <v>74.435737013177317</v>
      </c>
      <c r="AN442" s="3">
        <f>VLOOKUP($AB442,'2000 Seattle Tracts'!$C$2:$Y$374,AN$1,FALSE)*$Z442</f>
        <v>12.180393329429016</v>
      </c>
      <c r="AO442" s="3">
        <f>VLOOKUP($AB442,'2000 Seattle Tracts'!$C$2:$Y$374,AO$1,FALSE)*$Z442</f>
        <v>1.8045027154709654</v>
      </c>
      <c r="AP442" s="3">
        <f>VLOOKUP($AB442,'2000 Seattle Tracts'!$C$2:$Y$374,AP$1,FALSE)*$Z442</f>
        <v>0</v>
      </c>
      <c r="AQ442" s="3">
        <f>VLOOKUP($AB442,'2000 Seattle Tracts'!$C$2:$Y$374,AQ$1,FALSE)*$Z442</f>
        <v>90.225135773548274</v>
      </c>
      <c r="AR442" s="3">
        <f>VLOOKUP($AB442,'2000 Seattle Tracts'!$C$2:$Y$374,AR$1,FALSE)*$Z442</f>
        <v>109.62353996486115</v>
      </c>
      <c r="AS442" s="3">
        <f>VLOOKUP($AB442,'2000 Seattle Tracts'!$C$2:$Y$374,AS$1,FALSE)*$Z442</f>
        <v>24.360786658858032</v>
      </c>
      <c r="AT442" s="3">
        <f>VLOOKUP($AB442,'2000 Seattle Tracts'!$C$2:$Y$374,AT$1,FALSE)*$Z442</f>
        <v>8.5713878984870853</v>
      </c>
      <c r="AU442" s="3">
        <f>VLOOKUP($AB442,'2000 Seattle Tracts'!$C$2:$Y$374,AU$1,FALSE)*$Z442</f>
        <v>7.6691365407516034</v>
      </c>
      <c r="AV442" s="3">
        <f>VLOOKUP($AB442,'2000 Seattle Tracts'!$C$2:$Y$374,AV$1,FALSE)*$Z442</f>
        <v>3.1578797520741895</v>
      </c>
      <c r="AW442" s="3">
        <f>VLOOKUP($AB442,'2000 Seattle Tracts'!$C$2:$Y$374,AW$1,FALSE)*$Z442</f>
        <v>81.202622196193445</v>
      </c>
      <c r="AX442" s="3">
        <f>VLOOKUP($AB442,'2000 Seattle Tracts'!$C$2:$Y$374,AX$1,FALSE)*$Z442</f>
        <v>50.074950354319292</v>
      </c>
    </row>
    <row r="443" spans="1:50" x14ac:dyDescent="0.25">
      <c r="A443" t="s">
        <v>2917</v>
      </c>
      <c r="B443" t="s">
        <v>2918</v>
      </c>
      <c r="C443" t="s">
        <v>3056</v>
      </c>
      <c r="D443" t="s">
        <v>2698</v>
      </c>
      <c r="E443" t="s">
        <v>2699</v>
      </c>
      <c r="F443" t="s">
        <v>2700</v>
      </c>
      <c r="G443" t="s">
        <v>2920</v>
      </c>
      <c r="H443" t="s">
        <v>2921</v>
      </c>
      <c r="I443">
        <v>2464009</v>
      </c>
      <c r="J443">
        <v>0</v>
      </c>
      <c r="K443" t="s">
        <v>3495</v>
      </c>
      <c r="L443" t="s">
        <v>3496</v>
      </c>
      <c r="M443">
        <v>39</v>
      </c>
      <c r="N443">
        <v>33332.828000000001</v>
      </c>
      <c r="O443" t="s">
        <v>122</v>
      </c>
      <c r="P443">
        <v>4</v>
      </c>
      <c r="Q443">
        <v>5</v>
      </c>
      <c r="R443">
        <v>23</v>
      </c>
      <c r="S443">
        <v>22363966</v>
      </c>
      <c r="T443">
        <v>41</v>
      </c>
      <c r="U443">
        <v>131</v>
      </c>
      <c r="V443">
        <v>33332.829196830411</v>
      </c>
      <c r="W443">
        <v>22363966.623789791</v>
      </c>
      <c r="X443">
        <v>692588.08100000001</v>
      </c>
      <c r="Y443">
        <f>VLOOKUP(AB443,'2000 Seattle Tracts'!$C$2:$Z$374,24,FALSE)</f>
        <v>2464003.8820000002</v>
      </c>
      <c r="Z443">
        <f t="shared" si="12"/>
        <v>0.28108238223952603</v>
      </c>
      <c r="AA443" t="s">
        <v>130</v>
      </c>
      <c r="AB443" t="str">
        <f t="shared" si="13"/>
        <v>Census Tract 42, King County, Washington</v>
      </c>
      <c r="AC443" s="3">
        <f>VLOOKUP($AB443,'2000 Seattle Tracts'!$C$2:$Y$374,AC$1,FALSE)*$Z443</f>
        <v>2024.3553168890664</v>
      </c>
      <c r="AD443" s="3">
        <f>VLOOKUP($AB443,'2000 Seattle Tracts'!$C$2:$Y$374,AD$1,FALSE)*$Z443</f>
        <v>1751.4243237344867</v>
      </c>
      <c r="AE443" s="3">
        <f>VLOOKUP($AB443,'2000 Seattle Tracts'!$C$2:$Y$374,AE$1,FALSE)*$Z443</f>
        <v>272.93099315457977</v>
      </c>
      <c r="AF443" s="3">
        <f>VLOOKUP($AB443,'2000 Seattle Tracts'!$C$2:$Y$374,AF$1,FALSE)*$Z443</f>
        <v>2024.3553168890664</v>
      </c>
      <c r="AG443" s="3">
        <f>VLOOKUP($AB443,'2000 Seattle Tracts'!$C$2:$Y$374,AG$1,FALSE)*$Z443</f>
        <v>1751.4243237344867</v>
      </c>
      <c r="AH443" s="3">
        <f>VLOOKUP($AB443,'2000 Seattle Tracts'!$C$2:$Y$374,AH$1,FALSE)*$Z443</f>
        <v>272.93099315457977</v>
      </c>
      <c r="AI443" s="3">
        <f>VLOOKUP($AB443,'2000 Seattle Tracts'!$C$2:$Y$374,AI$1,FALSE)*$Z443</f>
        <v>1550.7315028154651</v>
      </c>
      <c r="AJ443" s="3">
        <f>VLOOKUP($AB443,'2000 Seattle Tracts'!$C$2:$Y$374,AJ$1,FALSE)*$Z443</f>
        <v>140.2601087375235</v>
      </c>
      <c r="AK443" s="3">
        <f>VLOOKUP($AB443,'2000 Seattle Tracts'!$C$2:$Y$374,AK$1,FALSE)*$Z443</f>
        <v>26.421743930515447</v>
      </c>
      <c r="AL443" s="3">
        <f>VLOOKUP($AB443,'2000 Seattle Tracts'!$C$2:$Y$374,AL$1,FALSE)*$Z443</f>
        <v>18.270354845569191</v>
      </c>
      <c r="AM443" s="3">
        <f>VLOOKUP($AB443,'2000 Seattle Tracts'!$C$2:$Y$374,AM$1,FALSE)*$Z443</f>
        <v>46.378593069521791</v>
      </c>
      <c r="AN443" s="3">
        <f>VLOOKUP($AB443,'2000 Seattle Tracts'!$C$2:$Y$374,AN$1,FALSE)*$Z443</f>
        <v>7.5892243204672027</v>
      </c>
      <c r="AO443" s="3">
        <f>VLOOKUP($AB443,'2000 Seattle Tracts'!$C$2:$Y$374,AO$1,FALSE)*$Z443</f>
        <v>1.1243295289581041</v>
      </c>
      <c r="AP443" s="3">
        <f>VLOOKUP($AB443,'2000 Seattle Tracts'!$C$2:$Y$374,AP$1,FALSE)*$Z443</f>
        <v>0</v>
      </c>
      <c r="AQ443" s="3">
        <f>VLOOKUP($AB443,'2000 Seattle Tracts'!$C$2:$Y$374,AQ$1,FALSE)*$Z443</f>
        <v>56.216476447905208</v>
      </c>
      <c r="AR443" s="3">
        <f>VLOOKUP($AB443,'2000 Seattle Tracts'!$C$2:$Y$374,AR$1,FALSE)*$Z443</f>
        <v>68.303018884204832</v>
      </c>
      <c r="AS443" s="3">
        <f>VLOOKUP($AB443,'2000 Seattle Tracts'!$C$2:$Y$374,AS$1,FALSE)*$Z443</f>
        <v>15.178448640934405</v>
      </c>
      <c r="AT443" s="3">
        <f>VLOOKUP($AB443,'2000 Seattle Tracts'!$C$2:$Y$374,AT$1,FALSE)*$Z443</f>
        <v>5.340565262550995</v>
      </c>
      <c r="AU443" s="3">
        <f>VLOOKUP($AB443,'2000 Seattle Tracts'!$C$2:$Y$374,AU$1,FALSE)*$Z443</f>
        <v>4.7784004980719423</v>
      </c>
      <c r="AV443" s="3">
        <f>VLOOKUP($AB443,'2000 Seattle Tracts'!$C$2:$Y$374,AV$1,FALSE)*$Z443</f>
        <v>1.9675766756766822</v>
      </c>
      <c r="AW443" s="3">
        <f>VLOOKUP($AB443,'2000 Seattle Tracts'!$C$2:$Y$374,AW$1,FALSE)*$Z443</f>
        <v>50.594828803114687</v>
      </c>
      <c r="AX443" s="3">
        <f>VLOOKUP($AB443,'2000 Seattle Tracts'!$C$2:$Y$374,AX$1,FALSE)*$Z443</f>
        <v>31.200144428587389</v>
      </c>
    </row>
    <row r="444" spans="1:50" x14ac:dyDescent="0.25">
      <c r="A444" t="s">
        <v>2917</v>
      </c>
      <c r="B444" t="s">
        <v>2918</v>
      </c>
      <c r="C444" t="s">
        <v>3056</v>
      </c>
      <c r="D444" t="s">
        <v>2698</v>
      </c>
      <c r="E444" t="s">
        <v>2699</v>
      </c>
      <c r="F444" t="s">
        <v>2700</v>
      </c>
      <c r="G444" t="s">
        <v>2920</v>
      </c>
      <c r="H444" t="s">
        <v>2921</v>
      </c>
      <c r="I444">
        <v>2464009</v>
      </c>
      <c r="J444">
        <v>0</v>
      </c>
      <c r="K444" t="s">
        <v>3495</v>
      </c>
      <c r="L444" t="s">
        <v>3496</v>
      </c>
      <c r="M444">
        <v>40</v>
      </c>
      <c r="N444">
        <v>26489.241999999998</v>
      </c>
      <c r="O444" t="s">
        <v>122</v>
      </c>
      <c r="P444">
        <v>4</v>
      </c>
      <c r="Q444">
        <v>5</v>
      </c>
      <c r="R444">
        <v>95</v>
      </c>
      <c r="S444">
        <v>19051776</v>
      </c>
      <c r="T444">
        <v>42</v>
      </c>
      <c r="U444">
        <v>136</v>
      </c>
      <c r="V444">
        <v>26489.242232173649</v>
      </c>
      <c r="W444">
        <v>19051776.818690982</v>
      </c>
      <c r="X444">
        <v>5341.9589999999998</v>
      </c>
      <c r="Y444">
        <f>VLOOKUP(AB444,'2000 Seattle Tracts'!$C$2:$Z$374,24,FALSE)</f>
        <v>2464003.8820000002</v>
      </c>
      <c r="Z444">
        <f t="shared" si="12"/>
        <v>2.1679994252541521E-3</v>
      </c>
      <c r="AA444" t="s">
        <v>131</v>
      </c>
      <c r="AB444" t="str">
        <f t="shared" si="13"/>
        <v>Census Tract 42, King County, Washington</v>
      </c>
      <c r="AC444" s="3">
        <f>VLOOKUP($AB444,'2000 Seattle Tracts'!$C$2:$Y$374,AC$1,FALSE)*$Z444</f>
        <v>15.613931860680403</v>
      </c>
      <c r="AD444" s="3">
        <f>VLOOKUP($AB444,'2000 Seattle Tracts'!$C$2:$Y$374,AD$1,FALSE)*$Z444</f>
        <v>13.508804418758622</v>
      </c>
      <c r="AE444" s="3">
        <f>VLOOKUP($AB444,'2000 Seattle Tracts'!$C$2:$Y$374,AE$1,FALSE)*$Z444</f>
        <v>2.1051274419217818</v>
      </c>
      <c r="AF444" s="3">
        <f>VLOOKUP($AB444,'2000 Seattle Tracts'!$C$2:$Y$374,AF$1,FALSE)*$Z444</f>
        <v>15.613931860680403</v>
      </c>
      <c r="AG444" s="3">
        <f>VLOOKUP($AB444,'2000 Seattle Tracts'!$C$2:$Y$374,AG$1,FALSE)*$Z444</f>
        <v>13.508804418758622</v>
      </c>
      <c r="AH444" s="3">
        <f>VLOOKUP($AB444,'2000 Seattle Tracts'!$C$2:$Y$374,AH$1,FALSE)*$Z444</f>
        <v>2.1051274419217818</v>
      </c>
      <c r="AI444" s="3">
        <f>VLOOKUP($AB444,'2000 Seattle Tracts'!$C$2:$Y$374,AI$1,FALSE)*$Z444</f>
        <v>11.960852829127157</v>
      </c>
      <c r="AJ444" s="3">
        <f>VLOOKUP($AB444,'2000 Seattle Tracts'!$C$2:$Y$374,AJ$1,FALSE)*$Z444</f>
        <v>1.0818317132018218</v>
      </c>
      <c r="AK444" s="3">
        <f>VLOOKUP($AB444,'2000 Seattle Tracts'!$C$2:$Y$374,AK$1,FALSE)*$Z444</f>
        <v>0.2037919459738903</v>
      </c>
      <c r="AL444" s="3">
        <f>VLOOKUP($AB444,'2000 Seattle Tracts'!$C$2:$Y$374,AL$1,FALSE)*$Z444</f>
        <v>0.14091996264151987</v>
      </c>
      <c r="AM444" s="3">
        <f>VLOOKUP($AB444,'2000 Seattle Tracts'!$C$2:$Y$374,AM$1,FALSE)*$Z444</f>
        <v>0.35771990516693508</v>
      </c>
      <c r="AN444" s="3">
        <f>VLOOKUP($AB444,'2000 Seattle Tracts'!$C$2:$Y$374,AN$1,FALSE)*$Z444</f>
        <v>5.8535984481862105E-2</v>
      </c>
      <c r="AO444" s="3">
        <f>VLOOKUP($AB444,'2000 Seattle Tracts'!$C$2:$Y$374,AO$1,FALSE)*$Z444</f>
        <v>8.6719977010166083E-3</v>
      </c>
      <c r="AP444" s="3">
        <f>VLOOKUP($AB444,'2000 Seattle Tracts'!$C$2:$Y$374,AP$1,FALSE)*$Z444</f>
        <v>0</v>
      </c>
      <c r="AQ444" s="3">
        <f>VLOOKUP($AB444,'2000 Seattle Tracts'!$C$2:$Y$374,AQ$1,FALSE)*$Z444</f>
        <v>0.43359988505083041</v>
      </c>
      <c r="AR444" s="3">
        <f>VLOOKUP($AB444,'2000 Seattle Tracts'!$C$2:$Y$374,AR$1,FALSE)*$Z444</f>
        <v>0.52682386033675899</v>
      </c>
      <c r="AS444" s="3">
        <f>VLOOKUP($AB444,'2000 Seattle Tracts'!$C$2:$Y$374,AS$1,FALSE)*$Z444</f>
        <v>0.11707196896372421</v>
      </c>
      <c r="AT444" s="3">
        <f>VLOOKUP($AB444,'2000 Seattle Tracts'!$C$2:$Y$374,AT$1,FALSE)*$Z444</f>
        <v>4.1191989079828892E-2</v>
      </c>
      <c r="AU444" s="3">
        <f>VLOOKUP($AB444,'2000 Seattle Tracts'!$C$2:$Y$374,AU$1,FALSE)*$Z444</f>
        <v>3.6855990229320588E-2</v>
      </c>
      <c r="AV444" s="3">
        <f>VLOOKUP($AB444,'2000 Seattle Tracts'!$C$2:$Y$374,AV$1,FALSE)*$Z444</f>
        <v>1.5175995976779065E-2</v>
      </c>
      <c r="AW444" s="3">
        <f>VLOOKUP($AB444,'2000 Seattle Tracts'!$C$2:$Y$374,AW$1,FALSE)*$Z444</f>
        <v>0.39023989654574737</v>
      </c>
      <c r="AX444" s="3">
        <f>VLOOKUP($AB444,'2000 Seattle Tracts'!$C$2:$Y$374,AX$1,FALSE)*$Z444</f>
        <v>0.24064793620321087</v>
      </c>
    </row>
    <row r="445" spans="1:50" x14ac:dyDescent="0.25">
      <c r="A445" t="s">
        <v>2917</v>
      </c>
      <c r="B445" t="s">
        <v>2918</v>
      </c>
      <c r="C445" t="s">
        <v>3056</v>
      </c>
      <c r="D445" t="s">
        <v>2698</v>
      </c>
      <c r="E445" t="s">
        <v>2699</v>
      </c>
      <c r="F445" t="s">
        <v>2700</v>
      </c>
      <c r="G445" t="s">
        <v>2920</v>
      </c>
      <c r="H445" t="s">
        <v>2921</v>
      </c>
      <c r="I445">
        <v>2464009</v>
      </c>
      <c r="J445">
        <v>0</v>
      </c>
      <c r="K445" t="s">
        <v>3495</v>
      </c>
      <c r="L445" t="s">
        <v>3496</v>
      </c>
      <c r="M445">
        <v>42</v>
      </c>
      <c r="N445">
        <v>41446.940999999999</v>
      </c>
      <c r="O445" t="s">
        <v>134</v>
      </c>
      <c r="P445">
        <v>5</v>
      </c>
      <c r="Q445">
        <v>12</v>
      </c>
      <c r="R445">
        <v>33</v>
      </c>
      <c r="S445">
        <v>49348388</v>
      </c>
      <c r="T445">
        <v>44</v>
      </c>
      <c r="U445">
        <v>139</v>
      </c>
      <c r="V445">
        <v>41446.941321259314</v>
      </c>
      <c r="W445">
        <v>49348387.058142804</v>
      </c>
      <c r="X445">
        <v>526.42899999999997</v>
      </c>
      <c r="Y445">
        <f>VLOOKUP(AB445,'2000 Seattle Tracts'!$C$2:$Z$374,24,FALSE)</f>
        <v>2464003.8820000002</v>
      </c>
      <c r="Z445">
        <f t="shared" si="12"/>
        <v>2.1364779651755433E-4</v>
      </c>
      <c r="AA445" t="s">
        <v>133</v>
      </c>
      <c r="AB445" t="str">
        <f t="shared" si="13"/>
        <v>Census Tract 42, King County, Washington</v>
      </c>
      <c r="AC445" s="3">
        <f>VLOOKUP($AB445,'2000 Seattle Tracts'!$C$2:$Y$374,AC$1,FALSE)*$Z445</f>
        <v>1.5386914305194264</v>
      </c>
      <c r="AD445" s="3">
        <f>VLOOKUP($AB445,'2000 Seattle Tracts'!$C$2:$Y$374,AD$1,FALSE)*$Z445</f>
        <v>1.331239420100881</v>
      </c>
      <c r="AE445" s="3">
        <f>VLOOKUP($AB445,'2000 Seattle Tracts'!$C$2:$Y$374,AE$1,FALSE)*$Z445</f>
        <v>0.20745201041854525</v>
      </c>
      <c r="AF445" s="3">
        <f>VLOOKUP($AB445,'2000 Seattle Tracts'!$C$2:$Y$374,AF$1,FALSE)*$Z445</f>
        <v>1.5386914305194264</v>
      </c>
      <c r="AG445" s="3">
        <f>VLOOKUP($AB445,'2000 Seattle Tracts'!$C$2:$Y$374,AG$1,FALSE)*$Z445</f>
        <v>1.331239420100881</v>
      </c>
      <c r="AH445" s="3">
        <f>VLOOKUP($AB445,'2000 Seattle Tracts'!$C$2:$Y$374,AH$1,FALSE)*$Z445</f>
        <v>0.20745201041854525</v>
      </c>
      <c r="AI445" s="3">
        <f>VLOOKUP($AB445,'2000 Seattle Tracts'!$C$2:$Y$374,AI$1,FALSE)*$Z445</f>
        <v>1.1786948933873473</v>
      </c>
      <c r="AJ445" s="3">
        <f>VLOOKUP($AB445,'2000 Seattle Tracts'!$C$2:$Y$374,AJ$1,FALSE)*$Z445</f>
        <v>0.10661025046225961</v>
      </c>
      <c r="AK445" s="3">
        <f>VLOOKUP($AB445,'2000 Seattle Tracts'!$C$2:$Y$374,AK$1,FALSE)*$Z445</f>
        <v>2.0082892872650106E-2</v>
      </c>
      <c r="AL445" s="3">
        <f>VLOOKUP($AB445,'2000 Seattle Tracts'!$C$2:$Y$374,AL$1,FALSE)*$Z445</f>
        <v>1.3887106773641031E-2</v>
      </c>
      <c r="AM445" s="3">
        <f>VLOOKUP($AB445,'2000 Seattle Tracts'!$C$2:$Y$374,AM$1,FALSE)*$Z445</f>
        <v>3.5251886425396464E-2</v>
      </c>
      <c r="AN445" s="3">
        <f>VLOOKUP($AB445,'2000 Seattle Tracts'!$C$2:$Y$374,AN$1,FALSE)*$Z445</f>
        <v>5.768490505973967E-3</v>
      </c>
      <c r="AO445" s="3">
        <f>VLOOKUP($AB445,'2000 Seattle Tracts'!$C$2:$Y$374,AO$1,FALSE)*$Z445</f>
        <v>8.5459118607021732E-4</v>
      </c>
      <c r="AP445" s="3">
        <f>VLOOKUP($AB445,'2000 Seattle Tracts'!$C$2:$Y$374,AP$1,FALSE)*$Z445</f>
        <v>0</v>
      </c>
      <c r="AQ445" s="3">
        <f>VLOOKUP($AB445,'2000 Seattle Tracts'!$C$2:$Y$374,AQ$1,FALSE)*$Z445</f>
        <v>4.2729559303510863E-2</v>
      </c>
      <c r="AR445" s="3">
        <f>VLOOKUP($AB445,'2000 Seattle Tracts'!$C$2:$Y$374,AR$1,FALSE)*$Z445</f>
        <v>5.1916414553765701E-2</v>
      </c>
      <c r="AS445" s="3">
        <f>VLOOKUP($AB445,'2000 Seattle Tracts'!$C$2:$Y$374,AS$1,FALSE)*$Z445</f>
        <v>1.1536981011947934E-2</v>
      </c>
      <c r="AT445" s="3">
        <f>VLOOKUP($AB445,'2000 Seattle Tracts'!$C$2:$Y$374,AT$1,FALSE)*$Z445</f>
        <v>4.0593081338335321E-3</v>
      </c>
      <c r="AU445" s="3">
        <f>VLOOKUP($AB445,'2000 Seattle Tracts'!$C$2:$Y$374,AU$1,FALSE)*$Z445</f>
        <v>3.6320125407984234E-3</v>
      </c>
      <c r="AV445" s="3">
        <f>VLOOKUP($AB445,'2000 Seattle Tracts'!$C$2:$Y$374,AV$1,FALSE)*$Z445</f>
        <v>1.4955345756228803E-3</v>
      </c>
      <c r="AW445" s="3">
        <f>VLOOKUP($AB445,'2000 Seattle Tracts'!$C$2:$Y$374,AW$1,FALSE)*$Z445</f>
        <v>3.845660337315978E-2</v>
      </c>
      <c r="AX445" s="3">
        <f>VLOOKUP($AB445,'2000 Seattle Tracts'!$C$2:$Y$374,AX$1,FALSE)*$Z445</f>
        <v>2.371490541344853E-2</v>
      </c>
    </row>
    <row r="446" spans="1:50" x14ac:dyDescent="0.25">
      <c r="A446" t="s">
        <v>2917</v>
      </c>
      <c r="B446" t="s">
        <v>2918</v>
      </c>
      <c r="C446" t="s">
        <v>3053</v>
      </c>
      <c r="D446" t="s">
        <v>2701</v>
      </c>
      <c r="E446" t="s">
        <v>2702</v>
      </c>
      <c r="F446" t="s">
        <v>2703</v>
      </c>
      <c r="G446" t="s">
        <v>2920</v>
      </c>
      <c r="H446" t="s">
        <v>2921</v>
      </c>
      <c r="I446">
        <v>3267563</v>
      </c>
      <c r="J446">
        <v>5654701</v>
      </c>
      <c r="K446" t="s">
        <v>3497</v>
      </c>
      <c r="L446" t="s">
        <v>3498</v>
      </c>
      <c r="M446">
        <v>37</v>
      </c>
      <c r="N446">
        <v>21396.695</v>
      </c>
      <c r="O446" t="s">
        <v>122</v>
      </c>
      <c r="P446">
        <v>4</v>
      </c>
      <c r="Q446">
        <v>5</v>
      </c>
      <c r="R446">
        <v>19</v>
      </c>
      <c r="S446">
        <v>19249858</v>
      </c>
      <c r="T446">
        <v>39</v>
      </c>
      <c r="U446">
        <v>196</v>
      </c>
      <c r="V446">
        <v>21396.695800864782</v>
      </c>
      <c r="W446">
        <v>19249857.13974366</v>
      </c>
      <c r="X446">
        <v>13392.329</v>
      </c>
      <c r="Y446">
        <f>VLOOKUP(AB446,'2000 Seattle Tracts'!$C$2:$Z$374,24,FALSE)</f>
        <v>3202027.6320000002</v>
      </c>
      <c r="Z446">
        <f t="shared" si="12"/>
        <v>4.1824526641061786E-3</v>
      </c>
      <c r="AA446" t="s">
        <v>128</v>
      </c>
      <c r="AB446" t="str">
        <f t="shared" si="13"/>
        <v>Census Tract 41, King County, Washington</v>
      </c>
      <c r="AC446" s="3">
        <f>VLOOKUP($AB446,'2000 Seattle Tracts'!$C$2:$Y$374,AC$1,FALSE)*$Z446</f>
        <v>31.389307244116871</v>
      </c>
      <c r="AD446" s="3">
        <f>VLOOKUP($AB446,'2000 Seattle Tracts'!$C$2:$Y$374,AD$1,FALSE)*$Z446</f>
        <v>27.169212506033737</v>
      </c>
      <c r="AE446" s="3">
        <f>VLOOKUP($AB446,'2000 Seattle Tracts'!$C$2:$Y$374,AE$1,FALSE)*$Z446</f>
        <v>4.2200947380831346</v>
      </c>
      <c r="AF446" s="3">
        <f>VLOOKUP($AB446,'2000 Seattle Tracts'!$C$2:$Y$374,AF$1,FALSE)*$Z446</f>
        <v>31.389307244116871</v>
      </c>
      <c r="AG446" s="3">
        <f>VLOOKUP($AB446,'2000 Seattle Tracts'!$C$2:$Y$374,AG$1,FALSE)*$Z446</f>
        <v>27.169212506033737</v>
      </c>
      <c r="AH446" s="3">
        <f>VLOOKUP($AB446,'2000 Seattle Tracts'!$C$2:$Y$374,AH$1,FALSE)*$Z446</f>
        <v>4.2200947380831346</v>
      </c>
      <c r="AI446" s="3">
        <f>VLOOKUP($AB446,'2000 Seattle Tracts'!$C$2:$Y$374,AI$1,FALSE)*$Z446</f>
        <v>25.006884478690843</v>
      </c>
      <c r="AJ446" s="3">
        <f>VLOOKUP($AB446,'2000 Seattle Tracts'!$C$2:$Y$374,AJ$1,FALSE)*$Z446</f>
        <v>1.8319142668785062</v>
      </c>
      <c r="AK446" s="3">
        <f>VLOOKUP($AB446,'2000 Seattle Tracts'!$C$2:$Y$374,AK$1,FALSE)*$Z446</f>
        <v>0.14638584324371626</v>
      </c>
      <c r="AL446" s="3">
        <f>VLOOKUP($AB446,'2000 Seattle Tracts'!$C$2:$Y$374,AL$1,FALSE)*$Z446</f>
        <v>0.26767697050279543</v>
      </c>
      <c r="AM446" s="3">
        <f>VLOOKUP($AB446,'2000 Seattle Tracts'!$C$2:$Y$374,AM$1,FALSE)*$Z446</f>
        <v>0.30950149714385722</v>
      </c>
      <c r="AN446" s="3">
        <f>VLOOKUP($AB446,'2000 Seattle Tracts'!$C$2:$Y$374,AN$1,FALSE)*$Z446</f>
        <v>0.1589332012360348</v>
      </c>
      <c r="AO446" s="3">
        <f>VLOOKUP($AB446,'2000 Seattle Tracts'!$C$2:$Y$374,AO$1,FALSE)*$Z446</f>
        <v>0.16729810656424715</v>
      </c>
      <c r="AP446" s="3">
        <f>VLOOKUP($AB446,'2000 Seattle Tracts'!$C$2:$Y$374,AP$1,FALSE)*$Z446</f>
        <v>0</v>
      </c>
      <c r="AQ446" s="3">
        <f>VLOOKUP($AB446,'2000 Seattle Tracts'!$C$2:$Y$374,AQ$1,FALSE)*$Z446</f>
        <v>0.72356431089036888</v>
      </c>
      <c r="AR446" s="3">
        <f>VLOOKUP($AB446,'2000 Seattle Tracts'!$C$2:$Y$374,AR$1,FALSE)*$Z446</f>
        <v>1.7440827609322764</v>
      </c>
      <c r="AS446" s="3">
        <f>VLOOKUP($AB446,'2000 Seattle Tracts'!$C$2:$Y$374,AS$1,FALSE)*$Z446</f>
        <v>0</v>
      </c>
      <c r="AT446" s="3">
        <f>VLOOKUP($AB446,'2000 Seattle Tracts'!$C$2:$Y$374,AT$1,FALSE)*$Z446</f>
        <v>0</v>
      </c>
      <c r="AU446" s="3">
        <f>VLOOKUP($AB446,'2000 Seattle Tracts'!$C$2:$Y$374,AU$1,FALSE)*$Z446</f>
        <v>4.6006979305167964E-2</v>
      </c>
      <c r="AV446" s="3">
        <f>VLOOKUP($AB446,'2000 Seattle Tracts'!$C$2:$Y$374,AV$1,FALSE)*$Z446</f>
        <v>0.117108674594973</v>
      </c>
      <c r="AW446" s="3">
        <f>VLOOKUP($AB446,'2000 Seattle Tracts'!$C$2:$Y$374,AW$1,FALSE)*$Z446</f>
        <v>0.76957129019553683</v>
      </c>
      <c r="AX446" s="3">
        <f>VLOOKUP($AB446,'2000 Seattle Tracts'!$C$2:$Y$374,AX$1,FALSE)*$Z446</f>
        <v>0.10037886393854828</v>
      </c>
    </row>
    <row r="447" spans="1:50" x14ac:dyDescent="0.25">
      <c r="A447" t="s">
        <v>2917</v>
      </c>
      <c r="B447" t="s">
        <v>2918</v>
      </c>
      <c r="C447" t="s">
        <v>3053</v>
      </c>
      <c r="D447" t="s">
        <v>2701</v>
      </c>
      <c r="E447" t="s">
        <v>2702</v>
      </c>
      <c r="F447" t="s">
        <v>2703</v>
      </c>
      <c r="G447" t="s">
        <v>2920</v>
      </c>
      <c r="H447" t="s">
        <v>2921</v>
      </c>
      <c r="I447">
        <v>3267563</v>
      </c>
      <c r="J447">
        <v>5654701</v>
      </c>
      <c r="K447" t="s">
        <v>3497</v>
      </c>
      <c r="L447" t="s">
        <v>3498</v>
      </c>
      <c r="M447">
        <v>38</v>
      </c>
      <c r="N447">
        <v>20928.002</v>
      </c>
      <c r="O447" t="s">
        <v>122</v>
      </c>
      <c r="P447">
        <v>4</v>
      </c>
      <c r="Q447">
        <v>5</v>
      </c>
      <c r="R447">
        <v>24</v>
      </c>
      <c r="S447">
        <v>15485078</v>
      </c>
      <c r="T447">
        <v>40</v>
      </c>
      <c r="U447">
        <v>128</v>
      </c>
      <c r="V447">
        <v>20928.00172430617</v>
      </c>
      <c r="W447">
        <v>15485078.03322144</v>
      </c>
      <c r="X447">
        <v>635.36599999999999</v>
      </c>
      <c r="Y447">
        <f>VLOOKUP(AB447,'2000 Seattle Tracts'!$C$2:$Z$374,24,FALSE)</f>
        <v>3202027.6320000002</v>
      </c>
      <c r="Z447">
        <f t="shared" si="12"/>
        <v>1.9842614524945485E-4</v>
      </c>
      <c r="AA447" t="s">
        <v>129</v>
      </c>
      <c r="AB447" t="str">
        <f t="shared" si="13"/>
        <v>Census Tract 41, King County, Washington</v>
      </c>
      <c r="AC447" s="3">
        <f>VLOOKUP($AB447,'2000 Seattle Tracts'!$C$2:$Y$374,AC$1,FALSE)*$Z447</f>
        <v>1.4891882200971587</v>
      </c>
      <c r="AD447" s="3">
        <f>VLOOKUP($AB447,'2000 Seattle Tracts'!$C$2:$Y$374,AD$1,FALSE)*$Z447</f>
        <v>1.2889762395404587</v>
      </c>
      <c r="AE447" s="3">
        <f>VLOOKUP($AB447,'2000 Seattle Tracts'!$C$2:$Y$374,AE$1,FALSE)*$Z447</f>
        <v>0.20021198055669995</v>
      </c>
      <c r="AF447" s="3">
        <f>VLOOKUP($AB447,'2000 Seattle Tracts'!$C$2:$Y$374,AF$1,FALSE)*$Z447</f>
        <v>1.4891882200971587</v>
      </c>
      <c r="AG447" s="3">
        <f>VLOOKUP($AB447,'2000 Seattle Tracts'!$C$2:$Y$374,AG$1,FALSE)*$Z447</f>
        <v>1.2889762395404587</v>
      </c>
      <c r="AH447" s="3">
        <f>VLOOKUP($AB447,'2000 Seattle Tracts'!$C$2:$Y$374,AH$1,FALSE)*$Z447</f>
        <v>0.20021198055669995</v>
      </c>
      <c r="AI447" s="3">
        <f>VLOOKUP($AB447,'2000 Seattle Tracts'!$C$2:$Y$374,AI$1,FALSE)*$Z447</f>
        <v>1.1863899224464907</v>
      </c>
      <c r="AJ447" s="3">
        <f>VLOOKUP($AB447,'2000 Seattle Tracts'!$C$2:$Y$374,AJ$1,FALSE)*$Z447</f>
        <v>8.6910651619261231E-2</v>
      </c>
      <c r="AK447" s="3">
        <f>VLOOKUP($AB447,'2000 Seattle Tracts'!$C$2:$Y$374,AK$1,FALSE)*$Z447</f>
        <v>6.9449150837309201E-3</v>
      </c>
      <c r="AL447" s="3">
        <f>VLOOKUP($AB447,'2000 Seattle Tracts'!$C$2:$Y$374,AL$1,FALSE)*$Z447</f>
        <v>1.2699273295965111E-2</v>
      </c>
      <c r="AM447" s="3">
        <f>VLOOKUP($AB447,'2000 Seattle Tracts'!$C$2:$Y$374,AM$1,FALSE)*$Z447</f>
        <v>1.4683534748459659E-2</v>
      </c>
      <c r="AN447" s="3">
        <f>VLOOKUP($AB447,'2000 Seattle Tracts'!$C$2:$Y$374,AN$1,FALSE)*$Z447</f>
        <v>7.5401935194792848E-3</v>
      </c>
      <c r="AO447" s="3">
        <f>VLOOKUP($AB447,'2000 Seattle Tracts'!$C$2:$Y$374,AO$1,FALSE)*$Z447</f>
        <v>7.9370458099781941E-3</v>
      </c>
      <c r="AP447" s="3">
        <f>VLOOKUP($AB447,'2000 Seattle Tracts'!$C$2:$Y$374,AP$1,FALSE)*$Z447</f>
        <v>0</v>
      </c>
      <c r="AQ447" s="3">
        <f>VLOOKUP($AB447,'2000 Seattle Tracts'!$C$2:$Y$374,AQ$1,FALSE)*$Z447</f>
        <v>3.4327723128155692E-2</v>
      </c>
      <c r="AR447" s="3">
        <f>VLOOKUP($AB447,'2000 Seattle Tracts'!$C$2:$Y$374,AR$1,FALSE)*$Z447</f>
        <v>8.2743702569022679E-2</v>
      </c>
      <c r="AS447" s="3">
        <f>VLOOKUP($AB447,'2000 Seattle Tracts'!$C$2:$Y$374,AS$1,FALSE)*$Z447</f>
        <v>0</v>
      </c>
      <c r="AT447" s="3">
        <f>VLOOKUP($AB447,'2000 Seattle Tracts'!$C$2:$Y$374,AT$1,FALSE)*$Z447</f>
        <v>0</v>
      </c>
      <c r="AU447" s="3">
        <f>VLOOKUP($AB447,'2000 Seattle Tracts'!$C$2:$Y$374,AU$1,FALSE)*$Z447</f>
        <v>2.1826875977440036E-3</v>
      </c>
      <c r="AV447" s="3">
        <f>VLOOKUP($AB447,'2000 Seattle Tracts'!$C$2:$Y$374,AV$1,FALSE)*$Z447</f>
        <v>5.5559320669847359E-3</v>
      </c>
      <c r="AW447" s="3">
        <f>VLOOKUP($AB447,'2000 Seattle Tracts'!$C$2:$Y$374,AW$1,FALSE)*$Z447</f>
        <v>3.6510410725899695E-2</v>
      </c>
      <c r="AX447" s="3">
        <f>VLOOKUP($AB447,'2000 Seattle Tracts'!$C$2:$Y$374,AX$1,FALSE)*$Z447</f>
        <v>4.7622274859869165E-3</v>
      </c>
    </row>
    <row r="448" spans="1:50" x14ac:dyDescent="0.25">
      <c r="A448" t="s">
        <v>2917</v>
      </c>
      <c r="B448" t="s">
        <v>2918</v>
      </c>
      <c r="C448" t="s">
        <v>3053</v>
      </c>
      <c r="D448" t="s">
        <v>2701</v>
      </c>
      <c r="E448" t="s">
        <v>2702</v>
      </c>
      <c r="F448" t="s">
        <v>2703</v>
      </c>
      <c r="G448" t="s">
        <v>2920</v>
      </c>
      <c r="H448" t="s">
        <v>2921</v>
      </c>
      <c r="I448">
        <v>3267563</v>
      </c>
      <c r="J448">
        <v>5654701</v>
      </c>
      <c r="K448" t="s">
        <v>3497</v>
      </c>
      <c r="L448" t="s">
        <v>3498</v>
      </c>
      <c r="M448">
        <v>39</v>
      </c>
      <c r="N448">
        <v>33332.828000000001</v>
      </c>
      <c r="O448" t="s">
        <v>122</v>
      </c>
      <c r="P448">
        <v>4</v>
      </c>
      <c r="Q448">
        <v>5</v>
      </c>
      <c r="R448">
        <v>23</v>
      </c>
      <c r="S448">
        <v>22363966</v>
      </c>
      <c r="T448">
        <v>41</v>
      </c>
      <c r="U448">
        <v>131</v>
      </c>
      <c r="V448">
        <v>33332.829196830411</v>
      </c>
      <c r="W448">
        <v>22363966.623789791</v>
      </c>
      <c r="X448">
        <v>1378243.233</v>
      </c>
      <c r="Y448">
        <f>VLOOKUP(AB448,'2000 Seattle Tracts'!$C$2:$Z$374,24,FALSE)</f>
        <v>3202027.6320000002</v>
      </c>
      <c r="Z448">
        <f t="shared" si="12"/>
        <v>0.43042827589190519</v>
      </c>
      <c r="AA448" t="s">
        <v>130</v>
      </c>
      <c r="AB448" t="str">
        <f t="shared" si="13"/>
        <v>Census Tract 41, King County, Washington</v>
      </c>
      <c r="AC448" s="3">
        <f>VLOOKUP($AB448,'2000 Seattle Tracts'!$C$2:$Y$374,AC$1,FALSE)*$Z448</f>
        <v>3230.3642105687486</v>
      </c>
      <c r="AD448" s="3">
        <f>VLOOKUP($AB448,'2000 Seattle Tracts'!$C$2:$Y$374,AD$1,FALSE)*$Z448</f>
        <v>2796.0620801938162</v>
      </c>
      <c r="AE448" s="3">
        <f>VLOOKUP($AB448,'2000 Seattle Tracts'!$C$2:$Y$374,AE$1,FALSE)*$Z448</f>
        <v>434.30213037493235</v>
      </c>
      <c r="AF448" s="3">
        <f>VLOOKUP($AB448,'2000 Seattle Tracts'!$C$2:$Y$374,AF$1,FALSE)*$Z448</f>
        <v>3230.3642105687486</v>
      </c>
      <c r="AG448" s="3">
        <f>VLOOKUP($AB448,'2000 Seattle Tracts'!$C$2:$Y$374,AG$1,FALSE)*$Z448</f>
        <v>2796.0620801938162</v>
      </c>
      <c r="AH448" s="3">
        <f>VLOOKUP($AB448,'2000 Seattle Tracts'!$C$2:$Y$374,AH$1,FALSE)*$Z448</f>
        <v>434.30213037493235</v>
      </c>
      <c r="AI448" s="3">
        <f>VLOOKUP($AB448,'2000 Seattle Tracts'!$C$2:$Y$374,AI$1,FALSE)*$Z448</f>
        <v>2573.530661557701</v>
      </c>
      <c r="AJ448" s="3">
        <f>VLOOKUP($AB448,'2000 Seattle Tracts'!$C$2:$Y$374,AJ$1,FALSE)*$Z448</f>
        <v>188.52758484065447</v>
      </c>
      <c r="AK448" s="3">
        <f>VLOOKUP($AB448,'2000 Seattle Tracts'!$C$2:$Y$374,AK$1,FALSE)*$Z448</f>
        <v>15.064989656216682</v>
      </c>
      <c r="AL448" s="3">
        <f>VLOOKUP($AB448,'2000 Seattle Tracts'!$C$2:$Y$374,AL$1,FALSE)*$Z448</f>
        <v>27.547409657081932</v>
      </c>
      <c r="AM448" s="3">
        <f>VLOOKUP($AB448,'2000 Seattle Tracts'!$C$2:$Y$374,AM$1,FALSE)*$Z448</f>
        <v>31.851692416000983</v>
      </c>
      <c r="AN448" s="3">
        <f>VLOOKUP($AB448,'2000 Seattle Tracts'!$C$2:$Y$374,AN$1,FALSE)*$Z448</f>
        <v>16.356274483892395</v>
      </c>
      <c r="AO448" s="3">
        <f>VLOOKUP($AB448,'2000 Seattle Tracts'!$C$2:$Y$374,AO$1,FALSE)*$Z448</f>
        <v>17.217131035676207</v>
      </c>
      <c r="AP448" s="3">
        <f>VLOOKUP($AB448,'2000 Seattle Tracts'!$C$2:$Y$374,AP$1,FALSE)*$Z448</f>
        <v>0</v>
      </c>
      <c r="AQ448" s="3">
        <f>VLOOKUP($AB448,'2000 Seattle Tracts'!$C$2:$Y$374,AQ$1,FALSE)*$Z448</f>
        <v>74.464091729299597</v>
      </c>
      <c r="AR448" s="3">
        <f>VLOOKUP($AB448,'2000 Seattle Tracts'!$C$2:$Y$374,AR$1,FALSE)*$Z448</f>
        <v>179.48859104692445</v>
      </c>
      <c r="AS448" s="3">
        <f>VLOOKUP($AB448,'2000 Seattle Tracts'!$C$2:$Y$374,AS$1,FALSE)*$Z448</f>
        <v>0</v>
      </c>
      <c r="AT448" s="3">
        <f>VLOOKUP($AB448,'2000 Seattle Tracts'!$C$2:$Y$374,AT$1,FALSE)*$Z448</f>
        <v>0</v>
      </c>
      <c r="AU448" s="3">
        <f>VLOOKUP($AB448,'2000 Seattle Tracts'!$C$2:$Y$374,AU$1,FALSE)*$Z448</f>
        <v>4.7347110348109567</v>
      </c>
      <c r="AV448" s="3">
        <f>VLOOKUP($AB448,'2000 Seattle Tracts'!$C$2:$Y$374,AV$1,FALSE)*$Z448</f>
        <v>12.051991724973345</v>
      </c>
      <c r="AW448" s="3">
        <f>VLOOKUP($AB448,'2000 Seattle Tracts'!$C$2:$Y$374,AW$1,FALSE)*$Z448</f>
        <v>79.198802764110553</v>
      </c>
      <c r="AX448" s="3">
        <f>VLOOKUP($AB448,'2000 Seattle Tracts'!$C$2:$Y$374,AX$1,FALSE)*$Z448</f>
        <v>10.330278621405725</v>
      </c>
    </row>
    <row r="449" spans="1:50" x14ac:dyDescent="0.25">
      <c r="A449" t="s">
        <v>2917</v>
      </c>
      <c r="B449" t="s">
        <v>2918</v>
      </c>
      <c r="C449" t="s">
        <v>3053</v>
      </c>
      <c r="D449" t="s">
        <v>2701</v>
      </c>
      <c r="E449" t="s">
        <v>2702</v>
      </c>
      <c r="F449" t="s">
        <v>2703</v>
      </c>
      <c r="G449" t="s">
        <v>2920</v>
      </c>
      <c r="H449" t="s">
        <v>2921</v>
      </c>
      <c r="I449">
        <v>3267563</v>
      </c>
      <c r="J449">
        <v>5654701</v>
      </c>
      <c r="K449" t="s">
        <v>3497</v>
      </c>
      <c r="L449" t="s">
        <v>3498</v>
      </c>
      <c r="M449">
        <v>40</v>
      </c>
      <c r="N449">
        <v>26489.241999999998</v>
      </c>
      <c r="O449" t="s">
        <v>122</v>
      </c>
      <c r="P449">
        <v>4</v>
      </c>
      <c r="Q449">
        <v>5</v>
      </c>
      <c r="R449">
        <v>95</v>
      </c>
      <c r="S449">
        <v>19051776</v>
      </c>
      <c r="T449">
        <v>42</v>
      </c>
      <c r="U449">
        <v>136</v>
      </c>
      <c r="V449">
        <v>26489.242232173649</v>
      </c>
      <c r="W449">
        <v>19051776.818690982</v>
      </c>
      <c r="X449">
        <v>1755336.91</v>
      </c>
      <c r="Y449">
        <f>VLOOKUP(AB449,'2000 Seattle Tracts'!$C$2:$Z$374,24,FALSE)</f>
        <v>3202027.6320000002</v>
      </c>
      <c r="Z449">
        <f t="shared" si="12"/>
        <v>0.54819542856462145</v>
      </c>
      <c r="AA449" t="s">
        <v>131</v>
      </c>
      <c r="AB449" t="str">
        <f t="shared" si="13"/>
        <v>Census Tract 41, King County, Washington</v>
      </c>
      <c r="AC449" s="3">
        <f>VLOOKUP($AB449,'2000 Seattle Tracts'!$C$2:$Y$374,AC$1,FALSE)*$Z449</f>
        <v>4114.2066913774843</v>
      </c>
      <c r="AD449" s="3">
        <f>VLOOKUP($AB449,'2000 Seattle Tracts'!$C$2:$Y$374,AD$1,FALSE)*$Z449</f>
        <v>3561.0775039557807</v>
      </c>
      <c r="AE449" s="3">
        <f>VLOOKUP($AB449,'2000 Seattle Tracts'!$C$2:$Y$374,AE$1,FALSE)*$Z449</f>
        <v>553.12918742170302</v>
      </c>
      <c r="AF449" s="3">
        <f>VLOOKUP($AB449,'2000 Seattle Tracts'!$C$2:$Y$374,AF$1,FALSE)*$Z449</f>
        <v>4114.2066913774843</v>
      </c>
      <c r="AG449" s="3">
        <f>VLOOKUP($AB449,'2000 Seattle Tracts'!$C$2:$Y$374,AG$1,FALSE)*$Z449</f>
        <v>3561.0775039557807</v>
      </c>
      <c r="AH449" s="3">
        <f>VLOOKUP($AB449,'2000 Seattle Tracts'!$C$2:$Y$374,AH$1,FALSE)*$Z449</f>
        <v>553.12918742170302</v>
      </c>
      <c r="AI449" s="3">
        <f>VLOOKUP($AB449,'2000 Seattle Tracts'!$C$2:$Y$374,AI$1,FALSE)*$Z449</f>
        <v>3277.6604673878714</v>
      </c>
      <c r="AJ449" s="3">
        <f>VLOOKUP($AB449,'2000 Seattle Tracts'!$C$2:$Y$374,AJ$1,FALSE)*$Z449</f>
        <v>240.10959771130419</v>
      </c>
      <c r="AK449" s="3">
        <f>VLOOKUP($AB449,'2000 Seattle Tracts'!$C$2:$Y$374,AK$1,FALSE)*$Z449</f>
        <v>19.186839999761752</v>
      </c>
      <c r="AL449" s="3">
        <f>VLOOKUP($AB449,'2000 Seattle Tracts'!$C$2:$Y$374,AL$1,FALSE)*$Z449</f>
        <v>35.084507428135772</v>
      </c>
      <c r="AM449" s="3">
        <f>VLOOKUP($AB449,'2000 Seattle Tracts'!$C$2:$Y$374,AM$1,FALSE)*$Z449</f>
        <v>40.56646171378199</v>
      </c>
      <c r="AN449" s="3">
        <f>VLOOKUP($AB449,'2000 Seattle Tracts'!$C$2:$Y$374,AN$1,FALSE)*$Z449</f>
        <v>20.831426285455613</v>
      </c>
      <c r="AO449" s="3">
        <f>VLOOKUP($AB449,'2000 Seattle Tracts'!$C$2:$Y$374,AO$1,FALSE)*$Z449</f>
        <v>21.927817142584857</v>
      </c>
      <c r="AP449" s="3">
        <f>VLOOKUP($AB449,'2000 Seattle Tracts'!$C$2:$Y$374,AP$1,FALSE)*$Z449</f>
        <v>0</v>
      </c>
      <c r="AQ449" s="3">
        <f>VLOOKUP($AB449,'2000 Seattle Tracts'!$C$2:$Y$374,AQ$1,FALSE)*$Z449</f>
        <v>94.837809141679514</v>
      </c>
      <c r="AR449" s="3">
        <f>VLOOKUP($AB449,'2000 Seattle Tracts'!$C$2:$Y$374,AR$1,FALSE)*$Z449</f>
        <v>228.59749371144713</v>
      </c>
      <c r="AS449" s="3">
        <f>VLOOKUP($AB449,'2000 Seattle Tracts'!$C$2:$Y$374,AS$1,FALSE)*$Z449</f>
        <v>0</v>
      </c>
      <c r="AT449" s="3">
        <f>VLOOKUP($AB449,'2000 Seattle Tracts'!$C$2:$Y$374,AT$1,FALSE)*$Z449</f>
        <v>0</v>
      </c>
      <c r="AU449" s="3">
        <f>VLOOKUP($AB449,'2000 Seattle Tracts'!$C$2:$Y$374,AU$1,FALSE)*$Z449</f>
        <v>6.030149714210836</v>
      </c>
      <c r="AV449" s="3">
        <f>VLOOKUP($AB449,'2000 Seattle Tracts'!$C$2:$Y$374,AV$1,FALSE)*$Z449</f>
        <v>15.349471999809401</v>
      </c>
      <c r="AW449" s="3">
        <f>VLOOKUP($AB449,'2000 Seattle Tracts'!$C$2:$Y$374,AW$1,FALSE)*$Z449</f>
        <v>100.86795885589035</v>
      </c>
      <c r="AX449" s="3">
        <f>VLOOKUP($AB449,'2000 Seattle Tracts'!$C$2:$Y$374,AX$1,FALSE)*$Z449</f>
        <v>13.156690285550916</v>
      </c>
    </row>
    <row r="450" spans="1:50" x14ac:dyDescent="0.25">
      <c r="A450" t="s">
        <v>2917</v>
      </c>
      <c r="B450" t="s">
        <v>2918</v>
      </c>
      <c r="C450" t="s">
        <v>3053</v>
      </c>
      <c r="D450" t="s">
        <v>2701</v>
      </c>
      <c r="E450" t="s">
        <v>2702</v>
      </c>
      <c r="F450" t="s">
        <v>2703</v>
      </c>
      <c r="G450" t="s">
        <v>2920</v>
      </c>
      <c r="H450" t="s">
        <v>2921</v>
      </c>
      <c r="I450">
        <v>3267563</v>
      </c>
      <c r="J450">
        <v>5654701</v>
      </c>
      <c r="K450" t="s">
        <v>3497</v>
      </c>
      <c r="L450" t="s">
        <v>3498</v>
      </c>
      <c r="M450">
        <v>42</v>
      </c>
      <c r="N450">
        <v>41446.940999999999</v>
      </c>
      <c r="O450" t="s">
        <v>134</v>
      </c>
      <c r="P450">
        <v>5</v>
      </c>
      <c r="Q450">
        <v>12</v>
      </c>
      <c r="R450">
        <v>33</v>
      </c>
      <c r="S450">
        <v>49348388</v>
      </c>
      <c r="T450">
        <v>44</v>
      </c>
      <c r="U450">
        <v>139</v>
      </c>
      <c r="V450">
        <v>41446.941321259314</v>
      </c>
      <c r="W450">
        <v>49348387.058142804</v>
      </c>
      <c r="X450">
        <v>34231.120000000003</v>
      </c>
      <c r="Y450">
        <f>VLOOKUP(AB450,'2000 Seattle Tracts'!$C$2:$Z$374,24,FALSE)</f>
        <v>3202027.6320000002</v>
      </c>
      <c r="Z450">
        <f t="shared" si="12"/>
        <v>1.069045115598178E-2</v>
      </c>
      <c r="AA450" t="s">
        <v>133</v>
      </c>
      <c r="AB450" t="str">
        <f t="shared" si="13"/>
        <v>Census Tract 41, King County, Washington</v>
      </c>
      <c r="AC450" s="3">
        <f>VLOOKUP($AB450,'2000 Seattle Tracts'!$C$2:$Y$374,AC$1,FALSE)*$Z450</f>
        <v>80.231835925643253</v>
      </c>
      <c r="AD450" s="3">
        <f>VLOOKUP($AB450,'2000 Seattle Tracts'!$C$2:$Y$374,AD$1,FALSE)*$Z450</f>
        <v>69.445170709257638</v>
      </c>
      <c r="AE450" s="3">
        <f>VLOOKUP($AB450,'2000 Seattle Tracts'!$C$2:$Y$374,AE$1,FALSE)*$Z450</f>
        <v>10.786665216385616</v>
      </c>
      <c r="AF450" s="3">
        <f>VLOOKUP($AB450,'2000 Seattle Tracts'!$C$2:$Y$374,AF$1,FALSE)*$Z450</f>
        <v>80.231835925643253</v>
      </c>
      <c r="AG450" s="3">
        <f>VLOOKUP($AB450,'2000 Seattle Tracts'!$C$2:$Y$374,AG$1,FALSE)*$Z450</f>
        <v>69.445170709257638</v>
      </c>
      <c r="AH450" s="3">
        <f>VLOOKUP($AB450,'2000 Seattle Tracts'!$C$2:$Y$374,AH$1,FALSE)*$Z450</f>
        <v>10.786665216385616</v>
      </c>
      <c r="AI450" s="3">
        <f>VLOOKUP($AB450,'2000 Seattle Tracts'!$C$2:$Y$374,AI$1,FALSE)*$Z450</f>
        <v>63.918207461615062</v>
      </c>
      <c r="AJ450" s="3">
        <f>VLOOKUP($AB450,'2000 Seattle Tracts'!$C$2:$Y$374,AJ$1,FALSE)*$Z450</f>
        <v>4.6824176063200191</v>
      </c>
      <c r="AK450" s="3">
        <f>VLOOKUP($AB450,'2000 Seattle Tracts'!$C$2:$Y$374,AK$1,FALSE)*$Z450</f>
        <v>0.37416579045936227</v>
      </c>
      <c r="AL450" s="3">
        <f>VLOOKUP($AB450,'2000 Seattle Tracts'!$C$2:$Y$374,AL$1,FALSE)*$Z450</f>
        <v>0.6841888739828339</v>
      </c>
      <c r="AM450" s="3">
        <f>VLOOKUP($AB450,'2000 Seattle Tracts'!$C$2:$Y$374,AM$1,FALSE)*$Z450</f>
        <v>0.79109338554265174</v>
      </c>
      <c r="AN450" s="3">
        <f>VLOOKUP($AB450,'2000 Seattle Tracts'!$C$2:$Y$374,AN$1,FALSE)*$Z450</f>
        <v>0.40623714392730764</v>
      </c>
      <c r="AO450" s="3">
        <f>VLOOKUP($AB450,'2000 Seattle Tracts'!$C$2:$Y$374,AO$1,FALSE)*$Z450</f>
        <v>0.42761804623927119</v>
      </c>
      <c r="AP450" s="3">
        <f>VLOOKUP($AB450,'2000 Seattle Tracts'!$C$2:$Y$374,AP$1,FALSE)*$Z450</f>
        <v>0</v>
      </c>
      <c r="AQ450" s="3">
        <f>VLOOKUP($AB450,'2000 Seattle Tracts'!$C$2:$Y$374,AQ$1,FALSE)*$Z450</f>
        <v>1.8494480499848478</v>
      </c>
      <c r="AR450" s="3">
        <f>VLOOKUP($AB450,'2000 Seattle Tracts'!$C$2:$Y$374,AR$1,FALSE)*$Z450</f>
        <v>4.4579181320444023</v>
      </c>
      <c r="AS450" s="3">
        <f>VLOOKUP($AB450,'2000 Seattle Tracts'!$C$2:$Y$374,AS$1,FALSE)*$Z450</f>
        <v>0</v>
      </c>
      <c r="AT450" s="3">
        <f>VLOOKUP($AB450,'2000 Seattle Tracts'!$C$2:$Y$374,AT$1,FALSE)*$Z450</f>
        <v>0</v>
      </c>
      <c r="AU450" s="3">
        <f>VLOOKUP($AB450,'2000 Seattle Tracts'!$C$2:$Y$374,AU$1,FALSE)*$Z450</f>
        <v>0.11759496271579958</v>
      </c>
      <c r="AV450" s="3">
        <f>VLOOKUP($AB450,'2000 Seattle Tracts'!$C$2:$Y$374,AV$1,FALSE)*$Z450</f>
        <v>0.29933263236748986</v>
      </c>
      <c r="AW450" s="3">
        <f>VLOOKUP($AB450,'2000 Seattle Tracts'!$C$2:$Y$374,AW$1,FALSE)*$Z450</f>
        <v>1.9670430127006475</v>
      </c>
      <c r="AX450" s="3">
        <f>VLOOKUP($AB450,'2000 Seattle Tracts'!$C$2:$Y$374,AX$1,FALSE)*$Z450</f>
        <v>0.25657082774356271</v>
      </c>
    </row>
    <row r="451" spans="1:50" x14ac:dyDescent="0.25">
      <c r="A451" t="s">
        <v>2917</v>
      </c>
      <c r="B451" t="s">
        <v>2918</v>
      </c>
      <c r="C451" t="s">
        <v>3050</v>
      </c>
      <c r="D451" t="s">
        <v>2704</v>
      </c>
      <c r="E451" t="s">
        <v>2705</v>
      </c>
      <c r="F451" t="s">
        <v>2706</v>
      </c>
      <c r="G451" t="s">
        <v>2920</v>
      </c>
      <c r="H451" t="s">
        <v>2921</v>
      </c>
      <c r="I451">
        <v>2606984</v>
      </c>
      <c r="J451">
        <v>3881765</v>
      </c>
      <c r="K451" t="s">
        <v>3051</v>
      </c>
      <c r="L451" t="s">
        <v>3052</v>
      </c>
      <c r="M451">
        <v>35</v>
      </c>
      <c r="N451">
        <v>22657.039000000001</v>
      </c>
      <c r="O451" t="s">
        <v>122</v>
      </c>
      <c r="P451">
        <v>4</v>
      </c>
      <c r="Q451">
        <v>5</v>
      </c>
      <c r="R451">
        <v>94</v>
      </c>
      <c r="S451">
        <v>25612980</v>
      </c>
      <c r="T451">
        <v>37</v>
      </c>
      <c r="U451">
        <v>119</v>
      </c>
      <c r="V451">
        <v>22657.0394732799</v>
      </c>
      <c r="W451">
        <v>25612979.943988901</v>
      </c>
      <c r="X451">
        <v>704344.11100000003</v>
      </c>
      <c r="Y451">
        <f>VLOOKUP(AB451,'2000 Seattle Tracts'!$C$2:$Z$374,24,FALSE)</f>
        <v>2471859.3330000001</v>
      </c>
      <c r="Z451">
        <f t="shared" si="12"/>
        <v>0.28494506204168374</v>
      </c>
      <c r="AA451" t="s">
        <v>126</v>
      </c>
      <c r="AB451" t="str">
        <f t="shared" si="13"/>
        <v>Census Tract 40, King County, Washington</v>
      </c>
      <c r="AC451" s="3">
        <f>VLOOKUP($AB451,'2000 Seattle Tracts'!$C$2:$Y$374,AC$1,FALSE)*$Z451</f>
        <v>670.19078592204016</v>
      </c>
      <c r="AD451" s="3">
        <f>VLOOKUP($AB451,'2000 Seattle Tracts'!$C$2:$Y$374,AD$1,FALSE)*$Z451</f>
        <v>564.4761679045755</v>
      </c>
      <c r="AE451" s="3">
        <f>VLOOKUP($AB451,'2000 Seattle Tracts'!$C$2:$Y$374,AE$1,FALSE)*$Z451</f>
        <v>105.71461801746467</v>
      </c>
      <c r="AF451" s="3">
        <f>VLOOKUP($AB451,'2000 Seattle Tracts'!$C$2:$Y$374,AF$1,FALSE)*$Z451</f>
        <v>670.19078592204016</v>
      </c>
      <c r="AG451" s="3">
        <f>VLOOKUP($AB451,'2000 Seattle Tracts'!$C$2:$Y$374,AG$1,FALSE)*$Z451</f>
        <v>564.4761679045755</v>
      </c>
      <c r="AH451" s="3">
        <f>VLOOKUP($AB451,'2000 Seattle Tracts'!$C$2:$Y$374,AH$1,FALSE)*$Z451</f>
        <v>105.71461801746467</v>
      </c>
      <c r="AI451" s="3">
        <f>VLOOKUP($AB451,'2000 Seattle Tracts'!$C$2:$Y$374,AI$1,FALSE)*$Z451</f>
        <v>523.15913390853132</v>
      </c>
      <c r="AJ451" s="3">
        <f>VLOOKUP($AB451,'2000 Seattle Tracts'!$C$2:$Y$374,AJ$1,FALSE)*$Z451</f>
        <v>64.397584021420528</v>
      </c>
      <c r="AK451" s="3">
        <f>VLOOKUP($AB451,'2000 Seattle Tracts'!$C$2:$Y$374,AK$1,FALSE)*$Z451</f>
        <v>0</v>
      </c>
      <c r="AL451" s="3">
        <f>VLOOKUP($AB451,'2000 Seattle Tracts'!$C$2:$Y$374,AL$1,FALSE)*$Z451</f>
        <v>0</v>
      </c>
      <c r="AM451" s="3">
        <f>VLOOKUP($AB451,'2000 Seattle Tracts'!$C$2:$Y$374,AM$1,FALSE)*$Z451</f>
        <v>10.258022233500615</v>
      </c>
      <c r="AN451" s="3">
        <f>VLOOKUP($AB451,'2000 Seattle Tracts'!$C$2:$Y$374,AN$1,FALSE)*$Z451</f>
        <v>3.9892308685835722</v>
      </c>
      <c r="AO451" s="3">
        <f>VLOOKUP($AB451,'2000 Seattle Tracts'!$C$2:$Y$374,AO$1,FALSE)*$Z451</f>
        <v>0</v>
      </c>
      <c r="AP451" s="3">
        <f>VLOOKUP($AB451,'2000 Seattle Tracts'!$C$2:$Y$374,AP$1,FALSE)*$Z451</f>
        <v>0</v>
      </c>
      <c r="AQ451" s="3">
        <f>VLOOKUP($AB451,'2000 Seattle Tracts'!$C$2:$Y$374,AQ$1,FALSE)*$Z451</f>
        <v>17.381648784542708</v>
      </c>
      <c r="AR451" s="3">
        <f>VLOOKUP($AB451,'2000 Seattle Tracts'!$C$2:$Y$374,AR$1,FALSE)*$Z451</f>
        <v>31.343956824585213</v>
      </c>
      <c r="AS451" s="3">
        <f>VLOOKUP($AB451,'2000 Seattle Tracts'!$C$2:$Y$374,AS$1,FALSE)*$Z451</f>
        <v>0</v>
      </c>
      <c r="AT451" s="3">
        <f>VLOOKUP($AB451,'2000 Seattle Tracts'!$C$2:$Y$374,AT$1,FALSE)*$Z451</f>
        <v>0</v>
      </c>
      <c r="AU451" s="3">
        <f>VLOOKUP($AB451,'2000 Seattle Tracts'!$C$2:$Y$374,AU$1,FALSE)*$Z451</f>
        <v>1.7096703722501023</v>
      </c>
      <c r="AV451" s="3">
        <f>VLOOKUP($AB451,'2000 Seattle Tracts'!$C$2:$Y$374,AV$1,FALSE)*$Z451</f>
        <v>0</v>
      </c>
      <c r="AW451" s="3">
        <f>VLOOKUP($AB451,'2000 Seattle Tracts'!$C$2:$Y$374,AW$1,FALSE)*$Z451</f>
        <v>11.967692605750717</v>
      </c>
      <c r="AX451" s="3">
        <f>VLOOKUP($AB451,'2000 Seattle Tracts'!$C$2:$Y$374,AX$1,FALSE)*$Z451</f>
        <v>5.9838463028753583</v>
      </c>
    </row>
    <row r="452" spans="1:50" x14ac:dyDescent="0.25">
      <c r="A452" t="s">
        <v>2917</v>
      </c>
      <c r="B452" t="s">
        <v>2918</v>
      </c>
      <c r="C452" t="s">
        <v>3050</v>
      </c>
      <c r="D452" t="s">
        <v>2704</v>
      </c>
      <c r="E452" t="s">
        <v>2705</v>
      </c>
      <c r="F452" t="s">
        <v>2706</v>
      </c>
      <c r="G452" t="s">
        <v>2920</v>
      </c>
      <c r="H452" t="s">
        <v>2921</v>
      </c>
      <c r="I452">
        <v>2606984</v>
      </c>
      <c r="J452">
        <v>3881765</v>
      </c>
      <c r="K452" t="s">
        <v>3051</v>
      </c>
      <c r="L452" t="s">
        <v>3052</v>
      </c>
      <c r="M452">
        <v>37</v>
      </c>
      <c r="N452">
        <v>21396.695</v>
      </c>
      <c r="O452" t="s">
        <v>122</v>
      </c>
      <c r="P452">
        <v>4</v>
      </c>
      <c r="Q452">
        <v>5</v>
      </c>
      <c r="R452">
        <v>19</v>
      </c>
      <c r="S452">
        <v>19249858</v>
      </c>
      <c r="T452">
        <v>39</v>
      </c>
      <c r="U452">
        <v>196</v>
      </c>
      <c r="V452">
        <v>21396.695800864782</v>
      </c>
      <c r="W452">
        <v>19249857.13974366</v>
      </c>
      <c r="X452">
        <v>1761166.6310000001</v>
      </c>
      <c r="Y452">
        <f>VLOOKUP(AB452,'2000 Seattle Tracts'!$C$2:$Z$374,24,FALSE)</f>
        <v>2471859.3330000001</v>
      </c>
      <c r="Z452">
        <f t="shared" ref="Z452:Z502" si="14">X452/Y452</f>
        <v>0.71248659156609051</v>
      </c>
      <c r="AA452" t="s">
        <v>128</v>
      </c>
      <c r="AB452" t="str">
        <f t="shared" ref="AB452:AB502" si="15">_xlfn.CONCAT(F452, ", King County, Washington")</f>
        <v>Census Tract 40, King County, Washington</v>
      </c>
      <c r="AC452" s="3">
        <f>VLOOKUP($AB452,'2000 Seattle Tracts'!$C$2:$Y$374,AC$1,FALSE)*$Z452</f>
        <v>1675.7684633634449</v>
      </c>
      <c r="AD452" s="3">
        <f>VLOOKUP($AB452,'2000 Seattle Tracts'!$C$2:$Y$374,AD$1,FALSE)*$Z452</f>
        <v>1411.4359378924253</v>
      </c>
      <c r="AE452" s="3">
        <f>VLOOKUP($AB452,'2000 Seattle Tracts'!$C$2:$Y$374,AE$1,FALSE)*$Z452</f>
        <v>264.33252547101961</v>
      </c>
      <c r="AF452" s="3">
        <f>VLOOKUP($AB452,'2000 Seattle Tracts'!$C$2:$Y$374,AF$1,FALSE)*$Z452</f>
        <v>1675.7684633634449</v>
      </c>
      <c r="AG452" s="3">
        <f>VLOOKUP($AB452,'2000 Seattle Tracts'!$C$2:$Y$374,AG$1,FALSE)*$Z452</f>
        <v>1411.4359378924253</v>
      </c>
      <c r="AH452" s="3">
        <f>VLOOKUP($AB452,'2000 Seattle Tracts'!$C$2:$Y$374,AH$1,FALSE)*$Z452</f>
        <v>264.33252547101961</v>
      </c>
      <c r="AI452" s="3">
        <f>VLOOKUP($AB452,'2000 Seattle Tracts'!$C$2:$Y$374,AI$1,FALSE)*$Z452</f>
        <v>1308.1253821153423</v>
      </c>
      <c r="AJ452" s="3">
        <f>VLOOKUP($AB452,'2000 Seattle Tracts'!$C$2:$Y$374,AJ$1,FALSE)*$Z452</f>
        <v>161.02196969393646</v>
      </c>
      <c r="AK452" s="3">
        <f>VLOOKUP($AB452,'2000 Seattle Tracts'!$C$2:$Y$374,AK$1,FALSE)*$Z452</f>
        <v>0</v>
      </c>
      <c r="AL452" s="3">
        <f>VLOOKUP($AB452,'2000 Seattle Tracts'!$C$2:$Y$374,AL$1,FALSE)*$Z452</f>
        <v>0</v>
      </c>
      <c r="AM452" s="3">
        <f>VLOOKUP($AB452,'2000 Seattle Tracts'!$C$2:$Y$374,AM$1,FALSE)*$Z452</f>
        <v>25.649517296379258</v>
      </c>
      <c r="AN452" s="3">
        <f>VLOOKUP($AB452,'2000 Seattle Tracts'!$C$2:$Y$374,AN$1,FALSE)*$Z452</f>
        <v>9.9748122819252671</v>
      </c>
      <c r="AO452" s="3">
        <f>VLOOKUP($AB452,'2000 Seattle Tracts'!$C$2:$Y$374,AO$1,FALSE)*$Z452</f>
        <v>0</v>
      </c>
      <c r="AP452" s="3">
        <f>VLOOKUP($AB452,'2000 Seattle Tracts'!$C$2:$Y$374,AP$1,FALSE)*$Z452</f>
        <v>0</v>
      </c>
      <c r="AQ452" s="3">
        <f>VLOOKUP($AB452,'2000 Seattle Tracts'!$C$2:$Y$374,AQ$1,FALSE)*$Z452</f>
        <v>43.461682085531521</v>
      </c>
      <c r="AR452" s="3">
        <f>VLOOKUP($AB452,'2000 Seattle Tracts'!$C$2:$Y$374,AR$1,FALSE)*$Z452</f>
        <v>78.373525072269956</v>
      </c>
      <c r="AS452" s="3">
        <f>VLOOKUP($AB452,'2000 Seattle Tracts'!$C$2:$Y$374,AS$1,FALSE)*$Z452</f>
        <v>0</v>
      </c>
      <c r="AT452" s="3">
        <f>VLOOKUP($AB452,'2000 Seattle Tracts'!$C$2:$Y$374,AT$1,FALSE)*$Z452</f>
        <v>0</v>
      </c>
      <c r="AU452" s="3">
        <f>VLOOKUP($AB452,'2000 Seattle Tracts'!$C$2:$Y$374,AU$1,FALSE)*$Z452</f>
        <v>4.2749195493965431</v>
      </c>
      <c r="AV452" s="3">
        <f>VLOOKUP($AB452,'2000 Seattle Tracts'!$C$2:$Y$374,AV$1,FALSE)*$Z452</f>
        <v>0</v>
      </c>
      <c r="AW452" s="3">
        <f>VLOOKUP($AB452,'2000 Seattle Tracts'!$C$2:$Y$374,AW$1,FALSE)*$Z452</f>
        <v>29.924436845775801</v>
      </c>
      <c r="AX452" s="3">
        <f>VLOOKUP($AB452,'2000 Seattle Tracts'!$C$2:$Y$374,AX$1,FALSE)*$Z452</f>
        <v>14.962218422887901</v>
      </c>
    </row>
    <row r="453" spans="1:50" x14ac:dyDescent="0.25">
      <c r="A453" t="s">
        <v>2917</v>
      </c>
      <c r="B453" t="s">
        <v>2918</v>
      </c>
      <c r="C453" t="s">
        <v>3050</v>
      </c>
      <c r="D453" t="s">
        <v>2704</v>
      </c>
      <c r="E453" t="s">
        <v>2705</v>
      </c>
      <c r="F453" t="s">
        <v>2706</v>
      </c>
      <c r="G453" t="s">
        <v>2920</v>
      </c>
      <c r="H453" t="s">
        <v>2921</v>
      </c>
      <c r="I453">
        <v>2606984</v>
      </c>
      <c r="J453">
        <v>3881765</v>
      </c>
      <c r="K453" t="s">
        <v>3051</v>
      </c>
      <c r="L453" t="s">
        <v>3052</v>
      </c>
      <c r="M453">
        <v>39</v>
      </c>
      <c r="N453">
        <v>33332.828000000001</v>
      </c>
      <c r="O453" t="s">
        <v>122</v>
      </c>
      <c r="P453">
        <v>4</v>
      </c>
      <c r="Q453">
        <v>5</v>
      </c>
      <c r="R453">
        <v>23</v>
      </c>
      <c r="S453">
        <v>22363966</v>
      </c>
      <c r="T453">
        <v>41</v>
      </c>
      <c r="U453">
        <v>131</v>
      </c>
      <c r="V453">
        <v>33332.829196830411</v>
      </c>
      <c r="W453">
        <v>22363966.623789791</v>
      </c>
      <c r="X453">
        <v>4833.8159999999998</v>
      </c>
      <c r="Y453">
        <f>VLOOKUP(AB453,'2000 Seattle Tracts'!$C$2:$Z$374,24,FALSE)</f>
        <v>2471859.3330000001</v>
      </c>
      <c r="Z453">
        <f t="shared" si="14"/>
        <v>1.9555384626735147E-3</v>
      </c>
      <c r="AA453" t="s">
        <v>130</v>
      </c>
      <c r="AB453" t="str">
        <f t="shared" si="15"/>
        <v>Census Tract 40, King County, Washington</v>
      </c>
      <c r="AC453" s="3">
        <f>VLOOKUP($AB453,'2000 Seattle Tracts'!$C$2:$Y$374,AC$1,FALSE)*$Z453</f>
        <v>4.5994264642081069</v>
      </c>
      <c r="AD453" s="3">
        <f>VLOOKUP($AB453,'2000 Seattle Tracts'!$C$2:$Y$374,AD$1,FALSE)*$Z453</f>
        <v>3.8739216945562327</v>
      </c>
      <c r="AE453" s="3">
        <f>VLOOKUP($AB453,'2000 Seattle Tracts'!$C$2:$Y$374,AE$1,FALSE)*$Z453</f>
        <v>0.72550476965187394</v>
      </c>
      <c r="AF453" s="3">
        <f>VLOOKUP($AB453,'2000 Seattle Tracts'!$C$2:$Y$374,AF$1,FALSE)*$Z453</f>
        <v>4.5994264642081069</v>
      </c>
      <c r="AG453" s="3">
        <f>VLOOKUP($AB453,'2000 Seattle Tracts'!$C$2:$Y$374,AG$1,FALSE)*$Z453</f>
        <v>3.8739216945562327</v>
      </c>
      <c r="AH453" s="3">
        <f>VLOOKUP($AB453,'2000 Seattle Tracts'!$C$2:$Y$374,AH$1,FALSE)*$Z453</f>
        <v>0.72550476965187394</v>
      </c>
      <c r="AI453" s="3">
        <f>VLOOKUP($AB453,'2000 Seattle Tracts'!$C$2:$Y$374,AI$1,FALSE)*$Z453</f>
        <v>3.5903686174685729</v>
      </c>
      <c r="AJ453" s="3">
        <f>VLOOKUP($AB453,'2000 Seattle Tracts'!$C$2:$Y$374,AJ$1,FALSE)*$Z453</f>
        <v>0.44195169256421429</v>
      </c>
      <c r="AK453" s="3">
        <f>VLOOKUP($AB453,'2000 Seattle Tracts'!$C$2:$Y$374,AK$1,FALSE)*$Z453</f>
        <v>0</v>
      </c>
      <c r="AL453" s="3">
        <f>VLOOKUP($AB453,'2000 Seattle Tracts'!$C$2:$Y$374,AL$1,FALSE)*$Z453</f>
        <v>0</v>
      </c>
      <c r="AM453" s="3">
        <f>VLOOKUP($AB453,'2000 Seattle Tracts'!$C$2:$Y$374,AM$1,FALSE)*$Z453</f>
        <v>7.0399384656246525E-2</v>
      </c>
      <c r="AN453" s="3">
        <f>VLOOKUP($AB453,'2000 Seattle Tracts'!$C$2:$Y$374,AN$1,FALSE)*$Z453</f>
        <v>2.7377538477429207E-2</v>
      </c>
      <c r="AO453" s="3">
        <f>VLOOKUP($AB453,'2000 Seattle Tracts'!$C$2:$Y$374,AO$1,FALSE)*$Z453</f>
        <v>0</v>
      </c>
      <c r="AP453" s="3">
        <f>VLOOKUP($AB453,'2000 Seattle Tracts'!$C$2:$Y$374,AP$1,FALSE)*$Z453</f>
        <v>0</v>
      </c>
      <c r="AQ453" s="3">
        <f>VLOOKUP($AB453,'2000 Seattle Tracts'!$C$2:$Y$374,AQ$1,FALSE)*$Z453</f>
        <v>0.1192878462230844</v>
      </c>
      <c r="AR453" s="3">
        <f>VLOOKUP($AB453,'2000 Seattle Tracts'!$C$2:$Y$374,AR$1,FALSE)*$Z453</f>
        <v>0.21510923089408662</v>
      </c>
      <c r="AS453" s="3">
        <f>VLOOKUP($AB453,'2000 Seattle Tracts'!$C$2:$Y$374,AS$1,FALSE)*$Z453</f>
        <v>0</v>
      </c>
      <c r="AT453" s="3">
        <f>VLOOKUP($AB453,'2000 Seattle Tracts'!$C$2:$Y$374,AT$1,FALSE)*$Z453</f>
        <v>0</v>
      </c>
      <c r="AU453" s="3">
        <f>VLOOKUP($AB453,'2000 Seattle Tracts'!$C$2:$Y$374,AU$1,FALSE)*$Z453</f>
        <v>1.1733230776041088E-2</v>
      </c>
      <c r="AV453" s="3">
        <f>VLOOKUP($AB453,'2000 Seattle Tracts'!$C$2:$Y$374,AV$1,FALSE)*$Z453</f>
        <v>0</v>
      </c>
      <c r="AW453" s="3">
        <f>VLOOKUP($AB453,'2000 Seattle Tracts'!$C$2:$Y$374,AW$1,FALSE)*$Z453</f>
        <v>8.2132615432287615E-2</v>
      </c>
      <c r="AX453" s="3">
        <f>VLOOKUP($AB453,'2000 Seattle Tracts'!$C$2:$Y$374,AX$1,FALSE)*$Z453</f>
        <v>4.1066307716143807E-2</v>
      </c>
    </row>
    <row r="454" spans="1:50" x14ac:dyDescent="0.25">
      <c r="A454" t="s">
        <v>2917</v>
      </c>
      <c r="B454" t="s">
        <v>2918</v>
      </c>
      <c r="C454" t="s">
        <v>3161</v>
      </c>
      <c r="D454" t="s">
        <v>2713</v>
      </c>
      <c r="E454" t="s">
        <v>2714</v>
      </c>
      <c r="F454" t="s">
        <v>2715</v>
      </c>
      <c r="G454" t="s">
        <v>2920</v>
      </c>
      <c r="H454" t="s">
        <v>2921</v>
      </c>
      <c r="I454">
        <v>973807</v>
      </c>
      <c r="J454">
        <v>0</v>
      </c>
      <c r="K454" t="s">
        <v>3162</v>
      </c>
      <c r="L454" t="s">
        <v>3163</v>
      </c>
      <c r="M454">
        <v>35</v>
      </c>
      <c r="N454">
        <v>22657.039000000001</v>
      </c>
      <c r="O454" t="s">
        <v>122</v>
      </c>
      <c r="P454">
        <v>4</v>
      </c>
      <c r="Q454">
        <v>5</v>
      </c>
      <c r="R454">
        <v>94</v>
      </c>
      <c r="S454">
        <v>25612980</v>
      </c>
      <c r="T454">
        <v>37</v>
      </c>
      <c r="U454">
        <v>119</v>
      </c>
      <c r="V454">
        <v>22657.0394732799</v>
      </c>
      <c r="W454">
        <v>25612979.943988901</v>
      </c>
      <c r="X454">
        <v>647493.07200000004</v>
      </c>
      <c r="Y454">
        <f>VLOOKUP(AB454,'2000 Seattle Tracts'!$C$2:$Z$374,24,FALSE)</f>
        <v>973807.67200000002</v>
      </c>
      <c r="Z454">
        <f t="shared" si="14"/>
        <v>0.66490857549949556</v>
      </c>
      <c r="AA454" t="s">
        <v>126</v>
      </c>
      <c r="AB454" t="str">
        <f t="shared" si="15"/>
        <v>Census Tract 39, King County, Washington</v>
      </c>
      <c r="AC454" s="3">
        <f>VLOOKUP($AB454,'2000 Seattle Tracts'!$C$2:$Y$374,AC$1,FALSE)*$Z454</f>
        <v>1787.2742509426441</v>
      </c>
      <c r="AD454" s="3">
        <f>VLOOKUP($AB454,'2000 Seattle Tracts'!$C$2:$Y$374,AD$1,FALSE)*$Z454</f>
        <v>1504.0231977798589</v>
      </c>
      <c r="AE454" s="3">
        <f>VLOOKUP($AB454,'2000 Seattle Tracts'!$C$2:$Y$374,AE$1,FALSE)*$Z454</f>
        <v>283.25105316278513</v>
      </c>
      <c r="AF454" s="3">
        <f>VLOOKUP($AB454,'2000 Seattle Tracts'!$C$2:$Y$374,AF$1,FALSE)*$Z454</f>
        <v>1787.2742509426441</v>
      </c>
      <c r="AG454" s="3">
        <f>VLOOKUP($AB454,'2000 Seattle Tracts'!$C$2:$Y$374,AG$1,FALSE)*$Z454</f>
        <v>1504.0231977798589</v>
      </c>
      <c r="AH454" s="3">
        <f>VLOOKUP($AB454,'2000 Seattle Tracts'!$C$2:$Y$374,AH$1,FALSE)*$Z454</f>
        <v>283.25105316278513</v>
      </c>
      <c r="AI454" s="3">
        <f>VLOOKUP($AB454,'2000 Seattle Tracts'!$C$2:$Y$374,AI$1,FALSE)*$Z454</f>
        <v>1274.629739232533</v>
      </c>
      <c r="AJ454" s="3">
        <f>VLOOKUP($AB454,'2000 Seattle Tracts'!$C$2:$Y$374,AJ$1,FALSE)*$Z454</f>
        <v>123.67299504290618</v>
      </c>
      <c r="AK454" s="3">
        <f>VLOOKUP($AB454,'2000 Seattle Tracts'!$C$2:$Y$374,AK$1,FALSE)*$Z454</f>
        <v>34.575245925973768</v>
      </c>
      <c r="AL454" s="3">
        <f>VLOOKUP($AB454,'2000 Seattle Tracts'!$C$2:$Y$374,AL$1,FALSE)*$Z454</f>
        <v>6.6490857549949558</v>
      </c>
      <c r="AM454" s="3">
        <f>VLOOKUP($AB454,'2000 Seattle Tracts'!$C$2:$Y$374,AM$1,FALSE)*$Z454</f>
        <v>12.633262934490416</v>
      </c>
      <c r="AN454" s="3">
        <f>VLOOKUP($AB454,'2000 Seattle Tracts'!$C$2:$Y$374,AN$1,FALSE)*$Z454</f>
        <v>4.6543600284964688</v>
      </c>
      <c r="AO454" s="3">
        <f>VLOOKUP($AB454,'2000 Seattle Tracts'!$C$2:$Y$374,AO$1,FALSE)*$Z454</f>
        <v>13.298171509989912</v>
      </c>
      <c r="AP454" s="3">
        <f>VLOOKUP($AB454,'2000 Seattle Tracts'!$C$2:$Y$374,AP$1,FALSE)*$Z454</f>
        <v>0</v>
      </c>
      <c r="AQ454" s="3">
        <f>VLOOKUP($AB454,'2000 Seattle Tracts'!$C$2:$Y$374,AQ$1,FALSE)*$Z454</f>
        <v>44.548874558466203</v>
      </c>
      <c r="AR454" s="3">
        <f>VLOOKUP($AB454,'2000 Seattle Tracts'!$C$2:$Y$374,AR$1,FALSE)*$Z454</f>
        <v>131.65189794890011</v>
      </c>
      <c r="AS454" s="3">
        <f>VLOOKUP($AB454,'2000 Seattle Tracts'!$C$2:$Y$374,AS$1,FALSE)*$Z454</f>
        <v>0</v>
      </c>
      <c r="AT454" s="3">
        <f>VLOOKUP($AB454,'2000 Seattle Tracts'!$C$2:$Y$374,AT$1,FALSE)*$Z454</f>
        <v>0</v>
      </c>
      <c r="AU454" s="3">
        <f>VLOOKUP($AB454,'2000 Seattle Tracts'!$C$2:$Y$374,AU$1,FALSE)*$Z454</f>
        <v>23.271800142482345</v>
      </c>
      <c r="AV454" s="3">
        <f>VLOOKUP($AB454,'2000 Seattle Tracts'!$C$2:$Y$374,AV$1,FALSE)*$Z454</f>
        <v>5.9841771794954601</v>
      </c>
      <c r="AW454" s="3">
        <f>VLOOKUP($AB454,'2000 Seattle Tracts'!$C$2:$Y$374,AW$1,FALSE)*$Z454</f>
        <v>101.06610347592333</v>
      </c>
      <c r="AX454" s="3">
        <f>VLOOKUP($AB454,'2000 Seattle Tracts'!$C$2:$Y$374,AX$1,FALSE)*$Z454</f>
        <v>10.638537207991929</v>
      </c>
    </row>
    <row r="455" spans="1:50" x14ac:dyDescent="0.25">
      <c r="A455" t="s">
        <v>2917</v>
      </c>
      <c r="B455" t="s">
        <v>2918</v>
      </c>
      <c r="C455" t="s">
        <v>3161</v>
      </c>
      <c r="D455" t="s">
        <v>2713</v>
      </c>
      <c r="E455" t="s">
        <v>2714</v>
      </c>
      <c r="F455" t="s">
        <v>2715</v>
      </c>
      <c r="G455" t="s">
        <v>2920</v>
      </c>
      <c r="H455" t="s">
        <v>2921</v>
      </c>
      <c r="I455">
        <v>973807</v>
      </c>
      <c r="J455">
        <v>0</v>
      </c>
      <c r="K455" t="s">
        <v>3162</v>
      </c>
      <c r="L455" t="s">
        <v>3163</v>
      </c>
      <c r="M455">
        <v>36</v>
      </c>
      <c r="N455">
        <v>30993.599999999999</v>
      </c>
      <c r="O455" t="s">
        <v>122</v>
      </c>
      <c r="P455">
        <v>4</v>
      </c>
      <c r="Q455">
        <v>5</v>
      </c>
      <c r="R455">
        <v>81</v>
      </c>
      <c r="S455">
        <v>37020968</v>
      </c>
      <c r="T455">
        <v>38</v>
      </c>
      <c r="U455">
        <v>125</v>
      </c>
      <c r="V455">
        <v>30993.600213945359</v>
      </c>
      <c r="W455">
        <v>37020968.872468568</v>
      </c>
      <c r="X455">
        <v>18.548999999999999</v>
      </c>
      <c r="Y455">
        <f>VLOOKUP(AB455,'2000 Seattle Tracts'!$C$2:$Z$374,24,FALSE)</f>
        <v>973807.67200000002</v>
      </c>
      <c r="Z455">
        <f t="shared" si="14"/>
        <v>1.9047909082400411E-5</v>
      </c>
      <c r="AA455" t="s">
        <v>127</v>
      </c>
      <c r="AB455" t="str">
        <f t="shared" si="15"/>
        <v>Census Tract 39, King County, Washington</v>
      </c>
      <c r="AC455" s="3">
        <f>VLOOKUP($AB455,'2000 Seattle Tracts'!$C$2:$Y$374,AC$1,FALSE)*$Z455</f>
        <v>5.1200779613492307E-2</v>
      </c>
      <c r="AD455" s="3">
        <f>VLOOKUP($AB455,'2000 Seattle Tracts'!$C$2:$Y$374,AD$1,FALSE)*$Z455</f>
        <v>4.3086370344389731E-2</v>
      </c>
      <c r="AE455" s="3">
        <f>VLOOKUP($AB455,'2000 Seattle Tracts'!$C$2:$Y$374,AE$1,FALSE)*$Z455</f>
        <v>8.1144092691025748E-3</v>
      </c>
      <c r="AF455" s="3">
        <f>VLOOKUP($AB455,'2000 Seattle Tracts'!$C$2:$Y$374,AF$1,FALSE)*$Z455</f>
        <v>5.1200779613492307E-2</v>
      </c>
      <c r="AG455" s="3">
        <f>VLOOKUP($AB455,'2000 Seattle Tracts'!$C$2:$Y$374,AG$1,FALSE)*$Z455</f>
        <v>4.3086370344389731E-2</v>
      </c>
      <c r="AH455" s="3">
        <f>VLOOKUP($AB455,'2000 Seattle Tracts'!$C$2:$Y$374,AH$1,FALSE)*$Z455</f>
        <v>8.1144092691025748E-3</v>
      </c>
      <c r="AI455" s="3">
        <f>VLOOKUP($AB455,'2000 Seattle Tracts'!$C$2:$Y$374,AI$1,FALSE)*$Z455</f>
        <v>3.6514841710961587E-2</v>
      </c>
      <c r="AJ455" s="3">
        <f>VLOOKUP($AB455,'2000 Seattle Tracts'!$C$2:$Y$374,AJ$1,FALSE)*$Z455</f>
        <v>3.5429110893264765E-3</v>
      </c>
      <c r="AK455" s="3">
        <f>VLOOKUP($AB455,'2000 Seattle Tracts'!$C$2:$Y$374,AK$1,FALSE)*$Z455</f>
        <v>9.9049127228482145E-4</v>
      </c>
      <c r="AL455" s="3">
        <f>VLOOKUP($AB455,'2000 Seattle Tracts'!$C$2:$Y$374,AL$1,FALSE)*$Z455</f>
        <v>1.904790908240041E-4</v>
      </c>
      <c r="AM455" s="3">
        <f>VLOOKUP($AB455,'2000 Seattle Tracts'!$C$2:$Y$374,AM$1,FALSE)*$Z455</f>
        <v>3.6191027256560779E-4</v>
      </c>
      <c r="AN455" s="3">
        <f>VLOOKUP($AB455,'2000 Seattle Tracts'!$C$2:$Y$374,AN$1,FALSE)*$Z455</f>
        <v>1.3333536357680288E-4</v>
      </c>
      <c r="AO455" s="3">
        <f>VLOOKUP($AB455,'2000 Seattle Tracts'!$C$2:$Y$374,AO$1,FALSE)*$Z455</f>
        <v>3.8095818164800819E-4</v>
      </c>
      <c r="AP455" s="3">
        <f>VLOOKUP($AB455,'2000 Seattle Tracts'!$C$2:$Y$374,AP$1,FALSE)*$Z455</f>
        <v>0</v>
      </c>
      <c r="AQ455" s="3">
        <f>VLOOKUP($AB455,'2000 Seattle Tracts'!$C$2:$Y$374,AQ$1,FALSE)*$Z455</f>
        <v>1.2762099085208275E-3</v>
      </c>
      <c r="AR455" s="3">
        <f>VLOOKUP($AB455,'2000 Seattle Tracts'!$C$2:$Y$374,AR$1,FALSE)*$Z455</f>
        <v>3.7714859983152813E-3</v>
      </c>
      <c r="AS455" s="3">
        <f>VLOOKUP($AB455,'2000 Seattle Tracts'!$C$2:$Y$374,AS$1,FALSE)*$Z455</f>
        <v>0</v>
      </c>
      <c r="AT455" s="3">
        <f>VLOOKUP($AB455,'2000 Seattle Tracts'!$C$2:$Y$374,AT$1,FALSE)*$Z455</f>
        <v>0</v>
      </c>
      <c r="AU455" s="3">
        <f>VLOOKUP($AB455,'2000 Seattle Tracts'!$C$2:$Y$374,AU$1,FALSE)*$Z455</f>
        <v>6.6667681788401436E-4</v>
      </c>
      <c r="AV455" s="3">
        <f>VLOOKUP($AB455,'2000 Seattle Tracts'!$C$2:$Y$374,AV$1,FALSE)*$Z455</f>
        <v>1.7143118174160369E-4</v>
      </c>
      <c r="AW455" s="3">
        <f>VLOOKUP($AB455,'2000 Seattle Tracts'!$C$2:$Y$374,AW$1,FALSE)*$Z455</f>
        <v>2.8952821805248623E-3</v>
      </c>
      <c r="AX455" s="3">
        <f>VLOOKUP($AB455,'2000 Seattle Tracts'!$C$2:$Y$374,AX$1,FALSE)*$Z455</f>
        <v>3.0476654531840658E-4</v>
      </c>
    </row>
    <row r="456" spans="1:50" x14ac:dyDescent="0.25">
      <c r="A456" t="s">
        <v>2917</v>
      </c>
      <c r="B456" t="s">
        <v>2918</v>
      </c>
      <c r="C456" t="s">
        <v>3161</v>
      </c>
      <c r="D456" t="s">
        <v>2713</v>
      </c>
      <c r="E456" t="s">
        <v>2714</v>
      </c>
      <c r="F456" t="s">
        <v>2715</v>
      </c>
      <c r="G456" t="s">
        <v>2920</v>
      </c>
      <c r="H456" t="s">
        <v>2921</v>
      </c>
      <c r="I456">
        <v>973807</v>
      </c>
      <c r="J456">
        <v>0</v>
      </c>
      <c r="K456" t="s">
        <v>3162</v>
      </c>
      <c r="L456" t="s">
        <v>3163</v>
      </c>
      <c r="M456">
        <v>38</v>
      </c>
      <c r="N456">
        <v>20928.002</v>
      </c>
      <c r="O456" t="s">
        <v>122</v>
      </c>
      <c r="P456">
        <v>4</v>
      </c>
      <c r="Q456">
        <v>5</v>
      </c>
      <c r="R456">
        <v>24</v>
      </c>
      <c r="S456">
        <v>15485078</v>
      </c>
      <c r="T456">
        <v>40</v>
      </c>
      <c r="U456">
        <v>128</v>
      </c>
      <c r="V456">
        <v>20928.00172430617</v>
      </c>
      <c r="W456">
        <v>15485078.03322144</v>
      </c>
      <c r="X456">
        <v>326217.14199999999</v>
      </c>
      <c r="Y456">
        <f>VLOOKUP(AB456,'2000 Seattle Tracts'!$C$2:$Z$374,24,FALSE)</f>
        <v>973807.67200000002</v>
      </c>
      <c r="Z456">
        <f t="shared" si="14"/>
        <v>0.33499134519038787</v>
      </c>
      <c r="AA456" t="s">
        <v>129</v>
      </c>
      <c r="AB456" t="str">
        <f t="shared" si="15"/>
        <v>Census Tract 39, King County, Washington</v>
      </c>
      <c r="AC456" s="3">
        <f>VLOOKUP($AB456,'2000 Seattle Tracts'!$C$2:$Y$374,AC$1,FALSE)*$Z456</f>
        <v>900.45673587176259</v>
      </c>
      <c r="AD456" s="3">
        <f>VLOOKUP($AB456,'2000 Seattle Tracts'!$C$2:$Y$374,AD$1,FALSE)*$Z456</f>
        <v>757.75042282065738</v>
      </c>
      <c r="AE456" s="3">
        <f>VLOOKUP($AB456,'2000 Seattle Tracts'!$C$2:$Y$374,AE$1,FALSE)*$Z456</f>
        <v>142.70631305110524</v>
      </c>
      <c r="AF456" s="3">
        <f>VLOOKUP($AB456,'2000 Seattle Tracts'!$C$2:$Y$374,AF$1,FALSE)*$Z456</f>
        <v>900.45673587176259</v>
      </c>
      <c r="AG456" s="3">
        <f>VLOOKUP($AB456,'2000 Seattle Tracts'!$C$2:$Y$374,AG$1,FALSE)*$Z456</f>
        <v>757.75042282065738</v>
      </c>
      <c r="AH456" s="3">
        <f>VLOOKUP($AB456,'2000 Seattle Tracts'!$C$2:$Y$374,AH$1,FALSE)*$Z456</f>
        <v>142.70631305110524</v>
      </c>
      <c r="AI456" s="3">
        <f>VLOOKUP($AB456,'2000 Seattle Tracts'!$C$2:$Y$374,AI$1,FALSE)*$Z456</f>
        <v>642.17840872997351</v>
      </c>
      <c r="AJ456" s="3">
        <f>VLOOKUP($AB456,'2000 Seattle Tracts'!$C$2:$Y$374,AJ$1,FALSE)*$Z456</f>
        <v>62.308390205412145</v>
      </c>
      <c r="AK456" s="3">
        <f>VLOOKUP($AB456,'2000 Seattle Tracts'!$C$2:$Y$374,AK$1,FALSE)*$Z456</f>
        <v>17.419549949900169</v>
      </c>
      <c r="AL456" s="3">
        <f>VLOOKUP($AB456,'2000 Seattle Tracts'!$C$2:$Y$374,AL$1,FALSE)*$Z456</f>
        <v>3.3499134519038787</v>
      </c>
      <c r="AM456" s="3">
        <f>VLOOKUP($AB456,'2000 Seattle Tracts'!$C$2:$Y$374,AM$1,FALSE)*$Z456</f>
        <v>6.3648355586173695</v>
      </c>
      <c r="AN456" s="3">
        <f>VLOOKUP($AB456,'2000 Seattle Tracts'!$C$2:$Y$374,AN$1,FALSE)*$Z456</f>
        <v>2.3449394163327151</v>
      </c>
      <c r="AO456" s="3">
        <f>VLOOKUP($AB456,'2000 Seattle Tracts'!$C$2:$Y$374,AO$1,FALSE)*$Z456</f>
        <v>6.6998269038077574</v>
      </c>
      <c r="AP456" s="3">
        <f>VLOOKUP($AB456,'2000 Seattle Tracts'!$C$2:$Y$374,AP$1,FALSE)*$Z456</f>
        <v>0</v>
      </c>
      <c r="AQ456" s="3">
        <f>VLOOKUP($AB456,'2000 Seattle Tracts'!$C$2:$Y$374,AQ$1,FALSE)*$Z456</f>
        <v>22.444420127755986</v>
      </c>
      <c r="AR456" s="3">
        <f>VLOOKUP($AB456,'2000 Seattle Tracts'!$C$2:$Y$374,AR$1,FALSE)*$Z456</f>
        <v>66.328286347696803</v>
      </c>
      <c r="AS456" s="3">
        <f>VLOOKUP($AB456,'2000 Seattle Tracts'!$C$2:$Y$374,AS$1,FALSE)*$Z456</f>
        <v>0</v>
      </c>
      <c r="AT456" s="3">
        <f>VLOOKUP($AB456,'2000 Seattle Tracts'!$C$2:$Y$374,AT$1,FALSE)*$Z456</f>
        <v>0</v>
      </c>
      <c r="AU456" s="3">
        <f>VLOOKUP($AB456,'2000 Seattle Tracts'!$C$2:$Y$374,AU$1,FALSE)*$Z456</f>
        <v>11.724697081663574</v>
      </c>
      <c r="AV456" s="3">
        <f>VLOOKUP($AB456,'2000 Seattle Tracts'!$C$2:$Y$374,AV$1,FALSE)*$Z456</f>
        <v>3.0149221067134908</v>
      </c>
      <c r="AW456" s="3">
        <f>VLOOKUP($AB456,'2000 Seattle Tracts'!$C$2:$Y$374,AW$1,FALSE)*$Z456</f>
        <v>50.918684468938956</v>
      </c>
      <c r="AX456" s="3">
        <f>VLOOKUP($AB456,'2000 Seattle Tracts'!$C$2:$Y$374,AX$1,FALSE)*$Z456</f>
        <v>5.3598615230462059</v>
      </c>
    </row>
    <row r="457" spans="1:50" x14ac:dyDescent="0.25">
      <c r="A457" t="s">
        <v>2917</v>
      </c>
      <c r="B457" t="s">
        <v>2918</v>
      </c>
      <c r="C457" t="s">
        <v>3161</v>
      </c>
      <c r="D457" t="s">
        <v>2713</v>
      </c>
      <c r="E457" t="s">
        <v>2714</v>
      </c>
      <c r="F457" t="s">
        <v>2715</v>
      </c>
      <c r="G457" t="s">
        <v>2920</v>
      </c>
      <c r="H457" t="s">
        <v>2921</v>
      </c>
      <c r="I457">
        <v>973807</v>
      </c>
      <c r="J457">
        <v>0</v>
      </c>
      <c r="K457" t="s">
        <v>3162</v>
      </c>
      <c r="L457" t="s">
        <v>3163</v>
      </c>
      <c r="M457">
        <v>39</v>
      </c>
      <c r="N457">
        <v>33332.828000000001</v>
      </c>
      <c r="O457" t="s">
        <v>122</v>
      </c>
      <c r="P457">
        <v>4</v>
      </c>
      <c r="Q457">
        <v>5</v>
      </c>
      <c r="R457">
        <v>23</v>
      </c>
      <c r="S457">
        <v>22363966</v>
      </c>
      <c r="T457">
        <v>41</v>
      </c>
      <c r="U457">
        <v>131</v>
      </c>
      <c r="V457">
        <v>33332.829196830411</v>
      </c>
      <c r="W457">
        <v>22363966.623789791</v>
      </c>
      <c r="X457">
        <v>51.576999999999998</v>
      </c>
      <c r="Y457">
        <f>VLOOKUP(AB457,'2000 Seattle Tracts'!$C$2:$Z$374,24,FALSE)</f>
        <v>973807.67200000002</v>
      </c>
      <c r="Z457">
        <f t="shared" si="14"/>
        <v>5.2964257196774271E-5</v>
      </c>
      <c r="AA457" t="s">
        <v>130</v>
      </c>
      <c r="AB457" t="str">
        <f t="shared" si="15"/>
        <v>Census Tract 39, King County, Washington</v>
      </c>
      <c r="AC457" s="3">
        <f>VLOOKUP($AB457,'2000 Seattle Tracts'!$C$2:$Y$374,AC$1,FALSE)*$Z457</f>
        <v>0.14236792334492923</v>
      </c>
      <c r="AD457" s="3">
        <f>VLOOKUP($AB457,'2000 Seattle Tracts'!$C$2:$Y$374,AD$1,FALSE)*$Z457</f>
        <v>0.11980514977910341</v>
      </c>
      <c r="AE457" s="3">
        <f>VLOOKUP($AB457,'2000 Seattle Tracts'!$C$2:$Y$374,AE$1,FALSE)*$Z457</f>
        <v>2.2562773565825839E-2</v>
      </c>
      <c r="AF457" s="3">
        <f>VLOOKUP($AB457,'2000 Seattle Tracts'!$C$2:$Y$374,AF$1,FALSE)*$Z457</f>
        <v>0.14236792334492923</v>
      </c>
      <c r="AG457" s="3">
        <f>VLOOKUP($AB457,'2000 Seattle Tracts'!$C$2:$Y$374,AG$1,FALSE)*$Z457</f>
        <v>0.11980514977910341</v>
      </c>
      <c r="AH457" s="3">
        <f>VLOOKUP($AB457,'2000 Seattle Tracts'!$C$2:$Y$374,AH$1,FALSE)*$Z457</f>
        <v>2.2562773565825839E-2</v>
      </c>
      <c r="AI457" s="3">
        <f>VLOOKUP($AB457,'2000 Seattle Tracts'!$C$2:$Y$374,AI$1,FALSE)*$Z457</f>
        <v>0.10153248104621627</v>
      </c>
      <c r="AJ457" s="3">
        <f>VLOOKUP($AB457,'2000 Seattle Tracts'!$C$2:$Y$374,AJ$1,FALSE)*$Z457</f>
        <v>9.8513518386000136E-3</v>
      </c>
      <c r="AK457" s="3">
        <f>VLOOKUP($AB457,'2000 Seattle Tracts'!$C$2:$Y$374,AK$1,FALSE)*$Z457</f>
        <v>2.7541413742322622E-3</v>
      </c>
      <c r="AL457" s="3">
        <f>VLOOKUP($AB457,'2000 Seattle Tracts'!$C$2:$Y$374,AL$1,FALSE)*$Z457</f>
        <v>5.2964257196774268E-4</v>
      </c>
      <c r="AM457" s="3">
        <f>VLOOKUP($AB457,'2000 Seattle Tracts'!$C$2:$Y$374,AM$1,FALSE)*$Z457</f>
        <v>1.0063208867387111E-3</v>
      </c>
      <c r="AN457" s="3">
        <f>VLOOKUP($AB457,'2000 Seattle Tracts'!$C$2:$Y$374,AN$1,FALSE)*$Z457</f>
        <v>3.7074980037741991E-4</v>
      </c>
      <c r="AO457" s="3">
        <f>VLOOKUP($AB457,'2000 Seattle Tracts'!$C$2:$Y$374,AO$1,FALSE)*$Z457</f>
        <v>1.0592851439354854E-3</v>
      </c>
      <c r="AP457" s="3">
        <f>VLOOKUP($AB457,'2000 Seattle Tracts'!$C$2:$Y$374,AP$1,FALSE)*$Z457</f>
        <v>0</v>
      </c>
      <c r="AQ457" s="3">
        <f>VLOOKUP($AB457,'2000 Seattle Tracts'!$C$2:$Y$374,AQ$1,FALSE)*$Z457</f>
        <v>3.5486052321838761E-3</v>
      </c>
      <c r="AR457" s="3">
        <f>VLOOKUP($AB457,'2000 Seattle Tracts'!$C$2:$Y$374,AR$1,FALSE)*$Z457</f>
        <v>1.0486922924961306E-2</v>
      </c>
      <c r="AS457" s="3">
        <f>VLOOKUP($AB457,'2000 Seattle Tracts'!$C$2:$Y$374,AS$1,FALSE)*$Z457</f>
        <v>0</v>
      </c>
      <c r="AT457" s="3">
        <f>VLOOKUP($AB457,'2000 Seattle Tracts'!$C$2:$Y$374,AT$1,FALSE)*$Z457</f>
        <v>0</v>
      </c>
      <c r="AU457" s="3">
        <f>VLOOKUP($AB457,'2000 Seattle Tracts'!$C$2:$Y$374,AU$1,FALSE)*$Z457</f>
        <v>1.8537490018870994E-3</v>
      </c>
      <c r="AV457" s="3">
        <f>VLOOKUP($AB457,'2000 Seattle Tracts'!$C$2:$Y$374,AV$1,FALSE)*$Z457</f>
        <v>4.7667831477096842E-4</v>
      </c>
      <c r="AW457" s="3">
        <f>VLOOKUP($AB457,'2000 Seattle Tracts'!$C$2:$Y$374,AW$1,FALSE)*$Z457</f>
        <v>8.0505670939096888E-3</v>
      </c>
      <c r="AX457" s="3">
        <f>VLOOKUP($AB457,'2000 Seattle Tracts'!$C$2:$Y$374,AX$1,FALSE)*$Z457</f>
        <v>8.4742811514838833E-4</v>
      </c>
    </row>
    <row r="458" spans="1:50" x14ac:dyDescent="0.25">
      <c r="A458" t="s">
        <v>2917</v>
      </c>
      <c r="B458" t="s">
        <v>2918</v>
      </c>
      <c r="C458" t="s">
        <v>3161</v>
      </c>
      <c r="D458" t="s">
        <v>2713</v>
      </c>
      <c r="E458" t="s">
        <v>2714</v>
      </c>
      <c r="F458" t="s">
        <v>2715</v>
      </c>
      <c r="G458" t="s">
        <v>2920</v>
      </c>
      <c r="H458" t="s">
        <v>2921</v>
      </c>
      <c r="I458">
        <v>973807</v>
      </c>
      <c r="J458">
        <v>0</v>
      </c>
      <c r="K458" t="s">
        <v>3162</v>
      </c>
      <c r="L458" t="s">
        <v>3163</v>
      </c>
      <c r="M458">
        <v>96</v>
      </c>
      <c r="N458">
        <v>23840.219000000001</v>
      </c>
      <c r="O458" t="s">
        <v>122</v>
      </c>
      <c r="P458">
        <v>4</v>
      </c>
      <c r="Q458">
        <v>5</v>
      </c>
      <c r="R458">
        <v>23</v>
      </c>
      <c r="S458">
        <v>30599714</v>
      </c>
      <c r="T458">
        <v>98</v>
      </c>
      <c r="U458">
        <v>117</v>
      </c>
      <c r="V458">
        <v>23840.218727432399</v>
      </c>
      <c r="W458">
        <v>30599713.626058389</v>
      </c>
      <c r="X458">
        <v>27.332000000000001</v>
      </c>
      <c r="Y458">
        <f>VLOOKUP(AB458,'2000 Seattle Tracts'!$C$2:$Z$374,24,FALSE)</f>
        <v>973807.67200000002</v>
      </c>
      <c r="Z458">
        <f t="shared" si="14"/>
        <v>2.8067143837412691E-5</v>
      </c>
      <c r="AA458" t="s">
        <v>199</v>
      </c>
      <c r="AB458" t="str">
        <f t="shared" si="15"/>
        <v>Census Tract 39, King County, Washington</v>
      </c>
      <c r="AC458" s="3">
        <f>VLOOKUP($AB458,'2000 Seattle Tracts'!$C$2:$Y$374,AC$1,FALSE)*$Z458</f>
        <v>7.544448263496531E-2</v>
      </c>
      <c r="AD458" s="3">
        <f>VLOOKUP($AB458,'2000 Seattle Tracts'!$C$2:$Y$374,AD$1,FALSE)*$Z458</f>
        <v>6.3487879360227512E-2</v>
      </c>
      <c r="AE458" s="3">
        <f>VLOOKUP($AB458,'2000 Seattle Tracts'!$C$2:$Y$374,AE$1,FALSE)*$Z458</f>
        <v>1.1956603274737807E-2</v>
      </c>
      <c r="AF458" s="3">
        <f>VLOOKUP($AB458,'2000 Seattle Tracts'!$C$2:$Y$374,AF$1,FALSE)*$Z458</f>
        <v>7.544448263496531E-2</v>
      </c>
      <c r="AG458" s="3">
        <f>VLOOKUP($AB458,'2000 Seattle Tracts'!$C$2:$Y$374,AG$1,FALSE)*$Z458</f>
        <v>6.3487879360227512E-2</v>
      </c>
      <c r="AH458" s="3">
        <f>VLOOKUP($AB458,'2000 Seattle Tracts'!$C$2:$Y$374,AH$1,FALSE)*$Z458</f>
        <v>1.1956603274737807E-2</v>
      </c>
      <c r="AI458" s="3">
        <f>VLOOKUP($AB458,'2000 Seattle Tracts'!$C$2:$Y$374,AI$1,FALSE)*$Z458</f>
        <v>5.3804714736320126E-2</v>
      </c>
      <c r="AJ458" s="3">
        <f>VLOOKUP($AB458,'2000 Seattle Tracts'!$C$2:$Y$374,AJ$1,FALSE)*$Z458</f>
        <v>5.2204887537587608E-3</v>
      </c>
      <c r="AK458" s="3">
        <f>VLOOKUP($AB458,'2000 Seattle Tracts'!$C$2:$Y$374,AK$1,FALSE)*$Z458</f>
        <v>1.45949147954546E-3</v>
      </c>
      <c r="AL458" s="3">
        <f>VLOOKUP($AB458,'2000 Seattle Tracts'!$C$2:$Y$374,AL$1,FALSE)*$Z458</f>
        <v>2.806714383741269E-4</v>
      </c>
      <c r="AM458" s="3">
        <f>VLOOKUP($AB458,'2000 Seattle Tracts'!$C$2:$Y$374,AM$1,FALSE)*$Z458</f>
        <v>5.3327573291084111E-4</v>
      </c>
      <c r="AN458" s="3">
        <f>VLOOKUP($AB458,'2000 Seattle Tracts'!$C$2:$Y$374,AN$1,FALSE)*$Z458</f>
        <v>1.9647000686188885E-4</v>
      </c>
      <c r="AO458" s="3">
        <f>VLOOKUP($AB458,'2000 Seattle Tracts'!$C$2:$Y$374,AO$1,FALSE)*$Z458</f>
        <v>5.613428767482538E-4</v>
      </c>
      <c r="AP458" s="3">
        <f>VLOOKUP($AB458,'2000 Seattle Tracts'!$C$2:$Y$374,AP$1,FALSE)*$Z458</f>
        <v>0</v>
      </c>
      <c r="AQ458" s="3">
        <f>VLOOKUP($AB458,'2000 Seattle Tracts'!$C$2:$Y$374,AQ$1,FALSE)*$Z458</f>
        <v>1.8804986371066504E-3</v>
      </c>
      <c r="AR458" s="3">
        <f>VLOOKUP($AB458,'2000 Seattle Tracts'!$C$2:$Y$374,AR$1,FALSE)*$Z458</f>
        <v>5.5572944798077126E-3</v>
      </c>
      <c r="AS458" s="3">
        <f>VLOOKUP($AB458,'2000 Seattle Tracts'!$C$2:$Y$374,AS$1,FALSE)*$Z458</f>
        <v>0</v>
      </c>
      <c r="AT458" s="3">
        <f>VLOOKUP($AB458,'2000 Seattle Tracts'!$C$2:$Y$374,AT$1,FALSE)*$Z458</f>
        <v>0</v>
      </c>
      <c r="AU458" s="3">
        <f>VLOOKUP($AB458,'2000 Seattle Tracts'!$C$2:$Y$374,AU$1,FALSE)*$Z458</f>
        <v>9.8235003430944428E-4</v>
      </c>
      <c r="AV458" s="3">
        <f>VLOOKUP($AB458,'2000 Seattle Tracts'!$C$2:$Y$374,AV$1,FALSE)*$Z458</f>
        <v>2.5260429453671421E-4</v>
      </c>
      <c r="AW458" s="3">
        <f>VLOOKUP($AB458,'2000 Seattle Tracts'!$C$2:$Y$374,AW$1,FALSE)*$Z458</f>
        <v>4.2662058632867289E-3</v>
      </c>
      <c r="AX458" s="3">
        <f>VLOOKUP($AB458,'2000 Seattle Tracts'!$C$2:$Y$374,AX$1,FALSE)*$Z458</f>
        <v>4.4907430139860306E-4</v>
      </c>
    </row>
    <row r="459" spans="1:50" x14ac:dyDescent="0.25">
      <c r="A459" t="s">
        <v>2917</v>
      </c>
      <c r="B459" t="s">
        <v>2918</v>
      </c>
      <c r="C459" t="s">
        <v>2919</v>
      </c>
      <c r="D459" t="s">
        <v>2716</v>
      </c>
      <c r="E459" t="s">
        <v>2717</v>
      </c>
      <c r="F459" t="s">
        <v>2718</v>
      </c>
      <c r="G459" t="s">
        <v>2920</v>
      </c>
      <c r="H459" t="s">
        <v>2921</v>
      </c>
      <c r="I459">
        <v>624606</v>
      </c>
      <c r="J459">
        <v>0</v>
      </c>
      <c r="K459" t="s">
        <v>2922</v>
      </c>
      <c r="L459" t="s">
        <v>2923</v>
      </c>
      <c r="M459">
        <v>36</v>
      </c>
      <c r="N459">
        <v>30993.599999999999</v>
      </c>
      <c r="O459" t="s">
        <v>122</v>
      </c>
      <c r="P459">
        <v>4</v>
      </c>
      <c r="Q459">
        <v>5</v>
      </c>
      <c r="R459">
        <v>81</v>
      </c>
      <c r="S459">
        <v>37020968</v>
      </c>
      <c r="T459">
        <v>38</v>
      </c>
      <c r="U459">
        <v>125</v>
      </c>
      <c r="V459">
        <v>30993.600213945359</v>
      </c>
      <c r="W459">
        <v>37020968.872468568</v>
      </c>
      <c r="X459">
        <v>624231.22400000005</v>
      </c>
      <c r="Y459">
        <f>VLOOKUP(AB459,'2000 Seattle Tracts'!$C$2:$Z$374,24,FALSE)</f>
        <v>624606.14199999999</v>
      </c>
      <c r="Z459">
        <f t="shared" si="14"/>
        <v>0.99939975294062999</v>
      </c>
      <c r="AA459" t="s">
        <v>127</v>
      </c>
      <c r="AB459" t="str">
        <f t="shared" si="15"/>
        <v>Census Tract 38, King County, Washington</v>
      </c>
      <c r="AC459" s="3">
        <f>VLOOKUP($AB459,'2000 Seattle Tracts'!$C$2:$Y$374,AC$1,FALSE)*$Z459</f>
        <v>1993.8025071165569</v>
      </c>
      <c r="AD459" s="3">
        <f>VLOOKUP($AB459,'2000 Seattle Tracts'!$C$2:$Y$374,AD$1,FALSE)*$Z459</f>
        <v>1674.9939859284959</v>
      </c>
      <c r="AE459" s="3">
        <f>VLOOKUP($AB459,'2000 Seattle Tracts'!$C$2:$Y$374,AE$1,FALSE)*$Z459</f>
        <v>318.80852118806098</v>
      </c>
      <c r="AF459" s="3">
        <f>VLOOKUP($AB459,'2000 Seattle Tracts'!$C$2:$Y$374,AF$1,FALSE)*$Z459</f>
        <v>1993.8025071165569</v>
      </c>
      <c r="AG459" s="3">
        <f>VLOOKUP($AB459,'2000 Seattle Tracts'!$C$2:$Y$374,AG$1,FALSE)*$Z459</f>
        <v>1674.9939859284959</v>
      </c>
      <c r="AH459" s="3">
        <f>VLOOKUP($AB459,'2000 Seattle Tracts'!$C$2:$Y$374,AH$1,FALSE)*$Z459</f>
        <v>318.80852118806098</v>
      </c>
      <c r="AI459" s="3">
        <f>VLOOKUP($AB459,'2000 Seattle Tracts'!$C$2:$Y$374,AI$1,FALSE)*$Z459</f>
        <v>1572.055811375611</v>
      </c>
      <c r="AJ459" s="3">
        <f>VLOOKUP($AB459,'2000 Seattle Tracts'!$C$2:$Y$374,AJ$1,FALSE)*$Z459</f>
        <v>153.90756195285701</v>
      </c>
      <c r="AK459" s="3">
        <f>VLOOKUP($AB459,'2000 Seattle Tracts'!$C$2:$Y$374,AK$1,FALSE)*$Z459</f>
        <v>0</v>
      </c>
      <c r="AL459" s="3">
        <f>VLOOKUP($AB459,'2000 Seattle Tracts'!$C$2:$Y$374,AL$1,FALSE)*$Z459</f>
        <v>18.988595305871971</v>
      </c>
      <c r="AM459" s="3">
        <f>VLOOKUP($AB459,'2000 Seattle Tracts'!$C$2:$Y$374,AM$1,FALSE)*$Z459</f>
        <v>6.9957982705844097</v>
      </c>
      <c r="AN459" s="3">
        <f>VLOOKUP($AB459,'2000 Seattle Tracts'!$C$2:$Y$374,AN$1,FALSE)*$Z459</f>
        <v>0</v>
      </c>
      <c r="AO459" s="3">
        <f>VLOOKUP($AB459,'2000 Seattle Tracts'!$C$2:$Y$374,AO$1,FALSE)*$Z459</f>
        <v>0</v>
      </c>
      <c r="AP459" s="3">
        <f>VLOOKUP($AB459,'2000 Seattle Tracts'!$C$2:$Y$374,AP$1,FALSE)*$Z459</f>
        <v>0</v>
      </c>
      <c r="AQ459" s="3">
        <f>VLOOKUP($AB459,'2000 Seattle Tracts'!$C$2:$Y$374,AQ$1,FALSE)*$Z459</f>
        <v>33.979591599981418</v>
      </c>
      <c r="AR459" s="3">
        <f>VLOOKUP($AB459,'2000 Seattle Tracts'!$C$2:$Y$374,AR$1,FALSE)*$Z459</f>
        <v>126.92376862346001</v>
      </c>
      <c r="AS459" s="3">
        <f>VLOOKUP($AB459,'2000 Seattle Tracts'!$C$2:$Y$374,AS$1,FALSE)*$Z459</f>
        <v>0</v>
      </c>
      <c r="AT459" s="3">
        <f>VLOOKUP($AB459,'2000 Seattle Tracts'!$C$2:$Y$374,AT$1,FALSE)*$Z459</f>
        <v>0</v>
      </c>
      <c r="AU459" s="3">
        <f>VLOOKUP($AB459,'2000 Seattle Tracts'!$C$2:$Y$374,AU$1,FALSE)*$Z459</f>
        <v>15.99039604705008</v>
      </c>
      <c r="AV459" s="3">
        <f>VLOOKUP($AB459,'2000 Seattle Tracts'!$C$2:$Y$374,AV$1,FALSE)*$Z459</f>
        <v>13.991596541168819</v>
      </c>
      <c r="AW459" s="3">
        <f>VLOOKUP($AB459,'2000 Seattle Tracts'!$C$2:$Y$374,AW$1,FALSE)*$Z459</f>
        <v>45.972388635268977</v>
      </c>
      <c r="AX459" s="3">
        <f>VLOOKUP($AB459,'2000 Seattle Tracts'!$C$2:$Y$374,AX$1,FALSE)*$Z459</f>
        <v>4.9969987647031502</v>
      </c>
    </row>
    <row r="460" spans="1:50" x14ac:dyDescent="0.25">
      <c r="A460" t="s">
        <v>2917</v>
      </c>
      <c r="B460" t="s">
        <v>2918</v>
      </c>
      <c r="C460" t="s">
        <v>2919</v>
      </c>
      <c r="D460" t="s">
        <v>2716</v>
      </c>
      <c r="E460" t="s">
        <v>2717</v>
      </c>
      <c r="F460" t="s">
        <v>2718</v>
      </c>
      <c r="G460" t="s">
        <v>2920</v>
      </c>
      <c r="H460" t="s">
        <v>2921</v>
      </c>
      <c r="I460">
        <v>624606</v>
      </c>
      <c r="J460">
        <v>0</v>
      </c>
      <c r="K460" t="s">
        <v>2922</v>
      </c>
      <c r="L460" t="s">
        <v>2923</v>
      </c>
      <c r="M460">
        <v>38</v>
      </c>
      <c r="N460">
        <v>20928.002</v>
      </c>
      <c r="O460" t="s">
        <v>122</v>
      </c>
      <c r="P460">
        <v>4</v>
      </c>
      <c r="Q460">
        <v>5</v>
      </c>
      <c r="R460">
        <v>24</v>
      </c>
      <c r="S460">
        <v>15485078</v>
      </c>
      <c r="T460">
        <v>40</v>
      </c>
      <c r="U460">
        <v>128</v>
      </c>
      <c r="V460">
        <v>20928.00172430617</v>
      </c>
      <c r="W460">
        <v>15485078.03322144</v>
      </c>
      <c r="X460">
        <v>236.583</v>
      </c>
      <c r="Y460">
        <f>VLOOKUP(AB460,'2000 Seattle Tracts'!$C$2:$Z$374,24,FALSE)</f>
        <v>624606.14199999999</v>
      </c>
      <c r="Z460">
        <f t="shared" si="14"/>
        <v>3.7877149149135328E-4</v>
      </c>
      <c r="AA460" t="s">
        <v>129</v>
      </c>
      <c r="AB460" t="str">
        <f t="shared" si="15"/>
        <v>Census Tract 38, King County, Washington</v>
      </c>
      <c r="AC460" s="3">
        <f>VLOOKUP($AB460,'2000 Seattle Tracts'!$C$2:$Y$374,AC$1,FALSE)*$Z460</f>
        <v>0.75564912552524977</v>
      </c>
      <c r="AD460" s="3">
        <f>VLOOKUP($AB460,'2000 Seattle Tracts'!$C$2:$Y$374,AD$1,FALSE)*$Z460</f>
        <v>0.63482101973950811</v>
      </c>
      <c r="AE460" s="3">
        <f>VLOOKUP($AB460,'2000 Seattle Tracts'!$C$2:$Y$374,AE$1,FALSE)*$Z460</f>
        <v>0.1208281057857417</v>
      </c>
      <c r="AF460" s="3">
        <f>VLOOKUP($AB460,'2000 Seattle Tracts'!$C$2:$Y$374,AF$1,FALSE)*$Z460</f>
        <v>0.75564912552524977</v>
      </c>
      <c r="AG460" s="3">
        <f>VLOOKUP($AB460,'2000 Seattle Tracts'!$C$2:$Y$374,AG$1,FALSE)*$Z460</f>
        <v>0.63482101973950811</v>
      </c>
      <c r="AH460" s="3">
        <f>VLOOKUP($AB460,'2000 Seattle Tracts'!$C$2:$Y$374,AH$1,FALSE)*$Z460</f>
        <v>0.1208281057857417</v>
      </c>
      <c r="AI460" s="3">
        <f>VLOOKUP($AB460,'2000 Seattle Tracts'!$C$2:$Y$374,AI$1,FALSE)*$Z460</f>
        <v>0.59580755611589875</v>
      </c>
      <c r="AJ460" s="3">
        <f>VLOOKUP($AB460,'2000 Seattle Tracts'!$C$2:$Y$374,AJ$1,FALSE)*$Z460</f>
        <v>5.8330809689668403E-2</v>
      </c>
      <c r="AK460" s="3">
        <f>VLOOKUP($AB460,'2000 Seattle Tracts'!$C$2:$Y$374,AK$1,FALSE)*$Z460</f>
        <v>0</v>
      </c>
      <c r="AL460" s="3">
        <f>VLOOKUP($AB460,'2000 Seattle Tracts'!$C$2:$Y$374,AL$1,FALSE)*$Z460</f>
        <v>7.1966583383357126E-3</v>
      </c>
      <c r="AM460" s="3">
        <f>VLOOKUP($AB460,'2000 Seattle Tracts'!$C$2:$Y$374,AM$1,FALSE)*$Z460</f>
        <v>2.651400440439473E-3</v>
      </c>
      <c r="AN460" s="3">
        <f>VLOOKUP($AB460,'2000 Seattle Tracts'!$C$2:$Y$374,AN$1,FALSE)*$Z460</f>
        <v>0</v>
      </c>
      <c r="AO460" s="3">
        <f>VLOOKUP($AB460,'2000 Seattle Tracts'!$C$2:$Y$374,AO$1,FALSE)*$Z460</f>
        <v>0</v>
      </c>
      <c r="AP460" s="3">
        <f>VLOOKUP($AB460,'2000 Seattle Tracts'!$C$2:$Y$374,AP$1,FALSE)*$Z460</f>
        <v>0</v>
      </c>
      <c r="AQ460" s="3">
        <f>VLOOKUP($AB460,'2000 Seattle Tracts'!$C$2:$Y$374,AQ$1,FALSE)*$Z460</f>
        <v>1.2878230710706012E-2</v>
      </c>
      <c r="AR460" s="3">
        <f>VLOOKUP($AB460,'2000 Seattle Tracts'!$C$2:$Y$374,AR$1,FALSE)*$Z460</f>
        <v>4.8103979419401866E-2</v>
      </c>
      <c r="AS460" s="3">
        <f>VLOOKUP($AB460,'2000 Seattle Tracts'!$C$2:$Y$374,AS$1,FALSE)*$Z460</f>
        <v>0</v>
      </c>
      <c r="AT460" s="3">
        <f>VLOOKUP($AB460,'2000 Seattle Tracts'!$C$2:$Y$374,AT$1,FALSE)*$Z460</f>
        <v>0</v>
      </c>
      <c r="AU460" s="3">
        <f>VLOOKUP($AB460,'2000 Seattle Tracts'!$C$2:$Y$374,AU$1,FALSE)*$Z460</f>
        <v>6.0603438638616525E-3</v>
      </c>
      <c r="AV460" s="3">
        <f>VLOOKUP($AB460,'2000 Seattle Tracts'!$C$2:$Y$374,AV$1,FALSE)*$Z460</f>
        <v>5.302800880878946E-3</v>
      </c>
      <c r="AW460" s="3">
        <f>VLOOKUP($AB460,'2000 Seattle Tracts'!$C$2:$Y$374,AW$1,FALSE)*$Z460</f>
        <v>1.7423488608602249E-2</v>
      </c>
      <c r="AX460" s="3">
        <f>VLOOKUP($AB460,'2000 Seattle Tracts'!$C$2:$Y$374,AX$1,FALSE)*$Z460</f>
        <v>1.8938574574567664E-3</v>
      </c>
    </row>
    <row r="461" spans="1:50" x14ac:dyDescent="0.25">
      <c r="A461" t="s">
        <v>2917</v>
      </c>
      <c r="B461" t="s">
        <v>2918</v>
      </c>
      <c r="C461" t="s">
        <v>2919</v>
      </c>
      <c r="D461" t="s">
        <v>2716</v>
      </c>
      <c r="E461" t="s">
        <v>2717</v>
      </c>
      <c r="F461" t="s">
        <v>2718</v>
      </c>
      <c r="G461" t="s">
        <v>2920</v>
      </c>
      <c r="H461" t="s">
        <v>2921</v>
      </c>
      <c r="I461">
        <v>624606</v>
      </c>
      <c r="J461">
        <v>0</v>
      </c>
      <c r="K461" t="s">
        <v>2922</v>
      </c>
      <c r="L461" t="s">
        <v>2923</v>
      </c>
      <c r="M461">
        <v>96</v>
      </c>
      <c r="N461">
        <v>23840.219000000001</v>
      </c>
      <c r="O461" t="s">
        <v>122</v>
      </c>
      <c r="P461">
        <v>4</v>
      </c>
      <c r="Q461">
        <v>5</v>
      </c>
      <c r="R461">
        <v>23</v>
      </c>
      <c r="S461">
        <v>30599714</v>
      </c>
      <c r="T461">
        <v>98</v>
      </c>
      <c r="U461">
        <v>117</v>
      </c>
      <c r="V461">
        <v>23840.218727432399</v>
      </c>
      <c r="W461">
        <v>30599713.626058389</v>
      </c>
      <c r="X461">
        <v>138.33500000000001</v>
      </c>
      <c r="Y461">
        <f>VLOOKUP(AB461,'2000 Seattle Tracts'!$C$2:$Z$374,24,FALSE)</f>
        <v>624606.14199999999</v>
      </c>
      <c r="Z461">
        <f t="shared" si="14"/>
        <v>2.2147556787874176E-4</v>
      </c>
      <c r="AA461" t="s">
        <v>199</v>
      </c>
      <c r="AB461" t="str">
        <f t="shared" si="15"/>
        <v>Census Tract 38, King County, Washington</v>
      </c>
      <c r="AC461" s="3">
        <f>VLOOKUP($AB461,'2000 Seattle Tracts'!$C$2:$Y$374,AC$1,FALSE)*$Z461</f>
        <v>0.44184375791808977</v>
      </c>
      <c r="AD461" s="3">
        <f>VLOOKUP($AB461,'2000 Seattle Tracts'!$C$2:$Y$374,AD$1,FALSE)*$Z461</f>
        <v>0.37119305176477119</v>
      </c>
      <c r="AE461" s="3">
        <f>VLOOKUP($AB461,'2000 Seattle Tracts'!$C$2:$Y$374,AE$1,FALSE)*$Z461</f>
        <v>7.0650706153318615E-2</v>
      </c>
      <c r="AF461" s="3">
        <f>VLOOKUP($AB461,'2000 Seattle Tracts'!$C$2:$Y$374,AF$1,FALSE)*$Z461</f>
        <v>0.44184375791808977</v>
      </c>
      <c r="AG461" s="3">
        <f>VLOOKUP($AB461,'2000 Seattle Tracts'!$C$2:$Y$374,AG$1,FALSE)*$Z461</f>
        <v>0.37119305176477119</v>
      </c>
      <c r="AH461" s="3">
        <f>VLOOKUP($AB461,'2000 Seattle Tracts'!$C$2:$Y$374,AH$1,FALSE)*$Z461</f>
        <v>7.0650706153318615E-2</v>
      </c>
      <c r="AI461" s="3">
        <f>VLOOKUP($AB461,'2000 Seattle Tracts'!$C$2:$Y$374,AI$1,FALSE)*$Z461</f>
        <v>0.34838106827326076</v>
      </c>
      <c r="AJ461" s="3">
        <f>VLOOKUP($AB461,'2000 Seattle Tracts'!$C$2:$Y$374,AJ$1,FALSE)*$Z461</f>
        <v>3.4107237453326229E-2</v>
      </c>
      <c r="AK461" s="3">
        <f>VLOOKUP($AB461,'2000 Seattle Tracts'!$C$2:$Y$374,AK$1,FALSE)*$Z461</f>
        <v>0</v>
      </c>
      <c r="AL461" s="3">
        <f>VLOOKUP($AB461,'2000 Seattle Tracts'!$C$2:$Y$374,AL$1,FALSE)*$Z461</f>
        <v>4.208035789696093E-3</v>
      </c>
      <c r="AM461" s="3">
        <f>VLOOKUP($AB461,'2000 Seattle Tracts'!$C$2:$Y$374,AM$1,FALSE)*$Z461</f>
        <v>1.5503289751511923E-3</v>
      </c>
      <c r="AN461" s="3">
        <f>VLOOKUP($AB461,'2000 Seattle Tracts'!$C$2:$Y$374,AN$1,FALSE)*$Z461</f>
        <v>0</v>
      </c>
      <c r="AO461" s="3">
        <f>VLOOKUP($AB461,'2000 Seattle Tracts'!$C$2:$Y$374,AO$1,FALSE)*$Z461</f>
        <v>0</v>
      </c>
      <c r="AP461" s="3">
        <f>VLOOKUP($AB461,'2000 Seattle Tracts'!$C$2:$Y$374,AP$1,FALSE)*$Z461</f>
        <v>0</v>
      </c>
      <c r="AQ461" s="3">
        <f>VLOOKUP($AB461,'2000 Seattle Tracts'!$C$2:$Y$374,AQ$1,FALSE)*$Z461</f>
        <v>7.53016930787722E-3</v>
      </c>
      <c r="AR461" s="3">
        <f>VLOOKUP($AB461,'2000 Seattle Tracts'!$C$2:$Y$374,AR$1,FALSE)*$Z461</f>
        <v>2.8127397120600202E-2</v>
      </c>
      <c r="AS461" s="3">
        <f>VLOOKUP($AB461,'2000 Seattle Tracts'!$C$2:$Y$374,AS$1,FALSE)*$Z461</f>
        <v>0</v>
      </c>
      <c r="AT461" s="3">
        <f>VLOOKUP($AB461,'2000 Seattle Tracts'!$C$2:$Y$374,AT$1,FALSE)*$Z461</f>
        <v>0</v>
      </c>
      <c r="AU461" s="3">
        <f>VLOOKUP($AB461,'2000 Seattle Tracts'!$C$2:$Y$374,AU$1,FALSE)*$Z461</f>
        <v>3.5436090860598681E-3</v>
      </c>
      <c r="AV461" s="3">
        <f>VLOOKUP($AB461,'2000 Seattle Tracts'!$C$2:$Y$374,AV$1,FALSE)*$Z461</f>
        <v>3.1006579503023847E-3</v>
      </c>
      <c r="AW461" s="3">
        <f>VLOOKUP($AB461,'2000 Seattle Tracts'!$C$2:$Y$374,AW$1,FALSE)*$Z461</f>
        <v>1.0187876122422121E-2</v>
      </c>
      <c r="AX461" s="3">
        <f>VLOOKUP($AB461,'2000 Seattle Tracts'!$C$2:$Y$374,AX$1,FALSE)*$Z461</f>
        <v>1.1073778393937087E-3</v>
      </c>
    </row>
    <row r="462" spans="1:50" x14ac:dyDescent="0.25">
      <c r="A462" t="s">
        <v>2917</v>
      </c>
      <c r="B462" t="s">
        <v>2918</v>
      </c>
      <c r="C462" t="s">
        <v>3200</v>
      </c>
      <c r="D462" t="s">
        <v>2638</v>
      </c>
      <c r="E462" t="s">
        <v>2639</v>
      </c>
      <c r="F462" t="s">
        <v>2640</v>
      </c>
      <c r="G462" t="s">
        <v>2920</v>
      </c>
      <c r="H462" t="s">
        <v>2921</v>
      </c>
      <c r="I462">
        <v>1806158</v>
      </c>
      <c r="J462">
        <v>173889</v>
      </c>
      <c r="K462" t="s">
        <v>3201</v>
      </c>
      <c r="L462" t="s">
        <v>3202</v>
      </c>
      <c r="M462">
        <v>44</v>
      </c>
      <c r="N462">
        <v>20631.705000000002</v>
      </c>
      <c r="O462" t="s">
        <v>136</v>
      </c>
      <c r="P462">
        <v>10</v>
      </c>
      <c r="Q462">
        <v>7</v>
      </c>
      <c r="R462">
        <v>94</v>
      </c>
      <c r="S462">
        <v>17974986</v>
      </c>
      <c r="T462">
        <v>46</v>
      </c>
      <c r="U462">
        <v>148</v>
      </c>
      <c r="V462">
        <v>20631.70572929232</v>
      </c>
      <c r="W462">
        <v>17974985.95263635</v>
      </c>
      <c r="X462">
        <v>2432.799</v>
      </c>
      <c r="Y462">
        <f>VLOOKUP(AB462,'2000 Seattle Tracts'!$C$2:$Z$374,24,FALSE)</f>
        <v>1804803.649</v>
      </c>
      <c r="Z462">
        <f t="shared" si="14"/>
        <v>1.3479577134875352E-3</v>
      </c>
      <c r="AA462" t="s">
        <v>137</v>
      </c>
      <c r="AB462" t="str">
        <f t="shared" si="15"/>
        <v>Census Tract 59, King County, Washington</v>
      </c>
      <c r="AC462" s="3">
        <f>VLOOKUP($AB462,'2000 Seattle Tracts'!$C$2:$Y$374,AC$1,FALSE)*$Z462</f>
        <v>9.051536046068799</v>
      </c>
      <c r="AD462" s="3">
        <f>VLOOKUP($AB462,'2000 Seattle Tracts'!$C$2:$Y$374,AD$1,FALSE)*$Z462</f>
        <v>8.2211940945604773</v>
      </c>
      <c r="AE462" s="3">
        <f>VLOOKUP($AB462,'2000 Seattle Tracts'!$C$2:$Y$374,AE$1,FALSE)*$Z462</f>
        <v>0.83034195150832169</v>
      </c>
      <c r="AF462" s="3">
        <f>VLOOKUP($AB462,'2000 Seattle Tracts'!$C$2:$Y$374,AF$1,FALSE)*$Z462</f>
        <v>9.051536046068799</v>
      </c>
      <c r="AG462" s="3">
        <f>VLOOKUP($AB462,'2000 Seattle Tracts'!$C$2:$Y$374,AG$1,FALSE)*$Z462</f>
        <v>8.2211940945604773</v>
      </c>
      <c r="AH462" s="3">
        <f>VLOOKUP($AB462,'2000 Seattle Tracts'!$C$2:$Y$374,AH$1,FALSE)*$Z462</f>
        <v>0.83034195150832169</v>
      </c>
      <c r="AI462" s="3">
        <f>VLOOKUP($AB462,'2000 Seattle Tracts'!$C$2:$Y$374,AI$1,FALSE)*$Z462</f>
        <v>7.5350836183953218</v>
      </c>
      <c r="AJ462" s="3">
        <f>VLOOKUP($AB462,'2000 Seattle Tracts'!$C$2:$Y$374,AJ$1,FALSE)*$Z462</f>
        <v>0.4556097071587869</v>
      </c>
      <c r="AK462" s="3">
        <f>VLOOKUP($AB462,'2000 Seattle Tracts'!$C$2:$Y$374,AK$1,FALSE)*$Z462</f>
        <v>0.11727232107341556</v>
      </c>
      <c r="AL462" s="3">
        <f>VLOOKUP($AB462,'2000 Seattle Tracts'!$C$2:$Y$374,AL$1,FALSE)*$Z462</f>
        <v>4.178668911811359E-2</v>
      </c>
      <c r="AM462" s="3">
        <f>VLOOKUP($AB462,'2000 Seattle Tracts'!$C$2:$Y$374,AM$1,FALSE)*$Z462</f>
        <v>7.413767424181443E-2</v>
      </c>
      <c r="AN462" s="3">
        <f>VLOOKUP($AB462,'2000 Seattle Tracts'!$C$2:$Y$374,AN$1,FALSE)*$Z462</f>
        <v>0</v>
      </c>
      <c r="AO462" s="3">
        <f>VLOOKUP($AB462,'2000 Seattle Tracts'!$C$2:$Y$374,AO$1,FALSE)*$Z462</f>
        <v>4.9874435399038804E-2</v>
      </c>
      <c r="AP462" s="3">
        <f>VLOOKUP($AB462,'2000 Seattle Tracts'!$C$2:$Y$374,AP$1,FALSE)*$Z462</f>
        <v>0</v>
      </c>
      <c r="AQ462" s="3">
        <f>VLOOKUP($AB462,'2000 Seattle Tracts'!$C$2:$Y$374,AQ$1,FALSE)*$Z462</f>
        <v>0.15636309476455409</v>
      </c>
      <c r="AR462" s="3">
        <f>VLOOKUP($AB462,'2000 Seattle Tracts'!$C$2:$Y$374,AR$1,FALSE)*$Z462</f>
        <v>0.3019425278212079</v>
      </c>
      <c r="AS462" s="3">
        <f>VLOOKUP($AB462,'2000 Seattle Tracts'!$C$2:$Y$374,AS$1,FALSE)*$Z462</f>
        <v>0</v>
      </c>
      <c r="AT462" s="3">
        <f>VLOOKUP($AB462,'2000 Seattle Tracts'!$C$2:$Y$374,AT$1,FALSE)*$Z462</f>
        <v>2.561119655626317E-2</v>
      </c>
      <c r="AU462" s="3">
        <f>VLOOKUP($AB462,'2000 Seattle Tracts'!$C$2:$Y$374,AU$1,FALSE)*$Z462</f>
        <v>0</v>
      </c>
      <c r="AV462" s="3">
        <f>VLOOKUP($AB462,'2000 Seattle Tracts'!$C$2:$Y$374,AV$1,FALSE)*$Z462</f>
        <v>0</v>
      </c>
      <c r="AW462" s="3">
        <f>VLOOKUP($AB462,'2000 Seattle Tracts'!$C$2:$Y$374,AW$1,FALSE)*$Z462</f>
        <v>0.28846295068633254</v>
      </c>
      <c r="AX462" s="3">
        <f>VLOOKUP($AB462,'2000 Seattle Tracts'!$C$2:$Y$374,AX$1,FALSE)*$Z462</f>
        <v>5.3918308539501409E-3</v>
      </c>
    </row>
    <row r="463" spans="1:50" x14ac:dyDescent="0.25">
      <c r="A463" t="s">
        <v>2917</v>
      </c>
      <c r="B463" t="s">
        <v>2918</v>
      </c>
      <c r="C463" t="s">
        <v>3200</v>
      </c>
      <c r="D463" t="s">
        <v>2638</v>
      </c>
      <c r="E463" t="s">
        <v>2639</v>
      </c>
      <c r="F463" t="s">
        <v>2640</v>
      </c>
      <c r="G463" t="s">
        <v>2920</v>
      </c>
      <c r="H463" t="s">
        <v>2921</v>
      </c>
      <c r="I463">
        <v>1806158</v>
      </c>
      <c r="J463">
        <v>173889</v>
      </c>
      <c r="K463" t="s">
        <v>3201</v>
      </c>
      <c r="L463" t="s">
        <v>3202</v>
      </c>
      <c r="M463">
        <v>46</v>
      </c>
      <c r="N463">
        <v>26753.555</v>
      </c>
      <c r="O463" t="s">
        <v>136</v>
      </c>
      <c r="P463">
        <v>10</v>
      </c>
      <c r="Q463">
        <v>7</v>
      </c>
      <c r="R463">
        <v>19</v>
      </c>
      <c r="S463">
        <v>29604288</v>
      </c>
      <c r="T463">
        <v>48</v>
      </c>
      <c r="U463">
        <v>140</v>
      </c>
      <c r="V463">
        <v>26753.55428174289</v>
      </c>
      <c r="W463">
        <v>29604288.332963161</v>
      </c>
      <c r="X463">
        <v>1799449.1869999999</v>
      </c>
      <c r="Y463">
        <f>VLOOKUP(AB463,'2000 Seattle Tracts'!$C$2:$Z$374,24,FALSE)</f>
        <v>1804803.649</v>
      </c>
      <c r="Z463">
        <f t="shared" si="14"/>
        <v>0.99703321632634834</v>
      </c>
      <c r="AA463" t="s">
        <v>139</v>
      </c>
      <c r="AB463" t="str">
        <f t="shared" si="15"/>
        <v>Census Tract 59, King County, Washington</v>
      </c>
      <c r="AC463" s="3">
        <f>VLOOKUP($AB463,'2000 Seattle Tracts'!$C$2:$Y$374,AC$1,FALSE)*$Z463</f>
        <v>6695.0780476314294</v>
      </c>
      <c r="AD463" s="3">
        <f>VLOOKUP($AB463,'2000 Seattle Tracts'!$C$2:$Y$374,AD$1,FALSE)*$Z463</f>
        <v>6080.9055863743988</v>
      </c>
      <c r="AE463" s="3">
        <f>VLOOKUP($AB463,'2000 Seattle Tracts'!$C$2:$Y$374,AE$1,FALSE)*$Z463</f>
        <v>614.17246125703059</v>
      </c>
      <c r="AF463" s="3">
        <f>VLOOKUP($AB463,'2000 Seattle Tracts'!$C$2:$Y$374,AF$1,FALSE)*$Z463</f>
        <v>6695.0780476314294</v>
      </c>
      <c r="AG463" s="3">
        <f>VLOOKUP($AB463,'2000 Seattle Tracts'!$C$2:$Y$374,AG$1,FALSE)*$Z463</f>
        <v>6080.9055863743988</v>
      </c>
      <c r="AH463" s="3">
        <f>VLOOKUP($AB463,'2000 Seattle Tracts'!$C$2:$Y$374,AH$1,FALSE)*$Z463</f>
        <v>614.17246125703059</v>
      </c>
      <c r="AI463" s="3">
        <f>VLOOKUP($AB463,'2000 Seattle Tracts'!$C$2:$Y$374,AI$1,FALSE)*$Z463</f>
        <v>5573.4156792642871</v>
      </c>
      <c r="AJ463" s="3">
        <f>VLOOKUP($AB463,'2000 Seattle Tracts'!$C$2:$Y$374,AJ$1,FALSE)*$Z463</f>
        <v>336.99722711830572</v>
      </c>
      <c r="AK463" s="3">
        <f>VLOOKUP($AB463,'2000 Seattle Tracts'!$C$2:$Y$374,AK$1,FALSE)*$Z463</f>
        <v>86.741889820392302</v>
      </c>
      <c r="AL463" s="3">
        <f>VLOOKUP($AB463,'2000 Seattle Tracts'!$C$2:$Y$374,AL$1,FALSE)*$Z463</f>
        <v>30.9080297061168</v>
      </c>
      <c r="AM463" s="3">
        <f>VLOOKUP($AB463,'2000 Seattle Tracts'!$C$2:$Y$374,AM$1,FALSE)*$Z463</f>
        <v>54.836826897949159</v>
      </c>
      <c r="AN463" s="3">
        <f>VLOOKUP($AB463,'2000 Seattle Tracts'!$C$2:$Y$374,AN$1,FALSE)*$Z463</f>
        <v>0</v>
      </c>
      <c r="AO463" s="3">
        <f>VLOOKUP($AB463,'2000 Seattle Tracts'!$C$2:$Y$374,AO$1,FALSE)*$Z463</f>
        <v>36.890229004074889</v>
      </c>
      <c r="AP463" s="3">
        <f>VLOOKUP($AB463,'2000 Seattle Tracts'!$C$2:$Y$374,AP$1,FALSE)*$Z463</f>
        <v>0</v>
      </c>
      <c r="AQ463" s="3">
        <f>VLOOKUP($AB463,'2000 Seattle Tracts'!$C$2:$Y$374,AQ$1,FALSE)*$Z463</f>
        <v>115.65585309385641</v>
      </c>
      <c r="AR463" s="3">
        <f>VLOOKUP($AB463,'2000 Seattle Tracts'!$C$2:$Y$374,AR$1,FALSE)*$Z463</f>
        <v>223.33544045710204</v>
      </c>
      <c r="AS463" s="3">
        <f>VLOOKUP($AB463,'2000 Seattle Tracts'!$C$2:$Y$374,AS$1,FALSE)*$Z463</f>
        <v>0</v>
      </c>
      <c r="AT463" s="3">
        <f>VLOOKUP($AB463,'2000 Seattle Tracts'!$C$2:$Y$374,AT$1,FALSE)*$Z463</f>
        <v>18.94363111020062</v>
      </c>
      <c r="AU463" s="3">
        <f>VLOOKUP($AB463,'2000 Seattle Tracts'!$C$2:$Y$374,AU$1,FALSE)*$Z463</f>
        <v>0</v>
      </c>
      <c r="AV463" s="3">
        <f>VLOOKUP($AB463,'2000 Seattle Tracts'!$C$2:$Y$374,AV$1,FALSE)*$Z463</f>
        <v>0</v>
      </c>
      <c r="AW463" s="3">
        <f>VLOOKUP($AB463,'2000 Seattle Tracts'!$C$2:$Y$374,AW$1,FALSE)*$Z463</f>
        <v>213.36510829383855</v>
      </c>
      <c r="AX463" s="3">
        <f>VLOOKUP($AB463,'2000 Seattle Tracts'!$C$2:$Y$374,AX$1,FALSE)*$Z463</f>
        <v>3.9881328653053933</v>
      </c>
    </row>
    <row r="464" spans="1:50" x14ac:dyDescent="0.25">
      <c r="A464" t="s">
        <v>2917</v>
      </c>
      <c r="B464" t="s">
        <v>2918</v>
      </c>
      <c r="C464" t="s">
        <v>3200</v>
      </c>
      <c r="D464" t="s">
        <v>2638</v>
      </c>
      <c r="E464" t="s">
        <v>2639</v>
      </c>
      <c r="F464" t="s">
        <v>2640</v>
      </c>
      <c r="G464" t="s">
        <v>2920</v>
      </c>
      <c r="H464" t="s">
        <v>2921</v>
      </c>
      <c r="I464">
        <v>1806158</v>
      </c>
      <c r="J464">
        <v>173889</v>
      </c>
      <c r="K464" t="s">
        <v>3201</v>
      </c>
      <c r="L464" t="s">
        <v>3202</v>
      </c>
      <c r="M464">
        <v>66</v>
      </c>
      <c r="N464">
        <v>64207.586000000003</v>
      </c>
      <c r="O464" t="s">
        <v>164</v>
      </c>
      <c r="P464">
        <v>9</v>
      </c>
      <c r="Q464">
        <v>12</v>
      </c>
      <c r="R464">
        <v>95</v>
      </c>
      <c r="S464">
        <v>33503942</v>
      </c>
      <c r="T464">
        <v>68</v>
      </c>
      <c r="U464">
        <v>199</v>
      </c>
      <c r="V464">
        <v>64207.586761171791</v>
      </c>
      <c r="W464">
        <v>33503941.092720222</v>
      </c>
      <c r="X464">
        <v>319.25200000000001</v>
      </c>
      <c r="Y464">
        <f>VLOOKUP(AB464,'2000 Seattle Tracts'!$C$2:$Z$374,24,FALSE)</f>
        <v>1804803.649</v>
      </c>
      <c r="Z464">
        <f t="shared" si="14"/>
        <v>1.768901565424528E-4</v>
      </c>
      <c r="AA464" t="s">
        <v>163</v>
      </c>
      <c r="AB464" t="str">
        <f t="shared" si="15"/>
        <v>Census Tract 59, King County, Washington</v>
      </c>
      <c r="AC464" s="3">
        <f>VLOOKUP($AB464,'2000 Seattle Tracts'!$C$2:$Y$374,AC$1,FALSE)*$Z464</f>
        <v>1.1878174011825706</v>
      </c>
      <c r="AD464" s="3">
        <f>VLOOKUP($AB464,'2000 Seattle Tracts'!$C$2:$Y$374,AD$1,FALSE)*$Z464</f>
        <v>1.0788530647524197</v>
      </c>
      <c r="AE464" s="3">
        <f>VLOOKUP($AB464,'2000 Seattle Tracts'!$C$2:$Y$374,AE$1,FALSE)*$Z464</f>
        <v>0.10896433643015092</v>
      </c>
      <c r="AF464" s="3">
        <f>VLOOKUP($AB464,'2000 Seattle Tracts'!$C$2:$Y$374,AF$1,FALSE)*$Z464</f>
        <v>1.1878174011825706</v>
      </c>
      <c r="AG464" s="3">
        <f>VLOOKUP($AB464,'2000 Seattle Tracts'!$C$2:$Y$374,AG$1,FALSE)*$Z464</f>
        <v>1.0788530647524197</v>
      </c>
      <c r="AH464" s="3">
        <f>VLOOKUP($AB464,'2000 Seattle Tracts'!$C$2:$Y$374,AH$1,FALSE)*$Z464</f>
        <v>0.10896433643015092</v>
      </c>
      <c r="AI464" s="3">
        <f>VLOOKUP($AB464,'2000 Seattle Tracts'!$C$2:$Y$374,AI$1,FALSE)*$Z464</f>
        <v>0.98881597507231112</v>
      </c>
      <c r="AJ464" s="3">
        <f>VLOOKUP($AB464,'2000 Seattle Tracts'!$C$2:$Y$374,AJ$1,FALSE)*$Z464</f>
        <v>5.9788872911349045E-2</v>
      </c>
      <c r="AK464" s="3">
        <f>VLOOKUP($AB464,'2000 Seattle Tracts'!$C$2:$Y$374,AK$1,FALSE)*$Z464</f>
        <v>1.5389443619193394E-2</v>
      </c>
      <c r="AL464" s="3">
        <f>VLOOKUP($AB464,'2000 Seattle Tracts'!$C$2:$Y$374,AL$1,FALSE)*$Z464</f>
        <v>5.483594852816037E-3</v>
      </c>
      <c r="AM464" s="3">
        <f>VLOOKUP($AB464,'2000 Seattle Tracts'!$C$2:$Y$374,AM$1,FALSE)*$Z464</f>
        <v>9.7289586098349042E-3</v>
      </c>
      <c r="AN464" s="3">
        <f>VLOOKUP($AB464,'2000 Seattle Tracts'!$C$2:$Y$374,AN$1,FALSE)*$Z464</f>
        <v>0</v>
      </c>
      <c r="AO464" s="3">
        <f>VLOOKUP($AB464,'2000 Seattle Tracts'!$C$2:$Y$374,AO$1,FALSE)*$Z464</f>
        <v>6.5449357920707536E-3</v>
      </c>
      <c r="AP464" s="3">
        <f>VLOOKUP($AB464,'2000 Seattle Tracts'!$C$2:$Y$374,AP$1,FALSE)*$Z464</f>
        <v>0</v>
      </c>
      <c r="AQ464" s="3">
        <f>VLOOKUP($AB464,'2000 Seattle Tracts'!$C$2:$Y$374,AQ$1,FALSE)*$Z464</f>
        <v>2.0519258158924525E-2</v>
      </c>
      <c r="AR464" s="3">
        <f>VLOOKUP($AB464,'2000 Seattle Tracts'!$C$2:$Y$374,AR$1,FALSE)*$Z464</f>
        <v>3.9623395065509423E-2</v>
      </c>
      <c r="AS464" s="3">
        <f>VLOOKUP($AB464,'2000 Seattle Tracts'!$C$2:$Y$374,AS$1,FALSE)*$Z464</f>
        <v>0</v>
      </c>
      <c r="AT464" s="3">
        <f>VLOOKUP($AB464,'2000 Seattle Tracts'!$C$2:$Y$374,AT$1,FALSE)*$Z464</f>
        <v>3.360912974306603E-3</v>
      </c>
      <c r="AU464" s="3">
        <f>VLOOKUP($AB464,'2000 Seattle Tracts'!$C$2:$Y$374,AU$1,FALSE)*$Z464</f>
        <v>0</v>
      </c>
      <c r="AV464" s="3">
        <f>VLOOKUP($AB464,'2000 Seattle Tracts'!$C$2:$Y$374,AV$1,FALSE)*$Z464</f>
        <v>0</v>
      </c>
      <c r="AW464" s="3">
        <f>VLOOKUP($AB464,'2000 Seattle Tracts'!$C$2:$Y$374,AW$1,FALSE)*$Z464</f>
        <v>3.78544935000849E-2</v>
      </c>
      <c r="AX464" s="3">
        <f>VLOOKUP($AB464,'2000 Seattle Tracts'!$C$2:$Y$374,AX$1,FALSE)*$Z464</f>
        <v>7.0756062616981119E-4</v>
      </c>
    </row>
    <row r="465" spans="1:50" x14ac:dyDescent="0.25">
      <c r="A465" t="s">
        <v>2917</v>
      </c>
      <c r="B465" t="s">
        <v>2918</v>
      </c>
      <c r="C465" t="s">
        <v>3197</v>
      </c>
      <c r="D465" t="s">
        <v>2641</v>
      </c>
      <c r="E465" t="s">
        <v>2642</v>
      </c>
      <c r="F465" t="s">
        <v>2643</v>
      </c>
      <c r="G465" t="s">
        <v>2920</v>
      </c>
      <c r="H465" t="s">
        <v>2921</v>
      </c>
      <c r="I465">
        <v>3091582</v>
      </c>
      <c r="J465">
        <v>1862258</v>
      </c>
      <c r="K465" t="s">
        <v>3499</v>
      </c>
      <c r="L465" t="s">
        <v>3500</v>
      </c>
      <c r="M465">
        <v>44</v>
      </c>
      <c r="N465">
        <v>20631.705000000002</v>
      </c>
      <c r="O465" t="s">
        <v>136</v>
      </c>
      <c r="P465">
        <v>10</v>
      </c>
      <c r="Q465">
        <v>7</v>
      </c>
      <c r="R465">
        <v>94</v>
      </c>
      <c r="S465">
        <v>17974986</v>
      </c>
      <c r="T465">
        <v>46</v>
      </c>
      <c r="U465">
        <v>148</v>
      </c>
      <c r="V465">
        <v>20631.70572929232</v>
      </c>
      <c r="W465">
        <v>17974985.95263635</v>
      </c>
      <c r="X465">
        <v>467591.29800000001</v>
      </c>
      <c r="Y465">
        <f>VLOOKUP(AB465,'2000 Seattle Tracts'!$C$2:$Z$374,24,FALSE)</f>
        <v>2844903.8730000001</v>
      </c>
      <c r="Z465">
        <f t="shared" si="14"/>
        <v>0.16436101846454199</v>
      </c>
      <c r="AA465" t="s">
        <v>137</v>
      </c>
      <c r="AB465" t="str">
        <f t="shared" si="15"/>
        <v>Census Tract 58.02, King County, Washington</v>
      </c>
      <c r="AC465" s="3">
        <f>VLOOKUP($AB465,'2000 Seattle Tracts'!$C$2:$Y$374,AC$1,FALSE)*$Z465</f>
        <v>791.72702594369878</v>
      </c>
      <c r="AD465" s="3">
        <f>VLOOKUP($AB465,'2000 Seattle Tracts'!$C$2:$Y$374,AD$1,FALSE)*$Z465</f>
        <v>698.86305051123247</v>
      </c>
      <c r="AE465" s="3">
        <f>VLOOKUP($AB465,'2000 Seattle Tracts'!$C$2:$Y$374,AE$1,FALSE)*$Z465</f>
        <v>92.863975432466219</v>
      </c>
      <c r="AF465" s="3">
        <f>VLOOKUP($AB465,'2000 Seattle Tracts'!$C$2:$Y$374,AF$1,FALSE)*$Z465</f>
        <v>791.72702594369878</v>
      </c>
      <c r="AG465" s="3">
        <f>VLOOKUP($AB465,'2000 Seattle Tracts'!$C$2:$Y$374,AG$1,FALSE)*$Z465</f>
        <v>698.86305051123247</v>
      </c>
      <c r="AH465" s="3">
        <f>VLOOKUP($AB465,'2000 Seattle Tracts'!$C$2:$Y$374,AH$1,FALSE)*$Z465</f>
        <v>92.863975432466219</v>
      </c>
      <c r="AI465" s="3">
        <f>VLOOKUP($AB465,'2000 Seattle Tracts'!$C$2:$Y$374,AI$1,FALSE)*$Z465</f>
        <v>604.68418693105002</v>
      </c>
      <c r="AJ465" s="3">
        <f>VLOOKUP($AB465,'2000 Seattle Tracts'!$C$2:$Y$374,AJ$1,FALSE)*$Z465</f>
        <v>44.048752948497253</v>
      </c>
      <c r="AK465" s="3">
        <f>VLOOKUP($AB465,'2000 Seattle Tracts'!$C$2:$Y$374,AK$1,FALSE)*$Z465</f>
        <v>17.093545920312366</v>
      </c>
      <c r="AL465" s="3">
        <f>VLOOKUP($AB465,'2000 Seattle Tracts'!$C$2:$Y$374,AL$1,FALSE)*$Z465</f>
        <v>14.628130643344237</v>
      </c>
      <c r="AM465" s="3">
        <f>VLOOKUP($AB465,'2000 Seattle Tracts'!$C$2:$Y$374,AM$1,FALSE)*$Z465</f>
        <v>16.764823883383283</v>
      </c>
      <c r="AN465" s="3">
        <f>VLOOKUP($AB465,'2000 Seattle Tracts'!$C$2:$Y$374,AN$1,FALSE)*$Z465</f>
        <v>2.301054258503588</v>
      </c>
      <c r="AO465" s="3">
        <f>VLOOKUP($AB465,'2000 Seattle Tracts'!$C$2:$Y$374,AO$1,FALSE)*$Z465</f>
        <v>5.4239136093298859</v>
      </c>
      <c r="AP465" s="3">
        <f>VLOOKUP($AB465,'2000 Seattle Tracts'!$C$2:$Y$374,AP$1,FALSE)*$Z465</f>
        <v>0</v>
      </c>
      <c r="AQ465" s="3">
        <f>VLOOKUP($AB465,'2000 Seattle Tracts'!$C$2:$Y$374,AQ$1,FALSE)*$Z465</f>
        <v>18.572795086493244</v>
      </c>
      <c r="AR465" s="3">
        <f>VLOOKUP($AB465,'2000 Seattle Tracts'!$C$2:$Y$374,AR$1,FALSE)*$Z465</f>
        <v>27.119568046649427</v>
      </c>
      <c r="AS465" s="3">
        <f>VLOOKUP($AB465,'2000 Seattle Tracts'!$C$2:$Y$374,AS$1,FALSE)*$Z465</f>
        <v>1.3148881477163359</v>
      </c>
      <c r="AT465" s="3">
        <f>VLOOKUP($AB465,'2000 Seattle Tracts'!$C$2:$Y$374,AT$1,FALSE)*$Z465</f>
        <v>1.6436101846454199</v>
      </c>
      <c r="AU465" s="3">
        <f>VLOOKUP($AB465,'2000 Seattle Tracts'!$C$2:$Y$374,AU$1,FALSE)*$Z465</f>
        <v>4.4377474985426337</v>
      </c>
      <c r="AV465" s="3">
        <f>VLOOKUP($AB465,'2000 Seattle Tracts'!$C$2:$Y$374,AV$1,FALSE)*$Z465</f>
        <v>3.1228593508262978</v>
      </c>
      <c r="AW465" s="3">
        <f>VLOOKUP($AB465,'2000 Seattle Tracts'!$C$2:$Y$374,AW$1,FALSE)*$Z465</f>
        <v>30.571149434404809</v>
      </c>
      <c r="AX465" s="3">
        <f>VLOOKUP($AB465,'2000 Seattle Tracts'!$C$2:$Y$374,AX$1,FALSE)*$Z465</f>
        <v>0</v>
      </c>
    </row>
    <row r="466" spans="1:50" x14ac:dyDescent="0.25">
      <c r="A466" t="s">
        <v>2917</v>
      </c>
      <c r="B466" t="s">
        <v>2918</v>
      </c>
      <c r="C466" t="s">
        <v>3197</v>
      </c>
      <c r="D466" t="s">
        <v>2641</v>
      </c>
      <c r="E466" t="s">
        <v>2642</v>
      </c>
      <c r="F466" t="s">
        <v>2643</v>
      </c>
      <c r="G466" t="s">
        <v>2920</v>
      </c>
      <c r="H466" t="s">
        <v>2921</v>
      </c>
      <c r="I466">
        <v>3091582</v>
      </c>
      <c r="J466">
        <v>1862258</v>
      </c>
      <c r="K466" t="s">
        <v>3499</v>
      </c>
      <c r="L466" t="s">
        <v>3500</v>
      </c>
      <c r="M466">
        <v>45</v>
      </c>
      <c r="N466">
        <v>20496.728999999999</v>
      </c>
      <c r="O466" t="s">
        <v>136</v>
      </c>
      <c r="P466">
        <v>10</v>
      </c>
      <c r="Q466">
        <v>7</v>
      </c>
      <c r="R466">
        <v>9</v>
      </c>
      <c r="S466">
        <v>17515624</v>
      </c>
      <c r="T466">
        <v>47</v>
      </c>
      <c r="U466">
        <v>152</v>
      </c>
      <c r="V466">
        <v>20496.72892223937</v>
      </c>
      <c r="W466">
        <v>17515624.457026299</v>
      </c>
      <c r="X466">
        <v>2477.759</v>
      </c>
      <c r="Y466">
        <f>VLOOKUP(AB466,'2000 Seattle Tracts'!$C$2:$Z$374,24,FALSE)</f>
        <v>2844903.8730000001</v>
      </c>
      <c r="Z466">
        <f t="shared" si="14"/>
        <v>8.7094647503402648E-4</v>
      </c>
      <c r="AA466" t="s">
        <v>138</v>
      </c>
      <c r="AB466" t="str">
        <f t="shared" si="15"/>
        <v>Census Tract 58.02, King County, Washington</v>
      </c>
      <c r="AC466" s="3">
        <f>VLOOKUP($AB466,'2000 Seattle Tracts'!$C$2:$Y$374,AC$1,FALSE)*$Z466</f>
        <v>4.1953491702389059</v>
      </c>
      <c r="AD466" s="3">
        <f>VLOOKUP($AB466,'2000 Seattle Tracts'!$C$2:$Y$374,AD$1,FALSE)*$Z466</f>
        <v>3.7032644118446805</v>
      </c>
      <c r="AE466" s="3">
        <f>VLOOKUP($AB466,'2000 Seattle Tracts'!$C$2:$Y$374,AE$1,FALSE)*$Z466</f>
        <v>0.49208475839422494</v>
      </c>
      <c r="AF466" s="3">
        <f>VLOOKUP($AB466,'2000 Seattle Tracts'!$C$2:$Y$374,AF$1,FALSE)*$Z466</f>
        <v>4.1953491702389059</v>
      </c>
      <c r="AG466" s="3">
        <f>VLOOKUP($AB466,'2000 Seattle Tracts'!$C$2:$Y$374,AG$1,FALSE)*$Z466</f>
        <v>3.7032644118446805</v>
      </c>
      <c r="AH466" s="3">
        <f>VLOOKUP($AB466,'2000 Seattle Tracts'!$C$2:$Y$374,AH$1,FALSE)*$Z466</f>
        <v>0.49208475839422494</v>
      </c>
      <c r="AI466" s="3">
        <f>VLOOKUP($AB466,'2000 Seattle Tracts'!$C$2:$Y$374,AI$1,FALSE)*$Z466</f>
        <v>3.2042120816501836</v>
      </c>
      <c r="AJ466" s="3">
        <f>VLOOKUP($AB466,'2000 Seattle Tracts'!$C$2:$Y$374,AJ$1,FALSE)*$Z466</f>
        <v>0.23341365530911909</v>
      </c>
      <c r="AK466" s="3">
        <f>VLOOKUP($AB466,'2000 Seattle Tracts'!$C$2:$Y$374,AK$1,FALSE)*$Z466</f>
        <v>9.0578433403538758E-2</v>
      </c>
      <c r="AL466" s="3">
        <f>VLOOKUP($AB466,'2000 Seattle Tracts'!$C$2:$Y$374,AL$1,FALSE)*$Z466</f>
        <v>7.7514236278028351E-2</v>
      </c>
      <c r="AM466" s="3">
        <f>VLOOKUP($AB466,'2000 Seattle Tracts'!$C$2:$Y$374,AM$1,FALSE)*$Z466</f>
        <v>8.8836540453470697E-2</v>
      </c>
      <c r="AN466" s="3">
        <f>VLOOKUP($AB466,'2000 Seattle Tracts'!$C$2:$Y$374,AN$1,FALSE)*$Z466</f>
        <v>1.219325065047637E-2</v>
      </c>
      <c r="AO466" s="3">
        <f>VLOOKUP($AB466,'2000 Seattle Tracts'!$C$2:$Y$374,AO$1,FALSE)*$Z466</f>
        <v>2.8741233676122874E-2</v>
      </c>
      <c r="AP466" s="3">
        <f>VLOOKUP($AB466,'2000 Seattle Tracts'!$C$2:$Y$374,AP$1,FALSE)*$Z466</f>
        <v>0</v>
      </c>
      <c r="AQ466" s="3">
        <f>VLOOKUP($AB466,'2000 Seattle Tracts'!$C$2:$Y$374,AQ$1,FALSE)*$Z466</f>
        <v>9.8416951678844997E-2</v>
      </c>
      <c r="AR466" s="3">
        <f>VLOOKUP($AB466,'2000 Seattle Tracts'!$C$2:$Y$374,AR$1,FALSE)*$Z466</f>
        <v>0.14370616838061437</v>
      </c>
      <c r="AS466" s="3">
        <f>VLOOKUP($AB466,'2000 Seattle Tracts'!$C$2:$Y$374,AS$1,FALSE)*$Z466</f>
        <v>6.9675718002722119E-3</v>
      </c>
      <c r="AT466" s="3">
        <f>VLOOKUP($AB466,'2000 Seattle Tracts'!$C$2:$Y$374,AT$1,FALSE)*$Z466</f>
        <v>8.7094647503402657E-3</v>
      </c>
      <c r="AU466" s="3">
        <f>VLOOKUP($AB466,'2000 Seattle Tracts'!$C$2:$Y$374,AU$1,FALSE)*$Z466</f>
        <v>2.3515554825918716E-2</v>
      </c>
      <c r="AV466" s="3">
        <f>VLOOKUP($AB466,'2000 Seattle Tracts'!$C$2:$Y$374,AV$1,FALSE)*$Z466</f>
        <v>1.6547983025646505E-2</v>
      </c>
      <c r="AW466" s="3">
        <f>VLOOKUP($AB466,'2000 Seattle Tracts'!$C$2:$Y$374,AW$1,FALSE)*$Z466</f>
        <v>0.16199604435632892</v>
      </c>
      <c r="AX466" s="3">
        <f>VLOOKUP($AB466,'2000 Seattle Tracts'!$C$2:$Y$374,AX$1,FALSE)*$Z466</f>
        <v>0</v>
      </c>
    </row>
    <row r="467" spans="1:50" x14ac:dyDescent="0.25">
      <c r="A467" t="s">
        <v>2917</v>
      </c>
      <c r="B467" t="s">
        <v>2918</v>
      </c>
      <c r="C467" t="s">
        <v>3197</v>
      </c>
      <c r="D467" t="s">
        <v>2641</v>
      </c>
      <c r="E467" t="s">
        <v>2642</v>
      </c>
      <c r="F467" t="s">
        <v>2643</v>
      </c>
      <c r="G467" t="s">
        <v>2920</v>
      </c>
      <c r="H467" t="s">
        <v>2921</v>
      </c>
      <c r="I467">
        <v>3091582</v>
      </c>
      <c r="J467">
        <v>1862258</v>
      </c>
      <c r="K467" t="s">
        <v>3499</v>
      </c>
      <c r="L467" t="s">
        <v>3500</v>
      </c>
      <c r="M467">
        <v>46</v>
      </c>
      <c r="N467">
        <v>26753.555</v>
      </c>
      <c r="O467" t="s">
        <v>136</v>
      </c>
      <c r="P467">
        <v>10</v>
      </c>
      <c r="Q467">
        <v>7</v>
      </c>
      <c r="R467">
        <v>19</v>
      </c>
      <c r="S467">
        <v>29604288</v>
      </c>
      <c r="T467">
        <v>48</v>
      </c>
      <c r="U467">
        <v>140</v>
      </c>
      <c r="V467">
        <v>26753.55428174289</v>
      </c>
      <c r="W467">
        <v>29604288.332963161</v>
      </c>
      <c r="X467">
        <v>76271.789000000004</v>
      </c>
      <c r="Y467">
        <f>VLOOKUP(AB467,'2000 Seattle Tracts'!$C$2:$Z$374,24,FALSE)</f>
        <v>2844903.8730000001</v>
      </c>
      <c r="Z467">
        <f t="shared" si="14"/>
        <v>2.6809970531471803E-2</v>
      </c>
      <c r="AA467" t="s">
        <v>139</v>
      </c>
      <c r="AB467" t="str">
        <f t="shared" si="15"/>
        <v>Census Tract 58.02, King County, Washington</v>
      </c>
      <c r="AC467" s="3">
        <f>VLOOKUP($AB467,'2000 Seattle Tracts'!$C$2:$Y$374,AC$1,FALSE)*$Z467</f>
        <v>129.14362805009966</v>
      </c>
      <c r="AD467" s="3">
        <f>VLOOKUP($AB467,'2000 Seattle Tracts'!$C$2:$Y$374,AD$1,FALSE)*$Z467</f>
        <v>113.99599469981811</v>
      </c>
      <c r="AE467" s="3">
        <f>VLOOKUP($AB467,'2000 Seattle Tracts'!$C$2:$Y$374,AE$1,FALSE)*$Z467</f>
        <v>15.147633350281568</v>
      </c>
      <c r="AF467" s="3">
        <f>VLOOKUP($AB467,'2000 Seattle Tracts'!$C$2:$Y$374,AF$1,FALSE)*$Z467</f>
        <v>129.14362805009966</v>
      </c>
      <c r="AG467" s="3">
        <f>VLOOKUP($AB467,'2000 Seattle Tracts'!$C$2:$Y$374,AG$1,FALSE)*$Z467</f>
        <v>113.99599469981811</v>
      </c>
      <c r="AH467" s="3">
        <f>VLOOKUP($AB467,'2000 Seattle Tracts'!$C$2:$Y$374,AH$1,FALSE)*$Z467</f>
        <v>15.147633350281568</v>
      </c>
      <c r="AI467" s="3">
        <f>VLOOKUP($AB467,'2000 Seattle Tracts'!$C$2:$Y$374,AI$1,FALSE)*$Z467</f>
        <v>98.633881585284769</v>
      </c>
      <c r="AJ467" s="3">
        <f>VLOOKUP($AB467,'2000 Seattle Tracts'!$C$2:$Y$374,AJ$1,FALSE)*$Z467</f>
        <v>7.1850721024344431</v>
      </c>
      <c r="AK467" s="3">
        <f>VLOOKUP($AB467,'2000 Seattle Tracts'!$C$2:$Y$374,AK$1,FALSE)*$Z467</f>
        <v>2.7882369352730674</v>
      </c>
      <c r="AL467" s="3">
        <f>VLOOKUP($AB467,'2000 Seattle Tracts'!$C$2:$Y$374,AL$1,FALSE)*$Z467</f>
        <v>2.3860873773009903</v>
      </c>
      <c r="AM467" s="3">
        <f>VLOOKUP($AB467,'2000 Seattle Tracts'!$C$2:$Y$374,AM$1,FALSE)*$Z467</f>
        <v>2.7346169942101239</v>
      </c>
      <c r="AN467" s="3">
        <f>VLOOKUP($AB467,'2000 Seattle Tracts'!$C$2:$Y$374,AN$1,FALSE)*$Z467</f>
        <v>0.37533958744060525</v>
      </c>
      <c r="AO467" s="3">
        <f>VLOOKUP($AB467,'2000 Seattle Tracts'!$C$2:$Y$374,AO$1,FALSE)*$Z467</f>
        <v>0.88472902753856952</v>
      </c>
      <c r="AP467" s="3">
        <f>VLOOKUP($AB467,'2000 Seattle Tracts'!$C$2:$Y$374,AP$1,FALSE)*$Z467</f>
        <v>0</v>
      </c>
      <c r="AQ467" s="3">
        <f>VLOOKUP($AB467,'2000 Seattle Tracts'!$C$2:$Y$374,AQ$1,FALSE)*$Z467</f>
        <v>3.0295266700563137</v>
      </c>
      <c r="AR467" s="3">
        <f>VLOOKUP($AB467,'2000 Seattle Tracts'!$C$2:$Y$374,AR$1,FALSE)*$Z467</f>
        <v>4.4236451376928478</v>
      </c>
      <c r="AS467" s="3">
        <f>VLOOKUP($AB467,'2000 Seattle Tracts'!$C$2:$Y$374,AS$1,FALSE)*$Z467</f>
        <v>0.21447976425177442</v>
      </c>
      <c r="AT467" s="3">
        <f>VLOOKUP($AB467,'2000 Seattle Tracts'!$C$2:$Y$374,AT$1,FALSE)*$Z467</f>
        <v>0.26809970531471805</v>
      </c>
      <c r="AU467" s="3">
        <f>VLOOKUP($AB467,'2000 Seattle Tracts'!$C$2:$Y$374,AU$1,FALSE)*$Z467</f>
        <v>0.72386920434973867</v>
      </c>
      <c r="AV467" s="3">
        <f>VLOOKUP($AB467,'2000 Seattle Tracts'!$C$2:$Y$374,AV$1,FALSE)*$Z467</f>
        <v>0.50938944009796427</v>
      </c>
      <c r="AW467" s="3">
        <f>VLOOKUP($AB467,'2000 Seattle Tracts'!$C$2:$Y$374,AW$1,FALSE)*$Z467</f>
        <v>4.9866545188537552</v>
      </c>
      <c r="AX467" s="3">
        <f>VLOOKUP($AB467,'2000 Seattle Tracts'!$C$2:$Y$374,AX$1,FALSE)*$Z467</f>
        <v>0</v>
      </c>
    </row>
    <row r="468" spans="1:50" x14ac:dyDescent="0.25">
      <c r="A468" t="s">
        <v>2917</v>
      </c>
      <c r="B468" t="s">
        <v>2918</v>
      </c>
      <c r="C468" t="s">
        <v>3197</v>
      </c>
      <c r="D468" t="s">
        <v>2641</v>
      </c>
      <c r="E468" t="s">
        <v>2642</v>
      </c>
      <c r="F468" t="s">
        <v>2643</v>
      </c>
      <c r="G468" t="s">
        <v>2920</v>
      </c>
      <c r="H468" t="s">
        <v>2921</v>
      </c>
      <c r="I468">
        <v>3091582</v>
      </c>
      <c r="J468">
        <v>1862258</v>
      </c>
      <c r="K468" t="s">
        <v>3499</v>
      </c>
      <c r="L468" t="s">
        <v>3500</v>
      </c>
      <c r="M468">
        <v>50</v>
      </c>
      <c r="N468">
        <v>38766.065999999999</v>
      </c>
      <c r="O468" t="s">
        <v>145</v>
      </c>
      <c r="P468">
        <v>8</v>
      </c>
      <c r="Q468">
        <v>4</v>
      </c>
      <c r="R468">
        <v>23</v>
      </c>
      <c r="S468">
        <v>55091524</v>
      </c>
      <c r="T468">
        <v>52</v>
      </c>
      <c r="U468">
        <v>134</v>
      </c>
      <c r="V468">
        <v>38766.06733491068</v>
      </c>
      <c r="W468">
        <v>55091525.290939339</v>
      </c>
      <c r="X468">
        <v>38.587000000000003</v>
      </c>
      <c r="Y468">
        <f>VLOOKUP(AB468,'2000 Seattle Tracts'!$C$2:$Z$374,24,FALSE)</f>
        <v>2844903.8730000001</v>
      </c>
      <c r="Z468">
        <f t="shared" si="14"/>
        <v>1.3563551431813176E-5</v>
      </c>
      <c r="AA468" t="s">
        <v>144</v>
      </c>
      <c r="AB468" t="str">
        <f t="shared" si="15"/>
        <v>Census Tract 58.02, King County, Washington</v>
      </c>
      <c r="AC468" s="3">
        <f>VLOOKUP($AB468,'2000 Seattle Tracts'!$C$2:$Y$374,AC$1,FALSE)*$Z468</f>
        <v>6.5335627247044073E-2</v>
      </c>
      <c r="AD468" s="3">
        <f>VLOOKUP($AB468,'2000 Seattle Tracts'!$C$2:$Y$374,AD$1,FALSE)*$Z468</f>
        <v>5.7672220688069625E-2</v>
      </c>
      <c r="AE468" s="3">
        <f>VLOOKUP($AB468,'2000 Seattle Tracts'!$C$2:$Y$374,AE$1,FALSE)*$Z468</f>
        <v>7.6634065589744442E-3</v>
      </c>
      <c r="AF468" s="3">
        <f>VLOOKUP($AB468,'2000 Seattle Tracts'!$C$2:$Y$374,AF$1,FALSE)*$Z468</f>
        <v>6.5335627247044073E-2</v>
      </c>
      <c r="AG468" s="3">
        <f>VLOOKUP($AB468,'2000 Seattle Tracts'!$C$2:$Y$374,AG$1,FALSE)*$Z468</f>
        <v>5.7672220688069625E-2</v>
      </c>
      <c r="AH468" s="3">
        <f>VLOOKUP($AB468,'2000 Seattle Tracts'!$C$2:$Y$374,AH$1,FALSE)*$Z468</f>
        <v>7.6634065589744442E-3</v>
      </c>
      <c r="AI468" s="3">
        <f>VLOOKUP($AB468,'2000 Seattle Tracts'!$C$2:$Y$374,AI$1,FALSE)*$Z468</f>
        <v>4.9900305717640675E-2</v>
      </c>
      <c r="AJ468" s="3">
        <f>VLOOKUP($AB468,'2000 Seattle Tracts'!$C$2:$Y$374,AJ$1,FALSE)*$Z468</f>
        <v>3.6350317837259313E-3</v>
      </c>
      <c r="AK468" s="3">
        <f>VLOOKUP($AB468,'2000 Seattle Tracts'!$C$2:$Y$374,AK$1,FALSE)*$Z468</f>
        <v>1.4106093489085704E-3</v>
      </c>
      <c r="AL468" s="3">
        <f>VLOOKUP($AB468,'2000 Seattle Tracts'!$C$2:$Y$374,AL$1,FALSE)*$Z468</f>
        <v>1.2071560774313728E-3</v>
      </c>
      <c r="AM468" s="3">
        <f>VLOOKUP($AB468,'2000 Seattle Tracts'!$C$2:$Y$374,AM$1,FALSE)*$Z468</f>
        <v>1.3834822460449439E-3</v>
      </c>
      <c r="AN468" s="3">
        <f>VLOOKUP($AB468,'2000 Seattle Tracts'!$C$2:$Y$374,AN$1,FALSE)*$Z468</f>
        <v>1.8988972004538445E-4</v>
      </c>
      <c r="AO468" s="3">
        <f>VLOOKUP($AB468,'2000 Seattle Tracts'!$C$2:$Y$374,AO$1,FALSE)*$Z468</f>
        <v>4.4759719724983478E-4</v>
      </c>
      <c r="AP468" s="3">
        <f>VLOOKUP($AB468,'2000 Seattle Tracts'!$C$2:$Y$374,AP$1,FALSE)*$Z468</f>
        <v>0</v>
      </c>
      <c r="AQ468" s="3">
        <f>VLOOKUP($AB468,'2000 Seattle Tracts'!$C$2:$Y$374,AQ$1,FALSE)*$Z468</f>
        <v>1.5326813117948889E-3</v>
      </c>
      <c r="AR468" s="3">
        <f>VLOOKUP($AB468,'2000 Seattle Tracts'!$C$2:$Y$374,AR$1,FALSE)*$Z468</f>
        <v>2.237985986249174E-3</v>
      </c>
      <c r="AS468" s="3">
        <f>VLOOKUP($AB468,'2000 Seattle Tracts'!$C$2:$Y$374,AS$1,FALSE)*$Z468</f>
        <v>1.0850841145450541E-4</v>
      </c>
      <c r="AT468" s="3">
        <f>VLOOKUP($AB468,'2000 Seattle Tracts'!$C$2:$Y$374,AT$1,FALSE)*$Z468</f>
        <v>1.3563551431813176E-4</v>
      </c>
      <c r="AU468" s="3">
        <f>VLOOKUP($AB468,'2000 Seattle Tracts'!$C$2:$Y$374,AU$1,FALSE)*$Z468</f>
        <v>3.6621588865895575E-4</v>
      </c>
      <c r="AV468" s="3">
        <f>VLOOKUP($AB468,'2000 Seattle Tracts'!$C$2:$Y$374,AV$1,FALSE)*$Z468</f>
        <v>2.5770747720445036E-4</v>
      </c>
      <c r="AW468" s="3">
        <f>VLOOKUP($AB468,'2000 Seattle Tracts'!$C$2:$Y$374,AW$1,FALSE)*$Z468</f>
        <v>2.5228205663172507E-3</v>
      </c>
      <c r="AX468" s="3">
        <f>VLOOKUP($AB468,'2000 Seattle Tracts'!$C$2:$Y$374,AX$1,FALSE)*$Z468</f>
        <v>0</v>
      </c>
    </row>
    <row r="469" spans="1:50" x14ac:dyDescent="0.25">
      <c r="A469" t="s">
        <v>2917</v>
      </c>
      <c r="B469" t="s">
        <v>2918</v>
      </c>
      <c r="C469" t="s">
        <v>3197</v>
      </c>
      <c r="D469" t="s">
        <v>2641</v>
      </c>
      <c r="E469" t="s">
        <v>2642</v>
      </c>
      <c r="F469" t="s">
        <v>2643</v>
      </c>
      <c r="G469" t="s">
        <v>2920</v>
      </c>
      <c r="H469" t="s">
        <v>2921</v>
      </c>
      <c r="I469">
        <v>3091582</v>
      </c>
      <c r="J469">
        <v>1862258</v>
      </c>
      <c r="K469" t="s">
        <v>3499</v>
      </c>
      <c r="L469" t="s">
        <v>3500</v>
      </c>
      <c r="M469">
        <v>52</v>
      </c>
      <c r="N469">
        <v>20223.18</v>
      </c>
      <c r="O469" t="s">
        <v>145</v>
      </c>
      <c r="P469">
        <v>8</v>
      </c>
      <c r="Q469">
        <v>4</v>
      </c>
      <c r="R469">
        <v>24</v>
      </c>
      <c r="S469">
        <v>18469264</v>
      </c>
      <c r="T469">
        <v>54</v>
      </c>
      <c r="U469">
        <v>144</v>
      </c>
      <c r="V469">
        <v>20223.18015015221</v>
      </c>
      <c r="W469">
        <v>18469263.88812134</v>
      </c>
      <c r="X469">
        <v>629586.12199999997</v>
      </c>
      <c r="Y469">
        <f>VLOOKUP(AB469,'2000 Seattle Tracts'!$C$2:$Z$374,24,FALSE)</f>
        <v>2844903.8730000001</v>
      </c>
      <c r="Z469">
        <f t="shared" si="14"/>
        <v>0.22130312661007084</v>
      </c>
      <c r="AA469" t="s">
        <v>147</v>
      </c>
      <c r="AB469" t="str">
        <f t="shared" si="15"/>
        <v>Census Tract 58.02, King County, Washington</v>
      </c>
      <c r="AC469" s="3">
        <f>VLOOKUP($AB469,'2000 Seattle Tracts'!$C$2:$Y$374,AC$1,FALSE)*$Z469</f>
        <v>1066.0171608807113</v>
      </c>
      <c r="AD469" s="3">
        <f>VLOOKUP($AB469,'2000 Seattle Tracts'!$C$2:$Y$374,AD$1,FALSE)*$Z469</f>
        <v>940.98089434602127</v>
      </c>
      <c r="AE469" s="3">
        <f>VLOOKUP($AB469,'2000 Seattle Tracts'!$C$2:$Y$374,AE$1,FALSE)*$Z469</f>
        <v>125.03626653469003</v>
      </c>
      <c r="AF469" s="3">
        <f>VLOOKUP($AB469,'2000 Seattle Tracts'!$C$2:$Y$374,AF$1,FALSE)*$Z469</f>
        <v>1066.0171608807113</v>
      </c>
      <c r="AG469" s="3">
        <f>VLOOKUP($AB469,'2000 Seattle Tracts'!$C$2:$Y$374,AG$1,FALSE)*$Z469</f>
        <v>940.98089434602127</v>
      </c>
      <c r="AH469" s="3">
        <f>VLOOKUP($AB469,'2000 Seattle Tracts'!$C$2:$Y$374,AH$1,FALSE)*$Z469</f>
        <v>125.03626653469003</v>
      </c>
      <c r="AI469" s="3">
        <f>VLOOKUP($AB469,'2000 Seattle Tracts'!$C$2:$Y$374,AI$1,FALSE)*$Z469</f>
        <v>814.17420279845066</v>
      </c>
      <c r="AJ469" s="3">
        <f>VLOOKUP($AB469,'2000 Seattle Tracts'!$C$2:$Y$374,AJ$1,FALSE)*$Z469</f>
        <v>59.309237931498984</v>
      </c>
      <c r="AK469" s="3">
        <f>VLOOKUP($AB469,'2000 Seattle Tracts'!$C$2:$Y$374,AK$1,FALSE)*$Z469</f>
        <v>23.015525167447368</v>
      </c>
      <c r="AL469" s="3">
        <f>VLOOKUP($AB469,'2000 Seattle Tracts'!$C$2:$Y$374,AL$1,FALSE)*$Z469</f>
        <v>19.695978268296304</v>
      </c>
      <c r="AM469" s="3">
        <f>VLOOKUP($AB469,'2000 Seattle Tracts'!$C$2:$Y$374,AM$1,FALSE)*$Z469</f>
        <v>22.572918914227227</v>
      </c>
      <c r="AN469" s="3">
        <f>VLOOKUP($AB469,'2000 Seattle Tracts'!$C$2:$Y$374,AN$1,FALSE)*$Z469</f>
        <v>3.0982437725409917</v>
      </c>
      <c r="AO469" s="3">
        <f>VLOOKUP($AB469,'2000 Seattle Tracts'!$C$2:$Y$374,AO$1,FALSE)*$Z469</f>
        <v>7.3030031781323377</v>
      </c>
      <c r="AP469" s="3">
        <f>VLOOKUP($AB469,'2000 Seattle Tracts'!$C$2:$Y$374,AP$1,FALSE)*$Z469</f>
        <v>0</v>
      </c>
      <c r="AQ469" s="3">
        <f>VLOOKUP($AB469,'2000 Seattle Tracts'!$C$2:$Y$374,AQ$1,FALSE)*$Z469</f>
        <v>25.007253306938004</v>
      </c>
      <c r="AR469" s="3">
        <f>VLOOKUP($AB469,'2000 Seattle Tracts'!$C$2:$Y$374,AR$1,FALSE)*$Z469</f>
        <v>36.515015890661687</v>
      </c>
      <c r="AS469" s="3">
        <f>VLOOKUP($AB469,'2000 Seattle Tracts'!$C$2:$Y$374,AS$1,FALSE)*$Z469</f>
        <v>1.7704250128805668</v>
      </c>
      <c r="AT469" s="3">
        <f>VLOOKUP($AB469,'2000 Seattle Tracts'!$C$2:$Y$374,AT$1,FALSE)*$Z469</f>
        <v>2.2130312661007085</v>
      </c>
      <c r="AU469" s="3">
        <f>VLOOKUP($AB469,'2000 Seattle Tracts'!$C$2:$Y$374,AU$1,FALSE)*$Z469</f>
        <v>5.9751844184719127</v>
      </c>
      <c r="AV469" s="3">
        <f>VLOOKUP($AB469,'2000 Seattle Tracts'!$C$2:$Y$374,AV$1,FALSE)*$Z469</f>
        <v>4.2047594055913464</v>
      </c>
      <c r="AW469" s="3">
        <f>VLOOKUP($AB469,'2000 Seattle Tracts'!$C$2:$Y$374,AW$1,FALSE)*$Z469</f>
        <v>41.162381549473174</v>
      </c>
      <c r="AX469" s="3">
        <f>VLOOKUP($AB469,'2000 Seattle Tracts'!$C$2:$Y$374,AX$1,FALSE)*$Z469</f>
        <v>0</v>
      </c>
    </row>
    <row r="470" spans="1:50" x14ac:dyDescent="0.25">
      <c r="A470" t="s">
        <v>2917</v>
      </c>
      <c r="B470" t="s">
        <v>2918</v>
      </c>
      <c r="C470" t="s">
        <v>3197</v>
      </c>
      <c r="D470" t="s">
        <v>2641</v>
      </c>
      <c r="E470" t="s">
        <v>2642</v>
      </c>
      <c r="F470" t="s">
        <v>2643</v>
      </c>
      <c r="G470" t="s">
        <v>2920</v>
      </c>
      <c r="H470" t="s">
        <v>2921</v>
      </c>
      <c r="I470">
        <v>3091582</v>
      </c>
      <c r="J470">
        <v>1862258</v>
      </c>
      <c r="K470" t="s">
        <v>3499</v>
      </c>
      <c r="L470" t="s">
        <v>3500</v>
      </c>
      <c r="M470">
        <v>66</v>
      </c>
      <c r="N470">
        <v>64207.586000000003</v>
      </c>
      <c r="O470" t="s">
        <v>164</v>
      </c>
      <c r="P470">
        <v>9</v>
      </c>
      <c r="Q470">
        <v>12</v>
      </c>
      <c r="R470">
        <v>95</v>
      </c>
      <c r="S470">
        <v>33503942</v>
      </c>
      <c r="T470">
        <v>68</v>
      </c>
      <c r="U470">
        <v>199</v>
      </c>
      <c r="V470">
        <v>64207.586761171791</v>
      </c>
      <c r="W470">
        <v>33503941.092720222</v>
      </c>
      <c r="X470">
        <v>1667042.655</v>
      </c>
      <c r="Y470">
        <f>VLOOKUP(AB470,'2000 Seattle Tracts'!$C$2:$Z$374,24,FALSE)</f>
        <v>2844903.8730000001</v>
      </c>
      <c r="Z470">
        <f t="shared" si="14"/>
        <v>0.58597503796923545</v>
      </c>
      <c r="AA470" t="s">
        <v>163</v>
      </c>
      <c r="AB470" t="str">
        <f t="shared" si="15"/>
        <v>Census Tract 58.02, King County, Washington</v>
      </c>
      <c r="AC470" s="3">
        <f>VLOOKUP($AB470,'2000 Seattle Tracts'!$C$2:$Y$374,AC$1,FALSE)*$Z470</f>
        <v>2822.6417578978071</v>
      </c>
      <c r="AD470" s="3">
        <f>VLOOKUP($AB470,'2000 Seattle Tracts'!$C$2:$Y$374,AD$1,FALSE)*$Z470</f>
        <v>2491.5658614451891</v>
      </c>
      <c r="AE470" s="3">
        <f>VLOOKUP($AB470,'2000 Seattle Tracts'!$C$2:$Y$374,AE$1,FALSE)*$Z470</f>
        <v>331.07589645261805</v>
      </c>
      <c r="AF470" s="3">
        <f>VLOOKUP($AB470,'2000 Seattle Tracts'!$C$2:$Y$374,AF$1,FALSE)*$Z470</f>
        <v>2822.6417578978071</v>
      </c>
      <c r="AG470" s="3">
        <f>VLOOKUP($AB470,'2000 Seattle Tracts'!$C$2:$Y$374,AG$1,FALSE)*$Z470</f>
        <v>2491.5658614451891</v>
      </c>
      <c r="AH470" s="3">
        <f>VLOOKUP($AB470,'2000 Seattle Tracts'!$C$2:$Y$374,AH$1,FALSE)*$Z470</f>
        <v>331.07589645261805</v>
      </c>
      <c r="AI470" s="3">
        <f>VLOOKUP($AB470,'2000 Seattle Tracts'!$C$2:$Y$374,AI$1,FALSE)*$Z470</f>
        <v>2155.8021646888174</v>
      </c>
      <c r="AJ470" s="3">
        <f>VLOOKUP($AB470,'2000 Seattle Tracts'!$C$2:$Y$374,AJ$1,FALSE)*$Z470</f>
        <v>157.04131017575509</v>
      </c>
      <c r="AK470" s="3">
        <f>VLOOKUP($AB470,'2000 Seattle Tracts'!$C$2:$Y$374,AK$1,FALSE)*$Z470</f>
        <v>60.941403948800485</v>
      </c>
      <c r="AL470" s="3">
        <f>VLOOKUP($AB470,'2000 Seattle Tracts'!$C$2:$Y$374,AL$1,FALSE)*$Z470</f>
        <v>52.151778379261955</v>
      </c>
      <c r="AM470" s="3">
        <f>VLOOKUP($AB470,'2000 Seattle Tracts'!$C$2:$Y$374,AM$1,FALSE)*$Z470</f>
        <v>59.769453872862016</v>
      </c>
      <c r="AN470" s="3">
        <f>VLOOKUP($AB470,'2000 Seattle Tracts'!$C$2:$Y$374,AN$1,FALSE)*$Z470</f>
        <v>8.2036505315692967</v>
      </c>
      <c r="AO470" s="3">
        <f>VLOOKUP($AB470,'2000 Seattle Tracts'!$C$2:$Y$374,AO$1,FALSE)*$Z470</f>
        <v>19.337176252984769</v>
      </c>
      <c r="AP470" s="3">
        <f>VLOOKUP($AB470,'2000 Seattle Tracts'!$C$2:$Y$374,AP$1,FALSE)*$Z470</f>
        <v>0</v>
      </c>
      <c r="AQ470" s="3">
        <f>VLOOKUP($AB470,'2000 Seattle Tracts'!$C$2:$Y$374,AQ$1,FALSE)*$Z470</f>
        <v>66.215179290523608</v>
      </c>
      <c r="AR470" s="3">
        <f>VLOOKUP($AB470,'2000 Seattle Tracts'!$C$2:$Y$374,AR$1,FALSE)*$Z470</f>
        <v>96.68588126492385</v>
      </c>
      <c r="AS470" s="3">
        <f>VLOOKUP($AB470,'2000 Seattle Tracts'!$C$2:$Y$374,AS$1,FALSE)*$Z470</f>
        <v>4.6878003037538836</v>
      </c>
      <c r="AT470" s="3">
        <f>VLOOKUP($AB470,'2000 Seattle Tracts'!$C$2:$Y$374,AT$1,FALSE)*$Z470</f>
        <v>5.859750379692354</v>
      </c>
      <c r="AU470" s="3">
        <f>VLOOKUP($AB470,'2000 Seattle Tracts'!$C$2:$Y$374,AU$1,FALSE)*$Z470</f>
        <v>15.821326025169357</v>
      </c>
      <c r="AV470" s="3">
        <f>VLOOKUP($AB470,'2000 Seattle Tracts'!$C$2:$Y$374,AV$1,FALSE)*$Z470</f>
        <v>11.133525721415474</v>
      </c>
      <c r="AW470" s="3">
        <f>VLOOKUP($AB470,'2000 Seattle Tracts'!$C$2:$Y$374,AW$1,FALSE)*$Z470</f>
        <v>108.9913570622778</v>
      </c>
      <c r="AX470" s="3">
        <f>VLOOKUP($AB470,'2000 Seattle Tracts'!$C$2:$Y$374,AX$1,FALSE)*$Z470</f>
        <v>0</v>
      </c>
    </row>
    <row r="471" spans="1:50" x14ac:dyDescent="0.25">
      <c r="A471" t="s">
        <v>2917</v>
      </c>
      <c r="B471" t="s">
        <v>2918</v>
      </c>
      <c r="C471" t="s">
        <v>3158</v>
      </c>
      <c r="D471" t="s">
        <v>2719</v>
      </c>
      <c r="E471" t="s">
        <v>2720</v>
      </c>
      <c r="F471" t="s">
        <v>2721</v>
      </c>
      <c r="G471" t="s">
        <v>2920</v>
      </c>
      <c r="H471" t="s">
        <v>2921</v>
      </c>
      <c r="I471">
        <v>1196463</v>
      </c>
      <c r="J471">
        <v>0</v>
      </c>
      <c r="K471" t="s">
        <v>3159</v>
      </c>
      <c r="L471" t="s">
        <v>3160</v>
      </c>
      <c r="M471">
        <v>32</v>
      </c>
      <c r="N471">
        <v>33040.245999999999</v>
      </c>
      <c r="O471" t="s">
        <v>122</v>
      </c>
      <c r="P471">
        <v>6</v>
      </c>
      <c r="Q471">
        <v>9</v>
      </c>
      <c r="R471">
        <v>19</v>
      </c>
      <c r="S471">
        <v>42068344</v>
      </c>
      <c r="T471">
        <v>34</v>
      </c>
      <c r="U471">
        <v>133</v>
      </c>
      <c r="V471">
        <v>33040.246986119782</v>
      </c>
      <c r="W471">
        <v>42068342.613789164</v>
      </c>
      <c r="X471">
        <v>54.152999999999999</v>
      </c>
      <c r="Y471">
        <f>VLOOKUP(AB471,'2000 Seattle Tracts'!$C$2:$Z$374,24,FALSE)</f>
        <v>1196455.8589999999</v>
      </c>
      <c r="Z471">
        <f t="shared" si="14"/>
        <v>4.5261176659923898E-5</v>
      </c>
      <c r="AA471" t="s">
        <v>123</v>
      </c>
      <c r="AB471" t="str">
        <f t="shared" si="15"/>
        <v>Census Tract 36, King County, Washington</v>
      </c>
      <c r="AC471" s="3">
        <f>VLOOKUP($AB471,'2000 Seattle Tracts'!$C$2:$Y$374,AC$1,FALSE)*$Z471</f>
        <v>0.22114610916038815</v>
      </c>
      <c r="AD471" s="3">
        <f>VLOOKUP($AB471,'2000 Seattle Tracts'!$C$2:$Y$374,AD$1,FALSE)*$Z471</f>
        <v>0.19163582197811779</v>
      </c>
      <c r="AE471" s="3">
        <f>VLOOKUP($AB471,'2000 Seattle Tracts'!$C$2:$Y$374,AE$1,FALSE)*$Z471</f>
        <v>2.9510287182270382E-2</v>
      </c>
      <c r="AF471" s="3">
        <f>VLOOKUP($AB471,'2000 Seattle Tracts'!$C$2:$Y$374,AF$1,FALSE)*$Z471</f>
        <v>0.22114610916038815</v>
      </c>
      <c r="AG471" s="3">
        <f>VLOOKUP($AB471,'2000 Seattle Tracts'!$C$2:$Y$374,AG$1,FALSE)*$Z471</f>
        <v>0.19163582197811779</v>
      </c>
      <c r="AH471" s="3">
        <f>VLOOKUP($AB471,'2000 Seattle Tracts'!$C$2:$Y$374,AH$1,FALSE)*$Z471</f>
        <v>2.9510287182270382E-2</v>
      </c>
      <c r="AI471" s="3">
        <f>VLOOKUP($AB471,'2000 Seattle Tracts'!$C$2:$Y$374,AI$1,FALSE)*$Z471</f>
        <v>0.17018202424131385</v>
      </c>
      <c r="AJ471" s="3">
        <f>VLOOKUP($AB471,'2000 Seattle Tracts'!$C$2:$Y$374,AJ$1,FALSE)*$Z471</f>
        <v>1.4302531824535952E-2</v>
      </c>
      <c r="AK471" s="3">
        <f>VLOOKUP($AB471,'2000 Seattle Tracts'!$C$2:$Y$374,AK$1,FALSE)*$Z471</f>
        <v>2.2630588329961951E-3</v>
      </c>
      <c r="AL471" s="3">
        <f>VLOOKUP($AB471,'2000 Seattle Tracts'!$C$2:$Y$374,AL$1,FALSE)*$Z471</f>
        <v>7.2417882655878237E-4</v>
      </c>
      <c r="AM471" s="3">
        <f>VLOOKUP($AB471,'2000 Seattle Tracts'!$C$2:$Y$374,AM$1,FALSE)*$Z471</f>
        <v>2.5798870696156621E-3</v>
      </c>
      <c r="AN471" s="3">
        <f>VLOOKUP($AB471,'2000 Seattle Tracts'!$C$2:$Y$374,AN$1,FALSE)*$Z471</f>
        <v>0</v>
      </c>
      <c r="AO471" s="3">
        <f>VLOOKUP($AB471,'2000 Seattle Tracts'!$C$2:$Y$374,AO$1,FALSE)*$Z471</f>
        <v>0</v>
      </c>
      <c r="AP471" s="3">
        <f>VLOOKUP($AB471,'2000 Seattle Tracts'!$C$2:$Y$374,AP$1,FALSE)*$Z471</f>
        <v>0</v>
      </c>
      <c r="AQ471" s="3">
        <f>VLOOKUP($AB471,'2000 Seattle Tracts'!$C$2:$Y$374,AQ$1,FALSE)*$Z471</f>
        <v>7.9659670921466055E-3</v>
      </c>
      <c r="AR471" s="3">
        <f>VLOOKUP($AB471,'2000 Seattle Tracts'!$C$2:$Y$374,AR$1,FALSE)*$Z471</f>
        <v>1.1451077694960746E-2</v>
      </c>
      <c r="AS471" s="3">
        <f>VLOOKUP($AB471,'2000 Seattle Tracts'!$C$2:$Y$374,AS$1,FALSE)*$Z471</f>
        <v>0</v>
      </c>
      <c r="AT471" s="3">
        <f>VLOOKUP($AB471,'2000 Seattle Tracts'!$C$2:$Y$374,AT$1,FALSE)*$Z471</f>
        <v>0</v>
      </c>
      <c r="AU471" s="3">
        <f>VLOOKUP($AB471,'2000 Seattle Tracts'!$C$2:$Y$374,AU$1,FALSE)*$Z471</f>
        <v>4.0735058993931507E-4</v>
      </c>
      <c r="AV471" s="3">
        <f>VLOOKUP($AB471,'2000 Seattle Tracts'!$C$2:$Y$374,AV$1,FALSE)*$Z471</f>
        <v>0</v>
      </c>
      <c r="AW471" s="3">
        <f>VLOOKUP($AB471,'2000 Seattle Tracts'!$C$2:$Y$374,AW$1,FALSE)*$Z471</f>
        <v>8.2375341521061501E-3</v>
      </c>
      <c r="AX471" s="3">
        <f>VLOOKUP($AB471,'2000 Seattle Tracts'!$C$2:$Y$374,AX$1,FALSE)*$Z471</f>
        <v>3.0324988362149014E-3</v>
      </c>
    </row>
    <row r="472" spans="1:50" x14ac:dyDescent="0.25">
      <c r="A472" t="s">
        <v>2917</v>
      </c>
      <c r="B472" t="s">
        <v>2918</v>
      </c>
      <c r="C472" t="s">
        <v>3158</v>
      </c>
      <c r="D472" t="s">
        <v>2719</v>
      </c>
      <c r="E472" t="s">
        <v>2720</v>
      </c>
      <c r="F472" t="s">
        <v>2721</v>
      </c>
      <c r="G472" t="s">
        <v>2920</v>
      </c>
      <c r="H472" t="s">
        <v>2921</v>
      </c>
      <c r="I472">
        <v>1196463</v>
      </c>
      <c r="J472">
        <v>0</v>
      </c>
      <c r="K472" t="s">
        <v>3159</v>
      </c>
      <c r="L472" t="s">
        <v>3160</v>
      </c>
      <c r="M472">
        <v>34</v>
      </c>
      <c r="N472">
        <v>25387.706999999999</v>
      </c>
      <c r="O472" t="s">
        <v>122</v>
      </c>
      <c r="P472">
        <v>6</v>
      </c>
      <c r="Q472">
        <v>9</v>
      </c>
      <c r="R472">
        <v>24</v>
      </c>
      <c r="S472">
        <v>37314628</v>
      </c>
      <c r="T472">
        <v>36</v>
      </c>
      <c r="U472">
        <v>123</v>
      </c>
      <c r="V472">
        <v>25387.707496248549</v>
      </c>
      <c r="W472">
        <v>37314629.789188273</v>
      </c>
      <c r="X472">
        <v>859317.87800000003</v>
      </c>
      <c r="Y472">
        <f>VLOOKUP(AB472,'2000 Seattle Tracts'!$C$2:$Z$374,24,FALSE)</f>
        <v>1196455.8589999999</v>
      </c>
      <c r="Z472">
        <f t="shared" si="14"/>
        <v>0.71821945752200134</v>
      </c>
      <c r="AA472" t="s">
        <v>125</v>
      </c>
      <c r="AB472" t="str">
        <f t="shared" si="15"/>
        <v>Census Tract 36, King County, Washington</v>
      </c>
      <c r="AC472" s="3">
        <f>VLOOKUP($AB472,'2000 Seattle Tracts'!$C$2:$Y$374,AC$1,FALSE)*$Z472</f>
        <v>3509.2202694524985</v>
      </c>
      <c r="AD472" s="3">
        <f>VLOOKUP($AB472,'2000 Seattle Tracts'!$C$2:$Y$374,AD$1,FALSE)*$Z472</f>
        <v>3040.9411831481539</v>
      </c>
      <c r="AE472" s="3">
        <f>VLOOKUP($AB472,'2000 Seattle Tracts'!$C$2:$Y$374,AE$1,FALSE)*$Z472</f>
        <v>468.27908630434484</v>
      </c>
      <c r="AF472" s="3">
        <f>VLOOKUP($AB472,'2000 Seattle Tracts'!$C$2:$Y$374,AF$1,FALSE)*$Z472</f>
        <v>3509.2202694524985</v>
      </c>
      <c r="AG472" s="3">
        <f>VLOOKUP($AB472,'2000 Seattle Tracts'!$C$2:$Y$374,AG$1,FALSE)*$Z472</f>
        <v>3040.9411831481539</v>
      </c>
      <c r="AH472" s="3">
        <f>VLOOKUP($AB472,'2000 Seattle Tracts'!$C$2:$Y$374,AH$1,FALSE)*$Z472</f>
        <v>468.27908630434484</v>
      </c>
      <c r="AI472" s="3">
        <f>VLOOKUP($AB472,'2000 Seattle Tracts'!$C$2:$Y$374,AI$1,FALSE)*$Z472</f>
        <v>2700.5051602827252</v>
      </c>
      <c r="AJ472" s="3">
        <f>VLOOKUP($AB472,'2000 Seattle Tracts'!$C$2:$Y$374,AJ$1,FALSE)*$Z472</f>
        <v>226.95734857695243</v>
      </c>
      <c r="AK472" s="3">
        <f>VLOOKUP($AB472,'2000 Seattle Tracts'!$C$2:$Y$374,AK$1,FALSE)*$Z472</f>
        <v>35.910972876100068</v>
      </c>
      <c r="AL472" s="3">
        <f>VLOOKUP($AB472,'2000 Seattle Tracts'!$C$2:$Y$374,AL$1,FALSE)*$Z472</f>
        <v>11.491511320352021</v>
      </c>
      <c r="AM472" s="3">
        <f>VLOOKUP($AB472,'2000 Seattle Tracts'!$C$2:$Y$374,AM$1,FALSE)*$Z472</f>
        <v>40.938509078754073</v>
      </c>
      <c r="AN472" s="3">
        <f>VLOOKUP($AB472,'2000 Seattle Tracts'!$C$2:$Y$374,AN$1,FALSE)*$Z472</f>
        <v>0</v>
      </c>
      <c r="AO472" s="3">
        <f>VLOOKUP($AB472,'2000 Seattle Tracts'!$C$2:$Y$374,AO$1,FALSE)*$Z472</f>
        <v>0</v>
      </c>
      <c r="AP472" s="3">
        <f>VLOOKUP($AB472,'2000 Seattle Tracts'!$C$2:$Y$374,AP$1,FALSE)*$Z472</f>
        <v>0</v>
      </c>
      <c r="AQ472" s="3">
        <f>VLOOKUP($AB472,'2000 Seattle Tracts'!$C$2:$Y$374,AQ$1,FALSE)*$Z472</f>
        <v>126.40662452387224</v>
      </c>
      <c r="AR472" s="3">
        <f>VLOOKUP($AB472,'2000 Seattle Tracts'!$C$2:$Y$374,AR$1,FALSE)*$Z472</f>
        <v>181.70952275306635</v>
      </c>
      <c r="AS472" s="3">
        <f>VLOOKUP($AB472,'2000 Seattle Tracts'!$C$2:$Y$374,AS$1,FALSE)*$Z472</f>
        <v>0</v>
      </c>
      <c r="AT472" s="3">
        <f>VLOOKUP($AB472,'2000 Seattle Tracts'!$C$2:$Y$374,AT$1,FALSE)*$Z472</f>
        <v>0</v>
      </c>
      <c r="AU472" s="3">
        <f>VLOOKUP($AB472,'2000 Seattle Tracts'!$C$2:$Y$374,AU$1,FALSE)*$Z472</f>
        <v>6.4639751176980118</v>
      </c>
      <c r="AV472" s="3">
        <f>VLOOKUP($AB472,'2000 Seattle Tracts'!$C$2:$Y$374,AV$1,FALSE)*$Z472</f>
        <v>0</v>
      </c>
      <c r="AW472" s="3">
        <f>VLOOKUP($AB472,'2000 Seattle Tracts'!$C$2:$Y$374,AW$1,FALSE)*$Z472</f>
        <v>130.71594126900425</v>
      </c>
      <c r="AX472" s="3">
        <f>VLOOKUP($AB472,'2000 Seattle Tracts'!$C$2:$Y$374,AX$1,FALSE)*$Z472</f>
        <v>48.12070365397409</v>
      </c>
    </row>
    <row r="473" spans="1:50" x14ac:dyDescent="0.25">
      <c r="A473" t="s">
        <v>2917</v>
      </c>
      <c r="B473" t="s">
        <v>2918</v>
      </c>
      <c r="C473" t="s">
        <v>3158</v>
      </c>
      <c r="D473" t="s">
        <v>2719</v>
      </c>
      <c r="E473" t="s">
        <v>2720</v>
      </c>
      <c r="F473" t="s">
        <v>2721</v>
      </c>
      <c r="G473" t="s">
        <v>2920</v>
      </c>
      <c r="H473" t="s">
        <v>2921</v>
      </c>
      <c r="I473">
        <v>1196463</v>
      </c>
      <c r="J473">
        <v>0</v>
      </c>
      <c r="K473" t="s">
        <v>3159</v>
      </c>
      <c r="L473" t="s">
        <v>3160</v>
      </c>
      <c r="M473">
        <v>41</v>
      </c>
      <c r="N473">
        <v>22865.453000000001</v>
      </c>
      <c r="O473" t="s">
        <v>122</v>
      </c>
      <c r="P473">
        <v>4</v>
      </c>
      <c r="Q473">
        <v>5</v>
      </c>
      <c r="R473">
        <v>95</v>
      </c>
      <c r="S473">
        <v>21491312</v>
      </c>
      <c r="T473">
        <v>43</v>
      </c>
      <c r="U473">
        <v>124</v>
      </c>
      <c r="V473">
        <v>22865.452635921651</v>
      </c>
      <c r="W473">
        <v>21491312.22830575</v>
      </c>
      <c r="X473">
        <v>313517.34600000002</v>
      </c>
      <c r="Y473">
        <f>VLOOKUP(AB473,'2000 Seattle Tracts'!$C$2:$Z$374,24,FALSE)</f>
        <v>1196455.8589999999</v>
      </c>
      <c r="Z473">
        <f t="shared" si="14"/>
        <v>0.26203837244947625</v>
      </c>
      <c r="AA473" t="s">
        <v>132</v>
      </c>
      <c r="AB473" t="str">
        <f t="shared" si="15"/>
        <v>Census Tract 36, King County, Washington</v>
      </c>
      <c r="AC473" s="3">
        <f>VLOOKUP($AB473,'2000 Seattle Tracts'!$C$2:$Y$374,AC$1,FALSE)*$Z473</f>
        <v>1280.319487788141</v>
      </c>
      <c r="AD473" s="3">
        <f>VLOOKUP($AB473,'2000 Seattle Tracts'!$C$2:$Y$374,AD$1,FALSE)*$Z473</f>
        <v>1109.4704689510825</v>
      </c>
      <c r="AE473" s="3">
        <f>VLOOKUP($AB473,'2000 Seattle Tracts'!$C$2:$Y$374,AE$1,FALSE)*$Z473</f>
        <v>170.84901883705851</v>
      </c>
      <c r="AF473" s="3">
        <f>VLOOKUP($AB473,'2000 Seattle Tracts'!$C$2:$Y$374,AF$1,FALSE)*$Z473</f>
        <v>1280.319487788141</v>
      </c>
      <c r="AG473" s="3">
        <f>VLOOKUP($AB473,'2000 Seattle Tracts'!$C$2:$Y$374,AG$1,FALSE)*$Z473</f>
        <v>1109.4704689510825</v>
      </c>
      <c r="AH473" s="3">
        <f>VLOOKUP($AB473,'2000 Seattle Tracts'!$C$2:$Y$374,AH$1,FALSE)*$Z473</f>
        <v>170.84901883705851</v>
      </c>
      <c r="AI473" s="3">
        <f>VLOOKUP($AB473,'2000 Seattle Tracts'!$C$2:$Y$374,AI$1,FALSE)*$Z473</f>
        <v>985.26428041003066</v>
      </c>
      <c r="AJ473" s="3">
        <f>VLOOKUP($AB473,'2000 Seattle Tracts'!$C$2:$Y$374,AJ$1,FALSE)*$Z473</f>
        <v>82.804125694034497</v>
      </c>
      <c r="AK473" s="3">
        <f>VLOOKUP($AB473,'2000 Seattle Tracts'!$C$2:$Y$374,AK$1,FALSE)*$Z473</f>
        <v>13.101918622473812</v>
      </c>
      <c r="AL473" s="3">
        <f>VLOOKUP($AB473,'2000 Seattle Tracts'!$C$2:$Y$374,AL$1,FALSE)*$Z473</f>
        <v>4.1926139591916201</v>
      </c>
      <c r="AM473" s="3">
        <f>VLOOKUP($AB473,'2000 Seattle Tracts'!$C$2:$Y$374,AM$1,FALSE)*$Z473</f>
        <v>14.936187229620147</v>
      </c>
      <c r="AN473" s="3">
        <f>VLOOKUP($AB473,'2000 Seattle Tracts'!$C$2:$Y$374,AN$1,FALSE)*$Z473</f>
        <v>0</v>
      </c>
      <c r="AO473" s="3">
        <f>VLOOKUP($AB473,'2000 Seattle Tracts'!$C$2:$Y$374,AO$1,FALSE)*$Z473</f>
        <v>0</v>
      </c>
      <c r="AP473" s="3">
        <f>VLOOKUP($AB473,'2000 Seattle Tracts'!$C$2:$Y$374,AP$1,FALSE)*$Z473</f>
        <v>0</v>
      </c>
      <c r="AQ473" s="3">
        <f>VLOOKUP($AB473,'2000 Seattle Tracts'!$C$2:$Y$374,AQ$1,FALSE)*$Z473</f>
        <v>46.118753551107822</v>
      </c>
      <c r="AR473" s="3">
        <f>VLOOKUP($AB473,'2000 Seattle Tracts'!$C$2:$Y$374,AR$1,FALSE)*$Z473</f>
        <v>66.295708229717491</v>
      </c>
      <c r="AS473" s="3">
        <f>VLOOKUP($AB473,'2000 Seattle Tracts'!$C$2:$Y$374,AS$1,FALSE)*$Z473</f>
        <v>0</v>
      </c>
      <c r="AT473" s="3">
        <f>VLOOKUP($AB473,'2000 Seattle Tracts'!$C$2:$Y$374,AT$1,FALSE)*$Z473</f>
        <v>0</v>
      </c>
      <c r="AU473" s="3">
        <f>VLOOKUP($AB473,'2000 Seattle Tracts'!$C$2:$Y$374,AU$1,FALSE)*$Z473</f>
        <v>2.3583453520452862</v>
      </c>
      <c r="AV473" s="3">
        <f>VLOOKUP($AB473,'2000 Seattle Tracts'!$C$2:$Y$374,AV$1,FALSE)*$Z473</f>
        <v>0</v>
      </c>
      <c r="AW473" s="3">
        <f>VLOOKUP($AB473,'2000 Seattle Tracts'!$C$2:$Y$374,AW$1,FALSE)*$Z473</f>
        <v>47.690983785804676</v>
      </c>
      <c r="AX473" s="3">
        <f>VLOOKUP($AB473,'2000 Seattle Tracts'!$C$2:$Y$374,AX$1,FALSE)*$Z473</f>
        <v>17.55657095411491</v>
      </c>
    </row>
    <row r="474" spans="1:50" x14ac:dyDescent="0.25">
      <c r="A474" t="s">
        <v>2917</v>
      </c>
      <c r="B474" t="s">
        <v>2918</v>
      </c>
      <c r="C474" t="s">
        <v>3158</v>
      </c>
      <c r="D474" t="s">
        <v>2719</v>
      </c>
      <c r="E474" t="s">
        <v>2720</v>
      </c>
      <c r="F474" t="s">
        <v>2721</v>
      </c>
      <c r="G474" t="s">
        <v>2920</v>
      </c>
      <c r="H474" t="s">
        <v>2921</v>
      </c>
      <c r="I474">
        <v>1196463</v>
      </c>
      <c r="J474">
        <v>0</v>
      </c>
      <c r="K474" t="s">
        <v>3159</v>
      </c>
      <c r="L474" t="s">
        <v>3160</v>
      </c>
      <c r="M474">
        <v>42</v>
      </c>
      <c r="N474">
        <v>41446.940999999999</v>
      </c>
      <c r="O474" t="s">
        <v>134</v>
      </c>
      <c r="P474">
        <v>5</v>
      </c>
      <c r="Q474">
        <v>12</v>
      </c>
      <c r="R474">
        <v>33</v>
      </c>
      <c r="S474">
        <v>49348388</v>
      </c>
      <c r="T474">
        <v>44</v>
      </c>
      <c r="U474">
        <v>139</v>
      </c>
      <c r="V474">
        <v>41446.941321259314</v>
      </c>
      <c r="W474">
        <v>49348387.058142804</v>
      </c>
      <c r="X474">
        <v>23566.491999999998</v>
      </c>
      <c r="Y474">
        <f>VLOOKUP(AB474,'2000 Seattle Tracts'!$C$2:$Z$374,24,FALSE)</f>
        <v>1196455.8589999999</v>
      </c>
      <c r="Z474">
        <f t="shared" si="14"/>
        <v>1.9696917209880954E-2</v>
      </c>
      <c r="AA474" t="s">
        <v>133</v>
      </c>
      <c r="AB474" t="str">
        <f t="shared" si="15"/>
        <v>Census Tract 36, King County, Washington</v>
      </c>
      <c r="AC474" s="3">
        <f>VLOOKUP($AB474,'2000 Seattle Tracts'!$C$2:$Y$374,AC$1,FALSE)*$Z474</f>
        <v>96.239137487478345</v>
      </c>
      <c r="AD474" s="3">
        <f>VLOOKUP($AB474,'2000 Seattle Tracts'!$C$2:$Y$374,AD$1,FALSE)*$Z474</f>
        <v>83.396747466635958</v>
      </c>
      <c r="AE474" s="3">
        <f>VLOOKUP($AB474,'2000 Seattle Tracts'!$C$2:$Y$374,AE$1,FALSE)*$Z474</f>
        <v>12.842390020842382</v>
      </c>
      <c r="AF474" s="3">
        <f>VLOOKUP($AB474,'2000 Seattle Tracts'!$C$2:$Y$374,AF$1,FALSE)*$Z474</f>
        <v>96.239137487478345</v>
      </c>
      <c r="AG474" s="3">
        <f>VLOOKUP($AB474,'2000 Seattle Tracts'!$C$2:$Y$374,AG$1,FALSE)*$Z474</f>
        <v>83.396747466635958</v>
      </c>
      <c r="AH474" s="3">
        <f>VLOOKUP($AB474,'2000 Seattle Tracts'!$C$2:$Y$374,AH$1,FALSE)*$Z474</f>
        <v>12.842390020842382</v>
      </c>
      <c r="AI474" s="3">
        <f>VLOOKUP($AB474,'2000 Seattle Tracts'!$C$2:$Y$374,AI$1,FALSE)*$Z474</f>
        <v>74.060408709152384</v>
      </c>
      <c r="AJ474" s="3">
        <f>VLOOKUP($AB474,'2000 Seattle Tracts'!$C$2:$Y$374,AJ$1,FALSE)*$Z474</f>
        <v>6.2242258383223819</v>
      </c>
      <c r="AK474" s="3">
        <f>VLOOKUP($AB474,'2000 Seattle Tracts'!$C$2:$Y$374,AK$1,FALSE)*$Z474</f>
        <v>0.98484586049404776</v>
      </c>
      <c r="AL474" s="3">
        <f>VLOOKUP($AB474,'2000 Seattle Tracts'!$C$2:$Y$374,AL$1,FALSE)*$Z474</f>
        <v>0.31515067535809527</v>
      </c>
      <c r="AM474" s="3">
        <f>VLOOKUP($AB474,'2000 Seattle Tracts'!$C$2:$Y$374,AM$1,FALSE)*$Z474</f>
        <v>1.1227242809632143</v>
      </c>
      <c r="AN474" s="3">
        <f>VLOOKUP($AB474,'2000 Seattle Tracts'!$C$2:$Y$374,AN$1,FALSE)*$Z474</f>
        <v>0</v>
      </c>
      <c r="AO474" s="3">
        <f>VLOOKUP($AB474,'2000 Seattle Tracts'!$C$2:$Y$374,AO$1,FALSE)*$Z474</f>
        <v>0</v>
      </c>
      <c r="AP474" s="3">
        <f>VLOOKUP($AB474,'2000 Seattle Tracts'!$C$2:$Y$374,AP$1,FALSE)*$Z474</f>
        <v>0</v>
      </c>
      <c r="AQ474" s="3">
        <f>VLOOKUP($AB474,'2000 Seattle Tracts'!$C$2:$Y$374,AQ$1,FALSE)*$Z474</f>
        <v>3.4666574289390479</v>
      </c>
      <c r="AR474" s="3">
        <f>VLOOKUP($AB474,'2000 Seattle Tracts'!$C$2:$Y$374,AR$1,FALSE)*$Z474</f>
        <v>4.983320054099881</v>
      </c>
      <c r="AS474" s="3">
        <f>VLOOKUP($AB474,'2000 Seattle Tracts'!$C$2:$Y$374,AS$1,FALSE)*$Z474</f>
        <v>0</v>
      </c>
      <c r="AT474" s="3">
        <f>VLOOKUP($AB474,'2000 Seattle Tracts'!$C$2:$Y$374,AT$1,FALSE)*$Z474</f>
        <v>0</v>
      </c>
      <c r="AU474" s="3">
        <f>VLOOKUP($AB474,'2000 Seattle Tracts'!$C$2:$Y$374,AU$1,FALSE)*$Z474</f>
        <v>0.17727225488892859</v>
      </c>
      <c r="AV474" s="3">
        <f>VLOOKUP($AB474,'2000 Seattle Tracts'!$C$2:$Y$374,AV$1,FALSE)*$Z474</f>
        <v>0</v>
      </c>
      <c r="AW474" s="3">
        <f>VLOOKUP($AB474,'2000 Seattle Tracts'!$C$2:$Y$374,AW$1,FALSE)*$Z474</f>
        <v>3.5848389321983336</v>
      </c>
      <c r="AX474" s="3">
        <f>VLOOKUP($AB474,'2000 Seattle Tracts'!$C$2:$Y$374,AX$1,FALSE)*$Z474</f>
        <v>1.3196934530620239</v>
      </c>
    </row>
    <row r="475" spans="1:50" x14ac:dyDescent="0.25">
      <c r="A475" t="s">
        <v>2917</v>
      </c>
      <c r="B475" t="s">
        <v>2918</v>
      </c>
      <c r="C475" t="s">
        <v>3047</v>
      </c>
      <c r="D475" t="s">
        <v>2722</v>
      </c>
      <c r="E475" t="s">
        <v>2723</v>
      </c>
      <c r="F475" t="s">
        <v>2724</v>
      </c>
      <c r="G475" t="s">
        <v>2920</v>
      </c>
      <c r="H475" t="s">
        <v>2921</v>
      </c>
      <c r="I475">
        <v>1284761</v>
      </c>
      <c r="J475">
        <v>0</v>
      </c>
      <c r="K475" t="s">
        <v>3048</v>
      </c>
      <c r="L475" t="s">
        <v>3049</v>
      </c>
      <c r="M475">
        <v>31</v>
      </c>
      <c r="N475">
        <v>27120.785</v>
      </c>
      <c r="O475" t="s">
        <v>122</v>
      </c>
      <c r="P475">
        <v>6</v>
      </c>
      <c r="Q475">
        <v>9</v>
      </c>
      <c r="R475">
        <v>95</v>
      </c>
      <c r="S475">
        <v>32123118</v>
      </c>
      <c r="T475">
        <v>33</v>
      </c>
      <c r="U475">
        <v>126</v>
      </c>
      <c r="V475">
        <v>27120.785937968081</v>
      </c>
      <c r="W475">
        <v>32123117.878249042</v>
      </c>
      <c r="X475">
        <v>1281759.048</v>
      </c>
      <c r="Y475">
        <f>VLOOKUP(AB475,'2000 Seattle Tracts'!$C$2:$Z$374,24,FALSE)</f>
        <v>1284761.325</v>
      </c>
      <c r="Z475">
        <f t="shared" si="14"/>
        <v>0.99766316362301766</v>
      </c>
      <c r="AA475" t="s">
        <v>121</v>
      </c>
      <c r="AB475" t="str">
        <f t="shared" si="15"/>
        <v>Census Tract 35, King County, Washington</v>
      </c>
      <c r="AC475" s="3">
        <f>VLOOKUP($AB475,'2000 Seattle Tracts'!$C$2:$Y$374,AC$1,FALSE)*$Z475</f>
        <v>3630.4962524241614</v>
      </c>
      <c r="AD475" s="3">
        <f>VLOOKUP($AB475,'2000 Seattle Tracts'!$C$2:$Y$374,AD$1,FALSE)*$Z475</f>
        <v>3338.1809454826171</v>
      </c>
      <c r="AE475" s="3">
        <f>VLOOKUP($AB475,'2000 Seattle Tracts'!$C$2:$Y$374,AE$1,FALSE)*$Z475</f>
        <v>292.31530694154418</v>
      </c>
      <c r="AF475" s="3">
        <f>VLOOKUP($AB475,'2000 Seattle Tracts'!$C$2:$Y$374,AF$1,FALSE)*$Z475</f>
        <v>3630.4962524241614</v>
      </c>
      <c r="AG475" s="3">
        <f>VLOOKUP($AB475,'2000 Seattle Tracts'!$C$2:$Y$374,AG$1,FALSE)*$Z475</f>
        <v>3338.1809454826171</v>
      </c>
      <c r="AH475" s="3">
        <f>VLOOKUP($AB475,'2000 Seattle Tracts'!$C$2:$Y$374,AH$1,FALSE)*$Z475</f>
        <v>292.31530694154418</v>
      </c>
      <c r="AI475" s="3">
        <f>VLOOKUP($AB475,'2000 Seattle Tracts'!$C$2:$Y$374,AI$1,FALSE)*$Z475</f>
        <v>3028.9053647594815</v>
      </c>
      <c r="AJ475" s="3">
        <f>VLOOKUP($AB475,'2000 Seattle Tracts'!$C$2:$Y$374,AJ$1,FALSE)*$Z475</f>
        <v>222.47888548793293</v>
      </c>
      <c r="AK475" s="3">
        <f>VLOOKUP($AB475,'2000 Seattle Tracts'!$C$2:$Y$374,AK$1,FALSE)*$Z475</f>
        <v>26.936905417821478</v>
      </c>
      <c r="AL475" s="3">
        <f>VLOOKUP($AB475,'2000 Seattle Tracts'!$C$2:$Y$374,AL$1,FALSE)*$Z475</f>
        <v>4.9883158181150886</v>
      </c>
      <c r="AM475" s="3">
        <f>VLOOKUP($AB475,'2000 Seattle Tracts'!$C$2:$Y$374,AM$1,FALSE)*$Z475</f>
        <v>4.9883158181150886</v>
      </c>
      <c r="AN475" s="3">
        <f>VLOOKUP($AB475,'2000 Seattle Tracts'!$C$2:$Y$374,AN$1,FALSE)*$Z475</f>
        <v>11.971957963476212</v>
      </c>
      <c r="AO475" s="3">
        <f>VLOOKUP($AB475,'2000 Seattle Tracts'!$C$2:$Y$374,AO$1,FALSE)*$Z475</f>
        <v>16.960273781591301</v>
      </c>
      <c r="AP475" s="3">
        <f>VLOOKUP($AB475,'2000 Seattle Tracts'!$C$2:$Y$374,AP$1,FALSE)*$Z475</f>
        <v>0</v>
      </c>
      <c r="AQ475" s="3">
        <f>VLOOKUP($AB475,'2000 Seattle Tracts'!$C$2:$Y$374,AQ$1,FALSE)*$Z475</f>
        <v>86.796695235202534</v>
      </c>
      <c r="AR475" s="3">
        <f>VLOOKUP($AB475,'2000 Seattle Tracts'!$C$2:$Y$374,AR$1,FALSE)*$Z475</f>
        <v>30.927558072313548</v>
      </c>
      <c r="AS475" s="3">
        <f>VLOOKUP($AB475,'2000 Seattle Tracts'!$C$2:$Y$374,AS$1,FALSE)*$Z475</f>
        <v>0</v>
      </c>
      <c r="AT475" s="3">
        <f>VLOOKUP($AB475,'2000 Seattle Tracts'!$C$2:$Y$374,AT$1,FALSE)*$Z475</f>
        <v>0</v>
      </c>
      <c r="AU475" s="3">
        <f>VLOOKUP($AB475,'2000 Seattle Tracts'!$C$2:$Y$374,AU$1,FALSE)*$Z475</f>
        <v>44.894842363035792</v>
      </c>
      <c r="AV475" s="3">
        <f>VLOOKUP($AB475,'2000 Seattle Tracts'!$C$2:$Y$374,AV$1,FALSE)*$Z475</f>
        <v>0</v>
      </c>
      <c r="AW475" s="3">
        <f>VLOOKUP($AB475,'2000 Seattle Tracts'!$C$2:$Y$374,AW$1,FALSE)*$Z475</f>
        <v>128.69854810736928</v>
      </c>
      <c r="AX475" s="3">
        <f>VLOOKUP($AB475,'2000 Seattle Tracts'!$C$2:$Y$374,AX$1,FALSE)*$Z475</f>
        <v>21.948589599706388</v>
      </c>
    </row>
    <row r="476" spans="1:50" x14ac:dyDescent="0.25">
      <c r="A476" t="s">
        <v>2917</v>
      </c>
      <c r="B476" t="s">
        <v>2918</v>
      </c>
      <c r="C476" t="s">
        <v>3047</v>
      </c>
      <c r="D476" t="s">
        <v>2722</v>
      </c>
      <c r="E476" t="s">
        <v>2723</v>
      </c>
      <c r="F476" t="s">
        <v>2724</v>
      </c>
      <c r="G476" t="s">
        <v>2920</v>
      </c>
      <c r="H476" t="s">
        <v>2921</v>
      </c>
      <c r="I476">
        <v>1284761</v>
      </c>
      <c r="J476">
        <v>0</v>
      </c>
      <c r="K476" t="s">
        <v>3048</v>
      </c>
      <c r="L476" t="s">
        <v>3049</v>
      </c>
      <c r="M476">
        <v>32</v>
      </c>
      <c r="N476">
        <v>33040.245999999999</v>
      </c>
      <c r="O476" t="s">
        <v>122</v>
      </c>
      <c r="P476">
        <v>6</v>
      </c>
      <c r="Q476">
        <v>9</v>
      </c>
      <c r="R476">
        <v>19</v>
      </c>
      <c r="S476">
        <v>42068344</v>
      </c>
      <c r="T476">
        <v>34</v>
      </c>
      <c r="U476">
        <v>133</v>
      </c>
      <c r="V476">
        <v>33040.246986119782</v>
      </c>
      <c r="W476">
        <v>42068342.613789164</v>
      </c>
      <c r="X476">
        <v>8.5730000000000004</v>
      </c>
      <c r="Y476">
        <f>VLOOKUP(AB476,'2000 Seattle Tracts'!$C$2:$Z$374,24,FALSE)</f>
        <v>1284761.325</v>
      </c>
      <c r="Z476">
        <f t="shared" si="14"/>
        <v>6.6728347383900276E-6</v>
      </c>
      <c r="AA476" t="s">
        <v>123</v>
      </c>
      <c r="AB476" t="str">
        <f t="shared" si="15"/>
        <v>Census Tract 35, King County, Washington</v>
      </c>
      <c r="AC476" s="3">
        <f>VLOOKUP($AB476,'2000 Seattle Tracts'!$C$2:$Y$374,AC$1,FALSE)*$Z476</f>
        <v>2.4282445613001309E-2</v>
      </c>
      <c r="AD476" s="3">
        <f>VLOOKUP($AB476,'2000 Seattle Tracts'!$C$2:$Y$374,AD$1,FALSE)*$Z476</f>
        <v>2.2327305034653033E-2</v>
      </c>
      <c r="AE476" s="3">
        <f>VLOOKUP($AB476,'2000 Seattle Tracts'!$C$2:$Y$374,AE$1,FALSE)*$Z476</f>
        <v>1.9551405783482783E-3</v>
      </c>
      <c r="AF476" s="3">
        <f>VLOOKUP($AB476,'2000 Seattle Tracts'!$C$2:$Y$374,AF$1,FALSE)*$Z476</f>
        <v>2.4282445613001309E-2</v>
      </c>
      <c r="AG476" s="3">
        <f>VLOOKUP($AB476,'2000 Seattle Tracts'!$C$2:$Y$374,AG$1,FALSE)*$Z476</f>
        <v>2.2327305034653033E-2</v>
      </c>
      <c r="AH476" s="3">
        <f>VLOOKUP($AB476,'2000 Seattle Tracts'!$C$2:$Y$374,AH$1,FALSE)*$Z476</f>
        <v>1.9551405783482783E-3</v>
      </c>
      <c r="AI476" s="3">
        <f>VLOOKUP($AB476,'2000 Seattle Tracts'!$C$2:$Y$374,AI$1,FALSE)*$Z476</f>
        <v>2.0258726265752123E-2</v>
      </c>
      <c r="AJ476" s="3">
        <f>VLOOKUP($AB476,'2000 Seattle Tracts'!$C$2:$Y$374,AJ$1,FALSE)*$Z476</f>
        <v>1.4880421466609761E-3</v>
      </c>
      <c r="AK476" s="3">
        <f>VLOOKUP($AB476,'2000 Seattle Tracts'!$C$2:$Y$374,AK$1,FALSE)*$Z476</f>
        <v>1.8016653793653074E-4</v>
      </c>
      <c r="AL476" s="3">
        <f>VLOOKUP($AB476,'2000 Seattle Tracts'!$C$2:$Y$374,AL$1,FALSE)*$Z476</f>
        <v>3.336417369195014E-5</v>
      </c>
      <c r="AM476" s="3">
        <f>VLOOKUP($AB476,'2000 Seattle Tracts'!$C$2:$Y$374,AM$1,FALSE)*$Z476</f>
        <v>3.336417369195014E-5</v>
      </c>
      <c r="AN476" s="3">
        <f>VLOOKUP($AB476,'2000 Seattle Tracts'!$C$2:$Y$374,AN$1,FALSE)*$Z476</f>
        <v>8.0074016860680325E-5</v>
      </c>
      <c r="AO476" s="3">
        <f>VLOOKUP($AB476,'2000 Seattle Tracts'!$C$2:$Y$374,AO$1,FALSE)*$Z476</f>
        <v>1.1343819055263047E-4</v>
      </c>
      <c r="AP476" s="3">
        <f>VLOOKUP($AB476,'2000 Seattle Tracts'!$C$2:$Y$374,AP$1,FALSE)*$Z476</f>
        <v>0</v>
      </c>
      <c r="AQ476" s="3">
        <f>VLOOKUP($AB476,'2000 Seattle Tracts'!$C$2:$Y$374,AQ$1,FALSE)*$Z476</f>
        <v>5.8053662223993242E-4</v>
      </c>
      <c r="AR476" s="3">
        <f>VLOOKUP($AB476,'2000 Seattle Tracts'!$C$2:$Y$374,AR$1,FALSE)*$Z476</f>
        <v>2.0685787689009086E-4</v>
      </c>
      <c r="AS476" s="3">
        <f>VLOOKUP($AB476,'2000 Seattle Tracts'!$C$2:$Y$374,AS$1,FALSE)*$Z476</f>
        <v>0</v>
      </c>
      <c r="AT476" s="3">
        <f>VLOOKUP($AB476,'2000 Seattle Tracts'!$C$2:$Y$374,AT$1,FALSE)*$Z476</f>
        <v>0</v>
      </c>
      <c r="AU476" s="3">
        <f>VLOOKUP($AB476,'2000 Seattle Tracts'!$C$2:$Y$374,AU$1,FALSE)*$Z476</f>
        <v>3.0027756322755124E-4</v>
      </c>
      <c r="AV476" s="3">
        <f>VLOOKUP($AB476,'2000 Seattle Tracts'!$C$2:$Y$374,AV$1,FALSE)*$Z476</f>
        <v>0</v>
      </c>
      <c r="AW476" s="3">
        <f>VLOOKUP($AB476,'2000 Seattle Tracts'!$C$2:$Y$374,AW$1,FALSE)*$Z476</f>
        <v>8.607956812523136E-4</v>
      </c>
      <c r="AX476" s="3">
        <f>VLOOKUP($AB476,'2000 Seattle Tracts'!$C$2:$Y$374,AX$1,FALSE)*$Z476</f>
        <v>1.4680236424458062E-4</v>
      </c>
    </row>
    <row r="477" spans="1:50" x14ac:dyDescent="0.25">
      <c r="A477" t="s">
        <v>2917</v>
      </c>
      <c r="B477" t="s">
        <v>2918</v>
      </c>
      <c r="C477" t="s">
        <v>3047</v>
      </c>
      <c r="D477" t="s">
        <v>2722</v>
      </c>
      <c r="E477" t="s">
        <v>2723</v>
      </c>
      <c r="F477" t="s">
        <v>2724</v>
      </c>
      <c r="G477" t="s">
        <v>2920</v>
      </c>
      <c r="H477" t="s">
        <v>2921</v>
      </c>
      <c r="I477">
        <v>1284761</v>
      </c>
      <c r="J477">
        <v>0</v>
      </c>
      <c r="K477" t="s">
        <v>3048</v>
      </c>
      <c r="L477" t="s">
        <v>3049</v>
      </c>
      <c r="M477">
        <v>33</v>
      </c>
      <c r="N477">
        <v>25999.285</v>
      </c>
      <c r="O477" t="s">
        <v>122</v>
      </c>
      <c r="P477">
        <v>6</v>
      </c>
      <c r="Q477">
        <v>9</v>
      </c>
      <c r="R477">
        <v>94</v>
      </c>
      <c r="S477">
        <v>26503756</v>
      </c>
      <c r="T477">
        <v>35</v>
      </c>
      <c r="U477">
        <v>137</v>
      </c>
      <c r="V477">
        <v>25999.284935718741</v>
      </c>
      <c r="W477">
        <v>26503756.57148983</v>
      </c>
      <c r="X477">
        <v>466.11900000000003</v>
      </c>
      <c r="Y477">
        <f>VLOOKUP(AB477,'2000 Seattle Tracts'!$C$2:$Z$374,24,FALSE)</f>
        <v>1284761.325</v>
      </c>
      <c r="Z477">
        <f t="shared" si="14"/>
        <v>3.6280590871615788E-4</v>
      </c>
      <c r="AA477" t="s">
        <v>124</v>
      </c>
      <c r="AB477" t="str">
        <f t="shared" si="15"/>
        <v>Census Tract 35, King County, Washington</v>
      </c>
      <c r="AC477" s="3">
        <f>VLOOKUP($AB477,'2000 Seattle Tracts'!$C$2:$Y$374,AC$1,FALSE)*$Z477</f>
        <v>1.3202507018180984</v>
      </c>
      <c r="AD477" s="3">
        <f>VLOOKUP($AB477,'2000 Seattle Tracts'!$C$2:$Y$374,AD$1,FALSE)*$Z477</f>
        <v>1.2139485705642643</v>
      </c>
      <c r="AE477" s="3">
        <f>VLOOKUP($AB477,'2000 Seattle Tracts'!$C$2:$Y$374,AE$1,FALSE)*$Z477</f>
        <v>0.10630213125383425</v>
      </c>
      <c r="AF477" s="3">
        <f>VLOOKUP($AB477,'2000 Seattle Tracts'!$C$2:$Y$374,AF$1,FALSE)*$Z477</f>
        <v>1.3202507018180984</v>
      </c>
      <c r="AG477" s="3">
        <f>VLOOKUP($AB477,'2000 Seattle Tracts'!$C$2:$Y$374,AG$1,FALSE)*$Z477</f>
        <v>1.2139485705642643</v>
      </c>
      <c r="AH477" s="3">
        <f>VLOOKUP($AB477,'2000 Seattle Tracts'!$C$2:$Y$374,AH$1,FALSE)*$Z477</f>
        <v>0.10630213125383425</v>
      </c>
      <c r="AI477" s="3">
        <f>VLOOKUP($AB477,'2000 Seattle Tracts'!$C$2:$Y$374,AI$1,FALSE)*$Z477</f>
        <v>1.1014787388622553</v>
      </c>
      <c r="AJ477" s="3">
        <f>VLOOKUP($AB477,'2000 Seattle Tracts'!$C$2:$Y$374,AJ$1,FALSE)*$Z477</f>
        <v>8.0905717643703204E-2</v>
      </c>
      <c r="AK477" s="3">
        <f>VLOOKUP($AB477,'2000 Seattle Tracts'!$C$2:$Y$374,AK$1,FALSE)*$Z477</f>
        <v>9.7957595353362625E-3</v>
      </c>
      <c r="AL477" s="3">
        <f>VLOOKUP($AB477,'2000 Seattle Tracts'!$C$2:$Y$374,AL$1,FALSE)*$Z477</f>
        <v>1.8140295435807893E-3</v>
      </c>
      <c r="AM477" s="3">
        <f>VLOOKUP($AB477,'2000 Seattle Tracts'!$C$2:$Y$374,AM$1,FALSE)*$Z477</f>
        <v>1.8140295435807893E-3</v>
      </c>
      <c r="AN477" s="3">
        <f>VLOOKUP($AB477,'2000 Seattle Tracts'!$C$2:$Y$374,AN$1,FALSE)*$Z477</f>
        <v>4.353670904593895E-3</v>
      </c>
      <c r="AO477" s="3">
        <f>VLOOKUP($AB477,'2000 Seattle Tracts'!$C$2:$Y$374,AO$1,FALSE)*$Z477</f>
        <v>6.1677004481746839E-3</v>
      </c>
      <c r="AP477" s="3">
        <f>VLOOKUP($AB477,'2000 Seattle Tracts'!$C$2:$Y$374,AP$1,FALSE)*$Z477</f>
        <v>0</v>
      </c>
      <c r="AQ477" s="3">
        <f>VLOOKUP($AB477,'2000 Seattle Tracts'!$C$2:$Y$374,AQ$1,FALSE)*$Z477</f>
        <v>3.1564114058305733E-2</v>
      </c>
      <c r="AR477" s="3">
        <f>VLOOKUP($AB477,'2000 Seattle Tracts'!$C$2:$Y$374,AR$1,FALSE)*$Z477</f>
        <v>1.1246983170200894E-2</v>
      </c>
      <c r="AS477" s="3">
        <f>VLOOKUP($AB477,'2000 Seattle Tracts'!$C$2:$Y$374,AS$1,FALSE)*$Z477</f>
        <v>0</v>
      </c>
      <c r="AT477" s="3">
        <f>VLOOKUP($AB477,'2000 Seattle Tracts'!$C$2:$Y$374,AT$1,FALSE)*$Z477</f>
        <v>0</v>
      </c>
      <c r="AU477" s="3">
        <f>VLOOKUP($AB477,'2000 Seattle Tracts'!$C$2:$Y$374,AU$1,FALSE)*$Z477</f>
        <v>1.6326265892227104E-2</v>
      </c>
      <c r="AV477" s="3">
        <f>VLOOKUP($AB477,'2000 Seattle Tracts'!$C$2:$Y$374,AV$1,FALSE)*$Z477</f>
        <v>0</v>
      </c>
      <c r="AW477" s="3">
        <f>VLOOKUP($AB477,'2000 Seattle Tracts'!$C$2:$Y$374,AW$1,FALSE)*$Z477</f>
        <v>4.6801962224384368E-2</v>
      </c>
      <c r="AX477" s="3">
        <f>VLOOKUP($AB477,'2000 Seattle Tracts'!$C$2:$Y$374,AX$1,FALSE)*$Z477</f>
        <v>7.9817299917554728E-3</v>
      </c>
    </row>
    <row r="478" spans="1:50" x14ac:dyDescent="0.25">
      <c r="A478" t="s">
        <v>2917</v>
      </c>
      <c r="B478" t="s">
        <v>2918</v>
      </c>
      <c r="C478" t="s">
        <v>3047</v>
      </c>
      <c r="D478" t="s">
        <v>2722</v>
      </c>
      <c r="E478" t="s">
        <v>2723</v>
      </c>
      <c r="F478" t="s">
        <v>2724</v>
      </c>
      <c r="G478" t="s">
        <v>2920</v>
      </c>
      <c r="H478" t="s">
        <v>2921</v>
      </c>
      <c r="I478">
        <v>1284761</v>
      </c>
      <c r="J478">
        <v>0</v>
      </c>
      <c r="K478" t="s">
        <v>3048</v>
      </c>
      <c r="L478" t="s">
        <v>3049</v>
      </c>
      <c r="M478">
        <v>34</v>
      </c>
      <c r="N478">
        <v>25387.706999999999</v>
      </c>
      <c r="O478" t="s">
        <v>122</v>
      </c>
      <c r="P478">
        <v>6</v>
      </c>
      <c r="Q478">
        <v>9</v>
      </c>
      <c r="R478">
        <v>24</v>
      </c>
      <c r="S478">
        <v>37314628</v>
      </c>
      <c r="T478">
        <v>36</v>
      </c>
      <c r="U478">
        <v>123</v>
      </c>
      <c r="V478">
        <v>25387.707496248549</v>
      </c>
      <c r="W478">
        <v>37314629.789188273</v>
      </c>
      <c r="X478">
        <v>2527.5819999999999</v>
      </c>
      <c r="Y478">
        <f>VLOOKUP(AB478,'2000 Seattle Tracts'!$C$2:$Z$374,24,FALSE)</f>
        <v>1284761.325</v>
      </c>
      <c r="Z478">
        <f t="shared" si="14"/>
        <v>1.9673552984637048E-3</v>
      </c>
      <c r="AA478" t="s">
        <v>125</v>
      </c>
      <c r="AB478" t="str">
        <f t="shared" si="15"/>
        <v>Census Tract 35, King County, Washington</v>
      </c>
      <c r="AC478" s="3">
        <f>VLOOKUP($AB478,'2000 Seattle Tracts'!$C$2:$Y$374,AC$1,FALSE)*$Z478</f>
        <v>7.1592059311094216</v>
      </c>
      <c r="AD478" s="3">
        <f>VLOOKUP($AB478,'2000 Seattle Tracts'!$C$2:$Y$374,AD$1,FALSE)*$Z478</f>
        <v>6.5827708286595561</v>
      </c>
      <c r="AE478" s="3">
        <f>VLOOKUP($AB478,'2000 Seattle Tracts'!$C$2:$Y$374,AE$1,FALSE)*$Z478</f>
        <v>0.57643510244986551</v>
      </c>
      <c r="AF478" s="3">
        <f>VLOOKUP($AB478,'2000 Seattle Tracts'!$C$2:$Y$374,AF$1,FALSE)*$Z478</f>
        <v>7.1592059311094216</v>
      </c>
      <c r="AG478" s="3">
        <f>VLOOKUP($AB478,'2000 Seattle Tracts'!$C$2:$Y$374,AG$1,FALSE)*$Z478</f>
        <v>6.5827708286595561</v>
      </c>
      <c r="AH478" s="3">
        <f>VLOOKUP($AB478,'2000 Seattle Tracts'!$C$2:$Y$374,AH$1,FALSE)*$Z478</f>
        <v>0.57643510244986551</v>
      </c>
      <c r="AI478" s="3">
        <f>VLOOKUP($AB478,'2000 Seattle Tracts'!$C$2:$Y$374,AI$1,FALSE)*$Z478</f>
        <v>5.9728906861358073</v>
      </c>
      <c r="AJ478" s="3">
        <f>VLOOKUP($AB478,'2000 Seattle Tracts'!$C$2:$Y$374,AJ$1,FALSE)*$Z478</f>
        <v>0.43872023155740614</v>
      </c>
      <c r="AK478" s="3">
        <f>VLOOKUP($AB478,'2000 Seattle Tracts'!$C$2:$Y$374,AK$1,FALSE)*$Z478</f>
        <v>5.3118593058520028E-2</v>
      </c>
      <c r="AL478" s="3">
        <f>VLOOKUP($AB478,'2000 Seattle Tracts'!$C$2:$Y$374,AL$1,FALSE)*$Z478</f>
        <v>9.8367764923185247E-3</v>
      </c>
      <c r="AM478" s="3">
        <f>VLOOKUP($AB478,'2000 Seattle Tracts'!$C$2:$Y$374,AM$1,FALSE)*$Z478</f>
        <v>9.8367764923185247E-3</v>
      </c>
      <c r="AN478" s="3">
        <f>VLOOKUP($AB478,'2000 Seattle Tracts'!$C$2:$Y$374,AN$1,FALSE)*$Z478</f>
        <v>2.3608263581564457E-2</v>
      </c>
      <c r="AO478" s="3">
        <f>VLOOKUP($AB478,'2000 Seattle Tracts'!$C$2:$Y$374,AO$1,FALSE)*$Z478</f>
        <v>3.3445040073882978E-2</v>
      </c>
      <c r="AP478" s="3">
        <f>VLOOKUP($AB478,'2000 Seattle Tracts'!$C$2:$Y$374,AP$1,FALSE)*$Z478</f>
        <v>0</v>
      </c>
      <c r="AQ478" s="3">
        <f>VLOOKUP($AB478,'2000 Seattle Tracts'!$C$2:$Y$374,AQ$1,FALSE)*$Z478</f>
        <v>0.17115991096634231</v>
      </c>
      <c r="AR478" s="3">
        <f>VLOOKUP($AB478,'2000 Seattle Tracts'!$C$2:$Y$374,AR$1,FALSE)*$Z478</f>
        <v>6.098801425237485E-2</v>
      </c>
      <c r="AS478" s="3">
        <f>VLOOKUP($AB478,'2000 Seattle Tracts'!$C$2:$Y$374,AS$1,FALSE)*$Z478</f>
        <v>0</v>
      </c>
      <c r="AT478" s="3">
        <f>VLOOKUP($AB478,'2000 Seattle Tracts'!$C$2:$Y$374,AT$1,FALSE)*$Z478</f>
        <v>0</v>
      </c>
      <c r="AU478" s="3">
        <f>VLOOKUP($AB478,'2000 Seattle Tracts'!$C$2:$Y$374,AU$1,FALSE)*$Z478</f>
        <v>8.8530988430866708E-2</v>
      </c>
      <c r="AV478" s="3">
        <f>VLOOKUP($AB478,'2000 Seattle Tracts'!$C$2:$Y$374,AV$1,FALSE)*$Z478</f>
        <v>0</v>
      </c>
      <c r="AW478" s="3">
        <f>VLOOKUP($AB478,'2000 Seattle Tracts'!$C$2:$Y$374,AW$1,FALSE)*$Z478</f>
        <v>0.25378883350181791</v>
      </c>
      <c r="AX478" s="3">
        <f>VLOOKUP($AB478,'2000 Seattle Tracts'!$C$2:$Y$374,AX$1,FALSE)*$Z478</f>
        <v>4.3281816566201503E-2</v>
      </c>
    </row>
    <row r="479" spans="1:50" x14ac:dyDescent="0.25">
      <c r="A479" t="s">
        <v>2917</v>
      </c>
      <c r="B479" t="s">
        <v>2918</v>
      </c>
      <c r="C479" t="s">
        <v>3059</v>
      </c>
      <c r="D479" t="s">
        <v>2725</v>
      </c>
      <c r="E479" t="s">
        <v>2726</v>
      </c>
      <c r="F479" t="s">
        <v>2727</v>
      </c>
      <c r="G479" t="s">
        <v>2920</v>
      </c>
      <c r="H479" t="s">
        <v>2921</v>
      </c>
      <c r="I479">
        <v>787147</v>
      </c>
      <c r="J479">
        <v>0</v>
      </c>
      <c r="K479" t="s">
        <v>3060</v>
      </c>
      <c r="L479" t="s">
        <v>3061</v>
      </c>
      <c r="M479">
        <v>29</v>
      </c>
      <c r="N479">
        <v>15934.439</v>
      </c>
      <c r="O479" t="s">
        <v>117</v>
      </c>
      <c r="P479">
        <v>7</v>
      </c>
      <c r="Q479">
        <v>11</v>
      </c>
      <c r="R479">
        <v>24</v>
      </c>
      <c r="S479">
        <v>14195687</v>
      </c>
      <c r="T479">
        <v>31</v>
      </c>
      <c r="U479">
        <v>121</v>
      </c>
      <c r="V479">
        <v>15934.4392663199</v>
      </c>
      <c r="W479">
        <v>14195687.491917299</v>
      </c>
      <c r="X479">
        <v>4.5060000000000002</v>
      </c>
      <c r="Y479">
        <f>VLOOKUP(AB479,'2000 Seattle Tracts'!$C$2:$Z$374,24,FALSE)</f>
        <v>787151.99899999995</v>
      </c>
      <c r="Z479">
        <f t="shared" si="14"/>
        <v>5.7244344240050654E-6</v>
      </c>
      <c r="AA479" t="s">
        <v>119</v>
      </c>
      <c r="AB479" t="str">
        <f t="shared" si="15"/>
        <v>Census Tract 34, King County, Washington</v>
      </c>
      <c r="AC479" s="3">
        <f>VLOOKUP($AB479,'2000 Seattle Tracts'!$C$2:$Y$374,AC$1,FALSE)*$Z479</f>
        <v>1.8306741287968199E-2</v>
      </c>
      <c r="AD479" s="3">
        <f>VLOOKUP($AB479,'2000 Seattle Tracts'!$C$2:$Y$374,AD$1,FALSE)*$Z479</f>
        <v>1.6812663903302875E-2</v>
      </c>
      <c r="AE479" s="3">
        <f>VLOOKUP($AB479,'2000 Seattle Tracts'!$C$2:$Y$374,AE$1,FALSE)*$Z479</f>
        <v>1.4940773846653221E-3</v>
      </c>
      <c r="AF479" s="3">
        <f>VLOOKUP($AB479,'2000 Seattle Tracts'!$C$2:$Y$374,AF$1,FALSE)*$Z479</f>
        <v>1.8306741287968199E-2</v>
      </c>
      <c r="AG479" s="3">
        <f>VLOOKUP($AB479,'2000 Seattle Tracts'!$C$2:$Y$374,AG$1,FALSE)*$Z479</f>
        <v>1.6812663903302875E-2</v>
      </c>
      <c r="AH479" s="3">
        <f>VLOOKUP($AB479,'2000 Seattle Tracts'!$C$2:$Y$374,AH$1,FALSE)*$Z479</f>
        <v>1.4940773846653221E-3</v>
      </c>
      <c r="AI479" s="3">
        <f>VLOOKUP($AB479,'2000 Seattle Tracts'!$C$2:$Y$374,AI$1,FALSE)*$Z479</f>
        <v>1.5015191494165286E-2</v>
      </c>
      <c r="AJ479" s="3">
        <f>VLOOKUP($AB479,'2000 Seattle Tracts'!$C$2:$Y$374,AJ$1,FALSE)*$Z479</f>
        <v>9.5598054880884596E-4</v>
      </c>
      <c r="AK479" s="3">
        <f>VLOOKUP($AB479,'2000 Seattle Tracts'!$C$2:$Y$374,AK$1,FALSE)*$Z479</f>
        <v>2.0035520484017728E-4</v>
      </c>
      <c r="AL479" s="3">
        <f>VLOOKUP($AB479,'2000 Seattle Tracts'!$C$2:$Y$374,AL$1,FALSE)*$Z479</f>
        <v>7.4417647512065846E-5</v>
      </c>
      <c r="AM479" s="3">
        <f>VLOOKUP($AB479,'2000 Seattle Tracts'!$C$2:$Y$374,AM$1,FALSE)*$Z479</f>
        <v>4.0643484410435966E-4</v>
      </c>
      <c r="AN479" s="3">
        <f>VLOOKUP($AB479,'2000 Seattle Tracts'!$C$2:$Y$374,AN$1,FALSE)*$Z479</f>
        <v>1.0303981963209118E-4</v>
      </c>
      <c r="AO479" s="3">
        <f>VLOOKUP($AB479,'2000 Seattle Tracts'!$C$2:$Y$374,AO$1,FALSE)*$Z479</f>
        <v>1.2021312290410638E-4</v>
      </c>
      <c r="AP479" s="3">
        <f>VLOOKUP($AB479,'2000 Seattle Tracts'!$C$2:$Y$374,AP$1,FALSE)*$Z479</f>
        <v>4.0071040968035459E-5</v>
      </c>
      <c r="AQ479" s="3">
        <f>VLOOKUP($AB479,'2000 Seattle Tracts'!$C$2:$Y$374,AQ$1,FALSE)*$Z479</f>
        <v>2.0035520484017728E-4</v>
      </c>
      <c r="AR479" s="3">
        <f>VLOOKUP($AB479,'2000 Seattle Tracts'!$C$2:$Y$374,AR$1,FALSE)*$Z479</f>
        <v>3.2056832774428367E-4</v>
      </c>
      <c r="AS479" s="3">
        <f>VLOOKUP($AB479,'2000 Seattle Tracts'!$C$2:$Y$374,AS$1,FALSE)*$Z479</f>
        <v>0</v>
      </c>
      <c r="AT479" s="3">
        <f>VLOOKUP($AB479,'2000 Seattle Tracts'!$C$2:$Y$374,AT$1,FALSE)*$Z479</f>
        <v>0</v>
      </c>
      <c r="AU479" s="3">
        <f>VLOOKUP($AB479,'2000 Seattle Tracts'!$C$2:$Y$374,AU$1,FALSE)*$Z479</f>
        <v>3.4346606544030394E-5</v>
      </c>
      <c r="AV479" s="3">
        <f>VLOOKUP($AB479,'2000 Seattle Tracts'!$C$2:$Y$374,AV$1,FALSE)*$Z479</f>
        <v>0</v>
      </c>
      <c r="AW479" s="3">
        <f>VLOOKUP($AB479,'2000 Seattle Tracts'!$C$2:$Y$374,AW$1,FALSE)*$Z479</f>
        <v>8.357674259047396E-4</v>
      </c>
      <c r="AX479" s="3">
        <f>VLOOKUP($AB479,'2000 Seattle Tracts'!$C$2:$Y$374,AX$1,FALSE)*$Z479</f>
        <v>0</v>
      </c>
    </row>
    <row r="480" spans="1:50" x14ac:dyDescent="0.25">
      <c r="A480" t="s">
        <v>2917</v>
      </c>
      <c r="B480" t="s">
        <v>2918</v>
      </c>
      <c r="C480" t="s">
        <v>3059</v>
      </c>
      <c r="D480" t="s">
        <v>2725</v>
      </c>
      <c r="E480" t="s">
        <v>2726</v>
      </c>
      <c r="F480" t="s">
        <v>2727</v>
      </c>
      <c r="G480" t="s">
        <v>2920</v>
      </c>
      <c r="H480" t="s">
        <v>2921</v>
      </c>
      <c r="I480">
        <v>787147</v>
      </c>
      <c r="J480">
        <v>0</v>
      </c>
      <c r="K480" t="s">
        <v>3060</v>
      </c>
      <c r="L480" t="s">
        <v>3061</v>
      </c>
      <c r="M480">
        <v>30</v>
      </c>
      <c r="N480">
        <v>21789.65</v>
      </c>
      <c r="O480" t="s">
        <v>117</v>
      </c>
      <c r="P480">
        <v>7</v>
      </c>
      <c r="Q480">
        <v>11</v>
      </c>
      <c r="R480">
        <v>9</v>
      </c>
      <c r="S480">
        <v>22199366</v>
      </c>
      <c r="T480">
        <v>32</v>
      </c>
      <c r="U480">
        <v>130</v>
      </c>
      <c r="V480">
        <v>21789.651087349259</v>
      </c>
      <c r="W480">
        <v>22199366.873256031</v>
      </c>
      <c r="X480">
        <v>326838.59100000001</v>
      </c>
      <c r="Y480">
        <f>VLOOKUP(AB480,'2000 Seattle Tracts'!$C$2:$Z$374,24,FALSE)</f>
        <v>787151.99899999995</v>
      </c>
      <c r="Z480">
        <f t="shared" si="14"/>
        <v>0.41521661815661609</v>
      </c>
      <c r="AA480" t="s">
        <v>120</v>
      </c>
      <c r="AB480" t="str">
        <f t="shared" si="15"/>
        <v>Census Tract 34, King County, Washington</v>
      </c>
      <c r="AC480" s="3">
        <f>VLOOKUP($AB480,'2000 Seattle Tracts'!$C$2:$Y$374,AC$1,FALSE)*$Z480</f>
        <v>1327.8627448648583</v>
      </c>
      <c r="AD480" s="3">
        <f>VLOOKUP($AB480,'2000 Seattle Tracts'!$C$2:$Y$374,AD$1,FALSE)*$Z480</f>
        <v>1219.4912075259815</v>
      </c>
      <c r="AE480" s="3">
        <f>VLOOKUP($AB480,'2000 Seattle Tracts'!$C$2:$Y$374,AE$1,FALSE)*$Z480</f>
        <v>108.37153733887681</v>
      </c>
      <c r="AF480" s="3">
        <f>VLOOKUP($AB480,'2000 Seattle Tracts'!$C$2:$Y$374,AF$1,FALSE)*$Z480</f>
        <v>1327.8627448648583</v>
      </c>
      <c r="AG480" s="3">
        <f>VLOOKUP($AB480,'2000 Seattle Tracts'!$C$2:$Y$374,AG$1,FALSE)*$Z480</f>
        <v>1219.4912075259815</v>
      </c>
      <c r="AH480" s="3">
        <f>VLOOKUP($AB480,'2000 Seattle Tracts'!$C$2:$Y$374,AH$1,FALSE)*$Z480</f>
        <v>108.37153733887681</v>
      </c>
      <c r="AI480" s="3">
        <f>VLOOKUP($AB480,'2000 Seattle Tracts'!$C$2:$Y$374,AI$1,FALSE)*$Z480</f>
        <v>1089.113189424804</v>
      </c>
      <c r="AJ480" s="3">
        <f>VLOOKUP($AB480,'2000 Seattle Tracts'!$C$2:$Y$374,AJ$1,FALSE)*$Z480</f>
        <v>69.341175232154882</v>
      </c>
      <c r="AK480" s="3">
        <f>VLOOKUP($AB480,'2000 Seattle Tracts'!$C$2:$Y$374,AK$1,FALSE)*$Z480</f>
        <v>14.532581635481563</v>
      </c>
      <c r="AL480" s="3">
        <f>VLOOKUP($AB480,'2000 Seattle Tracts'!$C$2:$Y$374,AL$1,FALSE)*$Z480</f>
        <v>5.3978160360360095</v>
      </c>
      <c r="AM480" s="3">
        <f>VLOOKUP($AB480,'2000 Seattle Tracts'!$C$2:$Y$374,AM$1,FALSE)*$Z480</f>
        <v>29.480379889119742</v>
      </c>
      <c r="AN480" s="3">
        <f>VLOOKUP($AB480,'2000 Seattle Tracts'!$C$2:$Y$374,AN$1,FALSE)*$Z480</f>
        <v>7.4738991268190897</v>
      </c>
      <c r="AO480" s="3">
        <f>VLOOKUP($AB480,'2000 Seattle Tracts'!$C$2:$Y$374,AO$1,FALSE)*$Z480</f>
        <v>8.7195489812889377</v>
      </c>
      <c r="AP480" s="3">
        <f>VLOOKUP($AB480,'2000 Seattle Tracts'!$C$2:$Y$374,AP$1,FALSE)*$Z480</f>
        <v>2.9065163270963126</v>
      </c>
      <c r="AQ480" s="3">
        <f>VLOOKUP($AB480,'2000 Seattle Tracts'!$C$2:$Y$374,AQ$1,FALSE)*$Z480</f>
        <v>14.532581635481563</v>
      </c>
      <c r="AR480" s="3">
        <f>VLOOKUP($AB480,'2000 Seattle Tracts'!$C$2:$Y$374,AR$1,FALSE)*$Z480</f>
        <v>23.252130616770501</v>
      </c>
      <c r="AS480" s="3">
        <f>VLOOKUP($AB480,'2000 Seattle Tracts'!$C$2:$Y$374,AS$1,FALSE)*$Z480</f>
        <v>0</v>
      </c>
      <c r="AT480" s="3">
        <f>VLOOKUP($AB480,'2000 Seattle Tracts'!$C$2:$Y$374,AT$1,FALSE)*$Z480</f>
        <v>0</v>
      </c>
      <c r="AU480" s="3">
        <f>VLOOKUP($AB480,'2000 Seattle Tracts'!$C$2:$Y$374,AU$1,FALSE)*$Z480</f>
        <v>2.4912997089396964</v>
      </c>
      <c r="AV480" s="3">
        <f>VLOOKUP($AB480,'2000 Seattle Tracts'!$C$2:$Y$374,AV$1,FALSE)*$Z480</f>
        <v>0</v>
      </c>
      <c r="AW480" s="3">
        <f>VLOOKUP($AB480,'2000 Seattle Tracts'!$C$2:$Y$374,AW$1,FALSE)*$Z480</f>
        <v>60.621626250865951</v>
      </c>
      <c r="AX480" s="3">
        <f>VLOOKUP($AB480,'2000 Seattle Tracts'!$C$2:$Y$374,AX$1,FALSE)*$Z480</f>
        <v>0</v>
      </c>
    </row>
    <row r="481" spans="1:50" x14ac:dyDescent="0.25">
      <c r="A481" t="s">
        <v>2917</v>
      </c>
      <c r="B481" t="s">
        <v>2918</v>
      </c>
      <c r="C481" t="s">
        <v>3059</v>
      </c>
      <c r="D481" t="s">
        <v>2725</v>
      </c>
      <c r="E481" t="s">
        <v>2726</v>
      </c>
      <c r="F481" t="s">
        <v>2727</v>
      </c>
      <c r="G481" t="s">
        <v>2920</v>
      </c>
      <c r="H481" t="s">
        <v>2921</v>
      </c>
      <c r="I481">
        <v>787147</v>
      </c>
      <c r="J481">
        <v>0</v>
      </c>
      <c r="K481" t="s">
        <v>3060</v>
      </c>
      <c r="L481" t="s">
        <v>3061</v>
      </c>
      <c r="M481">
        <v>31</v>
      </c>
      <c r="N481">
        <v>27120.785</v>
      </c>
      <c r="O481" t="s">
        <v>122</v>
      </c>
      <c r="P481">
        <v>6</v>
      </c>
      <c r="Q481">
        <v>9</v>
      </c>
      <c r="R481">
        <v>95</v>
      </c>
      <c r="S481">
        <v>32123118</v>
      </c>
      <c r="T481">
        <v>33</v>
      </c>
      <c r="U481">
        <v>126</v>
      </c>
      <c r="V481">
        <v>27120.785937968081</v>
      </c>
      <c r="W481">
        <v>32123117.878249042</v>
      </c>
      <c r="X481">
        <v>460308.90100000001</v>
      </c>
      <c r="Y481">
        <f>VLOOKUP(AB481,'2000 Seattle Tracts'!$C$2:$Z$374,24,FALSE)</f>
        <v>787151.99899999995</v>
      </c>
      <c r="Z481">
        <f t="shared" si="14"/>
        <v>0.58477765613855737</v>
      </c>
      <c r="AA481" t="s">
        <v>121</v>
      </c>
      <c r="AB481" t="str">
        <f t="shared" si="15"/>
        <v>Census Tract 34, King County, Washington</v>
      </c>
      <c r="AC481" s="3">
        <f>VLOOKUP($AB481,'2000 Seattle Tracts'!$C$2:$Y$374,AC$1,FALSE)*$Z481</f>
        <v>1870.1189443311064</v>
      </c>
      <c r="AD481" s="3">
        <f>VLOOKUP($AB481,'2000 Seattle Tracts'!$C$2:$Y$374,AD$1,FALSE)*$Z481</f>
        <v>1717.491976078943</v>
      </c>
      <c r="AE481" s="3">
        <f>VLOOKUP($AB481,'2000 Seattle Tracts'!$C$2:$Y$374,AE$1,FALSE)*$Z481</f>
        <v>152.62696825216346</v>
      </c>
      <c r="AF481" s="3">
        <f>VLOOKUP($AB481,'2000 Seattle Tracts'!$C$2:$Y$374,AF$1,FALSE)*$Z481</f>
        <v>1870.1189443311064</v>
      </c>
      <c r="AG481" s="3">
        <f>VLOOKUP($AB481,'2000 Seattle Tracts'!$C$2:$Y$374,AG$1,FALSE)*$Z481</f>
        <v>1717.491976078943</v>
      </c>
      <c r="AH481" s="3">
        <f>VLOOKUP($AB481,'2000 Seattle Tracts'!$C$2:$Y$374,AH$1,FALSE)*$Z481</f>
        <v>152.62696825216346</v>
      </c>
      <c r="AI481" s="3">
        <f>VLOOKUP($AB481,'2000 Seattle Tracts'!$C$2:$Y$374,AI$1,FALSE)*$Z481</f>
        <v>1533.8717920514359</v>
      </c>
      <c r="AJ481" s="3">
        <f>VLOOKUP($AB481,'2000 Seattle Tracts'!$C$2:$Y$374,AJ$1,FALSE)*$Z481</f>
        <v>97.657868575139076</v>
      </c>
      <c r="AK481" s="3">
        <f>VLOOKUP($AB481,'2000 Seattle Tracts'!$C$2:$Y$374,AK$1,FALSE)*$Z481</f>
        <v>20.467217964849507</v>
      </c>
      <c r="AL481" s="3">
        <f>VLOOKUP($AB481,'2000 Seattle Tracts'!$C$2:$Y$374,AL$1,FALSE)*$Z481</f>
        <v>7.602109529801246</v>
      </c>
      <c r="AM481" s="3">
        <f>VLOOKUP($AB481,'2000 Seattle Tracts'!$C$2:$Y$374,AM$1,FALSE)*$Z481</f>
        <v>41.519213585837576</v>
      </c>
      <c r="AN481" s="3">
        <f>VLOOKUP($AB481,'2000 Seattle Tracts'!$C$2:$Y$374,AN$1,FALSE)*$Z481</f>
        <v>10.525997810494033</v>
      </c>
      <c r="AO481" s="3">
        <f>VLOOKUP($AB481,'2000 Seattle Tracts'!$C$2:$Y$374,AO$1,FALSE)*$Z481</f>
        <v>12.280330778909704</v>
      </c>
      <c r="AP481" s="3">
        <f>VLOOKUP($AB481,'2000 Seattle Tracts'!$C$2:$Y$374,AP$1,FALSE)*$Z481</f>
        <v>4.0934435929699013</v>
      </c>
      <c r="AQ481" s="3">
        <f>VLOOKUP($AB481,'2000 Seattle Tracts'!$C$2:$Y$374,AQ$1,FALSE)*$Z481</f>
        <v>20.467217964849507</v>
      </c>
      <c r="AR481" s="3">
        <f>VLOOKUP($AB481,'2000 Seattle Tracts'!$C$2:$Y$374,AR$1,FALSE)*$Z481</f>
        <v>32.747548743759211</v>
      </c>
      <c r="AS481" s="3">
        <f>VLOOKUP($AB481,'2000 Seattle Tracts'!$C$2:$Y$374,AS$1,FALSE)*$Z481</f>
        <v>0</v>
      </c>
      <c r="AT481" s="3">
        <f>VLOOKUP($AB481,'2000 Seattle Tracts'!$C$2:$Y$374,AT$1,FALSE)*$Z481</f>
        <v>0</v>
      </c>
      <c r="AU481" s="3">
        <f>VLOOKUP($AB481,'2000 Seattle Tracts'!$C$2:$Y$374,AU$1,FALSE)*$Z481</f>
        <v>3.5086659368313442</v>
      </c>
      <c r="AV481" s="3">
        <f>VLOOKUP($AB481,'2000 Seattle Tracts'!$C$2:$Y$374,AV$1,FALSE)*$Z481</f>
        <v>0</v>
      </c>
      <c r="AW481" s="3">
        <f>VLOOKUP($AB481,'2000 Seattle Tracts'!$C$2:$Y$374,AW$1,FALSE)*$Z481</f>
        <v>85.377537796229376</v>
      </c>
      <c r="AX481" s="3">
        <f>VLOOKUP($AB481,'2000 Seattle Tracts'!$C$2:$Y$374,AX$1,FALSE)*$Z481</f>
        <v>0</v>
      </c>
    </row>
    <row r="482" spans="1:50" x14ac:dyDescent="0.25">
      <c r="A482" t="s">
        <v>2917</v>
      </c>
      <c r="B482" t="s">
        <v>2918</v>
      </c>
      <c r="C482" t="s">
        <v>3155</v>
      </c>
      <c r="D482" t="s">
        <v>2728</v>
      </c>
      <c r="E482" t="s">
        <v>2729</v>
      </c>
      <c r="F482" t="s">
        <v>2730</v>
      </c>
      <c r="G482" t="s">
        <v>2920</v>
      </c>
      <c r="H482" t="s">
        <v>2921</v>
      </c>
      <c r="I482">
        <v>1296368</v>
      </c>
      <c r="J482">
        <v>0</v>
      </c>
      <c r="K482" t="s">
        <v>3501</v>
      </c>
      <c r="L482" t="s">
        <v>3502</v>
      </c>
      <c r="M482">
        <v>27</v>
      </c>
      <c r="N482">
        <v>18831.009999999998</v>
      </c>
      <c r="O482" t="s">
        <v>117</v>
      </c>
      <c r="P482">
        <v>7</v>
      </c>
      <c r="Q482">
        <v>11</v>
      </c>
      <c r="R482">
        <v>23</v>
      </c>
      <c r="S482">
        <v>21320656</v>
      </c>
      <c r="T482">
        <v>29</v>
      </c>
      <c r="U482">
        <v>120</v>
      </c>
      <c r="V482">
        <v>18831.00959636999</v>
      </c>
      <c r="W482">
        <v>21320655.545531079</v>
      </c>
      <c r="X482">
        <v>326248.86099999998</v>
      </c>
      <c r="Y482">
        <f>VLOOKUP(AB482,'2000 Seattle Tracts'!$C$2:$Z$374,24,FALSE)</f>
        <v>1296370.827</v>
      </c>
      <c r="Z482">
        <f t="shared" si="14"/>
        <v>0.25166322336563962</v>
      </c>
      <c r="AA482" t="s">
        <v>116</v>
      </c>
      <c r="AB482" t="str">
        <f t="shared" si="15"/>
        <v>Census Tract 33, King County, Washington</v>
      </c>
      <c r="AC482" s="3">
        <f>VLOOKUP($AB482,'2000 Seattle Tracts'!$C$2:$Y$374,AC$1,FALSE)*$Z482</f>
        <v>1467.6999186684102</v>
      </c>
      <c r="AD482" s="3">
        <f>VLOOKUP($AB482,'2000 Seattle Tracts'!$C$2:$Y$374,AD$1,FALSE)*$Z482</f>
        <v>1304.6221499274759</v>
      </c>
      <c r="AE482" s="3">
        <f>VLOOKUP($AB482,'2000 Seattle Tracts'!$C$2:$Y$374,AE$1,FALSE)*$Z482</f>
        <v>163.07776874093449</v>
      </c>
      <c r="AF482" s="3">
        <f>VLOOKUP($AB482,'2000 Seattle Tracts'!$C$2:$Y$374,AF$1,FALSE)*$Z482</f>
        <v>1467.6999186684102</v>
      </c>
      <c r="AG482" s="3">
        <f>VLOOKUP($AB482,'2000 Seattle Tracts'!$C$2:$Y$374,AG$1,FALSE)*$Z482</f>
        <v>1304.6221499274759</v>
      </c>
      <c r="AH482" s="3">
        <f>VLOOKUP($AB482,'2000 Seattle Tracts'!$C$2:$Y$374,AH$1,FALSE)*$Z482</f>
        <v>163.07776874093449</v>
      </c>
      <c r="AI482" s="3">
        <f>VLOOKUP($AB482,'2000 Seattle Tracts'!$C$2:$Y$374,AI$1,FALSE)*$Z482</f>
        <v>1126.6962510079686</v>
      </c>
      <c r="AJ482" s="3">
        <f>VLOOKUP($AB482,'2000 Seattle Tracts'!$C$2:$Y$374,AJ$1,FALSE)*$Z482</f>
        <v>99.658636452793289</v>
      </c>
      <c r="AK482" s="3">
        <f>VLOOKUP($AB482,'2000 Seattle Tracts'!$C$2:$Y$374,AK$1,FALSE)*$Z482</f>
        <v>19.378068199154249</v>
      </c>
      <c r="AL482" s="3">
        <f>VLOOKUP($AB482,'2000 Seattle Tracts'!$C$2:$Y$374,AL$1,FALSE)*$Z482</f>
        <v>7.2982334776035493</v>
      </c>
      <c r="AM482" s="3">
        <f>VLOOKUP($AB482,'2000 Seattle Tracts'!$C$2:$Y$374,AM$1,FALSE)*$Z482</f>
        <v>14.344803731841459</v>
      </c>
      <c r="AN482" s="3">
        <f>VLOOKUP($AB482,'2000 Seattle Tracts'!$C$2:$Y$374,AN$1,FALSE)*$Z482</f>
        <v>5.5365909140440719</v>
      </c>
      <c r="AO482" s="3">
        <f>VLOOKUP($AB482,'2000 Seattle Tracts'!$C$2:$Y$374,AO$1,FALSE)*$Z482</f>
        <v>26.927964900123438</v>
      </c>
      <c r="AP482" s="3">
        <f>VLOOKUP($AB482,'2000 Seattle Tracts'!$C$2:$Y$374,AP$1,FALSE)*$Z482</f>
        <v>1.7616425635594775</v>
      </c>
      <c r="AQ482" s="3">
        <f>VLOOKUP($AB482,'2000 Seattle Tracts'!$C$2:$Y$374,AQ$1,FALSE)*$Z482</f>
        <v>25.417985559929601</v>
      </c>
      <c r="AR482" s="3">
        <f>VLOOKUP($AB482,'2000 Seattle Tracts'!$C$2:$Y$374,AR$1,FALSE)*$Z482</f>
        <v>34.981188047823906</v>
      </c>
      <c r="AS482" s="3">
        <f>VLOOKUP($AB482,'2000 Seattle Tracts'!$C$2:$Y$374,AS$1,FALSE)*$Z482</f>
        <v>0</v>
      </c>
      <c r="AT482" s="3">
        <f>VLOOKUP($AB482,'2000 Seattle Tracts'!$C$2:$Y$374,AT$1,FALSE)*$Z482</f>
        <v>0</v>
      </c>
      <c r="AU482" s="3">
        <f>VLOOKUP($AB482,'2000 Seattle Tracts'!$C$2:$Y$374,AU$1,FALSE)*$Z482</f>
        <v>26.17297523002652</v>
      </c>
      <c r="AV482" s="3">
        <f>VLOOKUP($AB482,'2000 Seattle Tracts'!$C$2:$Y$374,AV$1,FALSE)*$Z482</f>
        <v>0</v>
      </c>
      <c r="AW482" s="3">
        <f>VLOOKUP($AB482,'2000 Seattle Tracts'!$C$2:$Y$374,AW$1,FALSE)*$Z482</f>
        <v>65.684101298431941</v>
      </c>
      <c r="AX482" s="3">
        <f>VLOOKUP($AB482,'2000 Seattle Tracts'!$C$2:$Y$374,AX$1,FALSE)*$Z482</f>
        <v>13.841477285110178</v>
      </c>
    </row>
    <row r="483" spans="1:50" x14ac:dyDescent="0.25">
      <c r="A483" t="s">
        <v>2917</v>
      </c>
      <c r="B483" t="s">
        <v>2918</v>
      </c>
      <c r="C483" t="s">
        <v>3155</v>
      </c>
      <c r="D483" t="s">
        <v>2728</v>
      </c>
      <c r="E483" t="s">
        <v>2729</v>
      </c>
      <c r="F483" t="s">
        <v>2730</v>
      </c>
      <c r="G483" t="s">
        <v>2920</v>
      </c>
      <c r="H483" t="s">
        <v>2921</v>
      </c>
      <c r="I483">
        <v>1296368</v>
      </c>
      <c r="J483">
        <v>0</v>
      </c>
      <c r="K483" t="s">
        <v>3501</v>
      </c>
      <c r="L483" t="s">
        <v>3502</v>
      </c>
      <c r="M483">
        <v>28</v>
      </c>
      <c r="N483">
        <v>27347.493999999999</v>
      </c>
      <c r="O483" t="s">
        <v>117</v>
      </c>
      <c r="P483">
        <v>7</v>
      </c>
      <c r="Q483">
        <v>11</v>
      </c>
      <c r="R483">
        <v>33</v>
      </c>
      <c r="S483">
        <v>22431280</v>
      </c>
      <c r="T483">
        <v>30</v>
      </c>
      <c r="U483">
        <v>129</v>
      </c>
      <c r="V483">
        <v>27347.49435016256</v>
      </c>
      <c r="W483">
        <v>22431280.790773079</v>
      </c>
      <c r="X483">
        <v>343203.34700000001</v>
      </c>
      <c r="Y483">
        <f>VLOOKUP(AB483,'2000 Seattle Tracts'!$C$2:$Z$374,24,FALSE)</f>
        <v>1296370.827</v>
      </c>
      <c r="Z483">
        <f t="shared" si="14"/>
        <v>0.26474164633450209</v>
      </c>
      <c r="AA483" t="s">
        <v>118</v>
      </c>
      <c r="AB483" t="str">
        <f t="shared" si="15"/>
        <v>Census Tract 33, King County, Washington</v>
      </c>
      <c r="AC483" s="3">
        <f>VLOOKUP($AB483,'2000 Seattle Tracts'!$C$2:$Y$374,AC$1,FALSE)*$Z483</f>
        <v>1543.9732814228162</v>
      </c>
      <c r="AD483" s="3">
        <f>VLOOKUP($AB483,'2000 Seattle Tracts'!$C$2:$Y$374,AD$1,FALSE)*$Z483</f>
        <v>1372.4206945980588</v>
      </c>
      <c r="AE483" s="3">
        <f>VLOOKUP($AB483,'2000 Seattle Tracts'!$C$2:$Y$374,AE$1,FALSE)*$Z483</f>
        <v>171.55258682475736</v>
      </c>
      <c r="AF483" s="3">
        <f>VLOOKUP($AB483,'2000 Seattle Tracts'!$C$2:$Y$374,AF$1,FALSE)*$Z483</f>
        <v>1543.9732814228162</v>
      </c>
      <c r="AG483" s="3">
        <f>VLOOKUP($AB483,'2000 Seattle Tracts'!$C$2:$Y$374,AG$1,FALSE)*$Z483</f>
        <v>1372.4206945980588</v>
      </c>
      <c r="AH483" s="3">
        <f>VLOOKUP($AB483,'2000 Seattle Tracts'!$C$2:$Y$374,AH$1,FALSE)*$Z483</f>
        <v>171.55258682475736</v>
      </c>
      <c r="AI483" s="3">
        <f>VLOOKUP($AB483,'2000 Seattle Tracts'!$C$2:$Y$374,AI$1,FALSE)*$Z483</f>
        <v>1185.2483506395658</v>
      </c>
      <c r="AJ483" s="3">
        <f>VLOOKUP($AB483,'2000 Seattle Tracts'!$C$2:$Y$374,AJ$1,FALSE)*$Z483</f>
        <v>104.83769194846283</v>
      </c>
      <c r="AK483" s="3">
        <f>VLOOKUP($AB483,'2000 Seattle Tracts'!$C$2:$Y$374,AK$1,FALSE)*$Z483</f>
        <v>20.38510676775666</v>
      </c>
      <c r="AL483" s="3">
        <f>VLOOKUP($AB483,'2000 Seattle Tracts'!$C$2:$Y$374,AL$1,FALSE)*$Z483</f>
        <v>7.677507743700561</v>
      </c>
      <c r="AM483" s="3">
        <f>VLOOKUP($AB483,'2000 Seattle Tracts'!$C$2:$Y$374,AM$1,FALSE)*$Z483</f>
        <v>15.090273841066619</v>
      </c>
      <c r="AN483" s="3">
        <f>VLOOKUP($AB483,'2000 Seattle Tracts'!$C$2:$Y$374,AN$1,FALSE)*$Z483</f>
        <v>5.8243162193590461</v>
      </c>
      <c r="AO483" s="3">
        <f>VLOOKUP($AB483,'2000 Seattle Tracts'!$C$2:$Y$374,AO$1,FALSE)*$Z483</f>
        <v>28.327356157791723</v>
      </c>
      <c r="AP483" s="3">
        <f>VLOOKUP($AB483,'2000 Seattle Tracts'!$C$2:$Y$374,AP$1,FALSE)*$Z483</f>
        <v>1.8531915243415147</v>
      </c>
      <c r="AQ483" s="3">
        <f>VLOOKUP($AB483,'2000 Seattle Tracts'!$C$2:$Y$374,AQ$1,FALSE)*$Z483</f>
        <v>26.738906279784711</v>
      </c>
      <c r="AR483" s="3">
        <f>VLOOKUP($AB483,'2000 Seattle Tracts'!$C$2:$Y$374,AR$1,FALSE)*$Z483</f>
        <v>36.799088840495791</v>
      </c>
      <c r="AS483" s="3">
        <f>VLOOKUP($AB483,'2000 Seattle Tracts'!$C$2:$Y$374,AS$1,FALSE)*$Z483</f>
        <v>0</v>
      </c>
      <c r="AT483" s="3">
        <f>VLOOKUP($AB483,'2000 Seattle Tracts'!$C$2:$Y$374,AT$1,FALSE)*$Z483</f>
        <v>0</v>
      </c>
      <c r="AU483" s="3">
        <f>VLOOKUP($AB483,'2000 Seattle Tracts'!$C$2:$Y$374,AU$1,FALSE)*$Z483</f>
        <v>27.533131218788217</v>
      </c>
      <c r="AV483" s="3">
        <f>VLOOKUP($AB483,'2000 Seattle Tracts'!$C$2:$Y$374,AV$1,FALSE)*$Z483</f>
        <v>0</v>
      </c>
      <c r="AW483" s="3">
        <f>VLOOKUP($AB483,'2000 Seattle Tracts'!$C$2:$Y$374,AW$1,FALSE)*$Z483</f>
        <v>69.097569693305047</v>
      </c>
      <c r="AX483" s="3">
        <f>VLOOKUP($AB483,'2000 Seattle Tracts'!$C$2:$Y$374,AX$1,FALSE)*$Z483</f>
        <v>14.560790548397614</v>
      </c>
    </row>
    <row r="484" spans="1:50" x14ac:dyDescent="0.25">
      <c r="A484" t="s">
        <v>2917</v>
      </c>
      <c r="B484" t="s">
        <v>2918</v>
      </c>
      <c r="C484" t="s">
        <v>3155</v>
      </c>
      <c r="D484" t="s">
        <v>2728</v>
      </c>
      <c r="E484" t="s">
        <v>2729</v>
      </c>
      <c r="F484" t="s">
        <v>2730</v>
      </c>
      <c r="G484" t="s">
        <v>2920</v>
      </c>
      <c r="H484" t="s">
        <v>2921</v>
      </c>
      <c r="I484">
        <v>1296368</v>
      </c>
      <c r="J484">
        <v>0</v>
      </c>
      <c r="K484" t="s">
        <v>3501</v>
      </c>
      <c r="L484" t="s">
        <v>3502</v>
      </c>
      <c r="M484">
        <v>29</v>
      </c>
      <c r="N484">
        <v>15934.439</v>
      </c>
      <c r="O484" t="s">
        <v>117</v>
      </c>
      <c r="P484">
        <v>7</v>
      </c>
      <c r="Q484">
        <v>11</v>
      </c>
      <c r="R484">
        <v>24</v>
      </c>
      <c r="S484">
        <v>14195687</v>
      </c>
      <c r="T484">
        <v>31</v>
      </c>
      <c r="U484">
        <v>121</v>
      </c>
      <c r="V484">
        <v>15934.4392663199</v>
      </c>
      <c r="W484">
        <v>14195687.491917299</v>
      </c>
      <c r="X484">
        <v>320998.92499999999</v>
      </c>
      <c r="Y484">
        <f>VLOOKUP(AB484,'2000 Seattle Tracts'!$C$2:$Z$374,24,FALSE)</f>
        <v>1296370.827</v>
      </c>
      <c r="Z484">
        <f t="shared" si="14"/>
        <v>0.24761350557605535</v>
      </c>
      <c r="AA484" t="s">
        <v>119</v>
      </c>
      <c r="AB484" t="str">
        <f t="shared" si="15"/>
        <v>Census Tract 33, King County, Washington</v>
      </c>
      <c r="AC484" s="3">
        <f>VLOOKUP($AB484,'2000 Seattle Tracts'!$C$2:$Y$374,AC$1,FALSE)*$Z484</f>
        <v>1444.0819645195547</v>
      </c>
      <c r="AD484" s="3">
        <f>VLOOKUP($AB484,'2000 Seattle Tracts'!$C$2:$Y$374,AD$1,FALSE)*$Z484</f>
        <v>1283.628412906271</v>
      </c>
      <c r="AE484" s="3">
        <f>VLOOKUP($AB484,'2000 Seattle Tracts'!$C$2:$Y$374,AE$1,FALSE)*$Z484</f>
        <v>160.45355161328388</v>
      </c>
      <c r="AF484" s="3">
        <f>VLOOKUP($AB484,'2000 Seattle Tracts'!$C$2:$Y$374,AF$1,FALSE)*$Z484</f>
        <v>1444.0819645195547</v>
      </c>
      <c r="AG484" s="3">
        <f>VLOOKUP($AB484,'2000 Seattle Tracts'!$C$2:$Y$374,AG$1,FALSE)*$Z484</f>
        <v>1283.628412906271</v>
      </c>
      <c r="AH484" s="3">
        <f>VLOOKUP($AB484,'2000 Seattle Tracts'!$C$2:$Y$374,AH$1,FALSE)*$Z484</f>
        <v>160.45355161328388</v>
      </c>
      <c r="AI484" s="3">
        <f>VLOOKUP($AB484,'2000 Seattle Tracts'!$C$2:$Y$374,AI$1,FALSE)*$Z484</f>
        <v>1108.5656644639998</v>
      </c>
      <c r="AJ484" s="3">
        <f>VLOOKUP($AB484,'2000 Seattle Tracts'!$C$2:$Y$374,AJ$1,FALSE)*$Z484</f>
        <v>98.054948208117921</v>
      </c>
      <c r="AK484" s="3">
        <f>VLOOKUP($AB484,'2000 Seattle Tracts'!$C$2:$Y$374,AK$1,FALSE)*$Z484</f>
        <v>19.066239929356261</v>
      </c>
      <c r="AL484" s="3">
        <f>VLOOKUP($AB484,'2000 Seattle Tracts'!$C$2:$Y$374,AL$1,FALSE)*$Z484</f>
        <v>7.1807916617056051</v>
      </c>
      <c r="AM484" s="3">
        <f>VLOOKUP($AB484,'2000 Seattle Tracts'!$C$2:$Y$374,AM$1,FALSE)*$Z484</f>
        <v>14.113969817835155</v>
      </c>
      <c r="AN484" s="3">
        <f>VLOOKUP($AB484,'2000 Seattle Tracts'!$C$2:$Y$374,AN$1,FALSE)*$Z484</f>
        <v>5.4474971226732176</v>
      </c>
      <c r="AO484" s="3">
        <f>VLOOKUP($AB484,'2000 Seattle Tracts'!$C$2:$Y$374,AO$1,FALSE)*$Z484</f>
        <v>26.494645096637925</v>
      </c>
      <c r="AP484" s="3">
        <f>VLOOKUP($AB484,'2000 Seattle Tracts'!$C$2:$Y$374,AP$1,FALSE)*$Z484</f>
        <v>1.7332945390323875</v>
      </c>
      <c r="AQ484" s="3">
        <f>VLOOKUP($AB484,'2000 Seattle Tracts'!$C$2:$Y$374,AQ$1,FALSE)*$Z484</f>
        <v>25.00896406318159</v>
      </c>
      <c r="AR484" s="3">
        <f>VLOOKUP($AB484,'2000 Seattle Tracts'!$C$2:$Y$374,AR$1,FALSE)*$Z484</f>
        <v>34.418277275071695</v>
      </c>
      <c r="AS484" s="3">
        <f>VLOOKUP($AB484,'2000 Seattle Tracts'!$C$2:$Y$374,AS$1,FALSE)*$Z484</f>
        <v>0</v>
      </c>
      <c r="AT484" s="3">
        <f>VLOOKUP($AB484,'2000 Seattle Tracts'!$C$2:$Y$374,AT$1,FALSE)*$Z484</f>
        <v>0</v>
      </c>
      <c r="AU484" s="3">
        <f>VLOOKUP($AB484,'2000 Seattle Tracts'!$C$2:$Y$374,AU$1,FALSE)*$Z484</f>
        <v>25.751804579909756</v>
      </c>
      <c r="AV484" s="3">
        <f>VLOOKUP($AB484,'2000 Seattle Tracts'!$C$2:$Y$374,AV$1,FALSE)*$Z484</f>
        <v>0</v>
      </c>
      <c r="AW484" s="3">
        <f>VLOOKUP($AB484,'2000 Seattle Tracts'!$C$2:$Y$374,AW$1,FALSE)*$Z484</f>
        <v>64.627124955350453</v>
      </c>
      <c r="AX484" s="3">
        <f>VLOOKUP($AB484,'2000 Seattle Tracts'!$C$2:$Y$374,AX$1,FALSE)*$Z484</f>
        <v>13.618742806683045</v>
      </c>
    </row>
    <row r="485" spans="1:50" x14ac:dyDescent="0.25">
      <c r="A485" t="s">
        <v>2917</v>
      </c>
      <c r="B485" t="s">
        <v>2918</v>
      </c>
      <c r="C485" t="s">
        <v>3155</v>
      </c>
      <c r="D485" t="s">
        <v>2728</v>
      </c>
      <c r="E485" t="s">
        <v>2729</v>
      </c>
      <c r="F485" t="s">
        <v>2730</v>
      </c>
      <c r="G485" t="s">
        <v>2920</v>
      </c>
      <c r="H485" t="s">
        <v>2921</v>
      </c>
      <c r="I485">
        <v>1296368</v>
      </c>
      <c r="J485">
        <v>0</v>
      </c>
      <c r="K485" t="s">
        <v>3501</v>
      </c>
      <c r="L485" t="s">
        <v>3502</v>
      </c>
      <c r="M485">
        <v>30</v>
      </c>
      <c r="N485">
        <v>21789.65</v>
      </c>
      <c r="O485" t="s">
        <v>117</v>
      </c>
      <c r="P485">
        <v>7</v>
      </c>
      <c r="Q485">
        <v>11</v>
      </c>
      <c r="R485">
        <v>9</v>
      </c>
      <c r="S485">
        <v>22199366</v>
      </c>
      <c r="T485">
        <v>32</v>
      </c>
      <c r="U485">
        <v>130</v>
      </c>
      <c r="V485">
        <v>21789.651087349259</v>
      </c>
      <c r="W485">
        <v>22199366.873256031</v>
      </c>
      <c r="X485">
        <v>303952.25599999999</v>
      </c>
      <c r="Y485">
        <f>VLOOKUP(AB485,'2000 Seattle Tracts'!$C$2:$Z$374,24,FALSE)</f>
        <v>1296370.827</v>
      </c>
      <c r="Z485">
        <f t="shared" si="14"/>
        <v>0.23446397409558492</v>
      </c>
      <c r="AA485" t="s">
        <v>120</v>
      </c>
      <c r="AB485" t="str">
        <f t="shared" si="15"/>
        <v>Census Tract 33, King County, Washington</v>
      </c>
      <c r="AC485" s="3">
        <f>VLOOKUP($AB485,'2000 Seattle Tracts'!$C$2:$Y$374,AC$1,FALSE)*$Z485</f>
        <v>1367.3938969254511</v>
      </c>
      <c r="AD485" s="3">
        <f>VLOOKUP($AB485,'2000 Seattle Tracts'!$C$2:$Y$374,AD$1,FALSE)*$Z485</f>
        <v>1215.4612417115122</v>
      </c>
      <c r="AE485" s="3">
        <f>VLOOKUP($AB485,'2000 Seattle Tracts'!$C$2:$Y$374,AE$1,FALSE)*$Z485</f>
        <v>151.93265521393903</v>
      </c>
      <c r="AF485" s="3">
        <f>VLOOKUP($AB485,'2000 Seattle Tracts'!$C$2:$Y$374,AF$1,FALSE)*$Z485</f>
        <v>1367.3938969254511</v>
      </c>
      <c r="AG485" s="3">
        <f>VLOOKUP($AB485,'2000 Seattle Tracts'!$C$2:$Y$374,AG$1,FALSE)*$Z485</f>
        <v>1215.4612417115122</v>
      </c>
      <c r="AH485" s="3">
        <f>VLOOKUP($AB485,'2000 Seattle Tracts'!$C$2:$Y$374,AH$1,FALSE)*$Z485</f>
        <v>151.93265521393903</v>
      </c>
      <c r="AI485" s="3">
        <f>VLOOKUP($AB485,'2000 Seattle Tracts'!$C$2:$Y$374,AI$1,FALSE)*$Z485</f>
        <v>1049.6952120259336</v>
      </c>
      <c r="AJ485" s="3">
        <f>VLOOKUP($AB485,'2000 Seattle Tracts'!$C$2:$Y$374,AJ$1,FALSE)*$Z485</f>
        <v>92.847733741851627</v>
      </c>
      <c r="AK485" s="3">
        <f>VLOOKUP($AB485,'2000 Seattle Tracts'!$C$2:$Y$374,AK$1,FALSE)*$Z485</f>
        <v>18.053726005360041</v>
      </c>
      <c r="AL485" s="3">
        <f>VLOOKUP($AB485,'2000 Seattle Tracts'!$C$2:$Y$374,AL$1,FALSE)*$Z485</f>
        <v>6.7994552487719631</v>
      </c>
      <c r="AM485" s="3">
        <f>VLOOKUP($AB485,'2000 Seattle Tracts'!$C$2:$Y$374,AM$1,FALSE)*$Z485</f>
        <v>13.36444652344834</v>
      </c>
      <c r="AN485" s="3">
        <f>VLOOKUP($AB485,'2000 Seattle Tracts'!$C$2:$Y$374,AN$1,FALSE)*$Z485</f>
        <v>5.158207430102868</v>
      </c>
      <c r="AO485" s="3">
        <f>VLOOKUP($AB485,'2000 Seattle Tracts'!$C$2:$Y$374,AO$1,FALSE)*$Z485</f>
        <v>25.087645228227586</v>
      </c>
      <c r="AP485" s="3">
        <f>VLOOKUP($AB485,'2000 Seattle Tracts'!$C$2:$Y$374,AP$1,FALSE)*$Z485</f>
        <v>1.6412478186690944</v>
      </c>
      <c r="AQ485" s="3">
        <f>VLOOKUP($AB485,'2000 Seattle Tracts'!$C$2:$Y$374,AQ$1,FALSE)*$Z485</f>
        <v>23.680861383654076</v>
      </c>
      <c r="AR485" s="3">
        <f>VLOOKUP($AB485,'2000 Seattle Tracts'!$C$2:$Y$374,AR$1,FALSE)*$Z485</f>
        <v>32.590492399286305</v>
      </c>
      <c r="AS485" s="3">
        <f>VLOOKUP($AB485,'2000 Seattle Tracts'!$C$2:$Y$374,AS$1,FALSE)*$Z485</f>
        <v>0</v>
      </c>
      <c r="AT485" s="3">
        <f>VLOOKUP($AB485,'2000 Seattle Tracts'!$C$2:$Y$374,AT$1,FALSE)*$Z485</f>
        <v>0</v>
      </c>
      <c r="AU485" s="3">
        <f>VLOOKUP($AB485,'2000 Seattle Tracts'!$C$2:$Y$374,AU$1,FALSE)*$Z485</f>
        <v>24.384253305940831</v>
      </c>
      <c r="AV485" s="3">
        <f>VLOOKUP($AB485,'2000 Seattle Tracts'!$C$2:$Y$374,AV$1,FALSE)*$Z485</f>
        <v>0</v>
      </c>
      <c r="AW485" s="3">
        <f>VLOOKUP($AB485,'2000 Seattle Tracts'!$C$2:$Y$374,AW$1,FALSE)*$Z485</f>
        <v>61.195097238947668</v>
      </c>
      <c r="AX485" s="3">
        <f>VLOOKUP($AB485,'2000 Seattle Tracts'!$C$2:$Y$374,AX$1,FALSE)*$Z485</f>
        <v>12.895518575257171</v>
      </c>
    </row>
    <row r="486" spans="1:50" x14ac:dyDescent="0.25">
      <c r="A486" t="s">
        <v>2917</v>
      </c>
      <c r="B486" t="s">
        <v>2918</v>
      </c>
      <c r="C486" t="s">
        <v>3155</v>
      </c>
      <c r="D486" t="s">
        <v>2728</v>
      </c>
      <c r="E486" t="s">
        <v>2729</v>
      </c>
      <c r="F486" t="s">
        <v>2730</v>
      </c>
      <c r="G486" t="s">
        <v>2920</v>
      </c>
      <c r="H486" t="s">
        <v>2921</v>
      </c>
      <c r="I486">
        <v>1296368</v>
      </c>
      <c r="J486">
        <v>0</v>
      </c>
      <c r="K486" t="s">
        <v>3501</v>
      </c>
      <c r="L486" t="s">
        <v>3502</v>
      </c>
      <c r="M486">
        <v>31</v>
      </c>
      <c r="N486">
        <v>27120.785</v>
      </c>
      <c r="O486" t="s">
        <v>122</v>
      </c>
      <c r="P486">
        <v>6</v>
      </c>
      <c r="Q486">
        <v>9</v>
      </c>
      <c r="R486">
        <v>95</v>
      </c>
      <c r="S486">
        <v>32123118</v>
      </c>
      <c r="T486">
        <v>33</v>
      </c>
      <c r="U486">
        <v>126</v>
      </c>
      <c r="V486">
        <v>27120.785937968081</v>
      </c>
      <c r="W486">
        <v>32123117.878249042</v>
      </c>
      <c r="X486">
        <v>1967.4380000000001</v>
      </c>
      <c r="Y486">
        <f>VLOOKUP(AB486,'2000 Seattle Tracts'!$C$2:$Z$374,24,FALSE)</f>
        <v>1296370.827</v>
      </c>
      <c r="Z486">
        <f t="shared" si="14"/>
        <v>1.5176506282179706E-3</v>
      </c>
      <c r="AA486" t="s">
        <v>121</v>
      </c>
      <c r="AB486" t="str">
        <f t="shared" si="15"/>
        <v>Census Tract 33, King County, Washington</v>
      </c>
      <c r="AC486" s="3">
        <f>VLOOKUP($AB486,'2000 Seattle Tracts'!$C$2:$Y$374,AC$1,FALSE)*$Z486</f>
        <v>8.8509384637672053</v>
      </c>
      <c r="AD486" s="3">
        <f>VLOOKUP($AB486,'2000 Seattle Tracts'!$C$2:$Y$374,AD$1,FALSE)*$Z486</f>
        <v>7.8675008566819598</v>
      </c>
      <c r="AE486" s="3">
        <f>VLOOKUP($AB486,'2000 Seattle Tracts'!$C$2:$Y$374,AE$1,FALSE)*$Z486</f>
        <v>0.98343760708524497</v>
      </c>
      <c r="AF486" s="3">
        <f>VLOOKUP($AB486,'2000 Seattle Tracts'!$C$2:$Y$374,AF$1,FALSE)*$Z486</f>
        <v>8.8509384637672053</v>
      </c>
      <c r="AG486" s="3">
        <f>VLOOKUP($AB486,'2000 Seattle Tracts'!$C$2:$Y$374,AG$1,FALSE)*$Z486</f>
        <v>7.8675008566819598</v>
      </c>
      <c r="AH486" s="3">
        <f>VLOOKUP($AB486,'2000 Seattle Tracts'!$C$2:$Y$374,AH$1,FALSE)*$Z486</f>
        <v>0.98343760708524497</v>
      </c>
      <c r="AI486" s="3">
        <f>VLOOKUP($AB486,'2000 Seattle Tracts'!$C$2:$Y$374,AI$1,FALSE)*$Z486</f>
        <v>6.7945218625318544</v>
      </c>
      <c r="AJ486" s="3">
        <f>VLOOKUP($AB486,'2000 Seattle Tracts'!$C$2:$Y$374,AJ$1,FALSE)*$Z486</f>
        <v>0.60098964877431638</v>
      </c>
      <c r="AK486" s="3">
        <f>VLOOKUP($AB486,'2000 Seattle Tracts'!$C$2:$Y$374,AK$1,FALSE)*$Z486</f>
        <v>0.11685909837278374</v>
      </c>
      <c r="AL486" s="3">
        <f>VLOOKUP($AB486,'2000 Seattle Tracts'!$C$2:$Y$374,AL$1,FALSE)*$Z486</f>
        <v>4.4011868218321148E-2</v>
      </c>
      <c r="AM486" s="3">
        <f>VLOOKUP($AB486,'2000 Seattle Tracts'!$C$2:$Y$374,AM$1,FALSE)*$Z486</f>
        <v>8.6506085808424324E-2</v>
      </c>
      <c r="AN486" s="3">
        <f>VLOOKUP($AB486,'2000 Seattle Tracts'!$C$2:$Y$374,AN$1,FALSE)*$Z486</f>
        <v>3.3388313820795351E-2</v>
      </c>
      <c r="AO486" s="3">
        <f>VLOOKUP($AB486,'2000 Seattle Tracts'!$C$2:$Y$374,AO$1,FALSE)*$Z486</f>
        <v>0.16238861721932285</v>
      </c>
      <c r="AP486" s="3">
        <f>VLOOKUP($AB486,'2000 Seattle Tracts'!$C$2:$Y$374,AP$1,FALSE)*$Z486</f>
        <v>1.0623554397525794E-2</v>
      </c>
      <c r="AQ486" s="3">
        <f>VLOOKUP($AB486,'2000 Seattle Tracts'!$C$2:$Y$374,AQ$1,FALSE)*$Z486</f>
        <v>0.15328271345001504</v>
      </c>
      <c r="AR486" s="3">
        <f>VLOOKUP($AB486,'2000 Seattle Tracts'!$C$2:$Y$374,AR$1,FALSE)*$Z486</f>
        <v>0.21095343732229793</v>
      </c>
      <c r="AS486" s="3">
        <f>VLOOKUP($AB486,'2000 Seattle Tracts'!$C$2:$Y$374,AS$1,FALSE)*$Z486</f>
        <v>0</v>
      </c>
      <c r="AT486" s="3">
        <f>VLOOKUP($AB486,'2000 Seattle Tracts'!$C$2:$Y$374,AT$1,FALSE)*$Z486</f>
        <v>0</v>
      </c>
      <c r="AU486" s="3">
        <f>VLOOKUP($AB486,'2000 Seattle Tracts'!$C$2:$Y$374,AU$1,FALSE)*$Z486</f>
        <v>0.15783566533466895</v>
      </c>
      <c r="AV486" s="3">
        <f>VLOOKUP($AB486,'2000 Seattle Tracts'!$C$2:$Y$374,AV$1,FALSE)*$Z486</f>
        <v>0</v>
      </c>
      <c r="AW486" s="3">
        <f>VLOOKUP($AB486,'2000 Seattle Tracts'!$C$2:$Y$374,AW$1,FALSE)*$Z486</f>
        <v>0.39610681396489034</v>
      </c>
      <c r="AX486" s="3">
        <f>VLOOKUP($AB486,'2000 Seattle Tracts'!$C$2:$Y$374,AX$1,FALSE)*$Z486</f>
        <v>8.3470784551988392E-2</v>
      </c>
    </row>
    <row r="487" spans="1:50" x14ac:dyDescent="0.25">
      <c r="A487" t="s">
        <v>2917</v>
      </c>
      <c r="B487" t="s">
        <v>2918</v>
      </c>
      <c r="C487" t="s">
        <v>3152</v>
      </c>
      <c r="D487" t="s">
        <v>2731</v>
      </c>
      <c r="E487" t="s">
        <v>2732</v>
      </c>
      <c r="F487" t="s">
        <v>2733</v>
      </c>
      <c r="G487" t="s">
        <v>2920</v>
      </c>
      <c r="H487" t="s">
        <v>2921</v>
      </c>
      <c r="I487">
        <v>2475044</v>
      </c>
      <c r="J487">
        <v>1693969</v>
      </c>
      <c r="K487" t="s">
        <v>3503</v>
      </c>
      <c r="L487" t="s">
        <v>3504</v>
      </c>
      <c r="M487">
        <v>4</v>
      </c>
      <c r="N487">
        <v>1809.4459999999999</v>
      </c>
      <c r="P487">
        <v>0</v>
      </c>
      <c r="Q487">
        <v>0</v>
      </c>
      <c r="R487">
        <v>0</v>
      </c>
      <c r="S487">
        <v>64156.813000000002</v>
      </c>
      <c r="T487">
        <v>6</v>
      </c>
      <c r="U487">
        <v>0</v>
      </c>
      <c r="V487">
        <v>1809.4457477334399</v>
      </c>
      <c r="W487">
        <v>64156.821779544509</v>
      </c>
      <c r="X487">
        <v>372.68299999999999</v>
      </c>
      <c r="Y487">
        <f>VLOOKUP(AB487,'2000 Seattle Tracts'!$C$2:$Z$374,24,FALSE)</f>
        <v>2072998.2890000001</v>
      </c>
      <c r="Z487">
        <f t="shared" si="14"/>
        <v>1.7977969493635214E-4</v>
      </c>
      <c r="AA487" t="s">
        <v>115</v>
      </c>
      <c r="AB487" t="str">
        <f t="shared" si="15"/>
        <v>Census Tract 32, King County, Washington</v>
      </c>
      <c r="AC487" s="3">
        <f>VLOOKUP($AB487,'2000 Seattle Tracts'!$C$2:$Y$374,AC$1,FALSE)*$Z487</f>
        <v>1.296750939575908</v>
      </c>
      <c r="AD487" s="3">
        <f>VLOOKUP($AB487,'2000 Seattle Tracts'!$C$2:$Y$374,AD$1,FALSE)*$Z487</f>
        <v>1.1516687257622717</v>
      </c>
      <c r="AE487" s="3">
        <f>VLOOKUP($AB487,'2000 Seattle Tracts'!$C$2:$Y$374,AE$1,FALSE)*$Z487</f>
        <v>0.14508221381363617</v>
      </c>
      <c r="AF487" s="3">
        <f>VLOOKUP($AB487,'2000 Seattle Tracts'!$C$2:$Y$374,AF$1,FALSE)*$Z487</f>
        <v>1.296750939575908</v>
      </c>
      <c r="AG487" s="3">
        <f>VLOOKUP($AB487,'2000 Seattle Tracts'!$C$2:$Y$374,AG$1,FALSE)*$Z487</f>
        <v>1.1516687257622717</v>
      </c>
      <c r="AH487" s="3">
        <f>VLOOKUP($AB487,'2000 Seattle Tracts'!$C$2:$Y$374,AH$1,FALSE)*$Z487</f>
        <v>0.14508221381363617</v>
      </c>
      <c r="AI487" s="3">
        <f>VLOOKUP($AB487,'2000 Seattle Tracts'!$C$2:$Y$374,AI$1,FALSE)*$Z487</f>
        <v>1.0639362346333321</v>
      </c>
      <c r="AJ487" s="3">
        <f>VLOOKUP($AB487,'2000 Seattle Tracts'!$C$2:$Y$374,AJ$1,FALSE)*$Z487</f>
        <v>8.1619981501103875E-2</v>
      </c>
      <c r="AK487" s="3">
        <f>VLOOKUP($AB487,'2000 Seattle Tracts'!$C$2:$Y$374,AK$1,FALSE)*$Z487</f>
        <v>9.3485441366903121E-3</v>
      </c>
      <c r="AL487" s="3">
        <f>VLOOKUP($AB487,'2000 Seattle Tracts'!$C$2:$Y$374,AL$1,FALSE)*$Z487</f>
        <v>9.3485441366903121E-3</v>
      </c>
      <c r="AM487" s="3">
        <f>VLOOKUP($AB487,'2000 Seattle Tracts'!$C$2:$Y$374,AM$1,FALSE)*$Z487</f>
        <v>7.7305268822631425E-3</v>
      </c>
      <c r="AN487" s="3">
        <f>VLOOKUP($AB487,'2000 Seattle Tracts'!$C$2:$Y$374,AN$1,FALSE)*$Z487</f>
        <v>6.8316284075813812E-3</v>
      </c>
      <c r="AO487" s="3">
        <f>VLOOKUP($AB487,'2000 Seattle Tracts'!$C$2:$Y$374,AO$1,FALSE)*$Z487</f>
        <v>8.0900862721358466E-3</v>
      </c>
      <c r="AP487" s="3">
        <f>VLOOKUP($AB487,'2000 Seattle Tracts'!$C$2:$Y$374,AP$1,FALSE)*$Z487</f>
        <v>0</v>
      </c>
      <c r="AQ487" s="3">
        <f>VLOOKUP($AB487,'2000 Seattle Tracts'!$C$2:$Y$374,AQ$1,FALSE)*$Z487</f>
        <v>2.337136034172578E-2</v>
      </c>
      <c r="AR487" s="3">
        <f>VLOOKUP($AB487,'2000 Seattle Tracts'!$C$2:$Y$374,AR$1,FALSE)*$Z487</f>
        <v>3.0023209054370809E-2</v>
      </c>
      <c r="AS487" s="3">
        <f>VLOOKUP($AB487,'2000 Seattle Tracts'!$C$2:$Y$374,AS$1,FALSE)*$Z487</f>
        <v>0</v>
      </c>
      <c r="AT487" s="3">
        <f>VLOOKUP($AB487,'2000 Seattle Tracts'!$C$2:$Y$374,AT$1,FALSE)*$Z487</f>
        <v>0</v>
      </c>
      <c r="AU487" s="3">
        <f>VLOOKUP($AB487,'2000 Seattle Tracts'!$C$2:$Y$374,AU$1,FALSE)*$Z487</f>
        <v>4.8540517632815082E-3</v>
      </c>
      <c r="AV487" s="3">
        <f>VLOOKUP($AB487,'2000 Seattle Tracts'!$C$2:$Y$374,AV$1,FALSE)*$Z487</f>
        <v>3.9551532885997468E-3</v>
      </c>
      <c r="AW487" s="3">
        <f>VLOOKUP($AB487,'2000 Seattle Tracts'!$C$2:$Y$374,AW$1,FALSE)*$Z487</f>
        <v>3.4337921732843259E-2</v>
      </c>
      <c r="AX487" s="3">
        <f>VLOOKUP($AB487,'2000 Seattle Tracts'!$C$2:$Y$374,AX$1,FALSE)*$Z487</f>
        <v>1.3303697425290058E-2</v>
      </c>
    </row>
    <row r="488" spans="1:50" x14ac:dyDescent="0.25">
      <c r="A488" t="s">
        <v>2917</v>
      </c>
      <c r="B488" t="s">
        <v>2918</v>
      </c>
      <c r="C488" t="s">
        <v>3152</v>
      </c>
      <c r="D488" t="s">
        <v>2731</v>
      </c>
      <c r="E488" t="s">
        <v>2732</v>
      </c>
      <c r="F488" t="s">
        <v>2733</v>
      </c>
      <c r="G488" t="s">
        <v>2920</v>
      </c>
      <c r="H488" t="s">
        <v>2921</v>
      </c>
      <c r="I488">
        <v>2475044</v>
      </c>
      <c r="J488">
        <v>1693969</v>
      </c>
      <c r="K488" t="s">
        <v>3503</v>
      </c>
      <c r="L488" t="s">
        <v>3504</v>
      </c>
      <c r="M488">
        <v>27</v>
      </c>
      <c r="N488">
        <v>18831.009999999998</v>
      </c>
      <c r="O488" t="s">
        <v>117</v>
      </c>
      <c r="P488">
        <v>7</v>
      </c>
      <c r="Q488">
        <v>11</v>
      </c>
      <c r="R488">
        <v>23</v>
      </c>
      <c r="S488">
        <v>21320656</v>
      </c>
      <c r="T488">
        <v>29</v>
      </c>
      <c r="U488">
        <v>120</v>
      </c>
      <c r="V488">
        <v>18831.00959636999</v>
      </c>
      <c r="W488">
        <v>21320655.545531079</v>
      </c>
      <c r="X488">
        <v>160671.92499999999</v>
      </c>
      <c r="Y488">
        <f>VLOOKUP(AB488,'2000 Seattle Tracts'!$C$2:$Z$374,24,FALSE)</f>
        <v>2072998.2890000001</v>
      </c>
      <c r="Z488">
        <f t="shared" si="14"/>
        <v>7.750702248650046E-2</v>
      </c>
      <c r="AA488" t="s">
        <v>116</v>
      </c>
      <c r="AB488" t="str">
        <f t="shared" si="15"/>
        <v>Census Tract 32, King County, Washington</v>
      </c>
      <c r="AC488" s="3">
        <f>VLOOKUP($AB488,'2000 Seattle Tracts'!$C$2:$Y$374,AC$1,FALSE)*$Z488</f>
        <v>559.05815319512783</v>
      </c>
      <c r="AD488" s="3">
        <f>VLOOKUP($AB488,'2000 Seattle Tracts'!$C$2:$Y$374,AD$1,FALSE)*$Z488</f>
        <v>496.50998604852197</v>
      </c>
      <c r="AE488" s="3">
        <f>VLOOKUP($AB488,'2000 Seattle Tracts'!$C$2:$Y$374,AE$1,FALSE)*$Z488</f>
        <v>62.54816714660587</v>
      </c>
      <c r="AF488" s="3">
        <f>VLOOKUP($AB488,'2000 Seattle Tracts'!$C$2:$Y$374,AF$1,FALSE)*$Z488</f>
        <v>559.05815319512783</v>
      </c>
      <c r="AG488" s="3">
        <f>VLOOKUP($AB488,'2000 Seattle Tracts'!$C$2:$Y$374,AG$1,FALSE)*$Z488</f>
        <v>496.50998604852197</v>
      </c>
      <c r="AH488" s="3">
        <f>VLOOKUP($AB488,'2000 Seattle Tracts'!$C$2:$Y$374,AH$1,FALSE)*$Z488</f>
        <v>62.54816714660587</v>
      </c>
      <c r="AI488" s="3">
        <f>VLOOKUP($AB488,'2000 Seattle Tracts'!$C$2:$Y$374,AI$1,FALSE)*$Z488</f>
        <v>458.6865590751097</v>
      </c>
      <c r="AJ488" s="3">
        <f>VLOOKUP($AB488,'2000 Seattle Tracts'!$C$2:$Y$374,AJ$1,FALSE)*$Z488</f>
        <v>35.18818820887121</v>
      </c>
      <c r="AK488" s="3">
        <f>VLOOKUP($AB488,'2000 Seattle Tracts'!$C$2:$Y$374,AK$1,FALSE)*$Z488</f>
        <v>4.0303651692980242</v>
      </c>
      <c r="AL488" s="3">
        <f>VLOOKUP($AB488,'2000 Seattle Tracts'!$C$2:$Y$374,AL$1,FALSE)*$Z488</f>
        <v>4.0303651692980242</v>
      </c>
      <c r="AM488" s="3">
        <f>VLOOKUP($AB488,'2000 Seattle Tracts'!$C$2:$Y$374,AM$1,FALSE)*$Z488</f>
        <v>3.3328019669195199</v>
      </c>
      <c r="AN488" s="3">
        <f>VLOOKUP($AB488,'2000 Seattle Tracts'!$C$2:$Y$374,AN$1,FALSE)*$Z488</f>
        <v>2.9452668544870173</v>
      </c>
      <c r="AO488" s="3">
        <f>VLOOKUP($AB488,'2000 Seattle Tracts'!$C$2:$Y$374,AO$1,FALSE)*$Z488</f>
        <v>3.4878160118925208</v>
      </c>
      <c r="AP488" s="3">
        <f>VLOOKUP($AB488,'2000 Seattle Tracts'!$C$2:$Y$374,AP$1,FALSE)*$Z488</f>
        <v>0</v>
      </c>
      <c r="AQ488" s="3">
        <f>VLOOKUP($AB488,'2000 Seattle Tracts'!$C$2:$Y$374,AQ$1,FALSE)*$Z488</f>
        <v>10.07591292324506</v>
      </c>
      <c r="AR488" s="3">
        <f>VLOOKUP($AB488,'2000 Seattle Tracts'!$C$2:$Y$374,AR$1,FALSE)*$Z488</f>
        <v>12.943672755245577</v>
      </c>
      <c r="AS488" s="3">
        <f>VLOOKUP($AB488,'2000 Seattle Tracts'!$C$2:$Y$374,AS$1,FALSE)*$Z488</f>
        <v>0</v>
      </c>
      <c r="AT488" s="3">
        <f>VLOOKUP($AB488,'2000 Seattle Tracts'!$C$2:$Y$374,AT$1,FALSE)*$Z488</f>
        <v>0</v>
      </c>
      <c r="AU488" s="3">
        <f>VLOOKUP($AB488,'2000 Seattle Tracts'!$C$2:$Y$374,AU$1,FALSE)*$Z488</f>
        <v>2.0926896071355126</v>
      </c>
      <c r="AV488" s="3">
        <f>VLOOKUP($AB488,'2000 Seattle Tracts'!$C$2:$Y$374,AV$1,FALSE)*$Z488</f>
        <v>1.7051544947030102</v>
      </c>
      <c r="AW488" s="3">
        <f>VLOOKUP($AB488,'2000 Seattle Tracts'!$C$2:$Y$374,AW$1,FALSE)*$Z488</f>
        <v>14.803841294921588</v>
      </c>
      <c r="AX488" s="3">
        <f>VLOOKUP($AB488,'2000 Seattle Tracts'!$C$2:$Y$374,AX$1,FALSE)*$Z488</f>
        <v>5.7355196640010337</v>
      </c>
    </row>
    <row r="489" spans="1:50" x14ac:dyDescent="0.25">
      <c r="A489" t="s">
        <v>2917</v>
      </c>
      <c r="B489" t="s">
        <v>2918</v>
      </c>
      <c r="C489" t="s">
        <v>3152</v>
      </c>
      <c r="D489" t="s">
        <v>2731</v>
      </c>
      <c r="E489" t="s">
        <v>2732</v>
      </c>
      <c r="F489" t="s">
        <v>2733</v>
      </c>
      <c r="G489" t="s">
        <v>2920</v>
      </c>
      <c r="H489" t="s">
        <v>2921</v>
      </c>
      <c r="I489">
        <v>2475044</v>
      </c>
      <c r="J489">
        <v>1693969</v>
      </c>
      <c r="K489" t="s">
        <v>3503</v>
      </c>
      <c r="L489" t="s">
        <v>3504</v>
      </c>
      <c r="M489">
        <v>28</v>
      </c>
      <c r="N489">
        <v>27347.493999999999</v>
      </c>
      <c r="O489" t="s">
        <v>117</v>
      </c>
      <c r="P489">
        <v>7</v>
      </c>
      <c r="Q489">
        <v>11</v>
      </c>
      <c r="R489">
        <v>33</v>
      </c>
      <c r="S489">
        <v>22431280</v>
      </c>
      <c r="T489">
        <v>30</v>
      </c>
      <c r="U489">
        <v>129</v>
      </c>
      <c r="V489">
        <v>27347.49435016256</v>
      </c>
      <c r="W489">
        <v>22431280.790773079</v>
      </c>
      <c r="X489">
        <v>845591.20299999998</v>
      </c>
      <c r="Y489">
        <f>VLOOKUP(AB489,'2000 Seattle Tracts'!$C$2:$Z$374,24,FALSE)</f>
        <v>2072998.2890000001</v>
      </c>
      <c r="Z489">
        <f t="shared" si="14"/>
        <v>0.40790733281690611</v>
      </c>
      <c r="AA489" t="s">
        <v>118</v>
      </c>
      <c r="AB489" t="str">
        <f t="shared" si="15"/>
        <v>Census Tract 32, King County, Washington</v>
      </c>
      <c r="AC489" s="3">
        <f>VLOOKUP($AB489,'2000 Seattle Tracts'!$C$2:$Y$374,AC$1,FALSE)*$Z489</f>
        <v>2942.2355916083438</v>
      </c>
      <c r="AD489" s="3">
        <f>VLOOKUP($AB489,'2000 Seattle Tracts'!$C$2:$Y$374,AD$1,FALSE)*$Z489</f>
        <v>2613.0543740251005</v>
      </c>
      <c r="AE489" s="3">
        <f>VLOOKUP($AB489,'2000 Seattle Tracts'!$C$2:$Y$374,AE$1,FALSE)*$Z489</f>
        <v>329.18121758324321</v>
      </c>
      <c r="AF489" s="3">
        <f>VLOOKUP($AB489,'2000 Seattle Tracts'!$C$2:$Y$374,AF$1,FALSE)*$Z489</f>
        <v>2942.2355916083438</v>
      </c>
      <c r="AG489" s="3">
        <f>VLOOKUP($AB489,'2000 Seattle Tracts'!$C$2:$Y$374,AG$1,FALSE)*$Z489</f>
        <v>2613.0543740251005</v>
      </c>
      <c r="AH489" s="3">
        <f>VLOOKUP($AB489,'2000 Seattle Tracts'!$C$2:$Y$374,AH$1,FALSE)*$Z489</f>
        <v>329.18121758324321</v>
      </c>
      <c r="AI489" s="3">
        <f>VLOOKUP($AB489,'2000 Seattle Tracts'!$C$2:$Y$374,AI$1,FALSE)*$Z489</f>
        <v>2413.9955956104504</v>
      </c>
      <c r="AJ489" s="3">
        <f>VLOOKUP($AB489,'2000 Seattle Tracts'!$C$2:$Y$374,AJ$1,FALSE)*$Z489</f>
        <v>185.18992909887538</v>
      </c>
      <c r="AK489" s="3">
        <f>VLOOKUP($AB489,'2000 Seattle Tracts'!$C$2:$Y$374,AK$1,FALSE)*$Z489</f>
        <v>21.211181306479119</v>
      </c>
      <c r="AL489" s="3">
        <f>VLOOKUP($AB489,'2000 Seattle Tracts'!$C$2:$Y$374,AL$1,FALSE)*$Z489</f>
        <v>21.211181306479119</v>
      </c>
      <c r="AM489" s="3">
        <f>VLOOKUP($AB489,'2000 Seattle Tracts'!$C$2:$Y$374,AM$1,FALSE)*$Z489</f>
        <v>17.540015311126961</v>
      </c>
      <c r="AN489" s="3">
        <f>VLOOKUP($AB489,'2000 Seattle Tracts'!$C$2:$Y$374,AN$1,FALSE)*$Z489</f>
        <v>15.500478647042431</v>
      </c>
      <c r="AO489" s="3">
        <f>VLOOKUP($AB489,'2000 Seattle Tracts'!$C$2:$Y$374,AO$1,FALSE)*$Z489</f>
        <v>18.355829976760774</v>
      </c>
      <c r="AP489" s="3">
        <f>VLOOKUP($AB489,'2000 Seattle Tracts'!$C$2:$Y$374,AP$1,FALSE)*$Z489</f>
        <v>0</v>
      </c>
      <c r="AQ489" s="3">
        <f>VLOOKUP($AB489,'2000 Seattle Tracts'!$C$2:$Y$374,AQ$1,FALSE)*$Z489</f>
        <v>53.027953266197791</v>
      </c>
      <c r="AR489" s="3">
        <f>VLOOKUP($AB489,'2000 Seattle Tracts'!$C$2:$Y$374,AR$1,FALSE)*$Z489</f>
        <v>68.120524580423321</v>
      </c>
      <c r="AS489" s="3">
        <f>VLOOKUP($AB489,'2000 Seattle Tracts'!$C$2:$Y$374,AS$1,FALSE)*$Z489</f>
        <v>0</v>
      </c>
      <c r="AT489" s="3">
        <f>VLOOKUP($AB489,'2000 Seattle Tracts'!$C$2:$Y$374,AT$1,FALSE)*$Z489</f>
        <v>0</v>
      </c>
      <c r="AU489" s="3">
        <f>VLOOKUP($AB489,'2000 Seattle Tracts'!$C$2:$Y$374,AU$1,FALSE)*$Z489</f>
        <v>11.013497986056464</v>
      </c>
      <c r="AV489" s="3">
        <f>VLOOKUP($AB489,'2000 Seattle Tracts'!$C$2:$Y$374,AV$1,FALSE)*$Z489</f>
        <v>8.9739613219719345</v>
      </c>
      <c r="AW489" s="3">
        <f>VLOOKUP($AB489,'2000 Seattle Tracts'!$C$2:$Y$374,AW$1,FALSE)*$Z489</f>
        <v>77.910300568029072</v>
      </c>
      <c r="AX489" s="3">
        <f>VLOOKUP($AB489,'2000 Seattle Tracts'!$C$2:$Y$374,AX$1,FALSE)*$Z489</f>
        <v>30.185142628451054</v>
      </c>
    </row>
    <row r="490" spans="1:50" x14ac:dyDescent="0.25">
      <c r="A490" t="s">
        <v>2917</v>
      </c>
      <c r="B490" t="s">
        <v>2918</v>
      </c>
      <c r="C490" t="s">
        <v>3152</v>
      </c>
      <c r="D490" t="s">
        <v>2731</v>
      </c>
      <c r="E490" t="s">
        <v>2732</v>
      </c>
      <c r="F490" t="s">
        <v>2733</v>
      </c>
      <c r="G490" t="s">
        <v>2920</v>
      </c>
      <c r="H490" t="s">
        <v>2921</v>
      </c>
      <c r="I490">
        <v>2475044</v>
      </c>
      <c r="J490">
        <v>1693969</v>
      </c>
      <c r="K490" t="s">
        <v>3503</v>
      </c>
      <c r="L490" t="s">
        <v>3504</v>
      </c>
      <c r="M490">
        <v>50</v>
      </c>
      <c r="N490">
        <v>38766.065999999999</v>
      </c>
      <c r="O490" t="s">
        <v>145</v>
      </c>
      <c r="P490">
        <v>8</v>
      </c>
      <c r="Q490">
        <v>4</v>
      </c>
      <c r="R490">
        <v>23</v>
      </c>
      <c r="S490">
        <v>55091524</v>
      </c>
      <c r="T490">
        <v>52</v>
      </c>
      <c r="U490">
        <v>134</v>
      </c>
      <c r="V490">
        <v>38766.06733491068</v>
      </c>
      <c r="W490">
        <v>55091525.290939339</v>
      </c>
      <c r="X490">
        <v>1766.8889999999999</v>
      </c>
      <c r="Y490">
        <f>VLOOKUP(AB490,'2000 Seattle Tracts'!$C$2:$Z$374,24,FALSE)</f>
        <v>2072998.2890000001</v>
      </c>
      <c r="Z490">
        <f t="shared" si="14"/>
        <v>8.5233500161369395E-4</v>
      </c>
      <c r="AA490" t="s">
        <v>144</v>
      </c>
      <c r="AB490" t="str">
        <f t="shared" si="15"/>
        <v>Census Tract 32, King County, Washington</v>
      </c>
      <c r="AC490" s="3">
        <f>VLOOKUP($AB490,'2000 Seattle Tracts'!$C$2:$Y$374,AC$1,FALSE)*$Z490</f>
        <v>6.1478923666395744</v>
      </c>
      <c r="AD490" s="3">
        <f>VLOOKUP($AB490,'2000 Seattle Tracts'!$C$2:$Y$374,AD$1,FALSE)*$Z490</f>
        <v>5.460058020337323</v>
      </c>
      <c r="AE490" s="3">
        <f>VLOOKUP($AB490,'2000 Seattle Tracts'!$C$2:$Y$374,AE$1,FALSE)*$Z490</f>
        <v>0.68783434630225104</v>
      </c>
      <c r="AF490" s="3">
        <f>VLOOKUP($AB490,'2000 Seattle Tracts'!$C$2:$Y$374,AF$1,FALSE)*$Z490</f>
        <v>6.1478923666395744</v>
      </c>
      <c r="AG490" s="3">
        <f>VLOOKUP($AB490,'2000 Seattle Tracts'!$C$2:$Y$374,AG$1,FALSE)*$Z490</f>
        <v>5.460058020337323</v>
      </c>
      <c r="AH490" s="3">
        <f>VLOOKUP($AB490,'2000 Seattle Tracts'!$C$2:$Y$374,AH$1,FALSE)*$Z490</f>
        <v>0.68783434630225104</v>
      </c>
      <c r="AI490" s="3">
        <f>VLOOKUP($AB490,'2000 Seattle Tracts'!$C$2:$Y$374,AI$1,FALSE)*$Z490</f>
        <v>5.0441185395498405</v>
      </c>
      <c r="AJ490" s="3">
        <f>VLOOKUP($AB490,'2000 Seattle Tracts'!$C$2:$Y$374,AJ$1,FALSE)*$Z490</f>
        <v>0.38696009073261706</v>
      </c>
      <c r="AK490" s="3">
        <f>VLOOKUP($AB490,'2000 Seattle Tracts'!$C$2:$Y$374,AK$1,FALSE)*$Z490</f>
        <v>4.4321420083912086E-2</v>
      </c>
      <c r="AL490" s="3">
        <f>VLOOKUP($AB490,'2000 Seattle Tracts'!$C$2:$Y$374,AL$1,FALSE)*$Z490</f>
        <v>4.4321420083912086E-2</v>
      </c>
      <c r="AM490" s="3">
        <f>VLOOKUP($AB490,'2000 Seattle Tracts'!$C$2:$Y$374,AM$1,FALSE)*$Z490</f>
        <v>3.6650405069388839E-2</v>
      </c>
      <c r="AN490" s="3">
        <f>VLOOKUP($AB490,'2000 Seattle Tracts'!$C$2:$Y$374,AN$1,FALSE)*$Z490</f>
        <v>3.238873006132037E-2</v>
      </c>
      <c r="AO490" s="3">
        <f>VLOOKUP($AB490,'2000 Seattle Tracts'!$C$2:$Y$374,AO$1,FALSE)*$Z490</f>
        <v>3.8355075072616228E-2</v>
      </c>
      <c r="AP490" s="3">
        <f>VLOOKUP($AB490,'2000 Seattle Tracts'!$C$2:$Y$374,AP$1,FALSE)*$Z490</f>
        <v>0</v>
      </c>
      <c r="AQ490" s="3">
        <f>VLOOKUP($AB490,'2000 Seattle Tracts'!$C$2:$Y$374,AQ$1,FALSE)*$Z490</f>
        <v>0.11080355020978021</v>
      </c>
      <c r="AR490" s="3">
        <f>VLOOKUP($AB490,'2000 Seattle Tracts'!$C$2:$Y$374,AR$1,FALSE)*$Z490</f>
        <v>0.1423399452694869</v>
      </c>
      <c r="AS490" s="3">
        <f>VLOOKUP($AB490,'2000 Seattle Tracts'!$C$2:$Y$374,AS$1,FALSE)*$Z490</f>
        <v>0</v>
      </c>
      <c r="AT490" s="3">
        <f>VLOOKUP($AB490,'2000 Seattle Tracts'!$C$2:$Y$374,AT$1,FALSE)*$Z490</f>
        <v>0</v>
      </c>
      <c r="AU490" s="3">
        <f>VLOOKUP($AB490,'2000 Seattle Tracts'!$C$2:$Y$374,AU$1,FALSE)*$Z490</f>
        <v>2.3013045043569737E-2</v>
      </c>
      <c r="AV490" s="3">
        <f>VLOOKUP($AB490,'2000 Seattle Tracts'!$C$2:$Y$374,AV$1,FALSE)*$Z490</f>
        <v>1.8751370035501268E-2</v>
      </c>
      <c r="AW490" s="3">
        <f>VLOOKUP($AB490,'2000 Seattle Tracts'!$C$2:$Y$374,AW$1,FALSE)*$Z490</f>
        <v>0.16279598530821554</v>
      </c>
      <c r="AX490" s="3">
        <f>VLOOKUP($AB490,'2000 Seattle Tracts'!$C$2:$Y$374,AX$1,FALSE)*$Z490</f>
        <v>6.3072790119413358E-2</v>
      </c>
    </row>
    <row r="491" spans="1:50" x14ac:dyDescent="0.25">
      <c r="A491" t="s">
        <v>2917</v>
      </c>
      <c r="B491" t="s">
        <v>2918</v>
      </c>
      <c r="C491" t="s">
        <v>3152</v>
      </c>
      <c r="D491" t="s">
        <v>2731</v>
      </c>
      <c r="E491" t="s">
        <v>2732</v>
      </c>
      <c r="F491" t="s">
        <v>2733</v>
      </c>
      <c r="G491" t="s">
        <v>2920</v>
      </c>
      <c r="H491" t="s">
        <v>2921</v>
      </c>
      <c r="I491">
        <v>2475044</v>
      </c>
      <c r="J491">
        <v>1693969</v>
      </c>
      <c r="K491" t="s">
        <v>3503</v>
      </c>
      <c r="L491" t="s">
        <v>3504</v>
      </c>
      <c r="M491">
        <v>119</v>
      </c>
      <c r="N491">
        <v>29416.73</v>
      </c>
      <c r="O491" t="s">
        <v>117</v>
      </c>
      <c r="P491">
        <v>7</v>
      </c>
      <c r="Q491">
        <v>11</v>
      </c>
      <c r="R491">
        <v>81</v>
      </c>
      <c r="S491">
        <v>24335620</v>
      </c>
      <c r="T491">
        <v>121</v>
      </c>
      <c r="U491">
        <v>116</v>
      </c>
      <c r="V491">
        <v>29416.730063357121</v>
      </c>
      <c r="W491">
        <v>24335620.469402239</v>
      </c>
      <c r="X491">
        <v>1031646.528</v>
      </c>
      <c r="Y491">
        <f>VLOOKUP(AB491,'2000 Seattle Tracts'!$C$2:$Z$374,24,FALSE)</f>
        <v>2072998.2890000001</v>
      </c>
      <c r="Z491">
        <f t="shared" si="14"/>
        <v>0.49765913144948087</v>
      </c>
      <c r="AA491" t="s">
        <v>222</v>
      </c>
      <c r="AB491" t="str">
        <f t="shared" si="15"/>
        <v>Census Tract 32, King County, Washington</v>
      </c>
      <c r="AC491" s="3">
        <f>VLOOKUP($AB491,'2000 Seattle Tracts'!$C$2:$Y$374,AC$1,FALSE)*$Z491</f>
        <v>3589.6153151451053</v>
      </c>
      <c r="AD491" s="3">
        <f>VLOOKUP($AB491,'2000 Seattle Tracts'!$C$2:$Y$374,AD$1,FALSE)*$Z491</f>
        <v>3188.0043960653743</v>
      </c>
      <c r="AE491" s="3">
        <f>VLOOKUP($AB491,'2000 Seattle Tracts'!$C$2:$Y$374,AE$1,FALSE)*$Z491</f>
        <v>401.61091907973105</v>
      </c>
      <c r="AF491" s="3">
        <f>VLOOKUP($AB491,'2000 Seattle Tracts'!$C$2:$Y$374,AF$1,FALSE)*$Z491</f>
        <v>3589.6153151451053</v>
      </c>
      <c r="AG491" s="3">
        <f>VLOOKUP($AB491,'2000 Seattle Tracts'!$C$2:$Y$374,AG$1,FALSE)*$Z491</f>
        <v>3188.0043960653743</v>
      </c>
      <c r="AH491" s="3">
        <f>VLOOKUP($AB491,'2000 Seattle Tracts'!$C$2:$Y$374,AH$1,FALSE)*$Z491</f>
        <v>401.61091907973105</v>
      </c>
      <c r="AI491" s="3">
        <f>VLOOKUP($AB491,'2000 Seattle Tracts'!$C$2:$Y$374,AI$1,FALSE)*$Z491</f>
        <v>2945.1467399180278</v>
      </c>
      <c r="AJ491" s="3">
        <f>VLOOKUP($AB491,'2000 Seattle Tracts'!$C$2:$Y$374,AJ$1,FALSE)*$Z491</f>
        <v>225.93724567806433</v>
      </c>
      <c r="AK491" s="3">
        <f>VLOOKUP($AB491,'2000 Seattle Tracts'!$C$2:$Y$374,AK$1,FALSE)*$Z491</f>
        <v>25.878274835373006</v>
      </c>
      <c r="AL491" s="3">
        <f>VLOOKUP($AB491,'2000 Seattle Tracts'!$C$2:$Y$374,AL$1,FALSE)*$Z491</f>
        <v>25.878274835373006</v>
      </c>
      <c r="AM491" s="3">
        <f>VLOOKUP($AB491,'2000 Seattle Tracts'!$C$2:$Y$374,AM$1,FALSE)*$Z491</f>
        <v>21.399342652327679</v>
      </c>
      <c r="AN491" s="3">
        <f>VLOOKUP($AB491,'2000 Seattle Tracts'!$C$2:$Y$374,AN$1,FALSE)*$Z491</f>
        <v>18.911046995080273</v>
      </c>
      <c r="AO491" s="3">
        <f>VLOOKUP($AB491,'2000 Seattle Tracts'!$C$2:$Y$374,AO$1,FALSE)*$Z491</f>
        <v>22.394660915226638</v>
      </c>
      <c r="AP491" s="3">
        <f>VLOOKUP($AB491,'2000 Seattle Tracts'!$C$2:$Y$374,AP$1,FALSE)*$Z491</f>
        <v>0</v>
      </c>
      <c r="AQ491" s="3">
        <f>VLOOKUP($AB491,'2000 Seattle Tracts'!$C$2:$Y$374,AQ$1,FALSE)*$Z491</f>
        <v>64.695687088432507</v>
      </c>
      <c r="AR491" s="3">
        <f>VLOOKUP($AB491,'2000 Seattle Tracts'!$C$2:$Y$374,AR$1,FALSE)*$Z491</f>
        <v>83.10907495206331</v>
      </c>
      <c r="AS491" s="3">
        <f>VLOOKUP($AB491,'2000 Seattle Tracts'!$C$2:$Y$374,AS$1,FALSE)*$Z491</f>
        <v>0</v>
      </c>
      <c r="AT491" s="3">
        <f>VLOOKUP($AB491,'2000 Seattle Tracts'!$C$2:$Y$374,AT$1,FALSE)*$Z491</f>
        <v>0</v>
      </c>
      <c r="AU491" s="3">
        <f>VLOOKUP($AB491,'2000 Seattle Tracts'!$C$2:$Y$374,AU$1,FALSE)*$Z491</f>
        <v>13.436796549135984</v>
      </c>
      <c r="AV491" s="3">
        <f>VLOOKUP($AB491,'2000 Seattle Tracts'!$C$2:$Y$374,AV$1,FALSE)*$Z491</f>
        <v>10.94850089188858</v>
      </c>
      <c r="AW491" s="3">
        <f>VLOOKUP($AB491,'2000 Seattle Tracts'!$C$2:$Y$374,AW$1,FALSE)*$Z491</f>
        <v>95.052894106850843</v>
      </c>
      <c r="AX491" s="3">
        <f>VLOOKUP($AB491,'2000 Seattle Tracts'!$C$2:$Y$374,AX$1,FALSE)*$Z491</f>
        <v>36.826775727261584</v>
      </c>
    </row>
    <row r="492" spans="1:50" x14ac:dyDescent="0.25">
      <c r="A492" t="s">
        <v>2917</v>
      </c>
      <c r="B492" t="s">
        <v>2918</v>
      </c>
      <c r="C492" t="s">
        <v>3149</v>
      </c>
      <c r="D492" t="s">
        <v>2734</v>
      </c>
      <c r="E492" t="s">
        <v>2735</v>
      </c>
      <c r="F492" t="s">
        <v>2736</v>
      </c>
      <c r="G492" t="s">
        <v>2920</v>
      </c>
      <c r="H492" t="s">
        <v>2921</v>
      </c>
      <c r="I492">
        <v>2232860</v>
      </c>
      <c r="J492">
        <v>3193581</v>
      </c>
      <c r="K492" t="s">
        <v>3505</v>
      </c>
      <c r="L492" t="s">
        <v>3506</v>
      </c>
      <c r="M492">
        <v>27</v>
      </c>
      <c r="N492">
        <v>18831.009999999998</v>
      </c>
      <c r="O492" t="s">
        <v>117</v>
      </c>
      <c r="P492">
        <v>7</v>
      </c>
      <c r="Q492">
        <v>11</v>
      </c>
      <c r="R492">
        <v>23</v>
      </c>
      <c r="S492">
        <v>21320656</v>
      </c>
      <c r="T492">
        <v>29</v>
      </c>
      <c r="U492">
        <v>120</v>
      </c>
      <c r="V492">
        <v>18831.00959636999</v>
      </c>
      <c r="W492">
        <v>21320655.545531079</v>
      </c>
      <c r="X492">
        <v>1000944.731</v>
      </c>
      <c r="Y492">
        <f>VLOOKUP(AB492,'2000 Seattle Tracts'!$C$2:$Z$374,24,FALSE)</f>
        <v>2126261.835</v>
      </c>
      <c r="Z492">
        <f t="shared" si="14"/>
        <v>0.47075327907581055</v>
      </c>
      <c r="AA492" t="s">
        <v>116</v>
      </c>
      <c r="AB492" t="str">
        <f t="shared" si="15"/>
        <v>Census Tract 31, King County, Washington</v>
      </c>
      <c r="AC492" s="3">
        <f>VLOOKUP($AB492,'2000 Seattle Tracts'!$C$2:$Y$374,AC$1,FALSE)*$Z492</f>
        <v>2842.408299059744</v>
      </c>
      <c r="AD492" s="3">
        <f>VLOOKUP($AB492,'2000 Seattle Tracts'!$C$2:$Y$374,AD$1,FALSE)*$Z492</f>
        <v>2619.2712447778099</v>
      </c>
      <c r="AE492" s="3">
        <f>VLOOKUP($AB492,'2000 Seattle Tracts'!$C$2:$Y$374,AE$1,FALSE)*$Z492</f>
        <v>223.13705428193421</v>
      </c>
      <c r="AF492" s="3">
        <f>VLOOKUP($AB492,'2000 Seattle Tracts'!$C$2:$Y$374,AF$1,FALSE)*$Z492</f>
        <v>2842.408299059744</v>
      </c>
      <c r="AG492" s="3">
        <f>VLOOKUP($AB492,'2000 Seattle Tracts'!$C$2:$Y$374,AG$1,FALSE)*$Z492</f>
        <v>2619.2712447778099</v>
      </c>
      <c r="AH492" s="3">
        <f>VLOOKUP($AB492,'2000 Seattle Tracts'!$C$2:$Y$374,AH$1,FALSE)*$Z492</f>
        <v>223.13705428193421</v>
      </c>
      <c r="AI492" s="3">
        <f>VLOOKUP($AB492,'2000 Seattle Tracts'!$C$2:$Y$374,AI$1,FALSE)*$Z492</f>
        <v>2415.4350749379837</v>
      </c>
      <c r="AJ492" s="3">
        <f>VLOOKUP($AB492,'2000 Seattle Tracts'!$C$2:$Y$374,AJ$1,FALSE)*$Z492</f>
        <v>143.1089968390464</v>
      </c>
      <c r="AK492" s="3">
        <f>VLOOKUP($AB492,'2000 Seattle Tracts'!$C$2:$Y$374,AK$1,FALSE)*$Z492</f>
        <v>67.317718907840913</v>
      </c>
      <c r="AL492" s="3">
        <f>VLOOKUP($AB492,'2000 Seattle Tracts'!$C$2:$Y$374,AL$1,FALSE)*$Z492</f>
        <v>13.651845093198506</v>
      </c>
      <c r="AM492" s="3">
        <f>VLOOKUP($AB492,'2000 Seattle Tracts'!$C$2:$Y$374,AM$1,FALSE)*$Z492</f>
        <v>17.8886246048808</v>
      </c>
      <c r="AN492" s="3">
        <f>VLOOKUP($AB492,'2000 Seattle Tracts'!$C$2:$Y$374,AN$1,FALSE)*$Z492</f>
        <v>2.3537663953790529</v>
      </c>
      <c r="AO492" s="3">
        <f>VLOOKUP($AB492,'2000 Seattle Tracts'!$C$2:$Y$374,AO$1,FALSE)*$Z492</f>
        <v>36.248002488837415</v>
      </c>
      <c r="AP492" s="3">
        <f>VLOOKUP($AB492,'2000 Seattle Tracts'!$C$2:$Y$374,AP$1,FALSE)*$Z492</f>
        <v>0</v>
      </c>
      <c r="AQ492" s="3">
        <f>VLOOKUP($AB492,'2000 Seattle Tracts'!$C$2:$Y$374,AQ$1,FALSE)*$Z492</f>
        <v>30.128209860851875</v>
      </c>
      <c r="AR492" s="3">
        <f>VLOOKUP($AB492,'2000 Seattle Tracts'!$C$2:$Y$374,AR$1,FALSE)*$Z492</f>
        <v>45.663068070353624</v>
      </c>
      <c r="AS492" s="3">
        <f>VLOOKUP($AB492,'2000 Seattle Tracts'!$C$2:$Y$374,AS$1,FALSE)*$Z492</f>
        <v>2.8245196744548631</v>
      </c>
      <c r="AT492" s="3">
        <f>VLOOKUP($AB492,'2000 Seattle Tracts'!$C$2:$Y$374,AT$1,FALSE)*$Z492</f>
        <v>6.1197926279855368</v>
      </c>
      <c r="AU492" s="3">
        <f>VLOOKUP($AB492,'2000 Seattle Tracts'!$C$2:$Y$374,AU$1,FALSE)*$Z492</f>
        <v>13.181091814122695</v>
      </c>
      <c r="AV492" s="3">
        <f>VLOOKUP($AB492,'2000 Seattle Tracts'!$C$2:$Y$374,AV$1,FALSE)*$Z492</f>
        <v>1.8830131163032422</v>
      </c>
      <c r="AW492" s="3">
        <f>VLOOKUP($AB492,'2000 Seattle Tracts'!$C$2:$Y$374,AW$1,FALSE)*$Z492</f>
        <v>36.248002488837415</v>
      </c>
      <c r="AX492" s="3">
        <f>VLOOKUP($AB492,'2000 Seattle Tracts'!$C$2:$Y$374,AX$1,FALSE)*$Z492</f>
        <v>10.356572139667833</v>
      </c>
    </row>
    <row r="493" spans="1:50" x14ac:dyDescent="0.25">
      <c r="A493" t="s">
        <v>2917</v>
      </c>
      <c r="B493" t="s">
        <v>2918</v>
      </c>
      <c r="C493" t="s">
        <v>3149</v>
      </c>
      <c r="D493" t="s">
        <v>2734</v>
      </c>
      <c r="E493" t="s">
        <v>2735</v>
      </c>
      <c r="F493" t="s">
        <v>2736</v>
      </c>
      <c r="G493" t="s">
        <v>2920</v>
      </c>
      <c r="H493" t="s">
        <v>2921</v>
      </c>
      <c r="I493">
        <v>2232860</v>
      </c>
      <c r="J493">
        <v>3193581</v>
      </c>
      <c r="K493" t="s">
        <v>3505</v>
      </c>
      <c r="L493" t="s">
        <v>3506</v>
      </c>
      <c r="M493">
        <v>114</v>
      </c>
      <c r="N493">
        <v>32947.805</v>
      </c>
      <c r="O493" t="s">
        <v>122</v>
      </c>
      <c r="P493">
        <v>1</v>
      </c>
      <c r="Q493">
        <v>2</v>
      </c>
      <c r="R493">
        <v>33</v>
      </c>
      <c r="S493">
        <v>31062266</v>
      </c>
      <c r="T493">
        <v>116</v>
      </c>
      <c r="U493">
        <v>109</v>
      </c>
      <c r="V493">
        <v>32947.805911989883</v>
      </c>
      <c r="W493">
        <v>31062264.991369769</v>
      </c>
      <c r="X493">
        <v>3858.6060000000002</v>
      </c>
      <c r="Y493">
        <f>VLOOKUP(AB493,'2000 Seattle Tracts'!$C$2:$Z$374,24,FALSE)</f>
        <v>2126261.835</v>
      </c>
      <c r="Z493">
        <f t="shared" si="14"/>
        <v>1.8147369888713637E-3</v>
      </c>
      <c r="AA493" t="s">
        <v>217</v>
      </c>
      <c r="AB493" t="str">
        <f t="shared" si="15"/>
        <v>Census Tract 31, King County, Washington</v>
      </c>
      <c r="AC493" s="3">
        <f>VLOOKUP($AB493,'2000 Seattle Tracts'!$C$2:$Y$374,AC$1,FALSE)*$Z493</f>
        <v>10.957381938805293</v>
      </c>
      <c r="AD493" s="3">
        <f>VLOOKUP($AB493,'2000 Seattle Tracts'!$C$2:$Y$374,AD$1,FALSE)*$Z493</f>
        <v>10.097196606080267</v>
      </c>
      <c r="AE493" s="3">
        <f>VLOOKUP($AB493,'2000 Seattle Tracts'!$C$2:$Y$374,AE$1,FALSE)*$Z493</f>
        <v>0.8601853327250264</v>
      </c>
      <c r="AF493" s="3">
        <f>VLOOKUP($AB493,'2000 Seattle Tracts'!$C$2:$Y$374,AF$1,FALSE)*$Z493</f>
        <v>10.957381938805293</v>
      </c>
      <c r="AG493" s="3">
        <f>VLOOKUP($AB493,'2000 Seattle Tracts'!$C$2:$Y$374,AG$1,FALSE)*$Z493</f>
        <v>10.097196606080267</v>
      </c>
      <c r="AH493" s="3">
        <f>VLOOKUP($AB493,'2000 Seattle Tracts'!$C$2:$Y$374,AH$1,FALSE)*$Z493</f>
        <v>0.8601853327250264</v>
      </c>
      <c r="AI493" s="3">
        <f>VLOOKUP($AB493,'2000 Seattle Tracts'!$C$2:$Y$374,AI$1,FALSE)*$Z493</f>
        <v>9.3114154898989661</v>
      </c>
      <c r="AJ493" s="3">
        <f>VLOOKUP($AB493,'2000 Seattle Tracts'!$C$2:$Y$374,AJ$1,FALSE)*$Z493</f>
        <v>0.55168004461689457</v>
      </c>
      <c r="AK493" s="3">
        <f>VLOOKUP($AB493,'2000 Seattle Tracts'!$C$2:$Y$374,AK$1,FALSE)*$Z493</f>
        <v>0.25950738940860502</v>
      </c>
      <c r="AL493" s="3">
        <f>VLOOKUP($AB493,'2000 Seattle Tracts'!$C$2:$Y$374,AL$1,FALSE)*$Z493</f>
        <v>5.2627372677269545E-2</v>
      </c>
      <c r="AM493" s="3">
        <f>VLOOKUP($AB493,'2000 Seattle Tracts'!$C$2:$Y$374,AM$1,FALSE)*$Z493</f>
        <v>6.8960005577111821E-2</v>
      </c>
      <c r="AN493" s="3">
        <f>VLOOKUP($AB493,'2000 Seattle Tracts'!$C$2:$Y$374,AN$1,FALSE)*$Z493</f>
        <v>9.0736849443568187E-3</v>
      </c>
      <c r="AO493" s="3">
        <f>VLOOKUP($AB493,'2000 Seattle Tracts'!$C$2:$Y$374,AO$1,FALSE)*$Z493</f>
        <v>0.139734748143095</v>
      </c>
      <c r="AP493" s="3">
        <f>VLOOKUP($AB493,'2000 Seattle Tracts'!$C$2:$Y$374,AP$1,FALSE)*$Z493</f>
        <v>0</v>
      </c>
      <c r="AQ493" s="3">
        <f>VLOOKUP($AB493,'2000 Seattle Tracts'!$C$2:$Y$374,AQ$1,FALSE)*$Z493</f>
        <v>0.11614316728776727</v>
      </c>
      <c r="AR493" s="3">
        <f>VLOOKUP($AB493,'2000 Seattle Tracts'!$C$2:$Y$374,AR$1,FALSE)*$Z493</f>
        <v>0.17602948792052228</v>
      </c>
      <c r="AS493" s="3">
        <f>VLOOKUP($AB493,'2000 Seattle Tracts'!$C$2:$Y$374,AS$1,FALSE)*$Z493</f>
        <v>1.0888421933228181E-2</v>
      </c>
      <c r="AT493" s="3">
        <f>VLOOKUP($AB493,'2000 Seattle Tracts'!$C$2:$Y$374,AT$1,FALSE)*$Z493</f>
        <v>2.3591580855327726E-2</v>
      </c>
      <c r="AU493" s="3">
        <f>VLOOKUP($AB493,'2000 Seattle Tracts'!$C$2:$Y$374,AU$1,FALSE)*$Z493</f>
        <v>5.0812635688398181E-2</v>
      </c>
      <c r="AV493" s="3">
        <f>VLOOKUP($AB493,'2000 Seattle Tracts'!$C$2:$Y$374,AV$1,FALSE)*$Z493</f>
        <v>7.2589479554854546E-3</v>
      </c>
      <c r="AW493" s="3">
        <f>VLOOKUP($AB493,'2000 Seattle Tracts'!$C$2:$Y$374,AW$1,FALSE)*$Z493</f>
        <v>0.139734748143095</v>
      </c>
      <c r="AX493" s="3">
        <f>VLOOKUP($AB493,'2000 Seattle Tracts'!$C$2:$Y$374,AX$1,FALSE)*$Z493</f>
        <v>3.9924213755170003E-2</v>
      </c>
    </row>
    <row r="494" spans="1:50" x14ac:dyDescent="0.25">
      <c r="A494" t="s">
        <v>2917</v>
      </c>
      <c r="B494" t="s">
        <v>2918</v>
      </c>
      <c r="C494" t="s">
        <v>3149</v>
      </c>
      <c r="D494" t="s">
        <v>2734</v>
      </c>
      <c r="E494" t="s">
        <v>2735</v>
      </c>
      <c r="F494" t="s">
        <v>2736</v>
      </c>
      <c r="G494" t="s">
        <v>2920</v>
      </c>
      <c r="H494" t="s">
        <v>2921</v>
      </c>
      <c r="I494">
        <v>2232860</v>
      </c>
      <c r="J494">
        <v>3193581</v>
      </c>
      <c r="K494" t="s">
        <v>3505</v>
      </c>
      <c r="L494" t="s">
        <v>3506</v>
      </c>
      <c r="M494">
        <v>119</v>
      </c>
      <c r="N494">
        <v>29416.73</v>
      </c>
      <c r="O494" t="s">
        <v>117</v>
      </c>
      <c r="P494">
        <v>7</v>
      </c>
      <c r="Q494">
        <v>11</v>
      </c>
      <c r="R494">
        <v>81</v>
      </c>
      <c r="S494">
        <v>24335620</v>
      </c>
      <c r="T494">
        <v>121</v>
      </c>
      <c r="U494">
        <v>116</v>
      </c>
      <c r="V494">
        <v>29416.730063357121</v>
      </c>
      <c r="W494">
        <v>24335620.469402239</v>
      </c>
      <c r="X494">
        <v>1119829.4920000001</v>
      </c>
      <c r="Y494">
        <f>VLOOKUP(AB494,'2000 Seattle Tracts'!$C$2:$Z$374,24,FALSE)</f>
        <v>2126261.835</v>
      </c>
      <c r="Z494">
        <f t="shared" si="14"/>
        <v>0.5266658478117302</v>
      </c>
      <c r="AA494" t="s">
        <v>222</v>
      </c>
      <c r="AB494" t="str">
        <f t="shared" si="15"/>
        <v>Census Tract 31, King County, Washington</v>
      </c>
      <c r="AC494" s="3">
        <f>VLOOKUP($AB494,'2000 Seattle Tracts'!$C$2:$Y$374,AC$1,FALSE)*$Z494</f>
        <v>3180.008389087227</v>
      </c>
      <c r="AD494" s="3">
        <f>VLOOKUP($AB494,'2000 Seattle Tracts'!$C$2:$Y$374,AD$1,FALSE)*$Z494</f>
        <v>2930.3687772244671</v>
      </c>
      <c r="AE494" s="3">
        <f>VLOOKUP($AB494,'2000 Seattle Tracts'!$C$2:$Y$374,AE$1,FALSE)*$Z494</f>
        <v>249.63961186276012</v>
      </c>
      <c r="AF494" s="3">
        <f>VLOOKUP($AB494,'2000 Seattle Tracts'!$C$2:$Y$374,AF$1,FALSE)*$Z494</f>
        <v>3180.008389087227</v>
      </c>
      <c r="AG494" s="3">
        <f>VLOOKUP($AB494,'2000 Seattle Tracts'!$C$2:$Y$374,AG$1,FALSE)*$Z494</f>
        <v>2930.3687772244671</v>
      </c>
      <c r="AH494" s="3">
        <f>VLOOKUP($AB494,'2000 Seattle Tracts'!$C$2:$Y$374,AH$1,FALSE)*$Z494</f>
        <v>249.63961186276012</v>
      </c>
      <c r="AI494" s="3">
        <f>VLOOKUP($AB494,'2000 Seattle Tracts'!$C$2:$Y$374,AI$1,FALSE)*$Z494</f>
        <v>2702.3224651219875</v>
      </c>
      <c r="AJ494" s="3">
        <f>VLOOKUP($AB494,'2000 Seattle Tracts'!$C$2:$Y$374,AJ$1,FALSE)*$Z494</f>
        <v>160.10641773476598</v>
      </c>
      <c r="AK494" s="3">
        <f>VLOOKUP($AB494,'2000 Seattle Tracts'!$C$2:$Y$374,AK$1,FALSE)*$Z494</f>
        <v>75.313216237077413</v>
      </c>
      <c r="AL494" s="3">
        <f>VLOOKUP($AB494,'2000 Seattle Tracts'!$C$2:$Y$374,AL$1,FALSE)*$Z494</f>
        <v>15.273309586540176</v>
      </c>
      <c r="AM494" s="3">
        <f>VLOOKUP($AB494,'2000 Seattle Tracts'!$C$2:$Y$374,AM$1,FALSE)*$Z494</f>
        <v>20.013302216845748</v>
      </c>
      <c r="AN494" s="3">
        <f>VLOOKUP($AB494,'2000 Seattle Tracts'!$C$2:$Y$374,AN$1,FALSE)*$Z494</f>
        <v>2.6333292390586509</v>
      </c>
      <c r="AO494" s="3">
        <f>VLOOKUP($AB494,'2000 Seattle Tracts'!$C$2:$Y$374,AO$1,FALSE)*$Z494</f>
        <v>40.553270281503224</v>
      </c>
      <c r="AP494" s="3">
        <f>VLOOKUP($AB494,'2000 Seattle Tracts'!$C$2:$Y$374,AP$1,FALSE)*$Z494</f>
        <v>0</v>
      </c>
      <c r="AQ494" s="3">
        <f>VLOOKUP($AB494,'2000 Seattle Tracts'!$C$2:$Y$374,AQ$1,FALSE)*$Z494</f>
        <v>33.706614259950733</v>
      </c>
      <c r="AR494" s="3">
        <f>VLOOKUP($AB494,'2000 Seattle Tracts'!$C$2:$Y$374,AR$1,FALSE)*$Z494</f>
        <v>51.086587237737831</v>
      </c>
      <c r="AS494" s="3">
        <f>VLOOKUP($AB494,'2000 Seattle Tracts'!$C$2:$Y$374,AS$1,FALSE)*$Z494</f>
        <v>3.1599950868703814</v>
      </c>
      <c r="AT494" s="3">
        <f>VLOOKUP($AB494,'2000 Seattle Tracts'!$C$2:$Y$374,AT$1,FALSE)*$Z494</f>
        <v>6.8466560215524925</v>
      </c>
      <c r="AU494" s="3">
        <f>VLOOKUP($AB494,'2000 Seattle Tracts'!$C$2:$Y$374,AU$1,FALSE)*$Z494</f>
        <v>14.746643738728446</v>
      </c>
      <c r="AV494" s="3">
        <f>VLOOKUP($AB494,'2000 Seattle Tracts'!$C$2:$Y$374,AV$1,FALSE)*$Z494</f>
        <v>2.1066633912469208</v>
      </c>
      <c r="AW494" s="3">
        <f>VLOOKUP($AB494,'2000 Seattle Tracts'!$C$2:$Y$374,AW$1,FALSE)*$Z494</f>
        <v>40.553270281503224</v>
      </c>
      <c r="AX494" s="3">
        <f>VLOOKUP($AB494,'2000 Seattle Tracts'!$C$2:$Y$374,AX$1,FALSE)*$Z494</f>
        <v>11.586648651858065</v>
      </c>
    </row>
    <row r="495" spans="1:50" x14ac:dyDescent="0.25">
      <c r="A495" t="s">
        <v>2917</v>
      </c>
      <c r="B495" t="s">
        <v>2918</v>
      </c>
      <c r="C495" t="s">
        <v>3215</v>
      </c>
      <c r="D495" t="s">
        <v>2737</v>
      </c>
      <c r="E495" t="s">
        <v>2738</v>
      </c>
      <c r="F495" t="s">
        <v>2739</v>
      </c>
      <c r="G495" t="s">
        <v>2920</v>
      </c>
      <c r="H495" t="s">
        <v>2921</v>
      </c>
      <c r="I495">
        <v>1493249</v>
      </c>
      <c r="J495">
        <v>0</v>
      </c>
      <c r="K495" t="s">
        <v>3216</v>
      </c>
      <c r="L495" t="s">
        <v>3217</v>
      </c>
      <c r="M495">
        <v>27</v>
      </c>
      <c r="N495">
        <v>18831.009999999998</v>
      </c>
      <c r="O495" t="s">
        <v>117</v>
      </c>
      <c r="P495">
        <v>7</v>
      </c>
      <c r="Q495">
        <v>11</v>
      </c>
      <c r="R495">
        <v>23</v>
      </c>
      <c r="S495">
        <v>21320656</v>
      </c>
      <c r="T495">
        <v>29</v>
      </c>
      <c r="U495">
        <v>120</v>
      </c>
      <c r="V495">
        <v>18831.00959636999</v>
      </c>
      <c r="W495">
        <v>21320655.545531079</v>
      </c>
      <c r="X495">
        <v>492604.81699999998</v>
      </c>
      <c r="Y495">
        <f>VLOOKUP(AB495,'2000 Seattle Tracts'!$C$2:$Z$374,24,FALSE)</f>
        <v>1493252.781</v>
      </c>
      <c r="Z495">
        <f t="shared" si="14"/>
        <v>0.32988709163502306</v>
      </c>
      <c r="AA495" t="s">
        <v>116</v>
      </c>
      <c r="AB495" t="str">
        <f t="shared" si="15"/>
        <v>Census Tract 30, King County, Washington</v>
      </c>
      <c r="AC495" s="3">
        <f>VLOOKUP($AB495,'2000 Seattle Tracts'!$C$2:$Y$374,AC$1,FALSE)*$Z495</f>
        <v>1731.907231083871</v>
      </c>
      <c r="AD495" s="3">
        <f>VLOOKUP($AB495,'2000 Seattle Tracts'!$C$2:$Y$374,AD$1,FALSE)*$Z495</f>
        <v>1554.0980886925936</v>
      </c>
      <c r="AE495" s="3">
        <f>VLOOKUP($AB495,'2000 Seattle Tracts'!$C$2:$Y$374,AE$1,FALSE)*$Z495</f>
        <v>177.80914239127742</v>
      </c>
      <c r="AF495" s="3">
        <f>VLOOKUP($AB495,'2000 Seattle Tracts'!$C$2:$Y$374,AF$1,FALSE)*$Z495</f>
        <v>1731.907231083871</v>
      </c>
      <c r="AG495" s="3">
        <f>VLOOKUP($AB495,'2000 Seattle Tracts'!$C$2:$Y$374,AG$1,FALSE)*$Z495</f>
        <v>1554.0980886925936</v>
      </c>
      <c r="AH495" s="3">
        <f>VLOOKUP($AB495,'2000 Seattle Tracts'!$C$2:$Y$374,AH$1,FALSE)*$Z495</f>
        <v>177.80914239127742</v>
      </c>
      <c r="AI495" s="3">
        <f>VLOOKUP($AB495,'2000 Seattle Tracts'!$C$2:$Y$374,AI$1,FALSE)*$Z495</f>
        <v>1373.649849568236</v>
      </c>
      <c r="AJ495" s="3">
        <f>VLOOKUP($AB495,'2000 Seattle Tracts'!$C$2:$Y$374,AJ$1,FALSE)*$Z495</f>
        <v>120.07890135514839</v>
      </c>
      <c r="AK495" s="3">
        <f>VLOOKUP($AB495,'2000 Seattle Tracts'!$C$2:$Y$374,AK$1,FALSE)*$Z495</f>
        <v>26.390967330801843</v>
      </c>
      <c r="AL495" s="3">
        <f>VLOOKUP($AB495,'2000 Seattle Tracts'!$C$2:$Y$374,AL$1,FALSE)*$Z495</f>
        <v>22.432322231181569</v>
      </c>
      <c r="AM495" s="3">
        <f>VLOOKUP($AB495,'2000 Seattle Tracts'!$C$2:$Y$374,AM$1,FALSE)*$Z495</f>
        <v>8.5770643825105992</v>
      </c>
      <c r="AN495" s="3">
        <f>VLOOKUP($AB495,'2000 Seattle Tracts'!$C$2:$Y$374,AN$1,FALSE)*$Z495</f>
        <v>0</v>
      </c>
      <c r="AO495" s="3">
        <f>VLOOKUP($AB495,'2000 Seattle Tracts'!$C$2:$Y$374,AO$1,FALSE)*$Z495</f>
        <v>23.751870597721659</v>
      </c>
      <c r="AP495" s="3">
        <f>VLOOKUP($AB495,'2000 Seattle Tracts'!$C$2:$Y$374,AP$1,FALSE)*$Z495</f>
        <v>0</v>
      </c>
      <c r="AQ495" s="3">
        <f>VLOOKUP($AB495,'2000 Seattle Tracts'!$C$2:$Y$374,AQ$1,FALSE)*$Z495</f>
        <v>28.700176972247007</v>
      </c>
      <c r="AR495" s="3">
        <f>VLOOKUP($AB495,'2000 Seattle Tracts'!$C$2:$Y$374,AR$1,FALSE)*$Z495</f>
        <v>26.390967330801843</v>
      </c>
      <c r="AS495" s="3">
        <f>VLOOKUP($AB495,'2000 Seattle Tracts'!$C$2:$Y$374,AS$1,FALSE)*$Z495</f>
        <v>6.2678547410654382</v>
      </c>
      <c r="AT495" s="3">
        <f>VLOOKUP($AB495,'2000 Seattle Tracts'!$C$2:$Y$374,AT$1,FALSE)*$Z495</f>
        <v>5.9379676494304148</v>
      </c>
      <c r="AU495" s="3">
        <f>VLOOKUP($AB495,'2000 Seattle Tracts'!$C$2:$Y$374,AU$1,FALSE)*$Z495</f>
        <v>27.710515697341936</v>
      </c>
      <c r="AV495" s="3">
        <f>VLOOKUP($AB495,'2000 Seattle Tracts'!$C$2:$Y$374,AV$1,FALSE)*$Z495</f>
        <v>0</v>
      </c>
      <c r="AW495" s="3">
        <f>VLOOKUP($AB495,'2000 Seattle Tracts'!$C$2:$Y$374,AW$1,FALSE)*$Z495</f>
        <v>59.049789402669127</v>
      </c>
      <c r="AX495" s="3">
        <f>VLOOKUP($AB495,'2000 Seattle Tracts'!$C$2:$Y$374,AX$1,FALSE)*$Z495</f>
        <v>2.9689838247152074</v>
      </c>
    </row>
    <row r="496" spans="1:50" x14ac:dyDescent="0.25">
      <c r="A496" t="s">
        <v>2917</v>
      </c>
      <c r="B496" t="s">
        <v>2918</v>
      </c>
      <c r="C496" t="s">
        <v>3215</v>
      </c>
      <c r="D496" t="s">
        <v>2737</v>
      </c>
      <c r="E496" t="s">
        <v>2738</v>
      </c>
      <c r="F496" t="s">
        <v>2739</v>
      </c>
      <c r="G496" t="s">
        <v>2920</v>
      </c>
      <c r="H496" t="s">
        <v>2921</v>
      </c>
      <c r="I496">
        <v>1493249</v>
      </c>
      <c r="J496">
        <v>0</v>
      </c>
      <c r="K496" t="s">
        <v>3216</v>
      </c>
      <c r="L496" t="s">
        <v>3217</v>
      </c>
      <c r="M496">
        <v>29</v>
      </c>
      <c r="N496">
        <v>15934.439</v>
      </c>
      <c r="O496" t="s">
        <v>117</v>
      </c>
      <c r="P496">
        <v>7</v>
      </c>
      <c r="Q496">
        <v>11</v>
      </c>
      <c r="R496">
        <v>24</v>
      </c>
      <c r="S496">
        <v>14195687</v>
      </c>
      <c r="T496">
        <v>31</v>
      </c>
      <c r="U496">
        <v>121</v>
      </c>
      <c r="V496">
        <v>15934.4392663199</v>
      </c>
      <c r="W496">
        <v>14195687.491917299</v>
      </c>
      <c r="X496">
        <v>997337.34299999999</v>
      </c>
      <c r="Y496">
        <f>VLOOKUP(AB496,'2000 Seattle Tracts'!$C$2:$Z$374,24,FALSE)</f>
        <v>1493252.781</v>
      </c>
      <c r="Z496">
        <f t="shared" si="14"/>
        <v>0.66789585506889471</v>
      </c>
      <c r="AA496" t="s">
        <v>119</v>
      </c>
      <c r="AB496" t="str">
        <f t="shared" si="15"/>
        <v>Census Tract 30, King County, Washington</v>
      </c>
      <c r="AC496" s="3">
        <f>VLOOKUP($AB496,'2000 Seattle Tracts'!$C$2:$Y$374,AC$1,FALSE)*$Z496</f>
        <v>3506.4532391116973</v>
      </c>
      <c r="AD496" s="3">
        <f>VLOOKUP($AB496,'2000 Seattle Tracts'!$C$2:$Y$374,AD$1,FALSE)*$Z496</f>
        <v>3146.457373229563</v>
      </c>
      <c r="AE496" s="3">
        <f>VLOOKUP($AB496,'2000 Seattle Tracts'!$C$2:$Y$374,AE$1,FALSE)*$Z496</f>
        <v>359.99586588213424</v>
      </c>
      <c r="AF496" s="3">
        <f>VLOOKUP($AB496,'2000 Seattle Tracts'!$C$2:$Y$374,AF$1,FALSE)*$Z496</f>
        <v>3506.4532391116973</v>
      </c>
      <c r="AG496" s="3">
        <f>VLOOKUP($AB496,'2000 Seattle Tracts'!$C$2:$Y$374,AG$1,FALSE)*$Z496</f>
        <v>3146.457373229563</v>
      </c>
      <c r="AH496" s="3">
        <f>VLOOKUP($AB496,'2000 Seattle Tracts'!$C$2:$Y$374,AH$1,FALSE)*$Z496</f>
        <v>359.99586588213424</v>
      </c>
      <c r="AI496" s="3">
        <f>VLOOKUP($AB496,'2000 Seattle Tracts'!$C$2:$Y$374,AI$1,FALSE)*$Z496</f>
        <v>2781.1183405068778</v>
      </c>
      <c r="AJ496" s="3">
        <f>VLOOKUP($AB496,'2000 Seattle Tracts'!$C$2:$Y$374,AJ$1,FALSE)*$Z496</f>
        <v>243.11409124507767</v>
      </c>
      <c r="AK496" s="3">
        <f>VLOOKUP($AB496,'2000 Seattle Tracts'!$C$2:$Y$374,AK$1,FALSE)*$Z496</f>
        <v>53.431668405511573</v>
      </c>
      <c r="AL496" s="3">
        <f>VLOOKUP($AB496,'2000 Seattle Tracts'!$C$2:$Y$374,AL$1,FALSE)*$Z496</f>
        <v>45.416918144684843</v>
      </c>
      <c r="AM496" s="3">
        <f>VLOOKUP($AB496,'2000 Seattle Tracts'!$C$2:$Y$374,AM$1,FALSE)*$Z496</f>
        <v>17.365292231791262</v>
      </c>
      <c r="AN496" s="3">
        <f>VLOOKUP($AB496,'2000 Seattle Tracts'!$C$2:$Y$374,AN$1,FALSE)*$Z496</f>
        <v>0</v>
      </c>
      <c r="AO496" s="3">
        <f>VLOOKUP($AB496,'2000 Seattle Tracts'!$C$2:$Y$374,AO$1,FALSE)*$Z496</f>
        <v>48.088501564960417</v>
      </c>
      <c r="AP496" s="3">
        <f>VLOOKUP($AB496,'2000 Seattle Tracts'!$C$2:$Y$374,AP$1,FALSE)*$Z496</f>
        <v>0</v>
      </c>
      <c r="AQ496" s="3">
        <f>VLOOKUP($AB496,'2000 Seattle Tracts'!$C$2:$Y$374,AQ$1,FALSE)*$Z496</f>
        <v>58.106939390993837</v>
      </c>
      <c r="AR496" s="3">
        <f>VLOOKUP($AB496,'2000 Seattle Tracts'!$C$2:$Y$374,AR$1,FALSE)*$Z496</f>
        <v>53.431668405511573</v>
      </c>
      <c r="AS496" s="3">
        <f>VLOOKUP($AB496,'2000 Seattle Tracts'!$C$2:$Y$374,AS$1,FALSE)*$Z496</f>
        <v>12.690021246309</v>
      </c>
      <c r="AT496" s="3">
        <f>VLOOKUP($AB496,'2000 Seattle Tracts'!$C$2:$Y$374,AT$1,FALSE)*$Z496</f>
        <v>12.022125391240104</v>
      </c>
      <c r="AU496" s="3">
        <f>VLOOKUP($AB496,'2000 Seattle Tracts'!$C$2:$Y$374,AU$1,FALSE)*$Z496</f>
        <v>56.103251825787154</v>
      </c>
      <c r="AV496" s="3">
        <f>VLOOKUP($AB496,'2000 Seattle Tracts'!$C$2:$Y$374,AV$1,FALSE)*$Z496</f>
        <v>0</v>
      </c>
      <c r="AW496" s="3">
        <f>VLOOKUP($AB496,'2000 Seattle Tracts'!$C$2:$Y$374,AW$1,FALSE)*$Z496</f>
        <v>119.55335805733215</v>
      </c>
      <c r="AX496" s="3">
        <f>VLOOKUP($AB496,'2000 Seattle Tracts'!$C$2:$Y$374,AX$1,FALSE)*$Z496</f>
        <v>6.0110626956200521</v>
      </c>
    </row>
    <row r="497" spans="1:50" x14ac:dyDescent="0.25">
      <c r="A497" t="s">
        <v>2917</v>
      </c>
      <c r="B497" t="s">
        <v>2918</v>
      </c>
      <c r="C497" t="s">
        <v>3215</v>
      </c>
      <c r="D497" t="s">
        <v>2737</v>
      </c>
      <c r="E497" t="s">
        <v>2738</v>
      </c>
      <c r="F497" t="s">
        <v>2739</v>
      </c>
      <c r="G497" t="s">
        <v>2920</v>
      </c>
      <c r="H497" t="s">
        <v>2921</v>
      </c>
      <c r="I497">
        <v>1493249</v>
      </c>
      <c r="J497">
        <v>0</v>
      </c>
      <c r="K497" t="s">
        <v>3216</v>
      </c>
      <c r="L497" t="s">
        <v>3217</v>
      </c>
      <c r="M497">
        <v>31</v>
      </c>
      <c r="N497">
        <v>27120.785</v>
      </c>
      <c r="O497" t="s">
        <v>122</v>
      </c>
      <c r="P497">
        <v>6</v>
      </c>
      <c r="Q497">
        <v>9</v>
      </c>
      <c r="R497">
        <v>95</v>
      </c>
      <c r="S497">
        <v>32123118</v>
      </c>
      <c r="T497">
        <v>33</v>
      </c>
      <c r="U497">
        <v>126</v>
      </c>
      <c r="V497">
        <v>27120.785937968081</v>
      </c>
      <c r="W497">
        <v>32123117.878249042</v>
      </c>
      <c r="X497">
        <v>1034.914</v>
      </c>
      <c r="Y497">
        <f>VLOOKUP(AB497,'2000 Seattle Tracts'!$C$2:$Z$374,24,FALSE)</f>
        <v>1493252.781</v>
      </c>
      <c r="Z497">
        <f t="shared" si="14"/>
        <v>6.9306015241902977E-4</v>
      </c>
      <c r="AA497" t="s">
        <v>121</v>
      </c>
      <c r="AB497" t="str">
        <f t="shared" si="15"/>
        <v>Census Tract 30, King County, Washington</v>
      </c>
      <c r="AC497" s="3">
        <f>VLOOKUP($AB497,'2000 Seattle Tracts'!$C$2:$Y$374,AC$1,FALSE)*$Z497</f>
        <v>3.6385658001999062</v>
      </c>
      <c r="AD497" s="3">
        <f>VLOOKUP($AB497,'2000 Seattle Tracts'!$C$2:$Y$374,AD$1,FALSE)*$Z497</f>
        <v>3.2650063780460492</v>
      </c>
      <c r="AE497" s="3">
        <f>VLOOKUP($AB497,'2000 Seattle Tracts'!$C$2:$Y$374,AE$1,FALSE)*$Z497</f>
        <v>0.37355942215385707</v>
      </c>
      <c r="AF497" s="3">
        <f>VLOOKUP($AB497,'2000 Seattle Tracts'!$C$2:$Y$374,AF$1,FALSE)*$Z497</f>
        <v>3.6385658001999062</v>
      </c>
      <c r="AG497" s="3">
        <f>VLOOKUP($AB497,'2000 Seattle Tracts'!$C$2:$Y$374,AG$1,FALSE)*$Z497</f>
        <v>3.2650063780460492</v>
      </c>
      <c r="AH497" s="3">
        <f>VLOOKUP($AB497,'2000 Seattle Tracts'!$C$2:$Y$374,AH$1,FALSE)*$Z497</f>
        <v>0.37355942215385707</v>
      </c>
      <c r="AI497" s="3">
        <f>VLOOKUP($AB497,'2000 Seattle Tracts'!$C$2:$Y$374,AI$1,FALSE)*$Z497</f>
        <v>2.8859024746728399</v>
      </c>
      <c r="AJ497" s="3">
        <f>VLOOKUP($AB497,'2000 Seattle Tracts'!$C$2:$Y$374,AJ$1,FALSE)*$Z497</f>
        <v>0.25227389548052681</v>
      </c>
      <c r="AK497" s="3">
        <f>VLOOKUP($AB497,'2000 Seattle Tracts'!$C$2:$Y$374,AK$1,FALSE)*$Z497</f>
        <v>5.5444812193522382E-2</v>
      </c>
      <c r="AL497" s="3">
        <f>VLOOKUP($AB497,'2000 Seattle Tracts'!$C$2:$Y$374,AL$1,FALSE)*$Z497</f>
        <v>4.7128090364494023E-2</v>
      </c>
      <c r="AM497" s="3">
        <f>VLOOKUP($AB497,'2000 Seattle Tracts'!$C$2:$Y$374,AM$1,FALSE)*$Z497</f>
        <v>1.8019563962894773E-2</v>
      </c>
      <c r="AN497" s="3">
        <f>VLOOKUP($AB497,'2000 Seattle Tracts'!$C$2:$Y$374,AN$1,FALSE)*$Z497</f>
        <v>0</v>
      </c>
      <c r="AO497" s="3">
        <f>VLOOKUP($AB497,'2000 Seattle Tracts'!$C$2:$Y$374,AO$1,FALSE)*$Z497</f>
        <v>4.990033097417014E-2</v>
      </c>
      <c r="AP497" s="3">
        <f>VLOOKUP($AB497,'2000 Seattle Tracts'!$C$2:$Y$374,AP$1,FALSE)*$Z497</f>
        <v>0</v>
      </c>
      <c r="AQ497" s="3">
        <f>VLOOKUP($AB497,'2000 Seattle Tracts'!$C$2:$Y$374,AQ$1,FALSE)*$Z497</f>
        <v>6.0296233260455592E-2</v>
      </c>
      <c r="AR497" s="3">
        <f>VLOOKUP($AB497,'2000 Seattle Tracts'!$C$2:$Y$374,AR$1,FALSE)*$Z497</f>
        <v>5.5444812193522382E-2</v>
      </c>
      <c r="AS497" s="3">
        <f>VLOOKUP($AB497,'2000 Seattle Tracts'!$C$2:$Y$374,AS$1,FALSE)*$Z497</f>
        <v>1.3168142895961566E-2</v>
      </c>
      <c r="AT497" s="3">
        <f>VLOOKUP($AB497,'2000 Seattle Tracts'!$C$2:$Y$374,AT$1,FALSE)*$Z497</f>
        <v>1.2475082743542535E-2</v>
      </c>
      <c r="AU497" s="3">
        <f>VLOOKUP($AB497,'2000 Seattle Tracts'!$C$2:$Y$374,AU$1,FALSE)*$Z497</f>
        <v>5.8217052803198499E-2</v>
      </c>
      <c r="AV497" s="3">
        <f>VLOOKUP($AB497,'2000 Seattle Tracts'!$C$2:$Y$374,AV$1,FALSE)*$Z497</f>
        <v>0</v>
      </c>
      <c r="AW497" s="3">
        <f>VLOOKUP($AB497,'2000 Seattle Tracts'!$C$2:$Y$374,AW$1,FALSE)*$Z497</f>
        <v>0.12405776728300633</v>
      </c>
      <c r="AX497" s="3">
        <f>VLOOKUP($AB497,'2000 Seattle Tracts'!$C$2:$Y$374,AX$1,FALSE)*$Z497</f>
        <v>6.2375413717712675E-3</v>
      </c>
    </row>
    <row r="498" spans="1:50" x14ac:dyDescent="0.25">
      <c r="A498" t="s">
        <v>2917</v>
      </c>
      <c r="B498" t="s">
        <v>2918</v>
      </c>
      <c r="C498" t="s">
        <v>3215</v>
      </c>
      <c r="D498" t="s">
        <v>2737</v>
      </c>
      <c r="E498" t="s">
        <v>2738</v>
      </c>
      <c r="F498" t="s">
        <v>2739</v>
      </c>
      <c r="G498" t="s">
        <v>2920</v>
      </c>
      <c r="H498" t="s">
        <v>2921</v>
      </c>
      <c r="I498">
        <v>1493249</v>
      </c>
      <c r="J498">
        <v>0</v>
      </c>
      <c r="K498" t="s">
        <v>3216</v>
      </c>
      <c r="L498" t="s">
        <v>3217</v>
      </c>
      <c r="M498">
        <v>117</v>
      </c>
      <c r="N498">
        <v>18997.809000000001</v>
      </c>
      <c r="O498" t="s">
        <v>122</v>
      </c>
      <c r="P498">
        <v>1</v>
      </c>
      <c r="Q498">
        <v>2</v>
      </c>
      <c r="R498">
        <v>95</v>
      </c>
      <c r="S498">
        <v>15865750</v>
      </c>
      <c r="T498">
        <v>119</v>
      </c>
      <c r="U498">
        <v>113</v>
      </c>
      <c r="V498">
        <v>18997.808037941071</v>
      </c>
      <c r="W498">
        <v>15865750.419753481</v>
      </c>
      <c r="X498">
        <v>129.821</v>
      </c>
      <c r="Y498">
        <f>VLOOKUP(AB498,'2000 Seattle Tracts'!$C$2:$Z$374,24,FALSE)</f>
        <v>1493252.781</v>
      </c>
      <c r="Z498">
        <f t="shared" si="14"/>
        <v>8.6938394926719379E-5</v>
      </c>
      <c r="AA498" t="s">
        <v>220</v>
      </c>
      <c r="AB498" t="str">
        <f t="shared" si="15"/>
        <v>Census Tract 30, King County, Washington</v>
      </c>
      <c r="AC498" s="3">
        <f>VLOOKUP($AB498,'2000 Seattle Tracts'!$C$2:$Y$374,AC$1,FALSE)*$Z498</f>
        <v>0.45642657336527676</v>
      </c>
      <c r="AD498" s="3">
        <f>VLOOKUP($AB498,'2000 Seattle Tracts'!$C$2:$Y$374,AD$1,FALSE)*$Z498</f>
        <v>0.40956677849977502</v>
      </c>
      <c r="AE498" s="3">
        <f>VLOOKUP($AB498,'2000 Seattle Tracts'!$C$2:$Y$374,AE$1,FALSE)*$Z498</f>
        <v>4.6859794865501743E-2</v>
      </c>
      <c r="AF498" s="3">
        <f>VLOOKUP($AB498,'2000 Seattle Tracts'!$C$2:$Y$374,AF$1,FALSE)*$Z498</f>
        <v>0.45642657336527676</v>
      </c>
      <c r="AG498" s="3">
        <f>VLOOKUP($AB498,'2000 Seattle Tracts'!$C$2:$Y$374,AG$1,FALSE)*$Z498</f>
        <v>0.40956677849977502</v>
      </c>
      <c r="AH498" s="3">
        <f>VLOOKUP($AB498,'2000 Seattle Tracts'!$C$2:$Y$374,AH$1,FALSE)*$Z498</f>
        <v>4.6859794865501743E-2</v>
      </c>
      <c r="AI498" s="3">
        <f>VLOOKUP($AB498,'2000 Seattle Tracts'!$C$2:$Y$374,AI$1,FALSE)*$Z498</f>
        <v>0.36201147647485948</v>
      </c>
      <c r="AJ498" s="3">
        <f>VLOOKUP($AB498,'2000 Seattle Tracts'!$C$2:$Y$374,AJ$1,FALSE)*$Z498</f>
        <v>3.1645575753325855E-2</v>
      </c>
      <c r="AK498" s="3">
        <f>VLOOKUP($AB498,'2000 Seattle Tracts'!$C$2:$Y$374,AK$1,FALSE)*$Z498</f>
        <v>6.9550715941375501E-3</v>
      </c>
      <c r="AL498" s="3">
        <f>VLOOKUP($AB498,'2000 Seattle Tracts'!$C$2:$Y$374,AL$1,FALSE)*$Z498</f>
        <v>5.9118108550169175E-3</v>
      </c>
      <c r="AM498" s="3">
        <f>VLOOKUP($AB498,'2000 Seattle Tracts'!$C$2:$Y$374,AM$1,FALSE)*$Z498</f>
        <v>2.2603982680947038E-3</v>
      </c>
      <c r="AN498" s="3">
        <f>VLOOKUP($AB498,'2000 Seattle Tracts'!$C$2:$Y$374,AN$1,FALSE)*$Z498</f>
        <v>0</v>
      </c>
      <c r="AO498" s="3">
        <f>VLOOKUP($AB498,'2000 Seattle Tracts'!$C$2:$Y$374,AO$1,FALSE)*$Z498</f>
        <v>6.2595644347237956E-3</v>
      </c>
      <c r="AP498" s="3">
        <f>VLOOKUP($AB498,'2000 Seattle Tracts'!$C$2:$Y$374,AP$1,FALSE)*$Z498</f>
        <v>0</v>
      </c>
      <c r="AQ498" s="3">
        <f>VLOOKUP($AB498,'2000 Seattle Tracts'!$C$2:$Y$374,AQ$1,FALSE)*$Z498</f>
        <v>7.5636403586245857E-3</v>
      </c>
      <c r="AR498" s="3">
        <f>VLOOKUP($AB498,'2000 Seattle Tracts'!$C$2:$Y$374,AR$1,FALSE)*$Z498</f>
        <v>6.9550715941375501E-3</v>
      </c>
      <c r="AS498" s="3">
        <f>VLOOKUP($AB498,'2000 Seattle Tracts'!$C$2:$Y$374,AS$1,FALSE)*$Z498</f>
        <v>1.6518295036076682E-3</v>
      </c>
      <c r="AT498" s="3">
        <f>VLOOKUP($AB498,'2000 Seattle Tracts'!$C$2:$Y$374,AT$1,FALSE)*$Z498</f>
        <v>1.5648911086809489E-3</v>
      </c>
      <c r="AU498" s="3">
        <f>VLOOKUP($AB498,'2000 Seattle Tracts'!$C$2:$Y$374,AU$1,FALSE)*$Z498</f>
        <v>7.3028251738444282E-3</v>
      </c>
      <c r="AV498" s="3">
        <f>VLOOKUP($AB498,'2000 Seattle Tracts'!$C$2:$Y$374,AV$1,FALSE)*$Z498</f>
        <v>0</v>
      </c>
      <c r="AW498" s="3">
        <f>VLOOKUP($AB498,'2000 Seattle Tracts'!$C$2:$Y$374,AW$1,FALSE)*$Z498</f>
        <v>1.5561972691882768E-2</v>
      </c>
      <c r="AX498" s="3">
        <f>VLOOKUP($AB498,'2000 Seattle Tracts'!$C$2:$Y$374,AX$1,FALSE)*$Z498</f>
        <v>7.8244555434047445E-4</v>
      </c>
    </row>
    <row r="499" spans="1:50" x14ac:dyDescent="0.25">
      <c r="A499" t="s">
        <v>2917</v>
      </c>
      <c r="B499" t="s">
        <v>2918</v>
      </c>
      <c r="C499" t="s">
        <v>3215</v>
      </c>
      <c r="D499" t="s">
        <v>2737</v>
      </c>
      <c r="E499" t="s">
        <v>2738</v>
      </c>
      <c r="F499" t="s">
        <v>2739</v>
      </c>
      <c r="G499" t="s">
        <v>2920</v>
      </c>
      <c r="H499" t="s">
        <v>2921</v>
      </c>
      <c r="I499">
        <v>1493249</v>
      </c>
      <c r="J499">
        <v>0</v>
      </c>
      <c r="K499" t="s">
        <v>3216</v>
      </c>
      <c r="L499" t="s">
        <v>3217</v>
      </c>
      <c r="M499">
        <v>118</v>
      </c>
      <c r="N499">
        <v>26501.526999999998</v>
      </c>
      <c r="O499" t="s">
        <v>122</v>
      </c>
      <c r="P499">
        <v>1</v>
      </c>
      <c r="Q499">
        <v>2</v>
      </c>
      <c r="R499">
        <v>19</v>
      </c>
      <c r="S499">
        <v>42044564</v>
      </c>
      <c r="T499">
        <v>120</v>
      </c>
      <c r="U499">
        <v>115</v>
      </c>
      <c r="V499">
        <v>26501.526591104928</v>
      </c>
      <c r="W499">
        <v>42044563.673184253</v>
      </c>
      <c r="X499">
        <v>2145.8850000000002</v>
      </c>
      <c r="Y499">
        <f>VLOOKUP(AB499,'2000 Seattle Tracts'!$C$2:$Z$374,24,FALSE)</f>
        <v>1493252.781</v>
      </c>
      <c r="Z499">
        <f t="shared" si="14"/>
        <v>1.4370540790574963E-3</v>
      </c>
      <c r="AA499" t="s">
        <v>221</v>
      </c>
      <c r="AB499" t="str">
        <f t="shared" si="15"/>
        <v>Census Tract 30, King County, Washington</v>
      </c>
      <c r="AC499" s="3">
        <f>VLOOKUP($AB499,'2000 Seattle Tracts'!$C$2:$Y$374,AC$1,FALSE)*$Z499</f>
        <v>7.544533915051856</v>
      </c>
      <c r="AD499" s="3">
        <f>VLOOKUP($AB499,'2000 Seattle Tracts'!$C$2:$Y$374,AD$1,FALSE)*$Z499</f>
        <v>6.7699617664398648</v>
      </c>
      <c r="AE499" s="3">
        <f>VLOOKUP($AB499,'2000 Seattle Tracts'!$C$2:$Y$374,AE$1,FALSE)*$Z499</f>
        <v>0.77457214861199053</v>
      </c>
      <c r="AF499" s="3">
        <f>VLOOKUP($AB499,'2000 Seattle Tracts'!$C$2:$Y$374,AF$1,FALSE)*$Z499</f>
        <v>7.544533915051856</v>
      </c>
      <c r="AG499" s="3">
        <f>VLOOKUP($AB499,'2000 Seattle Tracts'!$C$2:$Y$374,AG$1,FALSE)*$Z499</f>
        <v>6.7699617664398648</v>
      </c>
      <c r="AH499" s="3">
        <f>VLOOKUP($AB499,'2000 Seattle Tracts'!$C$2:$Y$374,AH$1,FALSE)*$Z499</f>
        <v>0.77457214861199053</v>
      </c>
      <c r="AI499" s="3">
        <f>VLOOKUP($AB499,'2000 Seattle Tracts'!$C$2:$Y$374,AI$1,FALSE)*$Z499</f>
        <v>5.9838931851954147</v>
      </c>
      <c r="AJ499" s="3">
        <f>VLOOKUP($AB499,'2000 Seattle Tracts'!$C$2:$Y$374,AJ$1,FALSE)*$Z499</f>
        <v>0.52308768477692869</v>
      </c>
      <c r="AK499" s="3">
        <f>VLOOKUP($AB499,'2000 Seattle Tracts'!$C$2:$Y$374,AK$1,FALSE)*$Z499</f>
        <v>0.11496432632459971</v>
      </c>
      <c r="AL499" s="3">
        <f>VLOOKUP($AB499,'2000 Seattle Tracts'!$C$2:$Y$374,AL$1,FALSE)*$Z499</f>
        <v>9.7719677375909753E-2</v>
      </c>
      <c r="AM499" s="3">
        <f>VLOOKUP($AB499,'2000 Seattle Tracts'!$C$2:$Y$374,AM$1,FALSE)*$Z499</f>
        <v>3.7363406055494902E-2</v>
      </c>
      <c r="AN499" s="3">
        <f>VLOOKUP($AB499,'2000 Seattle Tracts'!$C$2:$Y$374,AN$1,FALSE)*$Z499</f>
        <v>0</v>
      </c>
      <c r="AO499" s="3">
        <f>VLOOKUP($AB499,'2000 Seattle Tracts'!$C$2:$Y$374,AO$1,FALSE)*$Z499</f>
        <v>0.10346789369213974</v>
      </c>
      <c r="AP499" s="3">
        <f>VLOOKUP($AB499,'2000 Seattle Tracts'!$C$2:$Y$374,AP$1,FALSE)*$Z499</f>
        <v>0</v>
      </c>
      <c r="AQ499" s="3">
        <f>VLOOKUP($AB499,'2000 Seattle Tracts'!$C$2:$Y$374,AQ$1,FALSE)*$Z499</f>
        <v>0.12502370487800218</v>
      </c>
      <c r="AR499" s="3">
        <f>VLOOKUP($AB499,'2000 Seattle Tracts'!$C$2:$Y$374,AR$1,FALSE)*$Z499</f>
        <v>0.11496432632459971</v>
      </c>
      <c r="AS499" s="3">
        <f>VLOOKUP($AB499,'2000 Seattle Tracts'!$C$2:$Y$374,AS$1,FALSE)*$Z499</f>
        <v>2.7304027502092432E-2</v>
      </c>
      <c r="AT499" s="3">
        <f>VLOOKUP($AB499,'2000 Seattle Tracts'!$C$2:$Y$374,AT$1,FALSE)*$Z499</f>
        <v>2.5866973423034935E-2</v>
      </c>
      <c r="AU499" s="3">
        <f>VLOOKUP($AB499,'2000 Seattle Tracts'!$C$2:$Y$374,AU$1,FALSE)*$Z499</f>
        <v>0.12071254264082969</v>
      </c>
      <c r="AV499" s="3">
        <f>VLOOKUP($AB499,'2000 Seattle Tracts'!$C$2:$Y$374,AV$1,FALSE)*$Z499</f>
        <v>0</v>
      </c>
      <c r="AW499" s="3">
        <f>VLOOKUP($AB499,'2000 Seattle Tracts'!$C$2:$Y$374,AW$1,FALSE)*$Z499</f>
        <v>0.25723268015129186</v>
      </c>
      <c r="AX499" s="3">
        <f>VLOOKUP($AB499,'2000 Seattle Tracts'!$C$2:$Y$374,AX$1,FALSE)*$Z499</f>
        <v>1.2933486711517467E-2</v>
      </c>
    </row>
    <row r="500" spans="1:50" x14ac:dyDescent="0.25">
      <c r="A500" t="s">
        <v>2917</v>
      </c>
      <c r="B500" t="s">
        <v>2918</v>
      </c>
      <c r="C500" t="s">
        <v>3308</v>
      </c>
      <c r="D500" t="s">
        <v>2743</v>
      </c>
      <c r="E500" t="s">
        <v>2744</v>
      </c>
      <c r="F500" t="s">
        <v>2745</v>
      </c>
      <c r="G500" t="s">
        <v>2920</v>
      </c>
      <c r="H500" t="s">
        <v>2921</v>
      </c>
      <c r="I500">
        <v>986207</v>
      </c>
      <c r="J500">
        <v>0</v>
      </c>
      <c r="K500" t="s">
        <v>3309</v>
      </c>
      <c r="L500" t="s">
        <v>3310</v>
      </c>
      <c r="M500">
        <v>29</v>
      </c>
      <c r="N500">
        <v>15934.439</v>
      </c>
      <c r="O500" t="s">
        <v>117</v>
      </c>
      <c r="P500">
        <v>7</v>
      </c>
      <c r="Q500">
        <v>11</v>
      </c>
      <c r="R500">
        <v>24</v>
      </c>
      <c r="S500">
        <v>14195687</v>
      </c>
      <c r="T500">
        <v>31</v>
      </c>
      <c r="U500">
        <v>121</v>
      </c>
      <c r="V500">
        <v>15934.4392663199</v>
      </c>
      <c r="W500">
        <v>14195687.491917299</v>
      </c>
      <c r="X500">
        <v>406.30599999999998</v>
      </c>
      <c r="Y500">
        <f>VLOOKUP(AB500,'2000 Seattle Tracts'!$C$2:$Z$374,24,FALSE)</f>
        <v>986206.95499999996</v>
      </c>
      <c r="Z500">
        <f t="shared" si="14"/>
        <v>4.1198857698179585E-4</v>
      </c>
      <c r="AA500" t="s">
        <v>119</v>
      </c>
      <c r="AB500" t="str">
        <f t="shared" si="15"/>
        <v>Census Tract 29, King County, Washington</v>
      </c>
      <c r="AC500" s="3">
        <f>VLOOKUP($AB500,'2000 Seattle Tracts'!$C$2:$Y$374,AC$1,FALSE)*$Z500</f>
        <v>1.6413624906954747</v>
      </c>
      <c r="AD500" s="3">
        <f>VLOOKUP($AB500,'2000 Seattle Tracts'!$C$2:$Y$374,AD$1,FALSE)*$Z500</f>
        <v>1.4942825687129735</v>
      </c>
      <c r="AE500" s="3">
        <f>VLOOKUP($AB500,'2000 Seattle Tracts'!$C$2:$Y$374,AE$1,FALSE)*$Z500</f>
        <v>0.14707992198250111</v>
      </c>
      <c r="AF500" s="3">
        <f>VLOOKUP($AB500,'2000 Seattle Tracts'!$C$2:$Y$374,AF$1,FALSE)*$Z500</f>
        <v>1.6413624906954747</v>
      </c>
      <c r="AG500" s="3">
        <f>VLOOKUP($AB500,'2000 Seattle Tracts'!$C$2:$Y$374,AG$1,FALSE)*$Z500</f>
        <v>1.4942825687129735</v>
      </c>
      <c r="AH500" s="3">
        <f>VLOOKUP($AB500,'2000 Seattle Tracts'!$C$2:$Y$374,AH$1,FALSE)*$Z500</f>
        <v>0.14707992198250111</v>
      </c>
      <c r="AI500" s="3">
        <f>VLOOKUP($AB500,'2000 Seattle Tracts'!$C$2:$Y$374,AI$1,FALSE)*$Z500</f>
        <v>1.3719219613493803</v>
      </c>
      <c r="AJ500" s="3">
        <f>VLOOKUP($AB500,'2000 Seattle Tracts'!$C$2:$Y$374,AJ$1,FALSE)*$Z500</f>
        <v>6.7978115201996314E-2</v>
      </c>
      <c r="AK500" s="3">
        <f>VLOOKUP($AB500,'2000 Seattle Tracts'!$C$2:$Y$374,AK$1,FALSE)*$Z500</f>
        <v>2.4307326041925956E-2</v>
      </c>
      <c r="AL500" s="3">
        <f>VLOOKUP($AB500,'2000 Seattle Tracts'!$C$2:$Y$374,AL$1,FALSE)*$Z500</f>
        <v>7.0038058086905296E-3</v>
      </c>
      <c r="AM500" s="3">
        <f>VLOOKUP($AB500,'2000 Seattle Tracts'!$C$2:$Y$374,AM$1,FALSE)*$Z500</f>
        <v>7.8277829626541215E-3</v>
      </c>
      <c r="AN500" s="3">
        <f>VLOOKUP($AB500,'2000 Seattle Tracts'!$C$2:$Y$374,AN$1,FALSE)*$Z500</f>
        <v>2.4719314618907749E-3</v>
      </c>
      <c r="AO500" s="3">
        <f>VLOOKUP($AB500,'2000 Seattle Tracts'!$C$2:$Y$374,AO$1,FALSE)*$Z500</f>
        <v>5.3558515007633457E-3</v>
      </c>
      <c r="AP500" s="3">
        <f>VLOOKUP($AB500,'2000 Seattle Tracts'!$C$2:$Y$374,AP$1,FALSE)*$Z500</f>
        <v>0</v>
      </c>
      <c r="AQ500" s="3">
        <f>VLOOKUP($AB500,'2000 Seattle Tracts'!$C$2:$Y$374,AQ$1,FALSE)*$Z500</f>
        <v>1.6067554502290037E-2</v>
      </c>
      <c r="AR500" s="3">
        <f>VLOOKUP($AB500,'2000 Seattle Tracts'!$C$2:$Y$374,AR$1,FALSE)*$Z500</f>
        <v>4.9438629237815501E-2</v>
      </c>
      <c r="AS500" s="3">
        <f>VLOOKUP($AB500,'2000 Seattle Tracts'!$C$2:$Y$374,AS$1,FALSE)*$Z500</f>
        <v>0</v>
      </c>
      <c r="AT500" s="3">
        <f>VLOOKUP($AB500,'2000 Seattle Tracts'!$C$2:$Y$374,AT$1,FALSE)*$Z500</f>
        <v>0</v>
      </c>
      <c r="AU500" s="3">
        <f>VLOOKUP($AB500,'2000 Seattle Tracts'!$C$2:$Y$374,AU$1,FALSE)*$Z500</f>
        <v>7.0038058086905296E-3</v>
      </c>
      <c r="AV500" s="3">
        <f>VLOOKUP($AB500,'2000 Seattle Tracts'!$C$2:$Y$374,AV$1,FALSE)*$Z500</f>
        <v>1.0299714424544896E-2</v>
      </c>
      <c r="AW500" s="3">
        <f>VLOOKUP($AB500,'2000 Seattle Tracts'!$C$2:$Y$374,AW$1,FALSE)*$Z500</f>
        <v>6.1798286547269377E-2</v>
      </c>
      <c r="AX500" s="3">
        <f>VLOOKUP($AB500,'2000 Seattle Tracts'!$C$2:$Y$374,AX$1,FALSE)*$Z500</f>
        <v>9.8877258475630996E-3</v>
      </c>
    </row>
    <row r="501" spans="1:50" x14ac:dyDescent="0.25">
      <c r="A501" t="s">
        <v>2917</v>
      </c>
      <c r="B501" t="s">
        <v>2918</v>
      </c>
      <c r="C501" t="s">
        <v>3308</v>
      </c>
      <c r="D501" t="s">
        <v>2743</v>
      </c>
      <c r="E501" t="s">
        <v>2744</v>
      </c>
      <c r="F501" t="s">
        <v>2745</v>
      </c>
      <c r="G501" t="s">
        <v>2920</v>
      </c>
      <c r="H501" t="s">
        <v>2921</v>
      </c>
      <c r="I501">
        <v>986207</v>
      </c>
      <c r="J501">
        <v>0</v>
      </c>
      <c r="K501" t="s">
        <v>3309</v>
      </c>
      <c r="L501" t="s">
        <v>3310</v>
      </c>
      <c r="M501">
        <v>31</v>
      </c>
      <c r="N501">
        <v>27120.785</v>
      </c>
      <c r="O501" t="s">
        <v>122</v>
      </c>
      <c r="P501">
        <v>6</v>
      </c>
      <c r="Q501">
        <v>9</v>
      </c>
      <c r="R501">
        <v>95</v>
      </c>
      <c r="S501">
        <v>32123118</v>
      </c>
      <c r="T501">
        <v>33</v>
      </c>
      <c r="U501">
        <v>126</v>
      </c>
      <c r="V501">
        <v>27120.785937968081</v>
      </c>
      <c r="W501">
        <v>32123117.878249042</v>
      </c>
      <c r="X501">
        <v>330135.57299999997</v>
      </c>
      <c r="Y501">
        <f>VLOOKUP(AB501,'2000 Seattle Tracts'!$C$2:$Z$374,24,FALSE)</f>
        <v>986206.95499999996</v>
      </c>
      <c r="Z501">
        <f t="shared" si="14"/>
        <v>0.3347528339018862</v>
      </c>
      <c r="AA501" t="s">
        <v>121</v>
      </c>
      <c r="AB501" t="str">
        <f t="shared" si="15"/>
        <v>Census Tract 29, King County, Washington</v>
      </c>
      <c r="AC501" s="3">
        <f>VLOOKUP($AB501,'2000 Seattle Tracts'!$C$2:$Y$374,AC$1,FALSE)*$Z501</f>
        <v>1333.6552902651147</v>
      </c>
      <c r="AD501" s="3">
        <f>VLOOKUP($AB501,'2000 Seattle Tracts'!$C$2:$Y$374,AD$1,FALSE)*$Z501</f>
        <v>1214.1485285621413</v>
      </c>
      <c r="AE501" s="3">
        <f>VLOOKUP($AB501,'2000 Seattle Tracts'!$C$2:$Y$374,AE$1,FALSE)*$Z501</f>
        <v>119.50676170297338</v>
      </c>
      <c r="AF501" s="3">
        <f>VLOOKUP($AB501,'2000 Seattle Tracts'!$C$2:$Y$374,AF$1,FALSE)*$Z501</f>
        <v>1333.6552902651147</v>
      </c>
      <c r="AG501" s="3">
        <f>VLOOKUP($AB501,'2000 Seattle Tracts'!$C$2:$Y$374,AG$1,FALSE)*$Z501</f>
        <v>1214.1485285621413</v>
      </c>
      <c r="AH501" s="3">
        <f>VLOOKUP($AB501,'2000 Seattle Tracts'!$C$2:$Y$374,AH$1,FALSE)*$Z501</f>
        <v>119.50676170297338</v>
      </c>
      <c r="AI501" s="3">
        <f>VLOOKUP($AB501,'2000 Seattle Tracts'!$C$2:$Y$374,AI$1,FALSE)*$Z501</f>
        <v>1114.7269368932812</v>
      </c>
      <c r="AJ501" s="3">
        <f>VLOOKUP($AB501,'2000 Seattle Tracts'!$C$2:$Y$374,AJ$1,FALSE)*$Z501</f>
        <v>55.234217593811223</v>
      </c>
      <c r="AK501" s="3">
        <f>VLOOKUP($AB501,'2000 Seattle Tracts'!$C$2:$Y$374,AK$1,FALSE)*$Z501</f>
        <v>19.750417200211285</v>
      </c>
      <c r="AL501" s="3">
        <f>VLOOKUP($AB501,'2000 Seattle Tracts'!$C$2:$Y$374,AL$1,FALSE)*$Z501</f>
        <v>5.6907981763320654</v>
      </c>
      <c r="AM501" s="3">
        <f>VLOOKUP($AB501,'2000 Seattle Tracts'!$C$2:$Y$374,AM$1,FALSE)*$Z501</f>
        <v>6.3603038441358377</v>
      </c>
      <c r="AN501" s="3">
        <f>VLOOKUP($AB501,'2000 Seattle Tracts'!$C$2:$Y$374,AN$1,FALSE)*$Z501</f>
        <v>2.0085170034113173</v>
      </c>
      <c r="AO501" s="3">
        <f>VLOOKUP($AB501,'2000 Seattle Tracts'!$C$2:$Y$374,AO$1,FALSE)*$Z501</f>
        <v>4.3517868407245208</v>
      </c>
      <c r="AP501" s="3">
        <f>VLOOKUP($AB501,'2000 Seattle Tracts'!$C$2:$Y$374,AP$1,FALSE)*$Z501</f>
        <v>0</v>
      </c>
      <c r="AQ501" s="3">
        <f>VLOOKUP($AB501,'2000 Seattle Tracts'!$C$2:$Y$374,AQ$1,FALSE)*$Z501</f>
        <v>13.055360522173562</v>
      </c>
      <c r="AR501" s="3">
        <f>VLOOKUP($AB501,'2000 Seattle Tracts'!$C$2:$Y$374,AR$1,FALSE)*$Z501</f>
        <v>40.170340068226345</v>
      </c>
      <c r="AS501" s="3">
        <f>VLOOKUP($AB501,'2000 Seattle Tracts'!$C$2:$Y$374,AS$1,FALSE)*$Z501</f>
        <v>0</v>
      </c>
      <c r="AT501" s="3">
        <f>VLOOKUP($AB501,'2000 Seattle Tracts'!$C$2:$Y$374,AT$1,FALSE)*$Z501</f>
        <v>0</v>
      </c>
      <c r="AU501" s="3">
        <f>VLOOKUP($AB501,'2000 Seattle Tracts'!$C$2:$Y$374,AU$1,FALSE)*$Z501</f>
        <v>5.6907981763320654</v>
      </c>
      <c r="AV501" s="3">
        <f>VLOOKUP($AB501,'2000 Seattle Tracts'!$C$2:$Y$374,AV$1,FALSE)*$Z501</f>
        <v>8.3688208475471555</v>
      </c>
      <c r="AW501" s="3">
        <f>VLOOKUP($AB501,'2000 Seattle Tracts'!$C$2:$Y$374,AW$1,FALSE)*$Z501</f>
        <v>50.212925085282933</v>
      </c>
      <c r="AX501" s="3">
        <f>VLOOKUP($AB501,'2000 Seattle Tracts'!$C$2:$Y$374,AX$1,FALSE)*$Z501</f>
        <v>8.0340680136452693</v>
      </c>
    </row>
    <row r="502" spans="1:50" x14ac:dyDescent="0.25">
      <c r="A502" t="s">
        <v>2917</v>
      </c>
      <c r="B502" t="s">
        <v>2918</v>
      </c>
      <c r="C502" t="s">
        <v>3308</v>
      </c>
      <c r="D502" t="s">
        <v>2743</v>
      </c>
      <c r="E502" t="s">
        <v>2744</v>
      </c>
      <c r="F502" t="s">
        <v>2745</v>
      </c>
      <c r="G502" t="s">
        <v>2920</v>
      </c>
      <c r="H502" t="s">
        <v>2921</v>
      </c>
      <c r="I502">
        <v>986207</v>
      </c>
      <c r="J502">
        <v>0</v>
      </c>
      <c r="K502" t="s">
        <v>3309</v>
      </c>
      <c r="L502" t="s">
        <v>3310</v>
      </c>
      <c r="M502">
        <v>118</v>
      </c>
      <c r="N502">
        <v>26501.526999999998</v>
      </c>
      <c r="O502" t="s">
        <v>122</v>
      </c>
      <c r="P502">
        <v>1</v>
      </c>
      <c r="Q502">
        <v>2</v>
      </c>
      <c r="R502">
        <v>19</v>
      </c>
      <c r="S502">
        <v>42044564</v>
      </c>
      <c r="T502">
        <v>120</v>
      </c>
      <c r="U502">
        <v>115</v>
      </c>
      <c r="V502">
        <v>26501.526591104928</v>
      </c>
      <c r="W502">
        <v>42044563.673184253</v>
      </c>
      <c r="X502">
        <v>655665.07799999998</v>
      </c>
      <c r="Y502">
        <f>VLOOKUP(AB502,'2000 Seattle Tracts'!$C$2:$Z$374,24,FALSE)</f>
        <v>986206.95499999996</v>
      </c>
      <c r="Z502">
        <f t="shared" si="14"/>
        <v>0.66483517954910387</v>
      </c>
      <c r="AA502" t="s">
        <v>221</v>
      </c>
      <c r="AB502" t="str">
        <f t="shared" si="15"/>
        <v>Census Tract 29, King County, Washington</v>
      </c>
      <c r="AC502" s="3">
        <f>VLOOKUP($AB502,'2000 Seattle Tracts'!$C$2:$Y$374,AC$1,FALSE)*$Z502</f>
        <v>2648.7033553236297</v>
      </c>
      <c r="AD502" s="3">
        <f>VLOOKUP($AB502,'2000 Seattle Tracts'!$C$2:$Y$374,AD$1,FALSE)*$Z502</f>
        <v>2411.3571962245996</v>
      </c>
      <c r="AE502" s="3">
        <f>VLOOKUP($AB502,'2000 Seattle Tracts'!$C$2:$Y$374,AE$1,FALSE)*$Z502</f>
        <v>237.34615909903007</v>
      </c>
      <c r="AF502" s="3">
        <f>VLOOKUP($AB502,'2000 Seattle Tracts'!$C$2:$Y$374,AF$1,FALSE)*$Z502</f>
        <v>2648.7033553236297</v>
      </c>
      <c r="AG502" s="3">
        <f>VLOOKUP($AB502,'2000 Seattle Tracts'!$C$2:$Y$374,AG$1,FALSE)*$Z502</f>
        <v>2411.3571962245996</v>
      </c>
      <c r="AH502" s="3">
        <f>VLOOKUP($AB502,'2000 Seattle Tracts'!$C$2:$Y$374,AH$1,FALSE)*$Z502</f>
        <v>237.34615909903007</v>
      </c>
      <c r="AI502" s="3">
        <f>VLOOKUP($AB502,'2000 Seattle Tracts'!$C$2:$Y$374,AI$1,FALSE)*$Z502</f>
        <v>2213.9011478985158</v>
      </c>
      <c r="AJ502" s="3">
        <f>VLOOKUP($AB502,'2000 Seattle Tracts'!$C$2:$Y$374,AJ$1,FALSE)*$Z502</f>
        <v>109.69780462560215</v>
      </c>
      <c r="AK502" s="3">
        <f>VLOOKUP($AB502,'2000 Seattle Tracts'!$C$2:$Y$374,AK$1,FALSE)*$Z502</f>
        <v>39.225275593397129</v>
      </c>
      <c r="AL502" s="3">
        <f>VLOOKUP($AB502,'2000 Seattle Tracts'!$C$2:$Y$374,AL$1,FALSE)*$Z502</f>
        <v>11.302198052334766</v>
      </c>
      <c r="AM502" s="3">
        <f>VLOOKUP($AB502,'2000 Seattle Tracts'!$C$2:$Y$374,AM$1,FALSE)*$Z502</f>
        <v>12.631868411432974</v>
      </c>
      <c r="AN502" s="3">
        <f>VLOOKUP($AB502,'2000 Seattle Tracts'!$C$2:$Y$374,AN$1,FALSE)*$Z502</f>
        <v>3.9890110772946232</v>
      </c>
      <c r="AO502" s="3">
        <f>VLOOKUP($AB502,'2000 Seattle Tracts'!$C$2:$Y$374,AO$1,FALSE)*$Z502</f>
        <v>8.6428573341383501</v>
      </c>
      <c r="AP502" s="3">
        <f>VLOOKUP($AB502,'2000 Seattle Tracts'!$C$2:$Y$374,AP$1,FALSE)*$Z502</f>
        <v>0</v>
      </c>
      <c r="AQ502" s="3">
        <f>VLOOKUP($AB502,'2000 Seattle Tracts'!$C$2:$Y$374,AQ$1,FALSE)*$Z502</f>
        <v>25.928572002415052</v>
      </c>
      <c r="AR502" s="3">
        <f>VLOOKUP($AB502,'2000 Seattle Tracts'!$C$2:$Y$374,AR$1,FALSE)*$Z502</f>
        <v>79.780221545892459</v>
      </c>
      <c r="AS502" s="3">
        <f>VLOOKUP($AB502,'2000 Seattle Tracts'!$C$2:$Y$374,AS$1,FALSE)*$Z502</f>
        <v>0</v>
      </c>
      <c r="AT502" s="3">
        <f>VLOOKUP($AB502,'2000 Seattle Tracts'!$C$2:$Y$374,AT$1,FALSE)*$Z502</f>
        <v>0</v>
      </c>
      <c r="AU502" s="3">
        <f>VLOOKUP($AB502,'2000 Seattle Tracts'!$C$2:$Y$374,AU$1,FALSE)*$Z502</f>
        <v>11.302198052334766</v>
      </c>
      <c r="AV502" s="3">
        <f>VLOOKUP($AB502,'2000 Seattle Tracts'!$C$2:$Y$374,AV$1,FALSE)*$Z502</f>
        <v>16.620879488727596</v>
      </c>
      <c r="AW502" s="3">
        <f>VLOOKUP($AB502,'2000 Seattle Tracts'!$C$2:$Y$374,AW$1,FALSE)*$Z502</f>
        <v>99.725276932365574</v>
      </c>
      <c r="AX502" s="3">
        <f>VLOOKUP($AB502,'2000 Seattle Tracts'!$C$2:$Y$374,AX$1,FALSE)*$Z502</f>
        <v>15.956044309178493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FB853-3EA0-4638-9A71-761C6E74CD73}">
  <dimension ref="A1:AH399"/>
  <sheetViews>
    <sheetView topLeftCell="O1" workbookViewId="0">
      <selection activeCell="AG4" sqref="AG4"/>
    </sheetView>
  </sheetViews>
  <sheetFormatPr defaultRowHeight="15" x14ac:dyDescent="0.25"/>
  <cols>
    <col min="3" max="3" width="43.5703125" customWidth="1"/>
    <col min="32" max="32" width="19.42578125" customWidth="1"/>
    <col min="33" max="33" width="31.42578125" customWidth="1"/>
  </cols>
  <sheetData>
    <row r="1" spans="1:34" x14ac:dyDescent="0.25">
      <c r="A1" t="s">
        <v>1608</v>
      </c>
      <c r="B1" t="s">
        <v>1609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233</v>
      </c>
      <c r="L1" t="s">
        <v>234</v>
      </c>
      <c r="M1" t="s">
        <v>235</v>
      </c>
      <c r="N1" t="s">
        <v>236</v>
      </c>
      <c r="O1" t="s">
        <v>237</v>
      </c>
      <c r="P1" t="s">
        <v>238</v>
      </c>
      <c r="Q1" t="s">
        <v>239</v>
      </c>
      <c r="R1" t="s">
        <v>240</v>
      </c>
      <c r="S1" t="s">
        <v>241</v>
      </c>
      <c r="T1" t="s">
        <v>242</v>
      </c>
      <c r="U1" t="s">
        <v>243</v>
      </c>
      <c r="V1" t="s">
        <v>244</v>
      </c>
      <c r="W1" t="s">
        <v>245</v>
      </c>
      <c r="X1" t="s">
        <v>246</v>
      </c>
      <c r="Y1" t="s">
        <v>247</v>
      </c>
      <c r="Z1" t="s">
        <v>2894</v>
      </c>
      <c r="AD1" t="s">
        <v>0</v>
      </c>
      <c r="AE1" t="s">
        <v>1</v>
      </c>
      <c r="AF1" t="s">
        <v>2496</v>
      </c>
      <c r="AH1" t="s">
        <v>2893</v>
      </c>
    </row>
    <row r="2" spans="1:34" x14ac:dyDescent="0.25">
      <c r="A2" t="s">
        <v>1610</v>
      </c>
      <c r="B2">
        <v>53033000100</v>
      </c>
      <c r="C2" t="s">
        <v>1611</v>
      </c>
      <c r="D2">
        <v>7963</v>
      </c>
      <c r="E2">
        <v>5399</v>
      </c>
      <c r="F2">
        <v>2564</v>
      </c>
      <c r="G2">
        <v>7963</v>
      </c>
      <c r="H2">
        <v>5399</v>
      </c>
      <c r="I2">
        <v>2564</v>
      </c>
      <c r="J2">
        <v>3513</v>
      </c>
      <c r="K2">
        <v>784</v>
      </c>
      <c r="L2">
        <v>203</v>
      </c>
      <c r="M2">
        <v>117</v>
      </c>
      <c r="N2">
        <v>636</v>
      </c>
      <c r="O2">
        <v>523</v>
      </c>
      <c r="P2">
        <v>52</v>
      </c>
      <c r="Q2">
        <v>13</v>
      </c>
      <c r="R2">
        <v>211</v>
      </c>
      <c r="S2">
        <v>835</v>
      </c>
      <c r="T2">
        <v>29</v>
      </c>
      <c r="U2">
        <v>62</v>
      </c>
      <c r="V2">
        <v>173</v>
      </c>
      <c r="W2">
        <v>154</v>
      </c>
      <c r="X2">
        <v>582</v>
      </c>
      <c r="Y2">
        <v>76</v>
      </c>
      <c r="Z2">
        <f>VLOOKUP(C2,$AG$2:$AH$133,2,FALSE)</f>
        <v>1851648.6140000001</v>
      </c>
      <c r="AD2" t="s">
        <v>2497</v>
      </c>
      <c r="AE2" t="s">
        <v>2498</v>
      </c>
      <c r="AF2" t="s">
        <v>2499</v>
      </c>
      <c r="AG2" t="str">
        <f>_xlfn.CONCAT(AF2, ", King County, Washington")</f>
        <v>Census Tract 99, King County, Washington</v>
      </c>
      <c r="AH2">
        <v>6506273.2400000002</v>
      </c>
    </row>
    <row r="3" spans="1:34" x14ac:dyDescent="0.25">
      <c r="A3" t="s">
        <v>1612</v>
      </c>
      <c r="B3">
        <v>53033000200</v>
      </c>
      <c r="C3" t="s">
        <v>1613</v>
      </c>
      <c r="D3">
        <v>7973</v>
      </c>
      <c r="E3">
        <v>5820</v>
      </c>
      <c r="F3">
        <v>2153</v>
      </c>
      <c r="G3">
        <v>7973</v>
      </c>
      <c r="H3">
        <v>5820</v>
      </c>
      <c r="I3">
        <v>2153</v>
      </c>
      <c r="J3">
        <v>4502</v>
      </c>
      <c r="K3">
        <v>541</v>
      </c>
      <c r="L3">
        <v>170</v>
      </c>
      <c r="M3">
        <v>212</v>
      </c>
      <c r="N3">
        <v>104</v>
      </c>
      <c r="O3">
        <v>241</v>
      </c>
      <c r="P3">
        <v>104</v>
      </c>
      <c r="Q3">
        <v>0</v>
      </c>
      <c r="R3">
        <v>351</v>
      </c>
      <c r="S3">
        <v>955</v>
      </c>
      <c r="T3">
        <v>0</v>
      </c>
      <c r="U3">
        <v>0</v>
      </c>
      <c r="V3">
        <v>253</v>
      </c>
      <c r="W3">
        <v>1</v>
      </c>
      <c r="X3">
        <v>336</v>
      </c>
      <c r="Y3">
        <v>203</v>
      </c>
      <c r="Z3">
        <f t="shared" ref="Z3:Z66" si="0">VLOOKUP(C3,$AG$2:$AH$133,2,FALSE)</f>
        <v>3285629.4550000001</v>
      </c>
      <c r="AD3" t="s">
        <v>2500</v>
      </c>
      <c r="AE3" t="s">
        <v>2501</v>
      </c>
      <c r="AF3" t="s">
        <v>2502</v>
      </c>
      <c r="AG3" t="str">
        <f t="shared" ref="AG3:AG66" si="1">_xlfn.CONCAT(AF3, ", King County, Washington")</f>
        <v>Census Tract 98, King County, Washington</v>
      </c>
      <c r="AH3">
        <v>1930637.115</v>
      </c>
    </row>
    <row r="4" spans="1:34" x14ac:dyDescent="0.25">
      <c r="A4" t="s">
        <v>1614</v>
      </c>
      <c r="B4">
        <v>53033000300</v>
      </c>
      <c r="C4" t="s">
        <v>1615</v>
      </c>
      <c r="D4">
        <v>2822</v>
      </c>
      <c r="E4">
        <v>2402</v>
      </c>
      <c r="F4">
        <v>420</v>
      </c>
      <c r="G4">
        <v>2822</v>
      </c>
      <c r="H4">
        <v>2402</v>
      </c>
      <c r="I4">
        <v>420</v>
      </c>
      <c r="J4">
        <v>1941</v>
      </c>
      <c r="K4">
        <v>139</v>
      </c>
      <c r="L4">
        <v>43</v>
      </c>
      <c r="M4">
        <v>28</v>
      </c>
      <c r="N4">
        <v>98</v>
      </c>
      <c r="O4">
        <v>48</v>
      </c>
      <c r="P4">
        <v>0</v>
      </c>
      <c r="Q4">
        <v>0</v>
      </c>
      <c r="R4">
        <v>146</v>
      </c>
      <c r="S4">
        <v>168</v>
      </c>
      <c r="T4">
        <v>23</v>
      </c>
      <c r="U4">
        <v>7</v>
      </c>
      <c r="V4">
        <v>0</v>
      </c>
      <c r="W4">
        <v>0</v>
      </c>
      <c r="X4">
        <v>151</v>
      </c>
      <c r="Y4">
        <v>30</v>
      </c>
      <c r="Z4">
        <f t="shared" si="0"/>
        <v>1211014.287</v>
      </c>
      <c r="AD4" t="s">
        <v>2503</v>
      </c>
      <c r="AE4" t="s">
        <v>2504</v>
      </c>
      <c r="AF4" t="s">
        <v>2505</v>
      </c>
      <c r="AG4" t="str">
        <f t="shared" si="1"/>
        <v>Census Tract 97.02, King County, Washington</v>
      </c>
      <c r="AH4">
        <v>2219066.1030000001</v>
      </c>
    </row>
    <row r="5" spans="1:34" x14ac:dyDescent="0.25">
      <c r="A5" t="s">
        <v>1616</v>
      </c>
      <c r="B5">
        <v>53033000401</v>
      </c>
      <c r="C5" t="s">
        <v>1617</v>
      </c>
      <c r="D5">
        <v>6721</v>
      </c>
      <c r="E5">
        <v>4944</v>
      </c>
      <c r="F5">
        <v>1777</v>
      </c>
      <c r="G5">
        <v>6721</v>
      </c>
      <c r="H5">
        <v>4944</v>
      </c>
      <c r="I5">
        <v>1777</v>
      </c>
      <c r="J5">
        <v>3313</v>
      </c>
      <c r="K5">
        <v>280</v>
      </c>
      <c r="L5">
        <v>212</v>
      </c>
      <c r="M5">
        <v>271</v>
      </c>
      <c r="N5">
        <v>542</v>
      </c>
      <c r="O5">
        <v>376</v>
      </c>
      <c r="P5">
        <v>29</v>
      </c>
      <c r="Q5">
        <v>0</v>
      </c>
      <c r="R5">
        <v>432</v>
      </c>
      <c r="S5">
        <v>776</v>
      </c>
      <c r="T5">
        <v>0</v>
      </c>
      <c r="U5">
        <v>0</v>
      </c>
      <c r="V5">
        <v>0</v>
      </c>
      <c r="W5">
        <v>0</v>
      </c>
      <c r="X5">
        <v>416</v>
      </c>
      <c r="Y5">
        <v>74</v>
      </c>
      <c r="Z5">
        <f t="shared" si="0"/>
        <v>1286149.0360000001</v>
      </c>
      <c r="AD5" t="s">
        <v>2506</v>
      </c>
      <c r="AE5" t="s">
        <v>2507</v>
      </c>
      <c r="AF5" t="s">
        <v>2508</v>
      </c>
      <c r="AG5" t="str">
        <f t="shared" si="1"/>
        <v>Census Tract 97.01, King County, Washington</v>
      </c>
      <c r="AH5">
        <v>1757148.1340000001</v>
      </c>
    </row>
    <row r="6" spans="1:34" x14ac:dyDescent="0.25">
      <c r="A6" t="s">
        <v>1618</v>
      </c>
      <c r="B6">
        <v>53033000402</v>
      </c>
      <c r="C6" t="s">
        <v>1619</v>
      </c>
      <c r="D6">
        <v>5300</v>
      </c>
      <c r="E6">
        <v>4664</v>
      </c>
      <c r="F6">
        <v>636</v>
      </c>
      <c r="G6">
        <v>5300</v>
      </c>
      <c r="H6">
        <v>4664</v>
      </c>
      <c r="I6">
        <v>636</v>
      </c>
      <c r="J6">
        <v>3971</v>
      </c>
      <c r="K6">
        <v>170</v>
      </c>
      <c r="L6">
        <v>72</v>
      </c>
      <c r="M6">
        <v>92</v>
      </c>
      <c r="N6">
        <v>179</v>
      </c>
      <c r="O6">
        <v>0</v>
      </c>
      <c r="P6">
        <v>15</v>
      </c>
      <c r="Q6">
        <v>0</v>
      </c>
      <c r="R6">
        <v>213</v>
      </c>
      <c r="S6">
        <v>195</v>
      </c>
      <c r="T6">
        <v>39</v>
      </c>
      <c r="U6">
        <v>6</v>
      </c>
      <c r="V6">
        <v>0</v>
      </c>
      <c r="W6">
        <v>78</v>
      </c>
      <c r="X6">
        <v>175</v>
      </c>
      <c r="Y6">
        <v>95</v>
      </c>
      <c r="Z6">
        <f t="shared" si="0"/>
        <v>1798933.85</v>
      </c>
      <c r="AD6" t="s">
        <v>2509</v>
      </c>
      <c r="AE6" t="s">
        <v>2510</v>
      </c>
      <c r="AF6" t="s">
        <v>2511</v>
      </c>
      <c r="AG6" t="str">
        <f t="shared" si="1"/>
        <v>Census Tract 96, King County, Washington</v>
      </c>
      <c r="AH6">
        <v>1777292.192</v>
      </c>
    </row>
    <row r="7" spans="1:34" x14ac:dyDescent="0.25">
      <c r="A7" t="s">
        <v>1620</v>
      </c>
      <c r="B7">
        <v>53033000500</v>
      </c>
      <c r="C7" t="s">
        <v>1621</v>
      </c>
      <c r="D7">
        <v>3052</v>
      </c>
      <c r="E7">
        <v>2725</v>
      </c>
      <c r="F7">
        <v>327</v>
      </c>
      <c r="G7">
        <v>3052</v>
      </c>
      <c r="H7">
        <v>2725</v>
      </c>
      <c r="I7">
        <v>327</v>
      </c>
      <c r="J7">
        <v>2352</v>
      </c>
      <c r="K7">
        <v>95</v>
      </c>
      <c r="L7">
        <v>80</v>
      </c>
      <c r="M7">
        <v>23</v>
      </c>
      <c r="N7">
        <v>22</v>
      </c>
      <c r="O7">
        <v>18</v>
      </c>
      <c r="P7">
        <v>0</v>
      </c>
      <c r="Q7">
        <v>0</v>
      </c>
      <c r="R7">
        <v>152</v>
      </c>
      <c r="S7">
        <v>159</v>
      </c>
      <c r="T7">
        <v>0</v>
      </c>
      <c r="U7">
        <v>0</v>
      </c>
      <c r="V7">
        <v>0</v>
      </c>
      <c r="W7">
        <v>0</v>
      </c>
      <c r="X7">
        <v>119</v>
      </c>
      <c r="Y7">
        <v>32</v>
      </c>
      <c r="Z7">
        <f t="shared" si="0"/>
        <v>2791881.8909999998</v>
      </c>
      <c r="AD7" t="s">
        <v>2512</v>
      </c>
      <c r="AE7" t="s">
        <v>2513</v>
      </c>
      <c r="AF7" t="s">
        <v>2514</v>
      </c>
      <c r="AG7" t="str">
        <f t="shared" si="1"/>
        <v>Census Tract 95, King County, Washington</v>
      </c>
      <c r="AH7">
        <v>2523824.7030000002</v>
      </c>
    </row>
    <row r="8" spans="1:34" x14ac:dyDescent="0.25">
      <c r="A8" t="s">
        <v>1622</v>
      </c>
      <c r="B8">
        <v>53033000600</v>
      </c>
      <c r="C8" t="s">
        <v>1623</v>
      </c>
      <c r="D8">
        <v>8061</v>
      </c>
      <c r="E8">
        <v>6354</v>
      </c>
      <c r="F8">
        <v>1707</v>
      </c>
      <c r="G8">
        <v>8061</v>
      </c>
      <c r="H8">
        <v>6354</v>
      </c>
      <c r="I8">
        <v>1707</v>
      </c>
      <c r="J8">
        <v>4633</v>
      </c>
      <c r="K8">
        <v>416</v>
      </c>
      <c r="L8">
        <v>103</v>
      </c>
      <c r="M8">
        <v>59</v>
      </c>
      <c r="N8">
        <v>661</v>
      </c>
      <c r="O8">
        <v>164</v>
      </c>
      <c r="P8">
        <v>66</v>
      </c>
      <c r="Q8">
        <v>0</v>
      </c>
      <c r="R8">
        <v>202</v>
      </c>
      <c r="S8">
        <v>725</v>
      </c>
      <c r="T8">
        <v>0</v>
      </c>
      <c r="U8">
        <v>0</v>
      </c>
      <c r="V8">
        <v>265</v>
      </c>
      <c r="W8">
        <v>343</v>
      </c>
      <c r="X8">
        <v>424</v>
      </c>
      <c r="Y8">
        <v>0</v>
      </c>
      <c r="Z8">
        <f t="shared" si="0"/>
        <v>3779676.12</v>
      </c>
      <c r="AD8" t="s">
        <v>2515</v>
      </c>
      <c r="AE8" t="s">
        <v>2516</v>
      </c>
      <c r="AF8" t="s">
        <v>2517</v>
      </c>
      <c r="AG8" t="str">
        <f t="shared" si="1"/>
        <v>Census Tract 94, King County, Washington</v>
      </c>
      <c r="AH8">
        <v>1723071.2120000001</v>
      </c>
    </row>
    <row r="9" spans="1:34" x14ac:dyDescent="0.25">
      <c r="A9" t="s">
        <v>1624</v>
      </c>
      <c r="B9">
        <v>53033000700</v>
      </c>
      <c r="C9" t="s">
        <v>1625</v>
      </c>
      <c r="D9">
        <v>4854</v>
      </c>
      <c r="E9">
        <v>3408</v>
      </c>
      <c r="F9">
        <v>1446</v>
      </c>
      <c r="G9">
        <v>4854</v>
      </c>
      <c r="H9">
        <v>3408</v>
      </c>
      <c r="I9">
        <v>1446</v>
      </c>
      <c r="J9">
        <v>2370</v>
      </c>
      <c r="K9">
        <v>189</v>
      </c>
      <c r="L9">
        <v>188</v>
      </c>
      <c r="M9">
        <v>142</v>
      </c>
      <c r="N9">
        <v>303</v>
      </c>
      <c r="O9">
        <v>334</v>
      </c>
      <c r="P9">
        <v>16</v>
      </c>
      <c r="Q9">
        <v>0</v>
      </c>
      <c r="R9">
        <v>255</v>
      </c>
      <c r="S9">
        <v>594</v>
      </c>
      <c r="T9">
        <v>71</v>
      </c>
      <c r="U9">
        <v>41</v>
      </c>
      <c r="V9">
        <v>57</v>
      </c>
      <c r="W9">
        <v>124</v>
      </c>
      <c r="X9">
        <v>148</v>
      </c>
      <c r="Y9">
        <v>22</v>
      </c>
      <c r="Z9">
        <f t="shared" si="0"/>
        <v>1294679.0989999999</v>
      </c>
      <c r="AD9" t="s">
        <v>2518</v>
      </c>
      <c r="AE9" t="s">
        <v>2519</v>
      </c>
      <c r="AF9" t="s">
        <v>2520</v>
      </c>
      <c r="AG9" t="str">
        <f t="shared" si="1"/>
        <v>Census Tract 93, King County, Washington</v>
      </c>
      <c r="AH9">
        <v>9448598.8049999997</v>
      </c>
    </row>
    <row r="10" spans="1:34" x14ac:dyDescent="0.25">
      <c r="A10" t="s">
        <v>1626</v>
      </c>
      <c r="B10">
        <v>53033000800</v>
      </c>
      <c r="C10" t="s">
        <v>1627</v>
      </c>
      <c r="D10">
        <v>2582</v>
      </c>
      <c r="E10">
        <v>2334</v>
      </c>
      <c r="F10">
        <v>248</v>
      </c>
      <c r="G10">
        <v>2582</v>
      </c>
      <c r="H10">
        <v>2334</v>
      </c>
      <c r="I10">
        <v>248</v>
      </c>
      <c r="J10">
        <v>1994</v>
      </c>
      <c r="K10">
        <v>115</v>
      </c>
      <c r="L10">
        <v>0</v>
      </c>
      <c r="M10">
        <v>0</v>
      </c>
      <c r="N10">
        <v>65</v>
      </c>
      <c r="O10">
        <v>15</v>
      </c>
      <c r="P10">
        <v>0</v>
      </c>
      <c r="Q10">
        <v>0</v>
      </c>
      <c r="R10">
        <v>119</v>
      </c>
      <c r="S10">
        <v>110</v>
      </c>
      <c r="T10">
        <v>0</v>
      </c>
      <c r="U10">
        <v>0</v>
      </c>
      <c r="V10">
        <v>0</v>
      </c>
      <c r="W10">
        <v>0</v>
      </c>
      <c r="X10">
        <v>156</v>
      </c>
      <c r="Y10">
        <v>8</v>
      </c>
      <c r="Z10">
        <f t="shared" si="0"/>
        <v>1141570.7069999999</v>
      </c>
      <c r="AD10" t="s">
        <v>2521</v>
      </c>
      <c r="AE10" t="s">
        <v>2522</v>
      </c>
      <c r="AF10" t="s">
        <v>2523</v>
      </c>
      <c r="AG10" t="str">
        <f t="shared" si="1"/>
        <v>Census Tract 92, King County, Washington</v>
      </c>
      <c r="AH10">
        <v>305237.72899999999</v>
      </c>
    </row>
    <row r="11" spans="1:34" x14ac:dyDescent="0.25">
      <c r="A11" t="s">
        <v>1628</v>
      </c>
      <c r="B11">
        <v>53033000900</v>
      </c>
      <c r="C11" t="s">
        <v>1629</v>
      </c>
      <c r="D11">
        <v>1972</v>
      </c>
      <c r="E11">
        <v>1705</v>
      </c>
      <c r="F11">
        <v>267</v>
      </c>
      <c r="G11">
        <v>1972</v>
      </c>
      <c r="H11">
        <v>1705</v>
      </c>
      <c r="I11">
        <v>267</v>
      </c>
      <c r="J11">
        <v>1441</v>
      </c>
      <c r="K11">
        <v>108</v>
      </c>
      <c r="L11">
        <v>32</v>
      </c>
      <c r="M11">
        <v>21</v>
      </c>
      <c r="N11">
        <v>22</v>
      </c>
      <c r="O11">
        <v>0</v>
      </c>
      <c r="P11">
        <v>6</v>
      </c>
      <c r="Q11">
        <v>24</v>
      </c>
      <c r="R11">
        <v>109</v>
      </c>
      <c r="S11">
        <v>107</v>
      </c>
      <c r="T11">
        <v>33</v>
      </c>
      <c r="U11">
        <v>0</v>
      </c>
      <c r="V11">
        <v>11</v>
      </c>
      <c r="W11">
        <v>0</v>
      </c>
      <c r="X11">
        <v>51</v>
      </c>
      <c r="Y11">
        <v>7</v>
      </c>
      <c r="Z11">
        <f t="shared" si="0"/>
        <v>962511.60800000001</v>
      </c>
      <c r="AD11" t="s">
        <v>2524</v>
      </c>
      <c r="AE11" t="s">
        <v>2525</v>
      </c>
      <c r="AF11" t="s">
        <v>2526</v>
      </c>
      <c r="AG11" t="str">
        <f t="shared" si="1"/>
        <v>Census Tract 91, King County, Washington</v>
      </c>
      <c r="AH11">
        <v>418832.28100000002</v>
      </c>
    </row>
    <row r="12" spans="1:34" x14ac:dyDescent="0.25">
      <c r="A12" t="s">
        <v>1630</v>
      </c>
      <c r="B12">
        <v>53033001000</v>
      </c>
      <c r="C12" t="s">
        <v>1631</v>
      </c>
      <c r="D12">
        <v>1982</v>
      </c>
      <c r="E12">
        <v>1596</v>
      </c>
      <c r="F12">
        <v>386</v>
      </c>
      <c r="G12">
        <v>1982</v>
      </c>
      <c r="H12">
        <v>1596</v>
      </c>
      <c r="I12">
        <v>386</v>
      </c>
      <c r="J12">
        <v>1230</v>
      </c>
      <c r="K12">
        <v>93</v>
      </c>
      <c r="L12">
        <v>17</v>
      </c>
      <c r="M12">
        <v>13</v>
      </c>
      <c r="N12">
        <v>170</v>
      </c>
      <c r="O12">
        <v>99</v>
      </c>
      <c r="P12">
        <v>0</v>
      </c>
      <c r="Q12">
        <v>0</v>
      </c>
      <c r="R12">
        <v>56</v>
      </c>
      <c r="S12">
        <v>181</v>
      </c>
      <c r="T12">
        <v>0</v>
      </c>
      <c r="U12">
        <v>0</v>
      </c>
      <c r="V12">
        <v>6</v>
      </c>
      <c r="W12">
        <v>0</v>
      </c>
      <c r="X12">
        <v>117</v>
      </c>
      <c r="Y12">
        <v>0</v>
      </c>
      <c r="Z12">
        <f t="shared" si="0"/>
        <v>954472.44799999997</v>
      </c>
      <c r="AD12" t="s">
        <v>2527</v>
      </c>
      <c r="AE12" t="s">
        <v>2528</v>
      </c>
      <c r="AF12" t="s">
        <v>2529</v>
      </c>
      <c r="AG12" t="str">
        <f t="shared" si="1"/>
        <v>Census Tract 90, King County, Washington</v>
      </c>
      <c r="AH12">
        <v>820732.11199999996</v>
      </c>
    </row>
    <row r="13" spans="1:34" x14ac:dyDescent="0.25">
      <c r="A13" t="s">
        <v>1632</v>
      </c>
      <c r="B13">
        <v>53033001100</v>
      </c>
      <c r="C13" t="s">
        <v>1633</v>
      </c>
      <c r="D13">
        <v>2791</v>
      </c>
      <c r="E13">
        <v>2250</v>
      </c>
      <c r="F13">
        <v>541</v>
      </c>
      <c r="G13">
        <v>2791</v>
      </c>
      <c r="H13">
        <v>2250</v>
      </c>
      <c r="I13">
        <v>541</v>
      </c>
      <c r="J13">
        <v>1866</v>
      </c>
      <c r="K13">
        <v>153</v>
      </c>
      <c r="L13">
        <v>69</v>
      </c>
      <c r="M13">
        <v>20</v>
      </c>
      <c r="N13">
        <v>8</v>
      </c>
      <c r="O13">
        <v>0</v>
      </c>
      <c r="P13">
        <v>0</v>
      </c>
      <c r="Q13">
        <v>0</v>
      </c>
      <c r="R13">
        <v>111</v>
      </c>
      <c r="S13">
        <v>317</v>
      </c>
      <c r="T13">
        <v>0</v>
      </c>
      <c r="U13">
        <v>0</v>
      </c>
      <c r="V13">
        <v>48</v>
      </c>
      <c r="W13">
        <v>51</v>
      </c>
      <c r="X13">
        <v>148</v>
      </c>
      <c r="Y13">
        <v>0</v>
      </c>
      <c r="Z13">
        <f t="shared" si="0"/>
        <v>1060421.014</v>
      </c>
      <c r="AD13" t="s">
        <v>2530</v>
      </c>
      <c r="AE13" t="s">
        <v>2531</v>
      </c>
      <c r="AF13" t="s">
        <v>2532</v>
      </c>
      <c r="AG13" t="str">
        <f t="shared" si="1"/>
        <v>Census Tract 9, King County, Washington</v>
      </c>
      <c r="AH13">
        <v>962511.60800000001</v>
      </c>
    </row>
    <row r="14" spans="1:34" x14ac:dyDescent="0.25">
      <c r="A14" t="s">
        <v>1634</v>
      </c>
      <c r="B14">
        <v>53033001200</v>
      </c>
      <c r="C14" t="s">
        <v>1635</v>
      </c>
      <c r="D14">
        <v>7024</v>
      </c>
      <c r="E14">
        <v>4797</v>
      </c>
      <c r="F14">
        <v>2227</v>
      </c>
      <c r="G14">
        <v>7024</v>
      </c>
      <c r="H14">
        <v>4797</v>
      </c>
      <c r="I14">
        <v>2227</v>
      </c>
      <c r="J14">
        <v>3210</v>
      </c>
      <c r="K14">
        <v>957</v>
      </c>
      <c r="L14">
        <v>252</v>
      </c>
      <c r="M14">
        <v>14</v>
      </c>
      <c r="N14">
        <v>197</v>
      </c>
      <c r="O14">
        <v>236</v>
      </c>
      <c r="P14">
        <v>16</v>
      </c>
      <c r="Q14">
        <v>28</v>
      </c>
      <c r="R14">
        <v>500</v>
      </c>
      <c r="S14">
        <v>754</v>
      </c>
      <c r="T14">
        <v>0</v>
      </c>
      <c r="U14">
        <v>0</v>
      </c>
      <c r="V14">
        <v>195</v>
      </c>
      <c r="W14">
        <v>118</v>
      </c>
      <c r="X14">
        <v>427</v>
      </c>
      <c r="Y14">
        <v>120</v>
      </c>
      <c r="Z14">
        <f t="shared" si="0"/>
        <v>1834057.2039999999</v>
      </c>
      <c r="AD14" t="s">
        <v>2533</v>
      </c>
      <c r="AE14" t="s">
        <v>2534</v>
      </c>
      <c r="AF14" t="s">
        <v>2535</v>
      </c>
      <c r="AG14" t="str">
        <f t="shared" si="1"/>
        <v>Census Tract 89, King County, Washington</v>
      </c>
      <c r="AH14">
        <v>1267801.9820000001</v>
      </c>
    </row>
    <row r="15" spans="1:34" x14ac:dyDescent="0.25">
      <c r="A15" t="s">
        <v>1636</v>
      </c>
      <c r="B15">
        <v>53033001300</v>
      </c>
      <c r="C15" t="s">
        <v>1637</v>
      </c>
      <c r="D15">
        <v>4468</v>
      </c>
      <c r="E15">
        <v>3382</v>
      </c>
      <c r="F15">
        <v>1086</v>
      </c>
      <c r="G15">
        <v>4468</v>
      </c>
      <c r="H15">
        <v>3382</v>
      </c>
      <c r="I15">
        <v>1086</v>
      </c>
      <c r="J15">
        <v>2344</v>
      </c>
      <c r="K15">
        <v>143</v>
      </c>
      <c r="L15">
        <v>217</v>
      </c>
      <c r="M15">
        <v>82</v>
      </c>
      <c r="N15">
        <v>79</v>
      </c>
      <c r="O15">
        <v>94</v>
      </c>
      <c r="P15">
        <v>0</v>
      </c>
      <c r="Q15">
        <v>0</v>
      </c>
      <c r="R15">
        <v>372</v>
      </c>
      <c r="S15">
        <v>667</v>
      </c>
      <c r="T15">
        <v>0</v>
      </c>
      <c r="U15">
        <v>0</v>
      </c>
      <c r="V15">
        <v>96</v>
      </c>
      <c r="W15">
        <v>84</v>
      </c>
      <c r="X15">
        <v>274</v>
      </c>
      <c r="Y15">
        <v>16</v>
      </c>
      <c r="Z15">
        <f t="shared" si="0"/>
        <v>1183907.3570000001</v>
      </c>
      <c r="AD15" t="s">
        <v>2536</v>
      </c>
      <c r="AE15" t="s">
        <v>2537</v>
      </c>
      <c r="AF15" t="s">
        <v>2538</v>
      </c>
      <c r="AG15" t="str">
        <f t="shared" si="1"/>
        <v>Census Tract 88, King County, Washington</v>
      </c>
      <c r="AH15">
        <v>948580.94799999997</v>
      </c>
    </row>
    <row r="16" spans="1:34" x14ac:dyDescent="0.25">
      <c r="A16" t="s">
        <v>1638</v>
      </c>
      <c r="B16">
        <v>53033001400</v>
      </c>
      <c r="C16" t="s">
        <v>1639</v>
      </c>
      <c r="D16">
        <v>5550</v>
      </c>
      <c r="E16">
        <v>4560</v>
      </c>
      <c r="F16">
        <v>990</v>
      </c>
      <c r="G16">
        <v>5550</v>
      </c>
      <c r="H16">
        <v>4560</v>
      </c>
      <c r="I16">
        <v>990</v>
      </c>
      <c r="J16">
        <v>3828</v>
      </c>
      <c r="K16">
        <v>262</v>
      </c>
      <c r="L16">
        <v>91</v>
      </c>
      <c r="M16">
        <v>50</v>
      </c>
      <c r="N16">
        <v>40</v>
      </c>
      <c r="O16">
        <v>0</v>
      </c>
      <c r="P16">
        <v>39</v>
      </c>
      <c r="Q16">
        <v>0</v>
      </c>
      <c r="R16">
        <v>118</v>
      </c>
      <c r="S16">
        <v>418</v>
      </c>
      <c r="T16">
        <v>0</v>
      </c>
      <c r="U16">
        <v>0</v>
      </c>
      <c r="V16">
        <v>101</v>
      </c>
      <c r="W16">
        <v>9</v>
      </c>
      <c r="X16">
        <v>343</v>
      </c>
      <c r="Y16">
        <v>251</v>
      </c>
      <c r="Z16">
        <f t="shared" si="0"/>
        <v>2125862.452</v>
      </c>
      <c r="AD16" t="s">
        <v>2539</v>
      </c>
      <c r="AE16" t="s">
        <v>2540</v>
      </c>
      <c r="AF16" t="s">
        <v>2541</v>
      </c>
      <c r="AG16" t="str">
        <f t="shared" si="1"/>
        <v>Census Tract 87, King County, Washington</v>
      </c>
      <c r="AH16">
        <v>732385.51300000004</v>
      </c>
    </row>
    <row r="17" spans="1:34" x14ac:dyDescent="0.25">
      <c r="A17" t="s">
        <v>1640</v>
      </c>
      <c r="B17">
        <v>53033001500</v>
      </c>
      <c r="C17" t="s">
        <v>1641</v>
      </c>
      <c r="D17">
        <v>2548</v>
      </c>
      <c r="E17">
        <v>2296</v>
      </c>
      <c r="F17">
        <v>252</v>
      </c>
      <c r="G17">
        <v>2548</v>
      </c>
      <c r="H17">
        <v>2296</v>
      </c>
      <c r="I17">
        <v>252</v>
      </c>
      <c r="J17">
        <v>2109</v>
      </c>
      <c r="K17">
        <v>160</v>
      </c>
      <c r="L17">
        <v>41</v>
      </c>
      <c r="M17">
        <v>0</v>
      </c>
      <c r="N17">
        <v>0</v>
      </c>
      <c r="O17">
        <v>0</v>
      </c>
      <c r="P17">
        <v>7</v>
      </c>
      <c r="Q17">
        <v>0</v>
      </c>
      <c r="R17">
        <v>60</v>
      </c>
      <c r="S17">
        <v>92</v>
      </c>
      <c r="T17">
        <v>0</v>
      </c>
      <c r="U17">
        <v>0</v>
      </c>
      <c r="V17">
        <v>0</v>
      </c>
      <c r="W17">
        <v>0</v>
      </c>
      <c r="X17">
        <v>79</v>
      </c>
      <c r="Y17">
        <v>0</v>
      </c>
      <c r="Z17">
        <f t="shared" si="0"/>
        <v>1143987.2290000001</v>
      </c>
      <c r="AD17" t="s">
        <v>2542</v>
      </c>
      <c r="AE17" t="s">
        <v>2543</v>
      </c>
      <c r="AF17" t="s">
        <v>2544</v>
      </c>
      <c r="AG17" t="str">
        <f t="shared" si="1"/>
        <v>Census Tract 86, King County, Washington</v>
      </c>
      <c r="AH17">
        <v>711566.37399999995</v>
      </c>
    </row>
    <row r="18" spans="1:34" x14ac:dyDescent="0.25">
      <c r="A18" t="s">
        <v>1642</v>
      </c>
      <c r="B18">
        <v>53033001600</v>
      </c>
      <c r="C18" t="s">
        <v>1643</v>
      </c>
      <c r="D18">
        <v>4603</v>
      </c>
      <c r="E18">
        <v>4145</v>
      </c>
      <c r="F18">
        <v>458</v>
      </c>
      <c r="G18">
        <v>4603</v>
      </c>
      <c r="H18">
        <v>4145</v>
      </c>
      <c r="I18">
        <v>458</v>
      </c>
      <c r="J18">
        <v>3477</v>
      </c>
      <c r="K18">
        <v>333</v>
      </c>
      <c r="L18">
        <v>80</v>
      </c>
      <c r="M18">
        <v>16</v>
      </c>
      <c r="N18">
        <v>42</v>
      </c>
      <c r="O18">
        <v>0</v>
      </c>
      <c r="P18">
        <v>12</v>
      </c>
      <c r="Q18">
        <v>0</v>
      </c>
      <c r="R18">
        <v>189</v>
      </c>
      <c r="S18">
        <v>106</v>
      </c>
      <c r="T18">
        <v>0</v>
      </c>
      <c r="U18">
        <v>0</v>
      </c>
      <c r="V18">
        <v>9</v>
      </c>
      <c r="W18">
        <v>3</v>
      </c>
      <c r="X18">
        <v>336</v>
      </c>
      <c r="Y18">
        <v>0</v>
      </c>
      <c r="Z18">
        <f t="shared" si="0"/>
        <v>1924342.523</v>
      </c>
      <c r="AD18" t="s">
        <v>2545</v>
      </c>
      <c r="AE18" t="s">
        <v>2546</v>
      </c>
      <c r="AF18" t="s">
        <v>2547</v>
      </c>
      <c r="AG18" t="str">
        <f t="shared" si="1"/>
        <v>Census Tract 85, King County, Washington</v>
      </c>
      <c r="AH18">
        <v>474319.859</v>
      </c>
    </row>
    <row r="19" spans="1:34" x14ac:dyDescent="0.25">
      <c r="A19" t="s">
        <v>2356</v>
      </c>
      <c r="B19">
        <v>53033001701</v>
      </c>
      <c r="C19" t="s">
        <v>2357</v>
      </c>
      <c r="D19">
        <v>4004</v>
      </c>
      <c r="E19">
        <v>3507</v>
      </c>
      <c r="F19">
        <v>497</v>
      </c>
      <c r="G19">
        <v>4004</v>
      </c>
      <c r="H19">
        <v>3507</v>
      </c>
      <c r="I19">
        <v>497</v>
      </c>
      <c r="J19">
        <v>2662</v>
      </c>
      <c r="K19">
        <v>132</v>
      </c>
      <c r="L19">
        <v>102</v>
      </c>
      <c r="M19">
        <v>0</v>
      </c>
      <c r="N19">
        <v>200</v>
      </c>
      <c r="O19">
        <v>64</v>
      </c>
      <c r="P19">
        <v>53</v>
      </c>
      <c r="Q19">
        <v>0</v>
      </c>
      <c r="R19">
        <v>156</v>
      </c>
      <c r="S19">
        <v>230</v>
      </c>
      <c r="T19">
        <v>19</v>
      </c>
      <c r="U19">
        <v>0</v>
      </c>
      <c r="V19">
        <v>31</v>
      </c>
      <c r="W19">
        <v>35</v>
      </c>
      <c r="X19">
        <v>284</v>
      </c>
      <c r="Y19">
        <v>36</v>
      </c>
      <c r="Z19">
        <f t="shared" si="0"/>
        <v>892766.91899999999</v>
      </c>
      <c r="AD19" t="s">
        <v>2548</v>
      </c>
      <c r="AE19" t="s">
        <v>2549</v>
      </c>
      <c r="AF19" t="s">
        <v>2550</v>
      </c>
      <c r="AG19" t="str">
        <f t="shared" si="1"/>
        <v>Census Tract 84, King County, Washington</v>
      </c>
      <c r="AH19">
        <v>382616.32699999999</v>
      </c>
    </row>
    <row r="20" spans="1:34" x14ac:dyDescent="0.25">
      <c r="A20" t="s">
        <v>2358</v>
      </c>
      <c r="B20">
        <v>53033001702</v>
      </c>
      <c r="C20" t="s">
        <v>2359</v>
      </c>
      <c r="D20">
        <v>4832</v>
      </c>
      <c r="E20">
        <v>4078</v>
      </c>
      <c r="F20">
        <v>754</v>
      </c>
      <c r="G20">
        <v>4832</v>
      </c>
      <c r="H20">
        <v>4078</v>
      </c>
      <c r="I20">
        <v>754</v>
      </c>
      <c r="J20">
        <v>3305</v>
      </c>
      <c r="K20">
        <v>310</v>
      </c>
      <c r="L20">
        <v>76</v>
      </c>
      <c r="M20">
        <v>136</v>
      </c>
      <c r="N20">
        <v>55</v>
      </c>
      <c r="O20">
        <v>18</v>
      </c>
      <c r="P20">
        <v>34</v>
      </c>
      <c r="Q20">
        <v>0</v>
      </c>
      <c r="R20">
        <v>247</v>
      </c>
      <c r="S20">
        <v>221</v>
      </c>
      <c r="T20">
        <v>0</v>
      </c>
      <c r="U20">
        <v>0</v>
      </c>
      <c r="V20">
        <v>71</v>
      </c>
      <c r="W20">
        <v>15</v>
      </c>
      <c r="X20">
        <v>290</v>
      </c>
      <c r="Y20">
        <v>54</v>
      </c>
      <c r="Z20">
        <f t="shared" si="0"/>
        <v>1280223.344</v>
      </c>
      <c r="AD20" t="s">
        <v>2551</v>
      </c>
      <c r="AE20" t="s">
        <v>2552</v>
      </c>
      <c r="AF20" t="s">
        <v>2553</v>
      </c>
      <c r="AG20" t="str">
        <f t="shared" si="1"/>
        <v>Census Tract 83, King County, Washington</v>
      </c>
      <c r="AH20">
        <v>237448.36300000001</v>
      </c>
    </row>
    <row r="21" spans="1:34" x14ac:dyDescent="0.25">
      <c r="A21" t="s">
        <v>1646</v>
      </c>
      <c r="B21">
        <v>53033001800</v>
      </c>
      <c r="C21" t="s">
        <v>1647</v>
      </c>
      <c r="D21">
        <v>5380</v>
      </c>
      <c r="E21">
        <v>4348</v>
      </c>
      <c r="F21">
        <v>1032</v>
      </c>
      <c r="G21">
        <v>5380</v>
      </c>
      <c r="H21">
        <v>4348</v>
      </c>
      <c r="I21">
        <v>1032</v>
      </c>
      <c r="J21">
        <v>3328</v>
      </c>
      <c r="K21">
        <v>292</v>
      </c>
      <c r="L21">
        <v>128</v>
      </c>
      <c r="M21">
        <v>13</v>
      </c>
      <c r="N21">
        <v>17</v>
      </c>
      <c r="O21">
        <v>17</v>
      </c>
      <c r="P21">
        <v>66</v>
      </c>
      <c r="Q21">
        <v>0</v>
      </c>
      <c r="R21">
        <v>250</v>
      </c>
      <c r="S21">
        <v>509</v>
      </c>
      <c r="T21">
        <v>13</v>
      </c>
      <c r="U21">
        <v>0</v>
      </c>
      <c r="V21">
        <v>94</v>
      </c>
      <c r="W21">
        <v>90</v>
      </c>
      <c r="X21">
        <v>452</v>
      </c>
      <c r="Y21">
        <v>111</v>
      </c>
      <c r="Z21">
        <f t="shared" si="0"/>
        <v>943056.43400000001</v>
      </c>
      <c r="AD21" t="s">
        <v>2554</v>
      </c>
      <c r="AE21" t="s">
        <v>2555</v>
      </c>
      <c r="AF21" t="s">
        <v>2556</v>
      </c>
      <c r="AG21" t="str">
        <f t="shared" si="1"/>
        <v>Census Tract 82, King County, Washington</v>
      </c>
      <c r="AH21">
        <v>366709.62699999998</v>
      </c>
    </row>
    <row r="22" spans="1:34" x14ac:dyDescent="0.25">
      <c r="A22" t="s">
        <v>1648</v>
      </c>
      <c r="B22">
        <v>53033001900</v>
      </c>
      <c r="C22" t="s">
        <v>1649</v>
      </c>
      <c r="D22">
        <v>4777</v>
      </c>
      <c r="E22">
        <v>3829</v>
      </c>
      <c r="F22">
        <v>948</v>
      </c>
      <c r="G22">
        <v>4777</v>
      </c>
      <c r="H22">
        <v>3829</v>
      </c>
      <c r="I22">
        <v>948</v>
      </c>
      <c r="J22">
        <v>3239</v>
      </c>
      <c r="K22">
        <v>205</v>
      </c>
      <c r="L22">
        <v>112</v>
      </c>
      <c r="M22">
        <v>51</v>
      </c>
      <c r="N22">
        <v>37</v>
      </c>
      <c r="O22">
        <v>75</v>
      </c>
      <c r="P22">
        <v>8</v>
      </c>
      <c r="Q22">
        <v>0</v>
      </c>
      <c r="R22">
        <v>226</v>
      </c>
      <c r="S22">
        <v>557</v>
      </c>
      <c r="T22">
        <v>13</v>
      </c>
      <c r="U22">
        <v>0</v>
      </c>
      <c r="V22">
        <v>9</v>
      </c>
      <c r="W22">
        <v>9</v>
      </c>
      <c r="X22">
        <v>185</v>
      </c>
      <c r="Y22">
        <v>51</v>
      </c>
      <c r="Z22">
        <f t="shared" si="0"/>
        <v>1649991.4350000001</v>
      </c>
      <c r="AD22" t="s">
        <v>2557</v>
      </c>
      <c r="AE22" t="s">
        <v>2558</v>
      </c>
      <c r="AF22" t="s">
        <v>2559</v>
      </c>
      <c r="AG22" t="str">
        <f t="shared" si="1"/>
        <v>Census Tract 81, King County, Washington</v>
      </c>
      <c r="AH22">
        <v>794902.245</v>
      </c>
    </row>
    <row r="23" spans="1:34" x14ac:dyDescent="0.25">
      <c r="A23" t="s">
        <v>1650</v>
      </c>
      <c r="B23">
        <v>53033002000</v>
      </c>
      <c r="C23" t="s">
        <v>1651</v>
      </c>
      <c r="D23">
        <v>3814</v>
      </c>
      <c r="E23">
        <v>3353</v>
      </c>
      <c r="F23">
        <v>461</v>
      </c>
      <c r="G23">
        <v>3814</v>
      </c>
      <c r="H23">
        <v>3353</v>
      </c>
      <c r="I23">
        <v>461</v>
      </c>
      <c r="J23">
        <v>2939</v>
      </c>
      <c r="K23">
        <v>221</v>
      </c>
      <c r="L23">
        <v>48</v>
      </c>
      <c r="M23">
        <v>0</v>
      </c>
      <c r="N23">
        <v>0</v>
      </c>
      <c r="O23">
        <v>4</v>
      </c>
      <c r="P23">
        <v>3</v>
      </c>
      <c r="Q23">
        <v>0</v>
      </c>
      <c r="R23">
        <v>106</v>
      </c>
      <c r="S23">
        <v>234</v>
      </c>
      <c r="T23">
        <v>0</v>
      </c>
      <c r="U23">
        <v>0</v>
      </c>
      <c r="V23">
        <v>62</v>
      </c>
      <c r="W23">
        <v>0</v>
      </c>
      <c r="X23">
        <v>195</v>
      </c>
      <c r="Y23">
        <v>2</v>
      </c>
      <c r="Z23">
        <f t="shared" si="0"/>
        <v>1099768.8559999999</v>
      </c>
      <c r="AD23" t="s">
        <v>2560</v>
      </c>
      <c r="AE23" t="s">
        <v>2561</v>
      </c>
      <c r="AF23" t="s">
        <v>2562</v>
      </c>
      <c r="AG23" t="str">
        <f t="shared" si="1"/>
        <v>Census Tract 80.02, King County, Washington</v>
      </c>
      <c r="AH23">
        <v>229060.647</v>
      </c>
    </row>
    <row r="24" spans="1:34" x14ac:dyDescent="0.25">
      <c r="A24" t="s">
        <v>1652</v>
      </c>
      <c r="B24">
        <v>53033002100</v>
      </c>
      <c r="C24" t="s">
        <v>1653</v>
      </c>
      <c r="D24">
        <v>4210</v>
      </c>
      <c r="E24">
        <v>3498</v>
      </c>
      <c r="F24">
        <v>712</v>
      </c>
      <c r="G24">
        <v>4210</v>
      </c>
      <c r="H24">
        <v>3498</v>
      </c>
      <c r="I24">
        <v>712</v>
      </c>
      <c r="J24">
        <v>3018</v>
      </c>
      <c r="K24">
        <v>226</v>
      </c>
      <c r="L24">
        <v>82</v>
      </c>
      <c r="M24">
        <v>21</v>
      </c>
      <c r="N24">
        <v>15</v>
      </c>
      <c r="O24">
        <v>0</v>
      </c>
      <c r="P24">
        <v>6</v>
      </c>
      <c r="Q24">
        <v>0</v>
      </c>
      <c r="R24">
        <v>256</v>
      </c>
      <c r="S24">
        <v>365</v>
      </c>
      <c r="T24">
        <v>0</v>
      </c>
      <c r="U24">
        <v>0</v>
      </c>
      <c r="V24">
        <v>52</v>
      </c>
      <c r="W24">
        <v>59</v>
      </c>
      <c r="X24">
        <v>69</v>
      </c>
      <c r="Y24">
        <v>41</v>
      </c>
      <c r="Z24">
        <f t="shared" si="0"/>
        <v>1365467.0190000001</v>
      </c>
      <c r="AD24" t="s">
        <v>2563</v>
      </c>
      <c r="AE24" t="s">
        <v>2564</v>
      </c>
      <c r="AF24" t="s">
        <v>2565</v>
      </c>
      <c r="AG24" t="str">
        <f t="shared" si="1"/>
        <v>Census Tract 80.01, King County, Washington</v>
      </c>
      <c r="AH24">
        <v>448898.12199999997</v>
      </c>
    </row>
    <row r="25" spans="1:34" x14ac:dyDescent="0.25">
      <c r="A25" t="s">
        <v>1654</v>
      </c>
      <c r="B25">
        <v>53033002200</v>
      </c>
      <c r="C25" t="s">
        <v>1655</v>
      </c>
      <c r="D25">
        <v>5764</v>
      </c>
      <c r="E25">
        <v>4985</v>
      </c>
      <c r="F25">
        <v>779</v>
      </c>
      <c r="G25">
        <v>5764</v>
      </c>
      <c r="H25">
        <v>4985</v>
      </c>
      <c r="I25">
        <v>779</v>
      </c>
      <c r="J25">
        <v>4279</v>
      </c>
      <c r="K25">
        <v>186</v>
      </c>
      <c r="L25">
        <v>98</v>
      </c>
      <c r="M25">
        <v>77</v>
      </c>
      <c r="N25">
        <v>5</v>
      </c>
      <c r="O25">
        <v>0</v>
      </c>
      <c r="P25">
        <v>16</v>
      </c>
      <c r="Q25">
        <v>0</v>
      </c>
      <c r="R25">
        <v>230</v>
      </c>
      <c r="S25">
        <v>477</v>
      </c>
      <c r="T25">
        <v>13</v>
      </c>
      <c r="U25">
        <v>0</v>
      </c>
      <c r="V25">
        <v>19</v>
      </c>
      <c r="W25">
        <v>17</v>
      </c>
      <c r="X25">
        <v>325</v>
      </c>
      <c r="Y25">
        <v>22</v>
      </c>
      <c r="Z25">
        <f t="shared" si="0"/>
        <v>2769307.6850000001</v>
      </c>
      <c r="AD25" t="s">
        <v>2566</v>
      </c>
      <c r="AE25" t="s">
        <v>2567</v>
      </c>
      <c r="AF25" t="s">
        <v>2568</v>
      </c>
      <c r="AG25" t="str">
        <f t="shared" si="1"/>
        <v>Census Tract 8, King County, Washington</v>
      </c>
      <c r="AH25">
        <v>1141570.7069999999</v>
      </c>
    </row>
    <row r="26" spans="1:34" x14ac:dyDescent="0.25">
      <c r="A26" t="s">
        <v>1656</v>
      </c>
      <c r="B26">
        <v>53033002400</v>
      </c>
      <c r="C26" t="s">
        <v>1657</v>
      </c>
      <c r="D26">
        <v>3180</v>
      </c>
      <c r="E26">
        <v>2760</v>
      </c>
      <c r="F26">
        <v>420</v>
      </c>
      <c r="G26">
        <v>3180</v>
      </c>
      <c r="H26">
        <v>2760</v>
      </c>
      <c r="I26">
        <v>420</v>
      </c>
      <c r="J26">
        <v>2418</v>
      </c>
      <c r="K26">
        <v>167</v>
      </c>
      <c r="L26">
        <v>40</v>
      </c>
      <c r="M26">
        <v>10</v>
      </c>
      <c r="N26">
        <v>11</v>
      </c>
      <c r="O26">
        <v>0</v>
      </c>
      <c r="P26">
        <v>0</v>
      </c>
      <c r="Q26">
        <v>0</v>
      </c>
      <c r="R26">
        <v>65</v>
      </c>
      <c r="S26">
        <v>213</v>
      </c>
      <c r="T26">
        <v>8</v>
      </c>
      <c r="U26">
        <v>0</v>
      </c>
      <c r="V26">
        <v>25</v>
      </c>
      <c r="W26">
        <v>22</v>
      </c>
      <c r="X26">
        <v>193</v>
      </c>
      <c r="Y26">
        <v>8</v>
      </c>
      <c r="Z26">
        <f t="shared" si="0"/>
        <v>978017.196</v>
      </c>
      <c r="AD26" t="s">
        <v>2569</v>
      </c>
      <c r="AE26" t="s">
        <v>2570</v>
      </c>
      <c r="AF26" t="s">
        <v>2571</v>
      </c>
      <c r="AG26" t="str">
        <f t="shared" si="1"/>
        <v>Census Tract 79, King County, Washington</v>
      </c>
      <c r="AH26">
        <v>698472.05900000001</v>
      </c>
    </row>
    <row r="27" spans="1:34" x14ac:dyDescent="0.25">
      <c r="A27" t="s">
        <v>1658</v>
      </c>
      <c r="B27">
        <v>53033002500</v>
      </c>
      <c r="C27" t="s">
        <v>1659</v>
      </c>
      <c r="D27">
        <v>3316</v>
      </c>
      <c r="E27">
        <v>2945</v>
      </c>
      <c r="F27">
        <v>371</v>
      </c>
      <c r="G27">
        <v>3316</v>
      </c>
      <c r="H27">
        <v>2945</v>
      </c>
      <c r="I27">
        <v>371</v>
      </c>
      <c r="J27">
        <v>2504</v>
      </c>
      <c r="K27">
        <v>216</v>
      </c>
      <c r="L27">
        <v>47</v>
      </c>
      <c r="M27">
        <v>35</v>
      </c>
      <c r="N27">
        <v>33</v>
      </c>
      <c r="O27">
        <v>6</v>
      </c>
      <c r="P27">
        <v>9</v>
      </c>
      <c r="Q27">
        <v>0</v>
      </c>
      <c r="R27">
        <v>94</v>
      </c>
      <c r="S27">
        <v>114</v>
      </c>
      <c r="T27">
        <v>0</v>
      </c>
      <c r="U27">
        <v>0</v>
      </c>
      <c r="V27">
        <v>24</v>
      </c>
      <c r="W27">
        <v>0</v>
      </c>
      <c r="X27">
        <v>234</v>
      </c>
      <c r="Y27">
        <v>0</v>
      </c>
      <c r="Z27">
        <f t="shared" si="0"/>
        <v>984334.96299999999</v>
      </c>
      <c r="AD27" t="s">
        <v>2572</v>
      </c>
      <c r="AE27" t="s">
        <v>2573</v>
      </c>
      <c r="AF27" t="s">
        <v>2574</v>
      </c>
      <c r="AG27" t="str">
        <f t="shared" si="1"/>
        <v>Census Tract 78, King County, Washington</v>
      </c>
      <c r="AH27">
        <v>2085796.06</v>
      </c>
    </row>
    <row r="28" spans="1:34" x14ac:dyDescent="0.25">
      <c r="A28" t="s">
        <v>1660</v>
      </c>
      <c r="B28">
        <v>53033002600</v>
      </c>
      <c r="C28" t="s">
        <v>1661</v>
      </c>
      <c r="D28">
        <v>5061</v>
      </c>
      <c r="E28">
        <v>4381</v>
      </c>
      <c r="F28">
        <v>680</v>
      </c>
      <c r="G28">
        <v>5061</v>
      </c>
      <c r="H28">
        <v>4381</v>
      </c>
      <c r="I28">
        <v>680</v>
      </c>
      <c r="J28">
        <v>3802</v>
      </c>
      <c r="K28">
        <v>291</v>
      </c>
      <c r="L28">
        <v>81</v>
      </c>
      <c r="M28">
        <v>48</v>
      </c>
      <c r="N28">
        <v>48</v>
      </c>
      <c r="O28">
        <v>10</v>
      </c>
      <c r="P28">
        <v>0</v>
      </c>
      <c r="Q28">
        <v>0</v>
      </c>
      <c r="R28">
        <v>91</v>
      </c>
      <c r="S28">
        <v>303</v>
      </c>
      <c r="T28">
        <v>0</v>
      </c>
      <c r="U28">
        <v>0</v>
      </c>
      <c r="V28">
        <v>89</v>
      </c>
      <c r="W28">
        <v>12</v>
      </c>
      <c r="X28">
        <v>270</v>
      </c>
      <c r="Y28">
        <v>16</v>
      </c>
      <c r="Z28">
        <f t="shared" si="0"/>
        <v>1211611.3899999999</v>
      </c>
      <c r="AD28" t="s">
        <v>2575</v>
      </c>
      <c r="AE28" t="s">
        <v>2576</v>
      </c>
      <c r="AF28" t="s">
        <v>2577</v>
      </c>
      <c r="AG28" t="str">
        <f t="shared" si="1"/>
        <v>Census Tract 77, King County, Washington</v>
      </c>
      <c r="AH28">
        <v>1058324.871</v>
      </c>
    </row>
    <row r="29" spans="1:34" x14ac:dyDescent="0.25">
      <c r="A29" t="s">
        <v>1662</v>
      </c>
      <c r="B29">
        <v>53033002700</v>
      </c>
      <c r="C29" t="s">
        <v>1663</v>
      </c>
      <c r="D29">
        <v>6155</v>
      </c>
      <c r="E29">
        <v>5370</v>
      </c>
      <c r="F29">
        <v>785</v>
      </c>
      <c r="G29">
        <v>6155</v>
      </c>
      <c r="H29">
        <v>5370</v>
      </c>
      <c r="I29">
        <v>785</v>
      </c>
      <c r="J29">
        <v>4222</v>
      </c>
      <c r="K29">
        <v>344</v>
      </c>
      <c r="L29">
        <v>94</v>
      </c>
      <c r="M29">
        <v>27</v>
      </c>
      <c r="N29">
        <v>67</v>
      </c>
      <c r="O29">
        <v>21</v>
      </c>
      <c r="P29">
        <v>1</v>
      </c>
      <c r="Q29">
        <v>0</v>
      </c>
      <c r="R29">
        <v>384</v>
      </c>
      <c r="S29">
        <v>302</v>
      </c>
      <c r="T29">
        <v>0</v>
      </c>
      <c r="U29">
        <v>0</v>
      </c>
      <c r="V29">
        <v>43</v>
      </c>
      <c r="W29">
        <v>91</v>
      </c>
      <c r="X29">
        <v>559</v>
      </c>
      <c r="Y29">
        <v>0</v>
      </c>
      <c r="Z29">
        <f t="shared" si="0"/>
        <v>1597298.159</v>
      </c>
      <c r="AD29" t="s">
        <v>2578</v>
      </c>
      <c r="AE29" t="s">
        <v>2579</v>
      </c>
      <c r="AF29" t="s">
        <v>2580</v>
      </c>
      <c r="AG29" t="str">
        <f t="shared" si="1"/>
        <v>Census Tract 76, King County, Washington</v>
      </c>
      <c r="AH29">
        <v>571877.54700000002</v>
      </c>
    </row>
    <row r="30" spans="1:34" x14ac:dyDescent="0.25">
      <c r="A30" t="s">
        <v>1664</v>
      </c>
      <c r="B30">
        <v>53033002800</v>
      </c>
      <c r="C30" t="s">
        <v>1665</v>
      </c>
      <c r="D30">
        <v>4854</v>
      </c>
      <c r="E30">
        <v>4350</v>
      </c>
      <c r="F30">
        <v>504</v>
      </c>
      <c r="G30">
        <v>4854</v>
      </c>
      <c r="H30">
        <v>4350</v>
      </c>
      <c r="I30">
        <v>504</v>
      </c>
      <c r="J30">
        <v>3842</v>
      </c>
      <c r="K30">
        <v>288</v>
      </c>
      <c r="L30">
        <v>103</v>
      </c>
      <c r="M30">
        <v>21</v>
      </c>
      <c r="N30">
        <v>2</v>
      </c>
      <c r="O30">
        <v>3</v>
      </c>
      <c r="P30">
        <v>0</v>
      </c>
      <c r="Q30">
        <v>0</v>
      </c>
      <c r="R30">
        <v>118</v>
      </c>
      <c r="S30">
        <v>115</v>
      </c>
      <c r="T30">
        <v>0</v>
      </c>
      <c r="U30">
        <v>0</v>
      </c>
      <c r="V30">
        <v>21</v>
      </c>
      <c r="W30">
        <v>0</v>
      </c>
      <c r="X30">
        <v>264</v>
      </c>
      <c r="Y30">
        <v>77</v>
      </c>
      <c r="Z30">
        <f t="shared" si="0"/>
        <v>979865.26800000004</v>
      </c>
      <c r="AD30" t="s">
        <v>2581</v>
      </c>
      <c r="AE30" t="s">
        <v>2582</v>
      </c>
      <c r="AF30" t="s">
        <v>2583</v>
      </c>
      <c r="AG30" t="str">
        <f t="shared" si="1"/>
        <v>Census Tract 75, King County, Washington</v>
      </c>
      <c r="AH30">
        <v>787547.19400000002</v>
      </c>
    </row>
    <row r="31" spans="1:34" x14ac:dyDescent="0.25">
      <c r="A31" t="s">
        <v>1666</v>
      </c>
      <c r="B31">
        <v>53033002900</v>
      </c>
      <c r="C31" t="s">
        <v>1667</v>
      </c>
      <c r="D31">
        <v>4744</v>
      </c>
      <c r="E31">
        <v>4304</v>
      </c>
      <c r="F31">
        <v>440</v>
      </c>
      <c r="G31">
        <v>4744</v>
      </c>
      <c r="H31">
        <v>4304</v>
      </c>
      <c r="I31">
        <v>440</v>
      </c>
      <c r="J31">
        <v>3831</v>
      </c>
      <c r="K31">
        <v>252</v>
      </c>
      <c r="L31">
        <v>100</v>
      </c>
      <c r="M31">
        <v>22</v>
      </c>
      <c r="N31">
        <v>0</v>
      </c>
      <c r="O31">
        <v>0</v>
      </c>
      <c r="P31">
        <v>1</v>
      </c>
      <c r="Q31">
        <v>0</v>
      </c>
      <c r="R31">
        <v>116</v>
      </c>
      <c r="S31">
        <v>158</v>
      </c>
      <c r="T31">
        <v>12</v>
      </c>
      <c r="U31">
        <v>0</v>
      </c>
      <c r="V31">
        <v>82</v>
      </c>
      <c r="W31">
        <v>0</v>
      </c>
      <c r="X31">
        <v>162</v>
      </c>
      <c r="Y31">
        <v>8</v>
      </c>
      <c r="Z31">
        <f t="shared" si="0"/>
        <v>986206.95499999996</v>
      </c>
      <c r="AD31" t="s">
        <v>2584</v>
      </c>
      <c r="AE31" t="s">
        <v>2585</v>
      </c>
      <c r="AF31" t="s">
        <v>2586</v>
      </c>
      <c r="AG31" t="str">
        <f t="shared" si="1"/>
        <v>Census Tract 74.02, King County, Washington</v>
      </c>
      <c r="AH31">
        <v>249283.72399999999</v>
      </c>
    </row>
    <row r="32" spans="1:34" x14ac:dyDescent="0.25">
      <c r="A32" t="s">
        <v>1668</v>
      </c>
      <c r="B32">
        <v>53033003000</v>
      </c>
      <c r="C32" t="s">
        <v>1669</v>
      </c>
      <c r="D32">
        <v>5940</v>
      </c>
      <c r="E32">
        <v>5271</v>
      </c>
      <c r="F32">
        <v>669</v>
      </c>
      <c r="G32">
        <v>5940</v>
      </c>
      <c r="H32">
        <v>5271</v>
      </c>
      <c r="I32">
        <v>669</v>
      </c>
      <c r="J32">
        <v>4552</v>
      </c>
      <c r="K32">
        <v>226</v>
      </c>
      <c r="L32">
        <v>122</v>
      </c>
      <c r="M32">
        <v>39</v>
      </c>
      <c r="N32">
        <v>18</v>
      </c>
      <c r="O32">
        <v>0</v>
      </c>
      <c r="P32">
        <v>0</v>
      </c>
      <c r="Q32">
        <v>0</v>
      </c>
      <c r="R32">
        <v>124</v>
      </c>
      <c r="S32">
        <v>153</v>
      </c>
      <c r="T32">
        <v>0</v>
      </c>
      <c r="U32">
        <v>22</v>
      </c>
      <c r="V32">
        <v>56</v>
      </c>
      <c r="W32">
        <v>229</v>
      </c>
      <c r="X32">
        <v>399</v>
      </c>
      <c r="Y32">
        <v>0</v>
      </c>
      <c r="Z32">
        <f t="shared" si="0"/>
        <v>1493252.781</v>
      </c>
      <c r="AD32" t="s">
        <v>2587</v>
      </c>
      <c r="AE32" t="s">
        <v>2588</v>
      </c>
      <c r="AF32" t="s">
        <v>2589</v>
      </c>
      <c r="AG32" t="str">
        <f t="shared" si="1"/>
        <v>Census Tract 74.01, King County, Washington</v>
      </c>
      <c r="AH32">
        <v>259384.057</v>
      </c>
    </row>
    <row r="33" spans="1:34" x14ac:dyDescent="0.25">
      <c r="A33" t="s">
        <v>1670</v>
      </c>
      <c r="B33">
        <v>53033003100</v>
      </c>
      <c r="C33" t="s">
        <v>1671</v>
      </c>
      <c r="D33">
        <v>6457</v>
      </c>
      <c r="E33">
        <v>6090</v>
      </c>
      <c r="F33">
        <v>367</v>
      </c>
      <c r="G33">
        <v>6457</v>
      </c>
      <c r="H33">
        <v>6090</v>
      </c>
      <c r="I33">
        <v>367</v>
      </c>
      <c r="J33">
        <v>5377</v>
      </c>
      <c r="K33">
        <v>243</v>
      </c>
      <c r="L33">
        <v>323</v>
      </c>
      <c r="M33">
        <v>27</v>
      </c>
      <c r="N33">
        <v>28</v>
      </c>
      <c r="O33">
        <v>0</v>
      </c>
      <c r="P33">
        <v>56</v>
      </c>
      <c r="Q33">
        <v>0</v>
      </c>
      <c r="R33">
        <v>101</v>
      </c>
      <c r="S33">
        <v>97</v>
      </c>
      <c r="T33">
        <v>0</v>
      </c>
      <c r="U33">
        <v>0</v>
      </c>
      <c r="V33">
        <v>0</v>
      </c>
      <c r="W33">
        <v>0</v>
      </c>
      <c r="X33">
        <v>205</v>
      </c>
      <c r="Y33">
        <v>0</v>
      </c>
      <c r="Z33">
        <f t="shared" si="0"/>
        <v>2126261.835</v>
      </c>
      <c r="AD33" t="s">
        <v>2590</v>
      </c>
      <c r="AE33" t="s">
        <v>2591</v>
      </c>
      <c r="AF33" t="s">
        <v>2592</v>
      </c>
      <c r="AG33" t="str">
        <f t="shared" si="1"/>
        <v>Census Tract 73, King County, Washington</v>
      </c>
      <c r="AH33">
        <v>926046.61100000003</v>
      </c>
    </row>
    <row r="34" spans="1:34" x14ac:dyDescent="0.25">
      <c r="A34" t="s">
        <v>1672</v>
      </c>
      <c r="B34">
        <v>53033003200</v>
      </c>
      <c r="C34" t="s">
        <v>1673</v>
      </c>
      <c r="D34">
        <v>8504</v>
      </c>
      <c r="E34">
        <v>7708</v>
      </c>
      <c r="F34">
        <v>796</v>
      </c>
      <c r="G34">
        <v>8504</v>
      </c>
      <c r="H34">
        <v>7708</v>
      </c>
      <c r="I34">
        <v>796</v>
      </c>
      <c r="J34">
        <v>6683</v>
      </c>
      <c r="K34">
        <v>344</v>
      </c>
      <c r="L34">
        <v>457</v>
      </c>
      <c r="M34">
        <v>68</v>
      </c>
      <c r="N34">
        <v>54</v>
      </c>
      <c r="O34">
        <v>0</v>
      </c>
      <c r="P34">
        <v>33</v>
      </c>
      <c r="Q34">
        <v>0</v>
      </c>
      <c r="R34">
        <v>211</v>
      </c>
      <c r="S34">
        <v>112</v>
      </c>
      <c r="T34">
        <v>0</v>
      </c>
      <c r="U34">
        <v>0</v>
      </c>
      <c r="V34">
        <v>30</v>
      </c>
      <c r="W34">
        <v>161</v>
      </c>
      <c r="X34">
        <v>240</v>
      </c>
      <c r="Y34">
        <v>111</v>
      </c>
      <c r="Z34">
        <f t="shared" si="0"/>
        <v>2073086.956</v>
      </c>
      <c r="AD34" t="s">
        <v>2593</v>
      </c>
      <c r="AE34" t="s">
        <v>2594</v>
      </c>
      <c r="AF34" t="s">
        <v>2595</v>
      </c>
      <c r="AG34" t="str">
        <f t="shared" si="1"/>
        <v>Census Tract 72, King County, Washington</v>
      </c>
      <c r="AH34">
        <v>1010272.098</v>
      </c>
    </row>
    <row r="35" spans="1:34" x14ac:dyDescent="0.25">
      <c r="A35" t="s">
        <v>1674</v>
      </c>
      <c r="B35">
        <v>53033003300</v>
      </c>
      <c r="C35" t="s">
        <v>1675</v>
      </c>
      <c r="D35">
        <v>6987</v>
      </c>
      <c r="E35">
        <v>6317</v>
      </c>
      <c r="F35">
        <v>670</v>
      </c>
      <c r="G35">
        <v>6987</v>
      </c>
      <c r="H35">
        <v>6317</v>
      </c>
      <c r="I35">
        <v>670</v>
      </c>
      <c r="J35">
        <v>5543</v>
      </c>
      <c r="K35">
        <v>195</v>
      </c>
      <c r="L35">
        <v>120</v>
      </c>
      <c r="M35">
        <v>50</v>
      </c>
      <c r="N35">
        <v>143</v>
      </c>
      <c r="O35">
        <v>0</v>
      </c>
      <c r="P35">
        <v>0</v>
      </c>
      <c r="Q35">
        <v>0</v>
      </c>
      <c r="R35">
        <v>102</v>
      </c>
      <c r="S35">
        <v>314</v>
      </c>
      <c r="T35">
        <v>0</v>
      </c>
      <c r="U35">
        <v>0</v>
      </c>
      <c r="V35">
        <v>20</v>
      </c>
      <c r="W35">
        <v>73</v>
      </c>
      <c r="X35">
        <v>389</v>
      </c>
      <c r="Y35">
        <v>38</v>
      </c>
      <c r="Z35">
        <f t="shared" si="0"/>
        <v>1296282.1610000001</v>
      </c>
      <c r="AD35" t="s">
        <v>2596</v>
      </c>
      <c r="AE35" t="s">
        <v>2597</v>
      </c>
      <c r="AF35" t="s">
        <v>2598</v>
      </c>
      <c r="AG35" t="str">
        <f t="shared" si="1"/>
        <v>Census Tract 71, King County, Washington</v>
      </c>
      <c r="AH35">
        <v>862093.34100000001</v>
      </c>
    </row>
    <row r="36" spans="1:34" x14ac:dyDescent="0.25">
      <c r="A36" t="s">
        <v>1676</v>
      </c>
      <c r="B36">
        <v>53033003400</v>
      </c>
      <c r="C36" t="s">
        <v>1677</v>
      </c>
      <c r="D36">
        <v>3661</v>
      </c>
      <c r="E36">
        <v>3370</v>
      </c>
      <c r="F36">
        <v>291</v>
      </c>
      <c r="G36">
        <v>3661</v>
      </c>
      <c r="H36">
        <v>3370</v>
      </c>
      <c r="I36">
        <v>291</v>
      </c>
      <c r="J36">
        <v>2959</v>
      </c>
      <c r="K36">
        <v>143</v>
      </c>
      <c r="L36">
        <v>46</v>
      </c>
      <c r="M36">
        <v>9</v>
      </c>
      <c r="N36">
        <v>50</v>
      </c>
      <c r="O36">
        <v>0</v>
      </c>
      <c r="P36">
        <v>17</v>
      </c>
      <c r="Q36">
        <v>0</v>
      </c>
      <c r="R36">
        <v>122</v>
      </c>
      <c r="S36">
        <v>110</v>
      </c>
      <c r="T36">
        <v>0</v>
      </c>
      <c r="U36">
        <v>0</v>
      </c>
      <c r="V36">
        <v>23</v>
      </c>
      <c r="W36">
        <v>0</v>
      </c>
      <c r="X36">
        <v>153</v>
      </c>
      <c r="Y36">
        <v>29</v>
      </c>
      <c r="Z36">
        <f t="shared" si="0"/>
        <v>787151.99899999995</v>
      </c>
      <c r="AD36" t="s">
        <v>2599</v>
      </c>
      <c r="AE36" t="s">
        <v>2600</v>
      </c>
      <c r="AF36" t="s">
        <v>2601</v>
      </c>
      <c r="AG36" t="str">
        <f t="shared" si="1"/>
        <v>Census Tract 70, King County, Washington</v>
      </c>
      <c r="AH36">
        <v>805957.96200000006</v>
      </c>
    </row>
    <row r="37" spans="1:34" x14ac:dyDescent="0.25">
      <c r="A37" t="s">
        <v>1678</v>
      </c>
      <c r="B37">
        <v>53033003500</v>
      </c>
      <c r="C37" t="s">
        <v>1679</v>
      </c>
      <c r="D37">
        <v>4051</v>
      </c>
      <c r="E37">
        <v>3597</v>
      </c>
      <c r="F37">
        <v>454</v>
      </c>
      <c r="G37">
        <v>4051</v>
      </c>
      <c r="H37">
        <v>3597</v>
      </c>
      <c r="I37">
        <v>454</v>
      </c>
      <c r="J37">
        <v>3086</v>
      </c>
      <c r="K37">
        <v>328</v>
      </c>
      <c r="L37">
        <v>77</v>
      </c>
      <c r="M37">
        <v>10</v>
      </c>
      <c r="N37">
        <v>27</v>
      </c>
      <c r="O37">
        <v>12</v>
      </c>
      <c r="P37">
        <v>1</v>
      </c>
      <c r="Q37">
        <v>0</v>
      </c>
      <c r="R37">
        <v>204</v>
      </c>
      <c r="S37">
        <v>104</v>
      </c>
      <c r="T37">
        <v>11</v>
      </c>
      <c r="U37">
        <v>0</v>
      </c>
      <c r="V37">
        <v>8</v>
      </c>
      <c r="W37">
        <v>0</v>
      </c>
      <c r="X37">
        <v>183</v>
      </c>
      <c r="Y37">
        <v>0</v>
      </c>
      <c r="Z37">
        <f t="shared" si="0"/>
        <v>1284761.325</v>
      </c>
      <c r="AD37" t="s">
        <v>2602</v>
      </c>
      <c r="AE37" t="s">
        <v>2603</v>
      </c>
      <c r="AF37" t="s">
        <v>2604</v>
      </c>
      <c r="AG37" t="str">
        <f t="shared" si="1"/>
        <v>Census Tract 7, King County, Washington</v>
      </c>
      <c r="AH37">
        <v>1294679.0989999999</v>
      </c>
    </row>
    <row r="38" spans="1:34" x14ac:dyDescent="0.25">
      <c r="A38" t="s">
        <v>1680</v>
      </c>
      <c r="B38">
        <v>53033003600</v>
      </c>
      <c r="C38" t="s">
        <v>1681</v>
      </c>
      <c r="D38">
        <v>6631</v>
      </c>
      <c r="E38">
        <v>5698</v>
      </c>
      <c r="F38">
        <v>933</v>
      </c>
      <c r="G38">
        <v>6631</v>
      </c>
      <c r="H38">
        <v>5698</v>
      </c>
      <c r="I38">
        <v>933</v>
      </c>
      <c r="J38">
        <v>4706</v>
      </c>
      <c r="K38">
        <v>319</v>
      </c>
      <c r="L38">
        <v>15</v>
      </c>
      <c r="M38">
        <v>64</v>
      </c>
      <c r="N38">
        <v>110</v>
      </c>
      <c r="O38">
        <v>0</v>
      </c>
      <c r="P38">
        <v>0</v>
      </c>
      <c r="Q38">
        <v>0</v>
      </c>
      <c r="R38">
        <v>509</v>
      </c>
      <c r="S38">
        <v>443</v>
      </c>
      <c r="T38">
        <v>0</v>
      </c>
      <c r="U38">
        <v>0</v>
      </c>
      <c r="V38">
        <v>71</v>
      </c>
      <c r="W38">
        <v>74</v>
      </c>
      <c r="X38">
        <v>287</v>
      </c>
      <c r="Y38">
        <v>33</v>
      </c>
      <c r="Z38">
        <f t="shared" si="0"/>
        <v>1196455.8589999999</v>
      </c>
      <c r="AD38" t="s">
        <v>2605</v>
      </c>
      <c r="AE38" t="s">
        <v>2606</v>
      </c>
      <c r="AF38" t="s">
        <v>2607</v>
      </c>
      <c r="AG38" t="str">
        <f t="shared" si="1"/>
        <v>Census Tract 69, King County, Washington</v>
      </c>
      <c r="AH38">
        <v>902888.83</v>
      </c>
    </row>
    <row r="39" spans="1:34" x14ac:dyDescent="0.25">
      <c r="A39" t="s">
        <v>1682</v>
      </c>
      <c r="B39">
        <v>53033003800</v>
      </c>
      <c r="C39" t="s">
        <v>1683</v>
      </c>
      <c r="D39">
        <v>2151</v>
      </c>
      <c r="E39">
        <v>1887</v>
      </c>
      <c r="F39">
        <v>264</v>
      </c>
      <c r="G39">
        <v>2151</v>
      </c>
      <c r="H39">
        <v>1887</v>
      </c>
      <c r="I39">
        <v>264</v>
      </c>
      <c r="J39">
        <v>1591</v>
      </c>
      <c r="K39">
        <v>101</v>
      </c>
      <c r="L39">
        <v>17</v>
      </c>
      <c r="M39">
        <v>25</v>
      </c>
      <c r="N39">
        <v>37</v>
      </c>
      <c r="O39">
        <v>0</v>
      </c>
      <c r="P39">
        <v>1</v>
      </c>
      <c r="Q39">
        <v>0</v>
      </c>
      <c r="R39">
        <v>98</v>
      </c>
      <c r="S39">
        <v>133</v>
      </c>
      <c r="T39">
        <v>0</v>
      </c>
      <c r="U39">
        <v>0</v>
      </c>
      <c r="V39">
        <v>3</v>
      </c>
      <c r="W39">
        <v>0</v>
      </c>
      <c r="X39">
        <v>140</v>
      </c>
      <c r="Y39">
        <v>5</v>
      </c>
      <c r="Z39">
        <f t="shared" si="0"/>
        <v>624606.14199999999</v>
      </c>
      <c r="AD39" t="s">
        <v>2608</v>
      </c>
      <c r="AE39" t="s">
        <v>2609</v>
      </c>
      <c r="AF39" t="s">
        <v>2610</v>
      </c>
      <c r="AG39" t="str">
        <f t="shared" si="1"/>
        <v>Census Tract 68, King County, Washington</v>
      </c>
      <c r="AH39">
        <v>718104.83799999999</v>
      </c>
    </row>
    <row r="40" spans="1:34" x14ac:dyDescent="0.25">
      <c r="A40" t="s">
        <v>1684</v>
      </c>
      <c r="B40">
        <v>53033003900</v>
      </c>
      <c r="C40" t="s">
        <v>1685</v>
      </c>
      <c r="D40">
        <v>3034</v>
      </c>
      <c r="E40">
        <v>2566</v>
      </c>
      <c r="F40">
        <v>468</v>
      </c>
      <c r="G40">
        <v>3034</v>
      </c>
      <c r="H40">
        <v>2566</v>
      </c>
      <c r="I40">
        <v>468</v>
      </c>
      <c r="J40">
        <v>2190</v>
      </c>
      <c r="K40">
        <v>146</v>
      </c>
      <c r="L40">
        <v>48</v>
      </c>
      <c r="M40">
        <v>77</v>
      </c>
      <c r="N40">
        <v>22</v>
      </c>
      <c r="O40">
        <v>0</v>
      </c>
      <c r="P40">
        <v>35</v>
      </c>
      <c r="Q40">
        <v>12</v>
      </c>
      <c r="R40">
        <v>92</v>
      </c>
      <c r="S40">
        <v>205</v>
      </c>
      <c r="T40">
        <v>0</v>
      </c>
      <c r="U40">
        <v>0</v>
      </c>
      <c r="V40">
        <v>0</v>
      </c>
      <c r="W40">
        <v>28</v>
      </c>
      <c r="X40">
        <v>179</v>
      </c>
      <c r="Y40">
        <v>0</v>
      </c>
      <c r="Z40">
        <f t="shared" si="0"/>
        <v>973807.67200000002</v>
      </c>
      <c r="AD40" t="s">
        <v>2611</v>
      </c>
      <c r="AE40" t="s">
        <v>2612</v>
      </c>
      <c r="AF40" t="s">
        <v>2613</v>
      </c>
      <c r="AG40" t="str">
        <f t="shared" si="1"/>
        <v>Census Tract 67, King County, Washington</v>
      </c>
      <c r="AH40">
        <v>1214170.183</v>
      </c>
    </row>
    <row r="41" spans="1:34" x14ac:dyDescent="0.25">
      <c r="A41" t="s">
        <v>1686</v>
      </c>
      <c r="B41">
        <v>53033004000</v>
      </c>
      <c r="C41" t="s">
        <v>1687</v>
      </c>
      <c r="D41">
        <v>3198</v>
      </c>
      <c r="E41">
        <v>2686</v>
      </c>
      <c r="F41">
        <v>512</v>
      </c>
      <c r="G41">
        <v>3198</v>
      </c>
      <c r="H41">
        <v>2686</v>
      </c>
      <c r="I41">
        <v>512</v>
      </c>
      <c r="J41">
        <v>2056</v>
      </c>
      <c r="K41">
        <v>158</v>
      </c>
      <c r="L41">
        <v>40</v>
      </c>
      <c r="M41">
        <v>8</v>
      </c>
      <c r="N41">
        <v>315</v>
      </c>
      <c r="O41">
        <v>70</v>
      </c>
      <c r="P41">
        <v>0</v>
      </c>
      <c r="Q41">
        <v>0</v>
      </c>
      <c r="R41">
        <v>54</v>
      </c>
      <c r="S41">
        <v>243</v>
      </c>
      <c r="T41">
        <v>0</v>
      </c>
      <c r="U41">
        <v>0</v>
      </c>
      <c r="V41">
        <v>26</v>
      </c>
      <c r="W41">
        <v>0</v>
      </c>
      <c r="X41">
        <v>195</v>
      </c>
      <c r="Y41">
        <v>33</v>
      </c>
      <c r="Z41">
        <f t="shared" si="0"/>
        <v>2470184.176</v>
      </c>
      <c r="AD41" t="s">
        <v>2614</v>
      </c>
      <c r="AE41" t="s">
        <v>2615</v>
      </c>
      <c r="AF41" t="s">
        <v>2616</v>
      </c>
      <c r="AG41" t="str">
        <f t="shared" si="1"/>
        <v>Census Tract 66, King County, Washington</v>
      </c>
      <c r="AH41">
        <v>1015325.2709999999</v>
      </c>
    </row>
    <row r="42" spans="1:34" x14ac:dyDescent="0.25">
      <c r="A42" t="s">
        <v>1688</v>
      </c>
      <c r="B42">
        <v>53033004100</v>
      </c>
      <c r="C42" t="s">
        <v>1689</v>
      </c>
      <c r="D42">
        <v>7920</v>
      </c>
      <c r="E42">
        <v>6581</v>
      </c>
      <c r="F42">
        <v>1339</v>
      </c>
      <c r="G42">
        <v>7920</v>
      </c>
      <c r="H42">
        <v>6581</v>
      </c>
      <c r="I42">
        <v>1339</v>
      </c>
      <c r="J42">
        <v>5902</v>
      </c>
      <c r="K42">
        <v>575</v>
      </c>
      <c r="L42">
        <v>42</v>
      </c>
      <c r="M42">
        <v>49</v>
      </c>
      <c r="N42">
        <v>7</v>
      </c>
      <c r="O42">
        <v>1</v>
      </c>
      <c r="P42">
        <v>0</v>
      </c>
      <c r="Q42">
        <v>0</v>
      </c>
      <c r="R42">
        <v>261</v>
      </c>
      <c r="S42">
        <v>713</v>
      </c>
      <c r="T42">
        <v>16</v>
      </c>
      <c r="U42">
        <v>0</v>
      </c>
      <c r="V42">
        <v>0</v>
      </c>
      <c r="W42">
        <v>1</v>
      </c>
      <c r="X42">
        <v>353</v>
      </c>
      <c r="Y42">
        <v>0</v>
      </c>
      <c r="Z42">
        <f t="shared" si="0"/>
        <v>3203616.6949999998</v>
      </c>
      <c r="AD42" t="s">
        <v>2617</v>
      </c>
      <c r="AE42" t="s">
        <v>2618</v>
      </c>
      <c r="AF42" t="s">
        <v>2619</v>
      </c>
      <c r="AG42" t="str">
        <f t="shared" si="1"/>
        <v>Census Tract 65, King County, Washington</v>
      </c>
      <c r="AH42">
        <v>1133539.8970000001</v>
      </c>
    </row>
    <row r="43" spans="1:34" x14ac:dyDescent="0.25">
      <c r="A43" t="s">
        <v>1690</v>
      </c>
      <c r="B43">
        <v>53033004200</v>
      </c>
      <c r="C43" t="s">
        <v>1691</v>
      </c>
      <c r="D43">
        <v>8458</v>
      </c>
      <c r="E43">
        <v>7043</v>
      </c>
      <c r="F43">
        <v>1415</v>
      </c>
      <c r="G43">
        <v>8458</v>
      </c>
      <c r="H43">
        <v>7043</v>
      </c>
      <c r="I43">
        <v>1415</v>
      </c>
      <c r="J43">
        <v>6246</v>
      </c>
      <c r="K43">
        <v>450</v>
      </c>
      <c r="L43">
        <v>283</v>
      </c>
      <c r="M43">
        <v>48</v>
      </c>
      <c r="N43">
        <v>98</v>
      </c>
      <c r="O43">
        <v>55</v>
      </c>
      <c r="P43">
        <v>1</v>
      </c>
      <c r="Q43">
        <v>0</v>
      </c>
      <c r="R43">
        <v>181</v>
      </c>
      <c r="S43">
        <v>645</v>
      </c>
      <c r="T43">
        <v>0</v>
      </c>
      <c r="U43">
        <v>89</v>
      </c>
      <c r="V43">
        <v>35</v>
      </c>
      <c r="W43">
        <v>20</v>
      </c>
      <c r="X43">
        <v>199</v>
      </c>
      <c r="Y43">
        <v>108</v>
      </c>
      <c r="Z43">
        <f t="shared" si="0"/>
        <v>2464086.1869999999</v>
      </c>
      <c r="AD43" t="s">
        <v>2620</v>
      </c>
      <c r="AE43" t="s">
        <v>2621</v>
      </c>
      <c r="AF43" t="s">
        <v>2622</v>
      </c>
      <c r="AG43" t="str">
        <f t="shared" si="1"/>
        <v>Census Tract 64, King County, Washington</v>
      </c>
      <c r="AH43">
        <v>903650.33100000001</v>
      </c>
    </row>
    <row r="44" spans="1:34" x14ac:dyDescent="0.25">
      <c r="A44" t="s">
        <v>2360</v>
      </c>
      <c r="B44">
        <v>53033004301</v>
      </c>
      <c r="C44" t="s">
        <v>2361</v>
      </c>
      <c r="D44">
        <v>3644</v>
      </c>
      <c r="E44">
        <v>2937</v>
      </c>
      <c r="F44">
        <v>707</v>
      </c>
      <c r="G44">
        <v>3644</v>
      </c>
      <c r="H44">
        <v>2937</v>
      </c>
      <c r="I44">
        <v>707</v>
      </c>
      <c r="J44">
        <v>2357</v>
      </c>
      <c r="K44">
        <v>234</v>
      </c>
      <c r="L44">
        <v>96</v>
      </c>
      <c r="M44">
        <v>0</v>
      </c>
      <c r="N44">
        <v>42</v>
      </c>
      <c r="O44">
        <v>12</v>
      </c>
      <c r="P44">
        <v>0</v>
      </c>
      <c r="Q44">
        <v>0</v>
      </c>
      <c r="R44">
        <v>190</v>
      </c>
      <c r="S44">
        <v>371</v>
      </c>
      <c r="T44">
        <v>0</v>
      </c>
      <c r="U44">
        <v>0</v>
      </c>
      <c r="V44">
        <v>73</v>
      </c>
      <c r="W44">
        <v>81</v>
      </c>
      <c r="X44">
        <v>179</v>
      </c>
      <c r="Y44">
        <v>9</v>
      </c>
      <c r="Z44">
        <f t="shared" si="0"/>
        <v>979235.34600000002</v>
      </c>
      <c r="AD44" t="s">
        <v>2623</v>
      </c>
      <c r="AE44" t="s">
        <v>2624</v>
      </c>
      <c r="AF44" t="s">
        <v>2625</v>
      </c>
      <c r="AG44" t="str">
        <f t="shared" si="1"/>
        <v>Census Tract 63, King County, Washington</v>
      </c>
      <c r="AH44">
        <v>2321807.1039999998</v>
      </c>
    </row>
    <row r="45" spans="1:34" x14ac:dyDescent="0.25">
      <c r="A45" t="s">
        <v>2362</v>
      </c>
      <c r="B45">
        <v>53033004302</v>
      </c>
      <c r="C45" t="s">
        <v>2363</v>
      </c>
      <c r="D45">
        <v>3854</v>
      </c>
      <c r="E45">
        <v>2470</v>
      </c>
      <c r="F45">
        <v>1384</v>
      </c>
      <c r="G45">
        <v>3854</v>
      </c>
      <c r="H45">
        <v>2470</v>
      </c>
      <c r="I45">
        <v>1384</v>
      </c>
      <c r="J45">
        <v>1821</v>
      </c>
      <c r="K45">
        <v>353</v>
      </c>
      <c r="L45">
        <v>37</v>
      </c>
      <c r="M45">
        <v>0</v>
      </c>
      <c r="N45">
        <v>51</v>
      </c>
      <c r="O45">
        <v>61</v>
      </c>
      <c r="P45">
        <v>8</v>
      </c>
      <c r="Q45">
        <v>0</v>
      </c>
      <c r="R45">
        <v>299</v>
      </c>
      <c r="S45">
        <v>916</v>
      </c>
      <c r="T45">
        <v>0</v>
      </c>
      <c r="U45">
        <v>0</v>
      </c>
      <c r="V45">
        <v>19</v>
      </c>
      <c r="W45">
        <v>24</v>
      </c>
      <c r="X45">
        <v>235</v>
      </c>
      <c r="Y45">
        <v>30</v>
      </c>
      <c r="Z45">
        <f t="shared" si="0"/>
        <v>330837.75</v>
      </c>
      <c r="AD45" t="s">
        <v>2626</v>
      </c>
      <c r="AE45" t="s">
        <v>2627</v>
      </c>
      <c r="AF45" t="s">
        <v>2628</v>
      </c>
      <c r="AG45" t="str">
        <f t="shared" si="1"/>
        <v>Census Tract 62, King County, Washington</v>
      </c>
      <c r="AH45">
        <v>2527641.2570000002</v>
      </c>
    </row>
    <row r="46" spans="1:34" x14ac:dyDescent="0.25">
      <c r="A46" t="s">
        <v>1694</v>
      </c>
      <c r="B46">
        <v>53033004400</v>
      </c>
      <c r="C46" t="s">
        <v>1695</v>
      </c>
      <c r="D46">
        <v>7314</v>
      </c>
      <c r="E46">
        <v>6161</v>
      </c>
      <c r="F46">
        <v>1153</v>
      </c>
      <c r="G46">
        <v>7314</v>
      </c>
      <c r="H46">
        <v>6161</v>
      </c>
      <c r="I46">
        <v>1153</v>
      </c>
      <c r="J46">
        <v>4778</v>
      </c>
      <c r="K46">
        <v>392</v>
      </c>
      <c r="L46">
        <v>169</v>
      </c>
      <c r="M46">
        <v>104</v>
      </c>
      <c r="N46">
        <v>235</v>
      </c>
      <c r="O46">
        <v>16</v>
      </c>
      <c r="P46">
        <v>0</v>
      </c>
      <c r="Q46">
        <v>0</v>
      </c>
      <c r="R46">
        <v>520</v>
      </c>
      <c r="S46">
        <v>562</v>
      </c>
      <c r="T46">
        <v>0</v>
      </c>
      <c r="U46">
        <v>0</v>
      </c>
      <c r="V46">
        <v>143</v>
      </c>
      <c r="W46">
        <v>46</v>
      </c>
      <c r="X46">
        <v>316</v>
      </c>
      <c r="Y46">
        <v>33</v>
      </c>
      <c r="Z46">
        <f t="shared" si="0"/>
        <v>989902.56900000002</v>
      </c>
      <c r="AD46" t="s">
        <v>2629</v>
      </c>
      <c r="AE46" t="s">
        <v>2630</v>
      </c>
      <c r="AF46" t="s">
        <v>2631</v>
      </c>
      <c r="AG46" t="str">
        <f t="shared" si="1"/>
        <v>Census Tract 61, King County, Washington</v>
      </c>
      <c r="AH46">
        <v>1106777.1310000001</v>
      </c>
    </row>
    <row r="47" spans="1:34" x14ac:dyDescent="0.25">
      <c r="A47" t="s">
        <v>1696</v>
      </c>
      <c r="B47">
        <v>53033004500</v>
      </c>
      <c r="C47" t="s">
        <v>1697</v>
      </c>
      <c r="D47">
        <v>3157</v>
      </c>
      <c r="E47">
        <v>2820</v>
      </c>
      <c r="F47">
        <v>337</v>
      </c>
      <c r="G47">
        <v>3157</v>
      </c>
      <c r="H47">
        <v>2820</v>
      </c>
      <c r="I47">
        <v>337</v>
      </c>
      <c r="J47">
        <v>2357</v>
      </c>
      <c r="K47">
        <v>140</v>
      </c>
      <c r="L47">
        <v>43</v>
      </c>
      <c r="M47">
        <v>0</v>
      </c>
      <c r="N47">
        <v>29</v>
      </c>
      <c r="O47">
        <v>5</v>
      </c>
      <c r="P47">
        <v>16</v>
      </c>
      <c r="Q47">
        <v>0</v>
      </c>
      <c r="R47">
        <v>206</v>
      </c>
      <c r="S47">
        <v>165</v>
      </c>
      <c r="T47">
        <v>0</v>
      </c>
      <c r="U47">
        <v>0</v>
      </c>
      <c r="V47">
        <v>0</v>
      </c>
      <c r="W47">
        <v>0</v>
      </c>
      <c r="X47">
        <v>169</v>
      </c>
      <c r="Y47">
        <v>27</v>
      </c>
      <c r="Z47">
        <f t="shared" si="0"/>
        <v>670996.55099999998</v>
      </c>
      <c r="AD47" t="s">
        <v>2632</v>
      </c>
      <c r="AE47" t="s">
        <v>2633</v>
      </c>
      <c r="AF47" t="s">
        <v>2634</v>
      </c>
      <c r="AG47" t="str">
        <f t="shared" si="1"/>
        <v>Census Tract 60, King County, Washington</v>
      </c>
      <c r="AH47">
        <v>1295263.9210000001</v>
      </c>
    </row>
    <row r="48" spans="1:34" x14ac:dyDescent="0.25">
      <c r="A48" t="s">
        <v>1698</v>
      </c>
      <c r="B48">
        <v>53033004600</v>
      </c>
      <c r="C48" t="s">
        <v>1699</v>
      </c>
      <c r="D48">
        <v>3674</v>
      </c>
      <c r="E48">
        <v>3322</v>
      </c>
      <c r="F48">
        <v>352</v>
      </c>
      <c r="G48">
        <v>3674</v>
      </c>
      <c r="H48">
        <v>3322</v>
      </c>
      <c r="I48">
        <v>352</v>
      </c>
      <c r="J48">
        <v>3089</v>
      </c>
      <c r="K48">
        <v>179</v>
      </c>
      <c r="L48">
        <v>59</v>
      </c>
      <c r="M48">
        <v>9</v>
      </c>
      <c r="N48">
        <v>25</v>
      </c>
      <c r="O48">
        <v>33</v>
      </c>
      <c r="P48">
        <v>0</v>
      </c>
      <c r="Q48">
        <v>6</v>
      </c>
      <c r="R48">
        <v>54</v>
      </c>
      <c r="S48">
        <v>125</v>
      </c>
      <c r="T48">
        <v>0</v>
      </c>
      <c r="U48">
        <v>0</v>
      </c>
      <c r="V48">
        <v>0</v>
      </c>
      <c r="W48">
        <v>0</v>
      </c>
      <c r="X48">
        <v>95</v>
      </c>
      <c r="Y48">
        <v>0</v>
      </c>
      <c r="Z48">
        <f t="shared" si="0"/>
        <v>1574150.358</v>
      </c>
      <c r="AD48" t="s">
        <v>2635</v>
      </c>
      <c r="AE48" t="s">
        <v>2636</v>
      </c>
      <c r="AF48" t="s">
        <v>2637</v>
      </c>
      <c r="AG48" t="str">
        <f t="shared" si="1"/>
        <v>Census Tract 6, King County, Washington</v>
      </c>
      <c r="AH48">
        <v>3779676.12</v>
      </c>
    </row>
    <row r="49" spans="1:34" x14ac:dyDescent="0.25">
      <c r="A49" t="s">
        <v>1700</v>
      </c>
      <c r="B49">
        <v>53033004700</v>
      </c>
      <c r="C49" t="s">
        <v>1701</v>
      </c>
      <c r="D49">
        <v>8649</v>
      </c>
      <c r="E49">
        <v>7452</v>
      </c>
      <c r="F49">
        <v>1197</v>
      </c>
      <c r="G49">
        <v>8649</v>
      </c>
      <c r="H49">
        <v>7452</v>
      </c>
      <c r="I49">
        <v>1197</v>
      </c>
      <c r="J49">
        <v>6125</v>
      </c>
      <c r="K49">
        <v>620</v>
      </c>
      <c r="L49">
        <v>85</v>
      </c>
      <c r="M49">
        <v>71</v>
      </c>
      <c r="N49">
        <v>85</v>
      </c>
      <c r="O49">
        <v>73</v>
      </c>
      <c r="P49">
        <v>0</v>
      </c>
      <c r="Q49">
        <v>0</v>
      </c>
      <c r="R49">
        <v>446</v>
      </c>
      <c r="S49">
        <v>390</v>
      </c>
      <c r="T49">
        <v>0</v>
      </c>
      <c r="U49">
        <v>0</v>
      </c>
      <c r="V49">
        <v>67</v>
      </c>
      <c r="W49">
        <v>0</v>
      </c>
      <c r="X49">
        <v>644</v>
      </c>
      <c r="Y49">
        <v>43</v>
      </c>
      <c r="Z49">
        <f t="shared" si="0"/>
        <v>1985387.925</v>
      </c>
      <c r="AD49" t="s">
        <v>2638</v>
      </c>
      <c r="AE49" t="s">
        <v>2639</v>
      </c>
      <c r="AF49" t="s">
        <v>2640</v>
      </c>
      <c r="AG49" t="str">
        <f t="shared" si="1"/>
        <v>Census Tract 59, King County, Washington</v>
      </c>
      <c r="AH49">
        <v>1804383.4609999999</v>
      </c>
    </row>
    <row r="50" spans="1:34" x14ac:dyDescent="0.25">
      <c r="A50" t="s">
        <v>1702</v>
      </c>
      <c r="B50">
        <v>53033004800</v>
      </c>
      <c r="C50" t="s">
        <v>1703</v>
      </c>
      <c r="D50">
        <v>5136</v>
      </c>
      <c r="E50">
        <v>4747</v>
      </c>
      <c r="F50">
        <v>389</v>
      </c>
      <c r="G50">
        <v>5136</v>
      </c>
      <c r="H50">
        <v>4747</v>
      </c>
      <c r="I50">
        <v>389</v>
      </c>
      <c r="J50">
        <v>4118</v>
      </c>
      <c r="K50">
        <v>182</v>
      </c>
      <c r="L50">
        <v>14</v>
      </c>
      <c r="M50">
        <v>37</v>
      </c>
      <c r="N50">
        <v>0</v>
      </c>
      <c r="O50">
        <v>38</v>
      </c>
      <c r="P50">
        <v>11</v>
      </c>
      <c r="Q50">
        <v>16</v>
      </c>
      <c r="R50">
        <v>213</v>
      </c>
      <c r="S50">
        <v>116</v>
      </c>
      <c r="T50">
        <v>0</v>
      </c>
      <c r="U50">
        <v>0</v>
      </c>
      <c r="V50">
        <v>74</v>
      </c>
      <c r="W50">
        <v>0</v>
      </c>
      <c r="X50">
        <v>317</v>
      </c>
      <c r="Y50">
        <v>0</v>
      </c>
      <c r="Z50">
        <f t="shared" si="0"/>
        <v>1332369.4750000001</v>
      </c>
      <c r="AD50" t="s">
        <v>2641</v>
      </c>
      <c r="AE50" t="s">
        <v>2642</v>
      </c>
      <c r="AF50" t="s">
        <v>2643</v>
      </c>
      <c r="AG50" t="str">
        <f t="shared" si="1"/>
        <v>Census Tract 58.02, King County, Washington</v>
      </c>
      <c r="AH50">
        <v>2844904.52</v>
      </c>
    </row>
    <row r="51" spans="1:34" x14ac:dyDescent="0.25">
      <c r="A51" t="s">
        <v>1704</v>
      </c>
      <c r="B51">
        <v>53033004900</v>
      </c>
      <c r="C51" t="s">
        <v>1705</v>
      </c>
      <c r="D51">
        <v>7429</v>
      </c>
      <c r="E51">
        <v>6695</v>
      </c>
      <c r="F51">
        <v>734</v>
      </c>
      <c r="G51">
        <v>7429</v>
      </c>
      <c r="H51">
        <v>6695</v>
      </c>
      <c r="I51">
        <v>734</v>
      </c>
      <c r="J51">
        <v>6082</v>
      </c>
      <c r="K51">
        <v>391</v>
      </c>
      <c r="L51">
        <v>138</v>
      </c>
      <c r="M51">
        <v>0</v>
      </c>
      <c r="N51">
        <v>19</v>
      </c>
      <c r="O51">
        <v>0</v>
      </c>
      <c r="P51">
        <v>25</v>
      </c>
      <c r="Q51">
        <v>0</v>
      </c>
      <c r="R51">
        <v>143</v>
      </c>
      <c r="S51">
        <v>146</v>
      </c>
      <c r="T51">
        <v>0</v>
      </c>
      <c r="U51">
        <v>0</v>
      </c>
      <c r="V51">
        <v>19</v>
      </c>
      <c r="W51">
        <v>40</v>
      </c>
      <c r="X51">
        <v>269</v>
      </c>
      <c r="Y51">
        <v>157</v>
      </c>
      <c r="Z51">
        <f t="shared" si="0"/>
        <v>1096632.0989999999</v>
      </c>
      <c r="AD51" t="s">
        <v>2644</v>
      </c>
      <c r="AE51" t="s">
        <v>2645</v>
      </c>
      <c r="AF51" t="s">
        <v>2646</v>
      </c>
      <c r="AG51" t="str">
        <f t="shared" si="1"/>
        <v>Census Tract 58.01, King County, Washington</v>
      </c>
      <c r="AH51">
        <v>1806689.7819999999</v>
      </c>
    </row>
    <row r="52" spans="1:34" x14ac:dyDescent="0.25">
      <c r="A52" t="s">
        <v>1706</v>
      </c>
      <c r="B52">
        <v>53033005000</v>
      </c>
      <c r="C52" t="s">
        <v>1707</v>
      </c>
      <c r="D52">
        <v>4194</v>
      </c>
      <c r="E52">
        <v>3701</v>
      </c>
      <c r="F52">
        <v>493</v>
      </c>
      <c r="G52">
        <v>4194</v>
      </c>
      <c r="H52">
        <v>3701</v>
      </c>
      <c r="I52">
        <v>493</v>
      </c>
      <c r="J52">
        <v>3116</v>
      </c>
      <c r="K52">
        <v>219</v>
      </c>
      <c r="L52">
        <v>143</v>
      </c>
      <c r="M52">
        <v>78</v>
      </c>
      <c r="N52">
        <v>20</v>
      </c>
      <c r="O52">
        <v>42</v>
      </c>
      <c r="P52">
        <v>14</v>
      </c>
      <c r="Q52">
        <v>0</v>
      </c>
      <c r="R52">
        <v>154</v>
      </c>
      <c r="S52">
        <v>154</v>
      </c>
      <c r="T52">
        <v>29</v>
      </c>
      <c r="U52">
        <v>0</v>
      </c>
      <c r="V52">
        <v>0</v>
      </c>
      <c r="W52">
        <v>0</v>
      </c>
      <c r="X52">
        <v>225</v>
      </c>
      <c r="Y52">
        <v>0</v>
      </c>
      <c r="Z52">
        <f t="shared" si="0"/>
        <v>757383.10100000002</v>
      </c>
      <c r="AD52" t="s">
        <v>2647</v>
      </c>
      <c r="AE52" t="s">
        <v>2648</v>
      </c>
      <c r="AF52" t="s">
        <v>2649</v>
      </c>
      <c r="AG52" t="str">
        <f t="shared" si="1"/>
        <v>Census Tract 57, King County, Washington</v>
      </c>
      <c r="AH52">
        <v>4975678.3470000001</v>
      </c>
    </row>
    <row r="53" spans="1:34" x14ac:dyDescent="0.25">
      <c r="A53" t="s">
        <v>1708</v>
      </c>
      <c r="B53">
        <v>53033005100</v>
      </c>
      <c r="C53" t="s">
        <v>1709</v>
      </c>
      <c r="D53">
        <v>3678</v>
      </c>
      <c r="E53">
        <v>3239</v>
      </c>
      <c r="F53">
        <v>439</v>
      </c>
      <c r="G53">
        <v>3678</v>
      </c>
      <c r="H53">
        <v>3239</v>
      </c>
      <c r="I53">
        <v>439</v>
      </c>
      <c r="J53">
        <v>2817</v>
      </c>
      <c r="K53">
        <v>224</v>
      </c>
      <c r="L53">
        <v>90</v>
      </c>
      <c r="M53">
        <v>34</v>
      </c>
      <c r="N53">
        <v>29</v>
      </c>
      <c r="O53">
        <v>0</v>
      </c>
      <c r="P53">
        <v>5</v>
      </c>
      <c r="Q53">
        <v>0</v>
      </c>
      <c r="R53">
        <v>139</v>
      </c>
      <c r="S53">
        <v>83</v>
      </c>
      <c r="T53">
        <v>0</v>
      </c>
      <c r="U53">
        <v>0</v>
      </c>
      <c r="V53">
        <v>53</v>
      </c>
      <c r="W53">
        <v>84</v>
      </c>
      <c r="X53">
        <v>106</v>
      </c>
      <c r="Y53">
        <v>14</v>
      </c>
      <c r="Z53">
        <f t="shared" si="0"/>
        <v>881712.23899999994</v>
      </c>
      <c r="AD53" t="s">
        <v>2650</v>
      </c>
      <c r="AE53" t="s">
        <v>2651</v>
      </c>
      <c r="AF53" t="s">
        <v>2652</v>
      </c>
      <c r="AG53" t="str">
        <f t="shared" si="1"/>
        <v>Census Tract 56, King County, Washington</v>
      </c>
      <c r="AH53">
        <v>2978461.5959999999</v>
      </c>
    </row>
    <row r="54" spans="1:34" x14ac:dyDescent="0.25">
      <c r="A54" t="s">
        <v>1710</v>
      </c>
      <c r="B54">
        <v>53033005200</v>
      </c>
      <c r="C54" t="s">
        <v>1711</v>
      </c>
      <c r="D54">
        <v>7041</v>
      </c>
      <c r="E54">
        <v>4756</v>
      </c>
      <c r="F54">
        <v>2285</v>
      </c>
      <c r="G54">
        <v>7041</v>
      </c>
      <c r="H54">
        <v>4756</v>
      </c>
      <c r="I54">
        <v>2285</v>
      </c>
      <c r="J54">
        <v>3456</v>
      </c>
      <c r="K54">
        <v>406</v>
      </c>
      <c r="L54">
        <v>144</v>
      </c>
      <c r="M54">
        <v>69</v>
      </c>
      <c r="N54">
        <v>48</v>
      </c>
      <c r="O54">
        <v>19</v>
      </c>
      <c r="P54">
        <v>0</v>
      </c>
      <c r="Q54">
        <v>0</v>
      </c>
      <c r="R54">
        <v>640</v>
      </c>
      <c r="S54">
        <v>1715</v>
      </c>
      <c r="T54">
        <v>19</v>
      </c>
      <c r="U54">
        <v>0</v>
      </c>
      <c r="V54">
        <v>49</v>
      </c>
      <c r="W54">
        <v>20</v>
      </c>
      <c r="X54">
        <v>400</v>
      </c>
      <c r="Y54">
        <v>56</v>
      </c>
      <c r="Z54">
        <f t="shared" si="0"/>
        <v>962009.87100000004</v>
      </c>
      <c r="AD54" t="s">
        <v>2653</v>
      </c>
      <c r="AE54" t="s">
        <v>2654</v>
      </c>
      <c r="AF54" t="s">
        <v>2655</v>
      </c>
      <c r="AG54" t="str">
        <f t="shared" si="1"/>
        <v>Census Tract 54, King County, Washington</v>
      </c>
      <c r="AH54">
        <v>1173331.1029999999</v>
      </c>
    </row>
    <row r="55" spans="1:34" x14ac:dyDescent="0.25">
      <c r="A55" t="s">
        <v>1712</v>
      </c>
      <c r="B55">
        <v>53033005301</v>
      </c>
      <c r="C55" t="s">
        <v>1713</v>
      </c>
      <c r="D55">
        <v>7792</v>
      </c>
      <c r="E55">
        <v>5115</v>
      </c>
      <c r="F55">
        <v>2677</v>
      </c>
      <c r="G55">
        <v>7792</v>
      </c>
      <c r="H55">
        <v>5115</v>
      </c>
      <c r="I55">
        <v>2677</v>
      </c>
      <c r="J55">
        <v>3344</v>
      </c>
      <c r="K55">
        <v>382</v>
      </c>
      <c r="L55">
        <v>132</v>
      </c>
      <c r="M55">
        <v>23</v>
      </c>
      <c r="N55">
        <v>131</v>
      </c>
      <c r="O55">
        <v>69</v>
      </c>
      <c r="P55">
        <v>184</v>
      </c>
      <c r="Q55">
        <v>0</v>
      </c>
      <c r="R55">
        <v>531</v>
      </c>
      <c r="S55">
        <v>2033</v>
      </c>
      <c r="T55">
        <v>16</v>
      </c>
      <c r="U55">
        <v>14</v>
      </c>
      <c r="V55">
        <v>80</v>
      </c>
      <c r="W55">
        <v>56</v>
      </c>
      <c r="X55">
        <v>697</v>
      </c>
      <c r="Y55">
        <v>100</v>
      </c>
      <c r="Z55">
        <f t="shared" si="0"/>
        <v>543482.87100000004</v>
      </c>
      <c r="AD55" t="s">
        <v>2656</v>
      </c>
      <c r="AE55" t="s">
        <v>2657</v>
      </c>
      <c r="AF55" t="s">
        <v>2658</v>
      </c>
      <c r="AG55" t="str">
        <f t="shared" si="1"/>
        <v>Census Tract 53.02, King County, Washington</v>
      </c>
      <c r="AH55">
        <v>2405162.0649999999</v>
      </c>
    </row>
    <row r="56" spans="1:34" x14ac:dyDescent="0.25">
      <c r="A56" t="s">
        <v>1714</v>
      </c>
      <c r="B56">
        <v>53033005302</v>
      </c>
      <c r="C56" t="s">
        <v>1715</v>
      </c>
      <c r="D56">
        <v>4717</v>
      </c>
      <c r="E56">
        <v>3414</v>
      </c>
      <c r="F56">
        <v>1303</v>
      </c>
      <c r="G56">
        <v>4717</v>
      </c>
      <c r="H56">
        <v>3414</v>
      </c>
      <c r="I56">
        <v>1303</v>
      </c>
      <c r="J56">
        <v>1929</v>
      </c>
      <c r="K56">
        <v>170</v>
      </c>
      <c r="L56">
        <v>90</v>
      </c>
      <c r="M56">
        <v>67</v>
      </c>
      <c r="N56">
        <v>66</v>
      </c>
      <c r="O56">
        <v>34</v>
      </c>
      <c r="P56">
        <v>16</v>
      </c>
      <c r="Q56">
        <v>0</v>
      </c>
      <c r="R56">
        <v>699</v>
      </c>
      <c r="S56">
        <v>975</v>
      </c>
      <c r="T56">
        <v>13</v>
      </c>
      <c r="U56">
        <v>14</v>
      </c>
      <c r="V56">
        <v>111</v>
      </c>
      <c r="W56">
        <v>6</v>
      </c>
      <c r="X56">
        <v>490</v>
      </c>
      <c r="Y56">
        <v>37</v>
      </c>
      <c r="Z56">
        <f t="shared" si="0"/>
        <v>2405162.0649999999</v>
      </c>
      <c r="AD56" t="s">
        <v>2659</v>
      </c>
      <c r="AE56" t="s">
        <v>2660</v>
      </c>
      <c r="AF56" t="s">
        <v>2661</v>
      </c>
      <c r="AG56" t="str">
        <f t="shared" si="1"/>
        <v>Census Tract 53.01, King County, Washington</v>
      </c>
      <c r="AH56">
        <v>543482.87100000004</v>
      </c>
    </row>
    <row r="57" spans="1:34" x14ac:dyDescent="0.25">
      <c r="A57" t="s">
        <v>1716</v>
      </c>
      <c r="B57">
        <v>53033005400</v>
      </c>
      <c r="C57" t="s">
        <v>1717</v>
      </c>
      <c r="D57">
        <v>5683</v>
      </c>
      <c r="E57">
        <v>5001</v>
      </c>
      <c r="F57">
        <v>682</v>
      </c>
      <c r="G57">
        <v>5683</v>
      </c>
      <c r="H57">
        <v>5001</v>
      </c>
      <c r="I57">
        <v>682</v>
      </c>
      <c r="J57">
        <v>4190</v>
      </c>
      <c r="K57">
        <v>296</v>
      </c>
      <c r="L57">
        <v>117</v>
      </c>
      <c r="M57">
        <v>0</v>
      </c>
      <c r="N57">
        <v>76</v>
      </c>
      <c r="O57">
        <v>0</v>
      </c>
      <c r="P57">
        <v>0</v>
      </c>
      <c r="Q57">
        <v>0</v>
      </c>
      <c r="R57">
        <v>274</v>
      </c>
      <c r="S57">
        <v>218</v>
      </c>
      <c r="T57">
        <v>0</v>
      </c>
      <c r="U57">
        <v>0</v>
      </c>
      <c r="V57">
        <v>0</v>
      </c>
      <c r="W57">
        <v>15</v>
      </c>
      <c r="X57">
        <v>344</v>
      </c>
      <c r="Y57">
        <v>153</v>
      </c>
      <c r="Z57">
        <f t="shared" si="0"/>
        <v>1173331.1029999999</v>
      </c>
      <c r="AD57" t="s">
        <v>2662</v>
      </c>
      <c r="AE57" t="s">
        <v>2663</v>
      </c>
      <c r="AF57" t="s">
        <v>2664</v>
      </c>
      <c r="AG57" t="str">
        <f t="shared" si="1"/>
        <v>Census Tract 52, King County, Washington</v>
      </c>
      <c r="AH57">
        <v>962009.87100000004</v>
      </c>
    </row>
    <row r="58" spans="1:34" x14ac:dyDescent="0.25">
      <c r="A58" t="s">
        <v>1718</v>
      </c>
      <c r="B58">
        <v>53033005600</v>
      </c>
      <c r="C58" t="s">
        <v>1719</v>
      </c>
      <c r="D58">
        <v>6875</v>
      </c>
      <c r="E58">
        <v>6036</v>
      </c>
      <c r="F58">
        <v>839</v>
      </c>
      <c r="G58">
        <v>6875</v>
      </c>
      <c r="H58">
        <v>6036</v>
      </c>
      <c r="I58">
        <v>839</v>
      </c>
      <c r="J58">
        <v>5390</v>
      </c>
      <c r="K58">
        <v>390</v>
      </c>
      <c r="L58">
        <v>179</v>
      </c>
      <c r="M58">
        <v>17</v>
      </c>
      <c r="N58">
        <v>17</v>
      </c>
      <c r="O58">
        <v>0</v>
      </c>
      <c r="P58">
        <v>21</v>
      </c>
      <c r="Q58">
        <v>16</v>
      </c>
      <c r="R58">
        <v>20</v>
      </c>
      <c r="S58">
        <v>312</v>
      </c>
      <c r="T58">
        <v>29</v>
      </c>
      <c r="U58">
        <v>41</v>
      </c>
      <c r="V58">
        <v>51</v>
      </c>
      <c r="W58">
        <v>22</v>
      </c>
      <c r="X58">
        <v>329</v>
      </c>
      <c r="Y58">
        <v>41</v>
      </c>
      <c r="Z58">
        <f t="shared" si="0"/>
        <v>2978461.5959999999</v>
      </c>
      <c r="AD58" t="s">
        <v>2665</v>
      </c>
      <c r="AE58" t="s">
        <v>2666</v>
      </c>
      <c r="AF58" t="s">
        <v>2667</v>
      </c>
      <c r="AG58" t="str">
        <f t="shared" si="1"/>
        <v>Census Tract 51, King County, Washington</v>
      </c>
      <c r="AH58">
        <v>881712.23899999994</v>
      </c>
    </row>
    <row r="59" spans="1:34" x14ac:dyDescent="0.25">
      <c r="A59" t="s">
        <v>1720</v>
      </c>
      <c r="B59">
        <v>53033005700</v>
      </c>
      <c r="C59" t="s">
        <v>1721</v>
      </c>
      <c r="D59">
        <v>6816</v>
      </c>
      <c r="E59">
        <v>5823</v>
      </c>
      <c r="F59">
        <v>993</v>
      </c>
      <c r="G59">
        <v>6816</v>
      </c>
      <c r="H59">
        <v>5823</v>
      </c>
      <c r="I59">
        <v>993</v>
      </c>
      <c r="J59">
        <v>5127</v>
      </c>
      <c r="K59">
        <v>362</v>
      </c>
      <c r="L59">
        <v>169</v>
      </c>
      <c r="M59">
        <v>16</v>
      </c>
      <c r="N59">
        <v>34</v>
      </c>
      <c r="O59">
        <v>69</v>
      </c>
      <c r="P59">
        <v>43</v>
      </c>
      <c r="Q59">
        <v>0</v>
      </c>
      <c r="R59">
        <v>177</v>
      </c>
      <c r="S59">
        <v>478</v>
      </c>
      <c r="T59">
        <v>0</v>
      </c>
      <c r="U59">
        <v>0</v>
      </c>
      <c r="V59">
        <v>35</v>
      </c>
      <c r="W59">
        <v>17</v>
      </c>
      <c r="X59">
        <v>238</v>
      </c>
      <c r="Y59">
        <v>51</v>
      </c>
      <c r="Z59">
        <f t="shared" si="0"/>
        <v>4975678.3470000001</v>
      </c>
      <c r="AD59" t="s">
        <v>2668</v>
      </c>
      <c r="AE59" t="s">
        <v>2669</v>
      </c>
      <c r="AF59" t="s">
        <v>2670</v>
      </c>
      <c r="AG59" t="str">
        <f t="shared" si="1"/>
        <v>Census Tract 50, King County, Washington</v>
      </c>
      <c r="AH59">
        <v>757383.10100000002</v>
      </c>
    </row>
    <row r="60" spans="1:34" x14ac:dyDescent="0.25">
      <c r="A60" t="s">
        <v>1722</v>
      </c>
      <c r="B60">
        <v>53033005801</v>
      </c>
      <c r="C60" t="s">
        <v>1723</v>
      </c>
      <c r="D60">
        <v>5344</v>
      </c>
      <c r="E60">
        <v>4627</v>
      </c>
      <c r="F60">
        <v>717</v>
      </c>
      <c r="G60">
        <v>5344</v>
      </c>
      <c r="H60">
        <v>4627</v>
      </c>
      <c r="I60">
        <v>717</v>
      </c>
      <c r="J60">
        <v>3625</v>
      </c>
      <c r="K60">
        <v>416</v>
      </c>
      <c r="L60">
        <v>387</v>
      </c>
      <c r="M60">
        <v>74</v>
      </c>
      <c r="N60">
        <v>274</v>
      </c>
      <c r="O60">
        <v>74</v>
      </c>
      <c r="P60">
        <v>20</v>
      </c>
      <c r="Q60">
        <v>0</v>
      </c>
      <c r="R60">
        <v>69</v>
      </c>
      <c r="S60">
        <v>153</v>
      </c>
      <c r="T60">
        <v>0</v>
      </c>
      <c r="U60">
        <v>0</v>
      </c>
      <c r="V60">
        <v>0</v>
      </c>
      <c r="W60">
        <v>0</v>
      </c>
      <c r="X60">
        <v>252</v>
      </c>
      <c r="Y60">
        <v>0</v>
      </c>
      <c r="Z60">
        <f t="shared" si="0"/>
        <v>1806689.7819999999</v>
      </c>
      <c r="AD60" t="s">
        <v>2671</v>
      </c>
      <c r="AE60" t="s">
        <v>2672</v>
      </c>
      <c r="AF60" t="s">
        <v>2673</v>
      </c>
      <c r="AG60" t="str">
        <f t="shared" si="1"/>
        <v>Census Tract 5, King County, Washington</v>
      </c>
      <c r="AH60">
        <v>2791881.8909999998</v>
      </c>
    </row>
    <row r="61" spans="1:34" x14ac:dyDescent="0.25">
      <c r="A61" t="s">
        <v>1724</v>
      </c>
      <c r="B61">
        <v>53033005802</v>
      </c>
      <c r="C61" t="s">
        <v>1725</v>
      </c>
      <c r="D61">
        <v>5680</v>
      </c>
      <c r="E61">
        <v>4699</v>
      </c>
      <c r="F61">
        <v>981</v>
      </c>
      <c r="G61">
        <v>5680</v>
      </c>
      <c r="H61">
        <v>4699</v>
      </c>
      <c r="I61">
        <v>981</v>
      </c>
      <c r="J61">
        <v>3640</v>
      </c>
      <c r="K61">
        <v>395</v>
      </c>
      <c r="L61">
        <v>125</v>
      </c>
      <c r="M61">
        <v>56</v>
      </c>
      <c r="N61">
        <v>346</v>
      </c>
      <c r="O61">
        <v>0</v>
      </c>
      <c r="P61">
        <v>0</v>
      </c>
      <c r="Q61">
        <v>0</v>
      </c>
      <c r="R61">
        <v>305</v>
      </c>
      <c r="S61">
        <v>479</v>
      </c>
      <c r="T61">
        <v>0</v>
      </c>
      <c r="U61">
        <v>22</v>
      </c>
      <c r="V61">
        <v>0</v>
      </c>
      <c r="W61">
        <v>0</v>
      </c>
      <c r="X61">
        <v>283</v>
      </c>
      <c r="Y61">
        <v>29</v>
      </c>
      <c r="Z61">
        <f t="shared" si="0"/>
        <v>2844904.52</v>
      </c>
      <c r="AD61" t="s">
        <v>2674</v>
      </c>
      <c r="AE61" t="s">
        <v>2675</v>
      </c>
      <c r="AF61" t="s">
        <v>2676</v>
      </c>
      <c r="AG61" t="str">
        <f t="shared" si="1"/>
        <v>Census Tract 49, King County, Washington</v>
      </c>
      <c r="AH61">
        <v>1096632.0989999999</v>
      </c>
    </row>
    <row r="62" spans="1:34" x14ac:dyDescent="0.25">
      <c r="A62" t="s">
        <v>1726</v>
      </c>
      <c r="B62">
        <v>53033005900</v>
      </c>
      <c r="C62" t="s">
        <v>1727</v>
      </c>
      <c r="D62">
        <v>7975</v>
      </c>
      <c r="E62">
        <v>6968</v>
      </c>
      <c r="F62">
        <v>1007</v>
      </c>
      <c r="G62">
        <v>7975</v>
      </c>
      <c r="H62">
        <v>6968</v>
      </c>
      <c r="I62">
        <v>1007</v>
      </c>
      <c r="J62">
        <v>5781</v>
      </c>
      <c r="K62">
        <v>518</v>
      </c>
      <c r="L62">
        <v>91</v>
      </c>
      <c r="M62">
        <v>22</v>
      </c>
      <c r="N62">
        <v>167</v>
      </c>
      <c r="O62">
        <v>18</v>
      </c>
      <c r="P62">
        <v>18</v>
      </c>
      <c r="Q62">
        <v>0</v>
      </c>
      <c r="R62">
        <v>342</v>
      </c>
      <c r="S62">
        <v>333</v>
      </c>
      <c r="T62">
        <v>0</v>
      </c>
      <c r="U62">
        <v>0</v>
      </c>
      <c r="V62">
        <v>56</v>
      </c>
      <c r="W62">
        <v>71</v>
      </c>
      <c r="X62">
        <v>513</v>
      </c>
      <c r="Y62">
        <v>45</v>
      </c>
      <c r="Z62">
        <f t="shared" si="0"/>
        <v>1804383.4609999999</v>
      </c>
      <c r="AD62" t="s">
        <v>2677</v>
      </c>
      <c r="AE62" t="s">
        <v>2678</v>
      </c>
      <c r="AF62" t="s">
        <v>2679</v>
      </c>
      <c r="AG62" t="str">
        <f t="shared" si="1"/>
        <v>Census Tract 48, King County, Washington</v>
      </c>
      <c r="AH62">
        <v>1332369.4750000001</v>
      </c>
    </row>
    <row r="63" spans="1:34" x14ac:dyDescent="0.25">
      <c r="A63" t="s">
        <v>1728</v>
      </c>
      <c r="B63">
        <v>53033006000</v>
      </c>
      <c r="C63" t="s">
        <v>1729</v>
      </c>
      <c r="D63">
        <v>5785</v>
      </c>
      <c r="E63">
        <v>4889</v>
      </c>
      <c r="F63">
        <v>896</v>
      </c>
      <c r="G63">
        <v>5785</v>
      </c>
      <c r="H63">
        <v>4889</v>
      </c>
      <c r="I63">
        <v>896</v>
      </c>
      <c r="J63">
        <v>3995</v>
      </c>
      <c r="K63">
        <v>629</v>
      </c>
      <c r="L63">
        <v>76</v>
      </c>
      <c r="M63">
        <v>36</v>
      </c>
      <c r="N63">
        <v>32</v>
      </c>
      <c r="O63">
        <v>0</v>
      </c>
      <c r="P63">
        <v>172</v>
      </c>
      <c r="Q63">
        <v>0</v>
      </c>
      <c r="R63">
        <v>174</v>
      </c>
      <c r="S63">
        <v>162</v>
      </c>
      <c r="T63">
        <v>1</v>
      </c>
      <c r="U63">
        <v>0</v>
      </c>
      <c r="V63">
        <v>33</v>
      </c>
      <c r="W63">
        <v>17</v>
      </c>
      <c r="X63">
        <v>406</v>
      </c>
      <c r="Y63">
        <v>52</v>
      </c>
      <c r="Z63">
        <f t="shared" si="0"/>
        <v>1295263.9210000001</v>
      </c>
      <c r="AD63" t="s">
        <v>2680</v>
      </c>
      <c r="AE63" t="s">
        <v>2681</v>
      </c>
      <c r="AF63" t="s">
        <v>2682</v>
      </c>
      <c r="AG63" t="str">
        <f t="shared" si="1"/>
        <v>Census Tract 47, King County, Washington</v>
      </c>
      <c r="AH63">
        <v>1985387.925</v>
      </c>
    </row>
    <row r="64" spans="1:34" x14ac:dyDescent="0.25">
      <c r="A64" t="s">
        <v>1730</v>
      </c>
      <c r="B64">
        <v>53033006100</v>
      </c>
      <c r="C64" t="s">
        <v>1731</v>
      </c>
      <c r="D64">
        <v>5316</v>
      </c>
      <c r="E64">
        <v>4611</v>
      </c>
      <c r="F64">
        <v>705</v>
      </c>
      <c r="G64">
        <v>5316</v>
      </c>
      <c r="H64">
        <v>4611</v>
      </c>
      <c r="I64">
        <v>705</v>
      </c>
      <c r="J64">
        <v>3964</v>
      </c>
      <c r="K64">
        <v>333</v>
      </c>
      <c r="L64">
        <v>71</v>
      </c>
      <c r="M64">
        <v>17</v>
      </c>
      <c r="N64">
        <v>39</v>
      </c>
      <c r="O64">
        <v>0</v>
      </c>
      <c r="P64">
        <v>12</v>
      </c>
      <c r="Q64">
        <v>0</v>
      </c>
      <c r="R64">
        <v>301</v>
      </c>
      <c r="S64">
        <v>269</v>
      </c>
      <c r="T64">
        <v>0</v>
      </c>
      <c r="U64">
        <v>48</v>
      </c>
      <c r="V64">
        <v>15</v>
      </c>
      <c r="W64">
        <v>0</v>
      </c>
      <c r="X64">
        <v>209</v>
      </c>
      <c r="Y64">
        <v>38</v>
      </c>
      <c r="Z64">
        <f t="shared" si="0"/>
        <v>1106777.1310000001</v>
      </c>
      <c r="AD64" t="s">
        <v>2683</v>
      </c>
      <c r="AE64" t="s">
        <v>2684</v>
      </c>
      <c r="AF64" t="s">
        <v>2685</v>
      </c>
      <c r="AG64" t="str">
        <f t="shared" si="1"/>
        <v>Census Tract 46, King County, Washington</v>
      </c>
      <c r="AH64">
        <v>1574150.358</v>
      </c>
    </row>
    <row r="65" spans="1:34" x14ac:dyDescent="0.25">
      <c r="A65" t="s">
        <v>1732</v>
      </c>
      <c r="B65">
        <v>53033006200</v>
      </c>
      <c r="C65" t="s">
        <v>1733</v>
      </c>
      <c r="D65">
        <v>4416</v>
      </c>
      <c r="E65">
        <v>3923</v>
      </c>
      <c r="F65">
        <v>493</v>
      </c>
      <c r="G65">
        <v>4416</v>
      </c>
      <c r="H65">
        <v>3923</v>
      </c>
      <c r="I65">
        <v>493</v>
      </c>
      <c r="J65">
        <v>3334</v>
      </c>
      <c r="K65">
        <v>288</v>
      </c>
      <c r="L65">
        <v>152</v>
      </c>
      <c r="M65">
        <v>38</v>
      </c>
      <c r="N65">
        <v>38</v>
      </c>
      <c r="O65">
        <v>16</v>
      </c>
      <c r="P65">
        <v>0</v>
      </c>
      <c r="Q65">
        <v>0</v>
      </c>
      <c r="R65">
        <v>150</v>
      </c>
      <c r="S65">
        <v>138</v>
      </c>
      <c r="T65">
        <v>0</v>
      </c>
      <c r="U65">
        <v>0</v>
      </c>
      <c r="V65">
        <v>58</v>
      </c>
      <c r="W65">
        <v>13</v>
      </c>
      <c r="X65">
        <v>191</v>
      </c>
      <c r="Y65">
        <v>0</v>
      </c>
      <c r="Z65">
        <f t="shared" si="0"/>
        <v>2527641.2570000002</v>
      </c>
      <c r="AD65" t="s">
        <v>2686</v>
      </c>
      <c r="AE65" t="s">
        <v>2687</v>
      </c>
      <c r="AF65" t="s">
        <v>2688</v>
      </c>
      <c r="AG65" t="str">
        <f t="shared" si="1"/>
        <v>Census Tract 45, King County, Washington</v>
      </c>
      <c r="AH65">
        <v>670996.55099999998</v>
      </c>
    </row>
    <row r="66" spans="1:34" x14ac:dyDescent="0.25">
      <c r="A66" t="s">
        <v>1734</v>
      </c>
      <c r="B66">
        <v>53033006300</v>
      </c>
      <c r="C66" t="s">
        <v>1735</v>
      </c>
      <c r="D66">
        <v>5510</v>
      </c>
      <c r="E66">
        <v>4805</v>
      </c>
      <c r="F66">
        <v>705</v>
      </c>
      <c r="G66">
        <v>5510</v>
      </c>
      <c r="H66">
        <v>4805</v>
      </c>
      <c r="I66">
        <v>705</v>
      </c>
      <c r="J66">
        <v>4393</v>
      </c>
      <c r="K66">
        <v>418</v>
      </c>
      <c r="L66">
        <v>52</v>
      </c>
      <c r="M66">
        <v>18</v>
      </c>
      <c r="N66">
        <v>82</v>
      </c>
      <c r="O66">
        <v>15</v>
      </c>
      <c r="P66">
        <v>0</v>
      </c>
      <c r="Q66">
        <v>0</v>
      </c>
      <c r="R66">
        <v>25</v>
      </c>
      <c r="S66">
        <v>180</v>
      </c>
      <c r="T66">
        <v>0</v>
      </c>
      <c r="U66">
        <v>0</v>
      </c>
      <c r="V66">
        <v>19</v>
      </c>
      <c r="W66">
        <v>0</v>
      </c>
      <c r="X66">
        <v>234</v>
      </c>
      <c r="Y66">
        <v>74</v>
      </c>
      <c r="Z66">
        <f t="shared" si="0"/>
        <v>2321807.1039999998</v>
      </c>
      <c r="AD66" t="s">
        <v>2689</v>
      </c>
      <c r="AE66" t="s">
        <v>2690</v>
      </c>
      <c r="AF66" t="s">
        <v>2691</v>
      </c>
      <c r="AG66" t="str">
        <f t="shared" si="1"/>
        <v>Census Tract 44, King County, Washington</v>
      </c>
      <c r="AH66">
        <v>989902.56900000002</v>
      </c>
    </row>
    <row r="67" spans="1:34" x14ac:dyDescent="0.25">
      <c r="A67" t="s">
        <v>1736</v>
      </c>
      <c r="B67">
        <v>53033006400</v>
      </c>
      <c r="C67" t="s">
        <v>1737</v>
      </c>
      <c r="D67">
        <v>3575</v>
      </c>
      <c r="E67">
        <v>3194</v>
      </c>
      <c r="F67">
        <v>381</v>
      </c>
      <c r="G67">
        <v>3575</v>
      </c>
      <c r="H67">
        <v>3194</v>
      </c>
      <c r="I67">
        <v>381</v>
      </c>
      <c r="J67">
        <v>2750</v>
      </c>
      <c r="K67">
        <v>256</v>
      </c>
      <c r="L67">
        <v>80</v>
      </c>
      <c r="M67">
        <v>39</v>
      </c>
      <c r="N67">
        <v>30</v>
      </c>
      <c r="O67">
        <v>8</v>
      </c>
      <c r="P67">
        <v>8</v>
      </c>
      <c r="Q67">
        <v>0</v>
      </c>
      <c r="R67">
        <v>121</v>
      </c>
      <c r="S67">
        <v>57</v>
      </c>
      <c r="T67">
        <v>17</v>
      </c>
      <c r="U67">
        <v>0</v>
      </c>
      <c r="V67">
        <v>12</v>
      </c>
      <c r="W67">
        <v>11</v>
      </c>
      <c r="X67">
        <v>176</v>
      </c>
      <c r="Y67">
        <v>10</v>
      </c>
      <c r="Z67">
        <f t="shared" ref="Z67:Z130" si="2">VLOOKUP(C67,$AG$2:$AH$133,2,FALSE)</f>
        <v>903650.33100000001</v>
      </c>
      <c r="AD67" t="s">
        <v>2692</v>
      </c>
      <c r="AE67" t="s">
        <v>2693</v>
      </c>
      <c r="AF67" t="s">
        <v>2694</v>
      </c>
      <c r="AG67" t="str">
        <f t="shared" ref="AG67:AG130" si="3">_xlfn.CONCAT(AF67, ", King County, Washington")</f>
        <v>Census Tract 43.02, King County, Washington</v>
      </c>
      <c r="AH67">
        <v>330837.75</v>
      </c>
    </row>
    <row r="68" spans="1:34" x14ac:dyDescent="0.25">
      <c r="A68" t="s">
        <v>1738</v>
      </c>
      <c r="B68">
        <v>53033006500</v>
      </c>
      <c r="C68" t="s">
        <v>1739</v>
      </c>
      <c r="D68">
        <v>4807</v>
      </c>
      <c r="E68">
        <v>4286</v>
      </c>
      <c r="F68">
        <v>521</v>
      </c>
      <c r="G68">
        <v>4807</v>
      </c>
      <c r="H68">
        <v>4286</v>
      </c>
      <c r="I68">
        <v>521</v>
      </c>
      <c r="J68">
        <v>3609</v>
      </c>
      <c r="K68">
        <v>304</v>
      </c>
      <c r="L68">
        <v>163</v>
      </c>
      <c r="M68">
        <v>26</v>
      </c>
      <c r="N68">
        <v>19</v>
      </c>
      <c r="O68">
        <v>0</v>
      </c>
      <c r="P68">
        <v>9</v>
      </c>
      <c r="Q68">
        <v>0</v>
      </c>
      <c r="R68">
        <v>158</v>
      </c>
      <c r="S68">
        <v>131</v>
      </c>
      <c r="T68">
        <v>14</v>
      </c>
      <c r="U68">
        <v>0</v>
      </c>
      <c r="V68">
        <v>47</v>
      </c>
      <c r="W68">
        <v>16</v>
      </c>
      <c r="X68">
        <v>267</v>
      </c>
      <c r="Y68">
        <v>44</v>
      </c>
      <c r="Z68">
        <f t="shared" si="2"/>
        <v>1133539.8970000001</v>
      </c>
      <c r="AD68" t="s">
        <v>2695</v>
      </c>
      <c r="AE68" t="s">
        <v>2696</v>
      </c>
      <c r="AF68" t="s">
        <v>2697</v>
      </c>
      <c r="AG68" t="str">
        <f t="shared" si="3"/>
        <v>Census Tract 43.01, King County, Washington</v>
      </c>
      <c r="AH68">
        <v>979235.34600000002</v>
      </c>
    </row>
    <row r="69" spans="1:34" x14ac:dyDescent="0.25">
      <c r="A69" t="s">
        <v>1740</v>
      </c>
      <c r="B69">
        <v>53033006600</v>
      </c>
      <c r="C69" t="s">
        <v>1741</v>
      </c>
      <c r="D69">
        <v>4092</v>
      </c>
      <c r="E69">
        <v>3494</v>
      </c>
      <c r="F69">
        <v>598</v>
      </c>
      <c r="G69">
        <v>4092</v>
      </c>
      <c r="H69">
        <v>3494</v>
      </c>
      <c r="I69">
        <v>598</v>
      </c>
      <c r="J69">
        <v>2796</v>
      </c>
      <c r="K69">
        <v>233</v>
      </c>
      <c r="L69">
        <v>85</v>
      </c>
      <c r="M69">
        <v>11</v>
      </c>
      <c r="N69">
        <v>73</v>
      </c>
      <c r="O69">
        <v>6</v>
      </c>
      <c r="P69">
        <v>3</v>
      </c>
      <c r="Q69">
        <v>0</v>
      </c>
      <c r="R69">
        <v>206</v>
      </c>
      <c r="S69">
        <v>300</v>
      </c>
      <c r="T69">
        <v>0</v>
      </c>
      <c r="U69">
        <v>0</v>
      </c>
      <c r="V69">
        <v>6</v>
      </c>
      <c r="W69">
        <v>2</v>
      </c>
      <c r="X69">
        <v>325</v>
      </c>
      <c r="Y69">
        <v>46</v>
      </c>
      <c r="Z69">
        <f t="shared" si="2"/>
        <v>1015325.2709999999</v>
      </c>
      <c r="AD69" t="s">
        <v>2698</v>
      </c>
      <c r="AE69" t="s">
        <v>2699</v>
      </c>
      <c r="AF69" t="s">
        <v>2700</v>
      </c>
      <c r="AG69" t="str">
        <f t="shared" si="3"/>
        <v>Census Tract 42, King County, Washington</v>
      </c>
      <c r="AH69">
        <v>2464086.1869999999</v>
      </c>
    </row>
    <row r="70" spans="1:34" x14ac:dyDescent="0.25">
      <c r="A70" t="s">
        <v>1742</v>
      </c>
      <c r="B70">
        <v>53033006700</v>
      </c>
      <c r="C70" t="s">
        <v>1743</v>
      </c>
      <c r="D70">
        <v>8688</v>
      </c>
      <c r="E70">
        <v>6112</v>
      </c>
      <c r="F70">
        <v>2576</v>
      </c>
      <c r="G70">
        <v>8688</v>
      </c>
      <c r="H70">
        <v>6112</v>
      </c>
      <c r="I70">
        <v>2576</v>
      </c>
      <c r="J70">
        <v>5244</v>
      </c>
      <c r="K70">
        <v>721</v>
      </c>
      <c r="L70">
        <v>92</v>
      </c>
      <c r="M70">
        <v>28</v>
      </c>
      <c r="N70">
        <v>76</v>
      </c>
      <c r="O70">
        <v>0</v>
      </c>
      <c r="P70">
        <v>19</v>
      </c>
      <c r="Q70">
        <v>0</v>
      </c>
      <c r="R70">
        <v>309</v>
      </c>
      <c r="S70">
        <v>1648</v>
      </c>
      <c r="T70">
        <v>0</v>
      </c>
      <c r="U70">
        <v>0</v>
      </c>
      <c r="V70">
        <v>0</v>
      </c>
      <c r="W70">
        <v>0</v>
      </c>
      <c r="X70">
        <v>372</v>
      </c>
      <c r="Y70">
        <v>179</v>
      </c>
      <c r="Z70">
        <f t="shared" si="2"/>
        <v>1214170.183</v>
      </c>
      <c r="AD70" t="s">
        <v>2701</v>
      </c>
      <c r="AE70" t="s">
        <v>2702</v>
      </c>
      <c r="AF70" t="s">
        <v>2703</v>
      </c>
      <c r="AG70" t="str">
        <f t="shared" si="3"/>
        <v>Census Tract 41, King County, Washington</v>
      </c>
      <c r="AH70">
        <v>3203616.6949999998</v>
      </c>
    </row>
    <row r="71" spans="1:34" x14ac:dyDescent="0.25">
      <c r="A71" t="s">
        <v>1744</v>
      </c>
      <c r="B71">
        <v>53033006800</v>
      </c>
      <c r="C71" t="s">
        <v>1745</v>
      </c>
      <c r="D71">
        <v>3308</v>
      </c>
      <c r="E71">
        <v>2824</v>
      </c>
      <c r="F71">
        <v>484</v>
      </c>
      <c r="G71">
        <v>3308</v>
      </c>
      <c r="H71">
        <v>2824</v>
      </c>
      <c r="I71">
        <v>484</v>
      </c>
      <c r="J71">
        <v>2475</v>
      </c>
      <c r="K71">
        <v>328</v>
      </c>
      <c r="L71">
        <v>26</v>
      </c>
      <c r="M71">
        <v>12</v>
      </c>
      <c r="N71">
        <v>0</v>
      </c>
      <c r="O71">
        <v>0</v>
      </c>
      <c r="P71">
        <v>0</v>
      </c>
      <c r="Q71">
        <v>0</v>
      </c>
      <c r="R71">
        <v>144</v>
      </c>
      <c r="S71">
        <v>121</v>
      </c>
      <c r="T71">
        <v>0</v>
      </c>
      <c r="U71">
        <v>0</v>
      </c>
      <c r="V71">
        <v>42</v>
      </c>
      <c r="W71">
        <v>12</v>
      </c>
      <c r="X71">
        <v>137</v>
      </c>
      <c r="Y71">
        <v>11</v>
      </c>
      <c r="Z71">
        <f t="shared" si="2"/>
        <v>718104.83799999999</v>
      </c>
      <c r="AD71" t="s">
        <v>2704</v>
      </c>
      <c r="AE71" t="s">
        <v>2705</v>
      </c>
      <c r="AF71" t="s">
        <v>2706</v>
      </c>
      <c r="AG71" t="str">
        <f t="shared" si="3"/>
        <v>Census Tract 40, King County, Washington</v>
      </c>
      <c r="AH71">
        <v>2470184.176</v>
      </c>
    </row>
    <row r="72" spans="1:34" x14ac:dyDescent="0.25">
      <c r="A72" t="s">
        <v>1746</v>
      </c>
      <c r="B72">
        <v>53033006900</v>
      </c>
      <c r="C72" t="s">
        <v>1747</v>
      </c>
      <c r="D72">
        <v>4964</v>
      </c>
      <c r="E72">
        <v>4508</v>
      </c>
      <c r="F72">
        <v>456</v>
      </c>
      <c r="G72">
        <v>4964</v>
      </c>
      <c r="H72">
        <v>4508</v>
      </c>
      <c r="I72">
        <v>456</v>
      </c>
      <c r="J72">
        <v>3982</v>
      </c>
      <c r="K72">
        <v>337</v>
      </c>
      <c r="L72">
        <v>114</v>
      </c>
      <c r="M72">
        <v>0</v>
      </c>
      <c r="N72">
        <v>39</v>
      </c>
      <c r="O72">
        <v>0</v>
      </c>
      <c r="P72">
        <v>6</v>
      </c>
      <c r="Q72">
        <v>0</v>
      </c>
      <c r="R72">
        <v>147</v>
      </c>
      <c r="S72">
        <v>119</v>
      </c>
      <c r="T72">
        <v>0</v>
      </c>
      <c r="U72">
        <v>0</v>
      </c>
      <c r="V72">
        <v>0</v>
      </c>
      <c r="W72">
        <v>0</v>
      </c>
      <c r="X72">
        <v>220</v>
      </c>
      <c r="Y72">
        <v>0</v>
      </c>
      <c r="Z72">
        <f t="shared" si="2"/>
        <v>902888.83</v>
      </c>
      <c r="AD72" t="s">
        <v>2707</v>
      </c>
      <c r="AE72" t="s">
        <v>2708</v>
      </c>
      <c r="AF72" t="s">
        <v>2709</v>
      </c>
      <c r="AG72" t="str">
        <f t="shared" si="3"/>
        <v>Census Tract 4.02, King County, Washington</v>
      </c>
      <c r="AH72">
        <v>1798933.85</v>
      </c>
    </row>
    <row r="73" spans="1:34" x14ac:dyDescent="0.25">
      <c r="A73" t="s">
        <v>1748</v>
      </c>
      <c r="B73">
        <v>53033007000</v>
      </c>
      <c r="C73" t="s">
        <v>1749</v>
      </c>
      <c r="D73">
        <v>7329</v>
      </c>
      <c r="E73">
        <v>6376</v>
      </c>
      <c r="F73">
        <v>953</v>
      </c>
      <c r="G73">
        <v>7329</v>
      </c>
      <c r="H73">
        <v>6376</v>
      </c>
      <c r="I73">
        <v>953</v>
      </c>
      <c r="J73">
        <v>5328</v>
      </c>
      <c r="K73">
        <v>603</v>
      </c>
      <c r="L73">
        <v>117</v>
      </c>
      <c r="M73">
        <v>0</v>
      </c>
      <c r="N73">
        <v>81</v>
      </c>
      <c r="O73">
        <v>0</v>
      </c>
      <c r="P73">
        <v>55</v>
      </c>
      <c r="Q73">
        <v>0</v>
      </c>
      <c r="R73">
        <v>356</v>
      </c>
      <c r="S73">
        <v>350</v>
      </c>
      <c r="T73">
        <v>60</v>
      </c>
      <c r="U73">
        <v>0</v>
      </c>
      <c r="V73">
        <v>0</v>
      </c>
      <c r="W73">
        <v>0</v>
      </c>
      <c r="X73">
        <v>379</v>
      </c>
      <c r="Y73">
        <v>0</v>
      </c>
      <c r="Z73">
        <f t="shared" si="2"/>
        <v>805957.96200000006</v>
      </c>
      <c r="AD73" t="s">
        <v>2710</v>
      </c>
      <c r="AE73" t="s">
        <v>2711</v>
      </c>
      <c r="AF73" t="s">
        <v>2712</v>
      </c>
      <c r="AG73" t="str">
        <f t="shared" si="3"/>
        <v>Census Tract 4.01, King County, Washington</v>
      </c>
      <c r="AH73">
        <v>1286149.0360000001</v>
      </c>
    </row>
    <row r="74" spans="1:34" x14ac:dyDescent="0.25">
      <c r="A74" t="s">
        <v>1750</v>
      </c>
      <c r="B74">
        <v>53033007100</v>
      </c>
      <c r="C74" t="s">
        <v>1751</v>
      </c>
      <c r="D74">
        <v>4521</v>
      </c>
      <c r="E74">
        <v>3121</v>
      </c>
      <c r="F74">
        <v>1400</v>
      </c>
      <c r="G74">
        <v>4521</v>
      </c>
      <c r="H74">
        <v>3121</v>
      </c>
      <c r="I74">
        <v>1400</v>
      </c>
      <c r="J74">
        <v>2625</v>
      </c>
      <c r="K74">
        <v>309</v>
      </c>
      <c r="L74">
        <v>141</v>
      </c>
      <c r="M74">
        <v>115</v>
      </c>
      <c r="N74">
        <v>133</v>
      </c>
      <c r="O74">
        <v>15</v>
      </c>
      <c r="P74">
        <v>4</v>
      </c>
      <c r="Q74">
        <v>0</v>
      </c>
      <c r="R74">
        <v>60</v>
      </c>
      <c r="S74">
        <v>626</v>
      </c>
      <c r="T74">
        <v>8</v>
      </c>
      <c r="U74">
        <v>0</v>
      </c>
      <c r="V74">
        <v>22</v>
      </c>
      <c r="W74">
        <v>236</v>
      </c>
      <c r="X74">
        <v>128</v>
      </c>
      <c r="Y74">
        <v>99</v>
      </c>
      <c r="Z74">
        <f t="shared" si="2"/>
        <v>862093.34100000001</v>
      </c>
      <c r="AD74" t="s">
        <v>2713</v>
      </c>
      <c r="AE74" t="s">
        <v>2714</v>
      </c>
      <c r="AF74" t="s">
        <v>2715</v>
      </c>
      <c r="AG74" t="str">
        <f t="shared" si="3"/>
        <v>Census Tract 39, King County, Washington</v>
      </c>
      <c r="AH74">
        <v>973807.67200000002</v>
      </c>
    </row>
    <row r="75" spans="1:34" x14ac:dyDescent="0.25">
      <c r="A75" t="s">
        <v>1752</v>
      </c>
      <c r="B75">
        <v>53033007200</v>
      </c>
      <c r="C75" t="s">
        <v>1753</v>
      </c>
      <c r="D75">
        <v>8862</v>
      </c>
      <c r="E75">
        <v>5908</v>
      </c>
      <c r="F75">
        <v>2954</v>
      </c>
      <c r="G75">
        <v>8862</v>
      </c>
      <c r="H75">
        <v>5908</v>
      </c>
      <c r="I75">
        <v>2954</v>
      </c>
      <c r="J75">
        <v>4350</v>
      </c>
      <c r="K75">
        <v>683</v>
      </c>
      <c r="L75">
        <v>307</v>
      </c>
      <c r="M75">
        <v>201</v>
      </c>
      <c r="N75">
        <v>280</v>
      </c>
      <c r="O75">
        <v>202</v>
      </c>
      <c r="P75">
        <v>109</v>
      </c>
      <c r="Q75">
        <v>0</v>
      </c>
      <c r="R75">
        <v>429</v>
      </c>
      <c r="S75">
        <v>1388</v>
      </c>
      <c r="T75">
        <v>0</v>
      </c>
      <c r="U75">
        <v>0</v>
      </c>
      <c r="V75">
        <v>0</v>
      </c>
      <c r="W75">
        <v>68</v>
      </c>
      <c r="X75">
        <v>433</v>
      </c>
      <c r="Y75">
        <v>412</v>
      </c>
      <c r="Z75">
        <f t="shared" si="2"/>
        <v>1010272.098</v>
      </c>
      <c r="AD75" t="s">
        <v>2716</v>
      </c>
      <c r="AE75" t="s">
        <v>2717</v>
      </c>
      <c r="AF75" t="s">
        <v>2718</v>
      </c>
      <c r="AG75" t="str">
        <f t="shared" si="3"/>
        <v>Census Tract 38, King County, Washington</v>
      </c>
      <c r="AH75">
        <v>624606.14199999999</v>
      </c>
    </row>
    <row r="76" spans="1:34" x14ac:dyDescent="0.25">
      <c r="A76" t="s">
        <v>1754</v>
      </c>
      <c r="B76">
        <v>53033007300</v>
      </c>
      <c r="C76" t="s">
        <v>1755</v>
      </c>
      <c r="D76">
        <v>6613</v>
      </c>
      <c r="E76">
        <v>4727</v>
      </c>
      <c r="F76">
        <v>1886</v>
      </c>
      <c r="G76">
        <v>6613</v>
      </c>
      <c r="H76">
        <v>4727</v>
      </c>
      <c r="I76">
        <v>1886</v>
      </c>
      <c r="J76">
        <v>3282</v>
      </c>
      <c r="K76">
        <v>467</v>
      </c>
      <c r="L76">
        <v>264</v>
      </c>
      <c r="M76">
        <v>202</v>
      </c>
      <c r="N76">
        <v>441</v>
      </c>
      <c r="O76">
        <v>170</v>
      </c>
      <c r="P76">
        <v>8</v>
      </c>
      <c r="Q76">
        <v>0</v>
      </c>
      <c r="R76">
        <v>224</v>
      </c>
      <c r="S76">
        <v>875</v>
      </c>
      <c r="T76">
        <v>62</v>
      </c>
      <c r="U76">
        <v>0</v>
      </c>
      <c r="V76">
        <v>77</v>
      </c>
      <c r="W76">
        <v>113</v>
      </c>
      <c r="X76">
        <v>369</v>
      </c>
      <c r="Y76">
        <v>59</v>
      </c>
      <c r="Z76">
        <f t="shared" si="2"/>
        <v>926046.61100000003</v>
      </c>
      <c r="AD76" t="s">
        <v>2719</v>
      </c>
      <c r="AE76" t="s">
        <v>2720</v>
      </c>
      <c r="AF76" t="s">
        <v>2721</v>
      </c>
      <c r="AG76" t="str">
        <f t="shared" si="3"/>
        <v>Census Tract 36, King County, Washington</v>
      </c>
      <c r="AH76">
        <v>1196455.8589999999</v>
      </c>
    </row>
    <row r="77" spans="1:34" x14ac:dyDescent="0.25">
      <c r="A77" t="s">
        <v>2364</v>
      </c>
      <c r="B77">
        <v>53033007401</v>
      </c>
      <c r="C77" t="s">
        <v>2365</v>
      </c>
      <c r="D77">
        <v>5192</v>
      </c>
      <c r="E77">
        <v>4250</v>
      </c>
      <c r="F77">
        <v>942</v>
      </c>
      <c r="G77">
        <v>5192</v>
      </c>
      <c r="H77">
        <v>4250</v>
      </c>
      <c r="I77">
        <v>942</v>
      </c>
      <c r="J77">
        <v>3245</v>
      </c>
      <c r="K77">
        <v>382</v>
      </c>
      <c r="L77">
        <v>275</v>
      </c>
      <c r="M77">
        <v>67</v>
      </c>
      <c r="N77">
        <v>74</v>
      </c>
      <c r="O77">
        <v>21</v>
      </c>
      <c r="P77">
        <v>0</v>
      </c>
      <c r="Q77">
        <v>0</v>
      </c>
      <c r="R77">
        <v>302</v>
      </c>
      <c r="S77">
        <v>440</v>
      </c>
      <c r="T77">
        <v>0</v>
      </c>
      <c r="U77">
        <v>0</v>
      </c>
      <c r="V77">
        <v>17</v>
      </c>
      <c r="W77">
        <v>0</v>
      </c>
      <c r="X77">
        <v>337</v>
      </c>
      <c r="Y77">
        <v>32</v>
      </c>
      <c r="Z77">
        <f t="shared" si="2"/>
        <v>259384.057</v>
      </c>
      <c r="AD77" t="s">
        <v>2722</v>
      </c>
      <c r="AE77" t="s">
        <v>2723</v>
      </c>
      <c r="AF77" t="s">
        <v>2724</v>
      </c>
      <c r="AG77" t="str">
        <f t="shared" si="3"/>
        <v>Census Tract 35, King County, Washington</v>
      </c>
      <c r="AH77">
        <v>1284761.325</v>
      </c>
    </row>
    <row r="78" spans="1:34" x14ac:dyDescent="0.25">
      <c r="A78" t="s">
        <v>2366</v>
      </c>
      <c r="B78">
        <v>53033007402</v>
      </c>
      <c r="C78" t="s">
        <v>2367</v>
      </c>
      <c r="D78">
        <v>5362</v>
      </c>
      <c r="E78">
        <v>4478</v>
      </c>
      <c r="F78">
        <v>884</v>
      </c>
      <c r="G78">
        <v>5362</v>
      </c>
      <c r="H78">
        <v>4478</v>
      </c>
      <c r="I78">
        <v>884</v>
      </c>
      <c r="J78">
        <v>3343</v>
      </c>
      <c r="K78">
        <v>328</v>
      </c>
      <c r="L78">
        <v>103</v>
      </c>
      <c r="M78">
        <v>18</v>
      </c>
      <c r="N78">
        <v>263</v>
      </c>
      <c r="O78">
        <v>98</v>
      </c>
      <c r="P78">
        <v>0</v>
      </c>
      <c r="Q78">
        <v>0</v>
      </c>
      <c r="R78">
        <v>258</v>
      </c>
      <c r="S78">
        <v>334</v>
      </c>
      <c r="T78">
        <v>19</v>
      </c>
      <c r="U78">
        <v>0</v>
      </c>
      <c r="V78">
        <v>0</v>
      </c>
      <c r="W78">
        <v>83</v>
      </c>
      <c r="X78">
        <v>492</v>
      </c>
      <c r="Y78">
        <v>23</v>
      </c>
      <c r="Z78">
        <f t="shared" si="2"/>
        <v>249283.72399999999</v>
      </c>
      <c r="AD78" t="s">
        <v>2725</v>
      </c>
      <c r="AE78" t="s">
        <v>2726</v>
      </c>
      <c r="AF78" t="s">
        <v>2727</v>
      </c>
      <c r="AG78" t="str">
        <f t="shared" si="3"/>
        <v>Census Tract 34, King County, Washington</v>
      </c>
      <c r="AH78">
        <v>787151.99899999995</v>
      </c>
    </row>
    <row r="79" spans="1:34" x14ac:dyDescent="0.25">
      <c r="A79" t="s">
        <v>1758</v>
      </c>
      <c r="B79">
        <v>53033007500</v>
      </c>
      <c r="C79" t="s">
        <v>1759</v>
      </c>
      <c r="D79">
        <v>8753</v>
      </c>
      <c r="E79">
        <v>7594</v>
      </c>
      <c r="F79">
        <v>1159</v>
      </c>
      <c r="G79">
        <v>8753</v>
      </c>
      <c r="H79">
        <v>7594</v>
      </c>
      <c r="I79">
        <v>1159</v>
      </c>
      <c r="J79">
        <v>5794</v>
      </c>
      <c r="K79">
        <v>559</v>
      </c>
      <c r="L79">
        <v>218</v>
      </c>
      <c r="M79">
        <v>24</v>
      </c>
      <c r="N79">
        <v>297</v>
      </c>
      <c r="O79">
        <v>62</v>
      </c>
      <c r="P79">
        <v>76</v>
      </c>
      <c r="Q79">
        <v>0</v>
      </c>
      <c r="R79">
        <v>368</v>
      </c>
      <c r="S79">
        <v>268</v>
      </c>
      <c r="T79">
        <v>0</v>
      </c>
      <c r="U79">
        <v>0</v>
      </c>
      <c r="V79">
        <v>103</v>
      </c>
      <c r="W79">
        <v>138</v>
      </c>
      <c r="X79">
        <v>738</v>
      </c>
      <c r="Y79">
        <v>108</v>
      </c>
      <c r="Z79">
        <f t="shared" si="2"/>
        <v>787547.19400000002</v>
      </c>
      <c r="AD79" t="s">
        <v>2728</v>
      </c>
      <c r="AE79" t="s">
        <v>2729</v>
      </c>
      <c r="AF79" t="s">
        <v>2730</v>
      </c>
      <c r="AG79" t="str">
        <f t="shared" si="3"/>
        <v>Census Tract 33, King County, Washington</v>
      </c>
      <c r="AH79">
        <v>1296282.1610000001</v>
      </c>
    </row>
    <row r="80" spans="1:34" x14ac:dyDescent="0.25">
      <c r="A80" t="s">
        <v>1760</v>
      </c>
      <c r="B80">
        <v>53033007600</v>
      </c>
      <c r="C80" t="s">
        <v>1761</v>
      </c>
      <c r="D80">
        <v>4257</v>
      </c>
      <c r="E80">
        <v>3613</v>
      </c>
      <c r="F80">
        <v>644</v>
      </c>
      <c r="G80">
        <v>4257</v>
      </c>
      <c r="H80">
        <v>3613</v>
      </c>
      <c r="I80">
        <v>644</v>
      </c>
      <c r="J80">
        <v>2966</v>
      </c>
      <c r="K80">
        <v>213</v>
      </c>
      <c r="L80">
        <v>262</v>
      </c>
      <c r="M80">
        <v>56</v>
      </c>
      <c r="N80">
        <v>95</v>
      </c>
      <c r="O80">
        <v>77</v>
      </c>
      <c r="P80">
        <v>1</v>
      </c>
      <c r="Q80">
        <v>0</v>
      </c>
      <c r="R80">
        <v>104</v>
      </c>
      <c r="S80">
        <v>283</v>
      </c>
      <c r="T80">
        <v>0</v>
      </c>
      <c r="U80">
        <v>0</v>
      </c>
      <c r="V80">
        <v>14</v>
      </c>
      <c r="W80">
        <v>0</v>
      </c>
      <c r="X80">
        <v>171</v>
      </c>
      <c r="Y80">
        <v>15</v>
      </c>
      <c r="Z80">
        <f t="shared" si="2"/>
        <v>571877.54700000002</v>
      </c>
      <c r="AD80" t="s">
        <v>2731</v>
      </c>
      <c r="AE80" t="s">
        <v>2732</v>
      </c>
      <c r="AF80" t="s">
        <v>2733</v>
      </c>
      <c r="AG80" t="str">
        <f t="shared" si="3"/>
        <v>Census Tract 32, King County, Washington</v>
      </c>
      <c r="AH80">
        <v>2073086.956</v>
      </c>
    </row>
    <row r="81" spans="1:34" x14ac:dyDescent="0.25">
      <c r="A81" t="s">
        <v>1762</v>
      </c>
      <c r="B81">
        <v>53033007700</v>
      </c>
      <c r="C81" t="s">
        <v>1763</v>
      </c>
      <c r="D81">
        <v>5308</v>
      </c>
      <c r="E81">
        <v>4730</v>
      </c>
      <c r="F81">
        <v>578</v>
      </c>
      <c r="G81">
        <v>5308</v>
      </c>
      <c r="H81">
        <v>4730</v>
      </c>
      <c r="I81">
        <v>578</v>
      </c>
      <c r="J81">
        <v>3418</v>
      </c>
      <c r="K81">
        <v>271</v>
      </c>
      <c r="L81">
        <v>89</v>
      </c>
      <c r="M81">
        <v>58</v>
      </c>
      <c r="N81">
        <v>535</v>
      </c>
      <c r="O81">
        <v>67</v>
      </c>
      <c r="P81">
        <v>44</v>
      </c>
      <c r="Q81">
        <v>0</v>
      </c>
      <c r="R81">
        <v>208</v>
      </c>
      <c r="S81">
        <v>182</v>
      </c>
      <c r="T81">
        <v>0</v>
      </c>
      <c r="U81">
        <v>0</v>
      </c>
      <c r="V81">
        <v>49</v>
      </c>
      <c r="W81">
        <v>0</v>
      </c>
      <c r="X81">
        <v>387</v>
      </c>
      <c r="Y81">
        <v>0</v>
      </c>
      <c r="Z81">
        <f t="shared" si="2"/>
        <v>1058324.871</v>
      </c>
      <c r="AD81" t="s">
        <v>2734</v>
      </c>
      <c r="AE81" t="s">
        <v>2735</v>
      </c>
      <c r="AF81" t="s">
        <v>2736</v>
      </c>
      <c r="AG81" t="str">
        <f t="shared" si="3"/>
        <v>Census Tract 31, King County, Washington</v>
      </c>
      <c r="AH81">
        <v>2126261.835</v>
      </c>
    </row>
    <row r="82" spans="1:34" x14ac:dyDescent="0.25">
      <c r="A82" t="s">
        <v>1764</v>
      </c>
      <c r="B82">
        <v>53033007800</v>
      </c>
      <c r="C82" t="s">
        <v>1765</v>
      </c>
      <c r="D82">
        <v>5875</v>
      </c>
      <c r="E82">
        <v>5117</v>
      </c>
      <c r="F82">
        <v>758</v>
      </c>
      <c r="G82">
        <v>5875</v>
      </c>
      <c r="H82">
        <v>5117</v>
      </c>
      <c r="I82">
        <v>758</v>
      </c>
      <c r="J82">
        <v>3894</v>
      </c>
      <c r="K82">
        <v>407</v>
      </c>
      <c r="L82">
        <v>105</v>
      </c>
      <c r="M82">
        <v>0</v>
      </c>
      <c r="N82">
        <v>211</v>
      </c>
      <c r="O82">
        <v>70</v>
      </c>
      <c r="P82">
        <v>22</v>
      </c>
      <c r="Q82">
        <v>0</v>
      </c>
      <c r="R82">
        <v>97</v>
      </c>
      <c r="S82">
        <v>174</v>
      </c>
      <c r="T82">
        <v>0</v>
      </c>
      <c r="U82">
        <v>0</v>
      </c>
      <c r="V82">
        <v>71</v>
      </c>
      <c r="W82">
        <v>97</v>
      </c>
      <c r="X82">
        <v>717</v>
      </c>
      <c r="Y82">
        <v>10</v>
      </c>
      <c r="Z82">
        <f t="shared" si="2"/>
        <v>2085796.06</v>
      </c>
      <c r="AD82" t="s">
        <v>2737</v>
      </c>
      <c r="AE82" t="s">
        <v>2738</v>
      </c>
      <c r="AF82" t="s">
        <v>2739</v>
      </c>
      <c r="AG82" t="str">
        <f t="shared" si="3"/>
        <v>Census Tract 30, King County, Washington</v>
      </c>
      <c r="AH82">
        <v>1493252.781</v>
      </c>
    </row>
    <row r="83" spans="1:34" x14ac:dyDescent="0.25">
      <c r="A83" t="s">
        <v>1766</v>
      </c>
      <c r="B83">
        <v>53033007900</v>
      </c>
      <c r="C83" t="s">
        <v>1767</v>
      </c>
      <c r="D83">
        <v>6339</v>
      </c>
      <c r="E83">
        <v>5182</v>
      </c>
      <c r="F83">
        <v>1157</v>
      </c>
      <c r="G83">
        <v>6339</v>
      </c>
      <c r="H83">
        <v>5182</v>
      </c>
      <c r="I83">
        <v>1157</v>
      </c>
      <c r="J83">
        <v>4022</v>
      </c>
      <c r="K83">
        <v>606</v>
      </c>
      <c r="L83">
        <v>121</v>
      </c>
      <c r="M83">
        <v>51</v>
      </c>
      <c r="N83">
        <v>532</v>
      </c>
      <c r="O83">
        <v>192</v>
      </c>
      <c r="P83">
        <v>64</v>
      </c>
      <c r="Q83">
        <v>0</v>
      </c>
      <c r="R83">
        <v>226</v>
      </c>
      <c r="S83">
        <v>219</v>
      </c>
      <c r="T83">
        <v>7</v>
      </c>
      <c r="U83">
        <v>1</v>
      </c>
      <c r="V83">
        <v>21</v>
      </c>
      <c r="W83">
        <v>42</v>
      </c>
      <c r="X83">
        <v>189</v>
      </c>
      <c r="Y83">
        <v>46</v>
      </c>
      <c r="Z83">
        <f t="shared" si="2"/>
        <v>698472.05900000001</v>
      </c>
      <c r="AD83" t="s">
        <v>2740</v>
      </c>
      <c r="AE83" t="s">
        <v>2741</v>
      </c>
      <c r="AF83" t="s">
        <v>2742</v>
      </c>
      <c r="AG83" t="str">
        <f t="shared" si="3"/>
        <v>Census Tract 3, King County, Washington</v>
      </c>
      <c r="AH83">
        <v>1211014.287</v>
      </c>
    </row>
    <row r="84" spans="1:34" x14ac:dyDescent="0.25">
      <c r="A84" t="s">
        <v>1768</v>
      </c>
      <c r="B84">
        <v>53033008001</v>
      </c>
      <c r="C84" t="s">
        <v>1769</v>
      </c>
      <c r="D84">
        <v>6538</v>
      </c>
      <c r="E84">
        <v>4098</v>
      </c>
      <c r="F84">
        <v>2440</v>
      </c>
      <c r="G84">
        <v>6538</v>
      </c>
      <c r="H84">
        <v>4098</v>
      </c>
      <c r="I84">
        <v>2440</v>
      </c>
      <c r="J84">
        <v>2848</v>
      </c>
      <c r="K84">
        <v>943</v>
      </c>
      <c r="L84">
        <v>160</v>
      </c>
      <c r="M84">
        <v>40</v>
      </c>
      <c r="N84">
        <v>451</v>
      </c>
      <c r="O84">
        <v>86</v>
      </c>
      <c r="P84">
        <v>20</v>
      </c>
      <c r="Q84">
        <v>0</v>
      </c>
      <c r="R84">
        <v>343</v>
      </c>
      <c r="S84">
        <v>1277</v>
      </c>
      <c r="T84">
        <v>0</v>
      </c>
      <c r="U84">
        <v>0</v>
      </c>
      <c r="V84">
        <v>56</v>
      </c>
      <c r="W84">
        <v>73</v>
      </c>
      <c r="X84">
        <v>220</v>
      </c>
      <c r="Y84">
        <v>21</v>
      </c>
      <c r="Z84">
        <f t="shared" si="2"/>
        <v>448898.12199999997</v>
      </c>
      <c r="AD84" t="s">
        <v>2743</v>
      </c>
      <c r="AE84" t="s">
        <v>2744</v>
      </c>
      <c r="AF84" t="s">
        <v>2745</v>
      </c>
      <c r="AG84" t="str">
        <f t="shared" si="3"/>
        <v>Census Tract 29, King County, Washington</v>
      </c>
      <c r="AH84">
        <v>986206.95499999996</v>
      </c>
    </row>
    <row r="85" spans="1:34" x14ac:dyDescent="0.25">
      <c r="A85" t="s">
        <v>1770</v>
      </c>
      <c r="B85">
        <v>53033008002</v>
      </c>
      <c r="C85" t="s">
        <v>1771</v>
      </c>
      <c r="D85">
        <v>3744</v>
      </c>
      <c r="E85">
        <v>3041</v>
      </c>
      <c r="F85">
        <v>703</v>
      </c>
      <c r="G85">
        <v>3744</v>
      </c>
      <c r="H85">
        <v>3041</v>
      </c>
      <c r="I85">
        <v>703</v>
      </c>
      <c r="J85">
        <v>2337</v>
      </c>
      <c r="K85">
        <v>106</v>
      </c>
      <c r="L85">
        <v>139</v>
      </c>
      <c r="M85">
        <v>37</v>
      </c>
      <c r="N85">
        <v>176</v>
      </c>
      <c r="O85">
        <v>64</v>
      </c>
      <c r="P85">
        <v>33</v>
      </c>
      <c r="Q85">
        <v>20</v>
      </c>
      <c r="R85">
        <v>118</v>
      </c>
      <c r="S85">
        <v>458</v>
      </c>
      <c r="T85">
        <v>0</v>
      </c>
      <c r="U85">
        <v>0</v>
      </c>
      <c r="V85">
        <v>15</v>
      </c>
      <c r="W85">
        <v>18</v>
      </c>
      <c r="X85">
        <v>223</v>
      </c>
      <c r="Y85">
        <v>0</v>
      </c>
      <c r="Z85">
        <f t="shared" si="2"/>
        <v>229060.647</v>
      </c>
      <c r="AD85" t="s">
        <v>2746</v>
      </c>
      <c r="AE85" t="s">
        <v>2747</v>
      </c>
      <c r="AF85" t="s">
        <v>2748</v>
      </c>
      <c r="AG85" t="str">
        <f t="shared" si="3"/>
        <v>Census Tract 28, King County, Washington</v>
      </c>
      <c r="AH85">
        <v>979865.26800000004</v>
      </c>
    </row>
    <row r="86" spans="1:34" x14ac:dyDescent="0.25">
      <c r="A86" t="s">
        <v>1772</v>
      </c>
      <c r="B86">
        <v>53033008100</v>
      </c>
      <c r="C86" t="s">
        <v>1773</v>
      </c>
      <c r="D86">
        <v>4872</v>
      </c>
      <c r="E86">
        <v>3668</v>
      </c>
      <c r="F86">
        <v>1204</v>
      </c>
      <c r="G86">
        <v>4872</v>
      </c>
      <c r="H86">
        <v>3668</v>
      </c>
      <c r="I86">
        <v>1204</v>
      </c>
      <c r="J86">
        <v>2647</v>
      </c>
      <c r="K86">
        <v>383</v>
      </c>
      <c r="L86">
        <v>77</v>
      </c>
      <c r="M86">
        <v>37</v>
      </c>
      <c r="N86">
        <v>328</v>
      </c>
      <c r="O86">
        <v>95</v>
      </c>
      <c r="P86">
        <v>133</v>
      </c>
      <c r="Q86">
        <v>0</v>
      </c>
      <c r="R86">
        <v>154</v>
      </c>
      <c r="S86">
        <v>475</v>
      </c>
      <c r="T86">
        <v>13</v>
      </c>
      <c r="U86">
        <v>0</v>
      </c>
      <c r="V86">
        <v>51</v>
      </c>
      <c r="W86">
        <v>197</v>
      </c>
      <c r="X86">
        <v>265</v>
      </c>
      <c r="Y86">
        <v>17</v>
      </c>
      <c r="Z86">
        <f t="shared" si="2"/>
        <v>794902.245</v>
      </c>
      <c r="AD86" t="s">
        <v>2749</v>
      </c>
      <c r="AE86" t="s">
        <v>2750</v>
      </c>
      <c r="AF86" t="s">
        <v>2751</v>
      </c>
      <c r="AG86" t="str">
        <f t="shared" si="3"/>
        <v>Census Tract 27, King County, Washington</v>
      </c>
      <c r="AH86">
        <v>1597298.159</v>
      </c>
    </row>
    <row r="87" spans="1:34" x14ac:dyDescent="0.25">
      <c r="A87" t="s">
        <v>1774</v>
      </c>
      <c r="B87">
        <v>53033008200</v>
      </c>
      <c r="C87" t="s">
        <v>1775</v>
      </c>
      <c r="D87">
        <v>4212</v>
      </c>
      <c r="E87">
        <v>3196</v>
      </c>
      <c r="F87">
        <v>1016</v>
      </c>
      <c r="G87">
        <v>4212</v>
      </c>
      <c r="H87">
        <v>3196</v>
      </c>
      <c r="I87">
        <v>1016</v>
      </c>
      <c r="J87">
        <v>2615</v>
      </c>
      <c r="K87">
        <v>174</v>
      </c>
      <c r="L87">
        <v>61</v>
      </c>
      <c r="M87">
        <v>204</v>
      </c>
      <c r="N87">
        <v>305</v>
      </c>
      <c r="O87">
        <v>23</v>
      </c>
      <c r="P87">
        <v>0</v>
      </c>
      <c r="Q87">
        <v>0</v>
      </c>
      <c r="R87">
        <v>95</v>
      </c>
      <c r="S87">
        <v>597</v>
      </c>
      <c r="T87">
        <v>0</v>
      </c>
      <c r="U87">
        <v>0</v>
      </c>
      <c r="V87">
        <v>0</v>
      </c>
      <c r="W87">
        <v>0</v>
      </c>
      <c r="X87">
        <v>120</v>
      </c>
      <c r="Y87">
        <v>18</v>
      </c>
      <c r="Z87">
        <f t="shared" si="2"/>
        <v>366709.62699999998</v>
      </c>
      <c r="AD87" t="s">
        <v>2752</v>
      </c>
      <c r="AE87" t="s">
        <v>2753</v>
      </c>
      <c r="AF87" t="s">
        <v>2754</v>
      </c>
      <c r="AG87" t="str">
        <f t="shared" si="3"/>
        <v>Census Tract 26, King County, Washington</v>
      </c>
      <c r="AH87">
        <v>1211611.3899999999</v>
      </c>
    </row>
    <row r="88" spans="1:34" x14ac:dyDescent="0.25">
      <c r="A88" t="s">
        <v>1776</v>
      </c>
      <c r="B88">
        <v>53033008300</v>
      </c>
      <c r="C88" t="s">
        <v>1777</v>
      </c>
      <c r="D88">
        <v>3087</v>
      </c>
      <c r="E88">
        <v>2402</v>
      </c>
      <c r="F88">
        <v>685</v>
      </c>
      <c r="G88">
        <v>3087</v>
      </c>
      <c r="H88">
        <v>2402</v>
      </c>
      <c r="I88">
        <v>685</v>
      </c>
      <c r="J88">
        <v>1926</v>
      </c>
      <c r="K88">
        <v>267</v>
      </c>
      <c r="L88">
        <v>97</v>
      </c>
      <c r="M88">
        <v>58</v>
      </c>
      <c r="N88">
        <v>129</v>
      </c>
      <c r="O88">
        <v>14</v>
      </c>
      <c r="P88">
        <v>53</v>
      </c>
      <c r="Q88">
        <v>0</v>
      </c>
      <c r="R88">
        <v>81</v>
      </c>
      <c r="S88">
        <v>316</v>
      </c>
      <c r="T88">
        <v>6</v>
      </c>
      <c r="U88">
        <v>0</v>
      </c>
      <c r="V88">
        <v>41</v>
      </c>
      <c r="W88">
        <v>30</v>
      </c>
      <c r="X88">
        <v>69</v>
      </c>
      <c r="Y88">
        <v>0</v>
      </c>
      <c r="Z88">
        <f t="shared" si="2"/>
        <v>237448.36300000001</v>
      </c>
      <c r="AD88" t="s">
        <v>2755</v>
      </c>
      <c r="AE88" t="s">
        <v>2756</v>
      </c>
      <c r="AF88" t="s">
        <v>2757</v>
      </c>
      <c r="AG88" t="str">
        <f t="shared" si="3"/>
        <v>Census Tract 25, King County, Washington</v>
      </c>
      <c r="AH88">
        <v>984334.96299999999</v>
      </c>
    </row>
    <row r="89" spans="1:34" x14ac:dyDescent="0.25">
      <c r="A89" t="s">
        <v>1778</v>
      </c>
      <c r="B89">
        <v>53033008400</v>
      </c>
      <c r="C89" t="s">
        <v>1779</v>
      </c>
      <c r="D89">
        <v>4530</v>
      </c>
      <c r="E89">
        <v>3656</v>
      </c>
      <c r="F89">
        <v>874</v>
      </c>
      <c r="G89">
        <v>4530</v>
      </c>
      <c r="H89">
        <v>3656</v>
      </c>
      <c r="I89">
        <v>874</v>
      </c>
      <c r="J89">
        <v>2819</v>
      </c>
      <c r="K89">
        <v>279</v>
      </c>
      <c r="L89">
        <v>29</v>
      </c>
      <c r="M89">
        <v>28</v>
      </c>
      <c r="N89">
        <v>129</v>
      </c>
      <c r="O89">
        <v>99</v>
      </c>
      <c r="P89">
        <v>6</v>
      </c>
      <c r="Q89">
        <v>0</v>
      </c>
      <c r="R89">
        <v>468</v>
      </c>
      <c r="S89">
        <v>394</v>
      </c>
      <c r="T89">
        <v>46</v>
      </c>
      <c r="U89">
        <v>0</v>
      </c>
      <c r="V89">
        <v>68</v>
      </c>
      <c r="W89">
        <v>16</v>
      </c>
      <c r="X89">
        <v>91</v>
      </c>
      <c r="Y89">
        <v>58</v>
      </c>
      <c r="Z89">
        <f t="shared" si="2"/>
        <v>382616.32699999999</v>
      </c>
      <c r="AD89" t="s">
        <v>2758</v>
      </c>
      <c r="AE89" t="s">
        <v>2759</v>
      </c>
      <c r="AF89" t="s">
        <v>2760</v>
      </c>
      <c r="AG89" t="str">
        <f t="shared" si="3"/>
        <v>Census Tract 24, King County, Washington</v>
      </c>
      <c r="AH89">
        <v>978017.196</v>
      </c>
    </row>
    <row r="90" spans="1:34" x14ac:dyDescent="0.25">
      <c r="A90" t="s">
        <v>1780</v>
      </c>
      <c r="B90">
        <v>53033008500</v>
      </c>
      <c r="C90" t="s">
        <v>1781</v>
      </c>
      <c r="D90">
        <v>4296</v>
      </c>
      <c r="E90">
        <v>3278</v>
      </c>
      <c r="F90">
        <v>1018</v>
      </c>
      <c r="G90">
        <v>4296</v>
      </c>
      <c r="H90">
        <v>3278</v>
      </c>
      <c r="I90">
        <v>1018</v>
      </c>
      <c r="J90">
        <v>2015</v>
      </c>
      <c r="K90">
        <v>179</v>
      </c>
      <c r="L90">
        <v>100</v>
      </c>
      <c r="M90">
        <v>60</v>
      </c>
      <c r="N90">
        <v>521</v>
      </c>
      <c r="O90">
        <v>165</v>
      </c>
      <c r="P90">
        <v>33</v>
      </c>
      <c r="Q90">
        <v>0</v>
      </c>
      <c r="R90">
        <v>147</v>
      </c>
      <c r="S90">
        <v>579</v>
      </c>
      <c r="T90">
        <v>11</v>
      </c>
      <c r="U90">
        <v>14</v>
      </c>
      <c r="V90">
        <v>116</v>
      </c>
      <c r="W90">
        <v>21</v>
      </c>
      <c r="X90">
        <v>335</v>
      </c>
      <c r="Y90">
        <v>0</v>
      </c>
      <c r="Z90">
        <f t="shared" si="2"/>
        <v>474319.859</v>
      </c>
      <c r="AD90" t="s">
        <v>2761</v>
      </c>
      <c r="AE90" t="s">
        <v>2762</v>
      </c>
      <c r="AF90" t="s">
        <v>2763</v>
      </c>
      <c r="AG90" t="str">
        <f t="shared" si="3"/>
        <v>Census Tract 22, King County, Washington</v>
      </c>
      <c r="AH90">
        <v>2769307.6850000001</v>
      </c>
    </row>
    <row r="91" spans="1:34" x14ac:dyDescent="0.25">
      <c r="A91" t="s">
        <v>1782</v>
      </c>
      <c r="B91">
        <v>53033008600</v>
      </c>
      <c r="C91" t="s">
        <v>1783</v>
      </c>
      <c r="D91">
        <v>5300</v>
      </c>
      <c r="E91">
        <v>4194</v>
      </c>
      <c r="F91">
        <v>1106</v>
      </c>
      <c r="G91">
        <v>5300</v>
      </c>
      <c r="H91">
        <v>4194</v>
      </c>
      <c r="I91">
        <v>1106</v>
      </c>
      <c r="J91">
        <v>2870</v>
      </c>
      <c r="K91">
        <v>125</v>
      </c>
      <c r="L91">
        <v>91</v>
      </c>
      <c r="M91">
        <v>29</v>
      </c>
      <c r="N91">
        <v>200</v>
      </c>
      <c r="O91">
        <v>176</v>
      </c>
      <c r="P91">
        <v>15</v>
      </c>
      <c r="Q91">
        <v>0</v>
      </c>
      <c r="R91">
        <v>528</v>
      </c>
      <c r="S91">
        <v>590</v>
      </c>
      <c r="T91">
        <v>33</v>
      </c>
      <c r="U91">
        <v>0</v>
      </c>
      <c r="V91">
        <v>164</v>
      </c>
      <c r="W91">
        <v>135</v>
      </c>
      <c r="X91">
        <v>293</v>
      </c>
      <c r="Y91">
        <v>51</v>
      </c>
      <c r="Z91">
        <f t="shared" si="2"/>
        <v>711566.37399999995</v>
      </c>
      <c r="AD91" t="s">
        <v>2764</v>
      </c>
      <c r="AE91" t="s">
        <v>2765</v>
      </c>
      <c r="AF91" t="s">
        <v>2766</v>
      </c>
      <c r="AG91" t="str">
        <f t="shared" si="3"/>
        <v>Census Tract 21, King County, Washington</v>
      </c>
      <c r="AH91">
        <v>1365467.0190000001</v>
      </c>
    </row>
    <row r="92" spans="1:34" x14ac:dyDescent="0.25">
      <c r="A92" t="s">
        <v>1784</v>
      </c>
      <c r="B92">
        <v>53033008700</v>
      </c>
      <c r="C92" t="s">
        <v>1785</v>
      </c>
      <c r="D92">
        <v>4727</v>
      </c>
      <c r="E92">
        <v>3773</v>
      </c>
      <c r="F92">
        <v>954</v>
      </c>
      <c r="G92">
        <v>4727</v>
      </c>
      <c r="H92">
        <v>3773</v>
      </c>
      <c r="I92">
        <v>954</v>
      </c>
      <c r="J92">
        <v>2324</v>
      </c>
      <c r="K92">
        <v>206</v>
      </c>
      <c r="L92">
        <v>61</v>
      </c>
      <c r="M92">
        <v>118</v>
      </c>
      <c r="N92">
        <v>727</v>
      </c>
      <c r="O92">
        <v>168</v>
      </c>
      <c r="P92">
        <v>23</v>
      </c>
      <c r="Q92">
        <v>0</v>
      </c>
      <c r="R92">
        <v>183</v>
      </c>
      <c r="S92">
        <v>216</v>
      </c>
      <c r="T92">
        <v>0</v>
      </c>
      <c r="U92">
        <v>0</v>
      </c>
      <c r="V92">
        <v>35</v>
      </c>
      <c r="W92">
        <v>202</v>
      </c>
      <c r="X92">
        <v>420</v>
      </c>
      <c r="Y92">
        <v>44</v>
      </c>
      <c r="Z92">
        <f t="shared" si="2"/>
        <v>732385.51300000004</v>
      </c>
      <c r="AD92" t="s">
        <v>2767</v>
      </c>
      <c r="AE92" t="s">
        <v>2768</v>
      </c>
      <c r="AF92" t="s">
        <v>2769</v>
      </c>
      <c r="AG92" t="str">
        <f t="shared" si="3"/>
        <v>Census Tract 20, King County, Washington</v>
      </c>
      <c r="AH92">
        <v>1099768.8559999999</v>
      </c>
    </row>
    <row r="93" spans="1:34" x14ac:dyDescent="0.25">
      <c r="A93" t="s">
        <v>1786</v>
      </c>
      <c r="B93">
        <v>53033008800</v>
      </c>
      <c r="C93" t="s">
        <v>1787</v>
      </c>
      <c r="D93">
        <v>4236</v>
      </c>
      <c r="E93">
        <v>3597</v>
      </c>
      <c r="F93">
        <v>639</v>
      </c>
      <c r="G93">
        <v>4236</v>
      </c>
      <c r="H93">
        <v>3597</v>
      </c>
      <c r="I93">
        <v>639</v>
      </c>
      <c r="J93">
        <v>2311</v>
      </c>
      <c r="K93">
        <v>141</v>
      </c>
      <c r="L93">
        <v>149</v>
      </c>
      <c r="M93">
        <v>28</v>
      </c>
      <c r="N93">
        <v>488</v>
      </c>
      <c r="O93">
        <v>31</v>
      </c>
      <c r="P93">
        <v>20</v>
      </c>
      <c r="Q93">
        <v>0</v>
      </c>
      <c r="R93">
        <v>61</v>
      </c>
      <c r="S93">
        <v>286</v>
      </c>
      <c r="T93">
        <v>77</v>
      </c>
      <c r="U93">
        <v>61</v>
      </c>
      <c r="V93">
        <v>181</v>
      </c>
      <c r="W93">
        <v>81</v>
      </c>
      <c r="X93">
        <v>310</v>
      </c>
      <c r="Y93">
        <v>11</v>
      </c>
      <c r="Z93">
        <f t="shared" si="2"/>
        <v>948580.94799999997</v>
      </c>
      <c r="AD93" t="s">
        <v>2770</v>
      </c>
      <c r="AE93" t="s">
        <v>2771</v>
      </c>
      <c r="AF93" t="s">
        <v>2772</v>
      </c>
      <c r="AG93" t="str">
        <f t="shared" si="3"/>
        <v>Census Tract 2, King County, Washington</v>
      </c>
      <c r="AH93">
        <v>3285629.4550000001</v>
      </c>
    </row>
    <row r="94" spans="1:34" x14ac:dyDescent="0.25">
      <c r="A94" t="s">
        <v>1788</v>
      </c>
      <c r="B94">
        <v>53033008900</v>
      </c>
      <c r="C94" t="s">
        <v>1789</v>
      </c>
      <c r="D94">
        <v>5729</v>
      </c>
      <c r="E94">
        <v>4681</v>
      </c>
      <c r="F94">
        <v>1048</v>
      </c>
      <c r="G94">
        <v>5729</v>
      </c>
      <c r="H94">
        <v>4681</v>
      </c>
      <c r="I94">
        <v>1048</v>
      </c>
      <c r="J94">
        <v>2600</v>
      </c>
      <c r="K94">
        <v>245</v>
      </c>
      <c r="L94">
        <v>95</v>
      </c>
      <c r="M94">
        <v>37</v>
      </c>
      <c r="N94">
        <v>1019</v>
      </c>
      <c r="O94">
        <v>348</v>
      </c>
      <c r="P94">
        <v>5</v>
      </c>
      <c r="Q94">
        <v>38</v>
      </c>
      <c r="R94">
        <v>377</v>
      </c>
      <c r="S94">
        <v>287</v>
      </c>
      <c r="T94">
        <v>0</v>
      </c>
      <c r="U94">
        <v>0</v>
      </c>
      <c r="V94">
        <v>9</v>
      </c>
      <c r="W94">
        <v>6</v>
      </c>
      <c r="X94">
        <v>576</v>
      </c>
      <c r="Y94">
        <v>87</v>
      </c>
      <c r="Z94">
        <f t="shared" si="2"/>
        <v>1267801.9820000001</v>
      </c>
      <c r="AD94" t="s">
        <v>2773</v>
      </c>
      <c r="AE94" t="s">
        <v>2774</v>
      </c>
      <c r="AF94" t="s">
        <v>2775</v>
      </c>
      <c r="AG94" t="str">
        <f t="shared" si="3"/>
        <v>Census Tract 19, King County, Washington</v>
      </c>
      <c r="AH94">
        <v>1649991.4350000001</v>
      </c>
    </row>
    <row r="95" spans="1:34" x14ac:dyDescent="0.25">
      <c r="A95" t="s">
        <v>1790</v>
      </c>
      <c r="B95">
        <v>53033009000</v>
      </c>
      <c r="C95" t="s">
        <v>1791</v>
      </c>
      <c r="D95">
        <v>3675</v>
      </c>
      <c r="E95">
        <v>2359</v>
      </c>
      <c r="F95">
        <v>1316</v>
      </c>
      <c r="G95">
        <v>3675</v>
      </c>
      <c r="H95">
        <v>2359</v>
      </c>
      <c r="I95">
        <v>1316</v>
      </c>
      <c r="J95">
        <v>1179</v>
      </c>
      <c r="K95">
        <v>153</v>
      </c>
      <c r="L95">
        <v>65</v>
      </c>
      <c r="M95">
        <v>23</v>
      </c>
      <c r="N95">
        <v>575</v>
      </c>
      <c r="O95">
        <v>442</v>
      </c>
      <c r="P95">
        <v>41</v>
      </c>
      <c r="Q95">
        <v>0</v>
      </c>
      <c r="R95">
        <v>246</v>
      </c>
      <c r="S95">
        <v>640</v>
      </c>
      <c r="T95">
        <v>11</v>
      </c>
      <c r="U95">
        <v>0</v>
      </c>
      <c r="V95">
        <v>8</v>
      </c>
      <c r="W95">
        <v>0</v>
      </c>
      <c r="X95">
        <v>234</v>
      </c>
      <c r="Y95">
        <v>58</v>
      </c>
      <c r="Z95">
        <f t="shared" si="2"/>
        <v>820732.11199999996</v>
      </c>
      <c r="AD95" t="s">
        <v>2776</v>
      </c>
      <c r="AE95" t="s">
        <v>2777</v>
      </c>
      <c r="AF95" t="s">
        <v>2778</v>
      </c>
      <c r="AG95" t="str">
        <f t="shared" si="3"/>
        <v>Census Tract 18, King County, Washington</v>
      </c>
      <c r="AH95">
        <v>943056.43400000001</v>
      </c>
    </row>
    <row r="96" spans="1:34" x14ac:dyDescent="0.25">
      <c r="A96" t="s">
        <v>1792</v>
      </c>
      <c r="B96">
        <v>53033009100</v>
      </c>
      <c r="C96" t="s">
        <v>1793</v>
      </c>
      <c r="D96">
        <v>2420</v>
      </c>
      <c r="E96">
        <v>1061</v>
      </c>
      <c r="F96">
        <v>1359</v>
      </c>
      <c r="G96">
        <v>2420</v>
      </c>
      <c r="H96">
        <v>1061</v>
      </c>
      <c r="I96">
        <v>1359</v>
      </c>
      <c r="J96">
        <v>462</v>
      </c>
      <c r="K96">
        <v>46</v>
      </c>
      <c r="L96">
        <v>61</v>
      </c>
      <c r="M96">
        <v>27</v>
      </c>
      <c r="N96">
        <v>122</v>
      </c>
      <c r="O96">
        <v>112</v>
      </c>
      <c r="P96">
        <v>54</v>
      </c>
      <c r="Q96">
        <v>0</v>
      </c>
      <c r="R96">
        <v>237</v>
      </c>
      <c r="S96">
        <v>1144</v>
      </c>
      <c r="T96">
        <v>0</v>
      </c>
      <c r="U96">
        <v>0</v>
      </c>
      <c r="V96">
        <v>0</v>
      </c>
      <c r="W96">
        <v>0</v>
      </c>
      <c r="X96">
        <v>125</v>
      </c>
      <c r="Y96">
        <v>30</v>
      </c>
      <c r="Z96">
        <f t="shared" si="2"/>
        <v>418832.28100000002</v>
      </c>
      <c r="AD96" t="s">
        <v>2779</v>
      </c>
      <c r="AE96" t="s">
        <v>2780</v>
      </c>
      <c r="AF96" t="s">
        <v>2781</v>
      </c>
      <c r="AG96" t="str">
        <f t="shared" si="3"/>
        <v>Census Tract 17.02, King County, Washington</v>
      </c>
      <c r="AH96">
        <v>1280223.344</v>
      </c>
    </row>
    <row r="97" spans="1:34" x14ac:dyDescent="0.25">
      <c r="A97" t="s">
        <v>1794</v>
      </c>
      <c r="B97">
        <v>53033009200</v>
      </c>
      <c r="C97" t="s">
        <v>1795</v>
      </c>
      <c r="D97">
        <v>2869</v>
      </c>
      <c r="E97">
        <v>1788</v>
      </c>
      <c r="F97">
        <v>1081</v>
      </c>
      <c r="G97">
        <v>2869</v>
      </c>
      <c r="H97">
        <v>1788</v>
      </c>
      <c r="I97">
        <v>1081</v>
      </c>
      <c r="J97">
        <v>1113</v>
      </c>
      <c r="K97">
        <v>134</v>
      </c>
      <c r="L97">
        <v>88</v>
      </c>
      <c r="M97">
        <v>26</v>
      </c>
      <c r="N97">
        <v>230</v>
      </c>
      <c r="O97">
        <v>35</v>
      </c>
      <c r="P97">
        <v>135</v>
      </c>
      <c r="Q97">
        <v>29</v>
      </c>
      <c r="R97">
        <v>30</v>
      </c>
      <c r="S97">
        <v>816</v>
      </c>
      <c r="T97">
        <v>4</v>
      </c>
      <c r="U97">
        <v>0</v>
      </c>
      <c r="V97">
        <v>52</v>
      </c>
      <c r="W97">
        <v>8</v>
      </c>
      <c r="X97">
        <v>136</v>
      </c>
      <c r="Y97">
        <v>33</v>
      </c>
      <c r="Z97">
        <f t="shared" si="2"/>
        <v>305237.72899999999</v>
      </c>
      <c r="AD97" t="s">
        <v>2782</v>
      </c>
      <c r="AE97" t="s">
        <v>2783</v>
      </c>
      <c r="AF97" t="s">
        <v>2784</v>
      </c>
      <c r="AG97" t="str">
        <f t="shared" si="3"/>
        <v>Census Tract 17.01, King County, Washington</v>
      </c>
      <c r="AH97">
        <v>892766.91899999999</v>
      </c>
    </row>
    <row r="98" spans="1:34" x14ac:dyDescent="0.25">
      <c r="A98" t="s">
        <v>1796</v>
      </c>
      <c r="B98">
        <v>53033009300</v>
      </c>
      <c r="C98" t="s">
        <v>1797</v>
      </c>
      <c r="D98">
        <v>2665</v>
      </c>
      <c r="E98">
        <v>2122</v>
      </c>
      <c r="F98">
        <v>543</v>
      </c>
      <c r="G98">
        <v>2665</v>
      </c>
      <c r="H98">
        <v>2122</v>
      </c>
      <c r="I98">
        <v>543</v>
      </c>
      <c r="J98">
        <v>1255</v>
      </c>
      <c r="K98">
        <v>84</v>
      </c>
      <c r="L98">
        <v>48</v>
      </c>
      <c r="M98">
        <v>54</v>
      </c>
      <c r="N98">
        <v>192</v>
      </c>
      <c r="O98">
        <v>131</v>
      </c>
      <c r="P98">
        <v>33</v>
      </c>
      <c r="Q98">
        <v>0</v>
      </c>
      <c r="R98">
        <v>286</v>
      </c>
      <c r="S98">
        <v>227</v>
      </c>
      <c r="T98">
        <v>0</v>
      </c>
      <c r="U98">
        <v>0</v>
      </c>
      <c r="V98">
        <v>48</v>
      </c>
      <c r="W98">
        <v>30</v>
      </c>
      <c r="X98">
        <v>260</v>
      </c>
      <c r="Y98">
        <v>17</v>
      </c>
      <c r="Z98">
        <f t="shared" si="2"/>
        <v>9448598.8049999997</v>
      </c>
      <c r="AD98" t="s">
        <v>2785</v>
      </c>
      <c r="AE98" t="s">
        <v>2786</v>
      </c>
      <c r="AF98" t="s">
        <v>2787</v>
      </c>
      <c r="AG98" t="str">
        <f t="shared" si="3"/>
        <v>Census Tract 16, King County, Washington</v>
      </c>
      <c r="AH98">
        <v>1924342.523</v>
      </c>
    </row>
    <row r="99" spans="1:34" x14ac:dyDescent="0.25">
      <c r="A99" t="s">
        <v>1798</v>
      </c>
      <c r="B99">
        <v>53033009400</v>
      </c>
      <c r="C99" t="s">
        <v>1799</v>
      </c>
      <c r="D99">
        <v>6754</v>
      </c>
      <c r="E99">
        <v>3958</v>
      </c>
      <c r="F99">
        <v>2796</v>
      </c>
      <c r="G99">
        <v>6754</v>
      </c>
      <c r="H99">
        <v>3958</v>
      </c>
      <c r="I99">
        <v>2796</v>
      </c>
      <c r="J99">
        <v>1816</v>
      </c>
      <c r="K99">
        <v>141</v>
      </c>
      <c r="L99">
        <v>204</v>
      </c>
      <c r="M99">
        <v>113</v>
      </c>
      <c r="N99">
        <v>478</v>
      </c>
      <c r="O99">
        <v>165</v>
      </c>
      <c r="P99">
        <v>128</v>
      </c>
      <c r="Q99">
        <v>0</v>
      </c>
      <c r="R99">
        <v>481</v>
      </c>
      <c r="S99">
        <v>1607</v>
      </c>
      <c r="T99">
        <v>15</v>
      </c>
      <c r="U99">
        <v>0</v>
      </c>
      <c r="V99">
        <v>233</v>
      </c>
      <c r="W99">
        <v>758</v>
      </c>
      <c r="X99">
        <v>603</v>
      </c>
      <c r="Y99">
        <v>12</v>
      </c>
      <c r="Z99">
        <f t="shared" si="2"/>
        <v>1723071.2120000001</v>
      </c>
      <c r="AD99" t="s">
        <v>2788</v>
      </c>
      <c r="AE99" t="s">
        <v>2789</v>
      </c>
      <c r="AF99" t="s">
        <v>2790</v>
      </c>
      <c r="AG99" t="str">
        <f t="shared" si="3"/>
        <v>Census Tract 15, King County, Washington</v>
      </c>
      <c r="AH99">
        <v>1143987.2290000001</v>
      </c>
    </row>
    <row r="100" spans="1:34" x14ac:dyDescent="0.25">
      <c r="A100" t="s">
        <v>1800</v>
      </c>
      <c r="B100">
        <v>53033009500</v>
      </c>
      <c r="C100" t="s">
        <v>1801</v>
      </c>
      <c r="D100">
        <v>6614</v>
      </c>
      <c r="E100">
        <v>5652</v>
      </c>
      <c r="F100">
        <v>962</v>
      </c>
      <c r="G100">
        <v>6614</v>
      </c>
      <c r="H100">
        <v>5652</v>
      </c>
      <c r="I100">
        <v>962</v>
      </c>
      <c r="J100">
        <v>3980</v>
      </c>
      <c r="K100">
        <v>222</v>
      </c>
      <c r="L100">
        <v>72</v>
      </c>
      <c r="M100">
        <v>46</v>
      </c>
      <c r="N100">
        <v>1020</v>
      </c>
      <c r="O100">
        <v>166</v>
      </c>
      <c r="P100">
        <v>12</v>
      </c>
      <c r="Q100">
        <v>0</v>
      </c>
      <c r="R100">
        <v>240</v>
      </c>
      <c r="S100">
        <v>364</v>
      </c>
      <c r="T100">
        <v>0</v>
      </c>
      <c r="U100">
        <v>0</v>
      </c>
      <c r="V100">
        <v>58</v>
      </c>
      <c r="W100">
        <v>22</v>
      </c>
      <c r="X100">
        <v>270</v>
      </c>
      <c r="Y100">
        <v>142</v>
      </c>
      <c r="Z100">
        <f t="shared" si="2"/>
        <v>2523824.7030000002</v>
      </c>
      <c r="AD100" t="s">
        <v>2791</v>
      </c>
      <c r="AE100" t="s">
        <v>2792</v>
      </c>
      <c r="AF100" t="s">
        <v>2793</v>
      </c>
      <c r="AG100" t="str">
        <f t="shared" si="3"/>
        <v>Census Tract 14, King County, Washington</v>
      </c>
      <c r="AH100">
        <v>2125862.452</v>
      </c>
    </row>
    <row r="101" spans="1:34" x14ac:dyDescent="0.25">
      <c r="A101" t="s">
        <v>1802</v>
      </c>
      <c r="B101">
        <v>53033009600</v>
      </c>
      <c r="C101" t="s">
        <v>1803</v>
      </c>
      <c r="D101">
        <v>5783</v>
      </c>
      <c r="E101">
        <v>5099</v>
      </c>
      <c r="F101">
        <v>684</v>
      </c>
      <c r="G101">
        <v>5783</v>
      </c>
      <c r="H101">
        <v>5099</v>
      </c>
      <c r="I101">
        <v>684</v>
      </c>
      <c r="J101">
        <v>4504</v>
      </c>
      <c r="K101">
        <v>271</v>
      </c>
      <c r="L101">
        <v>122</v>
      </c>
      <c r="M101">
        <v>16</v>
      </c>
      <c r="N101">
        <v>30</v>
      </c>
      <c r="O101">
        <v>45</v>
      </c>
      <c r="P101">
        <v>11</v>
      </c>
      <c r="Q101">
        <v>0</v>
      </c>
      <c r="R101">
        <v>68</v>
      </c>
      <c r="S101">
        <v>253</v>
      </c>
      <c r="T101">
        <v>0</v>
      </c>
      <c r="U101">
        <v>0</v>
      </c>
      <c r="V101">
        <v>14</v>
      </c>
      <c r="W101">
        <v>61</v>
      </c>
      <c r="X101">
        <v>350</v>
      </c>
      <c r="Y101">
        <v>38</v>
      </c>
      <c r="Z101">
        <f t="shared" si="2"/>
        <v>1777292.192</v>
      </c>
      <c r="AD101" t="s">
        <v>2794</v>
      </c>
      <c r="AE101" t="s">
        <v>2795</v>
      </c>
      <c r="AF101" t="s">
        <v>2796</v>
      </c>
      <c r="AG101" t="str">
        <f t="shared" si="3"/>
        <v>Census Tract 13, King County, Washington</v>
      </c>
      <c r="AH101">
        <v>1183907.3570000001</v>
      </c>
    </row>
    <row r="102" spans="1:34" x14ac:dyDescent="0.25">
      <c r="A102" t="s">
        <v>1804</v>
      </c>
      <c r="B102">
        <v>53033009701</v>
      </c>
      <c r="C102" t="s">
        <v>1805</v>
      </c>
      <c r="D102">
        <v>6254</v>
      </c>
      <c r="E102">
        <v>5380</v>
      </c>
      <c r="F102">
        <v>874</v>
      </c>
      <c r="G102">
        <v>6254</v>
      </c>
      <c r="H102">
        <v>5380</v>
      </c>
      <c r="I102">
        <v>874</v>
      </c>
      <c r="J102">
        <v>4421</v>
      </c>
      <c r="K102">
        <v>484</v>
      </c>
      <c r="L102">
        <v>281</v>
      </c>
      <c r="M102">
        <v>69</v>
      </c>
      <c r="N102">
        <v>122</v>
      </c>
      <c r="O102">
        <v>0</v>
      </c>
      <c r="P102">
        <v>33</v>
      </c>
      <c r="Q102">
        <v>0</v>
      </c>
      <c r="R102">
        <v>118</v>
      </c>
      <c r="S102">
        <v>284</v>
      </c>
      <c r="T102">
        <v>0</v>
      </c>
      <c r="U102">
        <v>0</v>
      </c>
      <c r="V102">
        <v>83</v>
      </c>
      <c r="W102">
        <v>20</v>
      </c>
      <c r="X102">
        <v>322</v>
      </c>
      <c r="Y102">
        <v>17</v>
      </c>
      <c r="Z102">
        <f t="shared" si="2"/>
        <v>1757148.1340000001</v>
      </c>
      <c r="AD102" t="s">
        <v>2797</v>
      </c>
      <c r="AE102" t="s">
        <v>2798</v>
      </c>
      <c r="AF102" t="s">
        <v>2799</v>
      </c>
      <c r="AG102" t="str">
        <f t="shared" si="3"/>
        <v>Census Tract 121, King County, Washington</v>
      </c>
      <c r="AH102">
        <v>1706805.1229999999</v>
      </c>
    </row>
    <row r="103" spans="1:34" x14ac:dyDescent="0.25">
      <c r="A103" t="s">
        <v>1806</v>
      </c>
      <c r="B103">
        <v>53033009702</v>
      </c>
      <c r="C103" t="s">
        <v>1807</v>
      </c>
      <c r="D103">
        <v>5551</v>
      </c>
      <c r="E103">
        <v>5142</v>
      </c>
      <c r="F103">
        <v>409</v>
      </c>
      <c r="G103">
        <v>5551</v>
      </c>
      <c r="H103">
        <v>5142</v>
      </c>
      <c r="I103">
        <v>409</v>
      </c>
      <c r="J103">
        <v>4434</v>
      </c>
      <c r="K103">
        <v>162</v>
      </c>
      <c r="L103">
        <v>198</v>
      </c>
      <c r="M103">
        <v>14</v>
      </c>
      <c r="N103">
        <v>0</v>
      </c>
      <c r="O103">
        <v>16</v>
      </c>
      <c r="P103">
        <v>15</v>
      </c>
      <c r="Q103">
        <v>0</v>
      </c>
      <c r="R103">
        <v>38</v>
      </c>
      <c r="S103">
        <v>217</v>
      </c>
      <c r="T103">
        <v>0</v>
      </c>
      <c r="U103">
        <v>0</v>
      </c>
      <c r="V103">
        <v>101</v>
      </c>
      <c r="W103">
        <v>0</v>
      </c>
      <c r="X103">
        <v>356</v>
      </c>
      <c r="Y103">
        <v>0</v>
      </c>
      <c r="Z103">
        <f t="shared" si="2"/>
        <v>2219066.1030000001</v>
      </c>
      <c r="AD103" t="s">
        <v>2800</v>
      </c>
      <c r="AE103" t="s">
        <v>2801</v>
      </c>
      <c r="AF103" t="s">
        <v>2802</v>
      </c>
      <c r="AG103" t="str">
        <f t="shared" si="3"/>
        <v>Census Tract 120, King County, Washington</v>
      </c>
      <c r="AH103">
        <v>1447512.4509999999</v>
      </c>
    </row>
    <row r="104" spans="1:34" x14ac:dyDescent="0.25">
      <c r="A104" t="s">
        <v>1808</v>
      </c>
      <c r="B104">
        <v>53033009800</v>
      </c>
      <c r="C104" t="s">
        <v>1809</v>
      </c>
      <c r="D104">
        <v>7326</v>
      </c>
      <c r="E104">
        <v>6563</v>
      </c>
      <c r="F104">
        <v>763</v>
      </c>
      <c r="G104">
        <v>7326</v>
      </c>
      <c r="H104">
        <v>6563</v>
      </c>
      <c r="I104">
        <v>763</v>
      </c>
      <c r="J104">
        <v>5750</v>
      </c>
      <c r="K104">
        <v>433</v>
      </c>
      <c r="L104">
        <v>162</v>
      </c>
      <c r="M104">
        <v>0</v>
      </c>
      <c r="N104">
        <v>36</v>
      </c>
      <c r="O104">
        <v>0</v>
      </c>
      <c r="P104">
        <v>0</v>
      </c>
      <c r="Q104">
        <v>0</v>
      </c>
      <c r="R104">
        <v>222</v>
      </c>
      <c r="S104">
        <v>279</v>
      </c>
      <c r="T104">
        <v>0</v>
      </c>
      <c r="U104">
        <v>0</v>
      </c>
      <c r="V104">
        <v>49</v>
      </c>
      <c r="W104">
        <v>0</v>
      </c>
      <c r="X104">
        <v>344</v>
      </c>
      <c r="Y104">
        <v>51</v>
      </c>
      <c r="Z104">
        <f t="shared" si="2"/>
        <v>1930637.115</v>
      </c>
      <c r="AD104" t="s">
        <v>2803</v>
      </c>
      <c r="AE104" t="s">
        <v>2804</v>
      </c>
      <c r="AF104" t="s">
        <v>2805</v>
      </c>
      <c r="AG104" t="str">
        <f t="shared" si="3"/>
        <v>Census Tract 12, King County, Washington</v>
      </c>
      <c r="AH104">
        <v>1834057.2039999999</v>
      </c>
    </row>
    <row r="105" spans="1:34" x14ac:dyDescent="0.25">
      <c r="A105" t="s">
        <v>1810</v>
      </c>
      <c r="B105">
        <v>53033009900</v>
      </c>
      <c r="C105" t="s">
        <v>1811</v>
      </c>
      <c r="D105">
        <v>5675</v>
      </c>
      <c r="E105">
        <v>4690</v>
      </c>
      <c r="F105">
        <v>985</v>
      </c>
      <c r="G105">
        <v>5675</v>
      </c>
      <c r="H105">
        <v>4690</v>
      </c>
      <c r="I105">
        <v>985</v>
      </c>
      <c r="J105">
        <v>3699</v>
      </c>
      <c r="K105">
        <v>525</v>
      </c>
      <c r="L105">
        <v>208</v>
      </c>
      <c r="M105">
        <v>24</v>
      </c>
      <c r="N105">
        <v>101</v>
      </c>
      <c r="O105">
        <v>35</v>
      </c>
      <c r="P105">
        <v>0</v>
      </c>
      <c r="Q105">
        <v>0</v>
      </c>
      <c r="R105">
        <v>233</v>
      </c>
      <c r="S105">
        <v>284</v>
      </c>
      <c r="T105">
        <v>0</v>
      </c>
      <c r="U105">
        <v>0</v>
      </c>
      <c r="V105">
        <v>22</v>
      </c>
      <c r="W105">
        <v>91</v>
      </c>
      <c r="X105">
        <v>427</v>
      </c>
      <c r="Y105">
        <v>26</v>
      </c>
      <c r="Z105">
        <f t="shared" si="2"/>
        <v>6506273.2400000002</v>
      </c>
      <c r="AD105" t="s">
        <v>2806</v>
      </c>
      <c r="AE105" t="s">
        <v>2807</v>
      </c>
      <c r="AF105" t="s">
        <v>2808</v>
      </c>
      <c r="AG105" t="str">
        <f t="shared" si="3"/>
        <v>Census Tract 119, King County, Washington</v>
      </c>
      <c r="AH105">
        <v>3154917.1749999998</v>
      </c>
    </row>
    <row r="106" spans="1:34" x14ac:dyDescent="0.25">
      <c r="A106" t="s">
        <v>2368</v>
      </c>
      <c r="B106">
        <v>53033010001</v>
      </c>
      <c r="C106" t="s">
        <v>2369</v>
      </c>
      <c r="D106">
        <v>4276</v>
      </c>
      <c r="E106">
        <v>2743</v>
      </c>
      <c r="F106">
        <v>1533</v>
      </c>
      <c r="G106">
        <v>4276</v>
      </c>
      <c r="H106">
        <v>2743</v>
      </c>
      <c r="I106">
        <v>1533</v>
      </c>
      <c r="J106">
        <v>1404</v>
      </c>
      <c r="K106">
        <v>82</v>
      </c>
      <c r="L106">
        <v>141</v>
      </c>
      <c r="M106">
        <v>53</v>
      </c>
      <c r="N106">
        <v>611</v>
      </c>
      <c r="O106">
        <v>631</v>
      </c>
      <c r="P106">
        <v>24</v>
      </c>
      <c r="Q106">
        <v>0</v>
      </c>
      <c r="R106">
        <v>422</v>
      </c>
      <c r="S106">
        <v>745</v>
      </c>
      <c r="T106">
        <v>0</v>
      </c>
      <c r="U106">
        <v>0</v>
      </c>
      <c r="V106">
        <v>0</v>
      </c>
      <c r="W106">
        <v>0</v>
      </c>
      <c r="X106">
        <v>141</v>
      </c>
      <c r="Y106">
        <v>22</v>
      </c>
      <c r="Z106">
        <f t="shared" si="2"/>
        <v>2245836.6940000001</v>
      </c>
      <c r="AD106" t="s">
        <v>2809</v>
      </c>
      <c r="AE106" t="s">
        <v>2810</v>
      </c>
      <c r="AF106" t="s">
        <v>2811</v>
      </c>
      <c r="AG106" t="str">
        <f t="shared" si="3"/>
        <v>Census Tract 118, King County, Washington</v>
      </c>
      <c r="AH106">
        <v>2299528.1170000001</v>
      </c>
    </row>
    <row r="107" spans="1:34" x14ac:dyDescent="0.25">
      <c r="A107" t="s">
        <v>2370</v>
      </c>
      <c r="B107">
        <v>53033010002</v>
      </c>
      <c r="C107" t="s">
        <v>2371</v>
      </c>
      <c r="D107">
        <v>4817</v>
      </c>
      <c r="E107">
        <v>3178</v>
      </c>
      <c r="F107">
        <v>1639</v>
      </c>
      <c r="G107">
        <v>4817</v>
      </c>
      <c r="H107">
        <v>3178</v>
      </c>
      <c r="I107">
        <v>1639</v>
      </c>
      <c r="J107">
        <v>1751</v>
      </c>
      <c r="K107">
        <v>125</v>
      </c>
      <c r="L107">
        <v>280</v>
      </c>
      <c r="M107">
        <v>257</v>
      </c>
      <c r="N107">
        <v>242</v>
      </c>
      <c r="O107">
        <v>19</v>
      </c>
      <c r="P107">
        <v>0</v>
      </c>
      <c r="Q107">
        <v>98</v>
      </c>
      <c r="R107">
        <v>521</v>
      </c>
      <c r="S107">
        <v>877</v>
      </c>
      <c r="T107">
        <v>0</v>
      </c>
      <c r="U107">
        <v>14</v>
      </c>
      <c r="V107">
        <v>105</v>
      </c>
      <c r="W107">
        <v>207</v>
      </c>
      <c r="X107">
        <v>279</v>
      </c>
      <c r="Y107">
        <v>42</v>
      </c>
      <c r="Z107">
        <f t="shared" si="2"/>
        <v>948252.446</v>
      </c>
      <c r="AD107" t="s">
        <v>2812</v>
      </c>
      <c r="AE107" t="s">
        <v>2813</v>
      </c>
      <c r="AF107" t="s">
        <v>2814</v>
      </c>
      <c r="AG107" t="str">
        <f t="shared" si="3"/>
        <v>Census Tract 117, King County, Washington</v>
      </c>
      <c r="AH107">
        <v>3515613.3509999998</v>
      </c>
    </row>
    <row r="108" spans="1:34" x14ac:dyDescent="0.25">
      <c r="A108" t="s">
        <v>1814</v>
      </c>
      <c r="B108">
        <v>53033010100</v>
      </c>
      <c r="C108" t="s">
        <v>1815</v>
      </c>
      <c r="D108">
        <v>8025</v>
      </c>
      <c r="E108">
        <v>6142</v>
      </c>
      <c r="F108">
        <v>1883</v>
      </c>
      <c r="G108">
        <v>8025</v>
      </c>
      <c r="H108">
        <v>6142</v>
      </c>
      <c r="I108">
        <v>1883</v>
      </c>
      <c r="J108">
        <v>2757</v>
      </c>
      <c r="K108">
        <v>200</v>
      </c>
      <c r="L108">
        <v>152</v>
      </c>
      <c r="M108">
        <v>23</v>
      </c>
      <c r="N108">
        <v>2066</v>
      </c>
      <c r="O108">
        <v>390</v>
      </c>
      <c r="P108">
        <v>36</v>
      </c>
      <c r="Q108">
        <v>0</v>
      </c>
      <c r="R108">
        <v>635</v>
      </c>
      <c r="S108">
        <v>980</v>
      </c>
      <c r="T108">
        <v>59</v>
      </c>
      <c r="U108">
        <v>29</v>
      </c>
      <c r="V108">
        <v>0</v>
      </c>
      <c r="W108">
        <v>123</v>
      </c>
      <c r="X108">
        <v>437</v>
      </c>
      <c r="Y108">
        <v>138</v>
      </c>
      <c r="Z108">
        <f t="shared" si="2"/>
        <v>2482441.9679999999</v>
      </c>
      <c r="AD108" t="s">
        <v>2815</v>
      </c>
      <c r="AE108" t="s">
        <v>2816</v>
      </c>
      <c r="AF108" t="s">
        <v>2817</v>
      </c>
      <c r="AG108" t="str">
        <f t="shared" si="3"/>
        <v>Census Tract 116, King County, Washington</v>
      </c>
      <c r="AH108">
        <v>3100957.5520000001</v>
      </c>
    </row>
    <row r="109" spans="1:34" x14ac:dyDescent="0.25">
      <c r="A109" t="s">
        <v>1816</v>
      </c>
      <c r="B109">
        <v>53033010200</v>
      </c>
      <c r="C109" t="s">
        <v>1817</v>
      </c>
      <c r="D109">
        <v>4570</v>
      </c>
      <c r="E109">
        <v>3793</v>
      </c>
      <c r="F109">
        <v>777</v>
      </c>
      <c r="G109">
        <v>4570</v>
      </c>
      <c r="H109">
        <v>3793</v>
      </c>
      <c r="I109">
        <v>777</v>
      </c>
      <c r="J109">
        <v>2652</v>
      </c>
      <c r="K109">
        <v>212</v>
      </c>
      <c r="L109">
        <v>46</v>
      </c>
      <c r="M109">
        <v>51</v>
      </c>
      <c r="N109">
        <v>456</v>
      </c>
      <c r="O109">
        <v>50</v>
      </c>
      <c r="P109">
        <v>5</v>
      </c>
      <c r="Q109">
        <v>0</v>
      </c>
      <c r="R109">
        <v>408</v>
      </c>
      <c r="S109">
        <v>425</v>
      </c>
      <c r="T109">
        <v>0</v>
      </c>
      <c r="U109">
        <v>0</v>
      </c>
      <c r="V109">
        <v>52</v>
      </c>
      <c r="W109">
        <v>20</v>
      </c>
      <c r="X109">
        <v>174</v>
      </c>
      <c r="Y109">
        <v>19</v>
      </c>
      <c r="Z109">
        <f t="shared" si="2"/>
        <v>2749745.4610000001</v>
      </c>
      <c r="AD109" t="s">
        <v>2818</v>
      </c>
      <c r="AE109" t="s">
        <v>2819</v>
      </c>
      <c r="AF109" t="s">
        <v>2820</v>
      </c>
      <c r="AG109" t="str">
        <f t="shared" si="3"/>
        <v>Census Tract 115, King County, Washington</v>
      </c>
      <c r="AH109">
        <v>1538373.152</v>
      </c>
    </row>
    <row r="110" spans="1:34" x14ac:dyDescent="0.25">
      <c r="A110" t="s">
        <v>1818</v>
      </c>
      <c r="B110">
        <v>53033010300</v>
      </c>
      <c r="C110" t="s">
        <v>1819</v>
      </c>
      <c r="D110">
        <v>7084</v>
      </c>
      <c r="E110">
        <v>4976</v>
      </c>
      <c r="F110">
        <v>2108</v>
      </c>
      <c r="G110">
        <v>7084</v>
      </c>
      <c r="H110">
        <v>4976</v>
      </c>
      <c r="I110">
        <v>2108</v>
      </c>
      <c r="J110">
        <v>2656</v>
      </c>
      <c r="K110">
        <v>124</v>
      </c>
      <c r="L110">
        <v>141</v>
      </c>
      <c r="M110">
        <v>161</v>
      </c>
      <c r="N110">
        <v>1349</v>
      </c>
      <c r="O110">
        <v>761</v>
      </c>
      <c r="P110">
        <v>46</v>
      </c>
      <c r="Q110">
        <v>14</v>
      </c>
      <c r="R110">
        <v>389</v>
      </c>
      <c r="S110">
        <v>1034</v>
      </c>
      <c r="T110">
        <v>0</v>
      </c>
      <c r="U110">
        <v>0</v>
      </c>
      <c r="V110">
        <v>0</v>
      </c>
      <c r="W110">
        <v>0</v>
      </c>
      <c r="X110">
        <v>395</v>
      </c>
      <c r="Y110">
        <v>14</v>
      </c>
      <c r="Z110">
        <f t="shared" si="2"/>
        <v>1660252.4010000001</v>
      </c>
      <c r="AD110" t="s">
        <v>2821</v>
      </c>
      <c r="AE110" t="s">
        <v>2822</v>
      </c>
      <c r="AF110" t="s">
        <v>2823</v>
      </c>
      <c r="AG110" t="str">
        <f t="shared" si="3"/>
        <v>Census Tract 114.02, King County, Washington</v>
      </c>
      <c r="AH110">
        <v>1186184.794</v>
      </c>
    </row>
    <row r="111" spans="1:34" x14ac:dyDescent="0.25">
      <c r="A111" t="s">
        <v>2372</v>
      </c>
      <c r="B111">
        <v>53033010401</v>
      </c>
      <c r="C111" t="s">
        <v>2373</v>
      </c>
      <c r="D111">
        <v>4303</v>
      </c>
      <c r="E111">
        <v>2188</v>
      </c>
      <c r="F111">
        <v>2115</v>
      </c>
      <c r="G111">
        <v>4303</v>
      </c>
      <c r="H111">
        <v>2188</v>
      </c>
      <c r="I111">
        <v>2115</v>
      </c>
      <c r="J111">
        <v>750</v>
      </c>
      <c r="K111">
        <v>51</v>
      </c>
      <c r="L111">
        <v>70</v>
      </c>
      <c r="M111">
        <v>12</v>
      </c>
      <c r="N111">
        <v>492</v>
      </c>
      <c r="O111">
        <v>233</v>
      </c>
      <c r="P111">
        <v>0</v>
      </c>
      <c r="Q111">
        <v>0</v>
      </c>
      <c r="R111">
        <v>633</v>
      </c>
      <c r="S111">
        <v>1720</v>
      </c>
      <c r="T111">
        <v>0</v>
      </c>
      <c r="U111">
        <v>0</v>
      </c>
      <c r="V111">
        <v>97</v>
      </c>
      <c r="W111">
        <v>94</v>
      </c>
      <c r="X111">
        <v>146</v>
      </c>
      <c r="Y111">
        <v>5</v>
      </c>
      <c r="Z111">
        <f t="shared" si="2"/>
        <v>1616686.0390000001</v>
      </c>
      <c r="AD111" t="s">
        <v>2824</v>
      </c>
      <c r="AE111" t="s">
        <v>2825</v>
      </c>
      <c r="AF111" t="s">
        <v>2826</v>
      </c>
      <c r="AG111" t="str">
        <f t="shared" si="3"/>
        <v>Census Tract 114.01, King County, Washington</v>
      </c>
      <c r="AH111">
        <v>1233155.173</v>
      </c>
    </row>
    <row r="112" spans="1:34" x14ac:dyDescent="0.25">
      <c r="A112" t="s">
        <v>2374</v>
      </c>
      <c r="B112">
        <v>53033010402</v>
      </c>
      <c r="C112" t="s">
        <v>2375</v>
      </c>
      <c r="D112">
        <v>4938</v>
      </c>
      <c r="E112">
        <v>2783</v>
      </c>
      <c r="F112">
        <v>2155</v>
      </c>
      <c r="G112">
        <v>4938</v>
      </c>
      <c r="H112">
        <v>2783</v>
      </c>
      <c r="I112">
        <v>2155</v>
      </c>
      <c r="J112">
        <v>1170</v>
      </c>
      <c r="K112">
        <v>94</v>
      </c>
      <c r="L112">
        <v>42</v>
      </c>
      <c r="M112">
        <v>254</v>
      </c>
      <c r="N112">
        <v>321</v>
      </c>
      <c r="O112">
        <v>96</v>
      </c>
      <c r="P112">
        <v>0</v>
      </c>
      <c r="Q112">
        <v>0</v>
      </c>
      <c r="R112">
        <v>868</v>
      </c>
      <c r="S112">
        <v>1600</v>
      </c>
      <c r="T112">
        <v>0</v>
      </c>
      <c r="U112">
        <v>0</v>
      </c>
      <c r="V112">
        <v>96</v>
      </c>
      <c r="W112">
        <v>63</v>
      </c>
      <c r="X112">
        <v>286</v>
      </c>
      <c r="Y112">
        <v>48</v>
      </c>
      <c r="Z112">
        <f t="shared" si="2"/>
        <v>1798893.514</v>
      </c>
      <c r="AD112" t="s">
        <v>2827</v>
      </c>
      <c r="AE112" t="s">
        <v>2828</v>
      </c>
      <c r="AF112" t="s">
        <v>2829</v>
      </c>
      <c r="AG112" t="str">
        <f t="shared" si="3"/>
        <v>Census Tract 113, King County, Washington</v>
      </c>
      <c r="AH112">
        <v>3157576.7659999998</v>
      </c>
    </row>
    <row r="113" spans="1:34" x14ac:dyDescent="0.25">
      <c r="A113" t="s">
        <v>1822</v>
      </c>
      <c r="B113">
        <v>53033010500</v>
      </c>
      <c r="C113" t="s">
        <v>1823</v>
      </c>
      <c r="D113">
        <v>7468</v>
      </c>
      <c r="E113">
        <v>6497</v>
      </c>
      <c r="F113">
        <v>971</v>
      </c>
      <c r="G113">
        <v>7468</v>
      </c>
      <c r="H113">
        <v>6497</v>
      </c>
      <c r="I113">
        <v>971</v>
      </c>
      <c r="J113">
        <v>5393</v>
      </c>
      <c r="K113">
        <v>463</v>
      </c>
      <c r="L113">
        <v>209</v>
      </c>
      <c r="M113">
        <v>0</v>
      </c>
      <c r="N113">
        <v>86</v>
      </c>
      <c r="O113">
        <v>77</v>
      </c>
      <c r="P113">
        <v>17</v>
      </c>
      <c r="Q113">
        <v>0</v>
      </c>
      <c r="R113">
        <v>299</v>
      </c>
      <c r="S113">
        <v>371</v>
      </c>
      <c r="T113">
        <v>0</v>
      </c>
      <c r="U113">
        <v>0</v>
      </c>
      <c r="V113">
        <v>0</v>
      </c>
      <c r="W113">
        <v>27</v>
      </c>
      <c r="X113">
        <v>493</v>
      </c>
      <c r="Y113">
        <v>33</v>
      </c>
      <c r="Z113">
        <f t="shared" si="2"/>
        <v>1717922.3259999999</v>
      </c>
      <c r="AD113" t="s">
        <v>2830</v>
      </c>
      <c r="AE113" t="s">
        <v>2831</v>
      </c>
      <c r="AF113" t="s">
        <v>2832</v>
      </c>
      <c r="AG113" t="str">
        <f t="shared" si="3"/>
        <v>Census Tract 112, King County, Washington</v>
      </c>
      <c r="AH113">
        <v>2750510.6310000001</v>
      </c>
    </row>
    <row r="114" spans="1:34" x14ac:dyDescent="0.25">
      <c r="A114" t="s">
        <v>1824</v>
      </c>
      <c r="B114">
        <v>53033010600</v>
      </c>
      <c r="C114" t="s">
        <v>1825</v>
      </c>
      <c r="D114">
        <v>8328</v>
      </c>
      <c r="E114">
        <v>7421</v>
      </c>
      <c r="F114">
        <v>907</v>
      </c>
      <c r="G114">
        <v>8328</v>
      </c>
      <c r="H114">
        <v>7421</v>
      </c>
      <c r="I114">
        <v>907</v>
      </c>
      <c r="J114">
        <v>6093</v>
      </c>
      <c r="K114">
        <v>290</v>
      </c>
      <c r="L114">
        <v>264</v>
      </c>
      <c r="M114">
        <v>17</v>
      </c>
      <c r="N114">
        <v>174</v>
      </c>
      <c r="O114">
        <v>79</v>
      </c>
      <c r="P114">
        <v>55</v>
      </c>
      <c r="Q114">
        <v>13</v>
      </c>
      <c r="R114">
        <v>161</v>
      </c>
      <c r="S114">
        <v>407</v>
      </c>
      <c r="T114">
        <v>16</v>
      </c>
      <c r="U114">
        <v>0</v>
      </c>
      <c r="V114">
        <v>145</v>
      </c>
      <c r="W114">
        <v>87</v>
      </c>
      <c r="X114">
        <v>513</v>
      </c>
      <c r="Y114">
        <v>14</v>
      </c>
      <c r="Z114">
        <f t="shared" si="2"/>
        <v>2515783.1209999998</v>
      </c>
      <c r="AD114" t="s">
        <v>2833</v>
      </c>
      <c r="AE114" t="s">
        <v>2834</v>
      </c>
      <c r="AF114" t="s">
        <v>2835</v>
      </c>
      <c r="AG114" t="str">
        <f t="shared" si="3"/>
        <v>Census Tract 111.02, King County, Washington</v>
      </c>
      <c r="AH114">
        <v>1298757.5330000001</v>
      </c>
    </row>
    <row r="115" spans="1:34" x14ac:dyDescent="0.25">
      <c r="A115" t="s">
        <v>2376</v>
      </c>
      <c r="B115">
        <v>53033010701</v>
      </c>
      <c r="C115" t="s">
        <v>2377</v>
      </c>
      <c r="D115">
        <v>3736</v>
      </c>
      <c r="E115">
        <v>2630</v>
      </c>
      <c r="F115">
        <v>1106</v>
      </c>
      <c r="G115">
        <v>3736</v>
      </c>
      <c r="H115">
        <v>2630</v>
      </c>
      <c r="I115">
        <v>1106</v>
      </c>
      <c r="J115">
        <v>1533</v>
      </c>
      <c r="K115">
        <v>114</v>
      </c>
      <c r="L115">
        <v>74</v>
      </c>
      <c r="M115">
        <v>6</v>
      </c>
      <c r="N115">
        <v>594</v>
      </c>
      <c r="O115">
        <v>612</v>
      </c>
      <c r="P115">
        <v>0</v>
      </c>
      <c r="Q115">
        <v>0</v>
      </c>
      <c r="R115">
        <v>110</v>
      </c>
      <c r="S115">
        <v>297</v>
      </c>
      <c r="T115">
        <v>81</v>
      </c>
      <c r="U115">
        <v>46</v>
      </c>
      <c r="V115">
        <v>94</v>
      </c>
      <c r="W115">
        <v>31</v>
      </c>
      <c r="X115">
        <v>144</v>
      </c>
      <c r="Y115">
        <v>0</v>
      </c>
      <c r="Z115">
        <f t="shared" si="2"/>
        <v>1453051.3489999999</v>
      </c>
      <c r="AD115" t="s">
        <v>2836</v>
      </c>
      <c r="AE115" t="s">
        <v>2837</v>
      </c>
      <c r="AF115" t="s">
        <v>2838</v>
      </c>
      <c r="AG115" t="str">
        <f t="shared" si="3"/>
        <v>Census Tract 111.01, King County, Washington</v>
      </c>
      <c r="AH115">
        <v>1150364.17</v>
      </c>
    </row>
    <row r="116" spans="1:34" x14ac:dyDescent="0.25">
      <c r="A116" t="s">
        <v>2378</v>
      </c>
      <c r="B116">
        <v>53033010702</v>
      </c>
      <c r="C116" t="s">
        <v>2379</v>
      </c>
      <c r="D116">
        <v>4600</v>
      </c>
      <c r="E116">
        <v>2859</v>
      </c>
      <c r="F116">
        <v>1741</v>
      </c>
      <c r="G116">
        <v>4600</v>
      </c>
      <c r="H116">
        <v>2859</v>
      </c>
      <c r="I116">
        <v>1741</v>
      </c>
      <c r="J116">
        <v>1133</v>
      </c>
      <c r="K116">
        <v>223</v>
      </c>
      <c r="L116">
        <v>124</v>
      </c>
      <c r="M116">
        <v>34</v>
      </c>
      <c r="N116">
        <v>881</v>
      </c>
      <c r="O116">
        <v>888</v>
      </c>
      <c r="P116">
        <v>0</v>
      </c>
      <c r="Q116">
        <v>0</v>
      </c>
      <c r="R116">
        <v>366</v>
      </c>
      <c r="S116">
        <v>447</v>
      </c>
      <c r="T116">
        <v>0</v>
      </c>
      <c r="U116">
        <v>0</v>
      </c>
      <c r="V116">
        <v>49</v>
      </c>
      <c r="W116">
        <v>149</v>
      </c>
      <c r="X116">
        <v>306</v>
      </c>
      <c r="Y116">
        <v>0</v>
      </c>
      <c r="Z116">
        <f t="shared" si="2"/>
        <v>784451.06200000003</v>
      </c>
      <c r="AD116" t="s">
        <v>2839</v>
      </c>
      <c r="AE116" t="s">
        <v>2840</v>
      </c>
      <c r="AF116" t="s">
        <v>2841</v>
      </c>
      <c r="AG116" t="str">
        <f t="shared" si="3"/>
        <v>Census Tract 110.02, King County, Washington</v>
      </c>
      <c r="AH116">
        <v>1676122.159</v>
      </c>
    </row>
    <row r="117" spans="1:34" x14ac:dyDescent="0.25">
      <c r="A117" t="s">
        <v>1828</v>
      </c>
      <c r="B117">
        <v>53033010800</v>
      </c>
      <c r="C117" t="s">
        <v>1829</v>
      </c>
      <c r="D117">
        <v>4970</v>
      </c>
      <c r="E117">
        <v>4004</v>
      </c>
      <c r="F117">
        <v>966</v>
      </c>
      <c r="G117">
        <v>4970</v>
      </c>
      <c r="H117">
        <v>4004</v>
      </c>
      <c r="I117">
        <v>966</v>
      </c>
      <c r="J117">
        <v>2343</v>
      </c>
      <c r="K117">
        <v>17</v>
      </c>
      <c r="L117">
        <v>170</v>
      </c>
      <c r="M117">
        <v>0</v>
      </c>
      <c r="N117">
        <v>396</v>
      </c>
      <c r="O117">
        <v>142</v>
      </c>
      <c r="P117">
        <v>0</v>
      </c>
      <c r="Q117">
        <v>0</v>
      </c>
      <c r="R117">
        <v>482</v>
      </c>
      <c r="S117">
        <v>696</v>
      </c>
      <c r="T117">
        <v>59</v>
      </c>
      <c r="U117">
        <v>50</v>
      </c>
      <c r="V117">
        <v>123</v>
      </c>
      <c r="W117">
        <v>2</v>
      </c>
      <c r="X117">
        <v>431</v>
      </c>
      <c r="Y117">
        <v>59</v>
      </c>
      <c r="Z117">
        <f t="shared" si="2"/>
        <v>4057516.9249999998</v>
      </c>
      <c r="AD117" t="s">
        <v>2842</v>
      </c>
      <c r="AE117" t="s">
        <v>2843</v>
      </c>
      <c r="AF117" t="s">
        <v>2844</v>
      </c>
      <c r="AG117" t="str">
        <f t="shared" si="3"/>
        <v>Census Tract 110.01, King County, Washington</v>
      </c>
      <c r="AH117">
        <v>1070772.433</v>
      </c>
    </row>
    <row r="118" spans="1:34" x14ac:dyDescent="0.25">
      <c r="A118" t="s">
        <v>1830</v>
      </c>
      <c r="B118">
        <v>53033010900</v>
      </c>
      <c r="C118" t="s">
        <v>1831</v>
      </c>
      <c r="D118">
        <v>1045</v>
      </c>
      <c r="E118">
        <v>1016</v>
      </c>
      <c r="F118">
        <v>29</v>
      </c>
      <c r="G118">
        <v>1045</v>
      </c>
      <c r="H118">
        <v>1016</v>
      </c>
      <c r="I118">
        <v>29</v>
      </c>
      <c r="J118">
        <v>803</v>
      </c>
      <c r="K118">
        <v>21</v>
      </c>
      <c r="L118">
        <v>25</v>
      </c>
      <c r="M118">
        <v>0</v>
      </c>
      <c r="N118">
        <v>18</v>
      </c>
      <c r="O118">
        <v>0</v>
      </c>
      <c r="P118">
        <v>6</v>
      </c>
      <c r="Q118">
        <v>0</v>
      </c>
      <c r="R118">
        <v>19</v>
      </c>
      <c r="S118">
        <v>8</v>
      </c>
      <c r="T118">
        <v>18</v>
      </c>
      <c r="U118">
        <v>0</v>
      </c>
      <c r="V118">
        <v>62</v>
      </c>
      <c r="W118">
        <v>0</v>
      </c>
      <c r="X118">
        <v>65</v>
      </c>
      <c r="Y118">
        <v>0</v>
      </c>
      <c r="Z118">
        <f t="shared" si="2"/>
        <v>4776041.7609999999</v>
      </c>
      <c r="AD118" t="s">
        <v>2845</v>
      </c>
      <c r="AE118" t="s">
        <v>2846</v>
      </c>
      <c r="AF118" t="s">
        <v>2847</v>
      </c>
      <c r="AG118" t="str">
        <f t="shared" si="3"/>
        <v>Census Tract 11, King County, Washington</v>
      </c>
      <c r="AH118">
        <v>1060421.014</v>
      </c>
    </row>
    <row r="119" spans="1:34" x14ac:dyDescent="0.25">
      <c r="A119" t="s">
        <v>2380</v>
      </c>
      <c r="B119">
        <v>53033011001</v>
      </c>
      <c r="C119" t="s">
        <v>2381</v>
      </c>
      <c r="D119">
        <v>4697</v>
      </c>
      <c r="E119">
        <v>2591</v>
      </c>
      <c r="F119">
        <v>2106</v>
      </c>
      <c r="G119">
        <v>4697</v>
      </c>
      <c r="H119">
        <v>2591</v>
      </c>
      <c r="I119">
        <v>2106</v>
      </c>
      <c r="J119">
        <v>593</v>
      </c>
      <c r="K119">
        <v>73</v>
      </c>
      <c r="L119">
        <v>65</v>
      </c>
      <c r="M119">
        <v>80</v>
      </c>
      <c r="N119">
        <v>978</v>
      </c>
      <c r="O119">
        <v>635</v>
      </c>
      <c r="P119">
        <v>9</v>
      </c>
      <c r="Q119">
        <v>0</v>
      </c>
      <c r="R119">
        <v>770</v>
      </c>
      <c r="S119">
        <v>1196</v>
      </c>
      <c r="T119">
        <v>11</v>
      </c>
      <c r="U119">
        <v>11</v>
      </c>
      <c r="V119">
        <v>78</v>
      </c>
      <c r="W119">
        <v>100</v>
      </c>
      <c r="X119">
        <v>87</v>
      </c>
      <c r="Y119">
        <v>11</v>
      </c>
      <c r="Z119">
        <f t="shared" si="2"/>
        <v>1070772.433</v>
      </c>
      <c r="AD119" t="s">
        <v>2848</v>
      </c>
      <c r="AE119" t="s">
        <v>2849</v>
      </c>
      <c r="AF119" t="s">
        <v>2850</v>
      </c>
      <c r="AG119" t="str">
        <f t="shared" si="3"/>
        <v>Census Tract 109, King County, Washington</v>
      </c>
      <c r="AH119">
        <v>4776041.7609999999</v>
      </c>
    </row>
    <row r="120" spans="1:34" x14ac:dyDescent="0.25">
      <c r="A120" t="s">
        <v>2382</v>
      </c>
      <c r="B120">
        <v>53033011002</v>
      </c>
      <c r="C120" t="s">
        <v>2383</v>
      </c>
      <c r="D120">
        <v>4957</v>
      </c>
      <c r="E120">
        <v>2411</v>
      </c>
      <c r="F120">
        <v>2546</v>
      </c>
      <c r="G120">
        <v>4957</v>
      </c>
      <c r="H120">
        <v>2411</v>
      </c>
      <c r="I120">
        <v>2546</v>
      </c>
      <c r="J120">
        <v>350</v>
      </c>
      <c r="K120">
        <v>35</v>
      </c>
      <c r="L120">
        <v>48</v>
      </c>
      <c r="M120">
        <v>0</v>
      </c>
      <c r="N120">
        <v>1233</v>
      </c>
      <c r="O120">
        <v>517</v>
      </c>
      <c r="P120">
        <v>43</v>
      </c>
      <c r="Q120">
        <v>61</v>
      </c>
      <c r="R120">
        <v>628</v>
      </c>
      <c r="S120">
        <v>1909</v>
      </c>
      <c r="T120">
        <v>13</v>
      </c>
      <c r="U120">
        <v>24</v>
      </c>
      <c r="V120">
        <v>27</v>
      </c>
      <c r="W120">
        <v>0</v>
      </c>
      <c r="X120">
        <v>69</v>
      </c>
      <c r="Y120">
        <v>0</v>
      </c>
      <c r="Z120">
        <f t="shared" si="2"/>
        <v>1676122.159</v>
      </c>
      <c r="AD120" t="s">
        <v>2851</v>
      </c>
      <c r="AE120" t="s">
        <v>2852</v>
      </c>
      <c r="AF120" t="s">
        <v>2853</v>
      </c>
      <c r="AG120" t="str">
        <f t="shared" si="3"/>
        <v>Census Tract 108, King County, Washington</v>
      </c>
      <c r="AH120">
        <v>4057516.9249999998</v>
      </c>
    </row>
    <row r="121" spans="1:34" x14ac:dyDescent="0.25">
      <c r="A121" t="s">
        <v>1834</v>
      </c>
      <c r="B121">
        <v>53033011101</v>
      </c>
      <c r="C121" t="s">
        <v>1835</v>
      </c>
      <c r="D121">
        <v>5450</v>
      </c>
      <c r="E121">
        <v>3061</v>
      </c>
      <c r="F121">
        <v>2389</v>
      </c>
      <c r="G121">
        <v>5450</v>
      </c>
      <c r="H121">
        <v>3061</v>
      </c>
      <c r="I121">
        <v>2389</v>
      </c>
      <c r="J121">
        <v>986</v>
      </c>
      <c r="K121">
        <v>105</v>
      </c>
      <c r="L121">
        <v>105</v>
      </c>
      <c r="M121">
        <v>19</v>
      </c>
      <c r="N121">
        <v>909</v>
      </c>
      <c r="O121">
        <v>460</v>
      </c>
      <c r="P121">
        <v>42</v>
      </c>
      <c r="Q121">
        <v>7</v>
      </c>
      <c r="R121">
        <v>545</v>
      </c>
      <c r="S121">
        <v>1730</v>
      </c>
      <c r="T121">
        <v>17</v>
      </c>
      <c r="U121">
        <v>32</v>
      </c>
      <c r="V121">
        <v>55</v>
      </c>
      <c r="W121">
        <v>28</v>
      </c>
      <c r="X121">
        <v>402</v>
      </c>
      <c r="Y121">
        <v>8</v>
      </c>
      <c r="Z121">
        <f t="shared" si="2"/>
        <v>1150364.17</v>
      </c>
      <c r="AD121" t="s">
        <v>2854</v>
      </c>
      <c r="AE121" t="s">
        <v>2855</v>
      </c>
      <c r="AF121" t="s">
        <v>2856</v>
      </c>
      <c r="AG121" t="str">
        <f t="shared" si="3"/>
        <v>Census Tract 107.02, King County, Washington</v>
      </c>
      <c r="AH121">
        <v>784451.06200000003</v>
      </c>
    </row>
    <row r="122" spans="1:34" x14ac:dyDescent="0.25">
      <c r="A122" t="s">
        <v>1836</v>
      </c>
      <c r="B122">
        <v>53033011102</v>
      </c>
      <c r="C122" t="s">
        <v>1837</v>
      </c>
      <c r="D122">
        <v>4480</v>
      </c>
      <c r="E122">
        <v>2804</v>
      </c>
      <c r="F122">
        <v>1676</v>
      </c>
      <c r="G122">
        <v>4480</v>
      </c>
      <c r="H122">
        <v>2804</v>
      </c>
      <c r="I122">
        <v>1676</v>
      </c>
      <c r="J122">
        <v>1775</v>
      </c>
      <c r="K122">
        <v>116</v>
      </c>
      <c r="L122">
        <v>33</v>
      </c>
      <c r="M122">
        <v>42</v>
      </c>
      <c r="N122">
        <v>335</v>
      </c>
      <c r="O122">
        <v>138</v>
      </c>
      <c r="P122">
        <v>6</v>
      </c>
      <c r="Q122">
        <v>0</v>
      </c>
      <c r="R122">
        <v>205</v>
      </c>
      <c r="S122">
        <v>898</v>
      </c>
      <c r="T122">
        <v>0</v>
      </c>
      <c r="U122">
        <v>0</v>
      </c>
      <c r="V122">
        <v>195</v>
      </c>
      <c r="W122">
        <v>292</v>
      </c>
      <c r="X122">
        <v>255</v>
      </c>
      <c r="Y122">
        <v>190</v>
      </c>
      <c r="Z122">
        <f t="shared" si="2"/>
        <v>1298757.5330000001</v>
      </c>
      <c r="AD122" t="s">
        <v>2857</v>
      </c>
      <c r="AE122" t="s">
        <v>2858</v>
      </c>
      <c r="AF122" t="s">
        <v>2859</v>
      </c>
      <c r="AG122" t="str">
        <f t="shared" si="3"/>
        <v>Census Tract 107.01, King County, Washington</v>
      </c>
      <c r="AH122">
        <v>1453051.3489999999</v>
      </c>
    </row>
    <row r="123" spans="1:34" x14ac:dyDescent="0.25">
      <c r="A123" t="s">
        <v>1838</v>
      </c>
      <c r="B123">
        <v>53033011200</v>
      </c>
      <c r="C123" t="s">
        <v>1839</v>
      </c>
      <c r="D123">
        <v>3719</v>
      </c>
      <c r="E123">
        <v>2904</v>
      </c>
      <c r="F123">
        <v>815</v>
      </c>
      <c r="G123">
        <v>3719</v>
      </c>
      <c r="H123">
        <v>2904</v>
      </c>
      <c r="I123">
        <v>815</v>
      </c>
      <c r="J123">
        <v>1164</v>
      </c>
      <c r="K123">
        <v>79</v>
      </c>
      <c r="L123">
        <v>329</v>
      </c>
      <c r="M123">
        <v>125</v>
      </c>
      <c r="N123">
        <v>168</v>
      </c>
      <c r="O123">
        <v>32</v>
      </c>
      <c r="P123">
        <v>17</v>
      </c>
      <c r="Q123">
        <v>0</v>
      </c>
      <c r="R123">
        <v>110</v>
      </c>
      <c r="S123">
        <v>252</v>
      </c>
      <c r="T123">
        <v>59</v>
      </c>
      <c r="U123">
        <v>97</v>
      </c>
      <c r="V123">
        <v>304</v>
      </c>
      <c r="W123">
        <v>221</v>
      </c>
      <c r="X123">
        <v>753</v>
      </c>
      <c r="Y123">
        <v>9</v>
      </c>
      <c r="Z123">
        <f t="shared" si="2"/>
        <v>2750510.6310000001</v>
      </c>
      <c r="AD123" t="s">
        <v>2860</v>
      </c>
      <c r="AE123" t="s">
        <v>2861</v>
      </c>
      <c r="AF123" t="s">
        <v>2862</v>
      </c>
      <c r="AG123" t="str">
        <f t="shared" si="3"/>
        <v>Census Tract 106, King County, Washington</v>
      </c>
      <c r="AH123">
        <v>2515783.1209999998</v>
      </c>
    </row>
    <row r="124" spans="1:34" x14ac:dyDescent="0.25">
      <c r="A124" t="s">
        <v>1840</v>
      </c>
      <c r="B124">
        <v>53033011300</v>
      </c>
      <c r="C124" t="s">
        <v>1841</v>
      </c>
      <c r="D124">
        <v>7054</v>
      </c>
      <c r="E124">
        <v>5415</v>
      </c>
      <c r="F124">
        <v>1639</v>
      </c>
      <c r="G124">
        <v>7054</v>
      </c>
      <c r="H124">
        <v>5415</v>
      </c>
      <c r="I124">
        <v>1639</v>
      </c>
      <c r="J124">
        <v>2815</v>
      </c>
      <c r="K124">
        <v>401</v>
      </c>
      <c r="L124">
        <v>95</v>
      </c>
      <c r="M124">
        <v>143</v>
      </c>
      <c r="N124">
        <v>372</v>
      </c>
      <c r="O124">
        <v>31</v>
      </c>
      <c r="P124">
        <v>41</v>
      </c>
      <c r="Q124">
        <v>12</v>
      </c>
      <c r="R124">
        <v>747</v>
      </c>
      <c r="S124">
        <v>674</v>
      </c>
      <c r="T124">
        <v>18</v>
      </c>
      <c r="U124">
        <v>0</v>
      </c>
      <c r="V124">
        <v>55</v>
      </c>
      <c r="W124">
        <v>196</v>
      </c>
      <c r="X124">
        <v>1272</v>
      </c>
      <c r="Y124">
        <v>182</v>
      </c>
      <c r="Z124">
        <f t="shared" si="2"/>
        <v>3157576.7659999998</v>
      </c>
      <c r="AD124" t="s">
        <v>2863</v>
      </c>
      <c r="AE124" t="s">
        <v>2864</v>
      </c>
      <c r="AF124" t="s">
        <v>2865</v>
      </c>
      <c r="AG124" t="str">
        <f t="shared" si="3"/>
        <v>Census Tract 105, King County, Washington</v>
      </c>
      <c r="AH124">
        <v>1717922.3259999999</v>
      </c>
    </row>
    <row r="125" spans="1:34" x14ac:dyDescent="0.25">
      <c r="A125" t="s">
        <v>2384</v>
      </c>
      <c r="B125">
        <v>53033011401</v>
      </c>
      <c r="C125" t="s">
        <v>2385</v>
      </c>
      <c r="D125">
        <v>4253</v>
      </c>
      <c r="E125">
        <v>3239</v>
      </c>
      <c r="F125">
        <v>1014</v>
      </c>
      <c r="G125">
        <v>4253</v>
      </c>
      <c r="H125">
        <v>3239</v>
      </c>
      <c r="I125">
        <v>1014</v>
      </c>
      <c r="J125">
        <v>1706</v>
      </c>
      <c r="K125">
        <v>72</v>
      </c>
      <c r="L125">
        <v>207</v>
      </c>
      <c r="M125">
        <v>150</v>
      </c>
      <c r="N125">
        <v>684</v>
      </c>
      <c r="O125">
        <v>144</v>
      </c>
      <c r="P125">
        <v>29</v>
      </c>
      <c r="Q125">
        <v>0</v>
      </c>
      <c r="R125">
        <v>155</v>
      </c>
      <c r="S125">
        <v>334</v>
      </c>
      <c r="T125">
        <v>7</v>
      </c>
      <c r="U125">
        <v>0</v>
      </c>
      <c r="V125">
        <v>137</v>
      </c>
      <c r="W125">
        <v>258</v>
      </c>
      <c r="X125">
        <v>314</v>
      </c>
      <c r="Y125">
        <v>56</v>
      </c>
      <c r="Z125">
        <f t="shared" si="2"/>
        <v>1233155.173</v>
      </c>
      <c r="AD125" t="s">
        <v>2866</v>
      </c>
      <c r="AE125" t="s">
        <v>2867</v>
      </c>
      <c r="AF125" t="s">
        <v>2868</v>
      </c>
      <c r="AG125" t="str">
        <f t="shared" si="3"/>
        <v>Census Tract 104.02, King County, Washington</v>
      </c>
      <c r="AH125">
        <v>1798893.514</v>
      </c>
    </row>
    <row r="126" spans="1:34" x14ac:dyDescent="0.25">
      <c r="A126" t="s">
        <v>2386</v>
      </c>
      <c r="B126">
        <v>53033011402</v>
      </c>
      <c r="C126" t="s">
        <v>2387</v>
      </c>
      <c r="D126">
        <v>4371</v>
      </c>
      <c r="E126">
        <v>3001</v>
      </c>
      <c r="F126">
        <v>1370</v>
      </c>
      <c r="G126">
        <v>4371</v>
      </c>
      <c r="H126">
        <v>3001</v>
      </c>
      <c r="I126">
        <v>1370</v>
      </c>
      <c r="J126">
        <v>1801</v>
      </c>
      <c r="K126">
        <v>113</v>
      </c>
      <c r="L126">
        <v>205</v>
      </c>
      <c r="M126">
        <v>225</v>
      </c>
      <c r="N126">
        <v>319</v>
      </c>
      <c r="O126">
        <v>134</v>
      </c>
      <c r="P126">
        <v>61</v>
      </c>
      <c r="Q126">
        <v>29</v>
      </c>
      <c r="R126">
        <v>139</v>
      </c>
      <c r="S126">
        <v>428</v>
      </c>
      <c r="T126">
        <v>27</v>
      </c>
      <c r="U126">
        <v>89</v>
      </c>
      <c r="V126">
        <v>191</v>
      </c>
      <c r="W126">
        <v>315</v>
      </c>
      <c r="X126">
        <v>258</v>
      </c>
      <c r="Y126">
        <v>37</v>
      </c>
      <c r="Z126">
        <f t="shared" si="2"/>
        <v>1186184.794</v>
      </c>
      <c r="AD126" t="s">
        <v>2869</v>
      </c>
      <c r="AE126" t="s">
        <v>2870</v>
      </c>
      <c r="AF126" t="s">
        <v>2871</v>
      </c>
      <c r="AG126" t="str">
        <f t="shared" si="3"/>
        <v>Census Tract 104.01, King County, Washington</v>
      </c>
      <c r="AH126">
        <v>1616686.0390000001</v>
      </c>
    </row>
    <row r="127" spans="1:34" x14ac:dyDescent="0.25">
      <c r="A127" t="s">
        <v>1844</v>
      </c>
      <c r="B127">
        <v>53033011500</v>
      </c>
      <c r="C127" t="s">
        <v>1845</v>
      </c>
      <c r="D127">
        <v>4421</v>
      </c>
      <c r="E127">
        <v>3907</v>
      </c>
      <c r="F127">
        <v>514</v>
      </c>
      <c r="G127">
        <v>4421</v>
      </c>
      <c r="H127">
        <v>3907</v>
      </c>
      <c r="I127">
        <v>514</v>
      </c>
      <c r="J127">
        <v>3187</v>
      </c>
      <c r="K127">
        <v>233</v>
      </c>
      <c r="L127">
        <v>28</v>
      </c>
      <c r="M127">
        <v>31</v>
      </c>
      <c r="N127">
        <v>212</v>
      </c>
      <c r="O127">
        <v>0</v>
      </c>
      <c r="P127">
        <v>0</v>
      </c>
      <c r="Q127">
        <v>0</v>
      </c>
      <c r="R127">
        <v>250</v>
      </c>
      <c r="S127">
        <v>153</v>
      </c>
      <c r="T127">
        <v>0</v>
      </c>
      <c r="U127">
        <v>0</v>
      </c>
      <c r="V127">
        <v>23</v>
      </c>
      <c r="W127">
        <v>74</v>
      </c>
      <c r="X127">
        <v>207</v>
      </c>
      <c r="Y127">
        <v>23</v>
      </c>
      <c r="Z127">
        <f t="shared" si="2"/>
        <v>1538373.152</v>
      </c>
      <c r="AD127" t="s">
        <v>2872</v>
      </c>
      <c r="AE127" t="s">
        <v>2873</v>
      </c>
      <c r="AF127" t="s">
        <v>2874</v>
      </c>
      <c r="AG127" t="str">
        <f t="shared" si="3"/>
        <v>Census Tract 103, King County, Washington</v>
      </c>
      <c r="AH127">
        <v>1660252.4010000001</v>
      </c>
    </row>
    <row r="128" spans="1:34" x14ac:dyDescent="0.25">
      <c r="A128" t="s">
        <v>1846</v>
      </c>
      <c r="B128">
        <v>53033011600</v>
      </c>
      <c r="C128" t="s">
        <v>1847</v>
      </c>
      <c r="D128">
        <v>6899</v>
      </c>
      <c r="E128">
        <v>6493</v>
      </c>
      <c r="F128">
        <v>406</v>
      </c>
      <c r="G128">
        <v>6899</v>
      </c>
      <c r="H128">
        <v>6493</v>
      </c>
      <c r="I128">
        <v>406</v>
      </c>
      <c r="J128">
        <v>5713</v>
      </c>
      <c r="K128">
        <v>224</v>
      </c>
      <c r="L128">
        <v>175</v>
      </c>
      <c r="M128">
        <v>34</v>
      </c>
      <c r="N128">
        <v>19</v>
      </c>
      <c r="O128">
        <v>15</v>
      </c>
      <c r="P128">
        <v>118</v>
      </c>
      <c r="Q128">
        <v>0</v>
      </c>
      <c r="R128">
        <v>82</v>
      </c>
      <c r="S128">
        <v>128</v>
      </c>
      <c r="T128">
        <v>0</v>
      </c>
      <c r="U128">
        <v>0</v>
      </c>
      <c r="V128">
        <v>43</v>
      </c>
      <c r="W128">
        <v>0</v>
      </c>
      <c r="X128">
        <v>343</v>
      </c>
      <c r="Y128">
        <v>5</v>
      </c>
      <c r="Z128">
        <f t="shared" si="2"/>
        <v>3100957.5520000001</v>
      </c>
      <c r="AD128" t="s">
        <v>2875</v>
      </c>
      <c r="AE128" t="s">
        <v>2876</v>
      </c>
      <c r="AF128" t="s">
        <v>2877</v>
      </c>
      <c r="AG128" t="str">
        <f t="shared" si="3"/>
        <v>Census Tract 102, King County, Washington</v>
      </c>
      <c r="AH128">
        <v>2749745.4610000001</v>
      </c>
    </row>
    <row r="129" spans="1:34" x14ac:dyDescent="0.25">
      <c r="A129" t="s">
        <v>1848</v>
      </c>
      <c r="B129">
        <v>53033011700</v>
      </c>
      <c r="C129" t="s">
        <v>1849</v>
      </c>
      <c r="D129">
        <v>5679</v>
      </c>
      <c r="E129">
        <v>3286</v>
      </c>
      <c r="F129">
        <v>2393</v>
      </c>
      <c r="G129">
        <v>5679</v>
      </c>
      <c r="H129">
        <v>3286</v>
      </c>
      <c r="I129">
        <v>2393</v>
      </c>
      <c r="J129">
        <v>650</v>
      </c>
      <c r="K129">
        <v>6</v>
      </c>
      <c r="L129">
        <v>133</v>
      </c>
      <c r="M129">
        <v>134</v>
      </c>
      <c r="N129">
        <v>1015</v>
      </c>
      <c r="O129">
        <v>452</v>
      </c>
      <c r="P129">
        <v>27</v>
      </c>
      <c r="Q129">
        <v>0</v>
      </c>
      <c r="R129">
        <v>594</v>
      </c>
      <c r="S129">
        <v>1570</v>
      </c>
      <c r="T129">
        <v>103</v>
      </c>
      <c r="U129">
        <v>122</v>
      </c>
      <c r="V129">
        <v>74</v>
      </c>
      <c r="W129">
        <v>34</v>
      </c>
      <c r="X129">
        <v>690</v>
      </c>
      <c r="Y129">
        <v>75</v>
      </c>
      <c r="Z129">
        <f t="shared" si="2"/>
        <v>3515613.3509999998</v>
      </c>
      <c r="AD129" t="s">
        <v>2878</v>
      </c>
      <c r="AE129" t="s">
        <v>2879</v>
      </c>
      <c r="AF129" t="s">
        <v>2880</v>
      </c>
      <c r="AG129" t="str">
        <f t="shared" si="3"/>
        <v>Census Tract 101, King County, Washington</v>
      </c>
      <c r="AH129">
        <v>2482441.9679999999</v>
      </c>
    </row>
    <row r="130" spans="1:34" x14ac:dyDescent="0.25">
      <c r="A130" t="s">
        <v>1850</v>
      </c>
      <c r="B130">
        <v>53033011800</v>
      </c>
      <c r="C130" t="s">
        <v>1851</v>
      </c>
      <c r="D130">
        <v>8415</v>
      </c>
      <c r="E130">
        <v>5037</v>
      </c>
      <c r="F130">
        <v>3378</v>
      </c>
      <c r="G130">
        <v>8415</v>
      </c>
      <c r="H130">
        <v>5037</v>
      </c>
      <c r="I130">
        <v>3378</v>
      </c>
      <c r="J130">
        <v>1617</v>
      </c>
      <c r="K130">
        <v>68</v>
      </c>
      <c r="L130">
        <v>284</v>
      </c>
      <c r="M130">
        <v>145</v>
      </c>
      <c r="N130">
        <v>1592</v>
      </c>
      <c r="O130">
        <v>1010</v>
      </c>
      <c r="P130">
        <v>33</v>
      </c>
      <c r="Q130">
        <v>18</v>
      </c>
      <c r="R130">
        <v>476</v>
      </c>
      <c r="S130">
        <v>1570</v>
      </c>
      <c r="T130">
        <v>0</v>
      </c>
      <c r="U130">
        <v>0</v>
      </c>
      <c r="V130">
        <v>165</v>
      </c>
      <c r="W130">
        <v>507</v>
      </c>
      <c r="X130">
        <v>870</v>
      </c>
      <c r="Y130">
        <v>60</v>
      </c>
      <c r="Z130">
        <f t="shared" si="2"/>
        <v>2299528.1170000001</v>
      </c>
      <c r="AD130" t="s">
        <v>2881</v>
      </c>
      <c r="AE130" t="s">
        <v>2882</v>
      </c>
      <c r="AF130" t="s">
        <v>2883</v>
      </c>
      <c r="AG130" t="str">
        <f t="shared" si="3"/>
        <v>Census Tract 100.02, King County, Washington</v>
      </c>
      <c r="AH130">
        <v>948252.446</v>
      </c>
    </row>
    <row r="131" spans="1:34" x14ac:dyDescent="0.25">
      <c r="A131" t="s">
        <v>1852</v>
      </c>
      <c r="B131">
        <v>53033011900</v>
      </c>
      <c r="C131" t="s">
        <v>1853</v>
      </c>
      <c r="D131">
        <v>7597</v>
      </c>
      <c r="E131">
        <v>5588</v>
      </c>
      <c r="F131">
        <v>2009</v>
      </c>
      <c r="G131">
        <v>7597</v>
      </c>
      <c r="H131">
        <v>5588</v>
      </c>
      <c r="I131">
        <v>2009</v>
      </c>
      <c r="J131">
        <v>1677</v>
      </c>
      <c r="K131">
        <v>144</v>
      </c>
      <c r="L131">
        <v>253</v>
      </c>
      <c r="M131">
        <v>127</v>
      </c>
      <c r="N131">
        <v>1743</v>
      </c>
      <c r="O131">
        <v>104</v>
      </c>
      <c r="P131">
        <v>106</v>
      </c>
      <c r="Q131">
        <v>0</v>
      </c>
      <c r="R131">
        <v>1137</v>
      </c>
      <c r="S131">
        <v>1610</v>
      </c>
      <c r="T131">
        <v>257</v>
      </c>
      <c r="U131">
        <v>24</v>
      </c>
      <c r="V131">
        <v>47</v>
      </c>
      <c r="W131">
        <v>0</v>
      </c>
      <c r="X131">
        <v>368</v>
      </c>
      <c r="Y131">
        <v>0</v>
      </c>
      <c r="Z131">
        <f t="shared" ref="Z131:Z194" si="4">VLOOKUP(C131,$AG$2:$AH$133,2,FALSE)</f>
        <v>3154917.1749999998</v>
      </c>
      <c r="AD131" t="s">
        <v>2884</v>
      </c>
      <c r="AE131" t="s">
        <v>2885</v>
      </c>
      <c r="AF131" t="s">
        <v>2886</v>
      </c>
      <c r="AG131" t="str">
        <f t="shared" ref="AG131:AG133" si="5">_xlfn.CONCAT(AF131, ", King County, Washington")</f>
        <v>Census Tract 100.01, King County, Washington</v>
      </c>
      <c r="AH131">
        <v>2245836.6940000001</v>
      </c>
    </row>
    <row r="132" spans="1:34" x14ac:dyDescent="0.25">
      <c r="A132" t="s">
        <v>1854</v>
      </c>
      <c r="B132">
        <v>53033012000</v>
      </c>
      <c r="C132" t="s">
        <v>1855</v>
      </c>
      <c r="D132">
        <v>3615</v>
      </c>
      <c r="E132">
        <v>3380</v>
      </c>
      <c r="F132">
        <v>235</v>
      </c>
      <c r="G132">
        <v>3615</v>
      </c>
      <c r="H132">
        <v>3380</v>
      </c>
      <c r="I132">
        <v>235</v>
      </c>
      <c r="J132">
        <v>2652</v>
      </c>
      <c r="K132">
        <v>155</v>
      </c>
      <c r="L132">
        <v>59</v>
      </c>
      <c r="M132">
        <v>11</v>
      </c>
      <c r="N132">
        <v>231</v>
      </c>
      <c r="O132">
        <v>29</v>
      </c>
      <c r="P132">
        <v>99</v>
      </c>
      <c r="Q132">
        <v>0</v>
      </c>
      <c r="R132">
        <v>51</v>
      </c>
      <c r="S132">
        <v>28</v>
      </c>
      <c r="T132">
        <v>23</v>
      </c>
      <c r="U132">
        <v>0</v>
      </c>
      <c r="V132">
        <v>60</v>
      </c>
      <c r="W132">
        <v>0</v>
      </c>
      <c r="X132">
        <v>205</v>
      </c>
      <c r="Y132">
        <v>12</v>
      </c>
      <c r="Z132">
        <f t="shared" si="4"/>
        <v>1447512.4509999999</v>
      </c>
      <c r="AD132" t="s">
        <v>2887</v>
      </c>
      <c r="AE132" t="s">
        <v>2888</v>
      </c>
      <c r="AF132" t="s">
        <v>2889</v>
      </c>
      <c r="AG132" t="str">
        <f t="shared" si="5"/>
        <v>Census Tract 10, King County, Washington</v>
      </c>
      <c r="AH132">
        <v>954472.44799999997</v>
      </c>
    </row>
    <row r="133" spans="1:34" x14ac:dyDescent="0.25">
      <c r="A133" t="s">
        <v>1856</v>
      </c>
      <c r="B133">
        <v>53033012100</v>
      </c>
      <c r="C133" t="s">
        <v>1857</v>
      </c>
      <c r="D133">
        <v>2663</v>
      </c>
      <c r="E133">
        <v>2341</v>
      </c>
      <c r="F133">
        <v>322</v>
      </c>
      <c r="G133">
        <v>2663</v>
      </c>
      <c r="H133">
        <v>2341</v>
      </c>
      <c r="I133">
        <v>322</v>
      </c>
      <c r="J133">
        <v>1948</v>
      </c>
      <c r="K133">
        <v>82</v>
      </c>
      <c r="L133">
        <v>81</v>
      </c>
      <c r="M133">
        <v>0</v>
      </c>
      <c r="N133">
        <v>48</v>
      </c>
      <c r="O133">
        <v>50</v>
      </c>
      <c r="P133">
        <v>26</v>
      </c>
      <c r="Q133">
        <v>0</v>
      </c>
      <c r="R133">
        <v>31</v>
      </c>
      <c r="S133">
        <v>37</v>
      </c>
      <c r="T133">
        <v>0</v>
      </c>
      <c r="U133">
        <v>117</v>
      </c>
      <c r="V133">
        <v>66</v>
      </c>
      <c r="W133">
        <v>36</v>
      </c>
      <c r="X133">
        <v>141</v>
      </c>
      <c r="Y133">
        <v>0</v>
      </c>
      <c r="Z133">
        <f t="shared" si="4"/>
        <v>1706805.1229999999</v>
      </c>
      <c r="AD133" t="s">
        <v>2890</v>
      </c>
      <c r="AE133" t="s">
        <v>2891</v>
      </c>
      <c r="AF133" t="s">
        <v>2892</v>
      </c>
      <c r="AG133" t="str">
        <f t="shared" si="5"/>
        <v>Census Tract 1, King County, Washington</v>
      </c>
      <c r="AH133">
        <v>1851648.6140000001</v>
      </c>
    </row>
    <row r="134" spans="1:34" x14ac:dyDescent="0.25">
      <c r="A134" t="s">
        <v>1858</v>
      </c>
      <c r="B134">
        <v>53033020100</v>
      </c>
      <c r="C134" t="s">
        <v>1859</v>
      </c>
      <c r="D134">
        <v>3172</v>
      </c>
      <c r="E134">
        <v>2799</v>
      </c>
      <c r="F134">
        <v>373</v>
      </c>
      <c r="G134">
        <v>3172</v>
      </c>
      <c r="H134">
        <v>2799</v>
      </c>
      <c r="I134">
        <v>373</v>
      </c>
      <c r="J134">
        <v>2491</v>
      </c>
      <c r="K134">
        <v>114</v>
      </c>
      <c r="L134">
        <v>22</v>
      </c>
      <c r="M134">
        <v>10</v>
      </c>
      <c r="N134">
        <v>90</v>
      </c>
      <c r="O134">
        <v>15</v>
      </c>
      <c r="P134">
        <v>12</v>
      </c>
      <c r="Q134">
        <v>0</v>
      </c>
      <c r="R134">
        <v>114</v>
      </c>
      <c r="S134">
        <v>181</v>
      </c>
      <c r="T134">
        <v>0</v>
      </c>
      <c r="U134">
        <v>0</v>
      </c>
      <c r="V134">
        <v>0</v>
      </c>
      <c r="W134">
        <v>17</v>
      </c>
      <c r="X134">
        <v>70</v>
      </c>
      <c r="Y134">
        <v>36</v>
      </c>
      <c r="Z134" t="e">
        <f t="shared" si="4"/>
        <v>#N/A</v>
      </c>
    </row>
    <row r="135" spans="1:34" x14ac:dyDescent="0.25">
      <c r="A135" t="s">
        <v>1860</v>
      </c>
      <c r="B135">
        <v>53033020200</v>
      </c>
      <c r="C135" t="s">
        <v>1861</v>
      </c>
      <c r="D135">
        <v>5189</v>
      </c>
      <c r="E135">
        <v>4531</v>
      </c>
      <c r="F135">
        <v>658</v>
      </c>
      <c r="G135">
        <v>5189</v>
      </c>
      <c r="H135">
        <v>4531</v>
      </c>
      <c r="I135">
        <v>658</v>
      </c>
      <c r="J135">
        <v>3839</v>
      </c>
      <c r="K135">
        <v>168</v>
      </c>
      <c r="L135">
        <v>151</v>
      </c>
      <c r="M135">
        <v>50</v>
      </c>
      <c r="N135">
        <v>73</v>
      </c>
      <c r="O135">
        <v>0</v>
      </c>
      <c r="P135">
        <v>14</v>
      </c>
      <c r="Q135">
        <v>0</v>
      </c>
      <c r="R135">
        <v>129</v>
      </c>
      <c r="S135">
        <v>343</v>
      </c>
      <c r="T135">
        <v>0</v>
      </c>
      <c r="U135">
        <v>0</v>
      </c>
      <c r="V135">
        <v>26</v>
      </c>
      <c r="W135">
        <v>30</v>
      </c>
      <c r="X135">
        <v>299</v>
      </c>
      <c r="Y135">
        <v>67</v>
      </c>
      <c r="Z135" t="e">
        <f t="shared" si="4"/>
        <v>#N/A</v>
      </c>
    </row>
    <row r="136" spans="1:34" x14ac:dyDescent="0.25">
      <c r="A136" t="s">
        <v>1862</v>
      </c>
      <c r="B136">
        <v>53033020300</v>
      </c>
      <c r="C136" t="s">
        <v>1863</v>
      </c>
      <c r="D136">
        <v>7065</v>
      </c>
      <c r="E136">
        <v>4925</v>
      </c>
      <c r="F136">
        <v>2140</v>
      </c>
      <c r="G136">
        <v>7065</v>
      </c>
      <c r="H136">
        <v>4925</v>
      </c>
      <c r="I136">
        <v>2140</v>
      </c>
      <c r="J136">
        <v>3617</v>
      </c>
      <c r="K136">
        <v>385</v>
      </c>
      <c r="L136">
        <v>345</v>
      </c>
      <c r="M136">
        <v>214</v>
      </c>
      <c r="N136">
        <v>188</v>
      </c>
      <c r="O136">
        <v>396</v>
      </c>
      <c r="P136">
        <v>48</v>
      </c>
      <c r="Q136">
        <v>0</v>
      </c>
      <c r="R136">
        <v>345</v>
      </c>
      <c r="S136">
        <v>902</v>
      </c>
      <c r="T136">
        <v>0</v>
      </c>
      <c r="U136">
        <v>0</v>
      </c>
      <c r="V136">
        <v>150</v>
      </c>
      <c r="W136">
        <v>189</v>
      </c>
      <c r="X136">
        <v>232</v>
      </c>
      <c r="Y136">
        <v>54</v>
      </c>
      <c r="Z136" t="e">
        <f t="shared" si="4"/>
        <v>#N/A</v>
      </c>
    </row>
    <row r="137" spans="1:34" x14ac:dyDescent="0.25">
      <c r="A137" t="s">
        <v>1864</v>
      </c>
      <c r="B137">
        <v>53033020401</v>
      </c>
      <c r="C137" t="s">
        <v>1865</v>
      </c>
      <c r="D137">
        <v>3592</v>
      </c>
      <c r="E137">
        <v>2983</v>
      </c>
      <c r="F137">
        <v>609</v>
      </c>
      <c r="G137">
        <v>3592</v>
      </c>
      <c r="H137">
        <v>2983</v>
      </c>
      <c r="I137">
        <v>609</v>
      </c>
      <c r="J137">
        <v>2479</v>
      </c>
      <c r="K137">
        <v>191</v>
      </c>
      <c r="L137">
        <v>81</v>
      </c>
      <c r="M137">
        <v>40</v>
      </c>
      <c r="N137">
        <v>67</v>
      </c>
      <c r="O137">
        <v>107</v>
      </c>
      <c r="P137">
        <v>80</v>
      </c>
      <c r="Q137">
        <v>0</v>
      </c>
      <c r="R137">
        <v>118</v>
      </c>
      <c r="S137">
        <v>251</v>
      </c>
      <c r="T137">
        <v>0</v>
      </c>
      <c r="U137">
        <v>0</v>
      </c>
      <c r="V137">
        <v>0</v>
      </c>
      <c r="W137">
        <v>0</v>
      </c>
      <c r="X137">
        <v>158</v>
      </c>
      <c r="Y137">
        <v>20</v>
      </c>
      <c r="Z137" t="e">
        <f t="shared" si="4"/>
        <v>#N/A</v>
      </c>
    </row>
    <row r="138" spans="1:34" x14ac:dyDescent="0.25">
      <c r="A138" t="s">
        <v>1866</v>
      </c>
      <c r="B138">
        <v>53033020402</v>
      </c>
      <c r="C138" t="s">
        <v>1867</v>
      </c>
      <c r="D138">
        <v>5601</v>
      </c>
      <c r="E138">
        <v>4646</v>
      </c>
      <c r="F138">
        <v>955</v>
      </c>
      <c r="G138">
        <v>5601</v>
      </c>
      <c r="H138">
        <v>4646</v>
      </c>
      <c r="I138">
        <v>955</v>
      </c>
      <c r="J138">
        <v>3862</v>
      </c>
      <c r="K138">
        <v>242</v>
      </c>
      <c r="L138">
        <v>112</v>
      </c>
      <c r="M138">
        <v>105</v>
      </c>
      <c r="N138">
        <v>48</v>
      </c>
      <c r="O138">
        <v>5</v>
      </c>
      <c r="P138">
        <v>3</v>
      </c>
      <c r="Q138">
        <v>0</v>
      </c>
      <c r="R138">
        <v>166</v>
      </c>
      <c r="S138">
        <v>389</v>
      </c>
      <c r="T138">
        <v>0</v>
      </c>
      <c r="U138">
        <v>0</v>
      </c>
      <c r="V138">
        <v>70</v>
      </c>
      <c r="W138">
        <v>214</v>
      </c>
      <c r="X138">
        <v>385</v>
      </c>
      <c r="Y138">
        <v>0</v>
      </c>
      <c r="Z138" t="e">
        <f t="shared" si="4"/>
        <v>#N/A</v>
      </c>
    </row>
    <row r="139" spans="1:34" x14ac:dyDescent="0.25">
      <c r="A139" t="s">
        <v>1868</v>
      </c>
      <c r="B139">
        <v>53033020500</v>
      </c>
      <c r="C139" t="s">
        <v>1869</v>
      </c>
      <c r="D139">
        <v>6608</v>
      </c>
      <c r="E139">
        <v>5009</v>
      </c>
      <c r="F139">
        <v>1599</v>
      </c>
      <c r="G139">
        <v>6608</v>
      </c>
      <c r="H139">
        <v>5009</v>
      </c>
      <c r="I139">
        <v>1599</v>
      </c>
      <c r="J139">
        <v>3787</v>
      </c>
      <c r="K139">
        <v>230</v>
      </c>
      <c r="L139">
        <v>259</v>
      </c>
      <c r="M139">
        <v>222</v>
      </c>
      <c r="N139">
        <v>155</v>
      </c>
      <c r="O139">
        <v>63</v>
      </c>
      <c r="P139">
        <v>134</v>
      </c>
      <c r="Q139">
        <v>0</v>
      </c>
      <c r="R139">
        <v>211</v>
      </c>
      <c r="S139">
        <v>711</v>
      </c>
      <c r="T139">
        <v>25</v>
      </c>
      <c r="U139">
        <v>18</v>
      </c>
      <c r="V139">
        <v>169</v>
      </c>
      <c r="W139">
        <v>316</v>
      </c>
      <c r="X139">
        <v>269</v>
      </c>
      <c r="Y139">
        <v>39</v>
      </c>
      <c r="Z139" t="e">
        <f t="shared" si="4"/>
        <v>#N/A</v>
      </c>
    </row>
    <row r="140" spans="1:34" x14ac:dyDescent="0.25">
      <c r="A140" t="s">
        <v>1870</v>
      </c>
      <c r="B140">
        <v>53033020600</v>
      </c>
      <c r="C140" t="s">
        <v>1871</v>
      </c>
      <c r="D140">
        <v>3691</v>
      </c>
      <c r="E140">
        <v>3049</v>
      </c>
      <c r="F140">
        <v>642</v>
      </c>
      <c r="G140">
        <v>3691</v>
      </c>
      <c r="H140">
        <v>3049</v>
      </c>
      <c r="I140">
        <v>642</v>
      </c>
      <c r="J140">
        <v>2324</v>
      </c>
      <c r="K140">
        <v>72</v>
      </c>
      <c r="L140">
        <v>68</v>
      </c>
      <c r="M140">
        <v>11</v>
      </c>
      <c r="N140">
        <v>188</v>
      </c>
      <c r="O140">
        <v>85</v>
      </c>
      <c r="P140">
        <v>35</v>
      </c>
      <c r="Q140">
        <v>0</v>
      </c>
      <c r="R140">
        <v>216</v>
      </c>
      <c r="S140">
        <v>443</v>
      </c>
      <c r="T140">
        <v>19</v>
      </c>
      <c r="U140">
        <v>12</v>
      </c>
      <c r="V140">
        <v>51</v>
      </c>
      <c r="W140">
        <v>19</v>
      </c>
      <c r="X140">
        <v>148</v>
      </c>
      <c r="Y140">
        <v>0</v>
      </c>
      <c r="Z140" t="e">
        <f t="shared" si="4"/>
        <v>#N/A</v>
      </c>
    </row>
    <row r="141" spans="1:34" x14ac:dyDescent="0.25">
      <c r="A141" t="s">
        <v>1872</v>
      </c>
      <c r="B141">
        <v>53033020700</v>
      </c>
      <c r="C141" t="s">
        <v>1873</v>
      </c>
      <c r="D141">
        <v>3834</v>
      </c>
      <c r="E141">
        <v>2525</v>
      </c>
      <c r="F141">
        <v>1309</v>
      </c>
      <c r="G141">
        <v>3834</v>
      </c>
      <c r="H141">
        <v>2525</v>
      </c>
      <c r="I141">
        <v>1309</v>
      </c>
      <c r="J141">
        <v>1779</v>
      </c>
      <c r="K141">
        <v>192</v>
      </c>
      <c r="L141">
        <v>203</v>
      </c>
      <c r="M141">
        <v>231</v>
      </c>
      <c r="N141">
        <v>140</v>
      </c>
      <c r="O141">
        <v>119</v>
      </c>
      <c r="P141">
        <v>8</v>
      </c>
      <c r="Q141">
        <v>0</v>
      </c>
      <c r="R141">
        <v>84</v>
      </c>
      <c r="S141">
        <v>569</v>
      </c>
      <c r="T141">
        <v>0</v>
      </c>
      <c r="U141">
        <v>0</v>
      </c>
      <c r="V141">
        <v>166</v>
      </c>
      <c r="W141">
        <v>185</v>
      </c>
      <c r="X141">
        <v>145</v>
      </c>
      <c r="Y141">
        <v>13</v>
      </c>
      <c r="Z141" t="e">
        <f t="shared" si="4"/>
        <v>#N/A</v>
      </c>
    </row>
    <row r="142" spans="1:34" x14ac:dyDescent="0.25">
      <c r="A142" t="s">
        <v>1874</v>
      </c>
      <c r="B142">
        <v>53033020800</v>
      </c>
      <c r="C142" t="s">
        <v>1875</v>
      </c>
      <c r="D142">
        <v>4329</v>
      </c>
      <c r="E142">
        <v>3672</v>
      </c>
      <c r="F142">
        <v>657</v>
      </c>
      <c r="G142">
        <v>4329</v>
      </c>
      <c r="H142">
        <v>3672</v>
      </c>
      <c r="I142">
        <v>657</v>
      </c>
      <c r="J142">
        <v>3118</v>
      </c>
      <c r="K142">
        <v>349</v>
      </c>
      <c r="L142">
        <v>97</v>
      </c>
      <c r="M142">
        <v>25</v>
      </c>
      <c r="N142">
        <v>65</v>
      </c>
      <c r="O142">
        <v>20</v>
      </c>
      <c r="P142">
        <v>20</v>
      </c>
      <c r="Q142">
        <v>0</v>
      </c>
      <c r="R142">
        <v>177</v>
      </c>
      <c r="S142">
        <v>252</v>
      </c>
      <c r="T142">
        <v>0</v>
      </c>
      <c r="U142">
        <v>0</v>
      </c>
      <c r="V142">
        <v>10</v>
      </c>
      <c r="W142">
        <v>0</v>
      </c>
      <c r="X142">
        <v>185</v>
      </c>
      <c r="Y142">
        <v>11</v>
      </c>
      <c r="Z142" t="e">
        <f t="shared" si="4"/>
        <v>#N/A</v>
      </c>
    </row>
    <row r="143" spans="1:34" x14ac:dyDescent="0.25">
      <c r="A143" t="s">
        <v>1876</v>
      </c>
      <c r="B143">
        <v>53033020900</v>
      </c>
      <c r="C143" t="s">
        <v>1877</v>
      </c>
      <c r="D143">
        <v>3664</v>
      </c>
      <c r="E143">
        <v>2699</v>
      </c>
      <c r="F143">
        <v>965</v>
      </c>
      <c r="G143">
        <v>3664</v>
      </c>
      <c r="H143">
        <v>2699</v>
      </c>
      <c r="I143">
        <v>965</v>
      </c>
      <c r="J143">
        <v>2242</v>
      </c>
      <c r="K143">
        <v>206</v>
      </c>
      <c r="L143">
        <v>35</v>
      </c>
      <c r="M143">
        <v>69</v>
      </c>
      <c r="N143">
        <v>43</v>
      </c>
      <c r="O143">
        <v>331</v>
      </c>
      <c r="P143">
        <v>7</v>
      </c>
      <c r="Q143">
        <v>0</v>
      </c>
      <c r="R143">
        <v>155</v>
      </c>
      <c r="S143">
        <v>307</v>
      </c>
      <c r="T143">
        <v>13</v>
      </c>
      <c r="U143">
        <v>0</v>
      </c>
      <c r="V143">
        <v>47</v>
      </c>
      <c r="W143">
        <v>52</v>
      </c>
      <c r="X143">
        <v>157</v>
      </c>
      <c r="Y143">
        <v>0</v>
      </c>
      <c r="Z143" t="e">
        <f t="shared" si="4"/>
        <v>#N/A</v>
      </c>
    </row>
    <row r="144" spans="1:34" x14ac:dyDescent="0.25">
      <c r="A144" t="s">
        <v>1878</v>
      </c>
      <c r="B144">
        <v>53033021000</v>
      </c>
      <c r="C144" t="s">
        <v>1879</v>
      </c>
      <c r="D144">
        <v>5842</v>
      </c>
      <c r="E144">
        <v>4501</v>
      </c>
      <c r="F144">
        <v>1341</v>
      </c>
      <c r="G144">
        <v>5842</v>
      </c>
      <c r="H144">
        <v>4501</v>
      </c>
      <c r="I144">
        <v>1341</v>
      </c>
      <c r="J144">
        <v>3215</v>
      </c>
      <c r="K144">
        <v>121</v>
      </c>
      <c r="L144">
        <v>149</v>
      </c>
      <c r="M144">
        <v>77</v>
      </c>
      <c r="N144">
        <v>344</v>
      </c>
      <c r="O144">
        <v>376</v>
      </c>
      <c r="P144">
        <v>244</v>
      </c>
      <c r="Q144">
        <v>0</v>
      </c>
      <c r="R144">
        <v>245</v>
      </c>
      <c r="S144">
        <v>658</v>
      </c>
      <c r="T144">
        <v>4</v>
      </c>
      <c r="U144">
        <v>27</v>
      </c>
      <c r="V144">
        <v>0</v>
      </c>
      <c r="W144">
        <v>45</v>
      </c>
      <c r="X144">
        <v>300</v>
      </c>
      <c r="Y144">
        <v>37</v>
      </c>
      <c r="Z144" t="e">
        <f t="shared" si="4"/>
        <v>#N/A</v>
      </c>
    </row>
    <row r="145" spans="1:26" x14ac:dyDescent="0.25">
      <c r="A145" t="s">
        <v>1880</v>
      </c>
      <c r="B145">
        <v>53033021100</v>
      </c>
      <c r="C145" t="s">
        <v>1881</v>
      </c>
      <c r="D145">
        <v>4562</v>
      </c>
      <c r="E145">
        <v>3366</v>
      </c>
      <c r="F145">
        <v>1196</v>
      </c>
      <c r="G145">
        <v>4562</v>
      </c>
      <c r="H145">
        <v>3366</v>
      </c>
      <c r="I145">
        <v>1196</v>
      </c>
      <c r="J145">
        <v>2399</v>
      </c>
      <c r="K145">
        <v>127</v>
      </c>
      <c r="L145">
        <v>28</v>
      </c>
      <c r="M145">
        <v>11</v>
      </c>
      <c r="N145">
        <v>230</v>
      </c>
      <c r="O145">
        <v>248</v>
      </c>
      <c r="P145">
        <v>6</v>
      </c>
      <c r="Q145">
        <v>0</v>
      </c>
      <c r="R145">
        <v>219</v>
      </c>
      <c r="S145">
        <v>569</v>
      </c>
      <c r="T145">
        <v>5</v>
      </c>
      <c r="U145">
        <v>0</v>
      </c>
      <c r="V145">
        <v>83</v>
      </c>
      <c r="W145">
        <v>224</v>
      </c>
      <c r="X145">
        <v>396</v>
      </c>
      <c r="Y145">
        <v>17</v>
      </c>
      <c r="Z145" t="e">
        <f t="shared" si="4"/>
        <v>#N/A</v>
      </c>
    </row>
    <row r="146" spans="1:26" x14ac:dyDescent="0.25">
      <c r="A146" t="s">
        <v>1882</v>
      </c>
      <c r="B146">
        <v>53033021300</v>
      </c>
      <c r="C146" t="s">
        <v>1883</v>
      </c>
      <c r="D146">
        <v>4114</v>
      </c>
      <c r="E146">
        <v>3136</v>
      </c>
      <c r="F146">
        <v>978</v>
      </c>
      <c r="G146">
        <v>4114</v>
      </c>
      <c r="H146">
        <v>3136</v>
      </c>
      <c r="I146">
        <v>978</v>
      </c>
      <c r="J146">
        <v>2540</v>
      </c>
      <c r="K146">
        <v>265</v>
      </c>
      <c r="L146">
        <v>195</v>
      </c>
      <c r="M146">
        <v>0</v>
      </c>
      <c r="N146">
        <v>128</v>
      </c>
      <c r="O146">
        <v>80</v>
      </c>
      <c r="P146">
        <v>0</v>
      </c>
      <c r="Q146">
        <v>0</v>
      </c>
      <c r="R146">
        <v>101</v>
      </c>
      <c r="S146">
        <v>516</v>
      </c>
      <c r="T146">
        <v>0</v>
      </c>
      <c r="U146">
        <v>0</v>
      </c>
      <c r="V146">
        <v>36</v>
      </c>
      <c r="W146">
        <v>39</v>
      </c>
      <c r="X146">
        <v>136</v>
      </c>
      <c r="Y146">
        <v>78</v>
      </c>
      <c r="Z146" t="e">
        <f t="shared" si="4"/>
        <v>#N/A</v>
      </c>
    </row>
    <row r="147" spans="1:26" x14ac:dyDescent="0.25">
      <c r="A147" t="s">
        <v>1884</v>
      </c>
      <c r="B147">
        <v>53033021400</v>
      </c>
      <c r="C147" t="s">
        <v>1885</v>
      </c>
      <c r="D147">
        <v>3956</v>
      </c>
      <c r="E147">
        <v>3476</v>
      </c>
      <c r="F147">
        <v>480</v>
      </c>
      <c r="G147">
        <v>3956</v>
      </c>
      <c r="H147">
        <v>3476</v>
      </c>
      <c r="I147">
        <v>480</v>
      </c>
      <c r="J147">
        <v>2921</v>
      </c>
      <c r="K147">
        <v>243</v>
      </c>
      <c r="L147">
        <v>96</v>
      </c>
      <c r="M147">
        <v>18</v>
      </c>
      <c r="N147">
        <v>58</v>
      </c>
      <c r="O147">
        <v>0</v>
      </c>
      <c r="P147">
        <v>15</v>
      </c>
      <c r="Q147">
        <v>0</v>
      </c>
      <c r="R147">
        <v>73</v>
      </c>
      <c r="S147">
        <v>150</v>
      </c>
      <c r="T147">
        <v>0</v>
      </c>
      <c r="U147">
        <v>11</v>
      </c>
      <c r="V147">
        <v>0</v>
      </c>
      <c r="W147">
        <v>0</v>
      </c>
      <c r="X147">
        <v>313</v>
      </c>
      <c r="Y147">
        <v>58</v>
      </c>
      <c r="Z147" t="e">
        <f t="shared" si="4"/>
        <v>#N/A</v>
      </c>
    </row>
    <row r="148" spans="1:26" x14ac:dyDescent="0.25">
      <c r="A148" t="s">
        <v>1886</v>
      </c>
      <c r="B148">
        <v>53033021500</v>
      </c>
      <c r="C148" t="s">
        <v>1887</v>
      </c>
      <c r="D148">
        <v>4365</v>
      </c>
      <c r="E148">
        <v>3703</v>
      </c>
      <c r="F148">
        <v>662</v>
      </c>
      <c r="G148">
        <v>4365</v>
      </c>
      <c r="H148">
        <v>3703</v>
      </c>
      <c r="I148">
        <v>662</v>
      </c>
      <c r="J148">
        <v>3308</v>
      </c>
      <c r="K148">
        <v>179</v>
      </c>
      <c r="L148">
        <v>65</v>
      </c>
      <c r="M148">
        <v>55</v>
      </c>
      <c r="N148">
        <v>84</v>
      </c>
      <c r="O148">
        <v>33</v>
      </c>
      <c r="P148">
        <v>3</v>
      </c>
      <c r="Q148">
        <v>0</v>
      </c>
      <c r="R148">
        <v>41</v>
      </c>
      <c r="S148">
        <v>366</v>
      </c>
      <c r="T148">
        <v>9</v>
      </c>
      <c r="U148">
        <v>0</v>
      </c>
      <c r="V148">
        <v>14</v>
      </c>
      <c r="W148">
        <v>0</v>
      </c>
      <c r="X148">
        <v>179</v>
      </c>
      <c r="Y148">
        <v>29</v>
      </c>
      <c r="Z148" t="e">
        <f t="shared" si="4"/>
        <v>#N/A</v>
      </c>
    </row>
    <row r="149" spans="1:26" x14ac:dyDescent="0.25">
      <c r="A149" t="s">
        <v>1888</v>
      </c>
      <c r="B149">
        <v>53033021600</v>
      </c>
      <c r="C149" t="s">
        <v>1889</v>
      </c>
      <c r="D149">
        <v>5005</v>
      </c>
      <c r="E149">
        <v>4126</v>
      </c>
      <c r="F149">
        <v>879</v>
      </c>
      <c r="G149">
        <v>5005</v>
      </c>
      <c r="H149">
        <v>4126</v>
      </c>
      <c r="I149">
        <v>879</v>
      </c>
      <c r="J149">
        <v>3424</v>
      </c>
      <c r="K149">
        <v>260</v>
      </c>
      <c r="L149">
        <v>139</v>
      </c>
      <c r="M149">
        <v>40</v>
      </c>
      <c r="N149">
        <v>70</v>
      </c>
      <c r="O149">
        <v>39</v>
      </c>
      <c r="P149">
        <v>8</v>
      </c>
      <c r="Q149">
        <v>0</v>
      </c>
      <c r="R149">
        <v>118</v>
      </c>
      <c r="S149">
        <v>378</v>
      </c>
      <c r="T149">
        <v>26</v>
      </c>
      <c r="U149">
        <v>47</v>
      </c>
      <c r="V149">
        <v>79</v>
      </c>
      <c r="W149">
        <v>42</v>
      </c>
      <c r="X149">
        <v>262</v>
      </c>
      <c r="Y149">
        <v>73</v>
      </c>
      <c r="Z149" t="e">
        <f t="shared" si="4"/>
        <v>#N/A</v>
      </c>
    </row>
    <row r="150" spans="1:26" x14ac:dyDescent="0.25">
      <c r="A150" t="s">
        <v>1890</v>
      </c>
      <c r="B150">
        <v>53033021700</v>
      </c>
      <c r="C150" t="s">
        <v>1891</v>
      </c>
      <c r="D150">
        <v>8831</v>
      </c>
      <c r="E150">
        <v>7063</v>
      </c>
      <c r="F150">
        <v>1768</v>
      </c>
      <c r="G150">
        <v>8831</v>
      </c>
      <c r="H150">
        <v>7063</v>
      </c>
      <c r="I150">
        <v>1768</v>
      </c>
      <c r="J150">
        <v>5379</v>
      </c>
      <c r="K150">
        <v>549</v>
      </c>
      <c r="L150">
        <v>504</v>
      </c>
      <c r="M150">
        <v>178</v>
      </c>
      <c r="N150">
        <v>134</v>
      </c>
      <c r="O150">
        <v>99</v>
      </c>
      <c r="P150">
        <v>47</v>
      </c>
      <c r="Q150">
        <v>0</v>
      </c>
      <c r="R150">
        <v>378</v>
      </c>
      <c r="S150">
        <v>783</v>
      </c>
      <c r="T150">
        <v>27</v>
      </c>
      <c r="U150">
        <v>0</v>
      </c>
      <c r="V150">
        <v>102</v>
      </c>
      <c r="W150">
        <v>144</v>
      </c>
      <c r="X150">
        <v>492</v>
      </c>
      <c r="Y150">
        <v>15</v>
      </c>
      <c r="Z150" t="e">
        <f t="shared" si="4"/>
        <v>#N/A</v>
      </c>
    </row>
    <row r="151" spans="1:26" x14ac:dyDescent="0.25">
      <c r="A151" t="s">
        <v>1892</v>
      </c>
      <c r="B151">
        <v>53033021802</v>
      </c>
      <c r="C151" t="s">
        <v>1893</v>
      </c>
      <c r="D151">
        <v>5539</v>
      </c>
      <c r="E151">
        <v>4258</v>
      </c>
      <c r="F151">
        <v>1281</v>
      </c>
      <c r="G151">
        <v>5539</v>
      </c>
      <c r="H151">
        <v>4258</v>
      </c>
      <c r="I151">
        <v>1281</v>
      </c>
      <c r="J151">
        <v>3505</v>
      </c>
      <c r="K151">
        <v>299</v>
      </c>
      <c r="L151">
        <v>67</v>
      </c>
      <c r="M151">
        <v>108</v>
      </c>
      <c r="N151">
        <v>44</v>
      </c>
      <c r="O151">
        <v>0</v>
      </c>
      <c r="P151">
        <v>33</v>
      </c>
      <c r="Q151">
        <v>46</v>
      </c>
      <c r="R151">
        <v>443</v>
      </c>
      <c r="S151">
        <v>717</v>
      </c>
      <c r="T151">
        <v>0</v>
      </c>
      <c r="U151">
        <v>0</v>
      </c>
      <c r="V151">
        <v>70</v>
      </c>
      <c r="W151">
        <v>111</v>
      </c>
      <c r="X151">
        <v>96</v>
      </c>
      <c r="Y151">
        <v>0</v>
      </c>
      <c r="Z151" t="e">
        <f t="shared" si="4"/>
        <v>#N/A</v>
      </c>
    </row>
    <row r="152" spans="1:26" x14ac:dyDescent="0.25">
      <c r="A152" t="s">
        <v>1894</v>
      </c>
      <c r="B152">
        <v>53033021803</v>
      </c>
      <c r="C152" t="s">
        <v>1895</v>
      </c>
      <c r="D152">
        <v>4904</v>
      </c>
      <c r="E152">
        <v>3912</v>
      </c>
      <c r="F152">
        <v>992</v>
      </c>
      <c r="G152">
        <v>4904</v>
      </c>
      <c r="H152">
        <v>3912</v>
      </c>
      <c r="I152">
        <v>992</v>
      </c>
      <c r="J152">
        <v>3156</v>
      </c>
      <c r="K152">
        <v>321</v>
      </c>
      <c r="L152">
        <v>76</v>
      </c>
      <c r="M152">
        <v>9</v>
      </c>
      <c r="N152">
        <v>149</v>
      </c>
      <c r="O152">
        <v>91</v>
      </c>
      <c r="P152">
        <v>6</v>
      </c>
      <c r="Q152">
        <v>0</v>
      </c>
      <c r="R152">
        <v>123</v>
      </c>
      <c r="S152">
        <v>370</v>
      </c>
      <c r="T152">
        <v>0</v>
      </c>
      <c r="U152">
        <v>0</v>
      </c>
      <c r="V152">
        <v>55</v>
      </c>
      <c r="W152">
        <v>127</v>
      </c>
      <c r="X152">
        <v>347</v>
      </c>
      <c r="Y152">
        <v>74</v>
      </c>
      <c r="Z152" t="e">
        <f t="shared" si="4"/>
        <v>#N/A</v>
      </c>
    </row>
    <row r="153" spans="1:26" x14ac:dyDescent="0.25">
      <c r="A153" t="s">
        <v>1896</v>
      </c>
      <c r="B153">
        <v>53033021804</v>
      </c>
      <c r="C153" t="s">
        <v>1897</v>
      </c>
      <c r="D153">
        <v>5097</v>
      </c>
      <c r="E153">
        <v>4071</v>
      </c>
      <c r="F153">
        <v>1026</v>
      </c>
      <c r="G153">
        <v>5097</v>
      </c>
      <c r="H153">
        <v>4071</v>
      </c>
      <c r="I153">
        <v>1026</v>
      </c>
      <c r="J153">
        <v>3181</v>
      </c>
      <c r="K153">
        <v>324</v>
      </c>
      <c r="L153">
        <v>139</v>
      </c>
      <c r="M153">
        <v>155</v>
      </c>
      <c r="N153">
        <v>144</v>
      </c>
      <c r="O153">
        <v>34</v>
      </c>
      <c r="P153">
        <v>17</v>
      </c>
      <c r="Q153">
        <v>0</v>
      </c>
      <c r="R153">
        <v>174</v>
      </c>
      <c r="S153">
        <v>285</v>
      </c>
      <c r="T153">
        <v>0</v>
      </c>
      <c r="U153">
        <v>0</v>
      </c>
      <c r="V153">
        <v>185</v>
      </c>
      <c r="W153">
        <v>178</v>
      </c>
      <c r="X153">
        <v>231</v>
      </c>
      <c r="Y153">
        <v>50</v>
      </c>
      <c r="Z153" t="e">
        <f t="shared" si="4"/>
        <v>#N/A</v>
      </c>
    </row>
    <row r="154" spans="1:26" x14ac:dyDescent="0.25">
      <c r="A154" t="s">
        <v>1898</v>
      </c>
      <c r="B154">
        <v>53033021903</v>
      </c>
      <c r="C154" t="s">
        <v>1899</v>
      </c>
      <c r="D154">
        <v>6153</v>
      </c>
      <c r="E154">
        <v>4811</v>
      </c>
      <c r="F154">
        <v>1342</v>
      </c>
      <c r="G154">
        <v>6153</v>
      </c>
      <c r="H154">
        <v>4811</v>
      </c>
      <c r="I154">
        <v>1342</v>
      </c>
      <c r="J154">
        <v>3835</v>
      </c>
      <c r="K154">
        <v>818</v>
      </c>
      <c r="L154">
        <v>234</v>
      </c>
      <c r="M154">
        <v>0</v>
      </c>
      <c r="N154">
        <v>164</v>
      </c>
      <c r="O154">
        <v>39</v>
      </c>
      <c r="P154">
        <v>61</v>
      </c>
      <c r="Q154">
        <v>0</v>
      </c>
      <c r="R154">
        <v>225</v>
      </c>
      <c r="S154">
        <v>420</v>
      </c>
      <c r="T154">
        <v>0</v>
      </c>
      <c r="U154">
        <v>0</v>
      </c>
      <c r="V154">
        <v>40</v>
      </c>
      <c r="W154">
        <v>20</v>
      </c>
      <c r="X154">
        <v>252</v>
      </c>
      <c r="Y154">
        <v>45</v>
      </c>
      <c r="Z154" t="e">
        <f t="shared" si="4"/>
        <v>#N/A</v>
      </c>
    </row>
    <row r="155" spans="1:26" x14ac:dyDescent="0.25">
      <c r="A155" t="s">
        <v>1900</v>
      </c>
      <c r="B155">
        <v>53033021904</v>
      </c>
      <c r="C155" t="s">
        <v>1901</v>
      </c>
      <c r="D155">
        <v>4969</v>
      </c>
      <c r="E155">
        <v>3350</v>
      </c>
      <c r="F155">
        <v>1619</v>
      </c>
      <c r="G155">
        <v>4969</v>
      </c>
      <c r="H155">
        <v>3350</v>
      </c>
      <c r="I155">
        <v>1619</v>
      </c>
      <c r="J155">
        <v>2477</v>
      </c>
      <c r="K155">
        <v>386</v>
      </c>
      <c r="L155">
        <v>59</v>
      </c>
      <c r="M155">
        <v>101</v>
      </c>
      <c r="N155">
        <v>49</v>
      </c>
      <c r="O155">
        <v>22</v>
      </c>
      <c r="P155">
        <v>0</v>
      </c>
      <c r="Q155">
        <v>0</v>
      </c>
      <c r="R155">
        <v>451</v>
      </c>
      <c r="S155">
        <v>953</v>
      </c>
      <c r="T155">
        <v>0</v>
      </c>
      <c r="U155">
        <v>0</v>
      </c>
      <c r="V155">
        <v>46</v>
      </c>
      <c r="W155">
        <v>123</v>
      </c>
      <c r="X155">
        <v>268</v>
      </c>
      <c r="Y155">
        <v>34</v>
      </c>
      <c r="Z155" t="e">
        <f t="shared" si="4"/>
        <v>#N/A</v>
      </c>
    </row>
    <row r="156" spans="1:26" x14ac:dyDescent="0.25">
      <c r="A156" t="s">
        <v>1902</v>
      </c>
      <c r="B156">
        <v>53033021905</v>
      </c>
      <c r="C156" t="s">
        <v>1903</v>
      </c>
      <c r="D156">
        <v>5588</v>
      </c>
      <c r="E156">
        <v>4338</v>
      </c>
      <c r="F156">
        <v>1250</v>
      </c>
      <c r="G156">
        <v>5588</v>
      </c>
      <c r="H156">
        <v>4338</v>
      </c>
      <c r="I156">
        <v>1250</v>
      </c>
      <c r="J156">
        <v>3311</v>
      </c>
      <c r="K156">
        <v>469</v>
      </c>
      <c r="L156">
        <v>416</v>
      </c>
      <c r="M156">
        <v>275</v>
      </c>
      <c r="N156">
        <v>5</v>
      </c>
      <c r="O156">
        <v>0</v>
      </c>
      <c r="P156">
        <v>0</v>
      </c>
      <c r="Q156">
        <v>0</v>
      </c>
      <c r="R156">
        <v>288</v>
      </c>
      <c r="S156">
        <v>352</v>
      </c>
      <c r="T156">
        <v>0</v>
      </c>
      <c r="U156">
        <v>0</v>
      </c>
      <c r="V156">
        <v>190</v>
      </c>
      <c r="W156">
        <v>119</v>
      </c>
      <c r="X156">
        <v>128</v>
      </c>
      <c r="Y156">
        <v>35</v>
      </c>
      <c r="Z156" t="e">
        <f t="shared" si="4"/>
        <v>#N/A</v>
      </c>
    </row>
    <row r="157" spans="1:26" x14ac:dyDescent="0.25">
      <c r="A157" t="s">
        <v>1904</v>
      </c>
      <c r="B157">
        <v>53033021906</v>
      </c>
      <c r="C157" t="s">
        <v>1905</v>
      </c>
      <c r="D157">
        <v>4259</v>
      </c>
      <c r="E157">
        <v>3259</v>
      </c>
      <c r="F157">
        <v>1000</v>
      </c>
      <c r="G157">
        <v>4259</v>
      </c>
      <c r="H157">
        <v>3259</v>
      </c>
      <c r="I157">
        <v>1000</v>
      </c>
      <c r="J157">
        <v>2551</v>
      </c>
      <c r="K157">
        <v>383</v>
      </c>
      <c r="L157">
        <v>47</v>
      </c>
      <c r="M157">
        <v>137</v>
      </c>
      <c r="N157">
        <v>82</v>
      </c>
      <c r="O157">
        <v>10</v>
      </c>
      <c r="P157">
        <v>0</v>
      </c>
      <c r="Q157">
        <v>6</v>
      </c>
      <c r="R157">
        <v>137</v>
      </c>
      <c r="S157">
        <v>418</v>
      </c>
      <c r="T157">
        <v>0</v>
      </c>
      <c r="U157">
        <v>0</v>
      </c>
      <c r="V157">
        <v>119</v>
      </c>
      <c r="W157">
        <v>28</v>
      </c>
      <c r="X157">
        <v>323</v>
      </c>
      <c r="Y157">
        <v>18</v>
      </c>
      <c r="Z157" t="e">
        <f t="shared" si="4"/>
        <v>#N/A</v>
      </c>
    </row>
    <row r="158" spans="1:26" x14ac:dyDescent="0.25">
      <c r="A158" t="s">
        <v>1906</v>
      </c>
      <c r="B158">
        <v>53033022001</v>
      </c>
      <c r="C158" t="s">
        <v>1907</v>
      </c>
      <c r="D158">
        <v>5376</v>
      </c>
      <c r="E158">
        <v>4423</v>
      </c>
      <c r="F158">
        <v>953</v>
      </c>
      <c r="G158">
        <v>5376</v>
      </c>
      <c r="H158">
        <v>4423</v>
      </c>
      <c r="I158">
        <v>953</v>
      </c>
      <c r="J158">
        <v>3383</v>
      </c>
      <c r="K158">
        <v>489</v>
      </c>
      <c r="L158">
        <v>118</v>
      </c>
      <c r="M158">
        <v>65</v>
      </c>
      <c r="N158">
        <v>34</v>
      </c>
      <c r="O158">
        <v>0</v>
      </c>
      <c r="P158">
        <v>15</v>
      </c>
      <c r="Q158">
        <v>0</v>
      </c>
      <c r="R158">
        <v>211</v>
      </c>
      <c r="S158">
        <v>324</v>
      </c>
      <c r="T158">
        <v>49</v>
      </c>
      <c r="U158">
        <v>0</v>
      </c>
      <c r="V158">
        <v>114</v>
      </c>
      <c r="W158">
        <v>24</v>
      </c>
      <c r="X158">
        <v>499</v>
      </c>
      <c r="Y158">
        <v>51</v>
      </c>
      <c r="Z158" t="e">
        <f t="shared" si="4"/>
        <v>#N/A</v>
      </c>
    </row>
    <row r="159" spans="1:26" x14ac:dyDescent="0.25">
      <c r="A159" t="s">
        <v>1908</v>
      </c>
      <c r="B159">
        <v>53033022003</v>
      </c>
      <c r="C159" t="s">
        <v>1909</v>
      </c>
      <c r="D159">
        <v>4831</v>
      </c>
      <c r="E159">
        <v>4026</v>
      </c>
      <c r="F159">
        <v>805</v>
      </c>
      <c r="G159">
        <v>4831</v>
      </c>
      <c r="H159">
        <v>4026</v>
      </c>
      <c r="I159">
        <v>805</v>
      </c>
      <c r="J159">
        <v>3027</v>
      </c>
      <c r="K159">
        <v>127</v>
      </c>
      <c r="L159">
        <v>149</v>
      </c>
      <c r="M159">
        <v>76</v>
      </c>
      <c r="N159">
        <v>68</v>
      </c>
      <c r="O159">
        <v>6</v>
      </c>
      <c r="P159">
        <v>21</v>
      </c>
      <c r="Q159">
        <v>0</v>
      </c>
      <c r="R159">
        <v>343</v>
      </c>
      <c r="S159">
        <v>391</v>
      </c>
      <c r="T159">
        <v>11</v>
      </c>
      <c r="U159">
        <v>0</v>
      </c>
      <c r="V159">
        <v>41</v>
      </c>
      <c r="W159">
        <v>153</v>
      </c>
      <c r="X159">
        <v>366</v>
      </c>
      <c r="Y159">
        <v>52</v>
      </c>
      <c r="Z159" t="e">
        <f t="shared" si="4"/>
        <v>#N/A</v>
      </c>
    </row>
    <row r="160" spans="1:26" x14ac:dyDescent="0.25">
      <c r="A160" t="s">
        <v>1910</v>
      </c>
      <c r="B160">
        <v>53033022005</v>
      </c>
      <c r="C160" t="s">
        <v>1911</v>
      </c>
      <c r="D160">
        <v>5076</v>
      </c>
      <c r="E160">
        <v>3623</v>
      </c>
      <c r="F160">
        <v>1453</v>
      </c>
      <c r="G160">
        <v>5076</v>
      </c>
      <c r="H160">
        <v>3623</v>
      </c>
      <c r="I160">
        <v>1453</v>
      </c>
      <c r="J160">
        <v>2940</v>
      </c>
      <c r="K160">
        <v>457</v>
      </c>
      <c r="L160">
        <v>84</v>
      </c>
      <c r="M160">
        <v>107</v>
      </c>
      <c r="N160">
        <v>21</v>
      </c>
      <c r="O160">
        <v>47</v>
      </c>
      <c r="P160">
        <v>81</v>
      </c>
      <c r="Q160">
        <v>0</v>
      </c>
      <c r="R160">
        <v>228</v>
      </c>
      <c r="S160">
        <v>791</v>
      </c>
      <c r="T160">
        <v>0</v>
      </c>
      <c r="U160">
        <v>0</v>
      </c>
      <c r="V160">
        <v>35</v>
      </c>
      <c r="W160">
        <v>51</v>
      </c>
      <c r="X160">
        <v>234</v>
      </c>
      <c r="Y160">
        <v>0</v>
      </c>
      <c r="Z160" t="e">
        <f t="shared" si="4"/>
        <v>#N/A</v>
      </c>
    </row>
    <row r="161" spans="1:26" x14ac:dyDescent="0.25">
      <c r="A161" t="s">
        <v>1912</v>
      </c>
      <c r="B161">
        <v>53033022006</v>
      </c>
      <c r="C161" t="s">
        <v>1913</v>
      </c>
      <c r="D161">
        <v>4085</v>
      </c>
      <c r="E161">
        <v>3075</v>
      </c>
      <c r="F161">
        <v>1010</v>
      </c>
      <c r="G161">
        <v>4085</v>
      </c>
      <c r="H161">
        <v>3075</v>
      </c>
      <c r="I161">
        <v>1010</v>
      </c>
      <c r="J161">
        <v>2531</v>
      </c>
      <c r="K161">
        <v>361</v>
      </c>
      <c r="L161">
        <v>277</v>
      </c>
      <c r="M161">
        <v>178</v>
      </c>
      <c r="N161">
        <v>16</v>
      </c>
      <c r="O161">
        <v>11</v>
      </c>
      <c r="P161">
        <v>0</v>
      </c>
      <c r="Q161">
        <v>0</v>
      </c>
      <c r="R161">
        <v>115</v>
      </c>
      <c r="S161">
        <v>400</v>
      </c>
      <c r="T161">
        <v>0</v>
      </c>
      <c r="U161">
        <v>0</v>
      </c>
      <c r="V161">
        <v>6</v>
      </c>
      <c r="W161">
        <v>9</v>
      </c>
      <c r="X161">
        <v>130</v>
      </c>
      <c r="Y161">
        <v>51</v>
      </c>
      <c r="Z161" t="e">
        <f t="shared" si="4"/>
        <v>#N/A</v>
      </c>
    </row>
    <row r="162" spans="1:26" x14ac:dyDescent="0.25">
      <c r="A162" t="s">
        <v>1914</v>
      </c>
      <c r="B162">
        <v>53033022101</v>
      </c>
      <c r="C162" t="s">
        <v>1915</v>
      </c>
      <c r="D162">
        <v>4662</v>
      </c>
      <c r="E162">
        <v>4016</v>
      </c>
      <c r="F162">
        <v>646</v>
      </c>
      <c r="G162">
        <v>4662</v>
      </c>
      <c r="H162">
        <v>4016</v>
      </c>
      <c r="I162">
        <v>646</v>
      </c>
      <c r="J162">
        <v>3521</v>
      </c>
      <c r="K162">
        <v>357</v>
      </c>
      <c r="L162">
        <v>114</v>
      </c>
      <c r="M162">
        <v>22</v>
      </c>
      <c r="N162">
        <v>67</v>
      </c>
      <c r="O162">
        <v>0</v>
      </c>
      <c r="P162">
        <v>13</v>
      </c>
      <c r="Q162">
        <v>0</v>
      </c>
      <c r="R162">
        <v>163</v>
      </c>
      <c r="S162">
        <v>266</v>
      </c>
      <c r="T162">
        <v>0</v>
      </c>
      <c r="U162">
        <v>0</v>
      </c>
      <c r="V162">
        <v>9</v>
      </c>
      <c r="W162">
        <v>1</v>
      </c>
      <c r="X162">
        <v>129</v>
      </c>
      <c r="Y162">
        <v>0</v>
      </c>
      <c r="Z162" t="e">
        <f t="shared" si="4"/>
        <v>#N/A</v>
      </c>
    </row>
    <row r="163" spans="1:26" x14ac:dyDescent="0.25">
      <c r="A163" t="s">
        <v>1916</v>
      </c>
      <c r="B163">
        <v>53033022102</v>
      </c>
      <c r="C163" t="s">
        <v>1917</v>
      </c>
      <c r="D163">
        <v>6461</v>
      </c>
      <c r="E163">
        <v>4993</v>
      </c>
      <c r="F163">
        <v>1468</v>
      </c>
      <c r="G163">
        <v>6461</v>
      </c>
      <c r="H163">
        <v>4993</v>
      </c>
      <c r="I163">
        <v>1468</v>
      </c>
      <c r="J163">
        <v>4075</v>
      </c>
      <c r="K163">
        <v>599</v>
      </c>
      <c r="L163">
        <v>195</v>
      </c>
      <c r="M163">
        <v>115</v>
      </c>
      <c r="N163">
        <v>1</v>
      </c>
      <c r="O163">
        <v>0</v>
      </c>
      <c r="P163">
        <v>9</v>
      </c>
      <c r="Q163">
        <v>0</v>
      </c>
      <c r="R163">
        <v>411</v>
      </c>
      <c r="S163">
        <v>710</v>
      </c>
      <c r="T163">
        <v>0</v>
      </c>
      <c r="U163">
        <v>0</v>
      </c>
      <c r="V163">
        <v>82</v>
      </c>
      <c r="W163">
        <v>25</v>
      </c>
      <c r="X163">
        <v>220</v>
      </c>
      <c r="Y163">
        <v>19</v>
      </c>
      <c r="Z163" t="e">
        <f t="shared" si="4"/>
        <v>#N/A</v>
      </c>
    </row>
    <row r="164" spans="1:26" x14ac:dyDescent="0.25">
      <c r="A164" t="s">
        <v>1918</v>
      </c>
      <c r="B164">
        <v>53033022201</v>
      </c>
      <c r="C164" t="s">
        <v>1919</v>
      </c>
      <c r="D164">
        <v>4431</v>
      </c>
      <c r="E164">
        <v>3673</v>
      </c>
      <c r="F164">
        <v>758</v>
      </c>
      <c r="G164">
        <v>4431</v>
      </c>
      <c r="H164">
        <v>3673</v>
      </c>
      <c r="I164">
        <v>758</v>
      </c>
      <c r="J164">
        <v>3113</v>
      </c>
      <c r="K164">
        <v>328</v>
      </c>
      <c r="L164">
        <v>71</v>
      </c>
      <c r="M164">
        <v>46</v>
      </c>
      <c r="N164">
        <v>72</v>
      </c>
      <c r="O164">
        <v>25</v>
      </c>
      <c r="P164">
        <v>0</v>
      </c>
      <c r="Q164">
        <v>0</v>
      </c>
      <c r="R164">
        <v>115</v>
      </c>
      <c r="S164">
        <v>262</v>
      </c>
      <c r="T164">
        <v>0</v>
      </c>
      <c r="U164">
        <v>5</v>
      </c>
      <c r="V164">
        <v>52</v>
      </c>
      <c r="W164">
        <v>37</v>
      </c>
      <c r="X164">
        <v>250</v>
      </c>
      <c r="Y164">
        <v>55</v>
      </c>
      <c r="Z164" t="e">
        <f t="shared" si="4"/>
        <v>#N/A</v>
      </c>
    </row>
    <row r="165" spans="1:26" x14ac:dyDescent="0.25">
      <c r="A165" t="s">
        <v>1920</v>
      </c>
      <c r="B165">
        <v>53033022202</v>
      </c>
      <c r="C165" t="s">
        <v>1921</v>
      </c>
      <c r="D165">
        <v>7245</v>
      </c>
      <c r="E165">
        <v>5289</v>
      </c>
      <c r="F165">
        <v>1956</v>
      </c>
      <c r="G165">
        <v>7245</v>
      </c>
      <c r="H165">
        <v>5289</v>
      </c>
      <c r="I165">
        <v>1956</v>
      </c>
      <c r="J165">
        <v>4330</v>
      </c>
      <c r="K165">
        <v>681</v>
      </c>
      <c r="L165">
        <v>136</v>
      </c>
      <c r="M165">
        <v>318</v>
      </c>
      <c r="N165">
        <v>16</v>
      </c>
      <c r="O165">
        <v>37</v>
      </c>
      <c r="P165">
        <v>0</v>
      </c>
      <c r="Q165">
        <v>0</v>
      </c>
      <c r="R165">
        <v>303</v>
      </c>
      <c r="S165">
        <v>846</v>
      </c>
      <c r="T165">
        <v>0</v>
      </c>
      <c r="U165">
        <v>0</v>
      </c>
      <c r="V165">
        <v>158</v>
      </c>
      <c r="W165">
        <v>74</v>
      </c>
      <c r="X165">
        <v>346</v>
      </c>
      <c r="Y165">
        <v>0</v>
      </c>
      <c r="Z165" t="e">
        <f t="shared" si="4"/>
        <v>#N/A</v>
      </c>
    </row>
    <row r="166" spans="1:26" x14ac:dyDescent="0.25">
      <c r="A166" t="s">
        <v>1922</v>
      </c>
      <c r="B166">
        <v>53033022203</v>
      </c>
      <c r="C166" t="s">
        <v>1923</v>
      </c>
      <c r="D166">
        <v>5038</v>
      </c>
      <c r="E166">
        <v>4004</v>
      </c>
      <c r="F166">
        <v>1034</v>
      </c>
      <c r="G166">
        <v>5038</v>
      </c>
      <c r="H166">
        <v>4004</v>
      </c>
      <c r="I166">
        <v>1034</v>
      </c>
      <c r="J166">
        <v>3471</v>
      </c>
      <c r="K166">
        <v>613</v>
      </c>
      <c r="L166">
        <v>86</v>
      </c>
      <c r="M166">
        <v>51</v>
      </c>
      <c r="N166">
        <v>35</v>
      </c>
      <c r="O166">
        <v>12</v>
      </c>
      <c r="P166">
        <v>0</v>
      </c>
      <c r="Q166">
        <v>0</v>
      </c>
      <c r="R166">
        <v>204</v>
      </c>
      <c r="S166">
        <v>343</v>
      </c>
      <c r="T166">
        <v>0</v>
      </c>
      <c r="U166">
        <v>0</v>
      </c>
      <c r="V166">
        <v>32</v>
      </c>
      <c r="W166">
        <v>0</v>
      </c>
      <c r="X166">
        <v>176</v>
      </c>
      <c r="Y166">
        <v>15</v>
      </c>
      <c r="Z166" t="e">
        <f t="shared" si="4"/>
        <v>#N/A</v>
      </c>
    </row>
    <row r="167" spans="1:26" x14ac:dyDescent="0.25">
      <c r="A167" t="s">
        <v>1924</v>
      </c>
      <c r="B167">
        <v>53033022300</v>
      </c>
      <c r="C167" t="s">
        <v>1925</v>
      </c>
      <c r="D167">
        <v>2647</v>
      </c>
      <c r="E167">
        <v>2199</v>
      </c>
      <c r="F167">
        <v>448</v>
      </c>
      <c r="G167">
        <v>2647</v>
      </c>
      <c r="H167">
        <v>2199</v>
      </c>
      <c r="I167">
        <v>448</v>
      </c>
      <c r="J167">
        <v>1915</v>
      </c>
      <c r="K167">
        <v>247</v>
      </c>
      <c r="L167">
        <v>63</v>
      </c>
      <c r="M167">
        <v>21</v>
      </c>
      <c r="N167">
        <v>17</v>
      </c>
      <c r="O167">
        <v>0</v>
      </c>
      <c r="P167">
        <v>0</v>
      </c>
      <c r="Q167">
        <v>0</v>
      </c>
      <c r="R167">
        <v>47</v>
      </c>
      <c r="S167">
        <v>158</v>
      </c>
      <c r="T167">
        <v>0</v>
      </c>
      <c r="U167">
        <v>0</v>
      </c>
      <c r="V167">
        <v>45</v>
      </c>
      <c r="W167">
        <v>12</v>
      </c>
      <c r="X167">
        <v>112</v>
      </c>
      <c r="Y167">
        <v>10</v>
      </c>
      <c r="Z167" t="e">
        <f t="shared" si="4"/>
        <v>#N/A</v>
      </c>
    </row>
    <row r="168" spans="1:26" x14ac:dyDescent="0.25">
      <c r="A168" t="s">
        <v>1926</v>
      </c>
      <c r="B168">
        <v>53033022400</v>
      </c>
      <c r="C168" t="s">
        <v>1927</v>
      </c>
      <c r="D168">
        <v>8459</v>
      </c>
      <c r="E168">
        <v>6725</v>
      </c>
      <c r="F168">
        <v>1734</v>
      </c>
      <c r="G168">
        <v>8459</v>
      </c>
      <c r="H168">
        <v>6725</v>
      </c>
      <c r="I168">
        <v>1734</v>
      </c>
      <c r="J168">
        <v>5965</v>
      </c>
      <c r="K168">
        <v>964</v>
      </c>
      <c r="L168">
        <v>69</v>
      </c>
      <c r="M168">
        <v>19</v>
      </c>
      <c r="N168">
        <v>24</v>
      </c>
      <c r="O168">
        <v>1</v>
      </c>
      <c r="P168">
        <v>27</v>
      </c>
      <c r="Q168">
        <v>0</v>
      </c>
      <c r="R168">
        <v>266</v>
      </c>
      <c r="S168">
        <v>610</v>
      </c>
      <c r="T168">
        <v>0</v>
      </c>
      <c r="U168">
        <v>0</v>
      </c>
      <c r="V168">
        <v>46</v>
      </c>
      <c r="W168">
        <v>3</v>
      </c>
      <c r="X168">
        <v>328</v>
      </c>
      <c r="Y168">
        <v>137</v>
      </c>
      <c r="Z168" t="e">
        <f t="shared" si="4"/>
        <v>#N/A</v>
      </c>
    </row>
    <row r="169" spans="1:26" x14ac:dyDescent="0.25">
      <c r="A169" t="s">
        <v>1928</v>
      </c>
      <c r="B169">
        <v>53033022500</v>
      </c>
      <c r="C169" t="s">
        <v>1929</v>
      </c>
      <c r="D169">
        <v>8438</v>
      </c>
      <c r="E169">
        <v>6409</v>
      </c>
      <c r="F169">
        <v>2029</v>
      </c>
      <c r="G169">
        <v>8438</v>
      </c>
      <c r="H169">
        <v>6409</v>
      </c>
      <c r="I169">
        <v>2029</v>
      </c>
      <c r="J169">
        <v>5420</v>
      </c>
      <c r="K169">
        <v>1135</v>
      </c>
      <c r="L169">
        <v>278</v>
      </c>
      <c r="M169">
        <v>190</v>
      </c>
      <c r="N169">
        <v>0</v>
      </c>
      <c r="O169">
        <v>0</v>
      </c>
      <c r="P169">
        <v>57</v>
      </c>
      <c r="Q169">
        <v>0</v>
      </c>
      <c r="R169">
        <v>238</v>
      </c>
      <c r="S169">
        <v>601</v>
      </c>
      <c r="T169">
        <v>0</v>
      </c>
      <c r="U169">
        <v>0</v>
      </c>
      <c r="V169">
        <v>22</v>
      </c>
      <c r="W169">
        <v>87</v>
      </c>
      <c r="X169">
        <v>394</v>
      </c>
      <c r="Y169">
        <v>16</v>
      </c>
      <c r="Z169" t="e">
        <f t="shared" si="4"/>
        <v>#N/A</v>
      </c>
    </row>
    <row r="170" spans="1:26" x14ac:dyDescent="0.25">
      <c r="A170" t="s">
        <v>1930</v>
      </c>
      <c r="B170">
        <v>53033022603</v>
      </c>
      <c r="C170" t="s">
        <v>1931</v>
      </c>
      <c r="D170">
        <v>5691</v>
      </c>
      <c r="E170">
        <v>4147</v>
      </c>
      <c r="F170">
        <v>1544</v>
      </c>
      <c r="G170">
        <v>5691</v>
      </c>
      <c r="H170">
        <v>4147</v>
      </c>
      <c r="I170">
        <v>1544</v>
      </c>
      <c r="J170">
        <v>3203</v>
      </c>
      <c r="K170">
        <v>458</v>
      </c>
      <c r="L170">
        <v>94</v>
      </c>
      <c r="M170">
        <v>114</v>
      </c>
      <c r="N170">
        <v>60</v>
      </c>
      <c r="O170">
        <v>0</v>
      </c>
      <c r="P170">
        <v>31</v>
      </c>
      <c r="Q170">
        <v>0</v>
      </c>
      <c r="R170">
        <v>378</v>
      </c>
      <c r="S170">
        <v>825</v>
      </c>
      <c r="T170">
        <v>0</v>
      </c>
      <c r="U170">
        <v>0</v>
      </c>
      <c r="V170">
        <v>50</v>
      </c>
      <c r="W170">
        <v>131</v>
      </c>
      <c r="X170">
        <v>331</v>
      </c>
      <c r="Y170">
        <v>16</v>
      </c>
      <c r="Z170" t="e">
        <f t="shared" si="4"/>
        <v>#N/A</v>
      </c>
    </row>
    <row r="171" spans="1:26" x14ac:dyDescent="0.25">
      <c r="A171" t="s">
        <v>1932</v>
      </c>
      <c r="B171">
        <v>53033022604</v>
      </c>
      <c r="C171" t="s">
        <v>1933</v>
      </c>
      <c r="D171">
        <v>4895</v>
      </c>
      <c r="E171">
        <v>3613</v>
      </c>
      <c r="F171">
        <v>1282</v>
      </c>
      <c r="G171">
        <v>4895</v>
      </c>
      <c r="H171">
        <v>3613</v>
      </c>
      <c r="I171">
        <v>1282</v>
      </c>
      <c r="J171">
        <v>2856</v>
      </c>
      <c r="K171">
        <v>496</v>
      </c>
      <c r="L171">
        <v>231</v>
      </c>
      <c r="M171">
        <v>158</v>
      </c>
      <c r="N171">
        <v>0</v>
      </c>
      <c r="O171">
        <v>0</v>
      </c>
      <c r="P171">
        <v>0</v>
      </c>
      <c r="Q171">
        <v>0</v>
      </c>
      <c r="R171">
        <v>261</v>
      </c>
      <c r="S171">
        <v>555</v>
      </c>
      <c r="T171">
        <v>0</v>
      </c>
      <c r="U171">
        <v>15</v>
      </c>
      <c r="V171">
        <v>0</v>
      </c>
      <c r="W171">
        <v>0</v>
      </c>
      <c r="X171">
        <v>265</v>
      </c>
      <c r="Y171">
        <v>58</v>
      </c>
      <c r="Z171" t="e">
        <f t="shared" si="4"/>
        <v>#N/A</v>
      </c>
    </row>
    <row r="172" spans="1:26" x14ac:dyDescent="0.25">
      <c r="A172" t="s">
        <v>1934</v>
      </c>
      <c r="B172">
        <v>53033022605</v>
      </c>
      <c r="C172" t="s">
        <v>1935</v>
      </c>
      <c r="D172">
        <v>6217</v>
      </c>
      <c r="E172">
        <v>3817</v>
      </c>
      <c r="F172">
        <v>2400</v>
      </c>
      <c r="G172">
        <v>6217</v>
      </c>
      <c r="H172">
        <v>3817</v>
      </c>
      <c r="I172">
        <v>2400</v>
      </c>
      <c r="J172">
        <v>2831</v>
      </c>
      <c r="K172">
        <v>612</v>
      </c>
      <c r="L172">
        <v>242</v>
      </c>
      <c r="M172">
        <v>302</v>
      </c>
      <c r="N172">
        <v>117</v>
      </c>
      <c r="O172">
        <v>0</v>
      </c>
      <c r="P172">
        <v>0</v>
      </c>
      <c r="Q172">
        <v>0</v>
      </c>
      <c r="R172">
        <v>374</v>
      </c>
      <c r="S172">
        <v>1246</v>
      </c>
      <c r="T172">
        <v>0</v>
      </c>
      <c r="U172">
        <v>0</v>
      </c>
      <c r="V172">
        <v>122</v>
      </c>
      <c r="W172">
        <v>224</v>
      </c>
      <c r="X172">
        <v>131</v>
      </c>
      <c r="Y172">
        <v>16</v>
      </c>
      <c r="Z172" t="e">
        <f t="shared" si="4"/>
        <v>#N/A</v>
      </c>
    </row>
    <row r="173" spans="1:26" x14ac:dyDescent="0.25">
      <c r="A173" t="s">
        <v>1936</v>
      </c>
      <c r="B173">
        <v>53033022606</v>
      </c>
      <c r="C173" t="s">
        <v>1937</v>
      </c>
      <c r="D173">
        <v>5653</v>
      </c>
      <c r="E173">
        <v>3803</v>
      </c>
      <c r="F173">
        <v>1850</v>
      </c>
      <c r="G173">
        <v>5653</v>
      </c>
      <c r="H173">
        <v>3803</v>
      </c>
      <c r="I173">
        <v>1850</v>
      </c>
      <c r="J173">
        <v>3035</v>
      </c>
      <c r="K173">
        <v>559</v>
      </c>
      <c r="L173">
        <v>188</v>
      </c>
      <c r="M173">
        <v>283</v>
      </c>
      <c r="N173">
        <v>75</v>
      </c>
      <c r="O173">
        <v>0</v>
      </c>
      <c r="P173">
        <v>18</v>
      </c>
      <c r="Q173">
        <v>0</v>
      </c>
      <c r="R173">
        <v>381</v>
      </c>
      <c r="S173">
        <v>964</v>
      </c>
      <c r="T173">
        <v>0</v>
      </c>
      <c r="U173">
        <v>0</v>
      </c>
      <c r="V173">
        <v>27</v>
      </c>
      <c r="W173">
        <v>23</v>
      </c>
      <c r="X173">
        <v>79</v>
      </c>
      <c r="Y173">
        <v>21</v>
      </c>
      <c r="Z173" t="e">
        <f t="shared" si="4"/>
        <v>#N/A</v>
      </c>
    </row>
    <row r="174" spans="1:26" x14ac:dyDescent="0.25">
      <c r="A174" t="s">
        <v>1938</v>
      </c>
      <c r="B174">
        <v>53033022701</v>
      </c>
      <c r="C174" t="s">
        <v>1939</v>
      </c>
      <c r="D174">
        <v>2923</v>
      </c>
      <c r="E174">
        <v>2058</v>
      </c>
      <c r="F174">
        <v>865</v>
      </c>
      <c r="G174">
        <v>2923</v>
      </c>
      <c r="H174">
        <v>2058</v>
      </c>
      <c r="I174">
        <v>865</v>
      </c>
      <c r="J174">
        <v>1772</v>
      </c>
      <c r="K174">
        <v>343</v>
      </c>
      <c r="L174">
        <v>32</v>
      </c>
      <c r="M174">
        <v>87</v>
      </c>
      <c r="N174">
        <v>48</v>
      </c>
      <c r="O174">
        <v>17</v>
      </c>
      <c r="P174">
        <v>0</v>
      </c>
      <c r="Q174">
        <v>0</v>
      </c>
      <c r="R174">
        <v>68</v>
      </c>
      <c r="S174">
        <v>365</v>
      </c>
      <c r="T174">
        <v>0</v>
      </c>
      <c r="U174">
        <v>0</v>
      </c>
      <c r="V174">
        <v>9</v>
      </c>
      <c r="W174">
        <v>0</v>
      </c>
      <c r="X174">
        <v>129</v>
      </c>
      <c r="Y174">
        <v>53</v>
      </c>
      <c r="Z174" t="e">
        <f t="shared" si="4"/>
        <v>#N/A</v>
      </c>
    </row>
    <row r="175" spans="1:26" x14ac:dyDescent="0.25">
      <c r="A175" t="s">
        <v>1940</v>
      </c>
      <c r="B175">
        <v>53033022702</v>
      </c>
      <c r="C175" t="s">
        <v>1941</v>
      </c>
      <c r="D175">
        <v>4153</v>
      </c>
      <c r="E175">
        <v>3390</v>
      </c>
      <c r="F175">
        <v>763</v>
      </c>
      <c r="G175">
        <v>4153</v>
      </c>
      <c r="H175">
        <v>3390</v>
      </c>
      <c r="I175">
        <v>763</v>
      </c>
      <c r="J175">
        <v>2913</v>
      </c>
      <c r="K175">
        <v>450</v>
      </c>
      <c r="L175">
        <v>70</v>
      </c>
      <c r="M175">
        <v>21</v>
      </c>
      <c r="N175">
        <v>30</v>
      </c>
      <c r="O175">
        <v>9</v>
      </c>
      <c r="P175">
        <v>4</v>
      </c>
      <c r="Q175">
        <v>0</v>
      </c>
      <c r="R175">
        <v>127</v>
      </c>
      <c r="S175">
        <v>259</v>
      </c>
      <c r="T175">
        <v>19</v>
      </c>
      <c r="U175">
        <v>10</v>
      </c>
      <c r="V175">
        <v>14</v>
      </c>
      <c r="W175">
        <v>0</v>
      </c>
      <c r="X175">
        <v>213</v>
      </c>
      <c r="Y175">
        <v>14</v>
      </c>
      <c r="Z175" t="e">
        <f t="shared" si="4"/>
        <v>#N/A</v>
      </c>
    </row>
    <row r="176" spans="1:26" x14ac:dyDescent="0.25">
      <c r="A176" t="s">
        <v>1942</v>
      </c>
      <c r="B176">
        <v>53033022703</v>
      </c>
      <c r="C176" t="s">
        <v>1943</v>
      </c>
      <c r="D176">
        <v>2392</v>
      </c>
      <c r="E176">
        <v>1733</v>
      </c>
      <c r="F176">
        <v>659</v>
      </c>
      <c r="G176">
        <v>2392</v>
      </c>
      <c r="H176">
        <v>1733</v>
      </c>
      <c r="I176">
        <v>659</v>
      </c>
      <c r="J176">
        <v>1355</v>
      </c>
      <c r="K176">
        <v>340</v>
      </c>
      <c r="L176">
        <v>57</v>
      </c>
      <c r="M176">
        <v>28</v>
      </c>
      <c r="N176">
        <v>74</v>
      </c>
      <c r="O176">
        <v>22</v>
      </c>
      <c r="P176">
        <v>0</v>
      </c>
      <c r="Q176">
        <v>0</v>
      </c>
      <c r="R176">
        <v>148</v>
      </c>
      <c r="S176">
        <v>268</v>
      </c>
      <c r="T176">
        <v>0</v>
      </c>
      <c r="U176">
        <v>0</v>
      </c>
      <c r="V176">
        <v>0</v>
      </c>
      <c r="W176">
        <v>1</v>
      </c>
      <c r="X176">
        <v>99</v>
      </c>
      <c r="Y176">
        <v>0</v>
      </c>
      <c r="Z176" t="e">
        <f t="shared" si="4"/>
        <v>#N/A</v>
      </c>
    </row>
    <row r="177" spans="1:26" x14ac:dyDescent="0.25">
      <c r="A177" t="s">
        <v>1944</v>
      </c>
      <c r="B177">
        <v>53033022801</v>
      </c>
      <c r="C177" t="s">
        <v>1945</v>
      </c>
      <c r="D177">
        <v>8719</v>
      </c>
      <c r="E177">
        <v>3441</v>
      </c>
      <c r="F177">
        <v>5278</v>
      </c>
      <c r="G177">
        <v>8719</v>
      </c>
      <c r="H177">
        <v>3441</v>
      </c>
      <c r="I177">
        <v>5278</v>
      </c>
      <c r="J177">
        <v>2262</v>
      </c>
      <c r="K177">
        <v>998</v>
      </c>
      <c r="L177">
        <v>176</v>
      </c>
      <c r="M177">
        <v>223</v>
      </c>
      <c r="N177">
        <v>253</v>
      </c>
      <c r="O177">
        <v>173</v>
      </c>
      <c r="P177">
        <v>41</v>
      </c>
      <c r="Q177">
        <v>0</v>
      </c>
      <c r="R177">
        <v>514</v>
      </c>
      <c r="S177">
        <v>3771</v>
      </c>
      <c r="T177">
        <v>0</v>
      </c>
      <c r="U177">
        <v>0</v>
      </c>
      <c r="V177">
        <v>15</v>
      </c>
      <c r="W177">
        <v>30</v>
      </c>
      <c r="X177">
        <v>180</v>
      </c>
      <c r="Y177">
        <v>83</v>
      </c>
      <c r="Z177" t="e">
        <f t="shared" si="4"/>
        <v>#N/A</v>
      </c>
    </row>
    <row r="178" spans="1:26" x14ac:dyDescent="0.25">
      <c r="A178" t="s">
        <v>1946</v>
      </c>
      <c r="B178">
        <v>53033022802</v>
      </c>
      <c r="C178" t="s">
        <v>1947</v>
      </c>
      <c r="D178">
        <v>5030</v>
      </c>
      <c r="E178">
        <v>3231</v>
      </c>
      <c r="F178">
        <v>1799</v>
      </c>
      <c r="G178">
        <v>5030</v>
      </c>
      <c r="H178">
        <v>3231</v>
      </c>
      <c r="I178">
        <v>1799</v>
      </c>
      <c r="J178">
        <v>2517</v>
      </c>
      <c r="K178">
        <v>666</v>
      </c>
      <c r="L178">
        <v>54</v>
      </c>
      <c r="M178">
        <v>68</v>
      </c>
      <c r="N178">
        <v>70</v>
      </c>
      <c r="O178">
        <v>0</v>
      </c>
      <c r="P178">
        <v>0</v>
      </c>
      <c r="Q178">
        <v>0</v>
      </c>
      <c r="R178">
        <v>428</v>
      </c>
      <c r="S178">
        <v>1047</v>
      </c>
      <c r="T178">
        <v>0</v>
      </c>
      <c r="U178">
        <v>3</v>
      </c>
      <c r="V178">
        <v>18</v>
      </c>
      <c r="W178">
        <v>9</v>
      </c>
      <c r="X178">
        <v>144</v>
      </c>
      <c r="Y178">
        <v>6</v>
      </c>
      <c r="Z178" t="e">
        <f t="shared" si="4"/>
        <v>#N/A</v>
      </c>
    </row>
    <row r="179" spans="1:26" x14ac:dyDescent="0.25">
      <c r="A179" t="s">
        <v>1948</v>
      </c>
      <c r="B179">
        <v>53033022803</v>
      </c>
      <c r="C179" t="s">
        <v>1949</v>
      </c>
      <c r="D179">
        <v>5556</v>
      </c>
      <c r="E179">
        <v>2168</v>
      </c>
      <c r="F179">
        <v>3388</v>
      </c>
      <c r="G179">
        <v>5556</v>
      </c>
      <c r="H179">
        <v>2168</v>
      </c>
      <c r="I179">
        <v>3388</v>
      </c>
      <c r="J179">
        <v>1431</v>
      </c>
      <c r="K179">
        <v>600</v>
      </c>
      <c r="L179">
        <v>0</v>
      </c>
      <c r="M179">
        <v>99</v>
      </c>
      <c r="N179">
        <v>25</v>
      </c>
      <c r="O179">
        <v>24</v>
      </c>
      <c r="P179">
        <v>16</v>
      </c>
      <c r="Q179">
        <v>0</v>
      </c>
      <c r="R179">
        <v>399</v>
      </c>
      <c r="S179">
        <v>2443</v>
      </c>
      <c r="T179">
        <v>68</v>
      </c>
      <c r="U179">
        <v>41</v>
      </c>
      <c r="V179">
        <v>0</v>
      </c>
      <c r="W179">
        <v>108</v>
      </c>
      <c r="X179">
        <v>229</v>
      </c>
      <c r="Y179">
        <v>73</v>
      </c>
      <c r="Z179" t="e">
        <f t="shared" si="4"/>
        <v>#N/A</v>
      </c>
    </row>
    <row r="180" spans="1:26" x14ac:dyDescent="0.25">
      <c r="A180" t="s">
        <v>1950</v>
      </c>
      <c r="B180">
        <v>53033022901</v>
      </c>
      <c r="C180" t="s">
        <v>1951</v>
      </c>
      <c r="D180">
        <v>2963</v>
      </c>
      <c r="E180">
        <v>2077</v>
      </c>
      <c r="F180">
        <v>886</v>
      </c>
      <c r="G180">
        <v>2963</v>
      </c>
      <c r="H180">
        <v>2077</v>
      </c>
      <c r="I180">
        <v>886</v>
      </c>
      <c r="J180">
        <v>1446</v>
      </c>
      <c r="K180">
        <v>251</v>
      </c>
      <c r="L180">
        <v>258</v>
      </c>
      <c r="M180">
        <v>53</v>
      </c>
      <c r="N180">
        <v>52</v>
      </c>
      <c r="O180">
        <v>0</v>
      </c>
      <c r="P180">
        <v>0</v>
      </c>
      <c r="Q180">
        <v>0</v>
      </c>
      <c r="R180">
        <v>255</v>
      </c>
      <c r="S180">
        <v>570</v>
      </c>
      <c r="T180">
        <v>0</v>
      </c>
      <c r="U180">
        <v>0</v>
      </c>
      <c r="V180">
        <v>0</v>
      </c>
      <c r="W180">
        <v>0</v>
      </c>
      <c r="X180">
        <v>66</v>
      </c>
      <c r="Y180">
        <v>12</v>
      </c>
      <c r="Z180" t="e">
        <f t="shared" si="4"/>
        <v>#N/A</v>
      </c>
    </row>
    <row r="181" spans="1:26" x14ac:dyDescent="0.25">
      <c r="A181" t="s">
        <v>1952</v>
      </c>
      <c r="B181">
        <v>53033022902</v>
      </c>
      <c r="C181" t="s">
        <v>1953</v>
      </c>
      <c r="D181">
        <v>6490</v>
      </c>
      <c r="E181">
        <v>3882</v>
      </c>
      <c r="F181">
        <v>2608</v>
      </c>
      <c r="G181">
        <v>6490</v>
      </c>
      <c r="H181">
        <v>3882</v>
      </c>
      <c r="I181">
        <v>2608</v>
      </c>
      <c r="J181">
        <v>3190</v>
      </c>
      <c r="K181">
        <v>836</v>
      </c>
      <c r="L181">
        <v>69</v>
      </c>
      <c r="M181">
        <v>38</v>
      </c>
      <c r="N181">
        <v>61</v>
      </c>
      <c r="O181">
        <v>4</v>
      </c>
      <c r="P181">
        <v>0</v>
      </c>
      <c r="Q181">
        <v>0</v>
      </c>
      <c r="R181">
        <v>398</v>
      </c>
      <c r="S181">
        <v>1646</v>
      </c>
      <c r="T181">
        <v>0</v>
      </c>
      <c r="U181">
        <v>0</v>
      </c>
      <c r="V181">
        <v>19</v>
      </c>
      <c r="W181">
        <v>24</v>
      </c>
      <c r="X181">
        <v>145</v>
      </c>
      <c r="Y181">
        <v>60</v>
      </c>
      <c r="Z181" t="e">
        <f t="shared" si="4"/>
        <v>#N/A</v>
      </c>
    </row>
    <row r="182" spans="1:26" x14ac:dyDescent="0.25">
      <c r="A182" t="s">
        <v>1954</v>
      </c>
      <c r="B182">
        <v>53033023000</v>
      </c>
      <c r="C182" t="s">
        <v>1955</v>
      </c>
      <c r="D182">
        <v>5179</v>
      </c>
      <c r="E182">
        <v>3529</v>
      </c>
      <c r="F182">
        <v>1650</v>
      </c>
      <c r="G182">
        <v>5179</v>
      </c>
      <c r="H182">
        <v>3529</v>
      </c>
      <c r="I182">
        <v>1650</v>
      </c>
      <c r="J182">
        <v>2946</v>
      </c>
      <c r="K182">
        <v>704</v>
      </c>
      <c r="L182">
        <v>76</v>
      </c>
      <c r="M182">
        <v>139</v>
      </c>
      <c r="N182">
        <v>47</v>
      </c>
      <c r="O182">
        <v>64</v>
      </c>
      <c r="P182">
        <v>22</v>
      </c>
      <c r="Q182">
        <v>0</v>
      </c>
      <c r="R182">
        <v>245</v>
      </c>
      <c r="S182">
        <v>637</v>
      </c>
      <c r="T182">
        <v>1</v>
      </c>
      <c r="U182">
        <v>0</v>
      </c>
      <c r="V182">
        <v>35</v>
      </c>
      <c r="W182">
        <v>29</v>
      </c>
      <c r="X182">
        <v>157</v>
      </c>
      <c r="Y182">
        <v>77</v>
      </c>
      <c r="Z182" t="e">
        <f t="shared" si="4"/>
        <v>#N/A</v>
      </c>
    </row>
    <row r="183" spans="1:26" x14ac:dyDescent="0.25">
      <c r="A183" t="s">
        <v>1956</v>
      </c>
      <c r="B183">
        <v>53033023100</v>
      </c>
      <c r="C183" t="s">
        <v>1957</v>
      </c>
      <c r="D183">
        <v>4046</v>
      </c>
      <c r="E183">
        <v>2565</v>
      </c>
      <c r="F183">
        <v>1481</v>
      </c>
      <c r="G183">
        <v>4046</v>
      </c>
      <c r="H183">
        <v>2565</v>
      </c>
      <c r="I183">
        <v>1481</v>
      </c>
      <c r="J183">
        <v>1858</v>
      </c>
      <c r="K183">
        <v>469</v>
      </c>
      <c r="L183">
        <v>93</v>
      </c>
      <c r="M183">
        <v>128</v>
      </c>
      <c r="N183">
        <v>89</v>
      </c>
      <c r="O183">
        <v>0</v>
      </c>
      <c r="P183">
        <v>0</v>
      </c>
      <c r="Q183">
        <v>0</v>
      </c>
      <c r="R183">
        <v>310</v>
      </c>
      <c r="S183">
        <v>784</v>
      </c>
      <c r="T183">
        <v>0</v>
      </c>
      <c r="U183">
        <v>0</v>
      </c>
      <c r="V183">
        <v>0</v>
      </c>
      <c r="W183">
        <v>83</v>
      </c>
      <c r="X183">
        <v>215</v>
      </c>
      <c r="Y183">
        <v>17</v>
      </c>
      <c r="Z183" t="e">
        <f t="shared" si="4"/>
        <v>#N/A</v>
      </c>
    </row>
    <row r="184" spans="1:26" x14ac:dyDescent="0.25">
      <c r="A184" t="s">
        <v>1958</v>
      </c>
      <c r="B184">
        <v>53033023201</v>
      </c>
      <c r="C184" t="s">
        <v>1959</v>
      </c>
      <c r="D184">
        <v>6885</v>
      </c>
      <c r="E184">
        <v>2268</v>
      </c>
      <c r="F184">
        <v>4617</v>
      </c>
      <c r="G184">
        <v>6885</v>
      </c>
      <c r="H184">
        <v>2268</v>
      </c>
      <c r="I184">
        <v>4617</v>
      </c>
      <c r="J184">
        <v>1568</v>
      </c>
      <c r="K184">
        <v>525</v>
      </c>
      <c r="L184">
        <v>89</v>
      </c>
      <c r="M184">
        <v>177</v>
      </c>
      <c r="N184">
        <v>38</v>
      </c>
      <c r="O184">
        <v>18</v>
      </c>
      <c r="P184">
        <v>5</v>
      </c>
      <c r="Q184">
        <v>0</v>
      </c>
      <c r="R184">
        <v>425</v>
      </c>
      <c r="S184">
        <v>3775</v>
      </c>
      <c r="T184">
        <v>0</v>
      </c>
      <c r="U184">
        <v>0</v>
      </c>
      <c r="V184">
        <v>12</v>
      </c>
      <c r="W184">
        <v>15</v>
      </c>
      <c r="X184">
        <v>131</v>
      </c>
      <c r="Y184">
        <v>107</v>
      </c>
      <c r="Z184" t="e">
        <f t="shared" si="4"/>
        <v>#N/A</v>
      </c>
    </row>
    <row r="185" spans="1:26" x14ac:dyDescent="0.25">
      <c r="A185" t="s">
        <v>1960</v>
      </c>
      <c r="B185">
        <v>53033023202</v>
      </c>
      <c r="C185" t="s">
        <v>1961</v>
      </c>
      <c r="D185">
        <v>4605</v>
      </c>
      <c r="E185">
        <v>2135</v>
      </c>
      <c r="F185">
        <v>2470</v>
      </c>
      <c r="G185">
        <v>4605</v>
      </c>
      <c r="H185">
        <v>2135</v>
      </c>
      <c r="I185">
        <v>2470</v>
      </c>
      <c r="J185">
        <v>1197</v>
      </c>
      <c r="K185">
        <v>423</v>
      </c>
      <c r="L185">
        <v>323</v>
      </c>
      <c r="M185">
        <v>450</v>
      </c>
      <c r="N185">
        <v>75</v>
      </c>
      <c r="O185">
        <v>412</v>
      </c>
      <c r="P185">
        <v>13</v>
      </c>
      <c r="Q185">
        <v>0</v>
      </c>
      <c r="R185">
        <v>312</v>
      </c>
      <c r="S185">
        <v>1030</v>
      </c>
      <c r="T185">
        <v>0</v>
      </c>
      <c r="U185">
        <v>0</v>
      </c>
      <c r="V185">
        <v>51</v>
      </c>
      <c r="W185">
        <v>155</v>
      </c>
      <c r="X185">
        <v>164</v>
      </c>
      <c r="Y185">
        <v>0</v>
      </c>
      <c r="Z185" t="e">
        <f t="shared" si="4"/>
        <v>#N/A</v>
      </c>
    </row>
    <row r="186" spans="1:26" x14ac:dyDescent="0.25">
      <c r="A186" t="s">
        <v>1962</v>
      </c>
      <c r="B186">
        <v>53033023300</v>
      </c>
      <c r="C186" t="s">
        <v>1963</v>
      </c>
      <c r="D186">
        <v>6534</v>
      </c>
      <c r="E186">
        <v>4584</v>
      </c>
      <c r="F186">
        <v>1950</v>
      </c>
      <c r="G186">
        <v>6534</v>
      </c>
      <c r="H186">
        <v>4584</v>
      </c>
      <c r="I186">
        <v>1950</v>
      </c>
      <c r="J186">
        <v>3578</v>
      </c>
      <c r="K186">
        <v>622</v>
      </c>
      <c r="L186">
        <v>409</v>
      </c>
      <c r="M186">
        <v>261</v>
      </c>
      <c r="N186">
        <v>6</v>
      </c>
      <c r="O186">
        <v>0</v>
      </c>
      <c r="P186">
        <v>69</v>
      </c>
      <c r="Q186">
        <v>0</v>
      </c>
      <c r="R186">
        <v>290</v>
      </c>
      <c r="S186">
        <v>903</v>
      </c>
      <c r="T186">
        <v>0</v>
      </c>
      <c r="U186">
        <v>0</v>
      </c>
      <c r="V186">
        <v>107</v>
      </c>
      <c r="W186">
        <v>152</v>
      </c>
      <c r="X186">
        <v>125</v>
      </c>
      <c r="Y186">
        <v>12</v>
      </c>
      <c r="Z186" t="e">
        <f t="shared" si="4"/>
        <v>#N/A</v>
      </c>
    </row>
    <row r="187" spans="1:26" x14ac:dyDescent="0.25">
      <c r="A187" t="s">
        <v>1964</v>
      </c>
      <c r="B187">
        <v>53033023401</v>
      </c>
      <c r="C187" t="s">
        <v>1965</v>
      </c>
      <c r="D187">
        <v>3821</v>
      </c>
      <c r="E187">
        <v>2341</v>
      </c>
      <c r="F187">
        <v>1480</v>
      </c>
      <c r="G187">
        <v>3821</v>
      </c>
      <c r="H187">
        <v>2341</v>
      </c>
      <c r="I187">
        <v>1480</v>
      </c>
      <c r="J187">
        <v>1649</v>
      </c>
      <c r="K187">
        <v>294</v>
      </c>
      <c r="L187">
        <v>99</v>
      </c>
      <c r="M187">
        <v>76</v>
      </c>
      <c r="N187">
        <v>74</v>
      </c>
      <c r="O187">
        <v>18</v>
      </c>
      <c r="P187">
        <v>22</v>
      </c>
      <c r="Q187">
        <v>0</v>
      </c>
      <c r="R187">
        <v>255</v>
      </c>
      <c r="S187">
        <v>1051</v>
      </c>
      <c r="T187">
        <v>16</v>
      </c>
      <c r="U187">
        <v>7</v>
      </c>
      <c r="V187">
        <v>3</v>
      </c>
      <c r="W187">
        <v>15</v>
      </c>
      <c r="X187">
        <v>223</v>
      </c>
      <c r="Y187">
        <v>19</v>
      </c>
      <c r="Z187" t="e">
        <f t="shared" si="4"/>
        <v>#N/A</v>
      </c>
    </row>
    <row r="188" spans="1:26" x14ac:dyDescent="0.25">
      <c r="A188" t="s">
        <v>2388</v>
      </c>
      <c r="B188">
        <v>53033023403</v>
      </c>
      <c r="C188" t="s">
        <v>2389</v>
      </c>
      <c r="D188">
        <v>4119</v>
      </c>
      <c r="E188">
        <v>2912</v>
      </c>
      <c r="F188">
        <v>1207</v>
      </c>
      <c r="G188">
        <v>4119</v>
      </c>
      <c r="H188">
        <v>2912</v>
      </c>
      <c r="I188">
        <v>1207</v>
      </c>
      <c r="J188">
        <v>2354</v>
      </c>
      <c r="K188">
        <v>391</v>
      </c>
      <c r="L188">
        <v>100</v>
      </c>
      <c r="M188">
        <v>32</v>
      </c>
      <c r="N188">
        <v>15</v>
      </c>
      <c r="O188">
        <v>0</v>
      </c>
      <c r="P188">
        <v>0</v>
      </c>
      <c r="Q188">
        <v>0</v>
      </c>
      <c r="R188">
        <v>253</v>
      </c>
      <c r="S188">
        <v>721</v>
      </c>
      <c r="T188">
        <v>0</v>
      </c>
      <c r="U188">
        <v>15</v>
      </c>
      <c r="V188">
        <v>2</v>
      </c>
      <c r="W188">
        <v>9</v>
      </c>
      <c r="X188">
        <v>188</v>
      </c>
      <c r="Y188">
        <v>39</v>
      </c>
      <c r="Z188" t="e">
        <f t="shared" si="4"/>
        <v>#N/A</v>
      </c>
    </row>
    <row r="189" spans="1:26" x14ac:dyDescent="0.25">
      <c r="A189" t="s">
        <v>2390</v>
      </c>
      <c r="B189">
        <v>53033023404</v>
      </c>
      <c r="C189" t="s">
        <v>2391</v>
      </c>
      <c r="D189">
        <v>3436</v>
      </c>
      <c r="E189">
        <v>2860</v>
      </c>
      <c r="F189">
        <v>576</v>
      </c>
      <c r="G189">
        <v>3436</v>
      </c>
      <c r="H189">
        <v>2860</v>
      </c>
      <c r="I189">
        <v>576</v>
      </c>
      <c r="J189">
        <v>2544</v>
      </c>
      <c r="K189">
        <v>279</v>
      </c>
      <c r="L189">
        <v>94</v>
      </c>
      <c r="M189">
        <v>44</v>
      </c>
      <c r="N189">
        <v>10</v>
      </c>
      <c r="O189">
        <v>6</v>
      </c>
      <c r="P189">
        <v>0</v>
      </c>
      <c r="Q189">
        <v>0</v>
      </c>
      <c r="R189">
        <v>136</v>
      </c>
      <c r="S189">
        <v>207</v>
      </c>
      <c r="T189">
        <v>0</v>
      </c>
      <c r="U189">
        <v>0</v>
      </c>
      <c r="V189">
        <v>11</v>
      </c>
      <c r="W189">
        <v>8</v>
      </c>
      <c r="X189">
        <v>65</v>
      </c>
      <c r="Y189">
        <v>32</v>
      </c>
      <c r="Z189" t="e">
        <f t="shared" si="4"/>
        <v>#N/A</v>
      </c>
    </row>
    <row r="190" spans="1:26" x14ac:dyDescent="0.25">
      <c r="A190" t="s">
        <v>1968</v>
      </c>
      <c r="B190">
        <v>53033023500</v>
      </c>
      <c r="C190" t="s">
        <v>1969</v>
      </c>
      <c r="D190">
        <v>3740</v>
      </c>
      <c r="E190">
        <v>2673</v>
      </c>
      <c r="F190">
        <v>1067</v>
      </c>
      <c r="G190">
        <v>3740</v>
      </c>
      <c r="H190">
        <v>2673</v>
      </c>
      <c r="I190">
        <v>1067</v>
      </c>
      <c r="J190">
        <v>1873</v>
      </c>
      <c r="K190">
        <v>249</v>
      </c>
      <c r="L190">
        <v>31</v>
      </c>
      <c r="M190">
        <v>48</v>
      </c>
      <c r="N190">
        <v>74</v>
      </c>
      <c r="O190">
        <v>34</v>
      </c>
      <c r="P190">
        <v>10</v>
      </c>
      <c r="Q190">
        <v>0</v>
      </c>
      <c r="R190">
        <v>415</v>
      </c>
      <c r="S190">
        <v>736</v>
      </c>
      <c r="T190">
        <v>0</v>
      </c>
      <c r="U190">
        <v>0</v>
      </c>
      <c r="V190">
        <v>26</v>
      </c>
      <c r="W190">
        <v>0</v>
      </c>
      <c r="X190">
        <v>244</v>
      </c>
      <c r="Y190">
        <v>0</v>
      </c>
      <c r="Z190" t="e">
        <f t="shared" si="4"/>
        <v>#N/A</v>
      </c>
    </row>
    <row r="191" spans="1:26" x14ac:dyDescent="0.25">
      <c r="A191" t="s">
        <v>1970</v>
      </c>
      <c r="B191">
        <v>53033023601</v>
      </c>
      <c r="C191" t="s">
        <v>1971</v>
      </c>
      <c r="D191">
        <v>4042</v>
      </c>
      <c r="E191">
        <v>2439</v>
      </c>
      <c r="F191">
        <v>1603</v>
      </c>
      <c r="G191">
        <v>4042</v>
      </c>
      <c r="H191">
        <v>2439</v>
      </c>
      <c r="I191">
        <v>1603</v>
      </c>
      <c r="J191">
        <v>1459</v>
      </c>
      <c r="K191">
        <v>421</v>
      </c>
      <c r="L191">
        <v>183</v>
      </c>
      <c r="M191">
        <v>149</v>
      </c>
      <c r="N191">
        <v>47</v>
      </c>
      <c r="O191">
        <v>210</v>
      </c>
      <c r="P191">
        <v>13</v>
      </c>
      <c r="Q191">
        <v>0</v>
      </c>
      <c r="R191">
        <v>413</v>
      </c>
      <c r="S191">
        <v>814</v>
      </c>
      <c r="T191">
        <v>0</v>
      </c>
      <c r="U191">
        <v>0</v>
      </c>
      <c r="V191">
        <v>16</v>
      </c>
      <c r="W191">
        <v>1</v>
      </c>
      <c r="X191">
        <v>308</v>
      </c>
      <c r="Y191">
        <v>8</v>
      </c>
      <c r="Z191" t="e">
        <f t="shared" si="4"/>
        <v>#N/A</v>
      </c>
    </row>
    <row r="192" spans="1:26" x14ac:dyDescent="0.25">
      <c r="A192" t="s">
        <v>1972</v>
      </c>
      <c r="B192">
        <v>53033023603</v>
      </c>
      <c r="C192" t="s">
        <v>1973</v>
      </c>
      <c r="D192">
        <v>6657</v>
      </c>
      <c r="E192">
        <v>2888</v>
      </c>
      <c r="F192">
        <v>3769</v>
      </c>
      <c r="G192">
        <v>6657</v>
      </c>
      <c r="H192">
        <v>2888</v>
      </c>
      <c r="I192">
        <v>3769</v>
      </c>
      <c r="J192">
        <v>1841</v>
      </c>
      <c r="K192">
        <v>588</v>
      </c>
      <c r="L192">
        <v>138</v>
      </c>
      <c r="M192">
        <v>426</v>
      </c>
      <c r="N192">
        <v>41</v>
      </c>
      <c r="O192">
        <v>57</v>
      </c>
      <c r="P192">
        <v>0</v>
      </c>
      <c r="Q192">
        <v>0</v>
      </c>
      <c r="R192">
        <v>626</v>
      </c>
      <c r="S192">
        <v>2536</v>
      </c>
      <c r="T192">
        <v>0</v>
      </c>
      <c r="U192">
        <v>0</v>
      </c>
      <c r="V192">
        <v>55</v>
      </c>
      <c r="W192">
        <v>145</v>
      </c>
      <c r="X192">
        <v>187</v>
      </c>
      <c r="Y192">
        <v>17</v>
      </c>
      <c r="Z192" t="e">
        <f t="shared" si="4"/>
        <v>#N/A</v>
      </c>
    </row>
    <row r="193" spans="1:26" x14ac:dyDescent="0.25">
      <c r="A193" t="s">
        <v>1974</v>
      </c>
      <c r="B193">
        <v>53033023604</v>
      </c>
      <c r="C193" t="s">
        <v>1975</v>
      </c>
      <c r="D193">
        <v>6744</v>
      </c>
      <c r="E193">
        <v>3746</v>
      </c>
      <c r="F193">
        <v>2998</v>
      </c>
      <c r="G193">
        <v>6744</v>
      </c>
      <c r="H193">
        <v>3746</v>
      </c>
      <c r="I193">
        <v>2998</v>
      </c>
      <c r="J193">
        <v>2193</v>
      </c>
      <c r="K193">
        <v>608</v>
      </c>
      <c r="L193">
        <v>111</v>
      </c>
      <c r="M193">
        <v>214</v>
      </c>
      <c r="N193">
        <v>331</v>
      </c>
      <c r="O193">
        <v>79</v>
      </c>
      <c r="P193">
        <v>17</v>
      </c>
      <c r="Q193">
        <v>0</v>
      </c>
      <c r="R193">
        <v>469</v>
      </c>
      <c r="S193">
        <v>1448</v>
      </c>
      <c r="T193">
        <v>179</v>
      </c>
      <c r="U193">
        <v>38</v>
      </c>
      <c r="V193">
        <v>202</v>
      </c>
      <c r="W193">
        <v>564</v>
      </c>
      <c r="X193">
        <v>244</v>
      </c>
      <c r="Y193">
        <v>47</v>
      </c>
      <c r="Z193" t="e">
        <f t="shared" si="4"/>
        <v>#N/A</v>
      </c>
    </row>
    <row r="194" spans="1:26" x14ac:dyDescent="0.25">
      <c r="A194" t="s">
        <v>1976</v>
      </c>
      <c r="B194">
        <v>53033023700</v>
      </c>
      <c r="C194" t="s">
        <v>1977</v>
      </c>
      <c r="D194">
        <v>4322</v>
      </c>
      <c r="E194">
        <v>3079</v>
      </c>
      <c r="F194">
        <v>1243</v>
      </c>
      <c r="G194">
        <v>4322</v>
      </c>
      <c r="H194">
        <v>3079</v>
      </c>
      <c r="I194">
        <v>1243</v>
      </c>
      <c r="J194">
        <v>2378</v>
      </c>
      <c r="K194">
        <v>341</v>
      </c>
      <c r="L194">
        <v>85</v>
      </c>
      <c r="M194">
        <v>28</v>
      </c>
      <c r="N194">
        <v>51</v>
      </c>
      <c r="O194">
        <v>20</v>
      </c>
      <c r="P194">
        <v>0</v>
      </c>
      <c r="Q194">
        <v>0</v>
      </c>
      <c r="R194">
        <v>333</v>
      </c>
      <c r="S194">
        <v>761</v>
      </c>
      <c r="T194">
        <v>0</v>
      </c>
      <c r="U194">
        <v>0</v>
      </c>
      <c r="V194">
        <v>32</v>
      </c>
      <c r="W194">
        <v>40</v>
      </c>
      <c r="X194">
        <v>200</v>
      </c>
      <c r="Y194">
        <v>53</v>
      </c>
      <c r="Z194" t="e">
        <f t="shared" si="4"/>
        <v>#N/A</v>
      </c>
    </row>
    <row r="195" spans="1:26" x14ac:dyDescent="0.25">
      <c r="A195" t="s">
        <v>1978</v>
      </c>
      <c r="B195">
        <v>53033023801</v>
      </c>
      <c r="C195" t="s">
        <v>1979</v>
      </c>
      <c r="D195">
        <v>2749</v>
      </c>
      <c r="E195">
        <v>1763</v>
      </c>
      <c r="F195">
        <v>986</v>
      </c>
      <c r="G195">
        <v>2749</v>
      </c>
      <c r="H195">
        <v>1763</v>
      </c>
      <c r="I195">
        <v>986</v>
      </c>
      <c r="J195">
        <v>1145</v>
      </c>
      <c r="K195">
        <v>184</v>
      </c>
      <c r="L195">
        <v>160</v>
      </c>
      <c r="M195">
        <v>0</v>
      </c>
      <c r="N195">
        <v>0</v>
      </c>
      <c r="O195">
        <v>13</v>
      </c>
      <c r="P195">
        <v>0</v>
      </c>
      <c r="Q195">
        <v>0</v>
      </c>
      <c r="R195">
        <v>287</v>
      </c>
      <c r="S195">
        <v>726</v>
      </c>
      <c r="T195">
        <v>60</v>
      </c>
      <c r="U195">
        <v>57</v>
      </c>
      <c r="V195">
        <v>7</v>
      </c>
      <c r="W195">
        <v>6</v>
      </c>
      <c r="X195">
        <v>104</v>
      </c>
      <c r="Y195">
        <v>0</v>
      </c>
      <c r="Z195" t="e">
        <f t="shared" ref="Z195:Z258" si="6">VLOOKUP(C195,$AG$2:$AH$133,2,FALSE)</f>
        <v>#N/A</v>
      </c>
    </row>
    <row r="196" spans="1:26" x14ac:dyDescent="0.25">
      <c r="A196" t="s">
        <v>2392</v>
      </c>
      <c r="B196">
        <v>53033023803</v>
      </c>
      <c r="C196" t="s">
        <v>2393</v>
      </c>
      <c r="D196">
        <v>5319</v>
      </c>
      <c r="E196">
        <v>2502</v>
      </c>
      <c r="F196">
        <v>2817</v>
      </c>
      <c r="G196">
        <v>5319</v>
      </c>
      <c r="H196">
        <v>2502</v>
      </c>
      <c r="I196">
        <v>2817</v>
      </c>
      <c r="J196">
        <v>1704</v>
      </c>
      <c r="K196">
        <v>563</v>
      </c>
      <c r="L196">
        <v>108</v>
      </c>
      <c r="M196">
        <v>117</v>
      </c>
      <c r="N196">
        <v>71</v>
      </c>
      <c r="O196">
        <v>26</v>
      </c>
      <c r="P196">
        <v>0</v>
      </c>
      <c r="Q196">
        <v>0</v>
      </c>
      <c r="R196">
        <v>457</v>
      </c>
      <c r="S196">
        <v>1969</v>
      </c>
      <c r="T196">
        <v>0</v>
      </c>
      <c r="U196">
        <v>0</v>
      </c>
      <c r="V196">
        <v>0</v>
      </c>
      <c r="W196">
        <v>22</v>
      </c>
      <c r="X196">
        <v>162</v>
      </c>
      <c r="Y196">
        <v>120</v>
      </c>
      <c r="Z196" t="e">
        <f t="shared" si="6"/>
        <v>#N/A</v>
      </c>
    </row>
    <row r="197" spans="1:26" x14ac:dyDescent="0.25">
      <c r="A197" t="s">
        <v>2394</v>
      </c>
      <c r="B197">
        <v>53033023804</v>
      </c>
      <c r="C197" t="s">
        <v>2395</v>
      </c>
      <c r="D197">
        <v>6841</v>
      </c>
      <c r="E197">
        <v>3549</v>
      </c>
      <c r="F197">
        <v>3292</v>
      </c>
      <c r="G197">
        <v>6841</v>
      </c>
      <c r="H197">
        <v>3549</v>
      </c>
      <c r="I197">
        <v>3292</v>
      </c>
      <c r="J197">
        <v>2645</v>
      </c>
      <c r="K197">
        <v>893</v>
      </c>
      <c r="L197">
        <v>95</v>
      </c>
      <c r="M197">
        <v>35</v>
      </c>
      <c r="N197">
        <v>199</v>
      </c>
      <c r="O197">
        <v>106</v>
      </c>
      <c r="P197">
        <v>0</v>
      </c>
      <c r="Q197">
        <v>17</v>
      </c>
      <c r="R197">
        <v>500</v>
      </c>
      <c r="S197">
        <v>2104</v>
      </c>
      <c r="T197">
        <v>0</v>
      </c>
      <c r="U197">
        <v>0</v>
      </c>
      <c r="V197">
        <v>16</v>
      </c>
      <c r="W197">
        <v>1</v>
      </c>
      <c r="X197">
        <v>94</v>
      </c>
      <c r="Y197">
        <v>136</v>
      </c>
      <c r="Z197" t="e">
        <f t="shared" si="6"/>
        <v>#N/A</v>
      </c>
    </row>
    <row r="198" spans="1:26" x14ac:dyDescent="0.25">
      <c r="A198" t="s">
        <v>1982</v>
      </c>
      <c r="B198">
        <v>53033023900</v>
      </c>
      <c r="C198" t="s">
        <v>1983</v>
      </c>
      <c r="D198">
        <v>7179</v>
      </c>
      <c r="E198">
        <v>5254</v>
      </c>
      <c r="F198">
        <v>1925</v>
      </c>
      <c r="G198">
        <v>7179</v>
      </c>
      <c r="H198">
        <v>5254</v>
      </c>
      <c r="I198">
        <v>1925</v>
      </c>
      <c r="J198">
        <v>4391</v>
      </c>
      <c r="K198">
        <v>513</v>
      </c>
      <c r="L198">
        <v>19</v>
      </c>
      <c r="M198">
        <v>397</v>
      </c>
      <c r="N198">
        <v>97</v>
      </c>
      <c r="O198">
        <v>17</v>
      </c>
      <c r="P198">
        <v>15</v>
      </c>
      <c r="Q198">
        <v>0</v>
      </c>
      <c r="R198">
        <v>476</v>
      </c>
      <c r="S198">
        <v>892</v>
      </c>
      <c r="T198">
        <v>0</v>
      </c>
      <c r="U198">
        <v>0</v>
      </c>
      <c r="V198">
        <v>11</v>
      </c>
      <c r="W198">
        <v>13</v>
      </c>
      <c r="X198">
        <v>245</v>
      </c>
      <c r="Y198">
        <v>93</v>
      </c>
      <c r="Z198" t="e">
        <f t="shared" si="6"/>
        <v>#N/A</v>
      </c>
    </row>
    <row r="199" spans="1:26" x14ac:dyDescent="0.25">
      <c r="A199" t="s">
        <v>1984</v>
      </c>
      <c r="B199">
        <v>53033024000</v>
      </c>
      <c r="C199" t="s">
        <v>1985</v>
      </c>
      <c r="D199">
        <v>7817</v>
      </c>
      <c r="E199">
        <v>5235</v>
      </c>
      <c r="F199">
        <v>2582</v>
      </c>
      <c r="G199">
        <v>7817</v>
      </c>
      <c r="H199">
        <v>5235</v>
      </c>
      <c r="I199">
        <v>2582</v>
      </c>
      <c r="J199">
        <v>3691</v>
      </c>
      <c r="K199">
        <v>851</v>
      </c>
      <c r="L199">
        <v>120</v>
      </c>
      <c r="M199">
        <v>128</v>
      </c>
      <c r="N199">
        <v>0</v>
      </c>
      <c r="O199">
        <v>0</v>
      </c>
      <c r="P199">
        <v>0</v>
      </c>
      <c r="Q199">
        <v>0</v>
      </c>
      <c r="R199">
        <v>764</v>
      </c>
      <c r="S199">
        <v>1476</v>
      </c>
      <c r="T199">
        <v>0</v>
      </c>
      <c r="U199">
        <v>0</v>
      </c>
      <c r="V199">
        <v>19</v>
      </c>
      <c r="W199">
        <v>53</v>
      </c>
      <c r="X199">
        <v>641</v>
      </c>
      <c r="Y199">
        <v>74</v>
      </c>
      <c r="Z199" t="e">
        <f t="shared" si="6"/>
        <v>#N/A</v>
      </c>
    </row>
    <row r="200" spans="1:26" x14ac:dyDescent="0.25">
      <c r="A200" t="s">
        <v>1986</v>
      </c>
      <c r="B200">
        <v>53033024100</v>
      </c>
      <c r="C200" t="s">
        <v>1987</v>
      </c>
      <c r="D200">
        <v>4838</v>
      </c>
      <c r="E200">
        <v>3803</v>
      </c>
      <c r="F200">
        <v>1035</v>
      </c>
      <c r="G200">
        <v>4838</v>
      </c>
      <c r="H200">
        <v>3803</v>
      </c>
      <c r="I200">
        <v>1035</v>
      </c>
      <c r="J200">
        <v>3294</v>
      </c>
      <c r="K200">
        <v>406</v>
      </c>
      <c r="L200">
        <v>32</v>
      </c>
      <c r="M200">
        <v>31</v>
      </c>
      <c r="N200">
        <v>24</v>
      </c>
      <c r="O200">
        <v>6</v>
      </c>
      <c r="P200">
        <v>8</v>
      </c>
      <c r="Q200">
        <v>0</v>
      </c>
      <c r="R200">
        <v>278</v>
      </c>
      <c r="S200">
        <v>567</v>
      </c>
      <c r="T200">
        <v>0</v>
      </c>
      <c r="U200">
        <v>0</v>
      </c>
      <c r="V200">
        <v>0</v>
      </c>
      <c r="W200">
        <v>5</v>
      </c>
      <c r="X200">
        <v>167</v>
      </c>
      <c r="Y200">
        <v>20</v>
      </c>
      <c r="Z200" t="e">
        <f t="shared" si="6"/>
        <v>#N/A</v>
      </c>
    </row>
    <row r="201" spans="1:26" x14ac:dyDescent="0.25">
      <c r="A201" t="s">
        <v>1988</v>
      </c>
      <c r="B201">
        <v>53033024200</v>
      </c>
      <c r="C201" t="s">
        <v>1989</v>
      </c>
      <c r="D201">
        <v>3212</v>
      </c>
      <c r="E201">
        <v>2468</v>
      </c>
      <c r="F201">
        <v>744</v>
      </c>
      <c r="G201">
        <v>3212</v>
      </c>
      <c r="H201">
        <v>2468</v>
      </c>
      <c r="I201">
        <v>744</v>
      </c>
      <c r="J201">
        <v>2019</v>
      </c>
      <c r="K201">
        <v>232</v>
      </c>
      <c r="L201">
        <v>56</v>
      </c>
      <c r="M201">
        <v>40</v>
      </c>
      <c r="N201">
        <v>20</v>
      </c>
      <c r="O201">
        <v>0</v>
      </c>
      <c r="P201">
        <v>0</v>
      </c>
      <c r="Q201">
        <v>0</v>
      </c>
      <c r="R201">
        <v>215</v>
      </c>
      <c r="S201">
        <v>420</v>
      </c>
      <c r="T201">
        <v>0</v>
      </c>
      <c r="U201">
        <v>0</v>
      </c>
      <c r="V201">
        <v>3</v>
      </c>
      <c r="W201">
        <v>15</v>
      </c>
      <c r="X201">
        <v>155</v>
      </c>
      <c r="Y201">
        <v>37</v>
      </c>
      <c r="Z201" t="e">
        <f t="shared" si="6"/>
        <v>#N/A</v>
      </c>
    </row>
    <row r="202" spans="1:26" x14ac:dyDescent="0.25">
      <c r="A202" t="s">
        <v>1990</v>
      </c>
      <c r="B202">
        <v>53033024300</v>
      </c>
      <c r="C202" t="s">
        <v>1991</v>
      </c>
      <c r="D202">
        <v>8680</v>
      </c>
      <c r="E202">
        <v>6670</v>
      </c>
      <c r="F202">
        <v>2010</v>
      </c>
      <c r="G202">
        <v>8680</v>
      </c>
      <c r="H202">
        <v>6670</v>
      </c>
      <c r="I202">
        <v>2010</v>
      </c>
      <c r="J202">
        <v>5201</v>
      </c>
      <c r="K202">
        <v>786</v>
      </c>
      <c r="L202">
        <v>30</v>
      </c>
      <c r="M202">
        <v>98</v>
      </c>
      <c r="N202">
        <v>158</v>
      </c>
      <c r="O202">
        <v>131</v>
      </c>
      <c r="P202">
        <v>0</v>
      </c>
      <c r="Q202">
        <v>0</v>
      </c>
      <c r="R202">
        <v>1002</v>
      </c>
      <c r="S202">
        <v>911</v>
      </c>
      <c r="T202">
        <v>17</v>
      </c>
      <c r="U202">
        <v>0</v>
      </c>
      <c r="V202">
        <v>83</v>
      </c>
      <c r="W202">
        <v>7</v>
      </c>
      <c r="X202">
        <v>179</v>
      </c>
      <c r="Y202">
        <v>77</v>
      </c>
      <c r="Z202" t="e">
        <f t="shared" si="6"/>
        <v>#N/A</v>
      </c>
    </row>
    <row r="203" spans="1:26" x14ac:dyDescent="0.25">
      <c r="A203" t="s">
        <v>1992</v>
      </c>
      <c r="B203">
        <v>53033024400</v>
      </c>
      <c r="C203" t="s">
        <v>1993</v>
      </c>
      <c r="D203">
        <v>2913</v>
      </c>
      <c r="E203">
        <v>2296</v>
      </c>
      <c r="F203">
        <v>617</v>
      </c>
      <c r="G203">
        <v>2913</v>
      </c>
      <c r="H203">
        <v>2296</v>
      </c>
      <c r="I203">
        <v>617</v>
      </c>
      <c r="J203">
        <v>1796</v>
      </c>
      <c r="K203">
        <v>206</v>
      </c>
      <c r="L203">
        <v>97</v>
      </c>
      <c r="M203">
        <v>141</v>
      </c>
      <c r="N203">
        <v>69</v>
      </c>
      <c r="O203">
        <v>0</v>
      </c>
      <c r="P203">
        <v>0</v>
      </c>
      <c r="Q203">
        <v>0</v>
      </c>
      <c r="R203">
        <v>229</v>
      </c>
      <c r="S203">
        <v>270</v>
      </c>
      <c r="T203">
        <v>0</v>
      </c>
      <c r="U203">
        <v>0</v>
      </c>
      <c r="V203">
        <v>18</v>
      </c>
      <c r="W203">
        <v>0</v>
      </c>
      <c r="X203">
        <v>87</v>
      </c>
      <c r="Y203">
        <v>0</v>
      </c>
      <c r="Z203" t="e">
        <f t="shared" si="6"/>
        <v>#N/A</v>
      </c>
    </row>
    <row r="204" spans="1:26" x14ac:dyDescent="0.25">
      <c r="A204" t="s">
        <v>1994</v>
      </c>
      <c r="B204">
        <v>53033024500</v>
      </c>
      <c r="C204" t="s">
        <v>1995</v>
      </c>
      <c r="D204">
        <v>4935</v>
      </c>
      <c r="E204">
        <v>3836</v>
      </c>
      <c r="F204">
        <v>1099</v>
      </c>
      <c r="G204">
        <v>4935</v>
      </c>
      <c r="H204">
        <v>3836</v>
      </c>
      <c r="I204">
        <v>1099</v>
      </c>
      <c r="J204">
        <v>3047</v>
      </c>
      <c r="K204">
        <v>486</v>
      </c>
      <c r="L204">
        <v>110</v>
      </c>
      <c r="M204">
        <v>40</v>
      </c>
      <c r="N204">
        <v>23</v>
      </c>
      <c r="O204">
        <v>20</v>
      </c>
      <c r="P204">
        <v>7</v>
      </c>
      <c r="Q204">
        <v>0</v>
      </c>
      <c r="R204">
        <v>342</v>
      </c>
      <c r="S204">
        <v>520</v>
      </c>
      <c r="T204">
        <v>0</v>
      </c>
      <c r="U204">
        <v>0</v>
      </c>
      <c r="V204">
        <v>10</v>
      </c>
      <c r="W204">
        <v>33</v>
      </c>
      <c r="X204">
        <v>297</v>
      </c>
      <c r="Y204">
        <v>0</v>
      </c>
      <c r="Z204" t="e">
        <f t="shared" si="6"/>
        <v>#N/A</v>
      </c>
    </row>
    <row r="205" spans="1:26" x14ac:dyDescent="0.25">
      <c r="A205" t="s">
        <v>1996</v>
      </c>
      <c r="B205">
        <v>53033024601</v>
      </c>
      <c r="C205" t="s">
        <v>1997</v>
      </c>
      <c r="D205">
        <v>4477</v>
      </c>
      <c r="E205">
        <v>3873</v>
      </c>
      <c r="F205">
        <v>604</v>
      </c>
      <c r="G205">
        <v>4477</v>
      </c>
      <c r="H205">
        <v>3873</v>
      </c>
      <c r="I205">
        <v>604</v>
      </c>
      <c r="J205">
        <v>3207</v>
      </c>
      <c r="K205">
        <v>280</v>
      </c>
      <c r="L205">
        <v>34</v>
      </c>
      <c r="M205">
        <v>14</v>
      </c>
      <c r="N205">
        <v>1</v>
      </c>
      <c r="O205">
        <v>0</v>
      </c>
      <c r="P205">
        <v>1</v>
      </c>
      <c r="Q205">
        <v>0</v>
      </c>
      <c r="R205">
        <v>449</v>
      </c>
      <c r="S205">
        <v>275</v>
      </c>
      <c r="T205">
        <v>0</v>
      </c>
      <c r="U205">
        <v>0</v>
      </c>
      <c r="V205">
        <v>1</v>
      </c>
      <c r="W205">
        <v>0</v>
      </c>
      <c r="X205">
        <v>180</v>
      </c>
      <c r="Y205">
        <v>35</v>
      </c>
      <c r="Z205" t="e">
        <f t="shared" si="6"/>
        <v>#N/A</v>
      </c>
    </row>
    <row r="206" spans="1:26" x14ac:dyDescent="0.25">
      <c r="A206" t="s">
        <v>1998</v>
      </c>
      <c r="B206">
        <v>53033024602</v>
      </c>
      <c r="C206" t="s">
        <v>1999</v>
      </c>
      <c r="D206">
        <v>3763</v>
      </c>
      <c r="E206">
        <v>3047</v>
      </c>
      <c r="F206">
        <v>716</v>
      </c>
      <c r="G206">
        <v>3763</v>
      </c>
      <c r="H206">
        <v>3047</v>
      </c>
      <c r="I206">
        <v>716</v>
      </c>
      <c r="J206">
        <v>2686</v>
      </c>
      <c r="K206">
        <v>230</v>
      </c>
      <c r="L206">
        <v>31</v>
      </c>
      <c r="M206">
        <v>34</v>
      </c>
      <c r="N206">
        <v>45</v>
      </c>
      <c r="O206">
        <v>0</v>
      </c>
      <c r="P206">
        <v>0</v>
      </c>
      <c r="Q206">
        <v>0</v>
      </c>
      <c r="R206">
        <v>236</v>
      </c>
      <c r="S206">
        <v>449</v>
      </c>
      <c r="T206">
        <v>0</v>
      </c>
      <c r="U206">
        <v>0</v>
      </c>
      <c r="V206">
        <v>0</v>
      </c>
      <c r="W206">
        <v>0</v>
      </c>
      <c r="X206">
        <v>49</v>
      </c>
      <c r="Y206">
        <v>3</v>
      </c>
      <c r="Z206" t="e">
        <f t="shared" si="6"/>
        <v>#N/A</v>
      </c>
    </row>
    <row r="207" spans="1:26" x14ac:dyDescent="0.25">
      <c r="A207" t="s">
        <v>2000</v>
      </c>
      <c r="B207">
        <v>53033024701</v>
      </c>
      <c r="C207" t="s">
        <v>2001</v>
      </c>
      <c r="D207">
        <v>3992</v>
      </c>
      <c r="E207">
        <v>2776</v>
      </c>
      <c r="F207">
        <v>1216</v>
      </c>
      <c r="G207">
        <v>3992</v>
      </c>
      <c r="H207">
        <v>2776</v>
      </c>
      <c r="I207">
        <v>1216</v>
      </c>
      <c r="J207">
        <v>1902</v>
      </c>
      <c r="K207">
        <v>320</v>
      </c>
      <c r="L207">
        <v>44</v>
      </c>
      <c r="M207">
        <v>8</v>
      </c>
      <c r="N207">
        <v>251</v>
      </c>
      <c r="O207">
        <v>40</v>
      </c>
      <c r="P207">
        <v>9</v>
      </c>
      <c r="Q207">
        <v>0</v>
      </c>
      <c r="R207">
        <v>377</v>
      </c>
      <c r="S207">
        <v>797</v>
      </c>
      <c r="T207">
        <v>0</v>
      </c>
      <c r="U207">
        <v>13</v>
      </c>
      <c r="V207">
        <v>49</v>
      </c>
      <c r="W207">
        <v>16</v>
      </c>
      <c r="X207">
        <v>144</v>
      </c>
      <c r="Y207">
        <v>22</v>
      </c>
      <c r="Z207" t="e">
        <f t="shared" si="6"/>
        <v>#N/A</v>
      </c>
    </row>
    <row r="208" spans="1:26" x14ac:dyDescent="0.25">
      <c r="A208" t="s">
        <v>2002</v>
      </c>
      <c r="B208">
        <v>53033024702</v>
      </c>
      <c r="C208" t="s">
        <v>2003</v>
      </c>
      <c r="D208">
        <v>7528</v>
      </c>
      <c r="E208">
        <v>5541</v>
      </c>
      <c r="F208">
        <v>1987</v>
      </c>
      <c r="G208">
        <v>7528</v>
      </c>
      <c r="H208">
        <v>5541</v>
      </c>
      <c r="I208">
        <v>1987</v>
      </c>
      <c r="J208">
        <v>4224</v>
      </c>
      <c r="K208">
        <v>473</v>
      </c>
      <c r="L208">
        <v>114</v>
      </c>
      <c r="M208">
        <v>28</v>
      </c>
      <c r="N208">
        <v>261</v>
      </c>
      <c r="O208">
        <v>123</v>
      </c>
      <c r="P208">
        <v>0</v>
      </c>
      <c r="Q208">
        <v>0</v>
      </c>
      <c r="R208">
        <v>626</v>
      </c>
      <c r="S208">
        <v>1318</v>
      </c>
      <c r="T208">
        <v>0</v>
      </c>
      <c r="U208">
        <v>0</v>
      </c>
      <c r="V208">
        <v>91</v>
      </c>
      <c r="W208">
        <v>45</v>
      </c>
      <c r="X208">
        <v>225</v>
      </c>
      <c r="Y208">
        <v>0</v>
      </c>
      <c r="Z208" t="e">
        <f t="shared" si="6"/>
        <v>#N/A</v>
      </c>
    </row>
    <row r="209" spans="1:26" x14ac:dyDescent="0.25">
      <c r="A209" t="s">
        <v>2004</v>
      </c>
      <c r="B209">
        <v>53033024800</v>
      </c>
      <c r="C209" t="s">
        <v>2005</v>
      </c>
      <c r="D209">
        <v>5964</v>
      </c>
      <c r="E209">
        <v>3693</v>
      </c>
      <c r="F209">
        <v>2271</v>
      </c>
      <c r="G209">
        <v>5964</v>
      </c>
      <c r="H209">
        <v>3693</v>
      </c>
      <c r="I209">
        <v>2271</v>
      </c>
      <c r="J209">
        <v>2145</v>
      </c>
      <c r="K209">
        <v>222</v>
      </c>
      <c r="L209">
        <v>111</v>
      </c>
      <c r="M209">
        <v>103</v>
      </c>
      <c r="N209">
        <v>176</v>
      </c>
      <c r="O209">
        <v>262</v>
      </c>
      <c r="P209">
        <v>96</v>
      </c>
      <c r="Q209">
        <v>0</v>
      </c>
      <c r="R209">
        <v>444</v>
      </c>
      <c r="S209">
        <v>1181</v>
      </c>
      <c r="T209">
        <v>0</v>
      </c>
      <c r="U209">
        <v>0</v>
      </c>
      <c r="V209">
        <v>157</v>
      </c>
      <c r="W209">
        <v>400</v>
      </c>
      <c r="X209">
        <v>564</v>
      </c>
      <c r="Y209">
        <v>103</v>
      </c>
      <c r="Z209" t="e">
        <f t="shared" si="6"/>
        <v>#N/A</v>
      </c>
    </row>
    <row r="210" spans="1:26" x14ac:dyDescent="0.25">
      <c r="A210" t="s">
        <v>2006</v>
      </c>
      <c r="B210">
        <v>53033024901</v>
      </c>
      <c r="C210" t="s">
        <v>2007</v>
      </c>
      <c r="D210">
        <v>5084</v>
      </c>
      <c r="E210">
        <v>3234</v>
      </c>
      <c r="F210">
        <v>1850</v>
      </c>
      <c r="G210">
        <v>5084</v>
      </c>
      <c r="H210">
        <v>3234</v>
      </c>
      <c r="I210">
        <v>1850</v>
      </c>
      <c r="J210">
        <v>2205</v>
      </c>
      <c r="K210">
        <v>294</v>
      </c>
      <c r="L210">
        <v>49</v>
      </c>
      <c r="M210">
        <v>26</v>
      </c>
      <c r="N210">
        <v>25</v>
      </c>
      <c r="O210">
        <v>0</v>
      </c>
      <c r="P210">
        <v>2</v>
      </c>
      <c r="Q210">
        <v>8</v>
      </c>
      <c r="R210">
        <v>761</v>
      </c>
      <c r="S210">
        <v>1475</v>
      </c>
      <c r="T210">
        <v>0</v>
      </c>
      <c r="U210">
        <v>0</v>
      </c>
      <c r="V210">
        <v>0</v>
      </c>
      <c r="W210">
        <v>0</v>
      </c>
      <c r="X210">
        <v>192</v>
      </c>
      <c r="Y210">
        <v>47</v>
      </c>
      <c r="Z210" t="e">
        <f t="shared" si="6"/>
        <v>#N/A</v>
      </c>
    </row>
    <row r="211" spans="1:26" x14ac:dyDescent="0.25">
      <c r="A211" t="s">
        <v>2008</v>
      </c>
      <c r="B211">
        <v>53033024902</v>
      </c>
      <c r="C211" t="s">
        <v>2009</v>
      </c>
      <c r="D211">
        <v>4043</v>
      </c>
      <c r="E211">
        <v>2913</v>
      </c>
      <c r="F211">
        <v>1130</v>
      </c>
      <c r="G211">
        <v>4043</v>
      </c>
      <c r="H211">
        <v>2913</v>
      </c>
      <c r="I211">
        <v>1130</v>
      </c>
      <c r="J211">
        <v>1899</v>
      </c>
      <c r="K211">
        <v>222</v>
      </c>
      <c r="L211">
        <v>103</v>
      </c>
      <c r="M211">
        <v>76</v>
      </c>
      <c r="N211">
        <v>68</v>
      </c>
      <c r="O211">
        <v>14</v>
      </c>
      <c r="P211">
        <v>0</v>
      </c>
      <c r="Q211">
        <v>0</v>
      </c>
      <c r="R211">
        <v>457</v>
      </c>
      <c r="S211">
        <v>757</v>
      </c>
      <c r="T211">
        <v>0</v>
      </c>
      <c r="U211">
        <v>0</v>
      </c>
      <c r="V211">
        <v>21</v>
      </c>
      <c r="W211">
        <v>0</v>
      </c>
      <c r="X211">
        <v>365</v>
      </c>
      <c r="Y211">
        <v>61</v>
      </c>
      <c r="Z211" t="e">
        <f t="shared" si="6"/>
        <v>#N/A</v>
      </c>
    </row>
    <row r="212" spans="1:26" x14ac:dyDescent="0.25">
      <c r="A212" t="s">
        <v>2010</v>
      </c>
      <c r="B212">
        <v>53033024903</v>
      </c>
      <c r="C212" t="s">
        <v>2011</v>
      </c>
      <c r="D212">
        <v>7146</v>
      </c>
      <c r="E212">
        <v>4820</v>
      </c>
      <c r="F212">
        <v>2326</v>
      </c>
      <c r="G212">
        <v>7146</v>
      </c>
      <c r="H212">
        <v>4820</v>
      </c>
      <c r="I212">
        <v>2326</v>
      </c>
      <c r="J212">
        <v>3520</v>
      </c>
      <c r="K212">
        <v>278</v>
      </c>
      <c r="L212">
        <v>41</v>
      </c>
      <c r="M212">
        <v>18</v>
      </c>
      <c r="N212">
        <v>6</v>
      </c>
      <c r="O212">
        <v>0</v>
      </c>
      <c r="P212">
        <v>0</v>
      </c>
      <c r="Q212">
        <v>0</v>
      </c>
      <c r="R212">
        <v>1083</v>
      </c>
      <c r="S212">
        <v>2030</v>
      </c>
      <c r="T212">
        <v>0</v>
      </c>
      <c r="U212">
        <v>0</v>
      </c>
      <c r="V212">
        <v>14</v>
      </c>
      <c r="W212">
        <v>0</v>
      </c>
      <c r="X212">
        <v>156</v>
      </c>
      <c r="Y212">
        <v>0</v>
      </c>
      <c r="Z212" t="e">
        <f t="shared" si="6"/>
        <v>#N/A</v>
      </c>
    </row>
    <row r="213" spans="1:26" x14ac:dyDescent="0.25">
      <c r="A213" t="s">
        <v>2012</v>
      </c>
      <c r="B213">
        <v>53033025001</v>
      </c>
      <c r="C213" t="s">
        <v>2013</v>
      </c>
      <c r="D213">
        <v>5106</v>
      </c>
      <c r="E213">
        <v>3742</v>
      </c>
      <c r="F213">
        <v>1364</v>
      </c>
      <c r="G213">
        <v>5106</v>
      </c>
      <c r="H213">
        <v>3742</v>
      </c>
      <c r="I213">
        <v>1364</v>
      </c>
      <c r="J213">
        <v>2909</v>
      </c>
      <c r="K213">
        <v>382</v>
      </c>
      <c r="L213">
        <v>28</v>
      </c>
      <c r="M213">
        <v>20</v>
      </c>
      <c r="N213">
        <v>121</v>
      </c>
      <c r="O213">
        <v>18</v>
      </c>
      <c r="P213">
        <v>11</v>
      </c>
      <c r="Q213">
        <v>12</v>
      </c>
      <c r="R213">
        <v>424</v>
      </c>
      <c r="S213">
        <v>860</v>
      </c>
      <c r="T213">
        <v>0</v>
      </c>
      <c r="U213">
        <v>0</v>
      </c>
      <c r="V213">
        <v>61</v>
      </c>
      <c r="W213">
        <v>52</v>
      </c>
      <c r="X213">
        <v>188</v>
      </c>
      <c r="Y213">
        <v>20</v>
      </c>
      <c r="Z213" t="e">
        <f t="shared" si="6"/>
        <v>#N/A</v>
      </c>
    </row>
    <row r="214" spans="1:26" x14ac:dyDescent="0.25">
      <c r="A214" t="s">
        <v>2014</v>
      </c>
      <c r="B214">
        <v>53033025003</v>
      </c>
      <c r="C214" t="s">
        <v>2015</v>
      </c>
      <c r="D214">
        <v>6856</v>
      </c>
      <c r="E214">
        <v>4872</v>
      </c>
      <c r="F214">
        <v>1984</v>
      </c>
      <c r="G214">
        <v>6856</v>
      </c>
      <c r="H214">
        <v>4872</v>
      </c>
      <c r="I214">
        <v>1984</v>
      </c>
      <c r="J214">
        <v>3612</v>
      </c>
      <c r="K214">
        <v>433</v>
      </c>
      <c r="L214">
        <v>342</v>
      </c>
      <c r="M214">
        <v>47</v>
      </c>
      <c r="N214">
        <v>17</v>
      </c>
      <c r="O214">
        <v>63</v>
      </c>
      <c r="P214">
        <v>0</v>
      </c>
      <c r="Q214">
        <v>0</v>
      </c>
      <c r="R214">
        <v>724</v>
      </c>
      <c r="S214">
        <v>1374</v>
      </c>
      <c r="T214">
        <v>25</v>
      </c>
      <c r="U214">
        <v>3</v>
      </c>
      <c r="V214">
        <v>47</v>
      </c>
      <c r="W214">
        <v>48</v>
      </c>
      <c r="X214">
        <v>105</v>
      </c>
      <c r="Y214">
        <v>16</v>
      </c>
      <c r="Z214" t="e">
        <f t="shared" si="6"/>
        <v>#N/A</v>
      </c>
    </row>
    <row r="215" spans="1:26" x14ac:dyDescent="0.25">
      <c r="A215" t="s">
        <v>2396</v>
      </c>
      <c r="B215">
        <v>53033025005</v>
      </c>
      <c r="C215" t="s">
        <v>2397</v>
      </c>
      <c r="D215">
        <v>4962</v>
      </c>
      <c r="E215">
        <v>3325</v>
      </c>
      <c r="F215">
        <v>1637</v>
      </c>
      <c r="G215">
        <v>4962</v>
      </c>
      <c r="H215">
        <v>3325</v>
      </c>
      <c r="I215">
        <v>1637</v>
      </c>
      <c r="J215">
        <v>2260</v>
      </c>
      <c r="K215">
        <v>483</v>
      </c>
      <c r="L215">
        <v>69</v>
      </c>
      <c r="M215">
        <v>86</v>
      </c>
      <c r="N215">
        <v>45</v>
      </c>
      <c r="O215">
        <v>9</v>
      </c>
      <c r="P215">
        <v>0</v>
      </c>
      <c r="Q215">
        <v>0</v>
      </c>
      <c r="R215">
        <v>639</v>
      </c>
      <c r="S215">
        <v>998</v>
      </c>
      <c r="T215">
        <v>0</v>
      </c>
      <c r="U215">
        <v>0</v>
      </c>
      <c r="V215">
        <v>31</v>
      </c>
      <c r="W215">
        <v>23</v>
      </c>
      <c r="X215">
        <v>281</v>
      </c>
      <c r="Y215">
        <v>38</v>
      </c>
      <c r="Z215" t="e">
        <f t="shared" si="6"/>
        <v>#N/A</v>
      </c>
    </row>
    <row r="216" spans="1:26" x14ac:dyDescent="0.25">
      <c r="A216" t="s">
        <v>2398</v>
      </c>
      <c r="B216">
        <v>53033025006</v>
      </c>
      <c r="C216" t="s">
        <v>2399</v>
      </c>
      <c r="D216">
        <v>6068</v>
      </c>
      <c r="E216">
        <v>4133</v>
      </c>
      <c r="F216">
        <v>1935</v>
      </c>
      <c r="G216">
        <v>6068</v>
      </c>
      <c r="H216">
        <v>4133</v>
      </c>
      <c r="I216">
        <v>1935</v>
      </c>
      <c r="J216">
        <v>3269</v>
      </c>
      <c r="K216">
        <v>476</v>
      </c>
      <c r="L216">
        <v>128</v>
      </c>
      <c r="M216">
        <v>113</v>
      </c>
      <c r="N216">
        <v>140</v>
      </c>
      <c r="O216">
        <v>156</v>
      </c>
      <c r="P216">
        <v>0</v>
      </c>
      <c r="Q216">
        <v>0</v>
      </c>
      <c r="R216">
        <v>446</v>
      </c>
      <c r="S216">
        <v>1168</v>
      </c>
      <c r="T216">
        <v>0</v>
      </c>
      <c r="U216">
        <v>0</v>
      </c>
      <c r="V216">
        <v>0</v>
      </c>
      <c r="W216">
        <v>14</v>
      </c>
      <c r="X216">
        <v>150</v>
      </c>
      <c r="Y216">
        <v>8</v>
      </c>
      <c r="Z216" t="e">
        <f t="shared" si="6"/>
        <v>#N/A</v>
      </c>
    </row>
    <row r="217" spans="1:26" x14ac:dyDescent="0.25">
      <c r="A217" t="s">
        <v>2018</v>
      </c>
      <c r="B217">
        <v>53033025101</v>
      </c>
      <c r="C217" t="s">
        <v>2019</v>
      </c>
      <c r="D217">
        <v>6507</v>
      </c>
      <c r="E217">
        <v>4538</v>
      </c>
      <c r="F217">
        <v>1969</v>
      </c>
      <c r="G217">
        <v>6507</v>
      </c>
      <c r="H217">
        <v>4538</v>
      </c>
      <c r="I217">
        <v>1969</v>
      </c>
      <c r="J217">
        <v>3020</v>
      </c>
      <c r="K217">
        <v>288</v>
      </c>
      <c r="L217">
        <v>295</v>
      </c>
      <c r="M217">
        <v>62</v>
      </c>
      <c r="N217">
        <v>352</v>
      </c>
      <c r="O217">
        <v>106</v>
      </c>
      <c r="P217">
        <v>0</v>
      </c>
      <c r="Q217">
        <v>0</v>
      </c>
      <c r="R217">
        <v>276</v>
      </c>
      <c r="S217">
        <v>1065</v>
      </c>
      <c r="T217">
        <v>0</v>
      </c>
      <c r="U217">
        <v>18</v>
      </c>
      <c r="V217">
        <v>228</v>
      </c>
      <c r="W217">
        <v>413</v>
      </c>
      <c r="X217">
        <v>367</v>
      </c>
      <c r="Y217">
        <v>17</v>
      </c>
      <c r="Z217" t="e">
        <f t="shared" si="6"/>
        <v>#N/A</v>
      </c>
    </row>
    <row r="218" spans="1:26" x14ac:dyDescent="0.25">
      <c r="A218" t="s">
        <v>2020</v>
      </c>
      <c r="B218">
        <v>53033025102</v>
      </c>
      <c r="C218" t="s">
        <v>2021</v>
      </c>
      <c r="D218">
        <v>7878</v>
      </c>
      <c r="E218">
        <v>5715</v>
      </c>
      <c r="F218">
        <v>2163</v>
      </c>
      <c r="G218">
        <v>7878</v>
      </c>
      <c r="H218">
        <v>5715</v>
      </c>
      <c r="I218">
        <v>2163</v>
      </c>
      <c r="J218">
        <v>3290</v>
      </c>
      <c r="K218">
        <v>315</v>
      </c>
      <c r="L218">
        <v>123</v>
      </c>
      <c r="M218">
        <v>106</v>
      </c>
      <c r="N218">
        <v>345</v>
      </c>
      <c r="O218">
        <v>70</v>
      </c>
      <c r="P218">
        <v>124</v>
      </c>
      <c r="Q218">
        <v>0</v>
      </c>
      <c r="R218">
        <v>1027</v>
      </c>
      <c r="S218">
        <v>1425</v>
      </c>
      <c r="T218">
        <v>0</v>
      </c>
      <c r="U218">
        <v>29</v>
      </c>
      <c r="V218">
        <v>44</v>
      </c>
      <c r="W218">
        <v>140</v>
      </c>
      <c r="X218">
        <v>762</v>
      </c>
      <c r="Y218">
        <v>78</v>
      </c>
      <c r="Z218" t="e">
        <f t="shared" si="6"/>
        <v>#N/A</v>
      </c>
    </row>
    <row r="219" spans="1:26" x14ac:dyDescent="0.25">
      <c r="A219" t="s">
        <v>2022</v>
      </c>
      <c r="B219">
        <v>53033025200</v>
      </c>
      <c r="C219" t="s">
        <v>2023</v>
      </c>
      <c r="D219">
        <v>8588</v>
      </c>
      <c r="E219">
        <v>5925</v>
      </c>
      <c r="F219">
        <v>2663</v>
      </c>
      <c r="G219">
        <v>8588</v>
      </c>
      <c r="H219">
        <v>5925</v>
      </c>
      <c r="I219">
        <v>2663</v>
      </c>
      <c r="J219">
        <v>3890</v>
      </c>
      <c r="K219">
        <v>683</v>
      </c>
      <c r="L219">
        <v>217</v>
      </c>
      <c r="M219">
        <v>395</v>
      </c>
      <c r="N219">
        <v>348</v>
      </c>
      <c r="O219">
        <v>177</v>
      </c>
      <c r="P219">
        <v>45</v>
      </c>
      <c r="Q219">
        <v>0</v>
      </c>
      <c r="R219">
        <v>752</v>
      </c>
      <c r="S219">
        <v>1022</v>
      </c>
      <c r="T219">
        <v>47</v>
      </c>
      <c r="U219">
        <v>0</v>
      </c>
      <c r="V219">
        <v>204</v>
      </c>
      <c r="W219">
        <v>319</v>
      </c>
      <c r="X219">
        <v>422</v>
      </c>
      <c r="Y219">
        <v>67</v>
      </c>
      <c r="Z219" t="e">
        <f t="shared" si="6"/>
        <v>#N/A</v>
      </c>
    </row>
    <row r="220" spans="1:26" x14ac:dyDescent="0.25">
      <c r="A220" t="s">
        <v>2400</v>
      </c>
      <c r="B220">
        <v>53033025301</v>
      </c>
      <c r="C220" t="s">
        <v>2401</v>
      </c>
      <c r="D220">
        <v>6525</v>
      </c>
      <c r="E220">
        <v>4553</v>
      </c>
      <c r="F220">
        <v>1972</v>
      </c>
      <c r="G220">
        <v>6525</v>
      </c>
      <c r="H220">
        <v>4553</v>
      </c>
      <c r="I220">
        <v>1972</v>
      </c>
      <c r="J220">
        <v>2980</v>
      </c>
      <c r="K220">
        <v>550</v>
      </c>
      <c r="L220">
        <v>142</v>
      </c>
      <c r="M220">
        <v>76</v>
      </c>
      <c r="N220">
        <v>414</v>
      </c>
      <c r="O220">
        <v>73</v>
      </c>
      <c r="P220">
        <v>26</v>
      </c>
      <c r="Q220">
        <v>0</v>
      </c>
      <c r="R220">
        <v>376</v>
      </c>
      <c r="S220">
        <v>931</v>
      </c>
      <c r="T220">
        <v>0</v>
      </c>
      <c r="U220">
        <v>0</v>
      </c>
      <c r="V220">
        <v>187</v>
      </c>
      <c r="W220">
        <v>266</v>
      </c>
      <c r="X220">
        <v>428</v>
      </c>
      <c r="Y220">
        <v>76</v>
      </c>
      <c r="Z220" t="e">
        <f t="shared" si="6"/>
        <v>#N/A</v>
      </c>
    </row>
    <row r="221" spans="1:26" x14ac:dyDescent="0.25">
      <c r="A221" t="s">
        <v>2402</v>
      </c>
      <c r="B221">
        <v>53033025302</v>
      </c>
      <c r="C221" t="s">
        <v>2403</v>
      </c>
      <c r="D221">
        <v>5360</v>
      </c>
      <c r="E221">
        <v>4161</v>
      </c>
      <c r="F221">
        <v>1199</v>
      </c>
      <c r="G221">
        <v>5360</v>
      </c>
      <c r="H221">
        <v>4161</v>
      </c>
      <c r="I221">
        <v>1199</v>
      </c>
      <c r="J221">
        <v>2434</v>
      </c>
      <c r="K221">
        <v>60</v>
      </c>
      <c r="L221">
        <v>55</v>
      </c>
      <c r="M221">
        <v>165</v>
      </c>
      <c r="N221">
        <v>814</v>
      </c>
      <c r="O221">
        <v>89</v>
      </c>
      <c r="P221">
        <v>13</v>
      </c>
      <c r="Q221">
        <v>0</v>
      </c>
      <c r="R221">
        <v>129</v>
      </c>
      <c r="S221">
        <v>586</v>
      </c>
      <c r="T221">
        <v>224</v>
      </c>
      <c r="U221">
        <v>47</v>
      </c>
      <c r="V221">
        <v>265</v>
      </c>
      <c r="W221">
        <v>232</v>
      </c>
      <c r="X221">
        <v>227</v>
      </c>
      <c r="Y221">
        <v>20</v>
      </c>
      <c r="Z221" t="e">
        <f t="shared" si="6"/>
        <v>#N/A</v>
      </c>
    </row>
    <row r="222" spans="1:26" x14ac:dyDescent="0.25">
      <c r="A222" t="s">
        <v>2026</v>
      </c>
      <c r="B222">
        <v>53033025400</v>
      </c>
      <c r="C222" t="s">
        <v>2027</v>
      </c>
      <c r="D222">
        <v>7592</v>
      </c>
      <c r="E222">
        <v>4979</v>
      </c>
      <c r="F222">
        <v>2613</v>
      </c>
      <c r="G222">
        <v>7592</v>
      </c>
      <c r="H222">
        <v>4979</v>
      </c>
      <c r="I222">
        <v>2613</v>
      </c>
      <c r="J222">
        <v>3051</v>
      </c>
      <c r="K222">
        <v>445</v>
      </c>
      <c r="L222">
        <v>119</v>
      </c>
      <c r="M222">
        <v>346</v>
      </c>
      <c r="N222">
        <v>651</v>
      </c>
      <c r="O222">
        <v>14</v>
      </c>
      <c r="P222">
        <v>83</v>
      </c>
      <c r="Q222">
        <v>0</v>
      </c>
      <c r="R222">
        <v>267</v>
      </c>
      <c r="S222">
        <v>967</v>
      </c>
      <c r="T222">
        <v>0</v>
      </c>
      <c r="U222">
        <v>0</v>
      </c>
      <c r="V222">
        <v>277</v>
      </c>
      <c r="W222">
        <v>825</v>
      </c>
      <c r="X222">
        <v>531</v>
      </c>
      <c r="Y222">
        <v>16</v>
      </c>
      <c r="Z222" t="e">
        <f t="shared" si="6"/>
        <v>#N/A</v>
      </c>
    </row>
    <row r="223" spans="1:26" x14ac:dyDescent="0.25">
      <c r="A223" t="s">
        <v>2028</v>
      </c>
      <c r="B223">
        <v>53033025500</v>
      </c>
      <c r="C223" t="s">
        <v>2029</v>
      </c>
      <c r="D223">
        <v>4957</v>
      </c>
      <c r="E223">
        <v>3050</v>
      </c>
      <c r="F223">
        <v>1907</v>
      </c>
      <c r="G223">
        <v>4957</v>
      </c>
      <c r="H223">
        <v>3050</v>
      </c>
      <c r="I223">
        <v>1907</v>
      </c>
      <c r="J223">
        <v>1910</v>
      </c>
      <c r="K223">
        <v>229</v>
      </c>
      <c r="L223">
        <v>172</v>
      </c>
      <c r="M223">
        <v>227</v>
      </c>
      <c r="N223">
        <v>448</v>
      </c>
      <c r="O223">
        <v>19</v>
      </c>
      <c r="P223">
        <v>31</v>
      </c>
      <c r="Q223">
        <v>0</v>
      </c>
      <c r="R223">
        <v>246</v>
      </c>
      <c r="S223">
        <v>742</v>
      </c>
      <c r="T223">
        <v>0</v>
      </c>
      <c r="U223">
        <v>0</v>
      </c>
      <c r="V223">
        <v>155</v>
      </c>
      <c r="W223">
        <v>690</v>
      </c>
      <c r="X223">
        <v>88</v>
      </c>
      <c r="Y223">
        <v>0</v>
      </c>
      <c r="Z223" t="e">
        <f t="shared" si="6"/>
        <v>#N/A</v>
      </c>
    </row>
    <row r="224" spans="1:26" x14ac:dyDescent="0.25">
      <c r="A224" t="s">
        <v>2404</v>
      </c>
      <c r="B224">
        <v>53033025601</v>
      </c>
      <c r="C224" t="s">
        <v>2405</v>
      </c>
      <c r="D224">
        <v>5457</v>
      </c>
      <c r="E224">
        <v>3465</v>
      </c>
      <c r="F224">
        <v>1992</v>
      </c>
      <c r="G224">
        <v>5457</v>
      </c>
      <c r="H224">
        <v>3465</v>
      </c>
      <c r="I224">
        <v>1992</v>
      </c>
      <c r="J224">
        <v>1626</v>
      </c>
      <c r="K224">
        <v>294</v>
      </c>
      <c r="L224">
        <v>124</v>
      </c>
      <c r="M224">
        <v>25</v>
      </c>
      <c r="N224">
        <v>211</v>
      </c>
      <c r="O224">
        <v>46</v>
      </c>
      <c r="P224">
        <v>0</v>
      </c>
      <c r="Q224">
        <v>0</v>
      </c>
      <c r="R224">
        <v>594</v>
      </c>
      <c r="S224">
        <v>965</v>
      </c>
      <c r="T224">
        <v>201</v>
      </c>
      <c r="U224">
        <v>30</v>
      </c>
      <c r="V224">
        <v>287</v>
      </c>
      <c r="W224">
        <v>576</v>
      </c>
      <c r="X224">
        <v>422</v>
      </c>
      <c r="Y224">
        <v>56</v>
      </c>
      <c r="Z224" t="e">
        <f t="shared" si="6"/>
        <v>#N/A</v>
      </c>
    </row>
    <row r="225" spans="1:26" x14ac:dyDescent="0.25">
      <c r="A225" t="s">
        <v>2406</v>
      </c>
      <c r="B225">
        <v>53033025602</v>
      </c>
      <c r="C225" t="s">
        <v>2407</v>
      </c>
      <c r="D225">
        <v>6153</v>
      </c>
      <c r="E225">
        <v>4661</v>
      </c>
      <c r="F225">
        <v>1492</v>
      </c>
      <c r="G225">
        <v>6153</v>
      </c>
      <c r="H225">
        <v>4661</v>
      </c>
      <c r="I225">
        <v>1492</v>
      </c>
      <c r="J225">
        <v>3336</v>
      </c>
      <c r="K225">
        <v>234</v>
      </c>
      <c r="L225">
        <v>153</v>
      </c>
      <c r="M225">
        <v>81</v>
      </c>
      <c r="N225">
        <v>98</v>
      </c>
      <c r="O225">
        <v>42</v>
      </c>
      <c r="P225">
        <v>12</v>
      </c>
      <c r="Q225">
        <v>0</v>
      </c>
      <c r="R225">
        <v>697</v>
      </c>
      <c r="S225">
        <v>1035</v>
      </c>
      <c r="T225">
        <v>0</v>
      </c>
      <c r="U225">
        <v>0</v>
      </c>
      <c r="V225">
        <v>12</v>
      </c>
      <c r="W225">
        <v>83</v>
      </c>
      <c r="X225">
        <v>353</v>
      </c>
      <c r="Y225">
        <v>17</v>
      </c>
      <c r="Z225" t="e">
        <f t="shared" si="6"/>
        <v>#N/A</v>
      </c>
    </row>
    <row r="226" spans="1:26" x14ac:dyDescent="0.25">
      <c r="A226" t="s">
        <v>2032</v>
      </c>
      <c r="B226">
        <v>53033025701</v>
      </c>
      <c r="C226" t="s">
        <v>2033</v>
      </c>
      <c r="D226">
        <v>6004</v>
      </c>
      <c r="E226">
        <v>3938</v>
      </c>
      <c r="F226">
        <v>2066</v>
      </c>
      <c r="G226">
        <v>6004</v>
      </c>
      <c r="H226">
        <v>3938</v>
      </c>
      <c r="I226">
        <v>2066</v>
      </c>
      <c r="J226">
        <v>2349</v>
      </c>
      <c r="K226">
        <v>718</v>
      </c>
      <c r="L226">
        <v>219</v>
      </c>
      <c r="M226">
        <v>105</v>
      </c>
      <c r="N226">
        <v>501</v>
      </c>
      <c r="O226">
        <v>339</v>
      </c>
      <c r="P226">
        <v>57</v>
      </c>
      <c r="Q226">
        <v>0</v>
      </c>
      <c r="R226">
        <v>110</v>
      </c>
      <c r="S226">
        <v>731</v>
      </c>
      <c r="T226">
        <v>77</v>
      </c>
      <c r="U226">
        <v>48</v>
      </c>
      <c r="V226">
        <v>117</v>
      </c>
      <c r="W226">
        <v>72</v>
      </c>
      <c r="X226">
        <v>508</v>
      </c>
      <c r="Y226">
        <v>53</v>
      </c>
      <c r="Z226" t="e">
        <f t="shared" si="6"/>
        <v>#N/A</v>
      </c>
    </row>
    <row r="227" spans="1:26" x14ac:dyDescent="0.25">
      <c r="A227" t="s">
        <v>2034</v>
      </c>
      <c r="B227">
        <v>53033025702</v>
      </c>
      <c r="C227" t="s">
        <v>2035</v>
      </c>
      <c r="D227">
        <v>3510</v>
      </c>
      <c r="E227">
        <v>2800</v>
      </c>
      <c r="F227">
        <v>710</v>
      </c>
      <c r="G227">
        <v>3510</v>
      </c>
      <c r="H227">
        <v>2800</v>
      </c>
      <c r="I227">
        <v>710</v>
      </c>
      <c r="J227">
        <v>1981</v>
      </c>
      <c r="K227">
        <v>148</v>
      </c>
      <c r="L227">
        <v>33</v>
      </c>
      <c r="M227">
        <v>17</v>
      </c>
      <c r="N227">
        <v>285</v>
      </c>
      <c r="O227">
        <v>52</v>
      </c>
      <c r="P227">
        <v>0</v>
      </c>
      <c r="Q227">
        <v>0</v>
      </c>
      <c r="R227">
        <v>330</v>
      </c>
      <c r="S227">
        <v>461</v>
      </c>
      <c r="T227">
        <v>46</v>
      </c>
      <c r="U227">
        <v>0</v>
      </c>
      <c r="V227">
        <v>11</v>
      </c>
      <c r="W227">
        <v>19</v>
      </c>
      <c r="X227">
        <v>114</v>
      </c>
      <c r="Y227">
        <v>13</v>
      </c>
      <c r="Z227" t="e">
        <f t="shared" si="6"/>
        <v>#N/A</v>
      </c>
    </row>
    <row r="228" spans="1:26" x14ac:dyDescent="0.25">
      <c r="A228" t="s">
        <v>2038</v>
      </c>
      <c r="B228">
        <v>53033025803</v>
      </c>
      <c r="C228" t="s">
        <v>2039</v>
      </c>
      <c r="D228">
        <v>4719</v>
      </c>
      <c r="E228">
        <v>3415</v>
      </c>
      <c r="F228">
        <v>1304</v>
      </c>
      <c r="G228">
        <v>4719</v>
      </c>
      <c r="H228">
        <v>3415</v>
      </c>
      <c r="I228">
        <v>1304</v>
      </c>
      <c r="J228">
        <v>1623</v>
      </c>
      <c r="K228">
        <v>150</v>
      </c>
      <c r="L228">
        <v>568</v>
      </c>
      <c r="M228">
        <v>224</v>
      </c>
      <c r="N228">
        <v>337</v>
      </c>
      <c r="O228">
        <v>113</v>
      </c>
      <c r="P228">
        <v>17</v>
      </c>
      <c r="Q228">
        <v>0</v>
      </c>
      <c r="R228">
        <v>158</v>
      </c>
      <c r="S228">
        <v>318</v>
      </c>
      <c r="T228">
        <v>28</v>
      </c>
      <c r="U228">
        <v>25</v>
      </c>
      <c r="V228">
        <v>267</v>
      </c>
      <c r="W228">
        <v>449</v>
      </c>
      <c r="X228">
        <v>417</v>
      </c>
      <c r="Y228">
        <v>25</v>
      </c>
      <c r="Z228" t="e">
        <f t="shared" si="6"/>
        <v>#N/A</v>
      </c>
    </row>
    <row r="229" spans="1:26" x14ac:dyDescent="0.25">
      <c r="A229" t="s">
        <v>2040</v>
      </c>
      <c r="B229">
        <v>53033025804</v>
      </c>
      <c r="C229" t="s">
        <v>2041</v>
      </c>
      <c r="D229">
        <v>3628</v>
      </c>
      <c r="E229">
        <v>2737</v>
      </c>
      <c r="F229">
        <v>891</v>
      </c>
      <c r="G229">
        <v>3628</v>
      </c>
      <c r="H229">
        <v>2737</v>
      </c>
      <c r="I229">
        <v>891</v>
      </c>
      <c r="J229">
        <v>1873</v>
      </c>
      <c r="K229">
        <v>129</v>
      </c>
      <c r="L229">
        <v>76</v>
      </c>
      <c r="M229">
        <v>91</v>
      </c>
      <c r="N229">
        <v>182</v>
      </c>
      <c r="O229">
        <v>96</v>
      </c>
      <c r="P229">
        <v>0</v>
      </c>
      <c r="Q229">
        <v>0</v>
      </c>
      <c r="R229">
        <v>141</v>
      </c>
      <c r="S229">
        <v>420</v>
      </c>
      <c r="T229">
        <v>0</v>
      </c>
      <c r="U229">
        <v>16</v>
      </c>
      <c r="V229">
        <v>207</v>
      </c>
      <c r="W229">
        <v>115</v>
      </c>
      <c r="X229">
        <v>258</v>
      </c>
      <c r="Y229">
        <v>24</v>
      </c>
      <c r="Z229" t="e">
        <f t="shared" si="6"/>
        <v>#N/A</v>
      </c>
    </row>
    <row r="230" spans="1:26" x14ac:dyDescent="0.25">
      <c r="A230" t="s">
        <v>2408</v>
      </c>
      <c r="B230">
        <v>53033025805</v>
      </c>
      <c r="C230" t="s">
        <v>2409</v>
      </c>
      <c r="D230">
        <v>5084</v>
      </c>
      <c r="E230">
        <v>3139</v>
      </c>
      <c r="F230">
        <v>1945</v>
      </c>
      <c r="G230">
        <v>5084</v>
      </c>
      <c r="H230">
        <v>3139</v>
      </c>
      <c r="I230">
        <v>1945</v>
      </c>
      <c r="J230">
        <v>1661</v>
      </c>
      <c r="K230">
        <v>387</v>
      </c>
      <c r="L230">
        <v>177</v>
      </c>
      <c r="M230">
        <v>41</v>
      </c>
      <c r="N230">
        <v>254</v>
      </c>
      <c r="O230">
        <v>221</v>
      </c>
      <c r="P230">
        <v>29</v>
      </c>
      <c r="Q230">
        <v>0</v>
      </c>
      <c r="R230">
        <v>399</v>
      </c>
      <c r="S230">
        <v>874</v>
      </c>
      <c r="T230">
        <v>113</v>
      </c>
      <c r="U230">
        <v>6</v>
      </c>
      <c r="V230">
        <v>126</v>
      </c>
      <c r="W230">
        <v>320</v>
      </c>
      <c r="X230">
        <v>380</v>
      </c>
      <c r="Y230">
        <v>96</v>
      </c>
      <c r="Z230" t="e">
        <f t="shared" si="6"/>
        <v>#N/A</v>
      </c>
    </row>
    <row r="231" spans="1:26" x14ac:dyDescent="0.25">
      <c r="A231" t="s">
        <v>2410</v>
      </c>
      <c r="B231">
        <v>53033025806</v>
      </c>
      <c r="C231" t="s">
        <v>2411</v>
      </c>
      <c r="D231">
        <v>5086</v>
      </c>
      <c r="E231">
        <v>3578</v>
      </c>
      <c r="F231">
        <v>1508</v>
      </c>
      <c r="G231">
        <v>5086</v>
      </c>
      <c r="H231">
        <v>3578</v>
      </c>
      <c r="I231">
        <v>1508</v>
      </c>
      <c r="J231">
        <v>1571</v>
      </c>
      <c r="K231">
        <v>160</v>
      </c>
      <c r="L231">
        <v>85</v>
      </c>
      <c r="M231">
        <v>10</v>
      </c>
      <c r="N231">
        <v>743</v>
      </c>
      <c r="O231">
        <v>136</v>
      </c>
      <c r="P231">
        <v>47</v>
      </c>
      <c r="Q231">
        <v>0</v>
      </c>
      <c r="R231">
        <v>546</v>
      </c>
      <c r="S231">
        <v>997</v>
      </c>
      <c r="T231">
        <v>130</v>
      </c>
      <c r="U231">
        <v>94</v>
      </c>
      <c r="V231">
        <v>8</v>
      </c>
      <c r="W231">
        <v>0</v>
      </c>
      <c r="X231">
        <v>448</v>
      </c>
      <c r="Y231">
        <v>111</v>
      </c>
      <c r="Z231" t="e">
        <f t="shared" si="6"/>
        <v>#N/A</v>
      </c>
    </row>
    <row r="232" spans="1:26" x14ac:dyDescent="0.25">
      <c r="A232" t="s">
        <v>2042</v>
      </c>
      <c r="B232">
        <v>53033026001</v>
      </c>
      <c r="C232" t="s">
        <v>2043</v>
      </c>
      <c r="D232">
        <v>5950</v>
      </c>
      <c r="E232">
        <v>4112</v>
      </c>
      <c r="F232">
        <v>1838</v>
      </c>
      <c r="G232">
        <v>5950</v>
      </c>
      <c r="H232">
        <v>4112</v>
      </c>
      <c r="I232">
        <v>1838</v>
      </c>
      <c r="J232">
        <v>1869</v>
      </c>
      <c r="K232">
        <v>148</v>
      </c>
      <c r="L232">
        <v>56</v>
      </c>
      <c r="M232">
        <v>12</v>
      </c>
      <c r="N232">
        <v>978</v>
      </c>
      <c r="O232">
        <v>299</v>
      </c>
      <c r="P232">
        <v>11</v>
      </c>
      <c r="Q232">
        <v>13</v>
      </c>
      <c r="R232">
        <v>700</v>
      </c>
      <c r="S232">
        <v>1260</v>
      </c>
      <c r="T232">
        <v>0</v>
      </c>
      <c r="U232">
        <v>0</v>
      </c>
      <c r="V232">
        <v>235</v>
      </c>
      <c r="W232">
        <v>41</v>
      </c>
      <c r="X232">
        <v>263</v>
      </c>
      <c r="Y232">
        <v>65</v>
      </c>
      <c r="Z232" t="e">
        <f t="shared" si="6"/>
        <v>#N/A</v>
      </c>
    </row>
    <row r="233" spans="1:26" x14ac:dyDescent="0.25">
      <c r="A233" t="s">
        <v>2044</v>
      </c>
      <c r="B233">
        <v>53033026002</v>
      </c>
      <c r="C233" t="s">
        <v>2045</v>
      </c>
      <c r="D233">
        <v>8590</v>
      </c>
      <c r="E233">
        <v>5844</v>
      </c>
      <c r="F233">
        <v>2746</v>
      </c>
      <c r="G233">
        <v>8590</v>
      </c>
      <c r="H233">
        <v>5844</v>
      </c>
      <c r="I233">
        <v>2746</v>
      </c>
      <c r="J233">
        <v>1861</v>
      </c>
      <c r="K233">
        <v>231</v>
      </c>
      <c r="L233">
        <v>283</v>
      </c>
      <c r="M233">
        <v>198</v>
      </c>
      <c r="N233">
        <v>1683</v>
      </c>
      <c r="O233">
        <v>543</v>
      </c>
      <c r="P233">
        <v>1</v>
      </c>
      <c r="Q233">
        <v>0</v>
      </c>
      <c r="R233">
        <v>847</v>
      </c>
      <c r="S233">
        <v>1738</v>
      </c>
      <c r="T233">
        <v>0</v>
      </c>
      <c r="U233">
        <v>4</v>
      </c>
      <c r="V233">
        <v>22</v>
      </c>
      <c r="W233">
        <v>32</v>
      </c>
      <c r="X233">
        <v>1147</v>
      </c>
      <c r="Y233">
        <v>0</v>
      </c>
      <c r="Z233" t="e">
        <f t="shared" si="6"/>
        <v>#N/A</v>
      </c>
    </row>
    <row r="234" spans="1:26" x14ac:dyDescent="0.25">
      <c r="A234" t="s">
        <v>2046</v>
      </c>
      <c r="B234">
        <v>53033026100</v>
      </c>
      <c r="C234" t="s">
        <v>2047</v>
      </c>
      <c r="D234">
        <v>8310</v>
      </c>
      <c r="E234">
        <v>5050</v>
      </c>
      <c r="F234">
        <v>3260</v>
      </c>
      <c r="G234">
        <v>8310</v>
      </c>
      <c r="H234">
        <v>5050</v>
      </c>
      <c r="I234">
        <v>3260</v>
      </c>
      <c r="J234">
        <v>1561</v>
      </c>
      <c r="K234">
        <v>93</v>
      </c>
      <c r="L234">
        <v>216</v>
      </c>
      <c r="M234">
        <v>86</v>
      </c>
      <c r="N234">
        <v>2031</v>
      </c>
      <c r="O234">
        <v>247</v>
      </c>
      <c r="P234">
        <v>43</v>
      </c>
      <c r="Q234">
        <v>0</v>
      </c>
      <c r="R234">
        <v>502</v>
      </c>
      <c r="S234">
        <v>2118</v>
      </c>
      <c r="T234">
        <v>9</v>
      </c>
      <c r="U234">
        <v>64</v>
      </c>
      <c r="V234">
        <v>237</v>
      </c>
      <c r="W234">
        <v>632</v>
      </c>
      <c r="X234">
        <v>451</v>
      </c>
      <c r="Y234">
        <v>20</v>
      </c>
      <c r="Z234" t="e">
        <f t="shared" si="6"/>
        <v>#N/A</v>
      </c>
    </row>
    <row r="235" spans="1:26" x14ac:dyDescent="0.25">
      <c r="A235" t="s">
        <v>2048</v>
      </c>
      <c r="B235">
        <v>53033026200</v>
      </c>
      <c r="C235" t="s">
        <v>2049</v>
      </c>
      <c r="D235">
        <v>5608</v>
      </c>
      <c r="E235">
        <v>4312</v>
      </c>
      <c r="F235">
        <v>1296</v>
      </c>
      <c r="G235">
        <v>5608</v>
      </c>
      <c r="H235">
        <v>4312</v>
      </c>
      <c r="I235">
        <v>1296</v>
      </c>
      <c r="J235">
        <v>2165</v>
      </c>
      <c r="K235">
        <v>333</v>
      </c>
      <c r="L235">
        <v>70</v>
      </c>
      <c r="M235">
        <v>98</v>
      </c>
      <c r="N235">
        <v>614</v>
      </c>
      <c r="O235">
        <v>45</v>
      </c>
      <c r="P235">
        <v>91</v>
      </c>
      <c r="Q235">
        <v>0</v>
      </c>
      <c r="R235">
        <v>312</v>
      </c>
      <c r="S235">
        <v>585</v>
      </c>
      <c r="T235">
        <v>17</v>
      </c>
      <c r="U235">
        <v>0</v>
      </c>
      <c r="V235">
        <v>217</v>
      </c>
      <c r="W235">
        <v>142</v>
      </c>
      <c r="X235">
        <v>826</v>
      </c>
      <c r="Y235">
        <v>93</v>
      </c>
      <c r="Z235" t="e">
        <f t="shared" si="6"/>
        <v>#N/A</v>
      </c>
    </row>
    <row r="236" spans="1:26" x14ac:dyDescent="0.25">
      <c r="A236" t="s">
        <v>2050</v>
      </c>
      <c r="B236">
        <v>53033026300</v>
      </c>
      <c r="C236" t="s">
        <v>2051</v>
      </c>
      <c r="D236">
        <v>1641</v>
      </c>
      <c r="E236">
        <v>1109</v>
      </c>
      <c r="F236">
        <v>532</v>
      </c>
      <c r="G236">
        <v>1641</v>
      </c>
      <c r="H236">
        <v>1109</v>
      </c>
      <c r="I236">
        <v>532</v>
      </c>
      <c r="J236">
        <v>300</v>
      </c>
      <c r="K236">
        <v>13</v>
      </c>
      <c r="L236">
        <v>7</v>
      </c>
      <c r="M236">
        <v>0</v>
      </c>
      <c r="N236">
        <v>203</v>
      </c>
      <c r="O236">
        <v>19</v>
      </c>
      <c r="P236">
        <v>0</v>
      </c>
      <c r="Q236">
        <v>0</v>
      </c>
      <c r="R236">
        <v>147</v>
      </c>
      <c r="S236">
        <v>383</v>
      </c>
      <c r="T236">
        <v>182</v>
      </c>
      <c r="U236">
        <v>44</v>
      </c>
      <c r="V236">
        <v>4</v>
      </c>
      <c r="W236">
        <v>33</v>
      </c>
      <c r="X236">
        <v>266</v>
      </c>
      <c r="Y236">
        <v>40</v>
      </c>
      <c r="Z236" t="e">
        <f t="shared" si="6"/>
        <v>#N/A</v>
      </c>
    </row>
    <row r="237" spans="1:26" x14ac:dyDescent="0.25">
      <c r="A237" t="s">
        <v>2052</v>
      </c>
      <c r="B237">
        <v>53033026400</v>
      </c>
      <c r="C237" t="s">
        <v>2053</v>
      </c>
      <c r="D237">
        <v>6174</v>
      </c>
      <c r="E237">
        <v>4423</v>
      </c>
      <c r="F237">
        <v>1751</v>
      </c>
      <c r="G237">
        <v>6174</v>
      </c>
      <c r="H237">
        <v>4423</v>
      </c>
      <c r="I237">
        <v>1751</v>
      </c>
      <c r="J237">
        <v>2137</v>
      </c>
      <c r="K237">
        <v>179</v>
      </c>
      <c r="L237">
        <v>556</v>
      </c>
      <c r="M237">
        <v>220</v>
      </c>
      <c r="N237">
        <v>551</v>
      </c>
      <c r="O237">
        <v>161</v>
      </c>
      <c r="P237">
        <v>43</v>
      </c>
      <c r="Q237">
        <v>20</v>
      </c>
      <c r="R237">
        <v>246</v>
      </c>
      <c r="S237">
        <v>478</v>
      </c>
      <c r="T237">
        <v>54</v>
      </c>
      <c r="U237">
        <v>139</v>
      </c>
      <c r="V237">
        <v>205</v>
      </c>
      <c r="W237">
        <v>507</v>
      </c>
      <c r="X237">
        <v>631</v>
      </c>
      <c r="Y237">
        <v>47</v>
      </c>
      <c r="Z237" t="e">
        <f t="shared" si="6"/>
        <v>#N/A</v>
      </c>
    </row>
    <row r="238" spans="1:26" x14ac:dyDescent="0.25">
      <c r="A238" t="s">
        <v>2054</v>
      </c>
      <c r="B238">
        <v>53033026500</v>
      </c>
      <c r="C238" t="s">
        <v>2055</v>
      </c>
      <c r="D238">
        <v>4236</v>
      </c>
      <c r="E238">
        <v>2765</v>
      </c>
      <c r="F238">
        <v>1471</v>
      </c>
      <c r="G238">
        <v>4236</v>
      </c>
      <c r="H238">
        <v>2765</v>
      </c>
      <c r="I238">
        <v>1471</v>
      </c>
      <c r="J238">
        <v>1158</v>
      </c>
      <c r="K238">
        <v>110</v>
      </c>
      <c r="L238">
        <v>72</v>
      </c>
      <c r="M238">
        <v>91</v>
      </c>
      <c r="N238">
        <v>530</v>
      </c>
      <c r="O238">
        <v>285</v>
      </c>
      <c r="P238">
        <v>8</v>
      </c>
      <c r="Q238">
        <v>0</v>
      </c>
      <c r="R238">
        <v>154</v>
      </c>
      <c r="S238">
        <v>690</v>
      </c>
      <c r="T238">
        <v>44</v>
      </c>
      <c r="U238">
        <v>66</v>
      </c>
      <c r="V238">
        <v>138</v>
      </c>
      <c r="W238">
        <v>128</v>
      </c>
      <c r="X238">
        <v>661</v>
      </c>
      <c r="Y238">
        <v>101</v>
      </c>
      <c r="Z238" t="e">
        <f t="shared" si="6"/>
        <v>#N/A</v>
      </c>
    </row>
    <row r="239" spans="1:26" x14ac:dyDescent="0.25">
      <c r="A239" t="s">
        <v>2056</v>
      </c>
      <c r="B239">
        <v>53033026600</v>
      </c>
      <c r="C239" t="s">
        <v>2057</v>
      </c>
      <c r="D239">
        <v>2633</v>
      </c>
      <c r="E239">
        <v>1895</v>
      </c>
      <c r="F239">
        <v>738</v>
      </c>
      <c r="G239">
        <v>2633</v>
      </c>
      <c r="H239">
        <v>1895</v>
      </c>
      <c r="I239">
        <v>738</v>
      </c>
      <c r="J239">
        <v>1055</v>
      </c>
      <c r="K239">
        <v>90</v>
      </c>
      <c r="L239">
        <v>163</v>
      </c>
      <c r="M239">
        <v>223</v>
      </c>
      <c r="N239">
        <v>197</v>
      </c>
      <c r="O239">
        <v>28</v>
      </c>
      <c r="P239">
        <v>23</v>
      </c>
      <c r="Q239">
        <v>6</v>
      </c>
      <c r="R239">
        <v>83</v>
      </c>
      <c r="S239">
        <v>305</v>
      </c>
      <c r="T239">
        <v>7</v>
      </c>
      <c r="U239">
        <v>0</v>
      </c>
      <c r="V239">
        <v>102</v>
      </c>
      <c r="W239">
        <v>86</v>
      </c>
      <c r="X239">
        <v>265</v>
      </c>
      <c r="Y239">
        <v>0</v>
      </c>
      <c r="Z239" t="e">
        <f t="shared" si="6"/>
        <v>#N/A</v>
      </c>
    </row>
    <row r="240" spans="1:26" x14ac:dyDescent="0.25">
      <c r="A240" t="s">
        <v>2058</v>
      </c>
      <c r="B240">
        <v>53033026700</v>
      </c>
      <c r="C240" t="s">
        <v>2059</v>
      </c>
      <c r="D240">
        <v>5251</v>
      </c>
      <c r="E240">
        <v>4385</v>
      </c>
      <c r="F240">
        <v>866</v>
      </c>
      <c r="G240">
        <v>5251</v>
      </c>
      <c r="H240">
        <v>4385</v>
      </c>
      <c r="I240">
        <v>866</v>
      </c>
      <c r="J240">
        <v>3210</v>
      </c>
      <c r="K240">
        <v>100</v>
      </c>
      <c r="L240">
        <v>70</v>
      </c>
      <c r="M240">
        <v>0</v>
      </c>
      <c r="N240">
        <v>150</v>
      </c>
      <c r="O240">
        <v>0</v>
      </c>
      <c r="P240">
        <v>193</v>
      </c>
      <c r="Q240">
        <v>0</v>
      </c>
      <c r="R240">
        <v>68</v>
      </c>
      <c r="S240">
        <v>398</v>
      </c>
      <c r="T240">
        <v>220</v>
      </c>
      <c r="U240">
        <v>48</v>
      </c>
      <c r="V240">
        <v>216</v>
      </c>
      <c r="W240">
        <v>221</v>
      </c>
      <c r="X240">
        <v>258</v>
      </c>
      <c r="Y240">
        <v>99</v>
      </c>
      <c r="Z240" t="e">
        <f t="shared" si="6"/>
        <v>#N/A</v>
      </c>
    </row>
    <row r="241" spans="1:26" x14ac:dyDescent="0.25">
      <c r="A241" t="s">
        <v>2060</v>
      </c>
      <c r="B241">
        <v>53033026801</v>
      </c>
      <c r="C241" t="s">
        <v>2061</v>
      </c>
      <c r="D241">
        <v>5825</v>
      </c>
      <c r="E241">
        <v>3524</v>
      </c>
      <c r="F241">
        <v>2301</v>
      </c>
      <c r="G241">
        <v>5825</v>
      </c>
      <c r="H241">
        <v>3524</v>
      </c>
      <c r="I241">
        <v>2301</v>
      </c>
      <c r="J241">
        <v>1641</v>
      </c>
      <c r="K241">
        <v>65</v>
      </c>
      <c r="L241">
        <v>182</v>
      </c>
      <c r="M241">
        <v>283</v>
      </c>
      <c r="N241">
        <v>462</v>
      </c>
      <c r="O241">
        <v>97</v>
      </c>
      <c r="P241">
        <v>95</v>
      </c>
      <c r="Q241">
        <v>29</v>
      </c>
      <c r="R241">
        <v>146</v>
      </c>
      <c r="S241">
        <v>890</v>
      </c>
      <c r="T241">
        <v>244</v>
      </c>
      <c r="U241">
        <v>140</v>
      </c>
      <c r="V241">
        <v>262</v>
      </c>
      <c r="W241">
        <v>637</v>
      </c>
      <c r="X241">
        <v>492</v>
      </c>
      <c r="Y241">
        <v>160</v>
      </c>
      <c r="Z241" t="e">
        <f t="shared" si="6"/>
        <v>#N/A</v>
      </c>
    </row>
    <row r="242" spans="1:26" x14ac:dyDescent="0.25">
      <c r="A242" t="s">
        <v>2062</v>
      </c>
      <c r="B242">
        <v>53033026802</v>
      </c>
      <c r="C242" t="s">
        <v>2063</v>
      </c>
      <c r="D242">
        <v>5155</v>
      </c>
      <c r="E242">
        <v>3303</v>
      </c>
      <c r="F242">
        <v>1852</v>
      </c>
      <c r="G242">
        <v>5155</v>
      </c>
      <c r="H242">
        <v>3303</v>
      </c>
      <c r="I242">
        <v>1852</v>
      </c>
      <c r="J242">
        <v>1715</v>
      </c>
      <c r="K242">
        <v>105</v>
      </c>
      <c r="L242">
        <v>409</v>
      </c>
      <c r="M242">
        <v>332</v>
      </c>
      <c r="N242">
        <v>271</v>
      </c>
      <c r="O242">
        <v>230</v>
      </c>
      <c r="P242">
        <v>5</v>
      </c>
      <c r="Q242">
        <v>0</v>
      </c>
      <c r="R242">
        <v>304</v>
      </c>
      <c r="S242">
        <v>719</v>
      </c>
      <c r="T242">
        <v>110</v>
      </c>
      <c r="U242">
        <v>167</v>
      </c>
      <c r="V242">
        <v>290</v>
      </c>
      <c r="W242">
        <v>258</v>
      </c>
      <c r="X242">
        <v>199</v>
      </c>
      <c r="Y242">
        <v>41</v>
      </c>
      <c r="Z242" t="e">
        <f t="shared" si="6"/>
        <v>#N/A</v>
      </c>
    </row>
    <row r="243" spans="1:26" x14ac:dyDescent="0.25">
      <c r="A243" t="s">
        <v>2066</v>
      </c>
      <c r="B243">
        <v>53033027000</v>
      </c>
      <c r="C243" t="s">
        <v>2067</v>
      </c>
      <c r="D243">
        <v>3246</v>
      </c>
      <c r="E243">
        <v>2403</v>
      </c>
      <c r="F243">
        <v>843</v>
      </c>
      <c r="G243">
        <v>3246</v>
      </c>
      <c r="H243">
        <v>2403</v>
      </c>
      <c r="I243">
        <v>843</v>
      </c>
      <c r="J243">
        <v>1527</v>
      </c>
      <c r="K243">
        <v>73</v>
      </c>
      <c r="L243">
        <v>161</v>
      </c>
      <c r="M243">
        <v>168</v>
      </c>
      <c r="N243">
        <v>85</v>
      </c>
      <c r="O243">
        <v>36</v>
      </c>
      <c r="P243">
        <v>81</v>
      </c>
      <c r="Q243">
        <v>0</v>
      </c>
      <c r="R243">
        <v>252</v>
      </c>
      <c r="S243">
        <v>371</v>
      </c>
      <c r="T243">
        <v>16</v>
      </c>
      <c r="U243">
        <v>9</v>
      </c>
      <c r="V243">
        <v>147</v>
      </c>
      <c r="W243">
        <v>186</v>
      </c>
      <c r="X243">
        <v>134</v>
      </c>
      <c r="Y243">
        <v>0</v>
      </c>
      <c r="Z243" t="e">
        <f t="shared" si="6"/>
        <v>#N/A</v>
      </c>
    </row>
    <row r="244" spans="1:26" x14ac:dyDescent="0.25">
      <c r="A244" t="s">
        <v>2068</v>
      </c>
      <c r="B244">
        <v>53033027100</v>
      </c>
      <c r="C244" t="s">
        <v>2069</v>
      </c>
      <c r="D244">
        <v>3448</v>
      </c>
      <c r="E244">
        <v>2543</v>
      </c>
      <c r="F244">
        <v>905</v>
      </c>
      <c r="G244">
        <v>3448</v>
      </c>
      <c r="H244">
        <v>2543</v>
      </c>
      <c r="I244">
        <v>905</v>
      </c>
      <c r="J244">
        <v>1587</v>
      </c>
      <c r="K244">
        <v>55</v>
      </c>
      <c r="L244">
        <v>343</v>
      </c>
      <c r="M244">
        <v>381</v>
      </c>
      <c r="N244">
        <v>206</v>
      </c>
      <c r="O244">
        <v>197</v>
      </c>
      <c r="P244">
        <v>8</v>
      </c>
      <c r="Q244">
        <v>0</v>
      </c>
      <c r="R244">
        <v>125</v>
      </c>
      <c r="S244">
        <v>107</v>
      </c>
      <c r="T244">
        <v>55</v>
      </c>
      <c r="U244">
        <v>7</v>
      </c>
      <c r="V244">
        <v>110</v>
      </c>
      <c r="W244">
        <v>158</v>
      </c>
      <c r="X244">
        <v>109</v>
      </c>
      <c r="Y244">
        <v>0</v>
      </c>
      <c r="Z244" t="e">
        <f t="shared" si="6"/>
        <v>#N/A</v>
      </c>
    </row>
    <row r="245" spans="1:26" x14ac:dyDescent="0.25">
      <c r="A245" t="s">
        <v>2070</v>
      </c>
      <c r="B245">
        <v>53033027200</v>
      </c>
      <c r="C245" t="s">
        <v>2071</v>
      </c>
      <c r="D245">
        <v>2608</v>
      </c>
      <c r="E245">
        <v>1419</v>
      </c>
      <c r="F245">
        <v>1189</v>
      </c>
      <c r="G245">
        <v>2608</v>
      </c>
      <c r="H245">
        <v>1419</v>
      </c>
      <c r="I245">
        <v>1189</v>
      </c>
      <c r="J245">
        <v>692</v>
      </c>
      <c r="K245">
        <v>189</v>
      </c>
      <c r="L245">
        <v>94</v>
      </c>
      <c r="M245">
        <v>22</v>
      </c>
      <c r="N245">
        <v>126</v>
      </c>
      <c r="O245">
        <v>181</v>
      </c>
      <c r="P245">
        <v>0</v>
      </c>
      <c r="Q245">
        <v>4</v>
      </c>
      <c r="R245">
        <v>146</v>
      </c>
      <c r="S245">
        <v>381</v>
      </c>
      <c r="T245">
        <v>9</v>
      </c>
      <c r="U245">
        <v>29</v>
      </c>
      <c r="V245">
        <v>96</v>
      </c>
      <c r="W245">
        <v>330</v>
      </c>
      <c r="X245">
        <v>256</v>
      </c>
      <c r="Y245">
        <v>53</v>
      </c>
      <c r="Z245" t="e">
        <f t="shared" si="6"/>
        <v>#N/A</v>
      </c>
    </row>
    <row r="246" spans="1:26" x14ac:dyDescent="0.25">
      <c r="A246" t="s">
        <v>2072</v>
      </c>
      <c r="B246">
        <v>53033027300</v>
      </c>
      <c r="C246" t="s">
        <v>2073</v>
      </c>
      <c r="D246">
        <v>5846</v>
      </c>
      <c r="E246">
        <v>2620</v>
      </c>
      <c r="F246">
        <v>3226</v>
      </c>
      <c r="G246">
        <v>5846</v>
      </c>
      <c r="H246">
        <v>2620</v>
      </c>
      <c r="I246">
        <v>3226</v>
      </c>
      <c r="J246">
        <v>1296</v>
      </c>
      <c r="K246">
        <v>399</v>
      </c>
      <c r="L246">
        <v>326</v>
      </c>
      <c r="M246">
        <v>363</v>
      </c>
      <c r="N246">
        <v>221</v>
      </c>
      <c r="O246">
        <v>406</v>
      </c>
      <c r="P246">
        <v>49</v>
      </c>
      <c r="Q246">
        <v>55</v>
      </c>
      <c r="R246">
        <v>183</v>
      </c>
      <c r="S246">
        <v>1656</v>
      </c>
      <c r="T246">
        <v>0</v>
      </c>
      <c r="U246">
        <v>0</v>
      </c>
      <c r="V246">
        <v>176</v>
      </c>
      <c r="W246">
        <v>313</v>
      </c>
      <c r="X246">
        <v>369</v>
      </c>
      <c r="Y246">
        <v>34</v>
      </c>
      <c r="Z246" t="e">
        <f t="shared" si="6"/>
        <v>#N/A</v>
      </c>
    </row>
    <row r="247" spans="1:26" x14ac:dyDescent="0.25">
      <c r="A247" t="s">
        <v>2074</v>
      </c>
      <c r="B247">
        <v>53033027400</v>
      </c>
      <c r="C247" t="s">
        <v>2075</v>
      </c>
      <c r="D247">
        <v>4973</v>
      </c>
      <c r="E247">
        <v>3447</v>
      </c>
      <c r="F247">
        <v>1526</v>
      </c>
      <c r="G247">
        <v>4973</v>
      </c>
      <c r="H247">
        <v>3447</v>
      </c>
      <c r="I247">
        <v>1526</v>
      </c>
      <c r="J247">
        <v>2159</v>
      </c>
      <c r="K247">
        <v>81</v>
      </c>
      <c r="L247">
        <v>391</v>
      </c>
      <c r="M247">
        <v>120</v>
      </c>
      <c r="N247">
        <v>141</v>
      </c>
      <c r="O247">
        <v>62</v>
      </c>
      <c r="P247">
        <v>0</v>
      </c>
      <c r="Q247">
        <v>11</v>
      </c>
      <c r="R247">
        <v>219</v>
      </c>
      <c r="S247">
        <v>965</v>
      </c>
      <c r="T247">
        <v>15</v>
      </c>
      <c r="U247">
        <v>12</v>
      </c>
      <c r="V247">
        <v>152</v>
      </c>
      <c r="W247">
        <v>268</v>
      </c>
      <c r="X247">
        <v>370</v>
      </c>
      <c r="Y247">
        <v>7</v>
      </c>
      <c r="Z247" t="e">
        <f t="shared" si="6"/>
        <v>#N/A</v>
      </c>
    </row>
    <row r="248" spans="1:26" x14ac:dyDescent="0.25">
      <c r="A248" t="s">
        <v>2076</v>
      </c>
      <c r="B248">
        <v>53033027500</v>
      </c>
      <c r="C248" t="s">
        <v>2077</v>
      </c>
      <c r="D248">
        <v>4926</v>
      </c>
      <c r="E248">
        <v>3655</v>
      </c>
      <c r="F248">
        <v>1271</v>
      </c>
      <c r="G248">
        <v>4926</v>
      </c>
      <c r="H248">
        <v>3655</v>
      </c>
      <c r="I248">
        <v>1271</v>
      </c>
      <c r="J248">
        <v>2305</v>
      </c>
      <c r="K248">
        <v>216</v>
      </c>
      <c r="L248">
        <v>254</v>
      </c>
      <c r="M248">
        <v>202</v>
      </c>
      <c r="N248">
        <v>196</v>
      </c>
      <c r="O248">
        <v>32</v>
      </c>
      <c r="P248">
        <v>29</v>
      </c>
      <c r="Q248">
        <v>0</v>
      </c>
      <c r="R248">
        <v>217</v>
      </c>
      <c r="S248">
        <v>369</v>
      </c>
      <c r="T248">
        <v>0</v>
      </c>
      <c r="U248">
        <v>20</v>
      </c>
      <c r="V248">
        <v>257</v>
      </c>
      <c r="W248">
        <v>432</v>
      </c>
      <c r="X248">
        <v>397</v>
      </c>
      <c r="Y248">
        <v>0</v>
      </c>
      <c r="Z248" t="e">
        <f t="shared" si="6"/>
        <v>#N/A</v>
      </c>
    </row>
    <row r="249" spans="1:26" x14ac:dyDescent="0.25">
      <c r="A249" t="s">
        <v>2078</v>
      </c>
      <c r="B249">
        <v>53033027600</v>
      </c>
      <c r="C249" t="s">
        <v>2079</v>
      </c>
      <c r="D249">
        <v>4818</v>
      </c>
      <c r="E249">
        <v>3609</v>
      </c>
      <c r="F249">
        <v>1209</v>
      </c>
      <c r="G249">
        <v>4818</v>
      </c>
      <c r="H249">
        <v>3609</v>
      </c>
      <c r="I249">
        <v>1209</v>
      </c>
      <c r="J249">
        <v>2391</v>
      </c>
      <c r="K249">
        <v>80</v>
      </c>
      <c r="L249">
        <v>345</v>
      </c>
      <c r="M249">
        <v>308</v>
      </c>
      <c r="N249">
        <v>146</v>
      </c>
      <c r="O249">
        <v>142</v>
      </c>
      <c r="P249">
        <v>160</v>
      </c>
      <c r="Q249">
        <v>48</v>
      </c>
      <c r="R249">
        <v>201</v>
      </c>
      <c r="S249">
        <v>114</v>
      </c>
      <c r="T249">
        <v>0</v>
      </c>
      <c r="U249">
        <v>0</v>
      </c>
      <c r="V249">
        <v>301</v>
      </c>
      <c r="W249">
        <v>435</v>
      </c>
      <c r="X249">
        <v>65</v>
      </c>
      <c r="Y249">
        <v>82</v>
      </c>
      <c r="Z249" t="e">
        <f t="shared" si="6"/>
        <v>#N/A</v>
      </c>
    </row>
    <row r="250" spans="1:26" x14ac:dyDescent="0.25">
      <c r="A250" t="s">
        <v>2080</v>
      </c>
      <c r="B250">
        <v>53033027701</v>
      </c>
      <c r="C250" t="s">
        <v>2081</v>
      </c>
      <c r="D250">
        <v>4890</v>
      </c>
      <c r="E250">
        <v>4449</v>
      </c>
      <c r="F250">
        <v>441</v>
      </c>
      <c r="G250">
        <v>4890</v>
      </c>
      <c r="H250">
        <v>4449</v>
      </c>
      <c r="I250">
        <v>441</v>
      </c>
      <c r="J250">
        <v>4167</v>
      </c>
      <c r="K250">
        <v>209</v>
      </c>
      <c r="L250">
        <v>161</v>
      </c>
      <c r="M250">
        <v>99</v>
      </c>
      <c r="N250">
        <v>5</v>
      </c>
      <c r="O250">
        <v>0</v>
      </c>
      <c r="P250">
        <v>0</v>
      </c>
      <c r="Q250">
        <v>0</v>
      </c>
      <c r="R250">
        <v>0</v>
      </c>
      <c r="S250">
        <v>132</v>
      </c>
      <c r="T250">
        <v>0</v>
      </c>
      <c r="U250">
        <v>0</v>
      </c>
      <c r="V250">
        <v>33</v>
      </c>
      <c r="W250">
        <v>1</v>
      </c>
      <c r="X250">
        <v>83</v>
      </c>
      <c r="Y250">
        <v>0</v>
      </c>
      <c r="Z250" t="e">
        <f t="shared" si="6"/>
        <v>#N/A</v>
      </c>
    </row>
    <row r="251" spans="1:26" x14ac:dyDescent="0.25">
      <c r="A251" t="s">
        <v>2082</v>
      </c>
      <c r="B251">
        <v>53033027702</v>
      </c>
      <c r="C251" t="s">
        <v>2083</v>
      </c>
      <c r="D251">
        <v>4745</v>
      </c>
      <c r="E251">
        <v>4426</v>
      </c>
      <c r="F251">
        <v>319</v>
      </c>
      <c r="G251">
        <v>4745</v>
      </c>
      <c r="H251">
        <v>4426</v>
      </c>
      <c r="I251">
        <v>319</v>
      </c>
      <c r="J251">
        <v>4193</v>
      </c>
      <c r="K251">
        <v>275</v>
      </c>
      <c r="L251">
        <v>114</v>
      </c>
      <c r="M251">
        <v>0</v>
      </c>
      <c r="N251">
        <v>16</v>
      </c>
      <c r="O251">
        <v>0</v>
      </c>
      <c r="P251">
        <v>62</v>
      </c>
      <c r="Q251">
        <v>16</v>
      </c>
      <c r="R251">
        <v>40</v>
      </c>
      <c r="S251">
        <v>27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 t="e">
        <f t="shared" si="6"/>
        <v>#N/A</v>
      </c>
    </row>
    <row r="252" spans="1:26" x14ac:dyDescent="0.25">
      <c r="A252" t="s">
        <v>2084</v>
      </c>
      <c r="B252">
        <v>53033027800</v>
      </c>
      <c r="C252" t="s">
        <v>2085</v>
      </c>
      <c r="D252">
        <v>3404</v>
      </c>
      <c r="E252">
        <v>3035</v>
      </c>
      <c r="F252">
        <v>369</v>
      </c>
      <c r="G252">
        <v>3404</v>
      </c>
      <c r="H252">
        <v>3035</v>
      </c>
      <c r="I252">
        <v>369</v>
      </c>
      <c r="J252">
        <v>2778</v>
      </c>
      <c r="K252">
        <v>238</v>
      </c>
      <c r="L252">
        <v>91</v>
      </c>
      <c r="M252">
        <v>36</v>
      </c>
      <c r="N252">
        <v>0</v>
      </c>
      <c r="O252">
        <v>24</v>
      </c>
      <c r="P252">
        <v>0</v>
      </c>
      <c r="Q252">
        <v>0</v>
      </c>
      <c r="R252">
        <v>35</v>
      </c>
      <c r="S252">
        <v>52</v>
      </c>
      <c r="T252">
        <v>25</v>
      </c>
      <c r="U252">
        <v>0</v>
      </c>
      <c r="V252">
        <v>17</v>
      </c>
      <c r="W252">
        <v>11</v>
      </c>
      <c r="X252">
        <v>89</v>
      </c>
      <c r="Y252">
        <v>8</v>
      </c>
      <c r="Z252" t="e">
        <f t="shared" si="6"/>
        <v>#N/A</v>
      </c>
    </row>
    <row r="253" spans="1:26" x14ac:dyDescent="0.25">
      <c r="A253" t="s">
        <v>2086</v>
      </c>
      <c r="B253">
        <v>53033027900</v>
      </c>
      <c r="C253" t="s">
        <v>2087</v>
      </c>
      <c r="D253">
        <v>8123</v>
      </c>
      <c r="E253">
        <v>6752</v>
      </c>
      <c r="F253">
        <v>1371</v>
      </c>
      <c r="G253">
        <v>8123</v>
      </c>
      <c r="H253">
        <v>6752</v>
      </c>
      <c r="I253">
        <v>1371</v>
      </c>
      <c r="J253">
        <v>4353</v>
      </c>
      <c r="K253">
        <v>260</v>
      </c>
      <c r="L253">
        <v>617</v>
      </c>
      <c r="M253">
        <v>280</v>
      </c>
      <c r="N253">
        <v>676</v>
      </c>
      <c r="O253">
        <v>30</v>
      </c>
      <c r="P253">
        <v>102</v>
      </c>
      <c r="Q253">
        <v>0</v>
      </c>
      <c r="R253">
        <v>262</v>
      </c>
      <c r="S253">
        <v>550</v>
      </c>
      <c r="T253">
        <v>0</v>
      </c>
      <c r="U253">
        <v>0</v>
      </c>
      <c r="V253">
        <v>155</v>
      </c>
      <c r="W253">
        <v>144</v>
      </c>
      <c r="X253">
        <v>587</v>
      </c>
      <c r="Y253">
        <v>107</v>
      </c>
      <c r="Z253" t="e">
        <f t="shared" si="6"/>
        <v>#N/A</v>
      </c>
    </row>
    <row r="254" spans="1:26" x14ac:dyDescent="0.25">
      <c r="A254" t="s">
        <v>2088</v>
      </c>
      <c r="B254">
        <v>53033028000</v>
      </c>
      <c r="C254" t="s">
        <v>2089</v>
      </c>
      <c r="D254">
        <v>4398</v>
      </c>
      <c r="E254">
        <v>2436</v>
      </c>
      <c r="F254">
        <v>1962</v>
      </c>
      <c r="G254">
        <v>4398</v>
      </c>
      <c r="H254">
        <v>2436</v>
      </c>
      <c r="I254">
        <v>1962</v>
      </c>
      <c r="J254">
        <v>1076</v>
      </c>
      <c r="K254">
        <v>140</v>
      </c>
      <c r="L254">
        <v>176</v>
      </c>
      <c r="M254">
        <v>550</v>
      </c>
      <c r="N254">
        <v>334</v>
      </c>
      <c r="O254">
        <v>303</v>
      </c>
      <c r="P254">
        <v>49</v>
      </c>
      <c r="Q254">
        <v>0</v>
      </c>
      <c r="R254">
        <v>202</v>
      </c>
      <c r="S254">
        <v>453</v>
      </c>
      <c r="T254">
        <v>10</v>
      </c>
      <c r="U254">
        <v>131</v>
      </c>
      <c r="V254">
        <v>416</v>
      </c>
      <c r="W254">
        <v>296</v>
      </c>
      <c r="X254">
        <v>173</v>
      </c>
      <c r="Y254">
        <v>89</v>
      </c>
      <c r="Z254" t="e">
        <f t="shared" si="6"/>
        <v>#N/A</v>
      </c>
    </row>
    <row r="255" spans="1:26" x14ac:dyDescent="0.25">
      <c r="A255" t="s">
        <v>2090</v>
      </c>
      <c r="B255">
        <v>53033028100</v>
      </c>
      <c r="C255" t="s">
        <v>2091</v>
      </c>
      <c r="D255">
        <v>2693</v>
      </c>
      <c r="E255">
        <v>1007</v>
      </c>
      <c r="F255">
        <v>1686</v>
      </c>
      <c r="G255">
        <v>2693</v>
      </c>
      <c r="H255">
        <v>1007</v>
      </c>
      <c r="I255">
        <v>1686</v>
      </c>
      <c r="J255">
        <v>440</v>
      </c>
      <c r="K255">
        <v>126</v>
      </c>
      <c r="L255">
        <v>61</v>
      </c>
      <c r="M255">
        <v>107</v>
      </c>
      <c r="N255">
        <v>121</v>
      </c>
      <c r="O255">
        <v>839</v>
      </c>
      <c r="P255">
        <v>42</v>
      </c>
      <c r="Q255">
        <v>0</v>
      </c>
      <c r="R255">
        <v>139</v>
      </c>
      <c r="S255">
        <v>428</v>
      </c>
      <c r="T255">
        <v>7</v>
      </c>
      <c r="U255">
        <v>40</v>
      </c>
      <c r="V255">
        <v>43</v>
      </c>
      <c r="W255">
        <v>79</v>
      </c>
      <c r="X255">
        <v>154</v>
      </c>
      <c r="Y255">
        <v>67</v>
      </c>
      <c r="Z255" t="e">
        <f t="shared" si="6"/>
        <v>#N/A</v>
      </c>
    </row>
    <row r="256" spans="1:26" x14ac:dyDescent="0.25">
      <c r="A256" t="s">
        <v>2092</v>
      </c>
      <c r="B256">
        <v>53033028200</v>
      </c>
      <c r="C256" t="s">
        <v>2093</v>
      </c>
      <c r="D256">
        <v>5005</v>
      </c>
      <c r="E256">
        <v>2489</v>
      </c>
      <c r="F256">
        <v>2516</v>
      </c>
      <c r="G256">
        <v>5005</v>
      </c>
      <c r="H256">
        <v>2489</v>
      </c>
      <c r="I256">
        <v>2516</v>
      </c>
      <c r="J256">
        <v>1062</v>
      </c>
      <c r="K256">
        <v>232</v>
      </c>
      <c r="L256">
        <v>198</v>
      </c>
      <c r="M256">
        <v>200</v>
      </c>
      <c r="N256">
        <v>572</v>
      </c>
      <c r="O256">
        <v>702</v>
      </c>
      <c r="P256">
        <v>10</v>
      </c>
      <c r="Q256">
        <v>7</v>
      </c>
      <c r="R256">
        <v>136</v>
      </c>
      <c r="S256">
        <v>812</v>
      </c>
      <c r="T256">
        <v>68</v>
      </c>
      <c r="U256">
        <v>78</v>
      </c>
      <c r="V256">
        <v>178</v>
      </c>
      <c r="W256">
        <v>349</v>
      </c>
      <c r="X256">
        <v>265</v>
      </c>
      <c r="Y256">
        <v>136</v>
      </c>
      <c r="Z256" t="e">
        <f t="shared" si="6"/>
        <v>#N/A</v>
      </c>
    </row>
    <row r="257" spans="1:26" x14ac:dyDescent="0.25">
      <c r="A257" t="s">
        <v>2094</v>
      </c>
      <c r="B257">
        <v>53033028300</v>
      </c>
      <c r="C257" t="s">
        <v>2095</v>
      </c>
      <c r="D257">
        <v>5143</v>
      </c>
      <c r="E257">
        <v>3211</v>
      </c>
      <c r="F257">
        <v>1932</v>
      </c>
      <c r="G257">
        <v>5143</v>
      </c>
      <c r="H257">
        <v>3211</v>
      </c>
      <c r="I257">
        <v>1932</v>
      </c>
      <c r="J257">
        <v>1891</v>
      </c>
      <c r="K257">
        <v>256</v>
      </c>
      <c r="L257">
        <v>218</v>
      </c>
      <c r="M257">
        <v>161</v>
      </c>
      <c r="N257">
        <v>304</v>
      </c>
      <c r="O257">
        <v>277</v>
      </c>
      <c r="P257">
        <v>46</v>
      </c>
      <c r="Q257">
        <v>0</v>
      </c>
      <c r="R257">
        <v>414</v>
      </c>
      <c r="S257">
        <v>976</v>
      </c>
      <c r="T257">
        <v>0</v>
      </c>
      <c r="U257">
        <v>0</v>
      </c>
      <c r="V257">
        <v>18</v>
      </c>
      <c r="W257">
        <v>127</v>
      </c>
      <c r="X257">
        <v>320</v>
      </c>
      <c r="Y257">
        <v>135</v>
      </c>
      <c r="Z257" t="e">
        <f t="shared" si="6"/>
        <v>#N/A</v>
      </c>
    </row>
    <row r="258" spans="1:26" x14ac:dyDescent="0.25">
      <c r="A258" t="s">
        <v>2096</v>
      </c>
      <c r="B258">
        <v>53033028402</v>
      </c>
      <c r="C258" t="s">
        <v>2097</v>
      </c>
      <c r="D258">
        <v>5090</v>
      </c>
      <c r="E258">
        <v>2452</v>
      </c>
      <c r="F258">
        <v>2638</v>
      </c>
      <c r="G258">
        <v>5090</v>
      </c>
      <c r="H258">
        <v>2452</v>
      </c>
      <c r="I258">
        <v>2638</v>
      </c>
      <c r="J258">
        <v>1111</v>
      </c>
      <c r="K258">
        <v>348</v>
      </c>
      <c r="L258">
        <v>110</v>
      </c>
      <c r="M258">
        <v>103</v>
      </c>
      <c r="N258">
        <v>492</v>
      </c>
      <c r="O258">
        <v>1071</v>
      </c>
      <c r="P258">
        <v>24</v>
      </c>
      <c r="Q258">
        <v>0</v>
      </c>
      <c r="R258">
        <v>165</v>
      </c>
      <c r="S258">
        <v>722</v>
      </c>
      <c r="T258">
        <v>0</v>
      </c>
      <c r="U258">
        <v>0</v>
      </c>
      <c r="V258">
        <v>211</v>
      </c>
      <c r="W258">
        <v>183</v>
      </c>
      <c r="X258">
        <v>339</v>
      </c>
      <c r="Y258">
        <v>211</v>
      </c>
      <c r="Z258" t="e">
        <f t="shared" si="6"/>
        <v>#N/A</v>
      </c>
    </row>
    <row r="259" spans="1:26" x14ac:dyDescent="0.25">
      <c r="A259" t="s">
        <v>2098</v>
      </c>
      <c r="B259">
        <v>53033028403</v>
      </c>
      <c r="C259" t="s">
        <v>2099</v>
      </c>
      <c r="D259">
        <v>5362</v>
      </c>
      <c r="E259">
        <v>3052</v>
      </c>
      <c r="F259">
        <v>2310</v>
      </c>
      <c r="G259">
        <v>5362</v>
      </c>
      <c r="H259">
        <v>3052</v>
      </c>
      <c r="I259">
        <v>2310</v>
      </c>
      <c r="J259">
        <v>1707</v>
      </c>
      <c r="K259">
        <v>157</v>
      </c>
      <c r="L259">
        <v>74</v>
      </c>
      <c r="M259">
        <v>10</v>
      </c>
      <c r="N259">
        <v>303</v>
      </c>
      <c r="O259">
        <v>1068</v>
      </c>
      <c r="P259">
        <v>55</v>
      </c>
      <c r="Q259">
        <v>0</v>
      </c>
      <c r="R259">
        <v>180</v>
      </c>
      <c r="S259">
        <v>497</v>
      </c>
      <c r="T259">
        <v>177</v>
      </c>
      <c r="U259">
        <v>204</v>
      </c>
      <c r="V259">
        <v>277</v>
      </c>
      <c r="W259">
        <v>324</v>
      </c>
      <c r="X259">
        <v>279</v>
      </c>
      <c r="Y259">
        <v>50</v>
      </c>
      <c r="Z259" t="e">
        <f t="shared" ref="Z259:Z322" si="7">VLOOKUP(C259,$AG$2:$AH$133,2,FALSE)</f>
        <v>#N/A</v>
      </c>
    </row>
    <row r="260" spans="1:26" x14ac:dyDescent="0.25">
      <c r="A260" t="s">
        <v>2100</v>
      </c>
      <c r="B260">
        <v>53033028500</v>
      </c>
      <c r="C260" t="s">
        <v>2101</v>
      </c>
      <c r="D260">
        <v>3999</v>
      </c>
      <c r="E260">
        <v>3325</v>
      </c>
      <c r="F260">
        <v>674</v>
      </c>
      <c r="G260">
        <v>3999</v>
      </c>
      <c r="H260">
        <v>3325</v>
      </c>
      <c r="I260">
        <v>674</v>
      </c>
      <c r="J260">
        <v>1829</v>
      </c>
      <c r="K260">
        <v>61</v>
      </c>
      <c r="L260">
        <v>301</v>
      </c>
      <c r="M260">
        <v>0</v>
      </c>
      <c r="N260">
        <v>459</v>
      </c>
      <c r="O260">
        <v>87</v>
      </c>
      <c r="P260">
        <v>18</v>
      </c>
      <c r="Q260">
        <v>58</v>
      </c>
      <c r="R260">
        <v>125</v>
      </c>
      <c r="S260">
        <v>332</v>
      </c>
      <c r="T260">
        <v>0</v>
      </c>
      <c r="U260">
        <v>0</v>
      </c>
      <c r="V260">
        <v>232</v>
      </c>
      <c r="W260">
        <v>80</v>
      </c>
      <c r="X260">
        <v>361</v>
      </c>
      <c r="Y260">
        <v>56</v>
      </c>
      <c r="Z260" t="e">
        <f t="shared" si="7"/>
        <v>#N/A</v>
      </c>
    </row>
    <row r="261" spans="1:26" x14ac:dyDescent="0.25">
      <c r="A261" t="s">
        <v>2102</v>
      </c>
      <c r="B261">
        <v>53033028600</v>
      </c>
      <c r="C261" t="s">
        <v>2103</v>
      </c>
      <c r="D261">
        <v>6360</v>
      </c>
      <c r="E261">
        <v>5628</v>
      </c>
      <c r="F261">
        <v>732</v>
      </c>
      <c r="G261">
        <v>6360</v>
      </c>
      <c r="H261">
        <v>5628</v>
      </c>
      <c r="I261">
        <v>732</v>
      </c>
      <c r="J261">
        <v>5176</v>
      </c>
      <c r="K261">
        <v>324</v>
      </c>
      <c r="L261">
        <v>195</v>
      </c>
      <c r="M261">
        <v>34</v>
      </c>
      <c r="N261">
        <v>0</v>
      </c>
      <c r="O261">
        <v>0</v>
      </c>
      <c r="P261">
        <v>0</v>
      </c>
      <c r="Q261">
        <v>0</v>
      </c>
      <c r="R261">
        <v>148</v>
      </c>
      <c r="S261">
        <v>350</v>
      </c>
      <c r="T261">
        <v>0</v>
      </c>
      <c r="U261">
        <v>0</v>
      </c>
      <c r="V261">
        <v>28</v>
      </c>
      <c r="W261">
        <v>17</v>
      </c>
      <c r="X261">
        <v>81</v>
      </c>
      <c r="Y261">
        <v>7</v>
      </c>
      <c r="Z261" t="e">
        <f t="shared" si="7"/>
        <v>#N/A</v>
      </c>
    </row>
    <row r="262" spans="1:26" x14ac:dyDescent="0.25">
      <c r="A262" t="s">
        <v>2104</v>
      </c>
      <c r="B262">
        <v>53033028700</v>
      </c>
      <c r="C262" t="s">
        <v>2105</v>
      </c>
      <c r="D262">
        <v>5084</v>
      </c>
      <c r="E262">
        <v>4414</v>
      </c>
      <c r="F262">
        <v>670</v>
      </c>
      <c r="G262">
        <v>5084</v>
      </c>
      <c r="H262">
        <v>4414</v>
      </c>
      <c r="I262">
        <v>670</v>
      </c>
      <c r="J262">
        <v>3341</v>
      </c>
      <c r="K262">
        <v>109</v>
      </c>
      <c r="L262">
        <v>310</v>
      </c>
      <c r="M262">
        <v>98</v>
      </c>
      <c r="N262">
        <v>127</v>
      </c>
      <c r="O262">
        <v>96</v>
      </c>
      <c r="P262">
        <v>15</v>
      </c>
      <c r="Q262">
        <v>0</v>
      </c>
      <c r="R262">
        <v>152</v>
      </c>
      <c r="S262">
        <v>261</v>
      </c>
      <c r="T262">
        <v>100</v>
      </c>
      <c r="U262">
        <v>63</v>
      </c>
      <c r="V262">
        <v>84</v>
      </c>
      <c r="W262">
        <v>9</v>
      </c>
      <c r="X262">
        <v>285</v>
      </c>
      <c r="Y262">
        <v>34</v>
      </c>
      <c r="Z262" t="e">
        <f t="shared" si="7"/>
        <v>#N/A</v>
      </c>
    </row>
    <row r="263" spans="1:26" x14ac:dyDescent="0.25">
      <c r="A263" t="s">
        <v>2106</v>
      </c>
      <c r="B263">
        <v>53033028801</v>
      </c>
      <c r="C263" t="s">
        <v>2107</v>
      </c>
      <c r="D263">
        <v>3032</v>
      </c>
      <c r="E263">
        <v>2278</v>
      </c>
      <c r="F263">
        <v>754</v>
      </c>
      <c r="G263">
        <v>3032</v>
      </c>
      <c r="H263">
        <v>2278</v>
      </c>
      <c r="I263">
        <v>754</v>
      </c>
      <c r="J263">
        <v>1458</v>
      </c>
      <c r="K263">
        <v>39</v>
      </c>
      <c r="L263">
        <v>283</v>
      </c>
      <c r="M263">
        <v>232</v>
      </c>
      <c r="N263">
        <v>131</v>
      </c>
      <c r="O263">
        <v>70</v>
      </c>
      <c r="P263">
        <v>45</v>
      </c>
      <c r="Q263">
        <v>0</v>
      </c>
      <c r="R263">
        <v>92</v>
      </c>
      <c r="S263">
        <v>191</v>
      </c>
      <c r="T263">
        <v>0</v>
      </c>
      <c r="U263">
        <v>124</v>
      </c>
      <c r="V263">
        <v>122</v>
      </c>
      <c r="W263">
        <v>85</v>
      </c>
      <c r="X263">
        <v>147</v>
      </c>
      <c r="Y263">
        <v>13</v>
      </c>
      <c r="Z263" t="e">
        <f t="shared" si="7"/>
        <v>#N/A</v>
      </c>
    </row>
    <row r="264" spans="1:26" x14ac:dyDescent="0.25">
      <c r="A264" t="s">
        <v>2108</v>
      </c>
      <c r="B264">
        <v>53033028802</v>
      </c>
      <c r="C264" t="s">
        <v>2109</v>
      </c>
      <c r="D264">
        <v>6954</v>
      </c>
      <c r="E264">
        <v>4019</v>
      </c>
      <c r="F264">
        <v>2935</v>
      </c>
      <c r="G264">
        <v>6954</v>
      </c>
      <c r="H264">
        <v>4019</v>
      </c>
      <c r="I264">
        <v>2935</v>
      </c>
      <c r="J264">
        <v>1737</v>
      </c>
      <c r="K264">
        <v>213</v>
      </c>
      <c r="L264">
        <v>481</v>
      </c>
      <c r="M264">
        <v>447</v>
      </c>
      <c r="N264">
        <v>885</v>
      </c>
      <c r="O264">
        <v>1127</v>
      </c>
      <c r="P264">
        <v>22</v>
      </c>
      <c r="Q264">
        <v>34</v>
      </c>
      <c r="R264">
        <v>147</v>
      </c>
      <c r="S264">
        <v>783</v>
      </c>
      <c r="T264">
        <v>172</v>
      </c>
      <c r="U264">
        <v>97</v>
      </c>
      <c r="V264">
        <v>140</v>
      </c>
      <c r="W264">
        <v>179</v>
      </c>
      <c r="X264">
        <v>435</v>
      </c>
      <c r="Y264">
        <v>55</v>
      </c>
      <c r="Z264" t="e">
        <f t="shared" si="7"/>
        <v>#N/A</v>
      </c>
    </row>
    <row r="265" spans="1:26" x14ac:dyDescent="0.25">
      <c r="A265" t="s">
        <v>2110</v>
      </c>
      <c r="B265">
        <v>53033028901</v>
      </c>
      <c r="C265" t="s">
        <v>2111</v>
      </c>
      <c r="D265">
        <v>3186</v>
      </c>
      <c r="E265">
        <v>2657</v>
      </c>
      <c r="F265">
        <v>529</v>
      </c>
      <c r="G265">
        <v>3186</v>
      </c>
      <c r="H265">
        <v>2657</v>
      </c>
      <c r="I265">
        <v>529</v>
      </c>
      <c r="J265">
        <v>2082</v>
      </c>
      <c r="K265">
        <v>92</v>
      </c>
      <c r="L265">
        <v>50</v>
      </c>
      <c r="M265">
        <v>144</v>
      </c>
      <c r="N265">
        <v>67</v>
      </c>
      <c r="O265">
        <v>32</v>
      </c>
      <c r="P265">
        <v>11</v>
      </c>
      <c r="Q265">
        <v>10</v>
      </c>
      <c r="R265">
        <v>97</v>
      </c>
      <c r="S265">
        <v>138</v>
      </c>
      <c r="T265">
        <v>8</v>
      </c>
      <c r="U265">
        <v>45</v>
      </c>
      <c r="V265">
        <v>1</v>
      </c>
      <c r="W265">
        <v>60</v>
      </c>
      <c r="X265">
        <v>341</v>
      </c>
      <c r="Y265">
        <v>8</v>
      </c>
      <c r="Z265" t="e">
        <f t="shared" si="7"/>
        <v>#N/A</v>
      </c>
    </row>
    <row r="266" spans="1:26" x14ac:dyDescent="0.25">
      <c r="A266" t="s">
        <v>2112</v>
      </c>
      <c r="B266">
        <v>53033028902</v>
      </c>
      <c r="C266" t="s">
        <v>2113</v>
      </c>
      <c r="D266">
        <v>7163</v>
      </c>
      <c r="E266">
        <v>4330</v>
      </c>
      <c r="F266">
        <v>2833</v>
      </c>
      <c r="G266">
        <v>7163</v>
      </c>
      <c r="H266">
        <v>4330</v>
      </c>
      <c r="I266">
        <v>2833</v>
      </c>
      <c r="J266">
        <v>1875</v>
      </c>
      <c r="K266">
        <v>239</v>
      </c>
      <c r="L266">
        <v>127</v>
      </c>
      <c r="M266">
        <v>113</v>
      </c>
      <c r="N266">
        <v>420</v>
      </c>
      <c r="O266">
        <v>253</v>
      </c>
      <c r="P266">
        <v>32</v>
      </c>
      <c r="Q266">
        <v>0</v>
      </c>
      <c r="R266">
        <v>306</v>
      </c>
      <c r="S266">
        <v>865</v>
      </c>
      <c r="T266">
        <v>185</v>
      </c>
      <c r="U266">
        <v>195</v>
      </c>
      <c r="V266">
        <v>1148</v>
      </c>
      <c r="W266">
        <v>1114</v>
      </c>
      <c r="X266">
        <v>237</v>
      </c>
      <c r="Y266">
        <v>54</v>
      </c>
      <c r="Z266" t="e">
        <f t="shared" si="7"/>
        <v>#N/A</v>
      </c>
    </row>
    <row r="267" spans="1:26" x14ac:dyDescent="0.25">
      <c r="A267" t="s">
        <v>2114</v>
      </c>
      <c r="B267">
        <v>53033029001</v>
      </c>
      <c r="C267" t="s">
        <v>2115</v>
      </c>
      <c r="D267">
        <v>4710</v>
      </c>
      <c r="E267">
        <v>4019</v>
      </c>
      <c r="F267">
        <v>691</v>
      </c>
      <c r="G267">
        <v>4710</v>
      </c>
      <c r="H267">
        <v>4019</v>
      </c>
      <c r="I267">
        <v>691</v>
      </c>
      <c r="J267">
        <v>3061</v>
      </c>
      <c r="K267">
        <v>122</v>
      </c>
      <c r="L267">
        <v>191</v>
      </c>
      <c r="M267">
        <v>110</v>
      </c>
      <c r="N267">
        <v>176</v>
      </c>
      <c r="O267">
        <v>11</v>
      </c>
      <c r="P267">
        <v>0</v>
      </c>
      <c r="Q267">
        <v>0</v>
      </c>
      <c r="R267">
        <v>124</v>
      </c>
      <c r="S267">
        <v>276</v>
      </c>
      <c r="T267">
        <v>14</v>
      </c>
      <c r="U267">
        <v>45</v>
      </c>
      <c r="V267">
        <v>77</v>
      </c>
      <c r="W267">
        <v>121</v>
      </c>
      <c r="X267">
        <v>376</v>
      </c>
      <c r="Y267">
        <v>6</v>
      </c>
      <c r="Z267" t="e">
        <f t="shared" si="7"/>
        <v>#N/A</v>
      </c>
    </row>
    <row r="268" spans="1:26" x14ac:dyDescent="0.25">
      <c r="A268" t="s">
        <v>2116</v>
      </c>
      <c r="B268">
        <v>53033029003</v>
      </c>
      <c r="C268" t="s">
        <v>2117</v>
      </c>
      <c r="D268">
        <v>5700</v>
      </c>
      <c r="E268">
        <v>3945</v>
      </c>
      <c r="F268">
        <v>1755</v>
      </c>
      <c r="G268">
        <v>5700</v>
      </c>
      <c r="H268">
        <v>3945</v>
      </c>
      <c r="I268">
        <v>1755</v>
      </c>
      <c r="J268">
        <v>2271</v>
      </c>
      <c r="K268">
        <v>181</v>
      </c>
      <c r="L268">
        <v>297</v>
      </c>
      <c r="M268">
        <v>243</v>
      </c>
      <c r="N268">
        <v>473</v>
      </c>
      <c r="O268">
        <v>275</v>
      </c>
      <c r="P268">
        <v>55</v>
      </c>
      <c r="Q268">
        <v>0</v>
      </c>
      <c r="R268">
        <v>322</v>
      </c>
      <c r="S268">
        <v>863</v>
      </c>
      <c r="T268">
        <v>0</v>
      </c>
      <c r="U268">
        <v>0</v>
      </c>
      <c r="V268">
        <v>118</v>
      </c>
      <c r="W268">
        <v>122</v>
      </c>
      <c r="X268">
        <v>409</v>
      </c>
      <c r="Y268">
        <v>71</v>
      </c>
      <c r="Z268" t="e">
        <f t="shared" si="7"/>
        <v>#N/A</v>
      </c>
    </row>
    <row r="269" spans="1:26" x14ac:dyDescent="0.25">
      <c r="A269" t="s">
        <v>2118</v>
      </c>
      <c r="B269">
        <v>53033029004</v>
      </c>
      <c r="C269" t="s">
        <v>2119</v>
      </c>
      <c r="D269">
        <v>3938</v>
      </c>
      <c r="E269">
        <v>2502</v>
      </c>
      <c r="F269">
        <v>1436</v>
      </c>
      <c r="G269">
        <v>3938</v>
      </c>
      <c r="H269">
        <v>2502</v>
      </c>
      <c r="I269">
        <v>1436</v>
      </c>
      <c r="J269">
        <v>965</v>
      </c>
      <c r="K269">
        <v>223</v>
      </c>
      <c r="L269">
        <v>371</v>
      </c>
      <c r="M269">
        <v>322</v>
      </c>
      <c r="N269">
        <v>477</v>
      </c>
      <c r="O269">
        <v>253</v>
      </c>
      <c r="P269">
        <v>36</v>
      </c>
      <c r="Q269">
        <v>0</v>
      </c>
      <c r="R269">
        <v>62</v>
      </c>
      <c r="S269">
        <v>179</v>
      </c>
      <c r="T269">
        <v>105</v>
      </c>
      <c r="U269">
        <v>12</v>
      </c>
      <c r="V269">
        <v>249</v>
      </c>
      <c r="W269">
        <v>428</v>
      </c>
      <c r="X269">
        <v>237</v>
      </c>
      <c r="Y269">
        <v>19</v>
      </c>
      <c r="Z269" t="e">
        <f t="shared" si="7"/>
        <v>#N/A</v>
      </c>
    </row>
    <row r="270" spans="1:26" x14ac:dyDescent="0.25">
      <c r="A270" t="s">
        <v>2412</v>
      </c>
      <c r="B270">
        <v>53033029101</v>
      </c>
      <c r="C270" t="s">
        <v>2413</v>
      </c>
      <c r="D270">
        <v>3288</v>
      </c>
      <c r="E270">
        <v>2423</v>
      </c>
      <c r="F270">
        <v>865</v>
      </c>
      <c r="G270">
        <v>3288</v>
      </c>
      <c r="H270">
        <v>2423</v>
      </c>
      <c r="I270">
        <v>865</v>
      </c>
      <c r="J270">
        <v>1300</v>
      </c>
      <c r="K270">
        <v>147</v>
      </c>
      <c r="L270">
        <v>87</v>
      </c>
      <c r="M270">
        <v>36</v>
      </c>
      <c r="N270">
        <v>572</v>
      </c>
      <c r="O270">
        <v>84</v>
      </c>
      <c r="P270">
        <v>0</v>
      </c>
      <c r="Q270">
        <v>0</v>
      </c>
      <c r="R270">
        <v>242</v>
      </c>
      <c r="S270">
        <v>557</v>
      </c>
      <c r="T270">
        <v>0</v>
      </c>
      <c r="U270">
        <v>12</v>
      </c>
      <c r="V270">
        <v>0</v>
      </c>
      <c r="W270">
        <v>11</v>
      </c>
      <c r="X270">
        <v>222</v>
      </c>
      <c r="Y270">
        <v>18</v>
      </c>
      <c r="Z270" t="e">
        <f t="shared" si="7"/>
        <v>#N/A</v>
      </c>
    </row>
    <row r="271" spans="1:26" x14ac:dyDescent="0.25">
      <c r="A271" t="s">
        <v>2414</v>
      </c>
      <c r="B271">
        <v>53033029102</v>
      </c>
      <c r="C271" t="s">
        <v>2415</v>
      </c>
      <c r="D271">
        <v>4358</v>
      </c>
      <c r="E271">
        <v>3492</v>
      </c>
      <c r="F271">
        <v>866</v>
      </c>
      <c r="G271">
        <v>4358</v>
      </c>
      <c r="H271">
        <v>3492</v>
      </c>
      <c r="I271">
        <v>866</v>
      </c>
      <c r="J271">
        <v>1963</v>
      </c>
      <c r="K271">
        <v>106</v>
      </c>
      <c r="L271">
        <v>256</v>
      </c>
      <c r="M271">
        <v>86</v>
      </c>
      <c r="N271">
        <v>465</v>
      </c>
      <c r="O271">
        <v>126</v>
      </c>
      <c r="P271">
        <v>35</v>
      </c>
      <c r="Q271">
        <v>0</v>
      </c>
      <c r="R271">
        <v>346</v>
      </c>
      <c r="S271">
        <v>372</v>
      </c>
      <c r="T271">
        <v>22</v>
      </c>
      <c r="U271">
        <v>0</v>
      </c>
      <c r="V271">
        <v>137</v>
      </c>
      <c r="W271">
        <v>126</v>
      </c>
      <c r="X271">
        <v>268</v>
      </c>
      <c r="Y271">
        <v>50</v>
      </c>
      <c r="Z271" t="e">
        <f t="shared" si="7"/>
        <v>#N/A</v>
      </c>
    </row>
    <row r="272" spans="1:26" x14ac:dyDescent="0.25">
      <c r="A272" t="s">
        <v>2124</v>
      </c>
      <c r="B272">
        <v>53033029203</v>
      </c>
      <c r="C272" t="s">
        <v>2125</v>
      </c>
      <c r="D272">
        <v>4198</v>
      </c>
      <c r="E272">
        <v>3397</v>
      </c>
      <c r="F272">
        <v>801</v>
      </c>
      <c r="G272">
        <v>4198</v>
      </c>
      <c r="H272">
        <v>3397</v>
      </c>
      <c r="I272">
        <v>801</v>
      </c>
      <c r="J272">
        <v>1506</v>
      </c>
      <c r="K272">
        <v>102</v>
      </c>
      <c r="L272">
        <v>264</v>
      </c>
      <c r="M272">
        <v>211</v>
      </c>
      <c r="N272">
        <v>555</v>
      </c>
      <c r="O272">
        <v>43</v>
      </c>
      <c r="P272">
        <v>287</v>
      </c>
      <c r="Q272">
        <v>0</v>
      </c>
      <c r="R272">
        <v>67</v>
      </c>
      <c r="S272">
        <v>232</v>
      </c>
      <c r="T272">
        <v>23</v>
      </c>
      <c r="U272">
        <v>52</v>
      </c>
      <c r="V272">
        <v>269</v>
      </c>
      <c r="W272">
        <v>126</v>
      </c>
      <c r="X272">
        <v>426</v>
      </c>
      <c r="Y272">
        <v>35</v>
      </c>
      <c r="Z272" t="e">
        <f t="shared" si="7"/>
        <v>#N/A</v>
      </c>
    </row>
    <row r="273" spans="1:26" x14ac:dyDescent="0.25">
      <c r="A273" t="s">
        <v>2126</v>
      </c>
      <c r="B273">
        <v>53033029204</v>
      </c>
      <c r="C273" t="s">
        <v>2127</v>
      </c>
      <c r="D273">
        <v>7229</v>
      </c>
      <c r="E273">
        <v>5384</v>
      </c>
      <c r="F273">
        <v>1845</v>
      </c>
      <c r="G273">
        <v>7229</v>
      </c>
      <c r="H273">
        <v>5384</v>
      </c>
      <c r="I273">
        <v>1845</v>
      </c>
      <c r="J273">
        <v>3018</v>
      </c>
      <c r="K273">
        <v>232</v>
      </c>
      <c r="L273">
        <v>283</v>
      </c>
      <c r="M273">
        <v>10</v>
      </c>
      <c r="N273">
        <v>706</v>
      </c>
      <c r="O273">
        <v>208</v>
      </c>
      <c r="P273">
        <v>227</v>
      </c>
      <c r="Q273">
        <v>0</v>
      </c>
      <c r="R273">
        <v>590</v>
      </c>
      <c r="S273">
        <v>857</v>
      </c>
      <c r="T273">
        <v>0</v>
      </c>
      <c r="U273">
        <v>0</v>
      </c>
      <c r="V273">
        <v>171</v>
      </c>
      <c r="W273">
        <v>522</v>
      </c>
      <c r="X273">
        <v>389</v>
      </c>
      <c r="Y273">
        <v>16</v>
      </c>
      <c r="Z273" t="e">
        <f t="shared" si="7"/>
        <v>#N/A</v>
      </c>
    </row>
    <row r="274" spans="1:26" x14ac:dyDescent="0.25">
      <c r="A274" t="s">
        <v>2416</v>
      </c>
      <c r="B274">
        <v>53033029205</v>
      </c>
      <c r="C274" t="s">
        <v>2417</v>
      </c>
      <c r="D274">
        <v>4549</v>
      </c>
      <c r="E274">
        <v>3138</v>
      </c>
      <c r="F274">
        <v>1411</v>
      </c>
      <c r="G274">
        <v>4549</v>
      </c>
      <c r="H274">
        <v>3138</v>
      </c>
      <c r="I274">
        <v>1411</v>
      </c>
      <c r="J274">
        <v>1800</v>
      </c>
      <c r="K274">
        <v>357</v>
      </c>
      <c r="L274">
        <v>30</v>
      </c>
      <c r="M274">
        <v>96</v>
      </c>
      <c r="N274">
        <v>474</v>
      </c>
      <c r="O274">
        <v>86</v>
      </c>
      <c r="P274">
        <v>236</v>
      </c>
      <c r="Q274">
        <v>107</v>
      </c>
      <c r="R274">
        <v>117</v>
      </c>
      <c r="S274">
        <v>400</v>
      </c>
      <c r="T274">
        <v>23</v>
      </c>
      <c r="U274">
        <v>36</v>
      </c>
      <c r="V274">
        <v>230</v>
      </c>
      <c r="W274">
        <v>317</v>
      </c>
      <c r="X274">
        <v>228</v>
      </c>
      <c r="Y274">
        <v>12</v>
      </c>
      <c r="Z274" t="e">
        <f t="shared" si="7"/>
        <v>#N/A</v>
      </c>
    </row>
    <row r="275" spans="1:26" x14ac:dyDescent="0.25">
      <c r="A275" t="s">
        <v>2418</v>
      </c>
      <c r="B275">
        <v>53033029206</v>
      </c>
      <c r="C275" t="s">
        <v>2419</v>
      </c>
      <c r="D275">
        <v>4396</v>
      </c>
      <c r="E275">
        <v>2983</v>
      </c>
      <c r="F275">
        <v>1413</v>
      </c>
      <c r="G275">
        <v>4396</v>
      </c>
      <c r="H275">
        <v>2983</v>
      </c>
      <c r="I275">
        <v>1413</v>
      </c>
      <c r="J275">
        <v>1258</v>
      </c>
      <c r="K275">
        <v>164</v>
      </c>
      <c r="L275">
        <v>535</v>
      </c>
      <c r="M275">
        <v>339</v>
      </c>
      <c r="N275">
        <v>510</v>
      </c>
      <c r="O275">
        <v>59</v>
      </c>
      <c r="P275">
        <v>43</v>
      </c>
      <c r="Q275">
        <v>0</v>
      </c>
      <c r="R275">
        <v>116</v>
      </c>
      <c r="S275">
        <v>213</v>
      </c>
      <c r="T275">
        <v>70</v>
      </c>
      <c r="U275">
        <v>289</v>
      </c>
      <c r="V275">
        <v>253</v>
      </c>
      <c r="W275">
        <v>270</v>
      </c>
      <c r="X275">
        <v>198</v>
      </c>
      <c r="Y275">
        <v>79</v>
      </c>
      <c r="Z275" t="e">
        <f t="shared" si="7"/>
        <v>#N/A</v>
      </c>
    </row>
    <row r="276" spans="1:26" x14ac:dyDescent="0.25">
      <c r="A276" t="s">
        <v>2128</v>
      </c>
      <c r="B276">
        <v>53033029303</v>
      </c>
      <c r="C276" t="s">
        <v>2129</v>
      </c>
      <c r="D276">
        <v>7423</v>
      </c>
      <c r="E276">
        <v>5239</v>
      </c>
      <c r="F276">
        <v>2184</v>
      </c>
      <c r="G276">
        <v>7423</v>
      </c>
      <c r="H276">
        <v>5239</v>
      </c>
      <c r="I276">
        <v>2184</v>
      </c>
      <c r="J276">
        <v>2770</v>
      </c>
      <c r="K276">
        <v>533</v>
      </c>
      <c r="L276">
        <v>127</v>
      </c>
      <c r="M276">
        <v>28</v>
      </c>
      <c r="N276">
        <v>810</v>
      </c>
      <c r="O276">
        <v>224</v>
      </c>
      <c r="P276">
        <v>53</v>
      </c>
      <c r="Q276">
        <v>0</v>
      </c>
      <c r="R276">
        <v>689</v>
      </c>
      <c r="S276">
        <v>1156</v>
      </c>
      <c r="T276">
        <v>96</v>
      </c>
      <c r="U276">
        <v>116</v>
      </c>
      <c r="V276">
        <v>172</v>
      </c>
      <c r="W276">
        <v>21</v>
      </c>
      <c r="X276">
        <v>522</v>
      </c>
      <c r="Y276">
        <v>106</v>
      </c>
      <c r="Z276" t="e">
        <f t="shared" si="7"/>
        <v>#N/A</v>
      </c>
    </row>
    <row r="277" spans="1:26" x14ac:dyDescent="0.25">
      <c r="A277" t="s">
        <v>2130</v>
      </c>
      <c r="B277">
        <v>53033029304</v>
      </c>
      <c r="C277" t="s">
        <v>2131</v>
      </c>
      <c r="D277">
        <v>5082</v>
      </c>
      <c r="E277">
        <v>3792</v>
      </c>
      <c r="F277">
        <v>1290</v>
      </c>
      <c r="G277">
        <v>5082</v>
      </c>
      <c r="H277">
        <v>3792</v>
      </c>
      <c r="I277">
        <v>1290</v>
      </c>
      <c r="J277">
        <v>2519</v>
      </c>
      <c r="K277">
        <v>175</v>
      </c>
      <c r="L277">
        <v>144</v>
      </c>
      <c r="M277">
        <v>82</v>
      </c>
      <c r="N277">
        <v>247</v>
      </c>
      <c r="O277">
        <v>8</v>
      </c>
      <c r="P277">
        <v>6</v>
      </c>
      <c r="Q277">
        <v>8</v>
      </c>
      <c r="R277">
        <v>456</v>
      </c>
      <c r="S277">
        <v>803</v>
      </c>
      <c r="T277">
        <v>13</v>
      </c>
      <c r="U277">
        <v>42</v>
      </c>
      <c r="V277">
        <v>190</v>
      </c>
      <c r="W277">
        <v>165</v>
      </c>
      <c r="X277">
        <v>217</v>
      </c>
      <c r="Y277">
        <v>7</v>
      </c>
      <c r="Z277" t="e">
        <f t="shared" si="7"/>
        <v>#N/A</v>
      </c>
    </row>
    <row r="278" spans="1:26" x14ac:dyDescent="0.25">
      <c r="A278" t="s">
        <v>2132</v>
      </c>
      <c r="B278">
        <v>53033029305</v>
      </c>
      <c r="C278" t="s">
        <v>2133</v>
      </c>
      <c r="D278">
        <v>4215</v>
      </c>
      <c r="E278">
        <v>2653</v>
      </c>
      <c r="F278">
        <v>1562</v>
      </c>
      <c r="G278">
        <v>4215</v>
      </c>
      <c r="H278">
        <v>2653</v>
      </c>
      <c r="I278">
        <v>1562</v>
      </c>
      <c r="J278">
        <v>1813</v>
      </c>
      <c r="K278">
        <v>253</v>
      </c>
      <c r="L278">
        <v>130</v>
      </c>
      <c r="M278">
        <v>169</v>
      </c>
      <c r="N278">
        <v>139</v>
      </c>
      <c r="O278">
        <v>5</v>
      </c>
      <c r="P278">
        <v>0</v>
      </c>
      <c r="Q278">
        <v>0</v>
      </c>
      <c r="R278">
        <v>239</v>
      </c>
      <c r="S278">
        <v>819</v>
      </c>
      <c r="T278">
        <v>36</v>
      </c>
      <c r="U278">
        <v>221</v>
      </c>
      <c r="V278">
        <v>82</v>
      </c>
      <c r="W278">
        <v>90</v>
      </c>
      <c r="X278">
        <v>214</v>
      </c>
      <c r="Y278">
        <v>5</v>
      </c>
      <c r="Z278" t="e">
        <f t="shared" si="7"/>
        <v>#N/A</v>
      </c>
    </row>
    <row r="279" spans="1:26" x14ac:dyDescent="0.25">
      <c r="A279" t="s">
        <v>2134</v>
      </c>
      <c r="B279">
        <v>53033029306</v>
      </c>
      <c r="C279" t="s">
        <v>2135</v>
      </c>
      <c r="D279">
        <v>3443</v>
      </c>
      <c r="E279">
        <v>2451</v>
      </c>
      <c r="F279">
        <v>992</v>
      </c>
      <c r="G279">
        <v>3443</v>
      </c>
      <c r="H279">
        <v>2451</v>
      </c>
      <c r="I279">
        <v>992</v>
      </c>
      <c r="J279">
        <v>1650</v>
      </c>
      <c r="K279">
        <v>208</v>
      </c>
      <c r="L279">
        <v>79</v>
      </c>
      <c r="M279">
        <v>29</v>
      </c>
      <c r="N279">
        <v>178</v>
      </c>
      <c r="O279">
        <v>14</v>
      </c>
      <c r="P279">
        <v>17</v>
      </c>
      <c r="Q279">
        <v>0</v>
      </c>
      <c r="R279">
        <v>366</v>
      </c>
      <c r="S279">
        <v>620</v>
      </c>
      <c r="T279">
        <v>26</v>
      </c>
      <c r="U279">
        <v>50</v>
      </c>
      <c r="V279">
        <v>41</v>
      </c>
      <c r="W279">
        <v>27</v>
      </c>
      <c r="X279">
        <v>94</v>
      </c>
      <c r="Y279">
        <v>44</v>
      </c>
      <c r="Z279" t="e">
        <f t="shared" si="7"/>
        <v>#N/A</v>
      </c>
    </row>
    <row r="280" spans="1:26" x14ac:dyDescent="0.25">
      <c r="A280" t="s">
        <v>2136</v>
      </c>
      <c r="B280">
        <v>53033029307</v>
      </c>
      <c r="C280" t="s">
        <v>2137</v>
      </c>
      <c r="D280">
        <v>4219</v>
      </c>
      <c r="E280">
        <v>3303</v>
      </c>
      <c r="F280">
        <v>916</v>
      </c>
      <c r="G280">
        <v>4219</v>
      </c>
      <c r="H280">
        <v>3303</v>
      </c>
      <c r="I280">
        <v>916</v>
      </c>
      <c r="J280">
        <v>2550</v>
      </c>
      <c r="K280">
        <v>190</v>
      </c>
      <c r="L280">
        <v>24</v>
      </c>
      <c r="M280">
        <v>24</v>
      </c>
      <c r="N280">
        <v>48</v>
      </c>
      <c r="O280">
        <v>0</v>
      </c>
      <c r="P280">
        <v>95</v>
      </c>
      <c r="Q280">
        <v>0</v>
      </c>
      <c r="R280">
        <v>391</v>
      </c>
      <c r="S280">
        <v>610</v>
      </c>
      <c r="T280">
        <v>0</v>
      </c>
      <c r="U280">
        <v>5</v>
      </c>
      <c r="V280">
        <v>54</v>
      </c>
      <c r="W280">
        <v>19</v>
      </c>
      <c r="X280">
        <v>141</v>
      </c>
      <c r="Y280">
        <v>68</v>
      </c>
      <c r="Z280" t="e">
        <f t="shared" si="7"/>
        <v>#N/A</v>
      </c>
    </row>
    <row r="281" spans="1:26" x14ac:dyDescent="0.25">
      <c r="A281" t="s">
        <v>2138</v>
      </c>
      <c r="B281">
        <v>53033029403</v>
      </c>
      <c r="C281" t="s">
        <v>2139</v>
      </c>
      <c r="D281">
        <v>5746</v>
      </c>
      <c r="E281">
        <v>3598</v>
      </c>
      <c r="F281">
        <v>2148</v>
      </c>
      <c r="G281">
        <v>5746</v>
      </c>
      <c r="H281">
        <v>3598</v>
      </c>
      <c r="I281">
        <v>2148</v>
      </c>
      <c r="J281">
        <v>1911</v>
      </c>
      <c r="K281">
        <v>198</v>
      </c>
      <c r="L281">
        <v>63</v>
      </c>
      <c r="M281">
        <v>25</v>
      </c>
      <c r="N281">
        <v>470</v>
      </c>
      <c r="O281">
        <v>36</v>
      </c>
      <c r="P281">
        <v>98</v>
      </c>
      <c r="Q281">
        <v>0</v>
      </c>
      <c r="R281">
        <v>596</v>
      </c>
      <c r="S281">
        <v>1487</v>
      </c>
      <c r="T281">
        <v>26</v>
      </c>
      <c r="U281">
        <v>16</v>
      </c>
      <c r="V281">
        <v>264</v>
      </c>
      <c r="W281">
        <v>269</v>
      </c>
      <c r="X281">
        <v>170</v>
      </c>
      <c r="Y281">
        <v>117</v>
      </c>
      <c r="Z281" t="e">
        <f t="shared" si="7"/>
        <v>#N/A</v>
      </c>
    </row>
    <row r="282" spans="1:26" x14ac:dyDescent="0.25">
      <c r="A282" t="s">
        <v>2140</v>
      </c>
      <c r="B282">
        <v>53033029405</v>
      </c>
      <c r="C282" t="s">
        <v>2141</v>
      </c>
      <c r="D282">
        <v>5706</v>
      </c>
      <c r="E282">
        <v>4041</v>
      </c>
      <c r="F282">
        <v>1665</v>
      </c>
      <c r="G282">
        <v>5706</v>
      </c>
      <c r="H282">
        <v>4041</v>
      </c>
      <c r="I282">
        <v>1665</v>
      </c>
      <c r="J282">
        <v>2787</v>
      </c>
      <c r="K282">
        <v>399</v>
      </c>
      <c r="L282">
        <v>88</v>
      </c>
      <c r="M282">
        <v>16</v>
      </c>
      <c r="N282">
        <v>322</v>
      </c>
      <c r="O282">
        <v>43</v>
      </c>
      <c r="P282">
        <v>6</v>
      </c>
      <c r="Q282">
        <v>0</v>
      </c>
      <c r="R282">
        <v>337</v>
      </c>
      <c r="S282">
        <v>914</v>
      </c>
      <c r="T282">
        <v>0</v>
      </c>
      <c r="U282">
        <v>125</v>
      </c>
      <c r="V282">
        <v>200</v>
      </c>
      <c r="W282">
        <v>82</v>
      </c>
      <c r="X282">
        <v>301</v>
      </c>
      <c r="Y282">
        <v>86</v>
      </c>
      <c r="Z282" t="e">
        <f t="shared" si="7"/>
        <v>#N/A</v>
      </c>
    </row>
    <row r="283" spans="1:26" x14ac:dyDescent="0.25">
      <c r="A283" t="s">
        <v>2142</v>
      </c>
      <c r="B283">
        <v>53033029406</v>
      </c>
      <c r="C283" t="s">
        <v>2143</v>
      </c>
      <c r="D283">
        <v>5222</v>
      </c>
      <c r="E283">
        <v>3097</v>
      </c>
      <c r="F283">
        <v>2125</v>
      </c>
      <c r="G283">
        <v>5222</v>
      </c>
      <c r="H283">
        <v>3097</v>
      </c>
      <c r="I283">
        <v>2125</v>
      </c>
      <c r="J283">
        <v>1973</v>
      </c>
      <c r="K283">
        <v>119</v>
      </c>
      <c r="L283">
        <v>58</v>
      </c>
      <c r="M283">
        <v>9</v>
      </c>
      <c r="N283">
        <v>208</v>
      </c>
      <c r="O283">
        <v>461</v>
      </c>
      <c r="P283">
        <v>60</v>
      </c>
      <c r="Q283">
        <v>0</v>
      </c>
      <c r="R283">
        <v>523</v>
      </c>
      <c r="S283">
        <v>1445</v>
      </c>
      <c r="T283">
        <v>0</v>
      </c>
      <c r="U283">
        <v>0</v>
      </c>
      <c r="V283">
        <v>106</v>
      </c>
      <c r="W283">
        <v>43</v>
      </c>
      <c r="X283">
        <v>169</v>
      </c>
      <c r="Y283">
        <v>48</v>
      </c>
      <c r="Z283" t="e">
        <f t="shared" si="7"/>
        <v>#N/A</v>
      </c>
    </row>
    <row r="284" spans="1:26" x14ac:dyDescent="0.25">
      <c r="A284" t="s">
        <v>2144</v>
      </c>
      <c r="B284">
        <v>53033029407</v>
      </c>
      <c r="C284" t="s">
        <v>2145</v>
      </c>
      <c r="D284">
        <v>4697</v>
      </c>
      <c r="E284">
        <v>2762</v>
      </c>
      <c r="F284">
        <v>1935</v>
      </c>
      <c r="G284">
        <v>4697</v>
      </c>
      <c r="H284">
        <v>2762</v>
      </c>
      <c r="I284">
        <v>1935</v>
      </c>
      <c r="J284">
        <v>1474</v>
      </c>
      <c r="K284">
        <v>811</v>
      </c>
      <c r="L284">
        <v>85</v>
      </c>
      <c r="M284">
        <v>118</v>
      </c>
      <c r="N284">
        <v>360</v>
      </c>
      <c r="O284">
        <v>93</v>
      </c>
      <c r="P284">
        <v>0</v>
      </c>
      <c r="Q284">
        <v>0</v>
      </c>
      <c r="R284">
        <v>352</v>
      </c>
      <c r="S284">
        <v>668</v>
      </c>
      <c r="T284">
        <v>52</v>
      </c>
      <c r="U284">
        <v>6</v>
      </c>
      <c r="V284">
        <v>235</v>
      </c>
      <c r="W284">
        <v>202</v>
      </c>
      <c r="X284">
        <v>204</v>
      </c>
      <c r="Y284">
        <v>37</v>
      </c>
      <c r="Z284" t="e">
        <f t="shared" si="7"/>
        <v>#N/A</v>
      </c>
    </row>
    <row r="285" spans="1:26" x14ac:dyDescent="0.25">
      <c r="A285" t="s">
        <v>2146</v>
      </c>
      <c r="B285">
        <v>53033029408</v>
      </c>
      <c r="C285" t="s">
        <v>2147</v>
      </c>
      <c r="D285">
        <v>4109</v>
      </c>
      <c r="E285">
        <v>2645</v>
      </c>
      <c r="F285">
        <v>1464</v>
      </c>
      <c r="G285">
        <v>4109</v>
      </c>
      <c r="H285">
        <v>2645</v>
      </c>
      <c r="I285">
        <v>1464</v>
      </c>
      <c r="J285">
        <v>1308</v>
      </c>
      <c r="K285">
        <v>131</v>
      </c>
      <c r="L285">
        <v>202</v>
      </c>
      <c r="M285">
        <v>171</v>
      </c>
      <c r="N285">
        <v>316</v>
      </c>
      <c r="O285">
        <v>109</v>
      </c>
      <c r="P285">
        <v>0</v>
      </c>
      <c r="Q285">
        <v>0</v>
      </c>
      <c r="R285">
        <v>262</v>
      </c>
      <c r="S285">
        <v>565</v>
      </c>
      <c r="T285">
        <v>18</v>
      </c>
      <c r="U285">
        <v>36</v>
      </c>
      <c r="V285">
        <v>375</v>
      </c>
      <c r="W285">
        <v>443</v>
      </c>
      <c r="X285">
        <v>164</v>
      </c>
      <c r="Y285">
        <v>9</v>
      </c>
      <c r="Z285" t="e">
        <f t="shared" si="7"/>
        <v>#N/A</v>
      </c>
    </row>
    <row r="286" spans="1:26" x14ac:dyDescent="0.25">
      <c r="A286" t="s">
        <v>2148</v>
      </c>
      <c r="B286">
        <v>53033029502</v>
      </c>
      <c r="C286" t="s">
        <v>2149</v>
      </c>
      <c r="D286">
        <v>7671</v>
      </c>
      <c r="E286">
        <v>5346</v>
      </c>
      <c r="F286">
        <v>2325</v>
      </c>
      <c r="G286">
        <v>7671</v>
      </c>
      <c r="H286">
        <v>5346</v>
      </c>
      <c r="I286">
        <v>2325</v>
      </c>
      <c r="J286">
        <v>3109</v>
      </c>
      <c r="K286">
        <v>565</v>
      </c>
      <c r="L286">
        <v>265</v>
      </c>
      <c r="M286">
        <v>138</v>
      </c>
      <c r="N286">
        <v>711</v>
      </c>
      <c r="O286">
        <v>94</v>
      </c>
      <c r="P286">
        <v>51</v>
      </c>
      <c r="Q286">
        <v>0</v>
      </c>
      <c r="R286">
        <v>509</v>
      </c>
      <c r="S286">
        <v>1442</v>
      </c>
      <c r="T286">
        <v>377</v>
      </c>
      <c r="U286">
        <v>23</v>
      </c>
      <c r="V286">
        <v>29</v>
      </c>
      <c r="W286">
        <v>63</v>
      </c>
      <c r="X286">
        <v>295</v>
      </c>
      <c r="Y286">
        <v>0</v>
      </c>
      <c r="Z286" t="e">
        <f t="shared" si="7"/>
        <v>#N/A</v>
      </c>
    </row>
    <row r="287" spans="1:26" x14ac:dyDescent="0.25">
      <c r="A287" t="s">
        <v>2150</v>
      </c>
      <c r="B287">
        <v>53033029503</v>
      </c>
      <c r="C287" t="s">
        <v>2151</v>
      </c>
      <c r="D287">
        <v>8546</v>
      </c>
      <c r="E287">
        <v>5091</v>
      </c>
      <c r="F287">
        <v>3455</v>
      </c>
      <c r="G287">
        <v>8546</v>
      </c>
      <c r="H287">
        <v>5091</v>
      </c>
      <c r="I287">
        <v>3455</v>
      </c>
      <c r="J287">
        <v>2109</v>
      </c>
      <c r="K287">
        <v>886</v>
      </c>
      <c r="L287">
        <v>375</v>
      </c>
      <c r="M287">
        <v>408</v>
      </c>
      <c r="N287">
        <v>1089</v>
      </c>
      <c r="O287">
        <v>328</v>
      </c>
      <c r="P287">
        <v>47</v>
      </c>
      <c r="Q287">
        <v>46</v>
      </c>
      <c r="R287">
        <v>607</v>
      </c>
      <c r="S287">
        <v>1382</v>
      </c>
      <c r="T287">
        <v>175</v>
      </c>
      <c r="U287">
        <v>0</v>
      </c>
      <c r="V287">
        <v>303</v>
      </c>
      <c r="W287">
        <v>333</v>
      </c>
      <c r="X287">
        <v>386</v>
      </c>
      <c r="Y287">
        <v>72</v>
      </c>
      <c r="Z287" t="e">
        <f t="shared" si="7"/>
        <v>#N/A</v>
      </c>
    </row>
    <row r="288" spans="1:26" x14ac:dyDescent="0.25">
      <c r="A288" t="s">
        <v>2152</v>
      </c>
      <c r="B288">
        <v>53033029504</v>
      </c>
      <c r="C288" t="s">
        <v>2153</v>
      </c>
      <c r="D288">
        <v>5970</v>
      </c>
      <c r="E288">
        <v>3731</v>
      </c>
      <c r="F288">
        <v>2239</v>
      </c>
      <c r="G288">
        <v>5970</v>
      </c>
      <c r="H288">
        <v>3731</v>
      </c>
      <c r="I288">
        <v>2239</v>
      </c>
      <c r="J288">
        <v>1552</v>
      </c>
      <c r="K288">
        <v>626</v>
      </c>
      <c r="L288">
        <v>317</v>
      </c>
      <c r="M288">
        <v>196</v>
      </c>
      <c r="N288">
        <v>944</v>
      </c>
      <c r="O288">
        <v>242</v>
      </c>
      <c r="P288">
        <v>0</v>
      </c>
      <c r="Q288">
        <v>0</v>
      </c>
      <c r="R288">
        <v>332</v>
      </c>
      <c r="S288">
        <v>700</v>
      </c>
      <c r="T288">
        <v>0</v>
      </c>
      <c r="U288">
        <v>0</v>
      </c>
      <c r="V288">
        <v>223</v>
      </c>
      <c r="W288">
        <v>453</v>
      </c>
      <c r="X288">
        <v>363</v>
      </c>
      <c r="Y288">
        <v>22</v>
      </c>
      <c r="Z288" t="e">
        <f t="shared" si="7"/>
        <v>#N/A</v>
      </c>
    </row>
    <row r="289" spans="1:26" x14ac:dyDescent="0.25">
      <c r="A289" t="s">
        <v>2154</v>
      </c>
      <c r="B289">
        <v>53033029601</v>
      </c>
      <c r="C289" t="s">
        <v>2155</v>
      </c>
      <c r="D289">
        <v>6914</v>
      </c>
      <c r="E289">
        <v>4219</v>
      </c>
      <c r="F289">
        <v>2695</v>
      </c>
      <c r="G289">
        <v>6914</v>
      </c>
      <c r="H289">
        <v>4219</v>
      </c>
      <c r="I289">
        <v>2695</v>
      </c>
      <c r="J289">
        <v>2116</v>
      </c>
      <c r="K289">
        <v>827</v>
      </c>
      <c r="L289">
        <v>109</v>
      </c>
      <c r="M289">
        <v>181</v>
      </c>
      <c r="N289">
        <v>752</v>
      </c>
      <c r="O289">
        <v>342</v>
      </c>
      <c r="P289">
        <v>86</v>
      </c>
      <c r="Q289">
        <v>0</v>
      </c>
      <c r="R289">
        <v>690</v>
      </c>
      <c r="S289">
        <v>1179</v>
      </c>
      <c r="T289">
        <v>0</v>
      </c>
      <c r="U289">
        <v>0</v>
      </c>
      <c r="V289">
        <v>44</v>
      </c>
      <c r="W289">
        <v>75</v>
      </c>
      <c r="X289">
        <v>422</v>
      </c>
      <c r="Y289">
        <v>91</v>
      </c>
      <c r="Z289" t="e">
        <f t="shared" si="7"/>
        <v>#N/A</v>
      </c>
    </row>
    <row r="290" spans="1:26" x14ac:dyDescent="0.25">
      <c r="A290" t="s">
        <v>2156</v>
      </c>
      <c r="B290">
        <v>53033029602</v>
      </c>
      <c r="C290" t="s">
        <v>2157</v>
      </c>
      <c r="D290">
        <v>6298</v>
      </c>
      <c r="E290">
        <v>4503</v>
      </c>
      <c r="F290">
        <v>1795</v>
      </c>
      <c r="G290">
        <v>6298</v>
      </c>
      <c r="H290">
        <v>4503</v>
      </c>
      <c r="I290">
        <v>1795</v>
      </c>
      <c r="J290">
        <v>3506</v>
      </c>
      <c r="K290">
        <v>570</v>
      </c>
      <c r="L290">
        <v>96</v>
      </c>
      <c r="M290">
        <v>63</v>
      </c>
      <c r="N290">
        <v>216</v>
      </c>
      <c r="O290">
        <v>50</v>
      </c>
      <c r="P290">
        <v>7</v>
      </c>
      <c r="Q290">
        <v>0</v>
      </c>
      <c r="R290">
        <v>259</v>
      </c>
      <c r="S290">
        <v>1002</v>
      </c>
      <c r="T290">
        <v>20</v>
      </c>
      <c r="U290">
        <v>33</v>
      </c>
      <c r="V290">
        <v>47</v>
      </c>
      <c r="W290">
        <v>13</v>
      </c>
      <c r="X290">
        <v>352</v>
      </c>
      <c r="Y290">
        <v>64</v>
      </c>
      <c r="Z290" t="e">
        <f t="shared" si="7"/>
        <v>#N/A</v>
      </c>
    </row>
    <row r="291" spans="1:26" x14ac:dyDescent="0.25">
      <c r="A291" t="s">
        <v>2158</v>
      </c>
      <c r="B291">
        <v>53033029700</v>
      </c>
      <c r="C291" t="s">
        <v>2159</v>
      </c>
      <c r="D291">
        <v>8051</v>
      </c>
      <c r="E291">
        <v>5979</v>
      </c>
      <c r="F291">
        <v>2072</v>
      </c>
      <c r="G291">
        <v>8051</v>
      </c>
      <c r="H291">
        <v>5979</v>
      </c>
      <c r="I291">
        <v>2072</v>
      </c>
      <c r="J291">
        <v>4366</v>
      </c>
      <c r="K291">
        <v>638</v>
      </c>
      <c r="L291">
        <v>213</v>
      </c>
      <c r="M291">
        <v>213</v>
      </c>
      <c r="N291">
        <v>474</v>
      </c>
      <c r="O291">
        <v>349</v>
      </c>
      <c r="P291">
        <v>103</v>
      </c>
      <c r="Q291">
        <v>0</v>
      </c>
      <c r="R291">
        <v>108</v>
      </c>
      <c r="S291">
        <v>562</v>
      </c>
      <c r="T291">
        <v>0</v>
      </c>
      <c r="U291">
        <v>0</v>
      </c>
      <c r="V291">
        <v>367</v>
      </c>
      <c r="W291">
        <v>291</v>
      </c>
      <c r="X291">
        <v>348</v>
      </c>
      <c r="Y291">
        <v>19</v>
      </c>
      <c r="Z291" t="e">
        <f t="shared" si="7"/>
        <v>#N/A</v>
      </c>
    </row>
    <row r="292" spans="1:26" x14ac:dyDescent="0.25">
      <c r="A292" t="s">
        <v>2160</v>
      </c>
      <c r="B292">
        <v>53033029801</v>
      </c>
      <c r="C292" t="s">
        <v>2161</v>
      </c>
      <c r="D292">
        <v>9466</v>
      </c>
      <c r="E292">
        <v>6938</v>
      </c>
      <c r="F292">
        <v>2528</v>
      </c>
      <c r="G292">
        <v>9466</v>
      </c>
      <c r="H292">
        <v>6938</v>
      </c>
      <c r="I292">
        <v>2528</v>
      </c>
      <c r="J292">
        <v>4000</v>
      </c>
      <c r="K292">
        <v>748</v>
      </c>
      <c r="L292">
        <v>401</v>
      </c>
      <c r="M292">
        <v>57</v>
      </c>
      <c r="N292">
        <v>565</v>
      </c>
      <c r="O292">
        <v>206</v>
      </c>
      <c r="P292">
        <v>83</v>
      </c>
      <c r="Q292">
        <v>0</v>
      </c>
      <c r="R292">
        <v>285</v>
      </c>
      <c r="S292">
        <v>827</v>
      </c>
      <c r="T292">
        <v>215</v>
      </c>
      <c r="U292">
        <v>23</v>
      </c>
      <c r="V292">
        <v>379</v>
      </c>
      <c r="W292">
        <v>575</v>
      </c>
      <c r="X292">
        <v>1010</v>
      </c>
      <c r="Y292">
        <v>92</v>
      </c>
      <c r="Z292" t="e">
        <f t="shared" si="7"/>
        <v>#N/A</v>
      </c>
    </row>
    <row r="293" spans="1:26" x14ac:dyDescent="0.25">
      <c r="A293" t="s">
        <v>2162</v>
      </c>
      <c r="B293">
        <v>53033029802</v>
      </c>
      <c r="C293" t="s">
        <v>2163</v>
      </c>
      <c r="D293">
        <v>9297</v>
      </c>
      <c r="E293">
        <v>7176</v>
      </c>
      <c r="F293">
        <v>2121</v>
      </c>
      <c r="G293">
        <v>9297</v>
      </c>
      <c r="H293">
        <v>7176</v>
      </c>
      <c r="I293">
        <v>2121</v>
      </c>
      <c r="J293">
        <v>4324</v>
      </c>
      <c r="K293">
        <v>744</v>
      </c>
      <c r="L293">
        <v>653</v>
      </c>
      <c r="M293">
        <v>57</v>
      </c>
      <c r="N293">
        <v>696</v>
      </c>
      <c r="O293">
        <v>0</v>
      </c>
      <c r="P293">
        <v>60</v>
      </c>
      <c r="Q293">
        <v>0</v>
      </c>
      <c r="R293">
        <v>324</v>
      </c>
      <c r="S293">
        <v>664</v>
      </c>
      <c r="T293">
        <v>121</v>
      </c>
      <c r="U293">
        <v>81</v>
      </c>
      <c r="V293">
        <v>508</v>
      </c>
      <c r="W293">
        <v>401</v>
      </c>
      <c r="X293">
        <v>490</v>
      </c>
      <c r="Y293">
        <v>174</v>
      </c>
      <c r="Z293" t="e">
        <f t="shared" si="7"/>
        <v>#N/A</v>
      </c>
    </row>
    <row r="294" spans="1:26" x14ac:dyDescent="0.25">
      <c r="A294" t="s">
        <v>2164</v>
      </c>
      <c r="B294">
        <v>53033029901</v>
      </c>
      <c r="C294" t="s">
        <v>2165</v>
      </c>
      <c r="D294">
        <v>4610</v>
      </c>
      <c r="E294">
        <v>3581</v>
      </c>
      <c r="F294">
        <v>1029</v>
      </c>
      <c r="G294">
        <v>4610</v>
      </c>
      <c r="H294">
        <v>3581</v>
      </c>
      <c r="I294">
        <v>1029</v>
      </c>
      <c r="J294">
        <v>2608</v>
      </c>
      <c r="K294">
        <v>461</v>
      </c>
      <c r="L294">
        <v>189</v>
      </c>
      <c r="M294">
        <v>125</v>
      </c>
      <c r="N294">
        <v>297</v>
      </c>
      <c r="O294">
        <v>114</v>
      </c>
      <c r="P294">
        <v>44</v>
      </c>
      <c r="Q294">
        <v>0</v>
      </c>
      <c r="R294">
        <v>215</v>
      </c>
      <c r="S294">
        <v>329</v>
      </c>
      <c r="T294">
        <v>0</v>
      </c>
      <c r="U294">
        <v>0</v>
      </c>
      <c r="V294">
        <v>45</v>
      </c>
      <c r="W294">
        <v>0</v>
      </c>
      <c r="X294">
        <v>183</v>
      </c>
      <c r="Y294">
        <v>0</v>
      </c>
      <c r="Z294" t="e">
        <f t="shared" si="7"/>
        <v>#N/A</v>
      </c>
    </row>
    <row r="295" spans="1:26" x14ac:dyDescent="0.25">
      <c r="A295" t="s">
        <v>2166</v>
      </c>
      <c r="B295">
        <v>53033029902</v>
      </c>
      <c r="C295" t="s">
        <v>2167</v>
      </c>
      <c r="D295">
        <v>4092</v>
      </c>
      <c r="E295">
        <v>3299</v>
      </c>
      <c r="F295">
        <v>793</v>
      </c>
      <c r="G295">
        <v>4092</v>
      </c>
      <c r="H295">
        <v>3299</v>
      </c>
      <c r="I295">
        <v>793</v>
      </c>
      <c r="J295">
        <v>2272</v>
      </c>
      <c r="K295">
        <v>290</v>
      </c>
      <c r="L295">
        <v>45</v>
      </c>
      <c r="M295">
        <v>0</v>
      </c>
      <c r="N295">
        <v>378</v>
      </c>
      <c r="O295">
        <v>59</v>
      </c>
      <c r="P295">
        <v>0</v>
      </c>
      <c r="Q295">
        <v>0</v>
      </c>
      <c r="R295">
        <v>159</v>
      </c>
      <c r="S295">
        <v>327</v>
      </c>
      <c r="T295">
        <v>0</v>
      </c>
      <c r="U295">
        <v>54</v>
      </c>
      <c r="V295">
        <v>33</v>
      </c>
      <c r="W295">
        <v>37</v>
      </c>
      <c r="X295">
        <v>412</v>
      </c>
      <c r="Y295">
        <v>26</v>
      </c>
      <c r="Z295" t="e">
        <f t="shared" si="7"/>
        <v>#N/A</v>
      </c>
    </row>
    <row r="296" spans="1:26" x14ac:dyDescent="0.25">
      <c r="A296" t="s">
        <v>2170</v>
      </c>
      <c r="B296">
        <v>53033030003</v>
      </c>
      <c r="C296" t="s">
        <v>2171</v>
      </c>
      <c r="D296">
        <v>6295</v>
      </c>
      <c r="E296">
        <v>4792</v>
      </c>
      <c r="F296">
        <v>1503</v>
      </c>
      <c r="G296">
        <v>6295</v>
      </c>
      <c r="H296">
        <v>4792</v>
      </c>
      <c r="I296">
        <v>1503</v>
      </c>
      <c r="J296">
        <v>2756</v>
      </c>
      <c r="K296">
        <v>425</v>
      </c>
      <c r="L296">
        <v>334</v>
      </c>
      <c r="M296">
        <v>0</v>
      </c>
      <c r="N296">
        <v>184</v>
      </c>
      <c r="O296">
        <v>159</v>
      </c>
      <c r="P296">
        <v>27</v>
      </c>
      <c r="Q296">
        <v>0</v>
      </c>
      <c r="R296">
        <v>226</v>
      </c>
      <c r="S296">
        <v>344</v>
      </c>
      <c r="T296">
        <v>100</v>
      </c>
      <c r="U296">
        <v>52</v>
      </c>
      <c r="V296">
        <v>511</v>
      </c>
      <c r="W296">
        <v>523</v>
      </c>
      <c r="X296">
        <v>654</v>
      </c>
      <c r="Y296">
        <v>0</v>
      </c>
      <c r="Z296" t="e">
        <f t="shared" si="7"/>
        <v>#N/A</v>
      </c>
    </row>
    <row r="297" spans="1:26" x14ac:dyDescent="0.25">
      <c r="A297" t="s">
        <v>2172</v>
      </c>
      <c r="B297">
        <v>53033030004</v>
      </c>
      <c r="C297" t="s">
        <v>2173</v>
      </c>
      <c r="D297">
        <v>8302</v>
      </c>
      <c r="E297">
        <v>5564</v>
      </c>
      <c r="F297">
        <v>2738</v>
      </c>
      <c r="G297">
        <v>8302</v>
      </c>
      <c r="H297">
        <v>5564</v>
      </c>
      <c r="I297">
        <v>2738</v>
      </c>
      <c r="J297">
        <v>2277</v>
      </c>
      <c r="K297">
        <v>311</v>
      </c>
      <c r="L297">
        <v>796</v>
      </c>
      <c r="M297">
        <v>309</v>
      </c>
      <c r="N297">
        <v>989</v>
      </c>
      <c r="O297">
        <v>145</v>
      </c>
      <c r="P297">
        <v>19</v>
      </c>
      <c r="Q297">
        <v>0</v>
      </c>
      <c r="R297">
        <v>276</v>
      </c>
      <c r="S297">
        <v>664</v>
      </c>
      <c r="T297">
        <v>208</v>
      </c>
      <c r="U297">
        <v>549</v>
      </c>
      <c r="V297">
        <v>660</v>
      </c>
      <c r="W297">
        <v>737</v>
      </c>
      <c r="X297">
        <v>339</v>
      </c>
      <c r="Y297">
        <v>23</v>
      </c>
      <c r="Z297" t="e">
        <f t="shared" si="7"/>
        <v>#N/A</v>
      </c>
    </row>
    <row r="298" spans="1:26" x14ac:dyDescent="0.25">
      <c r="A298" t="s">
        <v>2420</v>
      </c>
      <c r="B298">
        <v>53033030005</v>
      </c>
      <c r="C298" t="s">
        <v>2421</v>
      </c>
      <c r="D298">
        <v>5632</v>
      </c>
      <c r="E298">
        <v>3694</v>
      </c>
      <c r="F298">
        <v>1938</v>
      </c>
      <c r="G298">
        <v>5632</v>
      </c>
      <c r="H298">
        <v>3694</v>
      </c>
      <c r="I298">
        <v>1938</v>
      </c>
      <c r="J298">
        <v>1671</v>
      </c>
      <c r="K298">
        <v>35</v>
      </c>
      <c r="L298">
        <v>400</v>
      </c>
      <c r="M298">
        <v>470</v>
      </c>
      <c r="N298">
        <v>426</v>
      </c>
      <c r="O298">
        <v>88</v>
      </c>
      <c r="P298">
        <v>11</v>
      </c>
      <c r="Q298">
        <v>0</v>
      </c>
      <c r="R298">
        <v>130</v>
      </c>
      <c r="S298">
        <v>610</v>
      </c>
      <c r="T298">
        <v>51</v>
      </c>
      <c r="U298">
        <v>128</v>
      </c>
      <c r="V298">
        <v>618</v>
      </c>
      <c r="W298">
        <v>571</v>
      </c>
      <c r="X298">
        <v>387</v>
      </c>
      <c r="Y298">
        <v>36</v>
      </c>
      <c r="Z298" t="e">
        <f t="shared" si="7"/>
        <v>#N/A</v>
      </c>
    </row>
    <row r="299" spans="1:26" x14ac:dyDescent="0.25">
      <c r="A299" t="s">
        <v>2422</v>
      </c>
      <c r="B299">
        <v>53033030006</v>
      </c>
      <c r="C299" t="s">
        <v>2423</v>
      </c>
      <c r="D299">
        <v>4109</v>
      </c>
      <c r="E299">
        <v>2489</v>
      </c>
      <c r="F299">
        <v>1620</v>
      </c>
      <c r="G299">
        <v>4109</v>
      </c>
      <c r="H299">
        <v>2489</v>
      </c>
      <c r="I299">
        <v>1620</v>
      </c>
      <c r="J299">
        <v>1215</v>
      </c>
      <c r="K299">
        <v>122</v>
      </c>
      <c r="L299">
        <v>271</v>
      </c>
      <c r="M299">
        <v>313</v>
      </c>
      <c r="N299">
        <v>368</v>
      </c>
      <c r="O299">
        <v>484</v>
      </c>
      <c r="P299">
        <v>35</v>
      </c>
      <c r="Q299">
        <v>0</v>
      </c>
      <c r="R299">
        <v>33</v>
      </c>
      <c r="S299">
        <v>366</v>
      </c>
      <c r="T299">
        <v>119</v>
      </c>
      <c r="U299">
        <v>71</v>
      </c>
      <c r="V299">
        <v>258</v>
      </c>
      <c r="W299">
        <v>264</v>
      </c>
      <c r="X299">
        <v>190</v>
      </c>
      <c r="Y299">
        <v>0</v>
      </c>
      <c r="Z299" t="e">
        <f t="shared" si="7"/>
        <v>#N/A</v>
      </c>
    </row>
    <row r="300" spans="1:26" x14ac:dyDescent="0.25">
      <c r="A300" t="s">
        <v>2174</v>
      </c>
      <c r="B300">
        <v>53033030100</v>
      </c>
      <c r="C300" t="s">
        <v>2175</v>
      </c>
      <c r="D300">
        <v>7934</v>
      </c>
      <c r="E300">
        <v>6256</v>
      </c>
      <c r="F300">
        <v>1678</v>
      </c>
      <c r="G300">
        <v>7934</v>
      </c>
      <c r="H300">
        <v>6256</v>
      </c>
      <c r="I300">
        <v>1678</v>
      </c>
      <c r="J300">
        <v>4905</v>
      </c>
      <c r="K300">
        <v>603</v>
      </c>
      <c r="L300">
        <v>341</v>
      </c>
      <c r="M300">
        <v>56</v>
      </c>
      <c r="N300">
        <v>394</v>
      </c>
      <c r="O300">
        <v>0</v>
      </c>
      <c r="P300">
        <v>23</v>
      </c>
      <c r="Q300">
        <v>0</v>
      </c>
      <c r="R300">
        <v>0</v>
      </c>
      <c r="S300">
        <v>794</v>
      </c>
      <c r="T300">
        <v>106</v>
      </c>
      <c r="U300">
        <v>54</v>
      </c>
      <c r="V300">
        <v>240</v>
      </c>
      <c r="W300">
        <v>105</v>
      </c>
      <c r="X300">
        <v>247</v>
      </c>
      <c r="Y300">
        <v>66</v>
      </c>
      <c r="Z300" t="e">
        <f t="shared" si="7"/>
        <v>#N/A</v>
      </c>
    </row>
    <row r="301" spans="1:26" x14ac:dyDescent="0.25">
      <c r="A301" t="s">
        <v>2176</v>
      </c>
      <c r="B301">
        <v>53033030201</v>
      </c>
      <c r="C301" t="s">
        <v>2177</v>
      </c>
      <c r="D301">
        <v>5676</v>
      </c>
      <c r="E301">
        <v>4031</v>
      </c>
      <c r="F301">
        <v>1645</v>
      </c>
      <c r="G301">
        <v>5676</v>
      </c>
      <c r="H301">
        <v>4031</v>
      </c>
      <c r="I301">
        <v>1645</v>
      </c>
      <c r="J301">
        <v>2544</v>
      </c>
      <c r="K301">
        <v>400</v>
      </c>
      <c r="L301">
        <v>243</v>
      </c>
      <c r="M301">
        <v>238</v>
      </c>
      <c r="N301">
        <v>275</v>
      </c>
      <c r="O301">
        <v>66</v>
      </c>
      <c r="P301">
        <v>0</v>
      </c>
      <c r="Q301">
        <v>0</v>
      </c>
      <c r="R301">
        <v>203</v>
      </c>
      <c r="S301">
        <v>517</v>
      </c>
      <c r="T301">
        <v>9</v>
      </c>
      <c r="U301">
        <v>0</v>
      </c>
      <c r="V301">
        <v>336</v>
      </c>
      <c r="W301">
        <v>232</v>
      </c>
      <c r="X301">
        <v>421</v>
      </c>
      <c r="Y301">
        <v>192</v>
      </c>
      <c r="Z301" t="e">
        <f t="shared" si="7"/>
        <v>#N/A</v>
      </c>
    </row>
    <row r="302" spans="1:26" x14ac:dyDescent="0.25">
      <c r="A302" t="s">
        <v>2178</v>
      </c>
      <c r="B302">
        <v>53033030202</v>
      </c>
      <c r="C302" t="s">
        <v>2179</v>
      </c>
      <c r="D302">
        <v>6625</v>
      </c>
      <c r="E302">
        <v>4533</v>
      </c>
      <c r="F302">
        <v>2092</v>
      </c>
      <c r="G302">
        <v>6625</v>
      </c>
      <c r="H302">
        <v>4533</v>
      </c>
      <c r="I302">
        <v>2092</v>
      </c>
      <c r="J302">
        <v>2616</v>
      </c>
      <c r="K302">
        <v>676</v>
      </c>
      <c r="L302">
        <v>129</v>
      </c>
      <c r="M302">
        <v>77</v>
      </c>
      <c r="N302">
        <v>577</v>
      </c>
      <c r="O302">
        <v>347</v>
      </c>
      <c r="P302">
        <v>72</v>
      </c>
      <c r="Q302">
        <v>0</v>
      </c>
      <c r="R302">
        <v>183</v>
      </c>
      <c r="S302">
        <v>802</v>
      </c>
      <c r="T302">
        <v>12</v>
      </c>
      <c r="U302">
        <v>32</v>
      </c>
      <c r="V302">
        <v>232</v>
      </c>
      <c r="W302">
        <v>125</v>
      </c>
      <c r="X302">
        <v>712</v>
      </c>
      <c r="Y302">
        <v>33</v>
      </c>
      <c r="Z302" t="e">
        <f t="shared" si="7"/>
        <v>#N/A</v>
      </c>
    </row>
    <row r="303" spans="1:26" x14ac:dyDescent="0.25">
      <c r="A303" t="s">
        <v>2182</v>
      </c>
      <c r="B303">
        <v>53033030304</v>
      </c>
      <c r="C303" t="s">
        <v>2183</v>
      </c>
      <c r="D303">
        <v>3644</v>
      </c>
      <c r="E303">
        <v>2513</v>
      </c>
      <c r="F303">
        <v>1131</v>
      </c>
      <c r="G303">
        <v>3644</v>
      </c>
      <c r="H303">
        <v>2513</v>
      </c>
      <c r="I303">
        <v>1131</v>
      </c>
      <c r="J303">
        <v>1688</v>
      </c>
      <c r="K303">
        <v>262</v>
      </c>
      <c r="L303">
        <v>141</v>
      </c>
      <c r="M303">
        <v>319</v>
      </c>
      <c r="N303">
        <v>170</v>
      </c>
      <c r="O303">
        <v>5</v>
      </c>
      <c r="P303">
        <v>0</v>
      </c>
      <c r="Q303">
        <v>0</v>
      </c>
      <c r="R303">
        <v>162</v>
      </c>
      <c r="S303">
        <v>517</v>
      </c>
      <c r="T303">
        <v>0</v>
      </c>
      <c r="U303">
        <v>0</v>
      </c>
      <c r="V303">
        <v>26</v>
      </c>
      <c r="W303">
        <v>16</v>
      </c>
      <c r="X303">
        <v>326</v>
      </c>
      <c r="Y303">
        <v>12</v>
      </c>
      <c r="Z303" t="e">
        <f t="shared" si="7"/>
        <v>#N/A</v>
      </c>
    </row>
    <row r="304" spans="1:26" x14ac:dyDescent="0.25">
      <c r="A304" t="s">
        <v>2184</v>
      </c>
      <c r="B304">
        <v>53033030305</v>
      </c>
      <c r="C304" t="s">
        <v>2185</v>
      </c>
      <c r="D304">
        <v>5250</v>
      </c>
      <c r="E304">
        <v>3990</v>
      </c>
      <c r="F304">
        <v>1260</v>
      </c>
      <c r="G304">
        <v>5250</v>
      </c>
      <c r="H304">
        <v>3990</v>
      </c>
      <c r="I304">
        <v>1260</v>
      </c>
      <c r="J304">
        <v>2743</v>
      </c>
      <c r="K304">
        <v>445</v>
      </c>
      <c r="L304">
        <v>201</v>
      </c>
      <c r="M304">
        <v>194</v>
      </c>
      <c r="N304">
        <v>567</v>
      </c>
      <c r="O304">
        <v>25</v>
      </c>
      <c r="P304">
        <v>15</v>
      </c>
      <c r="Q304">
        <v>0</v>
      </c>
      <c r="R304">
        <v>301</v>
      </c>
      <c r="S304">
        <v>558</v>
      </c>
      <c r="T304">
        <v>1</v>
      </c>
      <c r="U304">
        <v>0</v>
      </c>
      <c r="V304">
        <v>16</v>
      </c>
      <c r="W304">
        <v>8</v>
      </c>
      <c r="X304">
        <v>146</v>
      </c>
      <c r="Y304">
        <v>30</v>
      </c>
      <c r="Z304" t="e">
        <f t="shared" si="7"/>
        <v>#N/A</v>
      </c>
    </row>
    <row r="305" spans="1:26" x14ac:dyDescent="0.25">
      <c r="A305" t="s">
        <v>2186</v>
      </c>
      <c r="B305">
        <v>53033030306</v>
      </c>
      <c r="C305" t="s">
        <v>2187</v>
      </c>
      <c r="D305">
        <v>5803</v>
      </c>
      <c r="E305">
        <v>4882</v>
      </c>
      <c r="F305">
        <v>921</v>
      </c>
      <c r="G305">
        <v>5803</v>
      </c>
      <c r="H305">
        <v>4882</v>
      </c>
      <c r="I305">
        <v>921</v>
      </c>
      <c r="J305">
        <v>3231</v>
      </c>
      <c r="K305">
        <v>174</v>
      </c>
      <c r="L305">
        <v>385</v>
      </c>
      <c r="M305">
        <v>48</v>
      </c>
      <c r="N305">
        <v>548</v>
      </c>
      <c r="O305">
        <v>0</v>
      </c>
      <c r="P305">
        <v>95</v>
      </c>
      <c r="Q305">
        <v>35</v>
      </c>
      <c r="R305">
        <v>154</v>
      </c>
      <c r="S305">
        <v>503</v>
      </c>
      <c r="T305">
        <v>0</v>
      </c>
      <c r="U305">
        <v>0</v>
      </c>
      <c r="V305">
        <v>131</v>
      </c>
      <c r="W305">
        <v>133</v>
      </c>
      <c r="X305">
        <v>338</v>
      </c>
      <c r="Y305">
        <v>28</v>
      </c>
      <c r="Z305" t="e">
        <f t="shared" si="7"/>
        <v>#N/A</v>
      </c>
    </row>
    <row r="306" spans="1:26" x14ac:dyDescent="0.25">
      <c r="A306" t="s">
        <v>2188</v>
      </c>
      <c r="B306">
        <v>53033030308</v>
      </c>
      <c r="C306" t="s">
        <v>2189</v>
      </c>
      <c r="D306">
        <v>6575</v>
      </c>
      <c r="E306">
        <v>5157</v>
      </c>
      <c r="F306">
        <v>1418</v>
      </c>
      <c r="G306">
        <v>6575</v>
      </c>
      <c r="H306">
        <v>5157</v>
      </c>
      <c r="I306">
        <v>1418</v>
      </c>
      <c r="J306">
        <v>2973</v>
      </c>
      <c r="K306">
        <v>55</v>
      </c>
      <c r="L306">
        <v>283</v>
      </c>
      <c r="M306">
        <v>288</v>
      </c>
      <c r="N306">
        <v>575</v>
      </c>
      <c r="O306">
        <v>36</v>
      </c>
      <c r="P306">
        <v>42</v>
      </c>
      <c r="Q306">
        <v>0</v>
      </c>
      <c r="R306">
        <v>236</v>
      </c>
      <c r="S306">
        <v>743</v>
      </c>
      <c r="T306">
        <v>359</v>
      </c>
      <c r="U306">
        <v>100</v>
      </c>
      <c r="V306">
        <v>263</v>
      </c>
      <c r="W306">
        <v>154</v>
      </c>
      <c r="X306">
        <v>426</v>
      </c>
      <c r="Y306">
        <v>42</v>
      </c>
      <c r="Z306" t="e">
        <f t="shared" si="7"/>
        <v>#N/A</v>
      </c>
    </row>
    <row r="307" spans="1:26" x14ac:dyDescent="0.25">
      <c r="A307" t="s">
        <v>2190</v>
      </c>
      <c r="B307">
        <v>53033030309</v>
      </c>
      <c r="C307" t="s">
        <v>2191</v>
      </c>
      <c r="D307">
        <v>5793</v>
      </c>
      <c r="E307">
        <v>4510</v>
      </c>
      <c r="F307">
        <v>1283</v>
      </c>
      <c r="G307">
        <v>5793</v>
      </c>
      <c r="H307">
        <v>4510</v>
      </c>
      <c r="I307">
        <v>1283</v>
      </c>
      <c r="J307">
        <v>2446</v>
      </c>
      <c r="K307">
        <v>256</v>
      </c>
      <c r="L307">
        <v>221</v>
      </c>
      <c r="M307">
        <v>180</v>
      </c>
      <c r="N307">
        <v>1025</v>
      </c>
      <c r="O307">
        <v>207</v>
      </c>
      <c r="P307">
        <v>0</v>
      </c>
      <c r="Q307">
        <v>20</v>
      </c>
      <c r="R307">
        <v>85</v>
      </c>
      <c r="S307">
        <v>492</v>
      </c>
      <c r="T307">
        <v>17</v>
      </c>
      <c r="U307">
        <v>0</v>
      </c>
      <c r="V307">
        <v>73</v>
      </c>
      <c r="W307">
        <v>30</v>
      </c>
      <c r="X307">
        <v>643</v>
      </c>
      <c r="Y307">
        <v>98</v>
      </c>
      <c r="Z307" t="e">
        <f t="shared" si="7"/>
        <v>#N/A</v>
      </c>
    </row>
    <row r="308" spans="1:26" x14ac:dyDescent="0.25">
      <c r="A308" t="s">
        <v>2192</v>
      </c>
      <c r="B308">
        <v>53033030310</v>
      </c>
      <c r="C308" t="s">
        <v>2193</v>
      </c>
      <c r="D308">
        <v>6206</v>
      </c>
      <c r="E308">
        <v>4371</v>
      </c>
      <c r="F308">
        <v>1835</v>
      </c>
      <c r="G308">
        <v>6206</v>
      </c>
      <c r="H308">
        <v>4371</v>
      </c>
      <c r="I308">
        <v>1835</v>
      </c>
      <c r="J308">
        <v>2331</v>
      </c>
      <c r="K308">
        <v>605</v>
      </c>
      <c r="L308">
        <v>221</v>
      </c>
      <c r="M308">
        <v>154</v>
      </c>
      <c r="N308">
        <v>286</v>
      </c>
      <c r="O308">
        <v>38</v>
      </c>
      <c r="P308">
        <v>9</v>
      </c>
      <c r="Q308">
        <v>0</v>
      </c>
      <c r="R308">
        <v>728</v>
      </c>
      <c r="S308">
        <v>991</v>
      </c>
      <c r="T308">
        <v>0</v>
      </c>
      <c r="U308">
        <v>0</v>
      </c>
      <c r="V308">
        <v>238</v>
      </c>
      <c r="W308">
        <v>7</v>
      </c>
      <c r="X308">
        <v>558</v>
      </c>
      <c r="Y308">
        <v>40</v>
      </c>
      <c r="Z308" t="e">
        <f t="shared" si="7"/>
        <v>#N/A</v>
      </c>
    </row>
    <row r="309" spans="1:26" x14ac:dyDescent="0.25">
      <c r="A309" t="s">
        <v>2194</v>
      </c>
      <c r="B309">
        <v>53033030311</v>
      </c>
      <c r="C309" t="s">
        <v>2195</v>
      </c>
      <c r="D309">
        <v>5577</v>
      </c>
      <c r="E309">
        <v>4221</v>
      </c>
      <c r="F309">
        <v>1356</v>
      </c>
      <c r="G309">
        <v>5577</v>
      </c>
      <c r="H309">
        <v>4221</v>
      </c>
      <c r="I309">
        <v>1356</v>
      </c>
      <c r="J309">
        <v>2329</v>
      </c>
      <c r="K309">
        <v>142</v>
      </c>
      <c r="L309">
        <v>638</v>
      </c>
      <c r="M309">
        <v>407</v>
      </c>
      <c r="N309">
        <v>428</v>
      </c>
      <c r="O309">
        <v>64</v>
      </c>
      <c r="P309">
        <v>76</v>
      </c>
      <c r="Q309">
        <v>17</v>
      </c>
      <c r="R309">
        <v>146</v>
      </c>
      <c r="S309">
        <v>418</v>
      </c>
      <c r="T309">
        <v>40</v>
      </c>
      <c r="U309">
        <v>19</v>
      </c>
      <c r="V309">
        <v>59</v>
      </c>
      <c r="W309">
        <v>206</v>
      </c>
      <c r="X309">
        <v>505</v>
      </c>
      <c r="Y309">
        <v>83</v>
      </c>
      <c r="Z309" t="e">
        <f t="shared" si="7"/>
        <v>#N/A</v>
      </c>
    </row>
    <row r="310" spans="1:26" x14ac:dyDescent="0.25">
      <c r="A310" t="s">
        <v>2196</v>
      </c>
      <c r="B310">
        <v>53033030312</v>
      </c>
      <c r="C310" t="s">
        <v>2197</v>
      </c>
      <c r="D310">
        <v>5008</v>
      </c>
      <c r="E310">
        <v>3927</v>
      </c>
      <c r="F310">
        <v>1081</v>
      </c>
      <c r="G310">
        <v>5008</v>
      </c>
      <c r="H310">
        <v>3927</v>
      </c>
      <c r="I310">
        <v>1081</v>
      </c>
      <c r="J310">
        <v>2324</v>
      </c>
      <c r="K310">
        <v>352</v>
      </c>
      <c r="L310">
        <v>477</v>
      </c>
      <c r="M310">
        <v>92</v>
      </c>
      <c r="N310">
        <v>463</v>
      </c>
      <c r="O310">
        <v>87</v>
      </c>
      <c r="P310">
        <v>58</v>
      </c>
      <c r="Q310">
        <v>0</v>
      </c>
      <c r="R310">
        <v>142</v>
      </c>
      <c r="S310">
        <v>432</v>
      </c>
      <c r="T310">
        <v>85</v>
      </c>
      <c r="U310">
        <v>47</v>
      </c>
      <c r="V310">
        <v>62</v>
      </c>
      <c r="W310">
        <v>44</v>
      </c>
      <c r="X310">
        <v>316</v>
      </c>
      <c r="Y310">
        <v>27</v>
      </c>
      <c r="Z310" t="e">
        <f t="shared" si="7"/>
        <v>#N/A</v>
      </c>
    </row>
    <row r="311" spans="1:26" x14ac:dyDescent="0.25">
      <c r="A311" t="s">
        <v>2424</v>
      </c>
      <c r="B311">
        <v>53033030313</v>
      </c>
      <c r="C311" t="s">
        <v>2425</v>
      </c>
      <c r="D311">
        <v>3747</v>
      </c>
      <c r="E311">
        <v>2538</v>
      </c>
      <c r="F311">
        <v>1209</v>
      </c>
      <c r="G311">
        <v>3747</v>
      </c>
      <c r="H311">
        <v>2538</v>
      </c>
      <c r="I311">
        <v>1209</v>
      </c>
      <c r="J311">
        <v>1383</v>
      </c>
      <c r="K311">
        <v>179</v>
      </c>
      <c r="L311">
        <v>332</v>
      </c>
      <c r="M311">
        <v>298</v>
      </c>
      <c r="N311">
        <v>334</v>
      </c>
      <c r="O311">
        <v>83</v>
      </c>
      <c r="P311">
        <v>10</v>
      </c>
      <c r="Q311">
        <v>0</v>
      </c>
      <c r="R311">
        <v>84</v>
      </c>
      <c r="S311">
        <v>426</v>
      </c>
      <c r="T311">
        <v>66</v>
      </c>
      <c r="U311">
        <v>118</v>
      </c>
      <c r="V311">
        <v>65</v>
      </c>
      <c r="W311">
        <v>64</v>
      </c>
      <c r="X311">
        <v>264</v>
      </c>
      <c r="Y311">
        <v>41</v>
      </c>
      <c r="Z311" t="e">
        <f t="shared" si="7"/>
        <v>#N/A</v>
      </c>
    </row>
    <row r="312" spans="1:26" x14ac:dyDescent="0.25">
      <c r="A312" t="s">
        <v>2426</v>
      </c>
      <c r="B312">
        <v>53033030314</v>
      </c>
      <c r="C312" t="s">
        <v>2427</v>
      </c>
      <c r="D312">
        <v>4340</v>
      </c>
      <c r="E312">
        <v>2966</v>
      </c>
      <c r="F312">
        <v>1374</v>
      </c>
      <c r="G312">
        <v>4340</v>
      </c>
      <c r="H312">
        <v>2966</v>
      </c>
      <c r="I312">
        <v>1374</v>
      </c>
      <c r="J312">
        <v>1825</v>
      </c>
      <c r="K312">
        <v>73</v>
      </c>
      <c r="L312">
        <v>195</v>
      </c>
      <c r="M312">
        <v>115</v>
      </c>
      <c r="N312">
        <v>452</v>
      </c>
      <c r="O312">
        <v>53</v>
      </c>
      <c r="P312">
        <v>15</v>
      </c>
      <c r="Q312">
        <v>0</v>
      </c>
      <c r="R312">
        <v>123</v>
      </c>
      <c r="S312">
        <v>897</v>
      </c>
      <c r="T312">
        <v>0</v>
      </c>
      <c r="U312">
        <v>0</v>
      </c>
      <c r="V312">
        <v>112</v>
      </c>
      <c r="W312">
        <v>205</v>
      </c>
      <c r="X312">
        <v>244</v>
      </c>
      <c r="Y312">
        <v>31</v>
      </c>
      <c r="Z312" t="e">
        <f t="shared" si="7"/>
        <v>#N/A</v>
      </c>
    </row>
    <row r="313" spans="1:26" x14ac:dyDescent="0.25">
      <c r="A313" t="s">
        <v>2198</v>
      </c>
      <c r="B313">
        <v>53033030401</v>
      </c>
      <c r="C313" t="s">
        <v>2199</v>
      </c>
      <c r="D313">
        <v>9736</v>
      </c>
      <c r="E313">
        <v>7371</v>
      </c>
      <c r="F313">
        <v>2365</v>
      </c>
      <c r="G313">
        <v>9736</v>
      </c>
      <c r="H313">
        <v>7371</v>
      </c>
      <c r="I313">
        <v>2365</v>
      </c>
      <c r="J313">
        <v>4537</v>
      </c>
      <c r="K313">
        <v>1098</v>
      </c>
      <c r="L313">
        <v>382</v>
      </c>
      <c r="M313">
        <v>264</v>
      </c>
      <c r="N313">
        <v>798</v>
      </c>
      <c r="O313">
        <v>0</v>
      </c>
      <c r="P313">
        <v>603</v>
      </c>
      <c r="Q313">
        <v>0</v>
      </c>
      <c r="R313">
        <v>305</v>
      </c>
      <c r="S313">
        <v>790</v>
      </c>
      <c r="T313">
        <v>135</v>
      </c>
      <c r="U313">
        <v>0</v>
      </c>
      <c r="V313">
        <v>42</v>
      </c>
      <c r="W313">
        <v>198</v>
      </c>
      <c r="X313">
        <v>569</v>
      </c>
      <c r="Y313">
        <v>15</v>
      </c>
      <c r="Z313" t="e">
        <f t="shared" si="7"/>
        <v>#N/A</v>
      </c>
    </row>
    <row r="314" spans="1:26" x14ac:dyDescent="0.25">
      <c r="A314" t="s">
        <v>2200</v>
      </c>
      <c r="B314">
        <v>53033030403</v>
      </c>
      <c r="C314" t="s">
        <v>2201</v>
      </c>
      <c r="D314">
        <v>4495</v>
      </c>
      <c r="E314">
        <v>3428</v>
      </c>
      <c r="F314">
        <v>1067</v>
      </c>
      <c r="G314">
        <v>4495</v>
      </c>
      <c r="H314">
        <v>3428</v>
      </c>
      <c r="I314">
        <v>1067</v>
      </c>
      <c r="J314">
        <v>2654</v>
      </c>
      <c r="K314">
        <v>331</v>
      </c>
      <c r="L314">
        <v>132</v>
      </c>
      <c r="M314">
        <v>38</v>
      </c>
      <c r="N314">
        <v>267</v>
      </c>
      <c r="O314">
        <v>23</v>
      </c>
      <c r="P314">
        <v>9</v>
      </c>
      <c r="Q314">
        <v>22</v>
      </c>
      <c r="R314">
        <v>126</v>
      </c>
      <c r="S314">
        <v>560</v>
      </c>
      <c r="T314">
        <v>0</v>
      </c>
      <c r="U314">
        <v>0</v>
      </c>
      <c r="V314">
        <v>44</v>
      </c>
      <c r="W314">
        <v>20</v>
      </c>
      <c r="X314">
        <v>196</v>
      </c>
      <c r="Y314">
        <v>73</v>
      </c>
      <c r="Z314" t="e">
        <f t="shared" si="7"/>
        <v>#N/A</v>
      </c>
    </row>
    <row r="315" spans="1:26" x14ac:dyDescent="0.25">
      <c r="A315" t="s">
        <v>2202</v>
      </c>
      <c r="B315">
        <v>53033030404</v>
      </c>
      <c r="C315" t="s">
        <v>2203</v>
      </c>
      <c r="D315">
        <v>4930</v>
      </c>
      <c r="E315">
        <v>4068</v>
      </c>
      <c r="F315">
        <v>862</v>
      </c>
      <c r="G315">
        <v>4930</v>
      </c>
      <c r="H315">
        <v>4068</v>
      </c>
      <c r="I315">
        <v>862</v>
      </c>
      <c r="J315">
        <v>3580</v>
      </c>
      <c r="K315">
        <v>408</v>
      </c>
      <c r="L315">
        <v>152</v>
      </c>
      <c r="M315">
        <v>47</v>
      </c>
      <c r="N315">
        <v>45</v>
      </c>
      <c r="O315">
        <v>22</v>
      </c>
      <c r="P315">
        <v>74</v>
      </c>
      <c r="Q315">
        <v>0</v>
      </c>
      <c r="R315">
        <v>32</v>
      </c>
      <c r="S315">
        <v>212</v>
      </c>
      <c r="T315">
        <v>0</v>
      </c>
      <c r="U315">
        <v>0</v>
      </c>
      <c r="V315">
        <v>60</v>
      </c>
      <c r="W315">
        <v>19</v>
      </c>
      <c r="X315">
        <v>125</v>
      </c>
      <c r="Y315">
        <v>154</v>
      </c>
      <c r="Z315" t="e">
        <f t="shared" si="7"/>
        <v>#N/A</v>
      </c>
    </row>
    <row r="316" spans="1:26" x14ac:dyDescent="0.25">
      <c r="A316" t="s">
        <v>2204</v>
      </c>
      <c r="B316">
        <v>53033030501</v>
      </c>
      <c r="C316" t="s">
        <v>2205</v>
      </c>
      <c r="D316">
        <v>1762</v>
      </c>
      <c r="E316">
        <v>1300</v>
      </c>
      <c r="F316">
        <v>462</v>
      </c>
      <c r="G316">
        <v>1762</v>
      </c>
      <c r="H316">
        <v>1300</v>
      </c>
      <c r="I316">
        <v>462</v>
      </c>
      <c r="J316">
        <v>957</v>
      </c>
      <c r="K316">
        <v>173</v>
      </c>
      <c r="L316">
        <v>43</v>
      </c>
      <c r="M316">
        <v>6</v>
      </c>
      <c r="N316">
        <v>92</v>
      </c>
      <c r="O316">
        <v>15</v>
      </c>
      <c r="P316">
        <v>0</v>
      </c>
      <c r="Q316">
        <v>0</v>
      </c>
      <c r="R316">
        <v>4</v>
      </c>
      <c r="S316">
        <v>140</v>
      </c>
      <c r="T316">
        <v>74</v>
      </c>
      <c r="U316">
        <v>107</v>
      </c>
      <c r="V316">
        <v>17</v>
      </c>
      <c r="W316">
        <v>10</v>
      </c>
      <c r="X316">
        <v>113</v>
      </c>
      <c r="Y316">
        <v>11</v>
      </c>
      <c r="Z316" t="e">
        <f t="shared" si="7"/>
        <v>#N/A</v>
      </c>
    </row>
    <row r="317" spans="1:26" x14ac:dyDescent="0.25">
      <c r="A317" t="s">
        <v>2206</v>
      </c>
      <c r="B317">
        <v>53033030503</v>
      </c>
      <c r="C317" t="s">
        <v>2207</v>
      </c>
      <c r="D317">
        <v>5942</v>
      </c>
      <c r="E317">
        <v>4655</v>
      </c>
      <c r="F317">
        <v>1287</v>
      </c>
      <c r="G317">
        <v>5942</v>
      </c>
      <c r="H317">
        <v>4655</v>
      </c>
      <c r="I317">
        <v>1287</v>
      </c>
      <c r="J317">
        <v>2770</v>
      </c>
      <c r="K317">
        <v>493</v>
      </c>
      <c r="L317">
        <v>336</v>
      </c>
      <c r="M317">
        <v>286</v>
      </c>
      <c r="N317">
        <v>467</v>
      </c>
      <c r="O317">
        <v>27</v>
      </c>
      <c r="P317">
        <v>115</v>
      </c>
      <c r="Q317">
        <v>0</v>
      </c>
      <c r="R317">
        <v>126</v>
      </c>
      <c r="S317">
        <v>342</v>
      </c>
      <c r="T317">
        <v>150</v>
      </c>
      <c r="U317">
        <v>0</v>
      </c>
      <c r="V317">
        <v>299</v>
      </c>
      <c r="W317">
        <v>127</v>
      </c>
      <c r="X317">
        <v>392</v>
      </c>
      <c r="Y317">
        <v>12</v>
      </c>
      <c r="Z317" t="e">
        <f t="shared" si="7"/>
        <v>#N/A</v>
      </c>
    </row>
    <row r="318" spans="1:26" x14ac:dyDescent="0.25">
      <c r="A318" t="s">
        <v>2208</v>
      </c>
      <c r="B318">
        <v>53033030504</v>
      </c>
      <c r="C318" t="s">
        <v>2209</v>
      </c>
      <c r="D318">
        <v>4396</v>
      </c>
      <c r="E318">
        <v>3652</v>
      </c>
      <c r="F318">
        <v>744</v>
      </c>
      <c r="G318">
        <v>4396</v>
      </c>
      <c r="H318">
        <v>3652</v>
      </c>
      <c r="I318">
        <v>744</v>
      </c>
      <c r="J318">
        <v>2618</v>
      </c>
      <c r="K318">
        <v>174</v>
      </c>
      <c r="L318">
        <v>321</v>
      </c>
      <c r="M318">
        <v>141</v>
      </c>
      <c r="N318">
        <v>251</v>
      </c>
      <c r="O318">
        <v>102</v>
      </c>
      <c r="P318">
        <v>47</v>
      </c>
      <c r="Q318">
        <v>0</v>
      </c>
      <c r="R318">
        <v>50</v>
      </c>
      <c r="S318">
        <v>246</v>
      </c>
      <c r="T318">
        <v>50</v>
      </c>
      <c r="U318">
        <v>14</v>
      </c>
      <c r="V318">
        <v>53</v>
      </c>
      <c r="W318">
        <v>67</v>
      </c>
      <c r="X318">
        <v>262</v>
      </c>
      <c r="Y318">
        <v>0</v>
      </c>
      <c r="Z318" t="e">
        <f t="shared" si="7"/>
        <v>#N/A</v>
      </c>
    </row>
    <row r="319" spans="1:26" x14ac:dyDescent="0.25">
      <c r="A319" t="s">
        <v>2210</v>
      </c>
      <c r="B319">
        <v>53033030600</v>
      </c>
      <c r="C319" t="s">
        <v>2211</v>
      </c>
      <c r="D319">
        <v>5874</v>
      </c>
      <c r="E319">
        <v>4420</v>
      </c>
      <c r="F319">
        <v>1454</v>
      </c>
      <c r="G319">
        <v>5874</v>
      </c>
      <c r="H319">
        <v>4420</v>
      </c>
      <c r="I319">
        <v>1454</v>
      </c>
      <c r="J319">
        <v>3001</v>
      </c>
      <c r="K319">
        <v>208</v>
      </c>
      <c r="L319">
        <v>709</v>
      </c>
      <c r="M319">
        <v>672</v>
      </c>
      <c r="N319">
        <v>82</v>
      </c>
      <c r="O319">
        <v>53</v>
      </c>
      <c r="P319">
        <v>117</v>
      </c>
      <c r="Q319">
        <v>0</v>
      </c>
      <c r="R319">
        <v>66</v>
      </c>
      <c r="S319">
        <v>461</v>
      </c>
      <c r="T319">
        <v>61</v>
      </c>
      <c r="U319">
        <v>13</v>
      </c>
      <c r="V319">
        <v>79</v>
      </c>
      <c r="W319">
        <v>0</v>
      </c>
      <c r="X319">
        <v>305</v>
      </c>
      <c r="Y319">
        <v>47</v>
      </c>
      <c r="Z319" t="e">
        <f t="shared" si="7"/>
        <v>#N/A</v>
      </c>
    </row>
    <row r="320" spans="1:26" x14ac:dyDescent="0.25">
      <c r="A320" t="s">
        <v>2212</v>
      </c>
      <c r="B320">
        <v>53033030700</v>
      </c>
      <c r="C320" t="s">
        <v>2213</v>
      </c>
      <c r="D320">
        <v>3916</v>
      </c>
      <c r="E320">
        <v>3352</v>
      </c>
      <c r="F320">
        <v>564</v>
      </c>
      <c r="G320">
        <v>3916</v>
      </c>
      <c r="H320">
        <v>3352</v>
      </c>
      <c r="I320">
        <v>564</v>
      </c>
      <c r="J320">
        <v>2243</v>
      </c>
      <c r="K320">
        <v>227</v>
      </c>
      <c r="L320">
        <v>414</v>
      </c>
      <c r="M320">
        <v>125</v>
      </c>
      <c r="N320">
        <v>126</v>
      </c>
      <c r="O320">
        <v>3</v>
      </c>
      <c r="P320">
        <v>28</v>
      </c>
      <c r="Q320">
        <v>0</v>
      </c>
      <c r="R320">
        <v>84</v>
      </c>
      <c r="S320">
        <v>135</v>
      </c>
      <c r="T320">
        <v>0</v>
      </c>
      <c r="U320">
        <v>47</v>
      </c>
      <c r="V320">
        <v>1</v>
      </c>
      <c r="W320">
        <v>0</v>
      </c>
      <c r="X320">
        <v>456</v>
      </c>
      <c r="Y320">
        <v>27</v>
      </c>
      <c r="Z320" t="e">
        <f t="shared" si="7"/>
        <v>#N/A</v>
      </c>
    </row>
    <row r="321" spans="1:26" x14ac:dyDescent="0.25">
      <c r="A321" t="s">
        <v>2214</v>
      </c>
      <c r="B321">
        <v>53033030801</v>
      </c>
      <c r="C321" t="s">
        <v>2215</v>
      </c>
      <c r="D321">
        <v>7126</v>
      </c>
      <c r="E321">
        <v>5412</v>
      </c>
      <c r="F321">
        <v>1714</v>
      </c>
      <c r="G321">
        <v>7126</v>
      </c>
      <c r="H321">
        <v>5412</v>
      </c>
      <c r="I321">
        <v>1714</v>
      </c>
      <c r="J321">
        <v>2833</v>
      </c>
      <c r="K321">
        <v>187</v>
      </c>
      <c r="L321">
        <v>698</v>
      </c>
      <c r="M321">
        <v>635</v>
      </c>
      <c r="N321">
        <v>426</v>
      </c>
      <c r="O321">
        <v>38</v>
      </c>
      <c r="P321">
        <v>186</v>
      </c>
      <c r="Q321">
        <v>16</v>
      </c>
      <c r="R321">
        <v>13</v>
      </c>
      <c r="S321">
        <v>112</v>
      </c>
      <c r="T321">
        <v>54</v>
      </c>
      <c r="U321">
        <v>235</v>
      </c>
      <c r="V321">
        <v>628</v>
      </c>
      <c r="W321">
        <v>459</v>
      </c>
      <c r="X321">
        <v>574</v>
      </c>
      <c r="Y321">
        <v>32</v>
      </c>
      <c r="Z321" t="e">
        <f t="shared" si="7"/>
        <v>#N/A</v>
      </c>
    </row>
    <row r="322" spans="1:26" x14ac:dyDescent="0.25">
      <c r="A322" t="s">
        <v>2216</v>
      </c>
      <c r="B322">
        <v>53033030802</v>
      </c>
      <c r="C322" t="s">
        <v>2217</v>
      </c>
      <c r="D322">
        <v>3894</v>
      </c>
      <c r="E322">
        <v>2745</v>
      </c>
      <c r="F322">
        <v>1149</v>
      </c>
      <c r="G322">
        <v>3894</v>
      </c>
      <c r="H322">
        <v>2745</v>
      </c>
      <c r="I322">
        <v>1149</v>
      </c>
      <c r="J322">
        <v>1831</v>
      </c>
      <c r="K322">
        <v>136</v>
      </c>
      <c r="L322">
        <v>270</v>
      </c>
      <c r="M322">
        <v>371</v>
      </c>
      <c r="N322">
        <v>138</v>
      </c>
      <c r="O322">
        <v>8</v>
      </c>
      <c r="P322">
        <v>168</v>
      </c>
      <c r="Q322">
        <v>36</v>
      </c>
      <c r="R322">
        <v>71</v>
      </c>
      <c r="S322">
        <v>92</v>
      </c>
      <c r="T322">
        <v>164</v>
      </c>
      <c r="U322">
        <v>447</v>
      </c>
      <c r="V322">
        <v>40</v>
      </c>
      <c r="W322">
        <v>59</v>
      </c>
      <c r="X322">
        <v>63</v>
      </c>
      <c r="Y322">
        <v>0</v>
      </c>
      <c r="Z322" t="e">
        <f t="shared" si="7"/>
        <v>#N/A</v>
      </c>
    </row>
    <row r="323" spans="1:26" x14ac:dyDescent="0.25">
      <c r="A323" t="s">
        <v>2218</v>
      </c>
      <c r="B323">
        <v>53033030901</v>
      </c>
      <c r="C323" t="s">
        <v>2219</v>
      </c>
      <c r="D323">
        <v>3610</v>
      </c>
      <c r="E323">
        <v>2826</v>
      </c>
      <c r="F323">
        <v>784</v>
      </c>
      <c r="G323">
        <v>3610</v>
      </c>
      <c r="H323">
        <v>2826</v>
      </c>
      <c r="I323">
        <v>784</v>
      </c>
      <c r="J323">
        <v>2098</v>
      </c>
      <c r="K323">
        <v>173</v>
      </c>
      <c r="L323">
        <v>205</v>
      </c>
      <c r="M323">
        <v>134</v>
      </c>
      <c r="N323">
        <v>140</v>
      </c>
      <c r="O323">
        <v>26</v>
      </c>
      <c r="P323">
        <v>45</v>
      </c>
      <c r="Q323">
        <v>0</v>
      </c>
      <c r="R323">
        <v>77</v>
      </c>
      <c r="S323">
        <v>243</v>
      </c>
      <c r="T323">
        <v>0</v>
      </c>
      <c r="U323">
        <v>11</v>
      </c>
      <c r="V323">
        <v>87</v>
      </c>
      <c r="W323">
        <v>196</v>
      </c>
      <c r="X323">
        <v>174</v>
      </c>
      <c r="Y323">
        <v>1</v>
      </c>
      <c r="Z323" t="e">
        <f t="shared" ref="Z323:Z386" si="8">VLOOKUP(C323,$AG$2:$AH$133,2,FALSE)</f>
        <v>#N/A</v>
      </c>
    </row>
    <row r="324" spans="1:26" x14ac:dyDescent="0.25">
      <c r="A324" t="s">
        <v>2220</v>
      </c>
      <c r="B324">
        <v>53033030902</v>
      </c>
      <c r="C324" t="s">
        <v>2221</v>
      </c>
      <c r="D324">
        <v>6308</v>
      </c>
      <c r="E324">
        <v>5165</v>
      </c>
      <c r="F324">
        <v>1143</v>
      </c>
      <c r="G324">
        <v>6308</v>
      </c>
      <c r="H324">
        <v>5165</v>
      </c>
      <c r="I324">
        <v>1143</v>
      </c>
      <c r="J324">
        <v>3207</v>
      </c>
      <c r="K324">
        <v>106</v>
      </c>
      <c r="L324">
        <v>485</v>
      </c>
      <c r="M324">
        <v>277</v>
      </c>
      <c r="N324">
        <v>302</v>
      </c>
      <c r="O324">
        <v>0</v>
      </c>
      <c r="P324">
        <v>16</v>
      </c>
      <c r="Q324">
        <v>0</v>
      </c>
      <c r="R324">
        <v>317</v>
      </c>
      <c r="S324">
        <v>368</v>
      </c>
      <c r="T324">
        <v>94</v>
      </c>
      <c r="U324">
        <v>191</v>
      </c>
      <c r="V324">
        <v>201</v>
      </c>
      <c r="W324">
        <v>144</v>
      </c>
      <c r="X324">
        <v>543</v>
      </c>
      <c r="Y324">
        <v>57</v>
      </c>
      <c r="Z324" t="e">
        <f t="shared" si="8"/>
        <v>#N/A</v>
      </c>
    </row>
    <row r="325" spans="1:26" x14ac:dyDescent="0.25">
      <c r="A325" t="s">
        <v>2222</v>
      </c>
      <c r="B325">
        <v>53033031000</v>
      </c>
      <c r="C325" t="s">
        <v>2223</v>
      </c>
      <c r="D325">
        <v>3944</v>
      </c>
      <c r="E325">
        <v>3474</v>
      </c>
      <c r="F325">
        <v>470</v>
      </c>
      <c r="G325">
        <v>3944</v>
      </c>
      <c r="H325">
        <v>3474</v>
      </c>
      <c r="I325">
        <v>470</v>
      </c>
      <c r="J325">
        <v>2915</v>
      </c>
      <c r="K325">
        <v>223</v>
      </c>
      <c r="L325">
        <v>56</v>
      </c>
      <c r="M325">
        <v>13</v>
      </c>
      <c r="N325">
        <v>70</v>
      </c>
      <c r="O325">
        <v>0</v>
      </c>
      <c r="P325">
        <v>9</v>
      </c>
      <c r="Q325">
        <v>0</v>
      </c>
      <c r="R325">
        <v>192</v>
      </c>
      <c r="S325">
        <v>224</v>
      </c>
      <c r="T325">
        <v>0</v>
      </c>
      <c r="U325">
        <v>0</v>
      </c>
      <c r="V325">
        <v>0</v>
      </c>
      <c r="W325">
        <v>0</v>
      </c>
      <c r="X325">
        <v>232</v>
      </c>
      <c r="Y325">
        <v>10</v>
      </c>
      <c r="Z325" t="e">
        <f t="shared" si="8"/>
        <v>#N/A</v>
      </c>
    </row>
    <row r="326" spans="1:26" x14ac:dyDescent="0.25">
      <c r="A326" t="s">
        <v>2224</v>
      </c>
      <c r="B326">
        <v>53033031100</v>
      </c>
      <c r="C326" t="s">
        <v>2225</v>
      </c>
      <c r="D326">
        <v>6744</v>
      </c>
      <c r="E326">
        <v>5442</v>
      </c>
      <c r="F326">
        <v>1302</v>
      </c>
      <c r="G326">
        <v>6744</v>
      </c>
      <c r="H326">
        <v>5442</v>
      </c>
      <c r="I326">
        <v>1302</v>
      </c>
      <c r="J326">
        <v>3529</v>
      </c>
      <c r="K326">
        <v>389</v>
      </c>
      <c r="L326">
        <v>222</v>
      </c>
      <c r="M326">
        <v>115</v>
      </c>
      <c r="N326">
        <v>320</v>
      </c>
      <c r="O326">
        <v>42</v>
      </c>
      <c r="P326">
        <v>467</v>
      </c>
      <c r="Q326">
        <v>21</v>
      </c>
      <c r="R326">
        <v>94</v>
      </c>
      <c r="S326">
        <v>291</v>
      </c>
      <c r="T326">
        <v>220</v>
      </c>
      <c r="U326">
        <v>140</v>
      </c>
      <c r="V326">
        <v>114</v>
      </c>
      <c r="W326">
        <v>243</v>
      </c>
      <c r="X326">
        <v>476</v>
      </c>
      <c r="Y326">
        <v>61</v>
      </c>
      <c r="Z326" t="e">
        <f t="shared" si="8"/>
        <v>#N/A</v>
      </c>
    </row>
    <row r="327" spans="1:26" x14ac:dyDescent="0.25">
      <c r="A327" t="s">
        <v>2226</v>
      </c>
      <c r="B327">
        <v>53033031202</v>
      </c>
      <c r="C327" t="s">
        <v>2227</v>
      </c>
      <c r="D327">
        <v>6300</v>
      </c>
      <c r="E327">
        <v>6029</v>
      </c>
      <c r="F327">
        <v>271</v>
      </c>
      <c r="G327">
        <v>6300</v>
      </c>
      <c r="H327">
        <v>6029</v>
      </c>
      <c r="I327">
        <v>271</v>
      </c>
      <c r="J327">
        <v>4457</v>
      </c>
      <c r="K327">
        <v>146</v>
      </c>
      <c r="L327">
        <v>149</v>
      </c>
      <c r="M327">
        <v>49</v>
      </c>
      <c r="N327">
        <v>95</v>
      </c>
      <c r="O327">
        <v>0</v>
      </c>
      <c r="P327">
        <v>1005</v>
      </c>
      <c r="Q327">
        <v>11</v>
      </c>
      <c r="R327">
        <v>0</v>
      </c>
      <c r="S327">
        <v>8</v>
      </c>
      <c r="T327">
        <v>5</v>
      </c>
      <c r="U327">
        <v>33</v>
      </c>
      <c r="V327">
        <v>27</v>
      </c>
      <c r="W327">
        <v>24</v>
      </c>
      <c r="X327">
        <v>291</v>
      </c>
      <c r="Y327">
        <v>0</v>
      </c>
      <c r="Z327" t="e">
        <f t="shared" si="8"/>
        <v>#N/A</v>
      </c>
    </row>
    <row r="328" spans="1:26" x14ac:dyDescent="0.25">
      <c r="A328" t="s">
        <v>2228</v>
      </c>
      <c r="B328">
        <v>53033031204</v>
      </c>
      <c r="C328" t="s">
        <v>2229</v>
      </c>
      <c r="D328">
        <v>6169</v>
      </c>
      <c r="E328">
        <v>5701</v>
      </c>
      <c r="F328">
        <v>468</v>
      </c>
      <c r="G328">
        <v>6169</v>
      </c>
      <c r="H328">
        <v>5701</v>
      </c>
      <c r="I328">
        <v>468</v>
      </c>
      <c r="J328">
        <v>4851</v>
      </c>
      <c r="K328">
        <v>271</v>
      </c>
      <c r="L328">
        <v>214</v>
      </c>
      <c r="M328">
        <v>0</v>
      </c>
      <c r="N328">
        <v>65</v>
      </c>
      <c r="O328">
        <v>0</v>
      </c>
      <c r="P328">
        <v>95</v>
      </c>
      <c r="Q328">
        <v>0</v>
      </c>
      <c r="R328">
        <v>121</v>
      </c>
      <c r="S328">
        <v>116</v>
      </c>
      <c r="T328">
        <v>0</v>
      </c>
      <c r="U328">
        <v>0</v>
      </c>
      <c r="V328">
        <v>171</v>
      </c>
      <c r="W328">
        <v>81</v>
      </c>
      <c r="X328">
        <v>184</v>
      </c>
      <c r="Y328">
        <v>0</v>
      </c>
      <c r="Z328" t="e">
        <f t="shared" si="8"/>
        <v>#N/A</v>
      </c>
    </row>
    <row r="329" spans="1:26" x14ac:dyDescent="0.25">
      <c r="A329" t="s">
        <v>2230</v>
      </c>
      <c r="B329">
        <v>53033031205</v>
      </c>
      <c r="C329" t="s">
        <v>2231</v>
      </c>
      <c r="D329">
        <v>6892</v>
      </c>
      <c r="E329">
        <v>5313</v>
      </c>
      <c r="F329">
        <v>1579</v>
      </c>
      <c r="G329">
        <v>6892</v>
      </c>
      <c r="H329">
        <v>5313</v>
      </c>
      <c r="I329">
        <v>1579</v>
      </c>
      <c r="J329">
        <v>3349</v>
      </c>
      <c r="K329">
        <v>651</v>
      </c>
      <c r="L329">
        <v>179</v>
      </c>
      <c r="M329">
        <v>98</v>
      </c>
      <c r="N329">
        <v>324</v>
      </c>
      <c r="O329">
        <v>19</v>
      </c>
      <c r="P329">
        <v>35</v>
      </c>
      <c r="Q329">
        <v>0</v>
      </c>
      <c r="R329">
        <v>320</v>
      </c>
      <c r="S329">
        <v>672</v>
      </c>
      <c r="T329">
        <v>73</v>
      </c>
      <c r="U329">
        <v>0</v>
      </c>
      <c r="V329">
        <v>189</v>
      </c>
      <c r="W329">
        <v>75</v>
      </c>
      <c r="X329">
        <v>844</v>
      </c>
      <c r="Y329">
        <v>64</v>
      </c>
      <c r="Z329" t="e">
        <f t="shared" si="8"/>
        <v>#N/A</v>
      </c>
    </row>
    <row r="330" spans="1:26" x14ac:dyDescent="0.25">
      <c r="A330" t="s">
        <v>2232</v>
      </c>
      <c r="B330">
        <v>53033031206</v>
      </c>
      <c r="C330" t="s">
        <v>2233</v>
      </c>
      <c r="D330">
        <v>5327</v>
      </c>
      <c r="E330">
        <v>3880</v>
      </c>
      <c r="F330">
        <v>1447</v>
      </c>
      <c r="G330">
        <v>5327</v>
      </c>
      <c r="H330">
        <v>3880</v>
      </c>
      <c r="I330">
        <v>1447</v>
      </c>
      <c r="J330">
        <v>2872</v>
      </c>
      <c r="K330">
        <v>194</v>
      </c>
      <c r="L330">
        <v>262</v>
      </c>
      <c r="M330">
        <v>228</v>
      </c>
      <c r="N330">
        <v>110</v>
      </c>
      <c r="O330">
        <v>12</v>
      </c>
      <c r="P330">
        <v>9</v>
      </c>
      <c r="Q330">
        <v>0</v>
      </c>
      <c r="R330">
        <v>227</v>
      </c>
      <c r="S330">
        <v>838</v>
      </c>
      <c r="T330">
        <v>0</v>
      </c>
      <c r="U330">
        <v>0</v>
      </c>
      <c r="V330">
        <v>229</v>
      </c>
      <c r="W330">
        <v>166</v>
      </c>
      <c r="X330">
        <v>171</v>
      </c>
      <c r="Y330">
        <v>9</v>
      </c>
      <c r="Z330" t="e">
        <f t="shared" si="8"/>
        <v>#N/A</v>
      </c>
    </row>
    <row r="331" spans="1:26" x14ac:dyDescent="0.25">
      <c r="A331" t="s">
        <v>2234</v>
      </c>
      <c r="B331">
        <v>53033031301</v>
      </c>
      <c r="C331" t="s">
        <v>2235</v>
      </c>
      <c r="D331">
        <v>2922</v>
      </c>
      <c r="E331">
        <v>2637</v>
      </c>
      <c r="F331">
        <v>285</v>
      </c>
      <c r="G331">
        <v>2922</v>
      </c>
      <c r="H331">
        <v>2637</v>
      </c>
      <c r="I331">
        <v>285</v>
      </c>
      <c r="J331">
        <v>2207</v>
      </c>
      <c r="K331">
        <v>48</v>
      </c>
      <c r="L331">
        <v>149</v>
      </c>
      <c r="M331">
        <v>178</v>
      </c>
      <c r="N331">
        <v>24</v>
      </c>
      <c r="O331">
        <v>0</v>
      </c>
      <c r="P331">
        <v>26</v>
      </c>
      <c r="Q331">
        <v>0</v>
      </c>
      <c r="R331">
        <v>18</v>
      </c>
      <c r="S331">
        <v>0</v>
      </c>
      <c r="T331">
        <v>0</v>
      </c>
      <c r="U331">
        <v>16</v>
      </c>
      <c r="V331">
        <v>68</v>
      </c>
      <c r="W331">
        <v>43</v>
      </c>
      <c r="X331">
        <v>145</v>
      </c>
      <c r="Y331">
        <v>0</v>
      </c>
      <c r="Z331" t="e">
        <f t="shared" si="8"/>
        <v>#N/A</v>
      </c>
    </row>
    <row r="332" spans="1:26" x14ac:dyDescent="0.25">
      <c r="A332" t="s">
        <v>2236</v>
      </c>
      <c r="B332">
        <v>53033031302</v>
      </c>
      <c r="C332" t="s">
        <v>2237</v>
      </c>
      <c r="D332">
        <v>3927</v>
      </c>
      <c r="E332">
        <v>3704</v>
      </c>
      <c r="F332">
        <v>223</v>
      </c>
      <c r="G332">
        <v>3927</v>
      </c>
      <c r="H332">
        <v>3704</v>
      </c>
      <c r="I332">
        <v>223</v>
      </c>
      <c r="J332">
        <v>3334</v>
      </c>
      <c r="K332">
        <v>109</v>
      </c>
      <c r="L332">
        <v>104</v>
      </c>
      <c r="M332">
        <v>29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61</v>
      </c>
      <c r="W332">
        <v>79</v>
      </c>
      <c r="X332">
        <v>205</v>
      </c>
      <c r="Y332">
        <v>6</v>
      </c>
      <c r="Z332" t="e">
        <f t="shared" si="8"/>
        <v>#N/A</v>
      </c>
    </row>
    <row r="333" spans="1:26" x14ac:dyDescent="0.25">
      <c r="A333" t="s">
        <v>2238</v>
      </c>
      <c r="B333">
        <v>53033031400</v>
      </c>
      <c r="C333" t="s">
        <v>2239</v>
      </c>
      <c r="D333">
        <v>6057</v>
      </c>
      <c r="E333">
        <v>5161</v>
      </c>
      <c r="F333">
        <v>896</v>
      </c>
      <c r="G333">
        <v>6057</v>
      </c>
      <c r="H333">
        <v>5161</v>
      </c>
      <c r="I333">
        <v>896</v>
      </c>
      <c r="J333">
        <v>4518</v>
      </c>
      <c r="K333">
        <v>40</v>
      </c>
      <c r="L333">
        <v>219</v>
      </c>
      <c r="M333">
        <v>104</v>
      </c>
      <c r="N333">
        <v>174</v>
      </c>
      <c r="O333">
        <v>99</v>
      </c>
      <c r="P333">
        <v>0</v>
      </c>
      <c r="Q333">
        <v>0</v>
      </c>
      <c r="R333">
        <v>0</v>
      </c>
      <c r="S333">
        <v>85</v>
      </c>
      <c r="T333">
        <v>0</v>
      </c>
      <c r="U333">
        <v>0</v>
      </c>
      <c r="V333">
        <v>90</v>
      </c>
      <c r="W333">
        <v>469</v>
      </c>
      <c r="X333">
        <v>160</v>
      </c>
      <c r="Y333">
        <v>99</v>
      </c>
      <c r="Z333" t="e">
        <f t="shared" si="8"/>
        <v>#N/A</v>
      </c>
    </row>
    <row r="334" spans="1:26" x14ac:dyDescent="0.25">
      <c r="A334" t="s">
        <v>2240</v>
      </c>
      <c r="B334">
        <v>53033031501</v>
      </c>
      <c r="C334" t="s">
        <v>2241</v>
      </c>
      <c r="D334">
        <v>3860</v>
      </c>
      <c r="E334">
        <v>3683</v>
      </c>
      <c r="F334">
        <v>177</v>
      </c>
      <c r="G334">
        <v>3860</v>
      </c>
      <c r="H334">
        <v>3683</v>
      </c>
      <c r="I334">
        <v>177</v>
      </c>
      <c r="J334">
        <v>3243</v>
      </c>
      <c r="K334">
        <v>25</v>
      </c>
      <c r="L334">
        <v>86</v>
      </c>
      <c r="M334">
        <v>53</v>
      </c>
      <c r="N334">
        <v>10</v>
      </c>
      <c r="O334">
        <v>0</v>
      </c>
      <c r="P334">
        <v>18</v>
      </c>
      <c r="Q334">
        <v>0</v>
      </c>
      <c r="R334">
        <v>70</v>
      </c>
      <c r="S334">
        <v>66</v>
      </c>
      <c r="T334">
        <v>41</v>
      </c>
      <c r="U334">
        <v>33</v>
      </c>
      <c r="V334">
        <v>0</v>
      </c>
      <c r="W334">
        <v>0</v>
      </c>
      <c r="X334">
        <v>215</v>
      </c>
      <c r="Y334">
        <v>0</v>
      </c>
      <c r="Z334" t="e">
        <f t="shared" si="8"/>
        <v>#N/A</v>
      </c>
    </row>
    <row r="335" spans="1:26" x14ac:dyDescent="0.25">
      <c r="A335" t="s">
        <v>2242</v>
      </c>
      <c r="B335">
        <v>53033031502</v>
      </c>
      <c r="C335" t="s">
        <v>2243</v>
      </c>
      <c r="D335">
        <v>4320</v>
      </c>
      <c r="E335">
        <v>4048</v>
      </c>
      <c r="F335">
        <v>272</v>
      </c>
      <c r="G335">
        <v>4320</v>
      </c>
      <c r="H335">
        <v>4048</v>
      </c>
      <c r="I335">
        <v>272</v>
      </c>
      <c r="J335">
        <v>3598</v>
      </c>
      <c r="K335">
        <v>208</v>
      </c>
      <c r="L335">
        <v>132</v>
      </c>
      <c r="M335">
        <v>50</v>
      </c>
      <c r="N335">
        <v>0</v>
      </c>
      <c r="O335">
        <v>0</v>
      </c>
      <c r="P335">
        <v>145</v>
      </c>
      <c r="Q335">
        <v>0</v>
      </c>
      <c r="R335">
        <v>52</v>
      </c>
      <c r="S335">
        <v>0</v>
      </c>
      <c r="T335">
        <v>46</v>
      </c>
      <c r="U335">
        <v>0</v>
      </c>
      <c r="V335">
        <v>13</v>
      </c>
      <c r="W335">
        <v>14</v>
      </c>
      <c r="X335">
        <v>62</v>
      </c>
      <c r="Y335">
        <v>0</v>
      </c>
      <c r="Z335" t="e">
        <f t="shared" si="8"/>
        <v>#N/A</v>
      </c>
    </row>
    <row r="336" spans="1:26" x14ac:dyDescent="0.25">
      <c r="A336" t="s">
        <v>2244</v>
      </c>
      <c r="B336">
        <v>53033031601</v>
      </c>
      <c r="C336" t="s">
        <v>2245</v>
      </c>
      <c r="D336">
        <v>5567</v>
      </c>
      <c r="E336">
        <v>5122</v>
      </c>
      <c r="F336">
        <v>445</v>
      </c>
      <c r="G336">
        <v>5567</v>
      </c>
      <c r="H336">
        <v>5122</v>
      </c>
      <c r="I336">
        <v>445</v>
      </c>
      <c r="J336">
        <v>4405</v>
      </c>
      <c r="K336">
        <v>127</v>
      </c>
      <c r="L336">
        <v>152</v>
      </c>
      <c r="M336">
        <v>45</v>
      </c>
      <c r="N336">
        <v>12</v>
      </c>
      <c r="O336">
        <v>0</v>
      </c>
      <c r="P336">
        <v>8</v>
      </c>
      <c r="Q336">
        <v>0</v>
      </c>
      <c r="R336">
        <v>56</v>
      </c>
      <c r="S336">
        <v>190</v>
      </c>
      <c r="T336">
        <v>13</v>
      </c>
      <c r="U336">
        <v>21</v>
      </c>
      <c r="V336">
        <v>249</v>
      </c>
      <c r="W336">
        <v>62</v>
      </c>
      <c r="X336">
        <v>227</v>
      </c>
      <c r="Y336">
        <v>0</v>
      </c>
      <c r="Z336" t="e">
        <f t="shared" si="8"/>
        <v>#N/A</v>
      </c>
    </row>
    <row r="337" spans="1:26" x14ac:dyDescent="0.25">
      <c r="A337" t="s">
        <v>2248</v>
      </c>
      <c r="B337">
        <v>53033031603</v>
      </c>
      <c r="C337" t="s">
        <v>2249</v>
      </c>
      <c r="D337">
        <v>6305</v>
      </c>
      <c r="E337">
        <v>5811</v>
      </c>
      <c r="F337">
        <v>494</v>
      </c>
      <c r="G337">
        <v>6305</v>
      </c>
      <c r="H337">
        <v>5811</v>
      </c>
      <c r="I337">
        <v>494</v>
      </c>
      <c r="J337">
        <v>4843</v>
      </c>
      <c r="K337">
        <v>114</v>
      </c>
      <c r="L337">
        <v>140</v>
      </c>
      <c r="M337">
        <v>105</v>
      </c>
      <c r="N337">
        <v>9</v>
      </c>
      <c r="O337">
        <v>22</v>
      </c>
      <c r="P337">
        <v>41</v>
      </c>
      <c r="Q337">
        <v>0</v>
      </c>
      <c r="R337">
        <v>116</v>
      </c>
      <c r="S337">
        <v>179</v>
      </c>
      <c r="T337">
        <v>0</v>
      </c>
      <c r="U337">
        <v>0</v>
      </c>
      <c r="V337">
        <v>226</v>
      </c>
      <c r="W337">
        <v>22</v>
      </c>
      <c r="X337">
        <v>436</v>
      </c>
      <c r="Y337">
        <v>52</v>
      </c>
      <c r="Z337" t="e">
        <f t="shared" si="8"/>
        <v>#N/A</v>
      </c>
    </row>
    <row r="338" spans="1:26" x14ac:dyDescent="0.25">
      <c r="A338" t="s">
        <v>2428</v>
      </c>
      <c r="B338">
        <v>53033031604</v>
      </c>
      <c r="C338" t="s">
        <v>2429</v>
      </c>
      <c r="D338">
        <v>5549</v>
      </c>
      <c r="E338">
        <v>4985</v>
      </c>
      <c r="F338">
        <v>564</v>
      </c>
      <c r="G338">
        <v>5549</v>
      </c>
      <c r="H338">
        <v>4985</v>
      </c>
      <c r="I338">
        <v>564</v>
      </c>
      <c r="J338">
        <v>3876</v>
      </c>
      <c r="K338">
        <v>241</v>
      </c>
      <c r="L338">
        <v>160</v>
      </c>
      <c r="M338">
        <v>0</v>
      </c>
      <c r="N338">
        <v>207</v>
      </c>
      <c r="O338">
        <v>0</v>
      </c>
      <c r="P338">
        <v>60</v>
      </c>
      <c r="Q338">
        <v>0</v>
      </c>
      <c r="R338">
        <v>170</v>
      </c>
      <c r="S338">
        <v>271</v>
      </c>
      <c r="T338">
        <v>0</v>
      </c>
      <c r="U338">
        <v>0</v>
      </c>
      <c r="V338">
        <v>68</v>
      </c>
      <c r="W338">
        <v>33</v>
      </c>
      <c r="X338">
        <v>444</v>
      </c>
      <c r="Y338">
        <v>19</v>
      </c>
      <c r="Z338" t="e">
        <f t="shared" si="8"/>
        <v>#N/A</v>
      </c>
    </row>
    <row r="339" spans="1:26" x14ac:dyDescent="0.25">
      <c r="A339" t="s">
        <v>2430</v>
      </c>
      <c r="B339">
        <v>53033031605</v>
      </c>
      <c r="C339" t="s">
        <v>2431</v>
      </c>
      <c r="D339">
        <v>3867</v>
      </c>
      <c r="E339">
        <v>3615</v>
      </c>
      <c r="F339">
        <v>252</v>
      </c>
      <c r="G339">
        <v>3867</v>
      </c>
      <c r="H339">
        <v>3615</v>
      </c>
      <c r="I339">
        <v>252</v>
      </c>
      <c r="J339">
        <v>2988</v>
      </c>
      <c r="K339">
        <v>69</v>
      </c>
      <c r="L339">
        <v>221</v>
      </c>
      <c r="M339">
        <v>65</v>
      </c>
      <c r="N339">
        <v>71</v>
      </c>
      <c r="O339">
        <v>2</v>
      </c>
      <c r="P339">
        <v>123</v>
      </c>
      <c r="Q339">
        <v>23</v>
      </c>
      <c r="R339">
        <v>32</v>
      </c>
      <c r="S339">
        <v>93</v>
      </c>
      <c r="T339">
        <v>0</v>
      </c>
      <c r="U339">
        <v>0</v>
      </c>
      <c r="V339">
        <v>13</v>
      </c>
      <c r="W339">
        <v>0</v>
      </c>
      <c r="X339">
        <v>167</v>
      </c>
      <c r="Y339">
        <v>0</v>
      </c>
      <c r="Z339" t="e">
        <f t="shared" si="8"/>
        <v>#N/A</v>
      </c>
    </row>
    <row r="340" spans="1:26" x14ac:dyDescent="0.25">
      <c r="A340" t="s">
        <v>2252</v>
      </c>
      <c r="B340">
        <v>53033031703</v>
      </c>
      <c r="C340" t="s">
        <v>2253</v>
      </c>
      <c r="D340">
        <v>7137</v>
      </c>
      <c r="E340">
        <v>5548</v>
      </c>
      <c r="F340">
        <v>1589</v>
      </c>
      <c r="G340">
        <v>7137</v>
      </c>
      <c r="H340">
        <v>5548</v>
      </c>
      <c r="I340">
        <v>1589</v>
      </c>
      <c r="J340">
        <v>3999</v>
      </c>
      <c r="K340">
        <v>684</v>
      </c>
      <c r="L340">
        <v>460</v>
      </c>
      <c r="M340">
        <v>312</v>
      </c>
      <c r="N340">
        <v>382</v>
      </c>
      <c r="O340">
        <v>1</v>
      </c>
      <c r="P340">
        <v>102</v>
      </c>
      <c r="Q340">
        <v>0</v>
      </c>
      <c r="R340">
        <v>375</v>
      </c>
      <c r="S340">
        <v>570</v>
      </c>
      <c r="T340">
        <v>0</v>
      </c>
      <c r="U340">
        <v>0</v>
      </c>
      <c r="V340">
        <v>52</v>
      </c>
      <c r="W340">
        <v>22</v>
      </c>
      <c r="X340">
        <v>178</v>
      </c>
      <c r="Y340">
        <v>0</v>
      </c>
      <c r="Z340" t="e">
        <f t="shared" si="8"/>
        <v>#N/A</v>
      </c>
    </row>
    <row r="341" spans="1:26" x14ac:dyDescent="0.25">
      <c r="A341" t="s">
        <v>2254</v>
      </c>
      <c r="B341">
        <v>53033031704</v>
      </c>
      <c r="C341" t="s">
        <v>2255</v>
      </c>
      <c r="D341">
        <v>5459</v>
      </c>
      <c r="E341">
        <v>4003</v>
      </c>
      <c r="F341">
        <v>1456</v>
      </c>
      <c r="G341">
        <v>5459</v>
      </c>
      <c r="H341">
        <v>4003</v>
      </c>
      <c r="I341">
        <v>1456</v>
      </c>
      <c r="J341">
        <v>2614</v>
      </c>
      <c r="K341">
        <v>219</v>
      </c>
      <c r="L341">
        <v>90</v>
      </c>
      <c r="M341">
        <v>81</v>
      </c>
      <c r="N341">
        <v>371</v>
      </c>
      <c r="O341">
        <v>38</v>
      </c>
      <c r="P341">
        <v>22</v>
      </c>
      <c r="Q341">
        <v>0</v>
      </c>
      <c r="R341">
        <v>383</v>
      </c>
      <c r="S341">
        <v>884</v>
      </c>
      <c r="T341">
        <v>79</v>
      </c>
      <c r="U341">
        <v>47</v>
      </c>
      <c r="V341">
        <v>96</v>
      </c>
      <c r="W341">
        <v>146</v>
      </c>
      <c r="X341">
        <v>348</v>
      </c>
      <c r="Y341">
        <v>41</v>
      </c>
      <c r="Z341" t="e">
        <f t="shared" si="8"/>
        <v>#N/A</v>
      </c>
    </row>
    <row r="342" spans="1:26" x14ac:dyDescent="0.25">
      <c r="A342" t="s">
        <v>2432</v>
      </c>
      <c r="B342">
        <v>53033031705</v>
      </c>
      <c r="C342" t="s">
        <v>2433</v>
      </c>
      <c r="D342">
        <v>4133</v>
      </c>
      <c r="E342">
        <v>3466</v>
      </c>
      <c r="F342">
        <v>667</v>
      </c>
      <c r="G342">
        <v>4133</v>
      </c>
      <c r="H342">
        <v>3466</v>
      </c>
      <c r="I342">
        <v>667</v>
      </c>
      <c r="J342">
        <v>2624</v>
      </c>
      <c r="K342">
        <v>168</v>
      </c>
      <c r="L342">
        <v>84</v>
      </c>
      <c r="M342">
        <v>80</v>
      </c>
      <c r="N342">
        <v>193</v>
      </c>
      <c r="O342">
        <v>49</v>
      </c>
      <c r="P342">
        <v>36</v>
      </c>
      <c r="Q342">
        <v>0</v>
      </c>
      <c r="R342">
        <v>171</v>
      </c>
      <c r="S342">
        <v>348</v>
      </c>
      <c r="T342">
        <v>13</v>
      </c>
      <c r="U342">
        <v>9</v>
      </c>
      <c r="V342">
        <v>16</v>
      </c>
      <c r="W342">
        <v>0</v>
      </c>
      <c r="X342">
        <v>329</v>
      </c>
      <c r="Y342">
        <v>13</v>
      </c>
      <c r="Z342" t="e">
        <f t="shared" si="8"/>
        <v>#N/A</v>
      </c>
    </row>
    <row r="343" spans="1:26" x14ac:dyDescent="0.25">
      <c r="A343" t="s">
        <v>2434</v>
      </c>
      <c r="B343">
        <v>53033031706</v>
      </c>
      <c r="C343" t="s">
        <v>2435</v>
      </c>
      <c r="D343">
        <v>7370</v>
      </c>
      <c r="E343">
        <v>6060</v>
      </c>
      <c r="F343">
        <v>1310</v>
      </c>
      <c r="G343">
        <v>7370</v>
      </c>
      <c r="H343">
        <v>6060</v>
      </c>
      <c r="I343">
        <v>1310</v>
      </c>
      <c r="J343">
        <v>4355</v>
      </c>
      <c r="K343">
        <v>287</v>
      </c>
      <c r="L343">
        <v>171</v>
      </c>
      <c r="M343">
        <v>5</v>
      </c>
      <c r="N343">
        <v>498</v>
      </c>
      <c r="O343">
        <v>25</v>
      </c>
      <c r="P343">
        <v>0</v>
      </c>
      <c r="Q343">
        <v>0</v>
      </c>
      <c r="R343">
        <v>427</v>
      </c>
      <c r="S343">
        <v>752</v>
      </c>
      <c r="T343">
        <v>2</v>
      </c>
      <c r="U343">
        <v>0</v>
      </c>
      <c r="V343">
        <v>248</v>
      </c>
      <c r="W343">
        <v>211</v>
      </c>
      <c r="X343">
        <v>359</v>
      </c>
      <c r="Y343">
        <v>30</v>
      </c>
      <c r="Z343" t="e">
        <f t="shared" si="8"/>
        <v>#N/A</v>
      </c>
    </row>
    <row r="344" spans="1:26" x14ac:dyDescent="0.25">
      <c r="A344" t="s">
        <v>2256</v>
      </c>
      <c r="B344">
        <v>53033031800</v>
      </c>
      <c r="C344" t="s">
        <v>2257</v>
      </c>
      <c r="D344">
        <v>4625</v>
      </c>
      <c r="E344">
        <v>3978</v>
      </c>
      <c r="F344">
        <v>647</v>
      </c>
      <c r="G344">
        <v>4625</v>
      </c>
      <c r="H344">
        <v>3978</v>
      </c>
      <c r="I344">
        <v>647</v>
      </c>
      <c r="J344">
        <v>3184</v>
      </c>
      <c r="K344">
        <v>252</v>
      </c>
      <c r="L344">
        <v>55</v>
      </c>
      <c r="M344">
        <v>7</v>
      </c>
      <c r="N344">
        <v>81</v>
      </c>
      <c r="O344">
        <v>43</v>
      </c>
      <c r="P344">
        <v>0</v>
      </c>
      <c r="Q344">
        <v>0</v>
      </c>
      <c r="R344">
        <v>218</v>
      </c>
      <c r="S344">
        <v>308</v>
      </c>
      <c r="T344">
        <v>180</v>
      </c>
      <c r="U344">
        <v>10</v>
      </c>
      <c r="V344">
        <v>36</v>
      </c>
      <c r="W344">
        <v>4</v>
      </c>
      <c r="X344">
        <v>224</v>
      </c>
      <c r="Y344">
        <v>23</v>
      </c>
      <c r="Z344" t="e">
        <f t="shared" si="8"/>
        <v>#N/A</v>
      </c>
    </row>
    <row r="345" spans="1:26" x14ac:dyDescent="0.25">
      <c r="A345" t="s">
        <v>2258</v>
      </c>
      <c r="B345">
        <v>53033031903</v>
      </c>
      <c r="C345" t="s">
        <v>2259</v>
      </c>
      <c r="D345">
        <v>6767</v>
      </c>
      <c r="E345">
        <v>6073</v>
      </c>
      <c r="F345">
        <v>694</v>
      </c>
      <c r="G345">
        <v>6767</v>
      </c>
      <c r="H345">
        <v>6073</v>
      </c>
      <c r="I345">
        <v>694</v>
      </c>
      <c r="J345">
        <v>4760</v>
      </c>
      <c r="K345">
        <v>165</v>
      </c>
      <c r="L345">
        <v>158</v>
      </c>
      <c r="M345">
        <v>42</v>
      </c>
      <c r="N345">
        <v>100</v>
      </c>
      <c r="O345">
        <v>30</v>
      </c>
      <c r="P345">
        <v>27</v>
      </c>
      <c r="Q345">
        <v>0</v>
      </c>
      <c r="R345">
        <v>396</v>
      </c>
      <c r="S345">
        <v>406</v>
      </c>
      <c r="T345">
        <v>0</v>
      </c>
      <c r="U345">
        <v>0</v>
      </c>
      <c r="V345">
        <v>107</v>
      </c>
      <c r="W345">
        <v>30</v>
      </c>
      <c r="X345">
        <v>525</v>
      </c>
      <c r="Y345">
        <v>21</v>
      </c>
      <c r="Z345" t="e">
        <f t="shared" si="8"/>
        <v>#N/A</v>
      </c>
    </row>
    <row r="346" spans="1:26" x14ac:dyDescent="0.25">
      <c r="A346" t="s">
        <v>2260</v>
      </c>
      <c r="B346">
        <v>53033031904</v>
      </c>
      <c r="C346" t="s">
        <v>2261</v>
      </c>
      <c r="D346">
        <v>3358</v>
      </c>
      <c r="E346">
        <v>3177</v>
      </c>
      <c r="F346">
        <v>181</v>
      </c>
      <c r="G346">
        <v>3358</v>
      </c>
      <c r="H346">
        <v>3177</v>
      </c>
      <c r="I346">
        <v>181</v>
      </c>
      <c r="J346">
        <v>2780</v>
      </c>
      <c r="K346">
        <v>93</v>
      </c>
      <c r="L346">
        <v>155</v>
      </c>
      <c r="M346">
        <v>12</v>
      </c>
      <c r="N346">
        <v>0</v>
      </c>
      <c r="O346">
        <v>0</v>
      </c>
      <c r="P346">
        <v>0</v>
      </c>
      <c r="Q346">
        <v>0</v>
      </c>
      <c r="R346">
        <v>60</v>
      </c>
      <c r="S346">
        <v>36</v>
      </c>
      <c r="T346">
        <v>0</v>
      </c>
      <c r="U346">
        <v>0</v>
      </c>
      <c r="V346">
        <v>28</v>
      </c>
      <c r="W346">
        <v>32</v>
      </c>
      <c r="X346">
        <v>154</v>
      </c>
      <c r="Y346">
        <v>8</v>
      </c>
      <c r="Z346" t="e">
        <f t="shared" si="8"/>
        <v>#N/A</v>
      </c>
    </row>
    <row r="347" spans="1:26" x14ac:dyDescent="0.25">
      <c r="A347" t="s">
        <v>2262</v>
      </c>
      <c r="B347">
        <v>53033031906</v>
      </c>
      <c r="C347" t="s">
        <v>2263</v>
      </c>
      <c r="D347">
        <v>3875</v>
      </c>
      <c r="E347">
        <v>3335</v>
      </c>
      <c r="F347">
        <v>540</v>
      </c>
      <c r="G347">
        <v>3875</v>
      </c>
      <c r="H347">
        <v>3335</v>
      </c>
      <c r="I347">
        <v>540</v>
      </c>
      <c r="J347">
        <v>2843</v>
      </c>
      <c r="K347">
        <v>97</v>
      </c>
      <c r="L347">
        <v>0</v>
      </c>
      <c r="M347">
        <v>0</v>
      </c>
      <c r="N347">
        <v>117</v>
      </c>
      <c r="O347">
        <v>13</v>
      </c>
      <c r="P347">
        <v>0</v>
      </c>
      <c r="Q347">
        <v>0</v>
      </c>
      <c r="R347">
        <v>216</v>
      </c>
      <c r="S347">
        <v>390</v>
      </c>
      <c r="T347">
        <v>0</v>
      </c>
      <c r="U347">
        <v>0</v>
      </c>
      <c r="V347">
        <v>0</v>
      </c>
      <c r="W347">
        <v>40</v>
      </c>
      <c r="X347">
        <v>159</v>
      </c>
      <c r="Y347">
        <v>0</v>
      </c>
      <c r="Z347" t="e">
        <f t="shared" si="8"/>
        <v>#N/A</v>
      </c>
    </row>
    <row r="348" spans="1:26" x14ac:dyDescent="0.25">
      <c r="A348" t="s">
        <v>2264</v>
      </c>
      <c r="B348">
        <v>53033031907</v>
      </c>
      <c r="C348" t="s">
        <v>2265</v>
      </c>
      <c r="D348">
        <v>7787</v>
      </c>
      <c r="E348">
        <v>5977</v>
      </c>
      <c r="F348">
        <v>1810</v>
      </c>
      <c r="G348">
        <v>7787</v>
      </c>
      <c r="H348">
        <v>5977</v>
      </c>
      <c r="I348">
        <v>1810</v>
      </c>
      <c r="J348">
        <v>3942</v>
      </c>
      <c r="K348">
        <v>413</v>
      </c>
      <c r="L348">
        <v>196</v>
      </c>
      <c r="M348">
        <v>99</v>
      </c>
      <c r="N348">
        <v>200</v>
      </c>
      <c r="O348">
        <v>183</v>
      </c>
      <c r="P348">
        <v>58</v>
      </c>
      <c r="Q348">
        <v>0</v>
      </c>
      <c r="R348">
        <v>418</v>
      </c>
      <c r="S348">
        <v>1060</v>
      </c>
      <c r="T348">
        <v>26</v>
      </c>
      <c r="U348">
        <v>19</v>
      </c>
      <c r="V348">
        <v>94</v>
      </c>
      <c r="W348">
        <v>25</v>
      </c>
      <c r="X348">
        <v>1043</v>
      </c>
      <c r="Y348">
        <v>11</v>
      </c>
      <c r="Z348" t="e">
        <f t="shared" si="8"/>
        <v>#N/A</v>
      </c>
    </row>
    <row r="349" spans="1:26" x14ac:dyDescent="0.25">
      <c r="A349" t="s">
        <v>2266</v>
      </c>
      <c r="B349">
        <v>53033031908</v>
      </c>
      <c r="C349" t="s">
        <v>2267</v>
      </c>
      <c r="D349">
        <v>4439</v>
      </c>
      <c r="E349">
        <v>3866</v>
      </c>
      <c r="F349">
        <v>573</v>
      </c>
      <c r="G349">
        <v>4439</v>
      </c>
      <c r="H349">
        <v>3866</v>
      </c>
      <c r="I349">
        <v>573</v>
      </c>
      <c r="J349">
        <v>2283</v>
      </c>
      <c r="K349">
        <v>258</v>
      </c>
      <c r="L349">
        <v>126</v>
      </c>
      <c r="M349">
        <v>29</v>
      </c>
      <c r="N349">
        <v>791</v>
      </c>
      <c r="O349">
        <v>15</v>
      </c>
      <c r="P349">
        <v>0</v>
      </c>
      <c r="Q349">
        <v>0</v>
      </c>
      <c r="R349">
        <v>208</v>
      </c>
      <c r="S349">
        <v>185</v>
      </c>
      <c r="T349">
        <v>30</v>
      </c>
      <c r="U349">
        <v>21</v>
      </c>
      <c r="V349">
        <v>50</v>
      </c>
      <c r="W349">
        <v>57</v>
      </c>
      <c r="X349">
        <v>378</v>
      </c>
      <c r="Y349">
        <v>8</v>
      </c>
      <c r="Z349" t="e">
        <f t="shared" si="8"/>
        <v>#N/A</v>
      </c>
    </row>
    <row r="350" spans="1:26" x14ac:dyDescent="0.25">
      <c r="A350" t="s">
        <v>2268</v>
      </c>
      <c r="B350">
        <v>53033031909</v>
      </c>
      <c r="C350" t="s">
        <v>2269</v>
      </c>
      <c r="D350">
        <v>2919</v>
      </c>
      <c r="E350">
        <v>2557</v>
      </c>
      <c r="F350">
        <v>362</v>
      </c>
      <c r="G350">
        <v>2919</v>
      </c>
      <c r="H350">
        <v>2557</v>
      </c>
      <c r="I350">
        <v>362</v>
      </c>
      <c r="J350">
        <v>2027</v>
      </c>
      <c r="K350">
        <v>133</v>
      </c>
      <c r="L350">
        <v>43</v>
      </c>
      <c r="M350">
        <v>0</v>
      </c>
      <c r="N350">
        <v>217</v>
      </c>
      <c r="O350">
        <v>12</v>
      </c>
      <c r="P350">
        <v>0</v>
      </c>
      <c r="Q350">
        <v>0</v>
      </c>
      <c r="R350">
        <v>162</v>
      </c>
      <c r="S350">
        <v>195</v>
      </c>
      <c r="T350">
        <v>0</v>
      </c>
      <c r="U350">
        <v>0</v>
      </c>
      <c r="V350">
        <v>0</v>
      </c>
      <c r="W350">
        <v>1</v>
      </c>
      <c r="X350">
        <v>108</v>
      </c>
      <c r="Y350">
        <v>21</v>
      </c>
      <c r="Z350" t="e">
        <f t="shared" si="8"/>
        <v>#N/A</v>
      </c>
    </row>
    <row r="351" spans="1:26" x14ac:dyDescent="0.25">
      <c r="A351" t="s">
        <v>2270</v>
      </c>
      <c r="B351">
        <v>53033032002</v>
      </c>
      <c r="C351" t="s">
        <v>2271</v>
      </c>
      <c r="D351">
        <v>3304</v>
      </c>
      <c r="E351">
        <v>2952</v>
      </c>
      <c r="F351">
        <v>352</v>
      </c>
      <c r="G351">
        <v>3304</v>
      </c>
      <c r="H351">
        <v>2952</v>
      </c>
      <c r="I351">
        <v>352</v>
      </c>
      <c r="J351">
        <v>2755</v>
      </c>
      <c r="K351">
        <v>170</v>
      </c>
      <c r="L351">
        <v>27</v>
      </c>
      <c r="M351">
        <v>0</v>
      </c>
      <c r="N351">
        <v>12</v>
      </c>
      <c r="O351">
        <v>6</v>
      </c>
      <c r="P351">
        <v>0</v>
      </c>
      <c r="Q351">
        <v>0</v>
      </c>
      <c r="R351">
        <v>30</v>
      </c>
      <c r="S351">
        <v>105</v>
      </c>
      <c r="T351">
        <v>0</v>
      </c>
      <c r="U351">
        <v>0</v>
      </c>
      <c r="V351">
        <v>0</v>
      </c>
      <c r="W351">
        <v>43</v>
      </c>
      <c r="X351">
        <v>128</v>
      </c>
      <c r="Y351">
        <v>28</v>
      </c>
      <c r="Z351" t="e">
        <f t="shared" si="8"/>
        <v>#N/A</v>
      </c>
    </row>
    <row r="352" spans="1:26" x14ac:dyDescent="0.25">
      <c r="A352" t="s">
        <v>2272</v>
      </c>
      <c r="B352">
        <v>53033032003</v>
      </c>
      <c r="C352" t="s">
        <v>2273</v>
      </c>
      <c r="D352">
        <v>5273</v>
      </c>
      <c r="E352">
        <v>5080</v>
      </c>
      <c r="F352">
        <v>193</v>
      </c>
      <c r="G352">
        <v>5273</v>
      </c>
      <c r="H352">
        <v>5080</v>
      </c>
      <c r="I352">
        <v>193</v>
      </c>
      <c r="J352">
        <v>4699</v>
      </c>
      <c r="K352">
        <v>95</v>
      </c>
      <c r="L352">
        <v>125</v>
      </c>
      <c r="M352">
        <v>20</v>
      </c>
      <c r="N352">
        <v>30</v>
      </c>
      <c r="O352">
        <v>0</v>
      </c>
      <c r="P352">
        <v>0</v>
      </c>
      <c r="Q352">
        <v>0</v>
      </c>
      <c r="R352">
        <v>0</v>
      </c>
      <c r="S352">
        <v>59</v>
      </c>
      <c r="T352">
        <v>0</v>
      </c>
      <c r="U352">
        <v>0</v>
      </c>
      <c r="V352">
        <v>41</v>
      </c>
      <c r="W352">
        <v>0</v>
      </c>
      <c r="X352">
        <v>185</v>
      </c>
      <c r="Y352">
        <v>19</v>
      </c>
      <c r="Z352" t="e">
        <f t="shared" si="8"/>
        <v>#N/A</v>
      </c>
    </row>
    <row r="353" spans="1:26" x14ac:dyDescent="0.25">
      <c r="A353" t="s">
        <v>2274</v>
      </c>
      <c r="B353">
        <v>53033032005</v>
      </c>
      <c r="C353" t="s">
        <v>2275</v>
      </c>
      <c r="D353">
        <v>7361</v>
      </c>
      <c r="E353">
        <v>6708</v>
      </c>
      <c r="F353">
        <v>653</v>
      </c>
      <c r="G353">
        <v>7361</v>
      </c>
      <c r="H353">
        <v>6708</v>
      </c>
      <c r="I353">
        <v>653</v>
      </c>
      <c r="J353">
        <v>5694</v>
      </c>
      <c r="K353">
        <v>148</v>
      </c>
      <c r="L353">
        <v>253</v>
      </c>
      <c r="M353">
        <v>108</v>
      </c>
      <c r="N353">
        <v>249</v>
      </c>
      <c r="O353">
        <v>0</v>
      </c>
      <c r="P353">
        <v>0</v>
      </c>
      <c r="Q353">
        <v>0</v>
      </c>
      <c r="R353">
        <v>79</v>
      </c>
      <c r="S353">
        <v>344</v>
      </c>
      <c r="T353">
        <v>0</v>
      </c>
      <c r="U353">
        <v>27</v>
      </c>
      <c r="V353">
        <v>18</v>
      </c>
      <c r="W353">
        <v>0</v>
      </c>
      <c r="X353">
        <v>415</v>
      </c>
      <c r="Y353">
        <v>26</v>
      </c>
      <c r="Z353" t="e">
        <f t="shared" si="8"/>
        <v>#N/A</v>
      </c>
    </row>
    <row r="354" spans="1:26" x14ac:dyDescent="0.25">
      <c r="A354" t="s">
        <v>2276</v>
      </c>
      <c r="B354">
        <v>53033032006</v>
      </c>
      <c r="C354" t="s">
        <v>2277</v>
      </c>
      <c r="D354">
        <v>5393</v>
      </c>
      <c r="E354">
        <v>4906</v>
      </c>
      <c r="F354">
        <v>487</v>
      </c>
      <c r="G354">
        <v>5393</v>
      </c>
      <c r="H354">
        <v>4906</v>
      </c>
      <c r="I354">
        <v>487</v>
      </c>
      <c r="J354">
        <v>4316</v>
      </c>
      <c r="K354">
        <v>270</v>
      </c>
      <c r="L354">
        <v>119</v>
      </c>
      <c r="M354">
        <v>29</v>
      </c>
      <c r="N354">
        <v>36</v>
      </c>
      <c r="O354">
        <v>0</v>
      </c>
      <c r="P354">
        <v>24</v>
      </c>
      <c r="Q354">
        <v>0</v>
      </c>
      <c r="R354">
        <v>63</v>
      </c>
      <c r="S354">
        <v>129</v>
      </c>
      <c r="T354">
        <v>15</v>
      </c>
      <c r="U354">
        <v>13</v>
      </c>
      <c r="V354">
        <v>37</v>
      </c>
      <c r="W354">
        <v>0</v>
      </c>
      <c r="X354">
        <v>296</v>
      </c>
      <c r="Y354">
        <v>46</v>
      </c>
      <c r="Z354" t="e">
        <f t="shared" si="8"/>
        <v>#N/A</v>
      </c>
    </row>
    <row r="355" spans="1:26" x14ac:dyDescent="0.25">
      <c r="A355" t="s">
        <v>2278</v>
      </c>
      <c r="B355">
        <v>53033032007</v>
      </c>
      <c r="C355" t="s">
        <v>2279</v>
      </c>
      <c r="D355">
        <v>3616</v>
      </c>
      <c r="E355">
        <v>3251</v>
      </c>
      <c r="F355">
        <v>365</v>
      </c>
      <c r="G355">
        <v>3616</v>
      </c>
      <c r="H355">
        <v>3251</v>
      </c>
      <c r="I355">
        <v>365</v>
      </c>
      <c r="J355">
        <v>2775</v>
      </c>
      <c r="K355">
        <v>187</v>
      </c>
      <c r="L355">
        <v>175</v>
      </c>
      <c r="M355">
        <v>0</v>
      </c>
      <c r="N355">
        <v>105</v>
      </c>
      <c r="O355">
        <v>74</v>
      </c>
      <c r="P355">
        <v>0</v>
      </c>
      <c r="Q355">
        <v>9</v>
      </c>
      <c r="R355">
        <v>0</v>
      </c>
      <c r="S355">
        <v>69</v>
      </c>
      <c r="T355">
        <v>44</v>
      </c>
      <c r="U355">
        <v>0</v>
      </c>
      <c r="V355">
        <v>10</v>
      </c>
      <c r="W355">
        <v>26</v>
      </c>
      <c r="X355">
        <v>142</v>
      </c>
      <c r="Y355">
        <v>0</v>
      </c>
      <c r="Z355" t="e">
        <f t="shared" si="8"/>
        <v>#N/A</v>
      </c>
    </row>
    <row r="356" spans="1:26" x14ac:dyDescent="0.25">
      <c r="A356" t="s">
        <v>2280</v>
      </c>
      <c r="B356">
        <v>53033032008</v>
      </c>
      <c r="C356" t="s">
        <v>2281</v>
      </c>
      <c r="D356">
        <v>4710</v>
      </c>
      <c r="E356">
        <v>4416</v>
      </c>
      <c r="F356">
        <v>294</v>
      </c>
      <c r="G356">
        <v>4710</v>
      </c>
      <c r="H356">
        <v>4416</v>
      </c>
      <c r="I356">
        <v>294</v>
      </c>
      <c r="J356">
        <v>3669</v>
      </c>
      <c r="K356">
        <v>86</v>
      </c>
      <c r="L356">
        <v>179</v>
      </c>
      <c r="M356">
        <v>9</v>
      </c>
      <c r="N356">
        <v>58</v>
      </c>
      <c r="O356">
        <v>13</v>
      </c>
      <c r="P356">
        <v>30</v>
      </c>
      <c r="Q356">
        <v>0</v>
      </c>
      <c r="R356">
        <v>80</v>
      </c>
      <c r="S356">
        <v>67</v>
      </c>
      <c r="T356">
        <v>0</v>
      </c>
      <c r="U356">
        <v>0</v>
      </c>
      <c r="V356">
        <v>43</v>
      </c>
      <c r="W356">
        <v>95</v>
      </c>
      <c r="X356">
        <v>357</v>
      </c>
      <c r="Y356">
        <v>24</v>
      </c>
      <c r="Z356" t="e">
        <f t="shared" si="8"/>
        <v>#N/A</v>
      </c>
    </row>
    <row r="357" spans="1:26" x14ac:dyDescent="0.25">
      <c r="A357" t="s">
        <v>2436</v>
      </c>
      <c r="B357">
        <v>53033032010</v>
      </c>
      <c r="C357" t="s">
        <v>2437</v>
      </c>
      <c r="D357">
        <v>5810</v>
      </c>
      <c r="E357">
        <v>5557</v>
      </c>
      <c r="F357">
        <v>253</v>
      </c>
      <c r="G357">
        <v>5810</v>
      </c>
      <c r="H357">
        <v>5557</v>
      </c>
      <c r="I357">
        <v>253</v>
      </c>
      <c r="J357">
        <v>4778</v>
      </c>
      <c r="K357">
        <v>80</v>
      </c>
      <c r="L357">
        <v>148</v>
      </c>
      <c r="M357">
        <v>59</v>
      </c>
      <c r="N357">
        <v>63</v>
      </c>
      <c r="O357">
        <v>0</v>
      </c>
      <c r="P357">
        <v>21</v>
      </c>
      <c r="Q357">
        <v>0</v>
      </c>
      <c r="R357">
        <v>124</v>
      </c>
      <c r="S357">
        <v>114</v>
      </c>
      <c r="T357">
        <v>0</v>
      </c>
      <c r="U357">
        <v>0</v>
      </c>
      <c r="V357">
        <v>34</v>
      </c>
      <c r="W357">
        <v>0</v>
      </c>
      <c r="X357">
        <v>389</v>
      </c>
      <c r="Y357">
        <v>0</v>
      </c>
      <c r="Z357" t="e">
        <f t="shared" si="8"/>
        <v>#N/A</v>
      </c>
    </row>
    <row r="358" spans="1:26" x14ac:dyDescent="0.25">
      <c r="A358" t="s">
        <v>2438</v>
      </c>
      <c r="B358">
        <v>53033032011</v>
      </c>
      <c r="C358" t="s">
        <v>2439</v>
      </c>
      <c r="D358">
        <v>4307</v>
      </c>
      <c r="E358">
        <v>3935</v>
      </c>
      <c r="F358">
        <v>372</v>
      </c>
      <c r="G358">
        <v>4307</v>
      </c>
      <c r="H358">
        <v>3935</v>
      </c>
      <c r="I358">
        <v>372</v>
      </c>
      <c r="J358">
        <v>3432</v>
      </c>
      <c r="K358">
        <v>171</v>
      </c>
      <c r="L358">
        <v>91</v>
      </c>
      <c r="M358">
        <v>75</v>
      </c>
      <c r="N358">
        <v>26</v>
      </c>
      <c r="O358">
        <v>8</v>
      </c>
      <c r="P358">
        <v>7</v>
      </c>
      <c r="Q358">
        <v>6</v>
      </c>
      <c r="R358">
        <v>93</v>
      </c>
      <c r="S358">
        <v>105</v>
      </c>
      <c r="T358">
        <v>0</v>
      </c>
      <c r="U358">
        <v>0</v>
      </c>
      <c r="V358">
        <v>0</v>
      </c>
      <c r="W358">
        <v>7</v>
      </c>
      <c r="X358">
        <v>286</v>
      </c>
      <c r="Y358">
        <v>0</v>
      </c>
      <c r="Z358" t="e">
        <f t="shared" si="8"/>
        <v>#N/A</v>
      </c>
    </row>
    <row r="359" spans="1:26" x14ac:dyDescent="0.25">
      <c r="A359" t="s">
        <v>2284</v>
      </c>
      <c r="B359">
        <v>53033032102</v>
      </c>
      <c r="C359" t="s">
        <v>2285</v>
      </c>
      <c r="D359">
        <v>5019</v>
      </c>
      <c r="E359">
        <v>4528</v>
      </c>
      <c r="F359">
        <v>491</v>
      </c>
      <c r="G359">
        <v>5019</v>
      </c>
      <c r="H359">
        <v>4528</v>
      </c>
      <c r="I359">
        <v>491</v>
      </c>
      <c r="J359">
        <v>4297</v>
      </c>
      <c r="K359">
        <v>411</v>
      </c>
      <c r="L359">
        <v>80</v>
      </c>
      <c r="M359">
        <v>0</v>
      </c>
      <c r="N359">
        <v>31</v>
      </c>
      <c r="O359">
        <v>0</v>
      </c>
      <c r="P359">
        <v>0</v>
      </c>
      <c r="Q359">
        <v>0</v>
      </c>
      <c r="R359">
        <v>60</v>
      </c>
      <c r="S359">
        <v>80</v>
      </c>
      <c r="T359">
        <v>0</v>
      </c>
      <c r="U359">
        <v>0</v>
      </c>
      <c r="V359">
        <v>0</v>
      </c>
      <c r="W359">
        <v>0</v>
      </c>
      <c r="X359">
        <v>60</v>
      </c>
      <c r="Y359">
        <v>0</v>
      </c>
      <c r="Z359" t="e">
        <f t="shared" si="8"/>
        <v>#N/A</v>
      </c>
    </row>
    <row r="360" spans="1:26" x14ac:dyDescent="0.25">
      <c r="A360" t="s">
        <v>2286</v>
      </c>
      <c r="B360">
        <v>53033032103</v>
      </c>
      <c r="C360" t="s">
        <v>2287</v>
      </c>
      <c r="D360">
        <v>4915</v>
      </c>
      <c r="E360">
        <v>4123</v>
      </c>
      <c r="F360">
        <v>792</v>
      </c>
      <c r="G360">
        <v>4915</v>
      </c>
      <c r="H360">
        <v>4123</v>
      </c>
      <c r="I360">
        <v>792</v>
      </c>
      <c r="J360">
        <v>3436</v>
      </c>
      <c r="K360">
        <v>310</v>
      </c>
      <c r="L360">
        <v>327</v>
      </c>
      <c r="M360">
        <v>41</v>
      </c>
      <c r="N360">
        <v>23</v>
      </c>
      <c r="O360">
        <v>0</v>
      </c>
      <c r="P360">
        <v>0</v>
      </c>
      <c r="Q360">
        <v>0</v>
      </c>
      <c r="R360">
        <v>178</v>
      </c>
      <c r="S360">
        <v>313</v>
      </c>
      <c r="T360">
        <v>0</v>
      </c>
      <c r="U360">
        <v>0</v>
      </c>
      <c r="V360">
        <v>63</v>
      </c>
      <c r="W360">
        <v>128</v>
      </c>
      <c r="X360">
        <v>96</v>
      </c>
      <c r="Y360">
        <v>0</v>
      </c>
      <c r="Z360" t="e">
        <f t="shared" si="8"/>
        <v>#N/A</v>
      </c>
    </row>
    <row r="361" spans="1:26" x14ac:dyDescent="0.25">
      <c r="A361" t="s">
        <v>2288</v>
      </c>
      <c r="B361">
        <v>53033032104</v>
      </c>
      <c r="C361" t="s">
        <v>2289</v>
      </c>
      <c r="D361">
        <v>6274</v>
      </c>
      <c r="E361">
        <v>5230</v>
      </c>
      <c r="F361">
        <v>1044</v>
      </c>
      <c r="G361">
        <v>6274</v>
      </c>
      <c r="H361">
        <v>5230</v>
      </c>
      <c r="I361">
        <v>1044</v>
      </c>
      <c r="J361">
        <v>4277</v>
      </c>
      <c r="K361">
        <v>381</v>
      </c>
      <c r="L361">
        <v>156</v>
      </c>
      <c r="M361">
        <v>87</v>
      </c>
      <c r="N361">
        <v>439</v>
      </c>
      <c r="O361">
        <v>0</v>
      </c>
      <c r="P361">
        <v>0</v>
      </c>
      <c r="Q361">
        <v>0</v>
      </c>
      <c r="R361">
        <v>138</v>
      </c>
      <c r="S361">
        <v>289</v>
      </c>
      <c r="T361">
        <v>0</v>
      </c>
      <c r="U361">
        <v>0</v>
      </c>
      <c r="V361">
        <v>0</v>
      </c>
      <c r="W361">
        <v>287</v>
      </c>
      <c r="X361">
        <v>220</v>
      </c>
      <c r="Y361">
        <v>0</v>
      </c>
      <c r="Z361" t="e">
        <f t="shared" si="8"/>
        <v>#N/A</v>
      </c>
    </row>
    <row r="362" spans="1:26" x14ac:dyDescent="0.25">
      <c r="A362" t="s">
        <v>2290</v>
      </c>
      <c r="B362">
        <v>53033032203</v>
      </c>
      <c r="C362" t="s">
        <v>2291</v>
      </c>
      <c r="D362">
        <v>7919</v>
      </c>
      <c r="E362">
        <v>5371</v>
      </c>
      <c r="F362">
        <v>2548</v>
      </c>
      <c r="G362">
        <v>7919</v>
      </c>
      <c r="H362">
        <v>5371</v>
      </c>
      <c r="I362">
        <v>2548</v>
      </c>
      <c r="J362">
        <v>4375</v>
      </c>
      <c r="K362">
        <v>810</v>
      </c>
      <c r="L362">
        <v>46</v>
      </c>
      <c r="M362">
        <v>72</v>
      </c>
      <c r="N362">
        <v>2</v>
      </c>
      <c r="O362">
        <v>0</v>
      </c>
      <c r="P362">
        <v>0</v>
      </c>
      <c r="Q362">
        <v>0</v>
      </c>
      <c r="R362">
        <v>762</v>
      </c>
      <c r="S362">
        <v>1612</v>
      </c>
      <c r="T362">
        <v>0</v>
      </c>
      <c r="U362">
        <v>0</v>
      </c>
      <c r="V362">
        <v>14</v>
      </c>
      <c r="W362">
        <v>40</v>
      </c>
      <c r="X362">
        <v>172</v>
      </c>
      <c r="Y362">
        <v>14</v>
      </c>
      <c r="Z362" t="e">
        <f t="shared" si="8"/>
        <v>#N/A</v>
      </c>
    </row>
    <row r="363" spans="1:26" x14ac:dyDescent="0.25">
      <c r="A363" t="s">
        <v>2292</v>
      </c>
      <c r="B363">
        <v>53033032207</v>
      </c>
      <c r="C363" t="s">
        <v>2293</v>
      </c>
      <c r="D363">
        <v>3701</v>
      </c>
      <c r="E363">
        <v>3065</v>
      </c>
      <c r="F363">
        <v>636</v>
      </c>
      <c r="G363">
        <v>3701</v>
      </c>
      <c r="H363">
        <v>3065</v>
      </c>
      <c r="I363">
        <v>636</v>
      </c>
      <c r="J363">
        <v>2657</v>
      </c>
      <c r="K363">
        <v>181</v>
      </c>
      <c r="L363">
        <v>117</v>
      </c>
      <c r="M363">
        <v>11</v>
      </c>
      <c r="N363">
        <v>14</v>
      </c>
      <c r="O363">
        <v>0</v>
      </c>
      <c r="P363">
        <v>0</v>
      </c>
      <c r="Q363">
        <v>0</v>
      </c>
      <c r="R363">
        <v>197</v>
      </c>
      <c r="S363">
        <v>418</v>
      </c>
      <c r="T363">
        <v>0</v>
      </c>
      <c r="U363">
        <v>0</v>
      </c>
      <c r="V363">
        <v>0</v>
      </c>
      <c r="W363">
        <v>0</v>
      </c>
      <c r="X363">
        <v>80</v>
      </c>
      <c r="Y363">
        <v>26</v>
      </c>
      <c r="Z363" t="e">
        <f t="shared" si="8"/>
        <v>#N/A</v>
      </c>
    </row>
    <row r="364" spans="1:26" x14ac:dyDescent="0.25">
      <c r="A364" t="s">
        <v>2294</v>
      </c>
      <c r="B364">
        <v>53033032208</v>
      </c>
      <c r="C364" t="s">
        <v>2295</v>
      </c>
      <c r="D364">
        <v>9749</v>
      </c>
      <c r="E364">
        <v>7395</v>
      </c>
      <c r="F364">
        <v>2354</v>
      </c>
      <c r="G364">
        <v>9749</v>
      </c>
      <c r="H364">
        <v>7395</v>
      </c>
      <c r="I364">
        <v>2354</v>
      </c>
      <c r="J364">
        <v>6052</v>
      </c>
      <c r="K364">
        <v>736</v>
      </c>
      <c r="L364">
        <v>190</v>
      </c>
      <c r="M364">
        <v>61</v>
      </c>
      <c r="N364">
        <v>211</v>
      </c>
      <c r="O364">
        <v>76</v>
      </c>
      <c r="P364">
        <v>7</v>
      </c>
      <c r="Q364">
        <v>0</v>
      </c>
      <c r="R364">
        <v>609</v>
      </c>
      <c r="S364">
        <v>1384</v>
      </c>
      <c r="T364">
        <v>0</v>
      </c>
      <c r="U364">
        <v>0</v>
      </c>
      <c r="V364">
        <v>12</v>
      </c>
      <c r="W364">
        <v>0</v>
      </c>
      <c r="X364">
        <v>314</v>
      </c>
      <c r="Y364">
        <v>97</v>
      </c>
      <c r="Z364" t="e">
        <f t="shared" si="8"/>
        <v>#N/A</v>
      </c>
    </row>
    <row r="365" spans="1:26" x14ac:dyDescent="0.25">
      <c r="A365" t="s">
        <v>2298</v>
      </c>
      <c r="B365">
        <v>53033032210</v>
      </c>
      <c r="C365" t="s">
        <v>2299</v>
      </c>
      <c r="D365">
        <v>13671</v>
      </c>
      <c r="E365">
        <v>9903</v>
      </c>
      <c r="F365">
        <v>3768</v>
      </c>
      <c r="G365">
        <v>13671</v>
      </c>
      <c r="H365">
        <v>9903</v>
      </c>
      <c r="I365">
        <v>3768</v>
      </c>
      <c r="J365">
        <v>6767</v>
      </c>
      <c r="K365">
        <v>861</v>
      </c>
      <c r="L365">
        <v>543</v>
      </c>
      <c r="M365">
        <v>187</v>
      </c>
      <c r="N365">
        <v>354</v>
      </c>
      <c r="O365">
        <v>96</v>
      </c>
      <c r="P365">
        <v>0</v>
      </c>
      <c r="Q365">
        <v>0</v>
      </c>
      <c r="R365">
        <v>1300</v>
      </c>
      <c r="S365">
        <v>2372</v>
      </c>
      <c r="T365">
        <v>2</v>
      </c>
      <c r="U365">
        <v>0</v>
      </c>
      <c r="V365">
        <v>186</v>
      </c>
      <c r="W365">
        <v>135</v>
      </c>
      <c r="X365">
        <v>751</v>
      </c>
      <c r="Y365">
        <v>117</v>
      </c>
      <c r="Z365" t="e">
        <f t="shared" si="8"/>
        <v>#N/A</v>
      </c>
    </row>
    <row r="366" spans="1:26" x14ac:dyDescent="0.25">
      <c r="A366" t="s">
        <v>2300</v>
      </c>
      <c r="B366">
        <v>53033032211</v>
      </c>
      <c r="C366" t="s">
        <v>2301</v>
      </c>
      <c r="D366">
        <v>5009</v>
      </c>
      <c r="E366">
        <v>3666</v>
      </c>
      <c r="F366">
        <v>1343</v>
      </c>
      <c r="G366">
        <v>5009</v>
      </c>
      <c r="H366">
        <v>3666</v>
      </c>
      <c r="I366">
        <v>1343</v>
      </c>
      <c r="J366">
        <v>2666</v>
      </c>
      <c r="K366">
        <v>317</v>
      </c>
      <c r="L366">
        <v>25</v>
      </c>
      <c r="M366">
        <v>61</v>
      </c>
      <c r="N366">
        <v>72</v>
      </c>
      <c r="O366">
        <v>31</v>
      </c>
      <c r="P366">
        <v>0</v>
      </c>
      <c r="Q366">
        <v>77</v>
      </c>
      <c r="R366">
        <v>499</v>
      </c>
      <c r="S366">
        <v>829</v>
      </c>
      <c r="T366">
        <v>32</v>
      </c>
      <c r="U366">
        <v>0</v>
      </c>
      <c r="V366">
        <v>0</v>
      </c>
      <c r="W366">
        <v>8</v>
      </c>
      <c r="X366">
        <v>372</v>
      </c>
      <c r="Y366">
        <v>20</v>
      </c>
      <c r="Z366" t="e">
        <f t="shared" si="8"/>
        <v>#N/A</v>
      </c>
    </row>
    <row r="367" spans="1:26" x14ac:dyDescent="0.25">
      <c r="A367" t="s">
        <v>2302</v>
      </c>
      <c r="B367">
        <v>53033032212</v>
      </c>
      <c r="C367" t="s">
        <v>2303</v>
      </c>
      <c r="D367">
        <v>8240</v>
      </c>
      <c r="E367">
        <v>5994</v>
      </c>
      <c r="F367">
        <v>2246</v>
      </c>
      <c r="G367">
        <v>8240</v>
      </c>
      <c r="H367">
        <v>5994</v>
      </c>
      <c r="I367">
        <v>2246</v>
      </c>
      <c r="J367">
        <v>4301</v>
      </c>
      <c r="K367">
        <v>332</v>
      </c>
      <c r="L367">
        <v>106</v>
      </c>
      <c r="M367">
        <v>51</v>
      </c>
      <c r="N367">
        <v>100</v>
      </c>
      <c r="O367">
        <v>0</v>
      </c>
      <c r="P367">
        <v>0</v>
      </c>
      <c r="Q367">
        <v>0</v>
      </c>
      <c r="R367">
        <v>1018</v>
      </c>
      <c r="S367">
        <v>1796</v>
      </c>
      <c r="T367">
        <v>0</v>
      </c>
      <c r="U367">
        <v>0</v>
      </c>
      <c r="V367">
        <v>87</v>
      </c>
      <c r="W367">
        <v>19</v>
      </c>
      <c r="X367">
        <v>382</v>
      </c>
      <c r="Y367">
        <v>48</v>
      </c>
      <c r="Z367" t="e">
        <f t="shared" si="8"/>
        <v>#N/A</v>
      </c>
    </row>
    <row r="368" spans="1:26" x14ac:dyDescent="0.25">
      <c r="A368" t="s">
        <v>2440</v>
      </c>
      <c r="B368">
        <v>53033032213</v>
      </c>
      <c r="C368" t="s">
        <v>2441</v>
      </c>
      <c r="D368">
        <v>4538</v>
      </c>
      <c r="E368">
        <v>3659</v>
      </c>
      <c r="F368">
        <v>879</v>
      </c>
      <c r="G368">
        <v>4538</v>
      </c>
      <c r="H368">
        <v>3659</v>
      </c>
      <c r="I368">
        <v>879</v>
      </c>
      <c r="J368">
        <v>3142</v>
      </c>
      <c r="K368">
        <v>227</v>
      </c>
      <c r="L368">
        <v>88</v>
      </c>
      <c r="M368">
        <v>24</v>
      </c>
      <c r="N368">
        <v>1</v>
      </c>
      <c r="O368">
        <v>0</v>
      </c>
      <c r="P368">
        <v>10</v>
      </c>
      <c r="Q368">
        <v>0</v>
      </c>
      <c r="R368">
        <v>316</v>
      </c>
      <c r="S368">
        <v>617</v>
      </c>
      <c r="T368">
        <v>0</v>
      </c>
      <c r="U368">
        <v>0</v>
      </c>
      <c r="V368">
        <v>0</v>
      </c>
      <c r="W368">
        <v>1</v>
      </c>
      <c r="X368">
        <v>102</v>
      </c>
      <c r="Y368">
        <v>10</v>
      </c>
      <c r="Z368" t="e">
        <f t="shared" si="8"/>
        <v>#N/A</v>
      </c>
    </row>
    <row r="369" spans="1:26" x14ac:dyDescent="0.25">
      <c r="A369" t="s">
        <v>2442</v>
      </c>
      <c r="B369">
        <v>53033032214</v>
      </c>
      <c r="C369" t="s">
        <v>2443</v>
      </c>
      <c r="D369">
        <v>6415</v>
      </c>
      <c r="E369">
        <v>3977</v>
      </c>
      <c r="F369">
        <v>2438</v>
      </c>
      <c r="G369">
        <v>6415</v>
      </c>
      <c r="H369">
        <v>3977</v>
      </c>
      <c r="I369">
        <v>2438</v>
      </c>
      <c r="J369">
        <v>2808</v>
      </c>
      <c r="K369">
        <v>644</v>
      </c>
      <c r="L369">
        <v>141</v>
      </c>
      <c r="M369">
        <v>94</v>
      </c>
      <c r="N369">
        <v>45</v>
      </c>
      <c r="O369">
        <v>0</v>
      </c>
      <c r="P369">
        <v>0</v>
      </c>
      <c r="Q369">
        <v>0</v>
      </c>
      <c r="R369">
        <v>808</v>
      </c>
      <c r="S369">
        <v>1649</v>
      </c>
      <c r="T369">
        <v>21</v>
      </c>
      <c r="U369">
        <v>0</v>
      </c>
      <c r="V369">
        <v>0</v>
      </c>
      <c r="W369">
        <v>0</v>
      </c>
      <c r="X369">
        <v>154</v>
      </c>
      <c r="Y369">
        <v>51</v>
      </c>
      <c r="Z369" t="e">
        <f t="shared" si="8"/>
        <v>#N/A</v>
      </c>
    </row>
    <row r="370" spans="1:26" x14ac:dyDescent="0.25">
      <c r="A370" t="s">
        <v>2444</v>
      </c>
      <c r="B370">
        <v>53033032215</v>
      </c>
      <c r="C370" t="s">
        <v>2445</v>
      </c>
      <c r="D370">
        <v>5197</v>
      </c>
      <c r="E370">
        <v>3553</v>
      </c>
      <c r="F370">
        <v>1644</v>
      </c>
      <c r="G370">
        <v>5197</v>
      </c>
      <c r="H370">
        <v>3553</v>
      </c>
      <c r="I370">
        <v>1644</v>
      </c>
      <c r="J370">
        <v>2610</v>
      </c>
      <c r="K370">
        <v>285</v>
      </c>
      <c r="L370">
        <v>148</v>
      </c>
      <c r="M370">
        <v>0</v>
      </c>
      <c r="N370">
        <v>11</v>
      </c>
      <c r="O370">
        <v>26</v>
      </c>
      <c r="P370">
        <v>0</v>
      </c>
      <c r="Q370">
        <v>0</v>
      </c>
      <c r="R370">
        <v>586</v>
      </c>
      <c r="S370">
        <v>1325</v>
      </c>
      <c r="T370">
        <v>0</v>
      </c>
      <c r="U370">
        <v>0</v>
      </c>
      <c r="V370">
        <v>19</v>
      </c>
      <c r="W370">
        <v>0</v>
      </c>
      <c r="X370">
        <v>179</v>
      </c>
      <c r="Y370">
        <v>8</v>
      </c>
      <c r="Z370" t="e">
        <f t="shared" si="8"/>
        <v>#N/A</v>
      </c>
    </row>
    <row r="371" spans="1:26" x14ac:dyDescent="0.25">
      <c r="A371" t="s">
        <v>2304</v>
      </c>
      <c r="B371">
        <v>53033032307</v>
      </c>
      <c r="C371" t="s">
        <v>2305</v>
      </c>
      <c r="D371">
        <v>6567</v>
      </c>
      <c r="E371">
        <v>5930</v>
      </c>
      <c r="F371">
        <v>637</v>
      </c>
      <c r="G371">
        <v>6567</v>
      </c>
      <c r="H371">
        <v>5930</v>
      </c>
      <c r="I371">
        <v>637</v>
      </c>
      <c r="J371">
        <v>5243</v>
      </c>
      <c r="K371">
        <v>374</v>
      </c>
      <c r="L371">
        <v>113</v>
      </c>
      <c r="M371">
        <v>58</v>
      </c>
      <c r="N371">
        <v>48</v>
      </c>
      <c r="O371">
        <v>43</v>
      </c>
      <c r="P371">
        <v>0</v>
      </c>
      <c r="Q371">
        <v>0</v>
      </c>
      <c r="R371">
        <v>109</v>
      </c>
      <c r="S371">
        <v>122</v>
      </c>
      <c r="T371">
        <v>33</v>
      </c>
      <c r="U371">
        <v>12</v>
      </c>
      <c r="V371">
        <v>78</v>
      </c>
      <c r="W371">
        <v>28</v>
      </c>
      <c r="X371">
        <v>306</v>
      </c>
      <c r="Y371">
        <v>0</v>
      </c>
      <c r="Z371" t="e">
        <f t="shared" si="8"/>
        <v>#N/A</v>
      </c>
    </row>
    <row r="372" spans="1:26" x14ac:dyDescent="0.25">
      <c r="A372" t="s">
        <v>2306</v>
      </c>
      <c r="B372">
        <v>53033032309</v>
      </c>
      <c r="C372" t="s">
        <v>2307</v>
      </c>
      <c r="D372">
        <v>7459</v>
      </c>
      <c r="E372">
        <v>4003</v>
      </c>
      <c r="F372">
        <v>3456</v>
      </c>
      <c r="G372">
        <v>7459</v>
      </c>
      <c r="H372">
        <v>4003</v>
      </c>
      <c r="I372">
        <v>3456</v>
      </c>
      <c r="J372">
        <v>3059</v>
      </c>
      <c r="K372">
        <v>868</v>
      </c>
      <c r="L372">
        <v>66</v>
      </c>
      <c r="M372">
        <v>97</v>
      </c>
      <c r="N372">
        <v>46</v>
      </c>
      <c r="O372">
        <v>64</v>
      </c>
      <c r="P372">
        <v>0</v>
      </c>
      <c r="Q372">
        <v>0</v>
      </c>
      <c r="R372">
        <v>479</v>
      </c>
      <c r="S372">
        <v>2189</v>
      </c>
      <c r="T372">
        <v>0</v>
      </c>
      <c r="U372">
        <v>0</v>
      </c>
      <c r="V372">
        <v>25</v>
      </c>
      <c r="W372">
        <v>73</v>
      </c>
      <c r="X372">
        <v>328</v>
      </c>
      <c r="Y372">
        <v>165</v>
      </c>
      <c r="Z372" t="e">
        <f t="shared" si="8"/>
        <v>#N/A</v>
      </c>
    </row>
    <row r="373" spans="1:26" x14ac:dyDescent="0.25">
      <c r="A373" t="s">
        <v>2308</v>
      </c>
      <c r="B373">
        <v>53033032311</v>
      </c>
      <c r="C373" t="s">
        <v>2309</v>
      </c>
      <c r="D373">
        <v>6192</v>
      </c>
      <c r="E373">
        <v>5282</v>
      </c>
      <c r="F373">
        <v>910</v>
      </c>
      <c r="G373">
        <v>6192</v>
      </c>
      <c r="H373">
        <v>5282</v>
      </c>
      <c r="I373">
        <v>910</v>
      </c>
      <c r="J373">
        <v>4552</v>
      </c>
      <c r="K373">
        <v>519</v>
      </c>
      <c r="L373">
        <v>132</v>
      </c>
      <c r="M373">
        <v>148</v>
      </c>
      <c r="N373">
        <v>89</v>
      </c>
      <c r="O373">
        <v>0</v>
      </c>
      <c r="P373">
        <v>0</v>
      </c>
      <c r="Q373">
        <v>0</v>
      </c>
      <c r="R373">
        <v>84</v>
      </c>
      <c r="S373">
        <v>183</v>
      </c>
      <c r="T373">
        <v>0</v>
      </c>
      <c r="U373">
        <v>0</v>
      </c>
      <c r="V373">
        <v>0</v>
      </c>
      <c r="W373">
        <v>18</v>
      </c>
      <c r="X373">
        <v>425</v>
      </c>
      <c r="Y373">
        <v>42</v>
      </c>
      <c r="Z373" t="e">
        <f t="shared" si="8"/>
        <v>#N/A</v>
      </c>
    </row>
    <row r="374" spans="1:26" x14ac:dyDescent="0.25">
      <c r="A374" t="s">
        <v>2312</v>
      </c>
      <c r="B374">
        <v>53033032313</v>
      </c>
      <c r="C374" t="s">
        <v>2313</v>
      </c>
      <c r="D374">
        <v>6606</v>
      </c>
      <c r="E374">
        <v>3454</v>
      </c>
      <c r="F374">
        <v>3152</v>
      </c>
      <c r="G374">
        <v>6606</v>
      </c>
      <c r="H374">
        <v>3454</v>
      </c>
      <c r="I374">
        <v>3152</v>
      </c>
      <c r="J374">
        <v>2115</v>
      </c>
      <c r="K374">
        <v>265</v>
      </c>
      <c r="L374">
        <v>252</v>
      </c>
      <c r="M374">
        <v>520</v>
      </c>
      <c r="N374">
        <v>85</v>
      </c>
      <c r="O374">
        <v>22</v>
      </c>
      <c r="P374">
        <v>0</v>
      </c>
      <c r="Q374">
        <v>0</v>
      </c>
      <c r="R374">
        <v>809</v>
      </c>
      <c r="S374">
        <v>2293</v>
      </c>
      <c r="T374">
        <v>0</v>
      </c>
      <c r="U374">
        <v>0</v>
      </c>
      <c r="V374">
        <v>0</v>
      </c>
      <c r="W374">
        <v>15</v>
      </c>
      <c r="X374">
        <v>193</v>
      </c>
      <c r="Y374">
        <v>37</v>
      </c>
      <c r="Z374" t="e">
        <f t="shared" si="8"/>
        <v>#N/A</v>
      </c>
    </row>
    <row r="375" spans="1:26" x14ac:dyDescent="0.25">
      <c r="A375" t="s">
        <v>2316</v>
      </c>
      <c r="B375">
        <v>53033032315</v>
      </c>
      <c r="C375" t="s">
        <v>2317</v>
      </c>
      <c r="D375">
        <v>5484</v>
      </c>
      <c r="E375">
        <v>4618</v>
      </c>
      <c r="F375">
        <v>866</v>
      </c>
      <c r="G375">
        <v>5484</v>
      </c>
      <c r="H375">
        <v>4618</v>
      </c>
      <c r="I375">
        <v>866</v>
      </c>
      <c r="J375">
        <v>4107</v>
      </c>
      <c r="K375">
        <v>549</v>
      </c>
      <c r="L375">
        <v>153</v>
      </c>
      <c r="M375">
        <v>66</v>
      </c>
      <c r="N375">
        <v>32</v>
      </c>
      <c r="O375">
        <v>14</v>
      </c>
      <c r="P375">
        <v>17</v>
      </c>
      <c r="Q375">
        <v>0</v>
      </c>
      <c r="R375">
        <v>94</v>
      </c>
      <c r="S375">
        <v>217</v>
      </c>
      <c r="T375">
        <v>0</v>
      </c>
      <c r="U375">
        <v>12</v>
      </c>
      <c r="V375">
        <v>26</v>
      </c>
      <c r="W375">
        <v>0</v>
      </c>
      <c r="X375">
        <v>189</v>
      </c>
      <c r="Y375">
        <v>8</v>
      </c>
      <c r="Z375" t="e">
        <f t="shared" si="8"/>
        <v>#N/A</v>
      </c>
    </row>
    <row r="376" spans="1:26" x14ac:dyDescent="0.25">
      <c r="A376" t="s">
        <v>2318</v>
      </c>
      <c r="B376">
        <v>53033032316</v>
      </c>
      <c r="C376" t="s">
        <v>2319</v>
      </c>
      <c r="D376">
        <v>5512</v>
      </c>
      <c r="E376">
        <v>4073</v>
      </c>
      <c r="F376">
        <v>1439</v>
      </c>
      <c r="G376">
        <v>5512</v>
      </c>
      <c r="H376">
        <v>4073</v>
      </c>
      <c r="I376">
        <v>1439</v>
      </c>
      <c r="J376">
        <v>3333</v>
      </c>
      <c r="K376">
        <v>548</v>
      </c>
      <c r="L376">
        <v>115</v>
      </c>
      <c r="M376">
        <v>53</v>
      </c>
      <c r="N376">
        <v>27</v>
      </c>
      <c r="O376">
        <v>0</v>
      </c>
      <c r="P376">
        <v>0</v>
      </c>
      <c r="Q376">
        <v>0</v>
      </c>
      <c r="R376">
        <v>460</v>
      </c>
      <c r="S376">
        <v>799</v>
      </c>
      <c r="T376">
        <v>14</v>
      </c>
      <c r="U376">
        <v>9</v>
      </c>
      <c r="V376">
        <v>7</v>
      </c>
      <c r="W376">
        <v>0</v>
      </c>
      <c r="X376">
        <v>117</v>
      </c>
      <c r="Y376">
        <v>30</v>
      </c>
      <c r="Z376" t="e">
        <f t="shared" si="8"/>
        <v>#N/A</v>
      </c>
    </row>
    <row r="377" spans="1:26" x14ac:dyDescent="0.25">
      <c r="A377" t="s">
        <v>2320</v>
      </c>
      <c r="B377">
        <v>53033032317</v>
      </c>
      <c r="C377" t="s">
        <v>2321</v>
      </c>
      <c r="D377">
        <v>6211</v>
      </c>
      <c r="E377">
        <v>4923</v>
      </c>
      <c r="F377">
        <v>1288</v>
      </c>
      <c r="G377">
        <v>6211</v>
      </c>
      <c r="H377">
        <v>4923</v>
      </c>
      <c r="I377">
        <v>1288</v>
      </c>
      <c r="J377">
        <v>4364</v>
      </c>
      <c r="K377">
        <v>674</v>
      </c>
      <c r="L377">
        <v>234</v>
      </c>
      <c r="M377">
        <v>50</v>
      </c>
      <c r="N377">
        <v>23</v>
      </c>
      <c r="O377">
        <v>0</v>
      </c>
      <c r="P377">
        <v>0</v>
      </c>
      <c r="Q377">
        <v>0</v>
      </c>
      <c r="R377">
        <v>177</v>
      </c>
      <c r="S377">
        <v>450</v>
      </c>
      <c r="T377">
        <v>0</v>
      </c>
      <c r="U377">
        <v>0</v>
      </c>
      <c r="V377">
        <v>0</v>
      </c>
      <c r="W377">
        <v>74</v>
      </c>
      <c r="X377">
        <v>125</v>
      </c>
      <c r="Y377">
        <v>40</v>
      </c>
      <c r="Z377" t="e">
        <f t="shared" si="8"/>
        <v>#N/A</v>
      </c>
    </row>
    <row r="378" spans="1:26" x14ac:dyDescent="0.25">
      <c r="A378" t="s">
        <v>2322</v>
      </c>
      <c r="B378">
        <v>53033032318</v>
      </c>
      <c r="C378" t="s">
        <v>2323</v>
      </c>
      <c r="D378">
        <v>6176</v>
      </c>
      <c r="E378">
        <v>4071</v>
      </c>
      <c r="F378">
        <v>2105</v>
      </c>
      <c r="G378">
        <v>6176</v>
      </c>
      <c r="H378">
        <v>4071</v>
      </c>
      <c r="I378">
        <v>2105</v>
      </c>
      <c r="J378">
        <v>2918</v>
      </c>
      <c r="K378">
        <v>511</v>
      </c>
      <c r="L378">
        <v>97</v>
      </c>
      <c r="M378">
        <v>62</v>
      </c>
      <c r="N378">
        <v>39</v>
      </c>
      <c r="O378">
        <v>34</v>
      </c>
      <c r="P378">
        <v>0</v>
      </c>
      <c r="Q378">
        <v>0</v>
      </c>
      <c r="R378">
        <v>622</v>
      </c>
      <c r="S378">
        <v>1428</v>
      </c>
      <c r="T378">
        <v>0</v>
      </c>
      <c r="U378">
        <v>0</v>
      </c>
      <c r="V378">
        <v>38</v>
      </c>
      <c r="W378">
        <v>38</v>
      </c>
      <c r="X378">
        <v>357</v>
      </c>
      <c r="Y378">
        <v>32</v>
      </c>
      <c r="Z378" t="e">
        <f t="shared" si="8"/>
        <v>#N/A</v>
      </c>
    </row>
    <row r="379" spans="1:26" x14ac:dyDescent="0.25">
      <c r="A379" t="s">
        <v>2324</v>
      </c>
      <c r="B379">
        <v>53033032319</v>
      </c>
      <c r="C379" t="s">
        <v>2325</v>
      </c>
      <c r="D379">
        <v>5696</v>
      </c>
      <c r="E379">
        <v>5176</v>
      </c>
      <c r="F379">
        <v>520</v>
      </c>
      <c r="G379">
        <v>5696</v>
      </c>
      <c r="H379">
        <v>5176</v>
      </c>
      <c r="I379">
        <v>520</v>
      </c>
      <c r="J379">
        <v>4521</v>
      </c>
      <c r="K379">
        <v>196</v>
      </c>
      <c r="L379">
        <v>143</v>
      </c>
      <c r="M379">
        <v>11</v>
      </c>
      <c r="N379">
        <v>73</v>
      </c>
      <c r="O379">
        <v>0</v>
      </c>
      <c r="P379">
        <v>8</v>
      </c>
      <c r="Q379">
        <v>0</v>
      </c>
      <c r="R379">
        <v>90</v>
      </c>
      <c r="S379">
        <v>313</v>
      </c>
      <c r="T379">
        <v>29</v>
      </c>
      <c r="U379">
        <v>0</v>
      </c>
      <c r="V379">
        <v>44</v>
      </c>
      <c r="W379">
        <v>0</v>
      </c>
      <c r="X379">
        <v>268</v>
      </c>
      <c r="Y379">
        <v>0</v>
      </c>
      <c r="Z379" t="e">
        <f t="shared" si="8"/>
        <v>#N/A</v>
      </c>
    </row>
    <row r="380" spans="1:26" x14ac:dyDescent="0.25">
      <c r="A380" t="s">
        <v>2326</v>
      </c>
      <c r="B380">
        <v>53033032320</v>
      </c>
      <c r="C380" t="s">
        <v>2327</v>
      </c>
      <c r="D380">
        <v>4598</v>
      </c>
      <c r="E380">
        <v>4062</v>
      </c>
      <c r="F380">
        <v>536</v>
      </c>
      <c r="G380">
        <v>4598</v>
      </c>
      <c r="H380">
        <v>4062</v>
      </c>
      <c r="I380">
        <v>536</v>
      </c>
      <c r="J380">
        <v>3687</v>
      </c>
      <c r="K380">
        <v>295</v>
      </c>
      <c r="L380">
        <v>166</v>
      </c>
      <c r="M380">
        <v>17</v>
      </c>
      <c r="N380">
        <v>2</v>
      </c>
      <c r="O380">
        <v>0</v>
      </c>
      <c r="P380">
        <v>0</v>
      </c>
      <c r="Q380">
        <v>0</v>
      </c>
      <c r="R380">
        <v>100</v>
      </c>
      <c r="S380">
        <v>201</v>
      </c>
      <c r="T380">
        <v>27</v>
      </c>
      <c r="U380">
        <v>0</v>
      </c>
      <c r="V380">
        <v>1</v>
      </c>
      <c r="W380">
        <v>23</v>
      </c>
      <c r="X380">
        <v>79</v>
      </c>
      <c r="Y380">
        <v>0</v>
      </c>
      <c r="Z380" t="e">
        <f t="shared" si="8"/>
        <v>#N/A</v>
      </c>
    </row>
    <row r="381" spans="1:26" x14ac:dyDescent="0.25">
      <c r="A381" t="s">
        <v>2328</v>
      </c>
      <c r="B381">
        <v>53033032321</v>
      </c>
      <c r="C381" t="s">
        <v>2329</v>
      </c>
      <c r="D381">
        <v>5780</v>
      </c>
      <c r="E381">
        <v>4159</v>
      </c>
      <c r="F381">
        <v>1621</v>
      </c>
      <c r="G381">
        <v>5780</v>
      </c>
      <c r="H381">
        <v>4159</v>
      </c>
      <c r="I381">
        <v>1621</v>
      </c>
      <c r="J381">
        <v>2995</v>
      </c>
      <c r="K381">
        <v>479</v>
      </c>
      <c r="L381">
        <v>83</v>
      </c>
      <c r="M381">
        <v>19</v>
      </c>
      <c r="N381">
        <v>24</v>
      </c>
      <c r="O381">
        <v>0</v>
      </c>
      <c r="P381">
        <v>18</v>
      </c>
      <c r="Q381">
        <v>0</v>
      </c>
      <c r="R381">
        <v>637</v>
      </c>
      <c r="S381">
        <v>1030</v>
      </c>
      <c r="T381">
        <v>12</v>
      </c>
      <c r="U381">
        <v>0</v>
      </c>
      <c r="V381">
        <v>0</v>
      </c>
      <c r="W381">
        <v>37</v>
      </c>
      <c r="X381">
        <v>390</v>
      </c>
      <c r="Y381">
        <v>56</v>
      </c>
      <c r="Z381" t="e">
        <f t="shared" si="8"/>
        <v>#N/A</v>
      </c>
    </row>
    <row r="382" spans="1:26" x14ac:dyDescent="0.25">
      <c r="A382" t="s">
        <v>2330</v>
      </c>
      <c r="B382">
        <v>53033032322</v>
      </c>
      <c r="C382" t="s">
        <v>2331</v>
      </c>
      <c r="D382">
        <v>3616</v>
      </c>
      <c r="E382">
        <v>3002</v>
      </c>
      <c r="F382">
        <v>614</v>
      </c>
      <c r="G382">
        <v>3616</v>
      </c>
      <c r="H382">
        <v>3002</v>
      </c>
      <c r="I382">
        <v>614</v>
      </c>
      <c r="J382">
        <v>2585</v>
      </c>
      <c r="K382">
        <v>300</v>
      </c>
      <c r="L382">
        <v>41</v>
      </c>
      <c r="M382">
        <v>16</v>
      </c>
      <c r="N382">
        <v>14</v>
      </c>
      <c r="O382">
        <v>11</v>
      </c>
      <c r="P382">
        <v>0</v>
      </c>
      <c r="Q382">
        <v>0</v>
      </c>
      <c r="R382">
        <v>185</v>
      </c>
      <c r="S382">
        <v>277</v>
      </c>
      <c r="T382">
        <v>0</v>
      </c>
      <c r="U382">
        <v>0</v>
      </c>
      <c r="V382">
        <v>9</v>
      </c>
      <c r="W382">
        <v>1</v>
      </c>
      <c r="X382">
        <v>168</v>
      </c>
      <c r="Y382">
        <v>9</v>
      </c>
      <c r="Z382" t="e">
        <f t="shared" si="8"/>
        <v>#N/A</v>
      </c>
    </row>
    <row r="383" spans="1:26" x14ac:dyDescent="0.25">
      <c r="A383" t="s">
        <v>2332</v>
      </c>
      <c r="B383">
        <v>53033032323</v>
      </c>
      <c r="C383" t="s">
        <v>2333</v>
      </c>
      <c r="D383">
        <v>5867</v>
      </c>
      <c r="E383">
        <v>4186</v>
      </c>
      <c r="F383">
        <v>1681</v>
      </c>
      <c r="G383">
        <v>5867</v>
      </c>
      <c r="H383">
        <v>4186</v>
      </c>
      <c r="I383">
        <v>1681</v>
      </c>
      <c r="J383">
        <v>3294</v>
      </c>
      <c r="K383">
        <v>616</v>
      </c>
      <c r="L383">
        <v>115</v>
      </c>
      <c r="M383">
        <v>54</v>
      </c>
      <c r="N383">
        <v>35</v>
      </c>
      <c r="O383">
        <v>15</v>
      </c>
      <c r="P383">
        <v>33</v>
      </c>
      <c r="Q383">
        <v>0</v>
      </c>
      <c r="R383">
        <v>410</v>
      </c>
      <c r="S383">
        <v>883</v>
      </c>
      <c r="T383">
        <v>0</v>
      </c>
      <c r="U383">
        <v>0</v>
      </c>
      <c r="V383">
        <v>8</v>
      </c>
      <c r="W383">
        <v>51</v>
      </c>
      <c r="X383">
        <v>291</v>
      </c>
      <c r="Y383">
        <v>62</v>
      </c>
      <c r="Z383" t="e">
        <f t="shared" si="8"/>
        <v>#N/A</v>
      </c>
    </row>
    <row r="384" spans="1:26" x14ac:dyDescent="0.25">
      <c r="A384" t="s">
        <v>2334</v>
      </c>
      <c r="B384">
        <v>53033032324</v>
      </c>
      <c r="C384" t="s">
        <v>2335</v>
      </c>
      <c r="D384">
        <v>5436</v>
      </c>
      <c r="E384">
        <v>3492</v>
      </c>
      <c r="F384">
        <v>1944</v>
      </c>
      <c r="G384">
        <v>5436</v>
      </c>
      <c r="H384">
        <v>3492</v>
      </c>
      <c r="I384">
        <v>1944</v>
      </c>
      <c r="J384">
        <v>2629</v>
      </c>
      <c r="K384">
        <v>558</v>
      </c>
      <c r="L384">
        <v>139</v>
      </c>
      <c r="M384">
        <v>105</v>
      </c>
      <c r="N384">
        <v>15</v>
      </c>
      <c r="O384">
        <v>61</v>
      </c>
      <c r="P384">
        <v>0</v>
      </c>
      <c r="Q384">
        <v>0</v>
      </c>
      <c r="R384">
        <v>383</v>
      </c>
      <c r="S384">
        <v>1013</v>
      </c>
      <c r="T384">
        <v>0</v>
      </c>
      <c r="U384">
        <v>0</v>
      </c>
      <c r="V384">
        <v>148</v>
      </c>
      <c r="W384">
        <v>182</v>
      </c>
      <c r="X384">
        <v>178</v>
      </c>
      <c r="Y384">
        <v>25</v>
      </c>
      <c r="Z384" t="e">
        <f t="shared" si="8"/>
        <v>#N/A</v>
      </c>
    </row>
    <row r="385" spans="1:26" x14ac:dyDescent="0.25">
      <c r="A385" t="s">
        <v>2336</v>
      </c>
      <c r="B385">
        <v>53033032325</v>
      </c>
      <c r="C385" t="s">
        <v>2337</v>
      </c>
      <c r="D385">
        <v>5823</v>
      </c>
      <c r="E385">
        <v>3456</v>
      </c>
      <c r="F385">
        <v>2367</v>
      </c>
      <c r="G385">
        <v>5823</v>
      </c>
      <c r="H385">
        <v>3456</v>
      </c>
      <c r="I385">
        <v>2367</v>
      </c>
      <c r="J385">
        <v>2358</v>
      </c>
      <c r="K385">
        <v>526</v>
      </c>
      <c r="L385">
        <v>114</v>
      </c>
      <c r="M385">
        <v>222</v>
      </c>
      <c r="N385">
        <v>200</v>
      </c>
      <c r="O385">
        <v>185</v>
      </c>
      <c r="P385">
        <v>0</v>
      </c>
      <c r="Q385">
        <v>0</v>
      </c>
      <c r="R385">
        <v>395</v>
      </c>
      <c r="S385">
        <v>1302</v>
      </c>
      <c r="T385">
        <v>0</v>
      </c>
      <c r="U385">
        <v>0</v>
      </c>
      <c r="V385">
        <v>7</v>
      </c>
      <c r="W385">
        <v>40</v>
      </c>
      <c r="X385">
        <v>382</v>
      </c>
      <c r="Y385">
        <v>92</v>
      </c>
      <c r="Z385" t="e">
        <f t="shared" si="8"/>
        <v>#N/A</v>
      </c>
    </row>
    <row r="386" spans="1:26" x14ac:dyDescent="0.25">
      <c r="A386" t="s">
        <v>2446</v>
      </c>
      <c r="B386">
        <v>53033032326</v>
      </c>
      <c r="C386" t="s">
        <v>2447</v>
      </c>
      <c r="D386">
        <v>4122</v>
      </c>
      <c r="E386">
        <v>3443</v>
      </c>
      <c r="F386">
        <v>679</v>
      </c>
      <c r="G386">
        <v>4122</v>
      </c>
      <c r="H386">
        <v>3443</v>
      </c>
      <c r="I386">
        <v>679</v>
      </c>
      <c r="J386">
        <v>2960</v>
      </c>
      <c r="K386">
        <v>175</v>
      </c>
      <c r="L386">
        <v>186</v>
      </c>
      <c r="M386">
        <v>114</v>
      </c>
      <c r="N386">
        <v>18</v>
      </c>
      <c r="O386">
        <v>17</v>
      </c>
      <c r="P386">
        <v>0</v>
      </c>
      <c r="Q386">
        <v>0</v>
      </c>
      <c r="R386">
        <v>139</v>
      </c>
      <c r="S386">
        <v>323</v>
      </c>
      <c r="T386">
        <v>0</v>
      </c>
      <c r="U386">
        <v>0</v>
      </c>
      <c r="V386">
        <v>80</v>
      </c>
      <c r="W386">
        <v>43</v>
      </c>
      <c r="X386">
        <v>60</v>
      </c>
      <c r="Y386">
        <v>7</v>
      </c>
      <c r="Z386" t="e">
        <f t="shared" si="8"/>
        <v>#N/A</v>
      </c>
    </row>
    <row r="387" spans="1:26" x14ac:dyDescent="0.25">
      <c r="A387" t="s">
        <v>2448</v>
      </c>
      <c r="B387">
        <v>53033032327</v>
      </c>
      <c r="C387" t="s">
        <v>2449</v>
      </c>
      <c r="D387">
        <v>4066</v>
      </c>
      <c r="E387">
        <v>3453</v>
      </c>
      <c r="F387">
        <v>613</v>
      </c>
      <c r="G387">
        <v>4066</v>
      </c>
      <c r="H387">
        <v>3453</v>
      </c>
      <c r="I387">
        <v>613</v>
      </c>
      <c r="J387">
        <v>3268</v>
      </c>
      <c r="K387">
        <v>288</v>
      </c>
      <c r="L387">
        <v>41</v>
      </c>
      <c r="M387">
        <v>47</v>
      </c>
      <c r="N387">
        <v>42</v>
      </c>
      <c r="O387">
        <v>0</v>
      </c>
      <c r="P387">
        <v>0</v>
      </c>
      <c r="Q387">
        <v>9</v>
      </c>
      <c r="R387">
        <v>65</v>
      </c>
      <c r="S387">
        <v>260</v>
      </c>
      <c r="T387">
        <v>0</v>
      </c>
      <c r="U387">
        <v>0</v>
      </c>
      <c r="V387">
        <v>0</v>
      </c>
      <c r="W387">
        <v>0</v>
      </c>
      <c r="X387">
        <v>37</v>
      </c>
      <c r="Y387">
        <v>9</v>
      </c>
      <c r="Z387" t="e">
        <f t="shared" ref="Z387:Z399" si="9">VLOOKUP(C387,$AG$2:$AH$133,2,FALSE)</f>
        <v>#N/A</v>
      </c>
    </row>
    <row r="388" spans="1:26" x14ac:dyDescent="0.25">
      <c r="A388" t="s">
        <v>2450</v>
      </c>
      <c r="B388">
        <v>53033032328</v>
      </c>
      <c r="C388" t="s">
        <v>2451</v>
      </c>
      <c r="D388">
        <v>3476</v>
      </c>
      <c r="E388">
        <v>2901</v>
      </c>
      <c r="F388">
        <v>575</v>
      </c>
      <c r="G388">
        <v>3476</v>
      </c>
      <c r="H388">
        <v>2901</v>
      </c>
      <c r="I388">
        <v>575</v>
      </c>
      <c r="J388">
        <v>2357</v>
      </c>
      <c r="K388">
        <v>341</v>
      </c>
      <c r="L388">
        <v>195</v>
      </c>
      <c r="M388">
        <v>52</v>
      </c>
      <c r="N388">
        <v>24</v>
      </c>
      <c r="O388">
        <v>17</v>
      </c>
      <c r="P388">
        <v>31</v>
      </c>
      <c r="Q388">
        <v>0</v>
      </c>
      <c r="R388">
        <v>206</v>
      </c>
      <c r="S388">
        <v>145</v>
      </c>
      <c r="T388">
        <v>0</v>
      </c>
      <c r="U388">
        <v>0</v>
      </c>
      <c r="V388">
        <v>0</v>
      </c>
      <c r="W388">
        <v>0</v>
      </c>
      <c r="X388">
        <v>88</v>
      </c>
      <c r="Y388">
        <v>20</v>
      </c>
      <c r="Z388" t="e">
        <f t="shared" si="9"/>
        <v>#N/A</v>
      </c>
    </row>
    <row r="389" spans="1:26" x14ac:dyDescent="0.25">
      <c r="A389" t="s">
        <v>2452</v>
      </c>
      <c r="B389">
        <v>53033032329</v>
      </c>
      <c r="C389" t="s">
        <v>2453</v>
      </c>
      <c r="D389">
        <v>9212</v>
      </c>
      <c r="E389">
        <v>5355</v>
      </c>
      <c r="F389">
        <v>3857</v>
      </c>
      <c r="G389">
        <v>9212</v>
      </c>
      <c r="H389">
        <v>5355</v>
      </c>
      <c r="I389">
        <v>3857</v>
      </c>
      <c r="J389">
        <v>3649</v>
      </c>
      <c r="K389">
        <v>717</v>
      </c>
      <c r="L389">
        <v>80</v>
      </c>
      <c r="M389">
        <v>59</v>
      </c>
      <c r="N389">
        <v>36</v>
      </c>
      <c r="O389">
        <v>59</v>
      </c>
      <c r="P389">
        <v>10</v>
      </c>
      <c r="Q389">
        <v>0</v>
      </c>
      <c r="R389">
        <v>1352</v>
      </c>
      <c r="S389">
        <v>2883</v>
      </c>
      <c r="T389">
        <v>0</v>
      </c>
      <c r="U389">
        <v>0</v>
      </c>
      <c r="V389">
        <v>0</v>
      </c>
      <c r="W389">
        <v>45</v>
      </c>
      <c r="X389">
        <v>228</v>
      </c>
      <c r="Y389">
        <v>94</v>
      </c>
      <c r="Z389" t="e">
        <f t="shared" si="9"/>
        <v>#N/A</v>
      </c>
    </row>
    <row r="390" spans="1:26" x14ac:dyDescent="0.25">
      <c r="A390" t="s">
        <v>2338</v>
      </c>
      <c r="B390">
        <v>53033032401</v>
      </c>
      <c r="C390" t="s">
        <v>2339</v>
      </c>
      <c r="D390">
        <v>6302</v>
      </c>
      <c r="E390">
        <v>5666</v>
      </c>
      <c r="F390">
        <v>636</v>
      </c>
      <c r="G390">
        <v>6302</v>
      </c>
      <c r="H390">
        <v>5666</v>
      </c>
      <c r="I390">
        <v>636</v>
      </c>
      <c r="J390">
        <v>5323</v>
      </c>
      <c r="K390">
        <v>446</v>
      </c>
      <c r="L390">
        <v>129</v>
      </c>
      <c r="M390">
        <v>68</v>
      </c>
      <c r="N390">
        <v>0</v>
      </c>
      <c r="O390">
        <v>1</v>
      </c>
      <c r="P390">
        <v>0</v>
      </c>
      <c r="Q390">
        <v>0</v>
      </c>
      <c r="R390">
        <v>41</v>
      </c>
      <c r="S390">
        <v>116</v>
      </c>
      <c r="T390">
        <v>0</v>
      </c>
      <c r="U390">
        <v>0</v>
      </c>
      <c r="V390">
        <v>0</v>
      </c>
      <c r="W390">
        <v>5</v>
      </c>
      <c r="X390">
        <v>173</v>
      </c>
      <c r="Y390">
        <v>0</v>
      </c>
      <c r="Z390" t="e">
        <f t="shared" si="9"/>
        <v>#N/A</v>
      </c>
    </row>
    <row r="391" spans="1:26" x14ac:dyDescent="0.25">
      <c r="A391" t="s">
        <v>2340</v>
      </c>
      <c r="B391">
        <v>53033032402</v>
      </c>
      <c r="C391" t="s">
        <v>2341</v>
      </c>
      <c r="D391">
        <v>6518</v>
      </c>
      <c r="E391">
        <v>6154</v>
      </c>
      <c r="F391">
        <v>364</v>
      </c>
      <c r="G391">
        <v>6518</v>
      </c>
      <c r="H391">
        <v>6154</v>
      </c>
      <c r="I391">
        <v>364</v>
      </c>
      <c r="J391">
        <v>5365</v>
      </c>
      <c r="K391">
        <v>172</v>
      </c>
      <c r="L391">
        <v>268</v>
      </c>
      <c r="M391">
        <v>119</v>
      </c>
      <c r="N391">
        <v>221</v>
      </c>
      <c r="O391">
        <v>0</v>
      </c>
      <c r="P391">
        <v>41</v>
      </c>
      <c r="Q391">
        <v>0</v>
      </c>
      <c r="R391">
        <v>63</v>
      </c>
      <c r="S391">
        <v>38</v>
      </c>
      <c r="T391">
        <v>0</v>
      </c>
      <c r="U391">
        <v>0</v>
      </c>
      <c r="V391">
        <v>43</v>
      </c>
      <c r="W391">
        <v>16</v>
      </c>
      <c r="X391">
        <v>153</v>
      </c>
      <c r="Y391">
        <v>19</v>
      </c>
      <c r="Z391" t="e">
        <f t="shared" si="9"/>
        <v>#N/A</v>
      </c>
    </row>
    <row r="392" spans="1:26" x14ac:dyDescent="0.25">
      <c r="A392" t="s">
        <v>2342</v>
      </c>
      <c r="B392">
        <v>53033032500</v>
      </c>
      <c r="C392" t="s">
        <v>2343</v>
      </c>
      <c r="D392">
        <v>5483</v>
      </c>
      <c r="E392">
        <v>5028</v>
      </c>
      <c r="F392">
        <v>455</v>
      </c>
      <c r="G392">
        <v>5483</v>
      </c>
      <c r="H392">
        <v>5028</v>
      </c>
      <c r="I392">
        <v>455</v>
      </c>
      <c r="J392">
        <v>4532</v>
      </c>
      <c r="K392">
        <v>202</v>
      </c>
      <c r="L392">
        <v>186</v>
      </c>
      <c r="M392">
        <v>121</v>
      </c>
      <c r="N392">
        <v>54</v>
      </c>
      <c r="O392">
        <v>14</v>
      </c>
      <c r="P392">
        <v>0</v>
      </c>
      <c r="Q392">
        <v>10</v>
      </c>
      <c r="R392">
        <v>74</v>
      </c>
      <c r="S392">
        <v>108</v>
      </c>
      <c r="T392">
        <v>32</v>
      </c>
      <c r="U392">
        <v>0</v>
      </c>
      <c r="V392">
        <v>14</v>
      </c>
      <c r="W392">
        <v>0</v>
      </c>
      <c r="X392">
        <v>136</v>
      </c>
      <c r="Y392">
        <v>0</v>
      </c>
      <c r="Z392" t="e">
        <f t="shared" si="9"/>
        <v>#N/A</v>
      </c>
    </row>
    <row r="393" spans="1:26" x14ac:dyDescent="0.25">
      <c r="A393" t="s">
        <v>2344</v>
      </c>
      <c r="B393">
        <v>53033032601</v>
      </c>
      <c r="C393" t="s">
        <v>2345</v>
      </c>
      <c r="D393">
        <v>2792</v>
      </c>
      <c r="E393">
        <v>2601</v>
      </c>
      <c r="F393">
        <v>191</v>
      </c>
      <c r="G393">
        <v>2792</v>
      </c>
      <c r="H393">
        <v>2601</v>
      </c>
      <c r="I393">
        <v>191</v>
      </c>
      <c r="J393">
        <v>2410</v>
      </c>
      <c r="K393">
        <v>78</v>
      </c>
      <c r="L393">
        <v>176</v>
      </c>
      <c r="M393">
        <v>45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66</v>
      </c>
      <c r="T393">
        <v>0</v>
      </c>
      <c r="U393">
        <v>0</v>
      </c>
      <c r="V393">
        <v>15</v>
      </c>
      <c r="W393">
        <v>0</v>
      </c>
      <c r="X393">
        <v>0</v>
      </c>
      <c r="Y393">
        <v>2</v>
      </c>
      <c r="Z393" t="e">
        <f t="shared" si="9"/>
        <v>#N/A</v>
      </c>
    </row>
    <row r="394" spans="1:26" x14ac:dyDescent="0.25">
      <c r="A394" t="s">
        <v>2346</v>
      </c>
      <c r="B394">
        <v>53033032602</v>
      </c>
      <c r="C394" t="s">
        <v>2347</v>
      </c>
      <c r="D394">
        <v>13392</v>
      </c>
      <c r="E394">
        <v>11675</v>
      </c>
      <c r="F394">
        <v>1717</v>
      </c>
      <c r="G394">
        <v>13392</v>
      </c>
      <c r="H394">
        <v>11675</v>
      </c>
      <c r="I394">
        <v>1717</v>
      </c>
      <c r="J394">
        <v>9904</v>
      </c>
      <c r="K394">
        <v>568</v>
      </c>
      <c r="L394">
        <v>257</v>
      </c>
      <c r="M394">
        <v>62</v>
      </c>
      <c r="N394">
        <v>90</v>
      </c>
      <c r="O394">
        <v>22</v>
      </c>
      <c r="P394">
        <v>86</v>
      </c>
      <c r="Q394">
        <v>0</v>
      </c>
      <c r="R394">
        <v>525</v>
      </c>
      <c r="S394">
        <v>1034</v>
      </c>
      <c r="T394">
        <v>0</v>
      </c>
      <c r="U394">
        <v>0</v>
      </c>
      <c r="V394">
        <v>65</v>
      </c>
      <c r="W394">
        <v>15</v>
      </c>
      <c r="X394">
        <v>748</v>
      </c>
      <c r="Y394">
        <v>16</v>
      </c>
      <c r="Z394" t="e">
        <f t="shared" si="9"/>
        <v>#N/A</v>
      </c>
    </row>
    <row r="395" spans="1:26" x14ac:dyDescent="0.25">
      <c r="A395" t="s">
        <v>2348</v>
      </c>
      <c r="B395">
        <v>53033032702</v>
      </c>
      <c r="C395" t="s">
        <v>2349</v>
      </c>
      <c r="D395">
        <v>6638</v>
      </c>
      <c r="E395">
        <v>6303</v>
      </c>
      <c r="F395">
        <v>335</v>
      </c>
      <c r="G395">
        <v>6638</v>
      </c>
      <c r="H395">
        <v>6303</v>
      </c>
      <c r="I395">
        <v>335</v>
      </c>
      <c r="J395">
        <v>5732</v>
      </c>
      <c r="K395">
        <v>249</v>
      </c>
      <c r="L395">
        <v>53</v>
      </c>
      <c r="M395">
        <v>16</v>
      </c>
      <c r="N395">
        <v>212</v>
      </c>
      <c r="O395">
        <v>3</v>
      </c>
      <c r="P395">
        <v>0</v>
      </c>
      <c r="Q395">
        <v>0</v>
      </c>
      <c r="R395">
        <v>36</v>
      </c>
      <c r="S395">
        <v>16</v>
      </c>
      <c r="T395">
        <v>3</v>
      </c>
      <c r="U395">
        <v>0</v>
      </c>
      <c r="V395">
        <v>46</v>
      </c>
      <c r="W395">
        <v>12</v>
      </c>
      <c r="X395">
        <v>221</v>
      </c>
      <c r="Y395">
        <v>39</v>
      </c>
      <c r="Z395" t="e">
        <f t="shared" si="9"/>
        <v>#N/A</v>
      </c>
    </row>
    <row r="396" spans="1:26" x14ac:dyDescent="0.25">
      <c r="A396" t="s">
        <v>2350</v>
      </c>
      <c r="B396">
        <v>53033032703</v>
      </c>
      <c r="C396" t="s">
        <v>2351</v>
      </c>
      <c r="D396">
        <v>2376</v>
      </c>
      <c r="E396">
        <v>2171</v>
      </c>
      <c r="F396">
        <v>205</v>
      </c>
      <c r="G396">
        <v>2376</v>
      </c>
      <c r="H396">
        <v>2171</v>
      </c>
      <c r="I396">
        <v>205</v>
      </c>
      <c r="J396">
        <v>1976</v>
      </c>
      <c r="K396">
        <v>71</v>
      </c>
      <c r="L396">
        <v>139</v>
      </c>
      <c r="M396">
        <v>43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86</v>
      </c>
      <c r="T396">
        <v>0</v>
      </c>
      <c r="U396">
        <v>0</v>
      </c>
      <c r="V396">
        <v>0</v>
      </c>
      <c r="W396">
        <v>0</v>
      </c>
      <c r="X396">
        <v>56</v>
      </c>
      <c r="Y396">
        <v>5</v>
      </c>
      <c r="Z396" t="e">
        <f t="shared" si="9"/>
        <v>#N/A</v>
      </c>
    </row>
    <row r="397" spans="1:26" x14ac:dyDescent="0.25">
      <c r="A397" t="s">
        <v>2352</v>
      </c>
      <c r="B397">
        <v>53033032704</v>
      </c>
      <c r="C397" t="s">
        <v>2353</v>
      </c>
      <c r="D397">
        <v>6641</v>
      </c>
      <c r="E397">
        <v>5798</v>
      </c>
      <c r="F397">
        <v>843</v>
      </c>
      <c r="G397">
        <v>6641</v>
      </c>
      <c r="H397">
        <v>5798</v>
      </c>
      <c r="I397">
        <v>843</v>
      </c>
      <c r="J397">
        <v>5038</v>
      </c>
      <c r="K397">
        <v>327</v>
      </c>
      <c r="L397">
        <v>202</v>
      </c>
      <c r="M397">
        <v>133</v>
      </c>
      <c r="N397">
        <v>80</v>
      </c>
      <c r="O397">
        <v>0</v>
      </c>
      <c r="P397">
        <v>0</v>
      </c>
      <c r="Q397">
        <v>0</v>
      </c>
      <c r="R397">
        <v>13</v>
      </c>
      <c r="S397">
        <v>42</v>
      </c>
      <c r="T397">
        <v>0</v>
      </c>
      <c r="U397">
        <v>0</v>
      </c>
      <c r="V397">
        <v>153</v>
      </c>
      <c r="W397">
        <v>341</v>
      </c>
      <c r="X397">
        <v>312</v>
      </c>
      <c r="Y397">
        <v>0</v>
      </c>
      <c r="Z397" t="e">
        <f t="shared" si="9"/>
        <v>#N/A</v>
      </c>
    </row>
    <row r="398" spans="1:26" x14ac:dyDescent="0.25">
      <c r="A398" t="s">
        <v>2354</v>
      </c>
      <c r="B398">
        <v>53033032800</v>
      </c>
      <c r="C398" t="s">
        <v>2355</v>
      </c>
      <c r="D398">
        <v>2351</v>
      </c>
      <c r="E398">
        <v>2191</v>
      </c>
      <c r="F398">
        <v>160</v>
      </c>
      <c r="G398">
        <v>2351</v>
      </c>
      <c r="H398">
        <v>2191</v>
      </c>
      <c r="I398">
        <v>160</v>
      </c>
      <c r="J398">
        <v>2082</v>
      </c>
      <c r="K398">
        <v>125</v>
      </c>
      <c r="L398">
        <v>67</v>
      </c>
      <c r="M398">
        <v>8</v>
      </c>
      <c r="N398">
        <v>0</v>
      </c>
      <c r="O398">
        <v>8</v>
      </c>
      <c r="P398">
        <v>14</v>
      </c>
      <c r="Q398">
        <v>0</v>
      </c>
      <c r="R398">
        <v>4</v>
      </c>
      <c r="S398">
        <v>6</v>
      </c>
      <c r="T398">
        <v>0</v>
      </c>
      <c r="U398">
        <v>0</v>
      </c>
      <c r="V398">
        <v>0</v>
      </c>
      <c r="W398">
        <v>0</v>
      </c>
      <c r="X398">
        <v>24</v>
      </c>
      <c r="Y398">
        <v>13</v>
      </c>
      <c r="Z398" t="e">
        <f t="shared" si="9"/>
        <v>#N/A</v>
      </c>
    </row>
    <row r="399" spans="1:26" x14ac:dyDescent="0.25">
      <c r="A399" t="s">
        <v>2454</v>
      </c>
      <c r="B399">
        <v>53033990100</v>
      </c>
      <c r="C399" t="s">
        <v>2455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e">
        <f t="shared" si="9"/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0682B-AEF3-4F35-9245-B78374678F1B}">
  <dimension ref="A1:BT519"/>
  <sheetViews>
    <sheetView topLeftCell="BE45" workbookViewId="0">
      <selection activeCell="BB61" sqref="BB61:BT61"/>
    </sheetView>
  </sheetViews>
  <sheetFormatPr defaultRowHeight="15" x14ac:dyDescent="0.25"/>
  <cols>
    <col min="1" max="1" width="14.42578125" customWidth="1"/>
    <col min="3" max="3" width="8.7109375" bestFit="1" customWidth="1"/>
    <col min="6" max="6" width="21.5703125" customWidth="1"/>
    <col min="27" max="27" width="15.140625" customWidth="1"/>
    <col min="29" max="29" width="39.7109375" customWidth="1"/>
    <col min="30" max="30" width="23" customWidth="1"/>
    <col min="31" max="31" width="10.5703125" bestFit="1" customWidth="1"/>
    <col min="32" max="32" width="9.5703125" bestFit="1" customWidth="1"/>
    <col min="33" max="34" width="10.5703125" bestFit="1" customWidth="1"/>
    <col min="35" max="35" width="9.5703125" bestFit="1" customWidth="1"/>
    <col min="36" max="36" width="10.5703125" bestFit="1" customWidth="1"/>
    <col min="37" max="37" width="9.5703125" bestFit="1" customWidth="1"/>
    <col min="38" max="44" width="9.28515625" bestFit="1" customWidth="1"/>
    <col min="45" max="45" width="9.5703125" bestFit="1" customWidth="1"/>
    <col min="46" max="49" width="9.28515625" bestFit="1" customWidth="1"/>
    <col min="50" max="50" width="9.5703125" bestFit="1" customWidth="1"/>
    <col min="51" max="51" width="9.28515625" bestFit="1" customWidth="1"/>
    <col min="53" max="53" width="22.7109375" bestFit="1" customWidth="1"/>
    <col min="54" max="54" width="18.28515625" bestFit="1" customWidth="1"/>
    <col min="55" max="55" width="14.85546875" bestFit="1" customWidth="1"/>
    <col min="56" max="56" width="14.42578125" bestFit="1" customWidth="1"/>
    <col min="57" max="57" width="13.28515625" bestFit="1" customWidth="1"/>
    <col min="58" max="58" width="12.7109375" bestFit="1" customWidth="1"/>
    <col min="59" max="59" width="13.140625" bestFit="1" customWidth="1"/>
    <col min="60" max="60" width="12.5703125" bestFit="1" customWidth="1"/>
    <col min="61" max="61" width="12.28515625" bestFit="1" customWidth="1"/>
    <col min="62" max="68" width="12" bestFit="1" customWidth="1"/>
    <col min="69" max="69" width="12.140625" bestFit="1" customWidth="1"/>
    <col min="70" max="73" width="12" bestFit="1" customWidth="1"/>
  </cols>
  <sheetData>
    <row r="1" spans="1:72" x14ac:dyDescent="0.25">
      <c r="AD1">
        <v>2</v>
      </c>
      <c r="AE1">
        <v>3</v>
      </c>
      <c r="AF1">
        <v>4</v>
      </c>
      <c r="AG1">
        <v>5</v>
      </c>
      <c r="AH1">
        <v>6</v>
      </c>
      <c r="AI1">
        <v>7</v>
      </c>
      <c r="AJ1">
        <v>8</v>
      </c>
      <c r="AK1">
        <v>9</v>
      </c>
      <c r="AL1">
        <v>10</v>
      </c>
      <c r="AM1">
        <v>11</v>
      </c>
      <c r="AN1">
        <v>12</v>
      </c>
      <c r="AO1">
        <v>13</v>
      </c>
      <c r="AP1">
        <v>14</v>
      </c>
      <c r="AQ1">
        <v>15</v>
      </c>
      <c r="AR1">
        <v>16</v>
      </c>
      <c r="AS1">
        <v>17</v>
      </c>
      <c r="AT1">
        <v>18</v>
      </c>
      <c r="AU1">
        <v>19</v>
      </c>
      <c r="AV1">
        <v>20</v>
      </c>
      <c r="AW1">
        <v>21</v>
      </c>
      <c r="AX1">
        <v>22</v>
      </c>
      <c r="AY1">
        <v>23</v>
      </c>
    </row>
    <row r="2" spans="1:72" x14ac:dyDescent="0.25">
      <c r="A2" t="s">
        <v>2895</v>
      </c>
      <c r="B2" t="s">
        <v>2896</v>
      </c>
      <c r="C2" t="s">
        <v>2897</v>
      </c>
      <c r="D2" t="s">
        <v>0</v>
      </c>
      <c r="E2" t="s">
        <v>1</v>
      </c>
      <c r="F2" t="s">
        <v>2496</v>
      </c>
      <c r="G2" t="s">
        <v>2898</v>
      </c>
      <c r="H2" t="s">
        <v>2899</v>
      </c>
      <c r="I2" t="s">
        <v>2900</v>
      </c>
      <c r="J2" t="s">
        <v>2901</v>
      </c>
      <c r="K2" t="s">
        <v>2902</v>
      </c>
      <c r="L2" t="s">
        <v>2903</v>
      </c>
      <c r="M2" t="s">
        <v>2904</v>
      </c>
      <c r="N2" t="s">
        <v>2905</v>
      </c>
      <c r="O2" t="s">
        <v>2906</v>
      </c>
      <c r="P2" t="s">
        <v>2908</v>
      </c>
      <c r="Q2" t="s">
        <v>2909</v>
      </c>
      <c r="R2" t="s">
        <v>2910</v>
      </c>
      <c r="S2" t="s">
        <v>2911</v>
      </c>
      <c r="T2" t="s">
        <v>2912</v>
      </c>
      <c r="U2" t="s">
        <v>2913</v>
      </c>
      <c r="V2" t="s">
        <v>2914</v>
      </c>
      <c r="W2" t="s">
        <v>2915</v>
      </c>
      <c r="X2" t="s">
        <v>2916</v>
      </c>
      <c r="Y2" t="s">
        <v>2893</v>
      </c>
      <c r="Z2" t="s">
        <v>3318</v>
      </c>
      <c r="AB2" t="s">
        <v>2907</v>
      </c>
      <c r="AC2" t="s">
        <v>3317</v>
      </c>
      <c r="AD2" t="s">
        <v>226</v>
      </c>
      <c r="AE2" t="s">
        <v>227</v>
      </c>
      <c r="AF2" t="s">
        <v>228</v>
      </c>
      <c r="AG2" t="s">
        <v>229</v>
      </c>
      <c r="AH2" t="s">
        <v>230</v>
      </c>
      <c r="AI2" t="s">
        <v>231</v>
      </c>
      <c r="AJ2" t="s">
        <v>232</v>
      </c>
      <c r="AK2" t="s">
        <v>233</v>
      </c>
      <c r="AL2" t="s">
        <v>234</v>
      </c>
      <c r="AM2" t="s">
        <v>235</v>
      </c>
      <c r="AN2" t="s">
        <v>236</v>
      </c>
      <c r="AO2" t="s">
        <v>237</v>
      </c>
      <c r="AP2" t="s">
        <v>238</v>
      </c>
      <c r="AQ2" t="s">
        <v>239</v>
      </c>
      <c r="AR2" t="s">
        <v>240</v>
      </c>
      <c r="AS2" t="s">
        <v>241</v>
      </c>
      <c r="AT2" t="s">
        <v>242</v>
      </c>
      <c r="AU2" t="s">
        <v>243</v>
      </c>
      <c r="AV2" t="s">
        <v>244</v>
      </c>
      <c r="AW2" t="s">
        <v>245</v>
      </c>
      <c r="AX2" t="s">
        <v>246</v>
      </c>
      <c r="AY2" t="s">
        <v>247</v>
      </c>
      <c r="BA2" s="1" t="s">
        <v>3319</v>
      </c>
      <c r="BB2" t="s">
        <v>3324</v>
      </c>
      <c r="BC2" t="s">
        <v>3322</v>
      </c>
      <c r="BD2" t="s">
        <v>3323</v>
      </c>
      <c r="BE2" t="s">
        <v>3325</v>
      </c>
      <c r="BF2" t="s">
        <v>3326</v>
      </c>
      <c r="BG2" t="s">
        <v>3327</v>
      </c>
      <c r="BH2" t="s">
        <v>3328</v>
      </c>
      <c r="BI2" t="s">
        <v>3329</v>
      </c>
      <c r="BJ2" t="s">
        <v>3330</v>
      </c>
      <c r="BK2" t="s">
        <v>3331</v>
      </c>
      <c r="BL2" t="s">
        <v>3332</v>
      </c>
      <c r="BM2" t="s">
        <v>3333</v>
      </c>
      <c r="BN2" t="s">
        <v>3334</v>
      </c>
      <c r="BO2" t="s">
        <v>3335</v>
      </c>
      <c r="BP2" t="s">
        <v>3336</v>
      </c>
      <c r="BQ2" t="s">
        <v>3337</v>
      </c>
      <c r="BR2" t="s">
        <v>3338</v>
      </c>
      <c r="BS2" t="s">
        <v>3339</v>
      </c>
      <c r="BT2" t="s">
        <v>3340</v>
      </c>
    </row>
    <row r="3" spans="1:72" x14ac:dyDescent="0.25">
      <c r="A3" t="s">
        <v>2917</v>
      </c>
      <c r="B3" t="s">
        <v>2918</v>
      </c>
      <c r="C3" t="s">
        <v>2919</v>
      </c>
      <c r="D3" t="s">
        <v>2716</v>
      </c>
      <c r="E3" t="s">
        <v>2717</v>
      </c>
      <c r="F3" t="s">
        <v>2718</v>
      </c>
      <c r="G3" t="s">
        <v>2920</v>
      </c>
      <c r="H3" t="s">
        <v>2921</v>
      </c>
      <c r="I3">
        <v>624606</v>
      </c>
      <c r="J3">
        <v>0</v>
      </c>
      <c r="K3" t="s">
        <v>2922</v>
      </c>
      <c r="L3" t="s">
        <v>2923</v>
      </c>
      <c r="M3">
        <v>624606</v>
      </c>
      <c r="N3">
        <v>36</v>
      </c>
      <c r="O3">
        <v>30993.599999999999</v>
      </c>
      <c r="P3" t="s">
        <v>122</v>
      </c>
      <c r="Q3">
        <v>4</v>
      </c>
      <c r="R3">
        <v>5</v>
      </c>
      <c r="S3">
        <v>81</v>
      </c>
      <c r="T3">
        <v>37020968</v>
      </c>
      <c r="U3">
        <v>38</v>
      </c>
      <c r="V3">
        <v>125</v>
      </c>
      <c r="W3">
        <v>30993.600213945359</v>
      </c>
      <c r="X3">
        <v>37020968.872468568</v>
      </c>
      <c r="Y3">
        <v>624231.22400000005</v>
      </c>
      <c r="Z3">
        <f>VLOOKUP($AC3,'2017 Seattle Tracts'!$C$2:$Z$399,24,FALSE)</f>
        <v>624606.14199999999</v>
      </c>
      <c r="AA3">
        <f>Y3/Z3</f>
        <v>0.99939975294062999</v>
      </c>
      <c r="AB3" t="s">
        <v>127</v>
      </c>
      <c r="AC3" t="str">
        <f t="shared" ref="AC3:AC66" si="0">_xlfn.CONCAT(F3, ", King County, Washington")</f>
        <v>Census Tract 38, King County, Washington</v>
      </c>
      <c r="AD3" s="3">
        <f>VLOOKUP($AC3,'2017 Seattle Tracts'!$C$2:$Z$399,AD$1,FALSE)*AA3</f>
        <v>2149.7088685752951</v>
      </c>
      <c r="AE3" s="3">
        <f>VLOOKUP($AC3,'2017 Seattle Tracts'!$C$2:$Z$399,AE$1,FALSE)*AA3</f>
        <v>1885.8673337989687</v>
      </c>
      <c r="AF3" s="3">
        <f>VLOOKUP($AC3,'2017 Seattle Tracts'!$C$2:$Z$399,AF$1,FALSE)*AA3</f>
        <v>263.84153477632634</v>
      </c>
      <c r="AG3" s="3">
        <f>VLOOKUP($AC3,'2017 Seattle Tracts'!$C$2:$Z$399,AG$1,FALSE)*AA3</f>
        <v>2149.7088685752951</v>
      </c>
      <c r="AH3" s="3">
        <f>VLOOKUP($AC3,'2017 Seattle Tracts'!$C$2:$Z$399,AH$1,FALSE)*AA3</f>
        <v>1885.8673337989687</v>
      </c>
      <c r="AI3" s="3">
        <f>VLOOKUP($AC3,'2017 Seattle Tracts'!$C$2:$Z$399,AI$1,FALSE)*AA3</f>
        <v>263.84153477632634</v>
      </c>
      <c r="AJ3" s="3">
        <f>VLOOKUP($AC3,'2017 Seattle Tracts'!$C$2:$Z$399,AJ$1,FALSE)*AA3</f>
        <v>1590.0450069285423</v>
      </c>
      <c r="AK3" s="3">
        <f>VLOOKUP($AC3,'2017 Seattle Tracts'!$C$2:$Z$399,AK$1,FALSE)*AA3</f>
        <v>100.93937504700362</v>
      </c>
      <c r="AL3" s="3">
        <f>VLOOKUP($AC3,'2017 Seattle Tracts'!$C$2:$Z$399,AL$1,FALSE)*AA3</f>
        <v>16.989795799990709</v>
      </c>
      <c r="AM3" s="3">
        <f>VLOOKUP($AC3,'2017 Seattle Tracts'!$C$2:$Z$399,AM$1,FALSE)*AA3</f>
        <v>24.984993823515751</v>
      </c>
      <c r="AN3" s="3">
        <f>VLOOKUP($AC3,'2017 Seattle Tracts'!$C$2:$Z$399,AN$1,FALSE)*AA3</f>
        <v>36.97779085880331</v>
      </c>
      <c r="AO3" s="3">
        <f>VLOOKUP($AC3,'2017 Seattle Tracts'!$C$2:$Z$399,AO$1,FALSE)*AA3</f>
        <v>0</v>
      </c>
      <c r="AP3" s="3">
        <f>VLOOKUP($AC3,'2017 Seattle Tracts'!$C$2:$Z$399,AP$1,FALSE)*AA3</f>
        <v>0.99939975294062999</v>
      </c>
      <c r="AQ3" s="3">
        <f>VLOOKUP($AC3,'2017 Seattle Tracts'!$C$2:$Z$399,AQ$1,FALSE)*AA3</f>
        <v>0</v>
      </c>
      <c r="AR3" s="3">
        <f>VLOOKUP($AC3,'2017 Seattle Tracts'!$C$2:$Z$399,AR$1,FALSE)*AA3</f>
        <v>97.941175788181738</v>
      </c>
      <c r="AS3" s="3">
        <f>VLOOKUP($AC3,'2017 Seattle Tracts'!$C$2:$Z$399,AS$1,FALSE)*AA3</f>
        <v>132.92016714110378</v>
      </c>
      <c r="AT3" s="3">
        <f>VLOOKUP($AC3,'2017 Seattle Tracts'!$C$2:$Z$399,AT$1,FALSE)*AA3</f>
        <v>0</v>
      </c>
      <c r="AU3" s="3">
        <f>VLOOKUP($AC3,'2017 Seattle Tracts'!$C$2:$Z$399,AU$1,FALSE)*AA3</f>
        <v>0</v>
      </c>
      <c r="AV3" s="3">
        <f>VLOOKUP($AC3,'2017 Seattle Tracts'!$C$2:$Z$399,AV$1,FALSE)*AA3</f>
        <v>2.9981992588218898</v>
      </c>
      <c r="AW3" s="3">
        <f>VLOOKUP($AC3,'2017 Seattle Tracts'!$C$2:$Z$399,AW$1,FALSE)*AA3</f>
        <v>0</v>
      </c>
      <c r="AX3" s="3">
        <f>VLOOKUP($AC3,'2017 Seattle Tracts'!$C$2:$Z$399,AX$1,FALSE)*AA3</f>
        <v>139.91596541168821</v>
      </c>
      <c r="AY3" s="3">
        <f>VLOOKUP($AC3,'2017 Seattle Tracts'!$C$2:$Z$399,AY$1,FALSE)*AA3</f>
        <v>4.9969987647031502</v>
      </c>
      <c r="BA3" s="2" t="s">
        <v>118</v>
      </c>
      <c r="BB3">
        <v>9192.2441571632298</v>
      </c>
      <c r="BC3">
        <v>8154.064198267507</v>
      </c>
      <c r="BD3">
        <v>1038.1799588957228</v>
      </c>
      <c r="BE3">
        <v>6936.7142744718749</v>
      </c>
      <c r="BF3">
        <v>469.63442593013974</v>
      </c>
      <c r="BG3">
        <v>256.25869641930871</v>
      </c>
      <c r="BH3">
        <v>72.77406132588915</v>
      </c>
      <c r="BI3">
        <v>97.949737025806542</v>
      </c>
      <c r="BJ3">
        <v>32.695849666256024</v>
      </c>
      <c r="BK3">
        <v>13.461777662644266</v>
      </c>
      <c r="BL3">
        <v>0</v>
      </c>
      <c r="BM3">
        <v>312.8305134781811</v>
      </c>
      <c r="BN3">
        <v>303.47799995354842</v>
      </c>
      <c r="BO3">
        <v>0</v>
      </c>
      <c r="BP3">
        <v>0</v>
      </c>
      <c r="BQ3">
        <v>47.540326339870575</v>
      </c>
      <c r="BR3">
        <v>84.999626565423824</v>
      </c>
      <c r="BS3">
        <v>489.3088728698209</v>
      </c>
      <c r="BT3">
        <v>74.597995454465604</v>
      </c>
    </row>
    <row r="4" spans="1:72" x14ac:dyDescent="0.25">
      <c r="A4" t="s">
        <v>2917</v>
      </c>
      <c r="B4" t="s">
        <v>2918</v>
      </c>
      <c r="C4" t="s">
        <v>2919</v>
      </c>
      <c r="D4" t="s">
        <v>2716</v>
      </c>
      <c r="E4" t="s">
        <v>2717</v>
      </c>
      <c r="F4" t="s">
        <v>2718</v>
      </c>
      <c r="G4" t="s">
        <v>2920</v>
      </c>
      <c r="H4" t="s">
        <v>2921</v>
      </c>
      <c r="I4">
        <v>624606</v>
      </c>
      <c r="J4">
        <v>0</v>
      </c>
      <c r="K4" t="s">
        <v>2922</v>
      </c>
      <c r="L4" t="s">
        <v>2923</v>
      </c>
      <c r="M4">
        <v>624606</v>
      </c>
      <c r="N4">
        <v>38</v>
      </c>
      <c r="O4">
        <v>20928.002</v>
      </c>
      <c r="P4" t="s">
        <v>122</v>
      </c>
      <c r="Q4">
        <v>4</v>
      </c>
      <c r="R4">
        <v>5</v>
      </c>
      <c r="S4">
        <v>24</v>
      </c>
      <c r="T4">
        <v>15485078</v>
      </c>
      <c r="U4">
        <v>40</v>
      </c>
      <c r="V4">
        <v>128</v>
      </c>
      <c r="W4">
        <v>20928.00172430617</v>
      </c>
      <c r="X4">
        <v>15485078.03322144</v>
      </c>
      <c r="Y4">
        <v>236.583</v>
      </c>
      <c r="Z4">
        <f>VLOOKUP($AC4,'2017 Seattle Tracts'!$C$2:$Z$399,24,FALSE)</f>
        <v>624606.14199999999</v>
      </c>
      <c r="AA4">
        <f t="shared" ref="AA4:AA67" si="1">Y4/Z4</f>
        <v>3.7877149149135328E-4</v>
      </c>
      <c r="AB4" t="s">
        <v>129</v>
      </c>
      <c r="AC4" t="str">
        <f t="shared" si="0"/>
        <v>Census Tract 38, King County, Washington</v>
      </c>
      <c r="AD4">
        <f>VLOOKUP($AC4,'2017 Seattle Tracts'!$C$2:$Z$399,AD$1,FALSE)*AA4</f>
        <v>0.81473747819790088</v>
      </c>
      <c r="AE4">
        <f>VLOOKUP($AC4,'2017 Seattle Tracts'!$C$2:$Z$399,AE$1,FALSE)*AA4</f>
        <v>0.71474180444418367</v>
      </c>
      <c r="AF4">
        <f>VLOOKUP($AC4,'2017 Seattle Tracts'!$C$2:$Z$399,AF$1,FALSE)*AA4</f>
        <v>9.9995673753717262E-2</v>
      </c>
      <c r="AG4">
        <f>VLOOKUP($AC4,'2017 Seattle Tracts'!$C$2:$Z$399,AG$1,FALSE)*AA4</f>
        <v>0.81473747819790088</v>
      </c>
      <c r="AH4">
        <f>VLOOKUP($AC4,'2017 Seattle Tracts'!$C$2:$Z$399,AH$1,FALSE)*AA4</f>
        <v>0.71474180444418367</v>
      </c>
      <c r="AI4">
        <f>VLOOKUP($AC4,'2017 Seattle Tracts'!$C$2:$Z$399,AI$1,FALSE)*AA4</f>
        <v>9.9995673753717262E-2</v>
      </c>
      <c r="AJ4">
        <f>VLOOKUP($AC4,'2017 Seattle Tracts'!$C$2:$Z$399,AJ$1,FALSE)*AA4</f>
        <v>0.60262544296274312</v>
      </c>
      <c r="AK4">
        <f>VLOOKUP($AC4,'2017 Seattle Tracts'!$C$2:$Z$399,AK$1,FALSE)*AA4</f>
        <v>3.8255920640626682E-2</v>
      </c>
      <c r="AL4">
        <f>VLOOKUP($AC4,'2017 Seattle Tracts'!$C$2:$Z$399,AL$1,FALSE)*AA4</f>
        <v>6.4391153553530062E-3</v>
      </c>
      <c r="AM4">
        <f>VLOOKUP($AC4,'2017 Seattle Tracts'!$C$2:$Z$399,AM$1,FALSE)*AA4</f>
        <v>9.469287287283832E-3</v>
      </c>
      <c r="AN4">
        <f>VLOOKUP($AC4,'2017 Seattle Tracts'!$C$2:$Z$399,AN$1,FALSE)*AA4</f>
        <v>1.4014545185180071E-2</v>
      </c>
      <c r="AO4">
        <f>VLOOKUP($AC4,'2017 Seattle Tracts'!$C$2:$Z$399,AO$1,FALSE)*AA4</f>
        <v>0</v>
      </c>
      <c r="AP4">
        <f>VLOOKUP($AC4,'2017 Seattle Tracts'!$C$2:$Z$399,AP$1,FALSE)*AA4</f>
        <v>3.7877149149135328E-4</v>
      </c>
      <c r="AQ4">
        <f>VLOOKUP($AC4,'2017 Seattle Tracts'!$C$2:$Z$399,AQ$1,FALSE)*AA4</f>
        <v>0</v>
      </c>
      <c r="AR4">
        <f>VLOOKUP($AC4,'2017 Seattle Tracts'!$C$2:$Z$399,AR$1,FALSE)*AA4</f>
        <v>3.7119606166152619E-2</v>
      </c>
      <c r="AS4">
        <f>VLOOKUP($AC4,'2017 Seattle Tracts'!$C$2:$Z$399,AS$1,FALSE)*AA4</f>
        <v>5.0376608368349986E-2</v>
      </c>
      <c r="AT4">
        <f>VLOOKUP($AC4,'2017 Seattle Tracts'!$C$2:$Z$399,AT$1,FALSE)*AA4</f>
        <v>0</v>
      </c>
      <c r="AU4">
        <f>VLOOKUP($AC4,'2017 Seattle Tracts'!$C$2:$Z$399,AU$1,FALSE)*AA4</f>
        <v>0</v>
      </c>
      <c r="AV4">
        <f>VLOOKUP($AC4,'2017 Seattle Tracts'!$C$2:$Z$399,AV$1,FALSE)*AA4</f>
        <v>1.1363144744740599E-3</v>
      </c>
      <c r="AW4">
        <f>VLOOKUP($AC4,'2017 Seattle Tracts'!$C$2:$Z$399,AW$1,FALSE)*AA4</f>
        <v>0</v>
      </c>
      <c r="AX4">
        <f>VLOOKUP($AC4,'2017 Seattle Tracts'!$C$2:$Z$399,AX$1,FALSE)*AA4</f>
        <v>5.302800880878946E-2</v>
      </c>
      <c r="AY4">
        <f>VLOOKUP($AC4,'2017 Seattle Tracts'!$C$2:$Z$399,AY$1,FALSE)*AA4</f>
        <v>1.8938574574567664E-3</v>
      </c>
      <c r="BA4" s="2" t="s">
        <v>173</v>
      </c>
      <c r="BB4">
        <v>7593.2419275566544</v>
      </c>
      <c r="BC4">
        <v>6576.7830185528592</v>
      </c>
      <c r="BD4">
        <v>1016.4589090037962</v>
      </c>
      <c r="BE4">
        <v>5471.8206807639353</v>
      </c>
      <c r="BF4">
        <v>540.20554294620501</v>
      </c>
      <c r="BG4">
        <v>314.13984006377422</v>
      </c>
      <c r="BH4">
        <v>72.531847215015361</v>
      </c>
      <c r="BI4">
        <v>126.97223391293599</v>
      </c>
      <c r="BJ4">
        <v>8.7772189246594028</v>
      </c>
      <c r="BK4">
        <v>35.794870310089692</v>
      </c>
      <c r="BL4">
        <v>3.5005879189218078E-4</v>
      </c>
      <c r="BM4">
        <v>131.94358013881609</v>
      </c>
      <c r="BN4">
        <v>340.93310185383399</v>
      </c>
      <c r="BO4">
        <v>4.3084159002114555E-4</v>
      </c>
      <c r="BP4">
        <v>0</v>
      </c>
      <c r="BQ4">
        <v>91.689767080522827</v>
      </c>
      <c r="BR4">
        <v>30.486790798365309</v>
      </c>
      <c r="BS4">
        <v>404.42161544119358</v>
      </c>
      <c r="BT4">
        <v>23.524057206925242</v>
      </c>
    </row>
    <row r="5" spans="1:72" x14ac:dyDescent="0.25">
      <c r="A5" t="s">
        <v>2917</v>
      </c>
      <c r="B5" t="s">
        <v>2918</v>
      </c>
      <c r="C5" t="s">
        <v>2919</v>
      </c>
      <c r="D5" t="s">
        <v>2716</v>
      </c>
      <c r="E5" t="s">
        <v>2717</v>
      </c>
      <c r="F5" t="s">
        <v>2718</v>
      </c>
      <c r="G5" t="s">
        <v>2920</v>
      </c>
      <c r="H5" t="s">
        <v>2921</v>
      </c>
      <c r="I5">
        <v>624606</v>
      </c>
      <c r="J5">
        <v>0</v>
      </c>
      <c r="K5" t="s">
        <v>2922</v>
      </c>
      <c r="L5" t="s">
        <v>2923</v>
      </c>
      <c r="M5">
        <v>624606</v>
      </c>
      <c r="N5">
        <v>96</v>
      </c>
      <c r="O5">
        <v>23840.219000000001</v>
      </c>
      <c r="P5" t="s">
        <v>122</v>
      </c>
      <c r="Q5">
        <v>4</v>
      </c>
      <c r="R5">
        <v>5</v>
      </c>
      <c r="S5">
        <v>23</v>
      </c>
      <c r="T5">
        <v>30599714</v>
      </c>
      <c r="U5">
        <v>98</v>
      </c>
      <c r="V5">
        <v>117</v>
      </c>
      <c r="W5">
        <v>23840.218727432399</v>
      </c>
      <c r="X5">
        <v>30599713.626058389</v>
      </c>
      <c r="Y5">
        <v>138.33500000000001</v>
      </c>
      <c r="Z5">
        <f>VLOOKUP($AC5,'2017 Seattle Tracts'!$C$2:$Z$399,24,FALSE)</f>
        <v>624606.14199999999</v>
      </c>
      <c r="AA5">
        <f t="shared" si="1"/>
        <v>2.2147556787874176E-4</v>
      </c>
      <c r="AB5" t="s">
        <v>199</v>
      </c>
      <c r="AC5" t="str">
        <f t="shared" si="0"/>
        <v>Census Tract 38, King County, Washington</v>
      </c>
      <c r="AD5">
        <f>VLOOKUP($AC5,'2017 Seattle Tracts'!$C$2:$Z$399,AD$1,FALSE)*AA5</f>
        <v>0.47639394650717354</v>
      </c>
      <c r="AE5">
        <f>VLOOKUP($AC5,'2017 Seattle Tracts'!$C$2:$Z$399,AE$1,FALSE)*AA5</f>
        <v>0.41792439658718566</v>
      </c>
      <c r="AF5">
        <f>VLOOKUP($AC5,'2017 Seattle Tracts'!$C$2:$Z$399,AF$1,FALSE)*AA5</f>
        <v>5.8469549919987825E-2</v>
      </c>
      <c r="AG5">
        <f>VLOOKUP($AC5,'2017 Seattle Tracts'!$C$2:$Z$399,AG$1,FALSE)*AA5</f>
        <v>0.47639394650717354</v>
      </c>
      <c r="AH5">
        <f>VLOOKUP($AC5,'2017 Seattle Tracts'!$C$2:$Z$399,AH$1,FALSE)*AA5</f>
        <v>0.41792439658718566</v>
      </c>
      <c r="AI5">
        <f>VLOOKUP($AC5,'2017 Seattle Tracts'!$C$2:$Z$399,AI$1,FALSE)*AA5</f>
        <v>5.8469549919987825E-2</v>
      </c>
      <c r="AJ5">
        <f>VLOOKUP($AC5,'2017 Seattle Tracts'!$C$2:$Z$399,AJ$1,FALSE)*AA5</f>
        <v>0.35236762849507813</v>
      </c>
      <c r="AK5">
        <f>VLOOKUP($AC5,'2017 Seattle Tracts'!$C$2:$Z$399,AK$1,FALSE)*AA5</f>
        <v>2.2369032355752917E-2</v>
      </c>
      <c r="AL5">
        <f>VLOOKUP($AC5,'2017 Seattle Tracts'!$C$2:$Z$399,AL$1,FALSE)*AA5</f>
        <v>3.76508465393861E-3</v>
      </c>
      <c r="AM5">
        <f>VLOOKUP($AC5,'2017 Seattle Tracts'!$C$2:$Z$399,AM$1,FALSE)*AA5</f>
        <v>5.5368891969685436E-3</v>
      </c>
      <c r="AN5">
        <f>VLOOKUP($AC5,'2017 Seattle Tracts'!$C$2:$Z$399,AN$1,FALSE)*AA5</f>
        <v>8.1945960115134449E-3</v>
      </c>
      <c r="AO5">
        <f>VLOOKUP($AC5,'2017 Seattle Tracts'!$C$2:$Z$399,AO$1,FALSE)*AA5</f>
        <v>0</v>
      </c>
      <c r="AP5">
        <f>VLOOKUP($AC5,'2017 Seattle Tracts'!$C$2:$Z$399,AP$1,FALSE)*AA5</f>
        <v>2.2147556787874176E-4</v>
      </c>
      <c r="AQ5">
        <f>VLOOKUP($AC5,'2017 Seattle Tracts'!$C$2:$Z$399,AQ$1,FALSE)*AA5</f>
        <v>0</v>
      </c>
      <c r="AR5">
        <f>VLOOKUP($AC5,'2017 Seattle Tracts'!$C$2:$Z$399,AR$1,FALSE)*AA5</f>
        <v>2.1704605652116692E-2</v>
      </c>
      <c r="AS5">
        <f>VLOOKUP($AC5,'2017 Seattle Tracts'!$C$2:$Z$399,AS$1,FALSE)*AA5</f>
        <v>2.9456250527872655E-2</v>
      </c>
      <c r="AT5">
        <f>VLOOKUP($AC5,'2017 Seattle Tracts'!$C$2:$Z$399,AT$1,FALSE)*AA5</f>
        <v>0</v>
      </c>
      <c r="AU5">
        <f>VLOOKUP($AC5,'2017 Seattle Tracts'!$C$2:$Z$399,AU$1,FALSE)*AA5</f>
        <v>0</v>
      </c>
      <c r="AV5">
        <f>VLOOKUP($AC5,'2017 Seattle Tracts'!$C$2:$Z$399,AV$1,FALSE)*AA5</f>
        <v>6.6442670363622532E-4</v>
      </c>
      <c r="AW5">
        <f>VLOOKUP($AC5,'2017 Seattle Tracts'!$C$2:$Z$399,AW$1,FALSE)*AA5</f>
        <v>0</v>
      </c>
      <c r="AX5">
        <f>VLOOKUP($AC5,'2017 Seattle Tracts'!$C$2:$Z$399,AX$1,FALSE)*AA5</f>
        <v>3.1006579503023844E-2</v>
      </c>
      <c r="AY5">
        <f>VLOOKUP($AC5,'2017 Seattle Tracts'!$C$2:$Z$399,AY$1,FALSE)*AA5</f>
        <v>1.1073778393937087E-3</v>
      </c>
      <c r="BA5" s="2" t="s">
        <v>172</v>
      </c>
      <c r="BB5">
        <v>5140.9317473660094</v>
      </c>
      <c r="BC5">
        <v>4719.7856572528508</v>
      </c>
      <c r="BD5">
        <v>421.14609011315883</v>
      </c>
      <c r="BE5">
        <v>3768.383771838799</v>
      </c>
      <c r="BF5">
        <v>201.60511094198571</v>
      </c>
      <c r="BG5">
        <v>105.85256356830008</v>
      </c>
      <c r="BH5">
        <v>10.950115395058258</v>
      </c>
      <c r="BI5">
        <v>257.00600813200742</v>
      </c>
      <c r="BJ5">
        <v>57.933019991271912</v>
      </c>
      <c r="BK5">
        <v>113.36735525118596</v>
      </c>
      <c r="BL5">
        <v>3.5192594114471514E-3</v>
      </c>
      <c r="BM5">
        <v>68.696255257049231</v>
      </c>
      <c r="BN5">
        <v>49.461399876927828</v>
      </c>
      <c r="BO5">
        <v>22.800005555615176</v>
      </c>
      <c r="BP5">
        <v>68.255078090400204</v>
      </c>
      <c r="BQ5">
        <v>98.015007108062605</v>
      </c>
      <c r="BR5">
        <v>21.036465701394761</v>
      </c>
      <c r="BS5">
        <v>285.66469054183051</v>
      </c>
      <c r="BT5">
        <v>11.901380856708746</v>
      </c>
    </row>
    <row r="6" spans="1:72" x14ac:dyDescent="0.25">
      <c r="A6" t="s">
        <v>2917</v>
      </c>
      <c r="B6" t="s">
        <v>2918</v>
      </c>
      <c r="C6" t="s">
        <v>2924</v>
      </c>
      <c r="D6" t="s">
        <v>2569</v>
      </c>
      <c r="E6" t="s">
        <v>2570</v>
      </c>
      <c r="F6" t="s">
        <v>2571</v>
      </c>
      <c r="G6" t="s">
        <v>2920</v>
      </c>
      <c r="H6" t="s">
        <v>2921</v>
      </c>
      <c r="I6">
        <v>698477</v>
      </c>
      <c r="J6">
        <v>0</v>
      </c>
      <c r="K6" t="s">
        <v>2925</v>
      </c>
      <c r="L6" t="s">
        <v>2926</v>
      </c>
      <c r="M6">
        <v>698472</v>
      </c>
      <c r="N6">
        <v>55</v>
      </c>
      <c r="O6">
        <v>18241.548999999999</v>
      </c>
      <c r="P6" t="s">
        <v>149</v>
      </c>
      <c r="Q6">
        <v>14</v>
      </c>
      <c r="R6">
        <v>8</v>
      </c>
      <c r="S6">
        <v>94</v>
      </c>
      <c r="T6">
        <v>17933144</v>
      </c>
      <c r="U6">
        <v>57</v>
      </c>
      <c r="V6">
        <v>157</v>
      </c>
      <c r="W6">
        <v>18241.548785981169</v>
      </c>
      <c r="X6">
        <v>17933144.708401948</v>
      </c>
      <c r="Y6">
        <v>539982.86100000003</v>
      </c>
      <c r="Z6">
        <f>VLOOKUP($AC6,'2017 Seattle Tracts'!$C$2:$Z$399,24,FALSE)</f>
        <v>698472.05900000001</v>
      </c>
      <c r="AA6">
        <f t="shared" si="1"/>
        <v>0.7730915704388972</v>
      </c>
      <c r="AB6" t="s">
        <v>151</v>
      </c>
      <c r="AC6" t="str">
        <f t="shared" si="0"/>
        <v>Census Tract 79, King County, Washington</v>
      </c>
      <c r="AD6">
        <f>VLOOKUP($AC6,'2017 Seattle Tracts'!$C$2:$Z$399,AD$1,FALSE)*AA6</f>
        <v>4900.6274650121695</v>
      </c>
      <c r="AE6">
        <f>VLOOKUP($AC6,'2017 Seattle Tracts'!$C$2:$Z$399,AE$1,FALSE)*AA6</f>
        <v>4006.1605180143652</v>
      </c>
      <c r="AF6">
        <f>VLOOKUP($AC6,'2017 Seattle Tracts'!$C$2:$Z$399,AF$1,FALSE)*AA6</f>
        <v>894.46694699780403</v>
      </c>
      <c r="AG6">
        <f>VLOOKUP($AC6,'2017 Seattle Tracts'!$C$2:$Z$399,AG$1,FALSE)*AA6</f>
        <v>4900.6274650121695</v>
      </c>
      <c r="AH6">
        <f>VLOOKUP($AC6,'2017 Seattle Tracts'!$C$2:$Z$399,AH$1,FALSE)*AA6</f>
        <v>4006.1605180143652</v>
      </c>
      <c r="AI6">
        <f>VLOOKUP($AC6,'2017 Seattle Tracts'!$C$2:$Z$399,AI$1,FALSE)*AA6</f>
        <v>894.46694699780403</v>
      </c>
      <c r="AJ6">
        <f>VLOOKUP($AC6,'2017 Seattle Tracts'!$C$2:$Z$399,AJ$1,FALSE)*AA6</f>
        <v>3109.3742963052446</v>
      </c>
      <c r="AK6">
        <f>VLOOKUP($AC6,'2017 Seattle Tracts'!$C$2:$Z$399,AK$1,FALSE)*AA6</f>
        <v>468.49349168597172</v>
      </c>
      <c r="AL6">
        <f>VLOOKUP($AC6,'2017 Seattle Tracts'!$C$2:$Z$399,AL$1,FALSE)*AA6</f>
        <v>93.544080023106559</v>
      </c>
      <c r="AM6">
        <f>VLOOKUP($AC6,'2017 Seattle Tracts'!$C$2:$Z$399,AM$1,FALSE)*AA6</f>
        <v>39.427670092383757</v>
      </c>
      <c r="AN6">
        <f>VLOOKUP($AC6,'2017 Seattle Tracts'!$C$2:$Z$399,AN$1,FALSE)*AA6</f>
        <v>411.28471547349329</v>
      </c>
      <c r="AO6">
        <f>VLOOKUP($AC6,'2017 Seattle Tracts'!$C$2:$Z$399,AO$1,FALSE)*AA6</f>
        <v>148.43358152426828</v>
      </c>
      <c r="AP6">
        <f>VLOOKUP($AC6,'2017 Seattle Tracts'!$C$2:$Z$399,AP$1,FALSE)*AA6</f>
        <v>49.477860508089421</v>
      </c>
      <c r="AQ6">
        <f>VLOOKUP($AC6,'2017 Seattle Tracts'!$C$2:$Z$399,AQ$1,FALSE)*AA6</f>
        <v>0</v>
      </c>
      <c r="AR6">
        <f>VLOOKUP($AC6,'2017 Seattle Tracts'!$C$2:$Z$399,AR$1,FALSE)*AA6</f>
        <v>174.71869491919077</v>
      </c>
      <c r="AS6">
        <f>VLOOKUP($AC6,'2017 Seattle Tracts'!$C$2:$Z$399,AS$1,FALSE)*AA6</f>
        <v>169.3070539261185</v>
      </c>
      <c r="AT6">
        <f>VLOOKUP($AC6,'2017 Seattle Tracts'!$C$2:$Z$399,AT$1,FALSE)*AA6</f>
        <v>5.4116409930722806</v>
      </c>
      <c r="AU6">
        <f>VLOOKUP($AC6,'2017 Seattle Tracts'!$C$2:$Z$399,AU$1,FALSE)*AA6</f>
        <v>0.7730915704388972</v>
      </c>
      <c r="AV6">
        <f>VLOOKUP($AC6,'2017 Seattle Tracts'!$C$2:$Z$399,AV$1,FALSE)*AA6</f>
        <v>16.23492297921684</v>
      </c>
      <c r="AW6">
        <f>VLOOKUP($AC6,'2017 Seattle Tracts'!$C$2:$Z$399,AW$1,FALSE)*AA6</f>
        <v>32.46984595843368</v>
      </c>
      <c r="AX6">
        <f>VLOOKUP($AC6,'2017 Seattle Tracts'!$C$2:$Z$399,AX$1,FALSE)*AA6</f>
        <v>146.11430681295158</v>
      </c>
      <c r="AY6">
        <f>VLOOKUP($AC6,'2017 Seattle Tracts'!$C$2:$Z$399,AY$1,FALSE)*AA6</f>
        <v>35.562212240189268</v>
      </c>
      <c r="BA6" s="2" t="s">
        <v>154</v>
      </c>
      <c r="BB6">
        <v>7512.4275440666042</v>
      </c>
      <c r="BC6">
        <v>5322.2998855835294</v>
      </c>
      <c r="BD6">
        <v>2190.1276584830753</v>
      </c>
      <c r="BE6">
        <v>2929.9606192109818</v>
      </c>
      <c r="BF6">
        <v>275.66034499104796</v>
      </c>
      <c r="BG6">
        <v>139.59682729951464</v>
      </c>
      <c r="BH6">
        <v>62.745494006137633</v>
      </c>
      <c r="BI6">
        <v>1090.7971920583882</v>
      </c>
      <c r="BJ6">
        <v>545.38554300050919</v>
      </c>
      <c r="BK6">
        <v>64.727809826077262</v>
      </c>
      <c r="BL6">
        <v>11.521682937391084</v>
      </c>
      <c r="BM6">
        <v>467.58992480734446</v>
      </c>
      <c r="BN6">
        <v>1028.0877482246485</v>
      </c>
      <c r="BO6">
        <v>12.443872842258529</v>
      </c>
      <c r="BP6">
        <v>3.9320517746683645E-2</v>
      </c>
      <c r="BQ6">
        <v>68.592701065907349</v>
      </c>
      <c r="BR6">
        <v>161.30884352446301</v>
      </c>
      <c r="BS6">
        <v>548.59093847305724</v>
      </c>
      <c r="BT6">
        <v>105.37868128113095</v>
      </c>
    </row>
    <row r="7" spans="1:72" x14ac:dyDescent="0.25">
      <c r="A7" t="s">
        <v>2917</v>
      </c>
      <c r="B7" t="s">
        <v>2918</v>
      </c>
      <c r="C7" t="s">
        <v>2924</v>
      </c>
      <c r="D7" t="s">
        <v>2569</v>
      </c>
      <c r="E7" t="s">
        <v>2570</v>
      </c>
      <c r="F7" t="s">
        <v>2571</v>
      </c>
      <c r="G7" t="s">
        <v>2920</v>
      </c>
      <c r="H7" t="s">
        <v>2921</v>
      </c>
      <c r="I7">
        <v>698477</v>
      </c>
      <c r="J7">
        <v>0</v>
      </c>
      <c r="K7" t="s">
        <v>2925</v>
      </c>
      <c r="L7" t="s">
        <v>2926</v>
      </c>
      <c r="M7">
        <v>698472</v>
      </c>
      <c r="N7">
        <v>100</v>
      </c>
      <c r="O7">
        <v>26851.947</v>
      </c>
      <c r="P7" t="s">
        <v>201</v>
      </c>
      <c r="Q7">
        <v>11</v>
      </c>
      <c r="R7">
        <v>3</v>
      </c>
      <c r="S7">
        <v>0</v>
      </c>
      <c r="T7">
        <v>30239240</v>
      </c>
      <c r="U7">
        <v>102</v>
      </c>
      <c r="V7">
        <v>151</v>
      </c>
      <c r="W7">
        <v>26851.9474418256</v>
      </c>
      <c r="X7">
        <v>30239240.52129779</v>
      </c>
      <c r="Y7">
        <v>128.03200000000001</v>
      </c>
      <c r="Z7">
        <f>VLOOKUP($AC7,'2017 Seattle Tracts'!$C$2:$Z$399,24,FALSE)</f>
        <v>698472.05900000001</v>
      </c>
      <c r="AA7">
        <f t="shared" si="1"/>
        <v>1.8330296588141691E-4</v>
      </c>
      <c r="AB7" t="s">
        <v>204</v>
      </c>
      <c r="AC7" t="str">
        <f t="shared" si="0"/>
        <v>Census Tract 79, King County, Washington</v>
      </c>
      <c r="AD7">
        <f>VLOOKUP($AC7,'2017 Seattle Tracts'!$C$2:$Z$399,AD$1,FALSE)*AA7</f>
        <v>1.1619575007223018</v>
      </c>
      <c r="AE7">
        <f>VLOOKUP($AC7,'2017 Seattle Tracts'!$C$2:$Z$399,AE$1,FALSE)*AA7</f>
        <v>0.94987596919750239</v>
      </c>
      <c r="AF7">
        <f>VLOOKUP($AC7,'2017 Seattle Tracts'!$C$2:$Z$399,AF$1,FALSE)*AA7</f>
        <v>0.21208153152479936</v>
      </c>
      <c r="AG7">
        <f>VLOOKUP($AC7,'2017 Seattle Tracts'!$C$2:$Z$399,AG$1,FALSE)*AA7</f>
        <v>1.1619575007223018</v>
      </c>
      <c r="AH7">
        <f>VLOOKUP($AC7,'2017 Seattle Tracts'!$C$2:$Z$399,AH$1,FALSE)*AA7</f>
        <v>0.94987596919750239</v>
      </c>
      <c r="AI7">
        <f>VLOOKUP($AC7,'2017 Seattle Tracts'!$C$2:$Z$399,AI$1,FALSE)*AA7</f>
        <v>0.21208153152479936</v>
      </c>
      <c r="AJ7">
        <f>VLOOKUP($AC7,'2017 Seattle Tracts'!$C$2:$Z$399,AJ$1,FALSE)*AA7</f>
        <v>0.73724452877505886</v>
      </c>
      <c r="AK7">
        <f>VLOOKUP($AC7,'2017 Seattle Tracts'!$C$2:$Z$399,AK$1,FALSE)*AA7</f>
        <v>0.11108159732413865</v>
      </c>
      <c r="AL7">
        <f>VLOOKUP($AC7,'2017 Seattle Tracts'!$C$2:$Z$399,AL$1,FALSE)*AA7</f>
        <v>2.2179658871651447E-2</v>
      </c>
      <c r="AM7">
        <f>VLOOKUP($AC7,'2017 Seattle Tracts'!$C$2:$Z$399,AM$1,FALSE)*AA7</f>
        <v>9.3484512599522618E-3</v>
      </c>
      <c r="AN7">
        <f>VLOOKUP($AC7,'2017 Seattle Tracts'!$C$2:$Z$399,AN$1,FALSE)*AA7</f>
        <v>9.7517177848913797E-2</v>
      </c>
      <c r="AO7">
        <f>VLOOKUP($AC7,'2017 Seattle Tracts'!$C$2:$Z$399,AO$1,FALSE)*AA7</f>
        <v>3.5194169449232045E-2</v>
      </c>
      <c r="AP7">
        <f>VLOOKUP($AC7,'2017 Seattle Tracts'!$C$2:$Z$399,AP$1,FALSE)*AA7</f>
        <v>1.1731389816410682E-2</v>
      </c>
      <c r="AQ7">
        <f>VLOOKUP($AC7,'2017 Seattle Tracts'!$C$2:$Z$399,AQ$1,FALSE)*AA7</f>
        <v>0</v>
      </c>
      <c r="AR7">
        <f>VLOOKUP($AC7,'2017 Seattle Tracts'!$C$2:$Z$399,AR$1,FALSE)*AA7</f>
        <v>4.1426470289200219E-2</v>
      </c>
      <c r="AS7">
        <f>VLOOKUP($AC7,'2017 Seattle Tracts'!$C$2:$Z$399,AS$1,FALSE)*AA7</f>
        <v>4.0143349528030302E-2</v>
      </c>
      <c r="AT7">
        <f>VLOOKUP($AC7,'2017 Seattle Tracts'!$C$2:$Z$399,AT$1,FALSE)*AA7</f>
        <v>1.2831207611699183E-3</v>
      </c>
      <c r="AU7">
        <f>VLOOKUP($AC7,'2017 Seattle Tracts'!$C$2:$Z$399,AU$1,FALSE)*AA7</f>
        <v>1.8330296588141691E-4</v>
      </c>
      <c r="AV7">
        <f>VLOOKUP($AC7,'2017 Seattle Tracts'!$C$2:$Z$399,AV$1,FALSE)*AA7</f>
        <v>3.849362283509755E-3</v>
      </c>
      <c r="AW7">
        <f>VLOOKUP($AC7,'2017 Seattle Tracts'!$C$2:$Z$399,AW$1,FALSE)*AA7</f>
        <v>7.69872456701951E-3</v>
      </c>
      <c r="AX7">
        <f>VLOOKUP($AC7,'2017 Seattle Tracts'!$C$2:$Z$399,AX$1,FALSE)*AA7</f>
        <v>3.4644260551587792E-2</v>
      </c>
      <c r="AY7">
        <f>VLOOKUP($AC7,'2017 Seattle Tracts'!$C$2:$Z$399,AY$1,FALSE)*AA7</f>
        <v>8.4319364305451786E-3</v>
      </c>
      <c r="BA7" s="2" t="s">
        <v>157</v>
      </c>
      <c r="BB7">
        <v>15177.685144255536</v>
      </c>
      <c r="BC7">
        <v>10395.957029917476</v>
      </c>
      <c r="BD7">
        <v>4781.7281143380605</v>
      </c>
      <c r="BE7">
        <v>7500.2428728353461</v>
      </c>
      <c r="BF7">
        <v>1436.4060669298224</v>
      </c>
      <c r="BG7">
        <v>480.85258679262978</v>
      </c>
      <c r="BH7">
        <v>220.96141591823647</v>
      </c>
      <c r="BI7">
        <v>837.26555046682608</v>
      </c>
      <c r="BJ7">
        <v>275.48627679425897</v>
      </c>
      <c r="BK7">
        <v>93.89999559856426</v>
      </c>
      <c r="BL7">
        <v>15.388142337692777</v>
      </c>
      <c r="BM7">
        <v>678.85434730076429</v>
      </c>
      <c r="BN7">
        <v>2466.4616981431695</v>
      </c>
      <c r="BO7">
        <v>20.995730285063871</v>
      </c>
      <c r="BP7">
        <v>0</v>
      </c>
      <c r="BQ7">
        <v>91.433014638963684</v>
      </c>
      <c r="BR7">
        <v>151.31805969959453</v>
      </c>
      <c r="BS7">
        <v>692.41293199931749</v>
      </c>
      <c r="BT7">
        <v>215.70645451528668</v>
      </c>
    </row>
    <row r="8" spans="1:72" x14ac:dyDescent="0.25">
      <c r="A8" t="s">
        <v>2917</v>
      </c>
      <c r="B8" t="s">
        <v>2918</v>
      </c>
      <c r="C8" t="s">
        <v>2924</v>
      </c>
      <c r="D8" t="s">
        <v>2569</v>
      </c>
      <c r="E8" t="s">
        <v>2570</v>
      </c>
      <c r="F8" t="s">
        <v>2571</v>
      </c>
      <c r="G8" t="s">
        <v>2920</v>
      </c>
      <c r="H8" t="s">
        <v>2921</v>
      </c>
      <c r="I8">
        <v>698477</v>
      </c>
      <c r="J8">
        <v>0</v>
      </c>
      <c r="K8" t="s">
        <v>2925</v>
      </c>
      <c r="L8" t="s">
        <v>2926</v>
      </c>
      <c r="M8">
        <v>698472</v>
      </c>
      <c r="N8">
        <v>101</v>
      </c>
      <c r="O8">
        <v>25522.346000000001</v>
      </c>
      <c r="P8" t="s">
        <v>201</v>
      </c>
      <c r="Q8">
        <v>11</v>
      </c>
      <c r="R8">
        <v>3</v>
      </c>
      <c r="S8">
        <v>23</v>
      </c>
      <c r="T8">
        <v>26039592</v>
      </c>
      <c r="U8">
        <v>103</v>
      </c>
      <c r="V8">
        <v>149</v>
      </c>
      <c r="W8">
        <v>25522.345636876809</v>
      </c>
      <c r="X8">
        <v>26039592.07912118</v>
      </c>
      <c r="Y8">
        <v>158361.16500000001</v>
      </c>
      <c r="Z8">
        <f>VLOOKUP($AC8,'2017 Seattle Tracts'!$C$2:$Z$399,24,FALSE)</f>
        <v>698472.05900000001</v>
      </c>
      <c r="AA8">
        <f t="shared" si="1"/>
        <v>0.22672512516352497</v>
      </c>
      <c r="AB8" t="s">
        <v>205</v>
      </c>
      <c r="AC8" t="str">
        <f t="shared" si="0"/>
        <v>Census Tract 79, King County, Washington</v>
      </c>
      <c r="AD8">
        <f>VLOOKUP($AC8,'2017 Seattle Tracts'!$C$2:$Z$399,AD$1,FALSE)*AA8</f>
        <v>1437.2105684115847</v>
      </c>
      <c r="AE8">
        <f>VLOOKUP($AC8,'2017 Seattle Tracts'!$C$2:$Z$399,AE$1,FALSE)*AA8</f>
        <v>1174.8895985973863</v>
      </c>
      <c r="AF8">
        <f>VLOOKUP($AC8,'2017 Seattle Tracts'!$C$2:$Z$399,AF$1,FALSE)*AA8</f>
        <v>262.32096981419841</v>
      </c>
      <c r="AG8">
        <f>VLOOKUP($AC8,'2017 Seattle Tracts'!$C$2:$Z$399,AG$1,FALSE)*AA8</f>
        <v>1437.2105684115847</v>
      </c>
      <c r="AH8">
        <f>VLOOKUP($AC8,'2017 Seattle Tracts'!$C$2:$Z$399,AH$1,FALSE)*AA8</f>
        <v>1174.8895985973863</v>
      </c>
      <c r="AI8">
        <f>VLOOKUP($AC8,'2017 Seattle Tracts'!$C$2:$Z$399,AI$1,FALSE)*AA8</f>
        <v>262.32096981419841</v>
      </c>
      <c r="AJ8">
        <f>VLOOKUP($AC8,'2017 Seattle Tracts'!$C$2:$Z$399,AJ$1,FALSE)*AA8</f>
        <v>911.8884534076974</v>
      </c>
      <c r="AK8">
        <f>VLOOKUP($AC8,'2017 Seattle Tracts'!$C$2:$Z$399,AK$1,FALSE)*AA8</f>
        <v>137.39542584909614</v>
      </c>
      <c r="AL8">
        <f>VLOOKUP($AC8,'2017 Seattle Tracts'!$C$2:$Z$399,AL$1,FALSE)*AA8</f>
        <v>27.433740144786523</v>
      </c>
      <c r="AM8">
        <f>VLOOKUP($AC8,'2017 Seattle Tracts'!$C$2:$Z$399,AM$1,FALSE)*AA8</f>
        <v>11.562981383339773</v>
      </c>
      <c r="AN8">
        <f>VLOOKUP($AC8,'2017 Seattle Tracts'!$C$2:$Z$399,AN$1,FALSE)*AA8</f>
        <v>120.61776658699529</v>
      </c>
      <c r="AO8">
        <f>VLOOKUP($AC8,'2017 Seattle Tracts'!$C$2:$Z$399,AO$1,FALSE)*AA8</f>
        <v>43.531224031396796</v>
      </c>
      <c r="AP8">
        <f>VLOOKUP($AC8,'2017 Seattle Tracts'!$C$2:$Z$399,AP$1,FALSE)*AA8</f>
        <v>14.510408010465598</v>
      </c>
      <c r="AQ8">
        <f>VLOOKUP($AC8,'2017 Seattle Tracts'!$C$2:$Z$399,AQ$1,FALSE)*AA8</f>
        <v>0</v>
      </c>
      <c r="AR8">
        <f>VLOOKUP($AC8,'2017 Seattle Tracts'!$C$2:$Z$399,AR$1,FALSE)*AA8</f>
        <v>51.239878286956646</v>
      </c>
      <c r="AS8">
        <f>VLOOKUP($AC8,'2017 Seattle Tracts'!$C$2:$Z$399,AS$1,FALSE)*AA8</f>
        <v>49.652802410811965</v>
      </c>
      <c r="AT8">
        <f>VLOOKUP($AC8,'2017 Seattle Tracts'!$C$2:$Z$399,AT$1,FALSE)*AA8</f>
        <v>1.5870758761446748</v>
      </c>
      <c r="AU8">
        <f>VLOOKUP($AC8,'2017 Seattle Tracts'!$C$2:$Z$399,AU$1,FALSE)*AA8</f>
        <v>0.22672512516352497</v>
      </c>
      <c r="AV8">
        <f>VLOOKUP($AC8,'2017 Seattle Tracts'!$C$2:$Z$399,AV$1,FALSE)*AA8</f>
        <v>4.7612276284340247</v>
      </c>
      <c r="AW8">
        <f>VLOOKUP($AC8,'2017 Seattle Tracts'!$C$2:$Z$399,AW$1,FALSE)*AA8</f>
        <v>9.5224552568680494</v>
      </c>
      <c r="AX8">
        <f>VLOOKUP($AC8,'2017 Seattle Tracts'!$C$2:$Z$399,AX$1,FALSE)*AA8</f>
        <v>42.851048655906219</v>
      </c>
      <c r="AY8">
        <f>VLOOKUP($AC8,'2017 Seattle Tracts'!$C$2:$Z$399,AY$1,FALSE)*AA8</f>
        <v>10.429355757522149</v>
      </c>
      <c r="BA8" s="2" t="s">
        <v>213</v>
      </c>
      <c r="BB8">
        <v>9301.4143464378758</v>
      </c>
      <c r="BC8">
        <v>7442.0074890448004</v>
      </c>
      <c r="BD8">
        <v>1859.4068573930751</v>
      </c>
      <c r="BE8">
        <v>5685.421150487362</v>
      </c>
      <c r="BF8">
        <v>355.16218814075648</v>
      </c>
      <c r="BG8">
        <v>219.92523040681243</v>
      </c>
      <c r="BH8">
        <v>260.12696969869836</v>
      </c>
      <c r="BI8">
        <v>503.022399552938</v>
      </c>
      <c r="BJ8">
        <v>262.24572718845144</v>
      </c>
      <c r="BK8">
        <v>35.982432565458787</v>
      </c>
      <c r="BL8">
        <v>0</v>
      </c>
      <c r="BM8">
        <v>479.20091725882361</v>
      </c>
      <c r="BN8">
        <v>764.11932650597919</v>
      </c>
      <c r="BO8">
        <v>26.599633419627839</v>
      </c>
      <c r="BP8">
        <v>4.0938547803254508</v>
      </c>
      <c r="BQ8">
        <v>20.711414452174012</v>
      </c>
      <c r="BR8">
        <v>59.22569093362452</v>
      </c>
      <c r="BS8">
        <v>471.14431090160457</v>
      </c>
      <c r="BT8">
        <v>154.43310014523988</v>
      </c>
    </row>
    <row r="9" spans="1:72" x14ac:dyDescent="0.25">
      <c r="A9" t="s">
        <v>2917</v>
      </c>
      <c r="B9" t="s">
        <v>2918</v>
      </c>
      <c r="C9" t="s">
        <v>2927</v>
      </c>
      <c r="D9" t="s">
        <v>2755</v>
      </c>
      <c r="E9" t="s">
        <v>2756</v>
      </c>
      <c r="F9" t="s">
        <v>2757</v>
      </c>
      <c r="G9" t="s">
        <v>2920</v>
      </c>
      <c r="H9" t="s">
        <v>2921</v>
      </c>
      <c r="I9">
        <v>984334</v>
      </c>
      <c r="J9">
        <v>0</v>
      </c>
      <c r="K9" t="s">
        <v>2928</v>
      </c>
      <c r="L9" t="s">
        <v>2929</v>
      </c>
      <c r="M9">
        <v>984335</v>
      </c>
      <c r="N9">
        <v>36</v>
      </c>
      <c r="O9">
        <v>30993.599999999999</v>
      </c>
      <c r="P9" t="s">
        <v>122</v>
      </c>
      <c r="Q9">
        <v>4</v>
      </c>
      <c r="R9">
        <v>5</v>
      </c>
      <c r="S9">
        <v>81</v>
      </c>
      <c r="T9">
        <v>37020968</v>
      </c>
      <c r="U9">
        <v>38</v>
      </c>
      <c r="V9">
        <v>125</v>
      </c>
      <c r="W9">
        <v>30993.600213945359</v>
      </c>
      <c r="X9">
        <v>37020968.872468568</v>
      </c>
      <c r="Y9">
        <v>702530.69099999999</v>
      </c>
      <c r="Z9">
        <f>VLOOKUP($AC9,'2017 Seattle Tracts'!$C$2:$Z$399,24,FALSE)</f>
        <v>984334.96299999999</v>
      </c>
      <c r="AA9">
        <f t="shared" si="1"/>
        <v>0.71371100022584488</v>
      </c>
      <c r="AB9" t="s">
        <v>127</v>
      </c>
      <c r="AC9" t="str">
        <f t="shared" si="0"/>
        <v>Census Tract 25, King County, Washington</v>
      </c>
      <c r="AD9">
        <f>VLOOKUP($AC9,'2017 Seattle Tracts'!$C$2:$Z$399,AD$1,FALSE)*AA9</f>
        <v>2366.6656767489017</v>
      </c>
      <c r="AE9">
        <f>VLOOKUP($AC9,'2017 Seattle Tracts'!$C$2:$Z$399,AE$1,FALSE)*AA9</f>
        <v>2101.8788956651133</v>
      </c>
      <c r="AF9">
        <f>VLOOKUP($AC9,'2017 Seattle Tracts'!$C$2:$Z$399,AF$1,FALSE)*AA9</f>
        <v>264.78678108378847</v>
      </c>
      <c r="AG9">
        <f>VLOOKUP($AC9,'2017 Seattle Tracts'!$C$2:$Z$399,AG$1,FALSE)*AA9</f>
        <v>2366.6656767489017</v>
      </c>
      <c r="AH9">
        <f>VLOOKUP($AC9,'2017 Seattle Tracts'!$C$2:$Z$399,AH$1,FALSE)*AA9</f>
        <v>2101.8788956651133</v>
      </c>
      <c r="AI9">
        <f>VLOOKUP($AC9,'2017 Seattle Tracts'!$C$2:$Z$399,AI$1,FALSE)*AA9</f>
        <v>264.78678108378847</v>
      </c>
      <c r="AJ9">
        <f>VLOOKUP($AC9,'2017 Seattle Tracts'!$C$2:$Z$399,AJ$1,FALSE)*AA9</f>
        <v>1787.1323445655155</v>
      </c>
      <c r="AK9">
        <f>VLOOKUP($AC9,'2017 Seattle Tracts'!$C$2:$Z$399,AK$1,FALSE)*AA9</f>
        <v>154.16157604878251</v>
      </c>
      <c r="AL9">
        <f>VLOOKUP($AC9,'2017 Seattle Tracts'!$C$2:$Z$399,AL$1,FALSE)*AA9</f>
        <v>33.544417010614708</v>
      </c>
      <c r="AM9">
        <f>VLOOKUP($AC9,'2017 Seattle Tracts'!$C$2:$Z$399,AM$1,FALSE)*AA9</f>
        <v>24.979885007904571</v>
      </c>
      <c r="AN9">
        <f>VLOOKUP($AC9,'2017 Seattle Tracts'!$C$2:$Z$399,AN$1,FALSE)*AA9</f>
        <v>23.552463007452882</v>
      </c>
      <c r="AO9">
        <f>VLOOKUP($AC9,'2017 Seattle Tracts'!$C$2:$Z$399,AO$1,FALSE)*AA9</f>
        <v>4.2822660013550689</v>
      </c>
      <c r="AP9">
        <f>VLOOKUP($AC9,'2017 Seattle Tracts'!$C$2:$Z$399,AP$1,FALSE)*AA9</f>
        <v>6.4233990020326042</v>
      </c>
      <c r="AQ9">
        <f>VLOOKUP($AC9,'2017 Seattle Tracts'!$C$2:$Z$399,AQ$1,FALSE)*AA9</f>
        <v>0</v>
      </c>
      <c r="AR9">
        <f>VLOOKUP($AC9,'2017 Seattle Tracts'!$C$2:$Z$399,AR$1,FALSE)*AA9</f>
        <v>67.088834021229417</v>
      </c>
      <c r="AS9">
        <f>VLOOKUP($AC9,'2017 Seattle Tracts'!$C$2:$Z$399,AS$1,FALSE)*AA9</f>
        <v>81.363054025746322</v>
      </c>
      <c r="AT9">
        <f>VLOOKUP($AC9,'2017 Seattle Tracts'!$C$2:$Z$399,AT$1,FALSE)*AA9</f>
        <v>0</v>
      </c>
      <c r="AU9">
        <f>VLOOKUP($AC9,'2017 Seattle Tracts'!$C$2:$Z$399,AU$1,FALSE)*AA9</f>
        <v>0</v>
      </c>
      <c r="AV9">
        <f>VLOOKUP($AC9,'2017 Seattle Tracts'!$C$2:$Z$399,AV$1,FALSE)*AA9</f>
        <v>17.129064005420275</v>
      </c>
      <c r="AW9">
        <f>VLOOKUP($AC9,'2017 Seattle Tracts'!$C$2:$Z$399,AW$1,FALSE)*AA9</f>
        <v>0</v>
      </c>
      <c r="AX9">
        <f>VLOOKUP($AC9,'2017 Seattle Tracts'!$C$2:$Z$399,AX$1,FALSE)*AA9</f>
        <v>167.0083740528477</v>
      </c>
      <c r="AY9">
        <f>VLOOKUP($AC9,'2017 Seattle Tracts'!$C$2:$Z$399,AY$1,FALSE)*AA9</f>
        <v>0</v>
      </c>
      <c r="BA9" s="2" t="s">
        <v>146</v>
      </c>
      <c r="BB9">
        <v>5672.0136494488333</v>
      </c>
      <c r="BC9">
        <v>4979.8086387207895</v>
      </c>
      <c r="BD9">
        <v>692.20501072804359</v>
      </c>
      <c r="BE9">
        <v>4446.8411002082657</v>
      </c>
      <c r="BF9">
        <v>321.75586322092448</v>
      </c>
      <c r="BG9">
        <v>147.6779226098854</v>
      </c>
      <c r="BH9">
        <v>14.025273483307974</v>
      </c>
      <c r="BI9">
        <v>14.026735195157652</v>
      </c>
      <c r="BJ9">
        <v>5.6032287571019706E-3</v>
      </c>
      <c r="BK9">
        <v>17.327224682585086</v>
      </c>
      <c r="BL9">
        <v>13.199034526010387</v>
      </c>
      <c r="BM9">
        <v>16.51316665736816</v>
      </c>
      <c r="BN9">
        <v>257.41998982743291</v>
      </c>
      <c r="BO9">
        <v>23.923250078393824</v>
      </c>
      <c r="BP9">
        <v>33.822525972901616</v>
      </c>
      <c r="BQ9">
        <v>42.074764769143592</v>
      </c>
      <c r="BR9">
        <v>18.150052978900089</v>
      </c>
      <c r="BS9">
        <v>271.42447451998987</v>
      </c>
      <c r="BT9">
        <v>33.82666748980904</v>
      </c>
    </row>
    <row r="10" spans="1:72" x14ac:dyDescent="0.25">
      <c r="A10" t="s">
        <v>2917</v>
      </c>
      <c r="B10" t="s">
        <v>2918</v>
      </c>
      <c r="C10" t="s">
        <v>2927</v>
      </c>
      <c r="D10" t="s">
        <v>2755</v>
      </c>
      <c r="E10" t="s">
        <v>2756</v>
      </c>
      <c r="F10" t="s">
        <v>2757</v>
      </c>
      <c r="G10" t="s">
        <v>2920</v>
      </c>
      <c r="H10" t="s">
        <v>2921</v>
      </c>
      <c r="I10">
        <v>984334</v>
      </c>
      <c r="J10">
        <v>0</v>
      </c>
      <c r="K10" t="s">
        <v>2928</v>
      </c>
      <c r="L10" t="s">
        <v>2929</v>
      </c>
      <c r="M10">
        <v>984335</v>
      </c>
      <c r="N10">
        <v>41</v>
      </c>
      <c r="O10">
        <v>22865.453000000001</v>
      </c>
      <c r="P10" t="s">
        <v>122</v>
      </c>
      <c r="Q10">
        <v>4</v>
      </c>
      <c r="R10">
        <v>5</v>
      </c>
      <c r="S10">
        <v>95</v>
      </c>
      <c r="T10">
        <v>21491312</v>
      </c>
      <c r="U10">
        <v>43</v>
      </c>
      <c r="V10">
        <v>124</v>
      </c>
      <c r="W10">
        <v>22865.452635921651</v>
      </c>
      <c r="X10">
        <v>21491312.22830575</v>
      </c>
      <c r="Y10">
        <v>52.500999999999998</v>
      </c>
      <c r="Z10">
        <f>VLOOKUP($AC10,'2017 Seattle Tracts'!$C$2:$Z$399,24,FALSE)</f>
        <v>984334.96299999999</v>
      </c>
      <c r="AA10">
        <f t="shared" si="1"/>
        <v>5.3336518536322678E-5</v>
      </c>
      <c r="AB10" t="s">
        <v>132</v>
      </c>
      <c r="AC10" t="str">
        <f t="shared" si="0"/>
        <v>Census Tract 25, King County, Washington</v>
      </c>
      <c r="AD10">
        <f>VLOOKUP($AC10,'2017 Seattle Tracts'!$C$2:$Z$399,AD$1,FALSE)*AA10</f>
        <v>0.17686389546644599</v>
      </c>
      <c r="AE10">
        <f>VLOOKUP($AC10,'2017 Seattle Tracts'!$C$2:$Z$399,AE$1,FALSE)*AA10</f>
        <v>0.15707604708947029</v>
      </c>
      <c r="AF10">
        <f>VLOOKUP($AC10,'2017 Seattle Tracts'!$C$2:$Z$399,AF$1,FALSE)*AA10</f>
        <v>1.9787848376975715E-2</v>
      </c>
      <c r="AG10">
        <f>VLOOKUP($AC10,'2017 Seattle Tracts'!$C$2:$Z$399,AG$1,FALSE)*AA10</f>
        <v>0.17686389546644599</v>
      </c>
      <c r="AH10">
        <f>VLOOKUP($AC10,'2017 Seattle Tracts'!$C$2:$Z$399,AH$1,FALSE)*AA10</f>
        <v>0.15707604708947029</v>
      </c>
      <c r="AI10">
        <f>VLOOKUP($AC10,'2017 Seattle Tracts'!$C$2:$Z$399,AI$1,FALSE)*AA10</f>
        <v>1.9787848376975715E-2</v>
      </c>
      <c r="AJ10">
        <f>VLOOKUP($AC10,'2017 Seattle Tracts'!$C$2:$Z$399,AJ$1,FALSE)*AA10</f>
        <v>0.13355464241495199</v>
      </c>
      <c r="AK10">
        <f>VLOOKUP($AC10,'2017 Seattle Tracts'!$C$2:$Z$399,AK$1,FALSE)*AA10</f>
        <v>1.1520688003845699E-2</v>
      </c>
      <c r="AL10">
        <f>VLOOKUP($AC10,'2017 Seattle Tracts'!$C$2:$Z$399,AL$1,FALSE)*AA10</f>
        <v>2.506816371207166E-3</v>
      </c>
      <c r="AM10">
        <f>VLOOKUP($AC10,'2017 Seattle Tracts'!$C$2:$Z$399,AM$1,FALSE)*AA10</f>
        <v>1.8667781487712938E-3</v>
      </c>
      <c r="AN10">
        <f>VLOOKUP($AC10,'2017 Seattle Tracts'!$C$2:$Z$399,AN$1,FALSE)*AA10</f>
        <v>1.7601051116986483E-3</v>
      </c>
      <c r="AO10">
        <f>VLOOKUP($AC10,'2017 Seattle Tracts'!$C$2:$Z$399,AO$1,FALSE)*AA10</f>
        <v>3.2001911121793607E-4</v>
      </c>
      <c r="AP10">
        <f>VLOOKUP($AC10,'2017 Seattle Tracts'!$C$2:$Z$399,AP$1,FALSE)*AA10</f>
        <v>4.800286668269041E-4</v>
      </c>
      <c r="AQ10">
        <f>VLOOKUP($AC10,'2017 Seattle Tracts'!$C$2:$Z$399,AQ$1,FALSE)*AA10</f>
        <v>0</v>
      </c>
      <c r="AR10">
        <f>VLOOKUP($AC10,'2017 Seattle Tracts'!$C$2:$Z$399,AR$1,FALSE)*AA10</f>
        <v>5.0136327424143319E-3</v>
      </c>
      <c r="AS10">
        <f>VLOOKUP($AC10,'2017 Seattle Tracts'!$C$2:$Z$399,AS$1,FALSE)*AA10</f>
        <v>6.080363113140785E-3</v>
      </c>
      <c r="AT10">
        <f>VLOOKUP($AC10,'2017 Seattle Tracts'!$C$2:$Z$399,AT$1,FALSE)*AA10</f>
        <v>0</v>
      </c>
      <c r="AU10">
        <f>VLOOKUP($AC10,'2017 Seattle Tracts'!$C$2:$Z$399,AU$1,FALSE)*AA10</f>
        <v>0</v>
      </c>
      <c r="AV10">
        <f>VLOOKUP($AC10,'2017 Seattle Tracts'!$C$2:$Z$399,AV$1,FALSE)*AA10</f>
        <v>1.2800764448717443E-3</v>
      </c>
      <c r="AW10">
        <f>VLOOKUP($AC10,'2017 Seattle Tracts'!$C$2:$Z$399,AW$1,FALSE)*AA10</f>
        <v>0</v>
      </c>
      <c r="AX10">
        <f>VLOOKUP($AC10,'2017 Seattle Tracts'!$C$2:$Z$399,AX$1,FALSE)*AA10</f>
        <v>1.2480745337499507E-2</v>
      </c>
      <c r="AY10">
        <f>VLOOKUP($AC10,'2017 Seattle Tracts'!$C$2:$Z$399,AY$1,FALSE)*AA10</f>
        <v>0</v>
      </c>
      <c r="BA10" s="2" t="s">
        <v>183</v>
      </c>
      <c r="BB10">
        <v>7411.7856754964787</v>
      </c>
      <c r="BC10">
        <v>4273.293919746342</v>
      </c>
      <c r="BD10">
        <v>3138.4917557501376</v>
      </c>
      <c r="BE10">
        <v>1705.4541425146601</v>
      </c>
      <c r="BF10">
        <v>153.4732456705905</v>
      </c>
      <c r="BG10">
        <v>120.95844481917446</v>
      </c>
      <c r="BH10">
        <v>39.177689944089018</v>
      </c>
      <c r="BI10">
        <v>1084.5777759734085</v>
      </c>
      <c r="BJ10">
        <v>543.20584422363345</v>
      </c>
      <c r="BK10">
        <v>44.710429052234346</v>
      </c>
      <c r="BL10">
        <v>7.0060318409153357</v>
      </c>
      <c r="BM10">
        <v>659.80908172153727</v>
      </c>
      <c r="BN10">
        <v>2133.579620275731</v>
      </c>
      <c r="BO10">
        <v>17.473215896338409</v>
      </c>
      <c r="BP10">
        <v>32.44484062974783</v>
      </c>
      <c r="BQ10">
        <v>134.70262383999309</v>
      </c>
      <c r="BR10">
        <v>146.94911127122967</v>
      </c>
      <c r="BS10">
        <v>505.60820592899535</v>
      </c>
      <c r="BT10">
        <v>82.655371894200925</v>
      </c>
    </row>
    <row r="11" spans="1:72" x14ac:dyDescent="0.25">
      <c r="A11" t="s">
        <v>2917</v>
      </c>
      <c r="B11" t="s">
        <v>2918</v>
      </c>
      <c r="C11" t="s">
        <v>2927</v>
      </c>
      <c r="D11" t="s">
        <v>2755</v>
      </c>
      <c r="E11" t="s">
        <v>2756</v>
      </c>
      <c r="F11" t="s">
        <v>2757</v>
      </c>
      <c r="G11" t="s">
        <v>2920</v>
      </c>
      <c r="H11" t="s">
        <v>2921</v>
      </c>
      <c r="I11">
        <v>984334</v>
      </c>
      <c r="J11">
        <v>0</v>
      </c>
      <c r="K11" t="s">
        <v>2928</v>
      </c>
      <c r="L11" t="s">
        <v>2929</v>
      </c>
      <c r="M11">
        <v>984335</v>
      </c>
      <c r="N11">
        <v>96</v>
      </c>
      <c r="O11">
        <v>23840.219000000001</v>
      </c>
      <c r="P11" t="s">
        <v>122</v>
      </c>
      <c r="Q11">
        <v>4</v>
      </c>
      <c r="R11">
        <v>5</v>
      </c>
      <c r="S11">
        <v>23</v>
      </c>
      <c r="T11">
        <v>30599714</v>
      </c>
      <c r="U11">
        <v>98</v>
      </c>
      <c r="V11">
        <v>117</v>
      </c>
      <c r="W11">
        <v>23840.218727432399</v>
      </c>
      <c r="X11">
        <v>30599713.626058389</v>
      </c>
      <c r="Y11">
        <v>281751.77399999998</v>
      </c>
      <c r="Z11">
        <f>VLOOKUP($AC11,'2017 Seattle Tracts'!$C$2:$Z$399,24,FALSE)</f>
        <v>984334.96299999999</v>
      </c>
      <c r="AA11">
        <f t="shared" si="1"/>
        <v>0.28623566630336178</v>
      </c>
      <c r="AB11" t="s">
        <v>199</v>
      </c>
      <c r="AC11" t="str">
        <f t="shared" si="0"/>
        <v>Census Tract 25, King County, Washington</v>
      </c>
      <c r="AD11">
        <f>VLOOKUP($AC11,'2017 Seattle Tracts'!$C$2:$Z$399,AD$1,FALSE)*AA11</f>
        <v>949.1574694619477</v>
      </c>
      <c r="AE11">
        <f>VLOOKUP($AC11,'2017 Seattle Tracts'!$C$2:$Z$399,AE$1,FALSE)*AA11</f>
        <v>842.96403726340043</v>
      </c>
      <c r="AF11">
        <f>VLOOKUP($AC11,'2017 Seattle Tracts'!$C$2:$Z$399,AF$1,FALSE)*AA11</f>
        <v>106.19343219854721</v>
      </c>
      <c r="AG11">
        <f>VLOOKUP($AC11,'2017 Seattle Tracts'!$C$2:$Z$399,AG$1,FALSE)*AA11</f>
        <v>949.1574694619477</v>
      </c>
      <c r="AH11">
        <f>VLOOKUP($AC11,'2017 Seattle Tracts'!$C$2:$Z$399,AH$1,FALSE)*AA11</f>
        <v>842.96403726340043</v>
      </c>
      <c r="AI11">
        <f>VLOOKUP($AC11,'2017 Seattle Tracts'!$C$2:$Z$399,AI$1,FALSE)*AA11</f>
        <v>106.19343219854721</v>
      </c>
      <c r="AJ11">
        <f>VLOOKUP($AC11,'2017 Seattle Tracts'!$C$2:$Z$399,AJ$1,FALSE)*AA11</f>
        <v>716.73410842361784</v>
      </c>
      <c r="AK11">
        <f>VLOOKUP($AC11,'2017 Seattle Tracts'!$C$2:$Z$399,AK$1,FALSE)*AA11</f>
        <v>61.826903921526146</v>
      </c>
      <c r="AL11">
        <f>VLOOKUP($AC11,'2017 Seattle Tracts'!$C$2:$Z$399,AL$1,FALSE)*AA11</f>
        <v>13.453076316258004</v>
      </c>
      <c r="AM11">
        <f>VLOOKUP($AC11,'2017 Seattle Tracts'!$C$2:$Z$399,AM$1,FALSE)*AA11</f>
        <v>10.018248320617662</v>
      </c>
      <c r="AN11">
        <f>VLOOKUP($AC11,'2017 Seattle Tracts'!$C$2:$Z$399,AN$1,FALSE)*AA11</f>
        <v>9.4457769880109392</v>
      </c>
      <c r="AO11">
        <f>VLOOKUP($AC11,'2017 Seattle Tracts'!$C$2:$Z$399,AO$1,FALSE)*AA11</f>
        <v>1.7174139978201706</v>
      </c>
      <c r="AP11">
        <f>VLOOKUP($AC11,'2017 Seattle Tracts'!$C$2:$Z$399,AP$1,FALSE)*AA11</f>
        <v>2.5761209967302561</v>
      </c>
      <c r="AQ11">
        <f>VLOOKUP($AC11,'2017 Seattle Tracts'!$C$2:$Z$399,AQ$1,FALSE)*AA11</f>
        <v>0</v>
      </c>
      <c r="AR11">
        <f>VLOOKUP($AC11,'2017 Seattle Tracts'!$C$2:$Z$399,AR$1,FALSE)*AA11</f>
        <v>26.906152632516008</v>
      </c>
      <c r="AS11">
        <f>VLOOKUP($AC11,'2017 Seattle Tracts'!$C$2:$Z$399,AS$1,FALSE)*AA11</f>
        <v>32.630865958583243</v>
      </c>
      <c r="AT11">
        <f>VLOOKUP($AC11,'2017 Seattle Tracts'!$C$2:$Z$399,AT$1,FALSE)*AA11</f>
        <v>0</v>
      </c>
      <c r="AU11">
        <f>VLOOKUP($AC11,'2017 Seattle Tracts'!$C$2:$Z$399,AU$1,FALSE)*AA11</f>
        <v>0</v>
      </c>
      <c r="AV11">
        <f>VLOOKUP($AC11,'2017 Seattle Tracts'!$C$2:$Z$399,AV$1,FALSE)*AA11</f>
        <v>6.8696559912806823</v>
      </c>
      <c r="AW11">
        <f>VLOOKUP($AC11,'2017 Seattle Tracts'!$C$2:$Z$399,AW$1,FALSE)*AA11</f>
        <v>0</v>
      </c>
      <c r="AX11">
        <f>VLOOKUP($AC11,'2017 Seattle Tracts'!$C$2:$Z$399,AX$1,FALSE)*AA11</f>
        <v>66.97914591498666</v>
      </c>
      <c r="AY11">
        <f>VLOOKUP($AC11,'2017 Seattle Tracts'!$C$2:$Z$399,AY$1,FALSE)*AA11</f>
        <v>0</v>
      </c>
      <c r="BA11" s="2" t="s">
        <v>212</v>
      </c>
      <c r="BB11">
        <v>8626.7912731388897</v>
      </c>
      <c r="BC11">
        <v>7223.1416508795937</v>
      </c>
      <c r="BD11">
        <v>1403.6496222592964</v>
      </c>
      <c r="BE11">
        <v>5880.7978705307351</v>
      </c>
      <c r="BF11">
        <v>321.62447195805493</v>
      </c>
      <c r="BG11">
        <v>198.90310159254784</v>
      </c>
      <c r="BH11">
        <v>153.72403927721726</v>
      </c>
      <c r="BI11">
        <v>263.18670779414282</v>
      </c>
      <c r="BJ11">
        <v>136.9710459221948</v>
      </c>
      <c r="BK11">
        <v>26.204991668801423</v>
      </c>
      <c r="BL11">
        <v>0</v>
      </c>
      <c r="BM11">
        <v>394.48031937217638</v>
      </c>
      <c r="BN11">
        <v>597.76822078883868</v>
      </c>
      <c r="BO11">
        <v>12.402920050117464</v>
      </c>
      <c r="BP11">
        <v>1.9081415461719176</v>
      </c>
      <c r="BQ11">
        <v>31.60378577987969</v>
      </c>
      <c r="BR11">
        <v>27.636197640139319</v>
      </c>
      <c r="BS11">
        <v>415.5619540911934</v>
      </c>
      <c r="BT11">
        <v>164.0175051266794</v>
      </c>
    </row>
    <row r="12" spans="1:72" x14ac:dyDescent="0.25">
      <c r="A12" t="s">
        <v>2917</v>
      </c>
      <c r="B12" t="s">
        <v>2918</v>
      </c>
      <c r="C12" t="s">
        <v>2930</v>
      </c>
      <c r="D12" t="s">
        <v>2557</v>
      </c>
      <c r="E12" t="s">
        <v>2558</v>
      </c>
      <c r="F12" t="s">
        <v>2559</v>
      </c>
      <c r="G12" t="s">
        <v>2920</v>
      </c>
      <c r="H12" t="s">
        <v>2921</v>
      </c>
      <c r="I12">
        <v>827621</v>
      </c>
      <c r="J12">
        <v>368877</v>
      </c>
      <c r="K12" t="s">
        <v>2931</v>
      </c>
      <c r="L12" t="s">
        <v>2932</v>
      </c>
      <c r="M12">
        <v>794902</v>
      </c>
      <c r="N12">
        <v>59</v>
      </c>
      <c r="O12">
        <v>7326.5820000000003</v>
      </c>
      <c r="P12" t="s">
        <v>156</v>
      </c>
      <c r="Q12">
        <v>13</v>
      </c>
      <c r="R12">
        <v>11</v>
      </c>
      <c r="S12">
        <v>0</v>
      </c>
      <c r="T12">
        <v>2343359.25</v>
      </c>
      <c r="U12">
        <v>61</v>
      </c>
      <c r="V12">
        <v>201</v>
      </c>
      <c r="W12">
        <v>7326.5817302462356</v>
      </c>
      <c r="X12">
        <v>2343359.3260636888</v>
      </c>
      <c r="Y12">
        <v>148947.63800000001</v>
      </c>
      <c r="Z12">
        <f>VLOOKUP($AC12,'2017 Seattle Tracts'!$C$2:$Z$399,24,FALSE)</f>
        <v>794902.245</v>
      </c>
      <c r="AA12">
        <f t="shared" si="1"/>
        <v>0.18737855998884492</v>
      </c>
      <c r="AB12" t="s">
        <v>155</v>
      </c>
      <c r="AC12" t="str">
        <f t="shared" si="0"/>
        <v>Census Tract 81, King County, Washington</v>
      </c>
      <c r="AD12">
        <f>VLOOKUP($AC12,'2017 Seattle Tracts'!$C$2:$Z$399,AD$1,FALSE)*AA12</f>
        <v>912.90834426565243</v>
      </c>
      <c r="AE12">
        <f>VLOOKUP($AC12,'2017 Seattle Tracts'!$C$2:$Z$399,AE$1,FALSE)*AA12</f>
        <v>687.30455803908319</v>
      </c>
      <c r="AF12">
        <f>VLOOKUP($AC12,'2017 Seattle Tracts'!$C$2:$Z$399,AF$1,FALSE)*AA12</f>
        <v>225.6037862265693</v>
      </c>
      <c r="AG12">
        <f>VLOOKUP($AC12,'2017 Seattle Tracts'!$C$2:$Z$399,AG$1,FALSE)*AA12</f>
        <v>912.90834426565243</v>
      </c>
      <c r="AH12">
        <f>VLOOKUP($AC12,'2017 Seattle Tracts'!$C$2:$Z$399,AH$1,FALSE)*AA12</f>
        <v>687.30455803908319</v>
      </c>
      <c r="AI12">
        <f>VLOOKUP($AC12,'2017 Seattle Tracts'!$C$2:$Z$399,AI$1,FALSE)*AA12</f>
        <v>225.6037862265693</v>
      </c>
      <c r="AJ12">
        <f>VLOOKUP($AC12,'2017 Seattle Tracts'!$C$2:$Z$399,AJ$1,FALSE)*AA12</f>
        <v>495.99104829047252</v>
      </c>
      <c r="AK12">
        <f>VLOOKUP($AC12,'2017 Seattle Tracts'!$C$2:$Z$399,AK$1,FALSE)*AA12</f>
        <v>71.76598847572761</v>
      </c>
      <c r="AL12">
        <f>VLOOKUP($AC12,'2017 Seattle Tracts'!$C$2:$Z$399,AL$1,FALSE)*AA12</f>
        <v>14.428149119141059</v>
      </c>
      <c r="AM12">
        <f>VLOOKUP($AC12,'2017 Seattle Tracts'!$C$2:$Z$399,AM$1,FALSE)*AA12</f>
        <v>6.9330067195872624</v>
      </c>
      <c r="AN12">
        <f>VLOOKUP($AC12,'2017 Seattle Tracts'!$C$2:$Z$399,AN$1,FALSE)*AA12</f>
        <v>61.460167676341136</v>
      </c>
      <c r="AO12">
        <f>VLOOKUP($AC12,'2017 Seattle Tracts'!$C$2:$Z$399,AO$1,FALSE)*AA12</f>
        <v>17.800963198940266</v>
      </c>
      <c r="AP12">
        <f>VLOOKUP($AC12,'2017 Seattle Tracts'!$C$2:$Z$399,AP$1,FALSE)*AA12</f>
        <v>24.921348478516375</v>
      </c>
      <c r="AQ12">
        <f>VLOOKUP($AC12,'2017 Seattle Tracts'!$C$2:$Z$399,AQ$1,FALSE)*AA12</f>
        <v>0</v>
      </c>
      <c r="AR12">
        <f>VLOOKUP($AC12,'2017 Seattle Tracts'!$C$2:$Z$399,AR$1,FALSE)*AA12</f>
        <v>28.856298238282118</v>
      </c>
      <c r="AS12">
        <f>VLOOKUP($AC12,'2017 Seattle Tracts'!$C$2:$Z$399,AS$1,FALSE)*AA12</f>
        <v>89.004815994701332</v>
      </c>
      <c r="AT12">
        <f>VLOOKUP($AC12,'2017 Seattle Tracts'!$C$2:$Z$399,AT$1,FALSE)*AA12</f>
        <v>2.4359212798549841</v>
      </c>
      <c r="AU12">
        <f>VLOOKUP($AC12,'2017 Seattle Tracts'!$C$2:$Z$399,AU$1,FALSE)*AA12</f>
        <v>0</v>
      </c>
      <c r="AV12">
        <f>VLOOKUP($AC12,'2017 Seattle Tracts'!$C$2:$Z$399,AV$1,FALSE)*AA12</f>
        <v>9.556306559431091</v>
      </c>
      <c r="AW12">
        <f>VLOOKUP($AC12,'2017 Seattle Tracts'!$C$2:$Z$399,AW$1,FALSE)*AA12</f>
        <v>36.913576317802452</v>
      </c>
      <c r="AX12">
        <f>VLOOKUP($AC12,'2017 Seattle Tracts'!$C$2:$Z$399,AX$1,FALSE)*AA12</f>
        <v>49.655318397043906</v>
      </c>
      <c r="AY12">
        <f>VLOOKUP($AC12,'2017 Seattle Tracts'!$C$2:$Z$399,AY$1,FALSE)*AA12</f>
        <v>3.1854355198103637</v>
      </c>
      <c r="BA12" s="2" t="s">
        <v>204</v>
      </c>
      <c r="BB12">
        <v>26747.127151170022</v>
      </c>
      <c r="BC12">
        <v>22641.930813924868</v>
      </c>
      <c r="BD12">
        <v>4105.1963372451555</v>
      </c>
      <c r="BE12">
        <v>17537.333122327349</v>
      </c>
      <c r="BF12">
        <v>1736.8232591140065</v>
      </c>
      <c r="BG12">
        <v>779.63044754448435</v>
      </c>
      <c r="BH12">
        <v>162.07833149059925</v>
      </c>
      <c r="BI12">
        <v>747.07474037117458</v>
      </c>
      <c r="BJ12">
        <v>233.01064020144298</v>
      </c>
      <c r="BK12">
        <v>87.07800859122456</v>
      </c>
      <c r="BL12">
        <v>0</v>
      </c>
      <c r="BM12">
        <v>1334.631717493892</v>
      </c>
      <c r="BN12">
        <v>1497.8550738843737</v>
      </c>
      <c r="BO12">
        <v>55.034429812074158</v>
      </c>
      <c r="BP12">
        <v>0.22817626101698157</v>
      </c>
      <c r="BQ12">
        <v>190.9003852063872</v>
      </c>
      <c r="BR12">
        <v>239.28422234657071</v>
      </c>
      <c r="BS12">
        <v>1910.2479625782821</v>
      </c>
      <c r="BT12">
        <v>235.91663394714428</v>
      </c>
    </row>
    <row r="13" spans="1:72" x14ac:dyDescent="0.25">
      <c r="A13" t="s">
        <v>2917</v>
      </c>
      <c r="B13" t="s">
        <v>2918</v>
      </c>
      <c r="C13" t="s">
        <v>2930</v>
      </c>
      <c r="D13" t="s">
        <v>2557</v>
      </c>
      <c r="E13" t="s">
        <v>2558</v>
      </c>
      <c r="F13" t="s">
        <v>2559</v>
      </c>
      <c r="G13" t="s">
        <v>2920</v>
      </c>
      <c r="H13" t="s">
        <v>2921</v>
      </c>
      <c r="I13">
        <v>827621</v>
      </c>
      <c r="J13">
        <v>368877</v>
      </c>
      <c r="K13" t="s">
        <v>2931</v>
      </c>
      <c r="L13" t="s">
        <v>2932</v>
      </c>
      <c r="M13">
        <v>794902</v>
      </c>
      <c r="N13">
        <v>60</v>
      </c>
      <c r="O13">
        <v>21967.599999999999</v>
      </c>
      <c r="P13" t="s">
        <v>156</v>
      </c>
      <c r="Q13">
        <v>13</v>
      </c>
      <c r="R13">
        <v>11</v>
      </c>
      <c r="S13">
        <v>81</v>
      </c>
      <c r="T13">
        <v>14974037</v>
      </c>
      <c r="U13">
        <v>62</v>
      </c>
      <c r="V13">
        <v>156</v>
      </c>
      <c r="W13">
        <v>21967.599459922661</v>
      </c>
      <c r="X13">
        <v>14974037.0994289</v>
      </c>
      <c r="Y13">
        <v>593.60400000000004</v>
      </c>
      <c r="Z13">
        <f>VLOOKUP($AC13,'2017 Seattle Tracts'!$C$2:$Z$399,24,FALSE)</f>
        <v>794902.245</v>
      </c>
      <c r="AA13">
        <f t="shared" si="1"/>
        <v>7.4676352184663915E-4</v>
      </c>
      <c r="AB13" t="s">
        <v>157</v>
      </c>
      <c r="AC13" t="str">
        <f t="shared" si="0"/>
        <v>Census Tract 81, King County, Washington</v>
      </c>
      <c r="AD13">
        <f>VLOOKUP($AC13,'2017 Seattle Tracts'!$C$2:$Z$399,AD$1,FALSE)*AA13</f>
        <v>3.6382318784368257</v>
      </c>
      <c r="AE13">
        <f>VLOOKUP($AC13,'2017 Seattle Tracts'!$C$2:$Z$399,AE$1,FALSE)*AA13</f>
        <v>2.7391285981334725</v>
      </c>
      <c r="AF13">
        <f>VLOOKUP($AC13,'2017 Seattle Tracts'!$C$2:$Z$399,AF$1,FALSE)*AA13</f>
        <v>0.89910328030335351</v>
      </c>
      <c r="AG13">
        <f>VLOOKUP($AC13,'2017 Seattle Tracts'!$C$2:$Z$399,AG$1,FALSE)*AA13</f>
        <v>3.6382318784368257</v>
      </c>
      <c r="AH13">
        <f>VLOOKUP($AC13,'2017 Seattle Tracts'!$C$2:$Z$399,AH$1,FALSE)*AA13</f>
        <v>2.7391285981334725</v>
      </c>
      <c r="AI13">
        <f>VLOOKUP($AC13,'2017 Seattle Tracts'!$C$2:$Z$399,AI$1,FALSE)*AA13</f>
        <v>0.89910328030335351</v>
      </c>
      <c r="AJ13">
        <f>VLOOKUP($AC13,'2017 Seattle Tracts'!$C$2:$Z$399,AJ$1,FALSE)*AA13</f>
        <v>1.9766830423280539</v>
      </c>
      <c r="AK13">
        <f>VLOOKUP($AC13,'2017 Seattle Tracts'!$C$2:$Z$399,AK$1,FALSE)*AA13</f>
        <v>0.2860104288672628</v>
      </c>
      <c r="AL13">
        <f>VLOOKUP($AC13,'2017 Seattle Tracts'!$C$2:$Z$399,AL$1,FALSE)*AA13</f>
        <v>5.7500791182191216E-2</v>
      </c>
      <c r="AM13">
        <f>VLOOKUP($AC13,'2017 Seattle Tracts'!$C$2:$Z$399,AM$1,FALSE)*AA13</f>
        <v>2.7630250308325648E-2</v>
      </c>
      <c r="AN13">
        <f>VLOOKUP($AC13,'2017 Seattle Tracts'!$C$2:$Z$399,AN$1,FALSE)*AA13</f>
        <v>0.24493843516569763</v>
      </c>
      <c r="AO13">
        <f>VLOOKUP($AC13,'2017 Seattle Tracts'!$C$2:$Z$399,AO$1,FALSE)*AA13</f>
        <v>7.0942534575430719E-2</v>
      </c>
      <c r="AP13">
        <f>VLOOKUP($AC13,'2017 Seattle Tracts'!$C$2:$Z$399,AP$1,FALSE)*AA13</f>
        <v>9.9319548405603003E-2</v>
      </c>
      <c r="AQ13">
        <f>VLOOKUP($AC13,'2017 Seattle Tracts'!$C$2:$Z$399,AQ$1,FALSE)*AA13</f>
        <v>0</v>
      </c>
      <c r="AR13">
        <f>VLOOKUP($AC13,'2017 Seattle Tracts'!$C$2:$Z$399,AR$1,FALSE)*AA13</f>
        <v>0.11500158236438243</v>
      </c>
      <c r="AS13">
        <f>VLOOKUP($AC13,'2017 Seattle Tracts'!$C$2:$Z$399,AS$1,FALSE)*AA13</f>
        <v>0.35471267287715358</v>
      </c>
      <c r="AT13">
        <f>VLOOKUP($AC13,'2017 Seattle Tracts'!$C$2:$Z$399,AT$1,FALSE)*AA13</f>
        <v>9.7079257840063087E-3</v>
      </c>
      <c r="AU13">
        <f>VLOOKUP($AC13,'2017 Seattle Tracts'!$C$2:$Z$399,AU$1,FALSE)*AA13</f>
        <v>0</v>
      </c>
      <c r="AV13">
        <f>VLOOKUP($AC13,'2017 Seattle Tracts'!$C$2:$Z$399,AV$1,FALSE)*AA13</f>
        <v>3.8084939614178595E-2</v>
      </c>
      <c r="AW13">
        <f>VLOOKUP($AC13,'2017 Seattle Tracts'!$C$2:$Z$399,AW$1,FALSE)*AA13</f>
        <v>0.14711241380378792</v>
      </c>
      <c r="AX13">
        <f>VLOOKUP($AC13,'2017 Seattle Tracts'!$C$2:$Z$399,AX$1,FALSE)*AA13</f>
        <v>0.19789233328935937</v>
      </c>
      <c r="AY13">
        <f>VLOOKUP($AC13,'2017 Seattle Tracts'!$C$2:$Z$399,AY$1,FALSE)*AA13</f>
        <v>1.2694979871392866E-2</v>
      </c>
      <c r="BA13" s="2" t="s">
        <v>129</v>
      </c>
      <c r="BB13">
        <v>4834.3437576053757</v>
      </c>
      <c r="BC13">
        <v>4038.8673821165921</v>
      </c>
      <c r="BD13">
        <v>795.47637548878288</v>
      </c>
      <c r="BE13">
        <v>3553.1178232303805</v>
      </c>
      <c r="BF13">
        <v>252.06611202913899</v>
      </c>
      <c r="BG13">
        <v>143.75993054386188</v>
      </c>
      <c r="BH13">
        <v>47.467146826286047</v>
      </c>
      <c r="BI13">
        <v>51.594403990634532</v>
      </c>
      <c r="BJ13">
        <v>24.811282894659126</v>
      </c>
      <c r="BK13">
        <v>12.176186463597363</v>
      </c>
      <c r="BL13">
        <v>4.0198961422846544</v>
      </c>
      <c r="BM13">
        <v>112.56118100379625</v>
      </c>
      <c r="BN13">
        <v>359.83812803609089</v>
      </c>
      <c r="BO13">
        <v>3.4265233458097015E-3</v>
      </c>
      <c r="BP13">
        <v>40.148844329364366</v>
      </c>
      <c r="BQ13">
        <v>15.790805217715459</v>
      </c>
      <c r="BR13">
        <v>18.402871421474742</v>
      </c>
      <c r="BS13">
        <v>149.86362514326086</v>
      </c>
      <c r="BT13">
        <v>48.722093809484072</v>
      </c>
    </row>
    <row r="14" spans="1:72" x14ac:dyDescent="0.25">
      <c r="A14" t="s">
        <v>2917</v>
      </c>
      <c r="B14" t="s">
        <v>2918</v>
      </c>
      <c r="C14" t="s">
        <v>2930</v>
      </c>
      <c r="D14" t="s">
        <v>2557</v>
      </c>
      <c r="E14" t="s">
        <v>2558</v>
      </c>
      <c r="F14" t="s">
        <v>2559</v>
      </c>
      <c r="G14" t="s">
        <v>2920</v>
      </c>
      <c r="H14" t="s">
        <v>2921</v>
      </c>
      <c r="I14">
        <v>827621</v>
      </c>
      <c r="J14">
        <v>368877</v>
      </c>
      <c r="K14" t="s">
        <v>2931</v>
      </c>
      <c r="L14" t="s">
        <v>2932</v>
      </c>
      <c r="M14">
        <v>794902</v>
      </c>
      <c r="N14">
        <v>62</v>
      </c>
      <c r="O14">
        <v>18209.463</v>
      </c>
      <c r="P14" t="s">
        <v>156</v>
      </c>
      <c r="Q14">
        <v>13</v>
      </c>
      <c r="R14">
        <v>11</v>
      </c>
      <c r="S14">
        <v>95</v>
      </c>
      <c r="T14">
        <v>9477399</v>
      </c>
      <c r="U14">
        <v>64</v>
      </c>
      <c r="V14">
        <v>159</v>
      </c>
      <c r="W14">
        <v>18209.462862458811</v>
      </c>
      <c r="X14">
        <v>9477398.6185622383</v>
      </c>
      <c r="Y14">
        <v>522430.73200000002</v>
      </c>
      <c r="Z14">
        <f>VLOOKUP($AC14,'2017 Seattle Tracts'!$C$2:$Z$399,24,FALSE)</f>
        <v>794902.245</v>
      </c>
      <c r="AA14">
        <f t="shared" si="1"/>
        <v>0.65722638888760465</v>
      </c>
      <c r="AB14" t="s">
        <v>159</v>
      </c>
      <c r="AC14" t="str">
        <f t="shared" si="0"/>
        <v>Census Tract 81, King County, Washington</v>
      </c>
      <c r="AD14">
        <f>VLOOKUP($AC14,'2017 Seattle Tracts'!$C$2:$Z$399,AD$1,FALSE)*AA14</f>
        <v>3202.0069666604099</v>
      </c>
      <c r="AE14">
        <f>VLOOKUP($AC14,'2017 Seattle Tracts'!$C$2:$Z$399,AE$1,FALSE)*AA14</f>
        <v>2410.7063944397337</v>
      </c>
      <c r="AF14">
        <f>VLOOKUP($AC14,'2017 Seattle Tracts'!$C$2:$Z$399,AF$1,FALSE)*AA14</f>
        <v>791.30057222067603</v>
      </c>
      <c r="AG14">
        <f>VLOOKUP($AC14,'2017 Seattle Tracts'!$C$2:$Z$399,AG$1,FALSE)*AA14</f>
        <v>3202.0069666604099</v>
      </c>
      <c r="AH14">
        <f>VLOOKUP($AC14,'2017 Seattle Tracts'!$C$2:$Z$399,AH$1,FALSE)*AA14</f>
        <v>2410.7063944397337</v>
      </c>
      <c r="AI14">
        <f>VLOOKUP($AC14,'2017 Seattle Tracts'!$C$2:$Z$399,AI$1,FALSE)*AA14</f>
        <v>791.30057222067603</v>
      </c>
      <c r="AJ14">
        <f>VLOOKUP($AC14,'2017 Seattle Tracts'!$C$2:$Z$399,AJ$1,FALSE)*AA14</f>
        <v>1739.6782513854896</v>
      </c>
      <c r="AK14">
        <f>VLOOKUP($AC14,'2017 Seattle Tracts'!$C$2:$Z$399,AK$1,FALSE)*AA14</f>
        <v>251.71770694395258</v>
      </c>
      <c r="AL14">
        <f>VLOOKUP($AC14,'2017 Seattle Tracts'!$C$2:$Z$399,AL$1,FALSE)*AA14</f>
        <v>50.606431944345559</v>
      </c>
      <c r="AM14">
        <f>VLOOKUP($AC14,'2017 Seattle Tracts'!$C$2:$Z$399,AM$1,FALSE)*AA14</f>
        <v>24.317376388841371</v>
      </c>
      <c r="AN14">
        <f>VLOOKUP($AC14,'2017 Seattle Tracts'!$C$2:$Z$399,AN$1,FALSE)*AA14</f>
        <v>215.57025555513434</v>
      </c>
      <c r="AO14">
        <f>VLOOKUP($AC14,'2017 Seattle Tracts'!$C$2:$Z$399,AO$1,FALSE)*AA14</f>
        <v>62.436506944322439</v>
      </c>
      <c r="AP14">
        <f>VLOOKUP($AC14,'2017 Seattle Tracts'!$C$2:$Z$399,AP$1,FALSE)*AA14</f>
        <v>87.411109722051421</v>
      </c>
      <c r="AQ14">
        <f>VLOOKUP($AC14,'2017 Seattle Tracts'!$C$2:$Z$399,AQ$1,FALSE)*AA14</f>
        <v>0</v>
      </c>
      <c r="AR14">
        <f>VLOOKUP($AC14,'2017 Seattle Tracts'!$C$2:$Z$399,AR$1,FALSE)*AA14</f>
        <v>101.21286388869112</v>
      </c>
      <c r="AS14">
        <f>VLOOKUP($AC14,'2017 Seattle Tracts'!$C$2:$Z$399,AS$1,FALSE)*AA14</f>
        <v>312.18253472161223</v>
      </c>
      <c r="AT14">
        <f>VLOOKUP($AC14,'2017 Seattle Tracts'!$C$2:$Z$399,AT$1,FALSE)*AA14</f>
        <v>8.5439430555388611</v>
      </c>
      <c r="AU14">
        <f>VLOOKUP($AC14,'2017 Seattle Tracts'!$C$2:$Z$399,AU$1,FALSE)*AA14</f>
        <v>0</v>
      </c>
      <c r="AV14">
        <f>VLOOKUP($AC14,'2017 Seattle Tracts'!$C$2:$Z$399,AV$1,FALSE)*AA14</f>
        <v>33.518545833267837</v>
      </c>
      <c r="AW14">
        <f>VLOOKUP($AC14,'2017 Seattle Tracts'!$C$2:$Z$399,AW$1,FALSE)*AA14</f>
        <v>129.47359861085812</v>
      </c>
      <c r="AX14">
        <f>VLOOKUP($AC14,'2017 Seattle Tracts'!$C$2:$Z$399,AX$1,FALSE)*AA14</f>
        <v>174.16499305521523</v>
      </c>
      <c r="AY14">
        <f>VLOOKUP($AC14,'2017 Seattle Tracts'!$C$2:$Z$399,AY$1,FALSE)*AA14</f>
        <v>11.172848611089279</v>
      </c>
      <c r="BA14" s="2" t="s">
        <v>211</v>
      </c>
      <c r="BB14">
        <v>7373.5337853609281</v>
      </c>
      <c r="BC14">
        <v>5165.1084403318055</v>
      </c>
      <c r="BD14">
        <v>2208.4253450291235</v>
      </c>
      <c r="BE14">
        <v>3506.2576970545574</v>
      </c>
      <c r="BF14">
        <v>655.14876623407611</v>
      </c>
      <c r="BG14">
        <v>181.14606960725956</v>
      </c>
      <c r="BH14">
        <v>108.73732170697249</v>
      </c>
      <c r="BI14">
        <v>536.90910409821436</v>
      </c>
      <c r="BJ14">
        <v>442.41096185269777</v>
      </c>
      <c r="BK14">
        <v>42.28762984310675</v>
      </c>
      <c r="BL14">
        <v>12.556710702715744</v>
      </c>
      <c r="BM14">
        <v>226.47930184721855</v>
      </c>
      <c r="BN14">
        <v>741.80711201635529</v>
      </c>
      <c r="BO14">
        <v>34.311666890377019</v>
      </c>
      <c r="BP14">
        <v>52.276296398566231</v>
      </c>
      <c r="BQ14">
        <v>140.15927569761129</v>
      </c>
      <c r="BR14">
        <v>132.51695468112226</v>
      </c>
      <c r="BS14">
        <v>497.55769529346009</v>
      </c>
      <c r="BT14">
        <v>62.971221436617348</v>
      </c>
    </row>
    <row r="15" spans="1:72" x14ac:dyDescent="0.25">
      <c r="A15" t="s">
        <v>2917</v>
      </c>
      <c r="B15" t="s">
        <v>2918</v>
      </c>
      <c r="C15" t="s">
        <v>2930</v>
      </c>
      <c r="D15" t="s">
        <v>2557</v>
      </c>
      <c r="E15" t="s">
        <v>2558</v>
      </c>
      <c r="F15" t="s">
        <v>2559</v>
      </c>
      <c r="G15" t="s">
        <v>2920</v>
      </c>
      <c r="H15" t="s">
        <v>2921</v>
      </c>
      <c r="I15">
        <v>827621</v>
      </c>
      <c r="J15">
        <v>368877</v>
      </c>
      <c r="K15" t="s">
        <v>2931</v>
      </c>
      <c r="L15" t="s">
        <v>2932</v>
      </c>
      <c r="M15">
        <v>794902</v>
      </c>
      <c r="N15">
        <v>65</v>
      </c>
      <c r="O15">
        <v>19289.812999999998</v>
      </c>
      <c r="P15" t="s">
        <v>156</v>
      </c>
      <c r="Q15">
        <v>13</v>
      </c>
      <c r="R15">
        <v>11</v>
      </c>
      <c r="S15">
        <v>33</v>
      </c>
      <c r="T15">
        <v>11474029</v>
      </c>
      <c r="U15">
        <v>67</v>
      </c>
      <c r="V15">
        <v>163</v>
      </c>
      <c r="W15">
        <v>19289.812175002899</v>
      </c>
      <c r="X15">
        <v>11474028.647624191</v>
      </c>
      <c r="Y15">
        <v>122228.99400000001</v>
      </c>
      <c r="Z15">
        <f>VLOOKUP($AC15,'2017 Seattle Tracts'!$C$2:$Z$399,24,FALSE)</f>
        <v>794902.245</v>
      </c>
      <c r="AA15">
        <f t="shared" si="1"/>
        <v>0.1537660696882294</v>
      </c>
      <c r="AB15" t="s">
        <v>162</v>
      </c>
      <c r="AC15" t="str">
        <f t="shared" si="0"/>
        <v>Census Tract 81, King County, Washington</v>
      </c>
      <c r="AD15">
        <f>VLOOKUP($AC15,'2017 Seattle Tracts'!$C$2:$Z$399,AD$1,FALSE)*AA15</f>
        <v>749.14829152105358</v>
      </c>
      <c r="AE15">
        <f>VLOOKUP($AC15,'2017 Seattle Tracts'!$C$2:$Z$399,AE$1,FALSE)*AA15</f>
        <v>564.01394361642542</v>
      </c>
      <c r="AF15">
        <f>VLOOKUP($AC15,'2017 Seattle Tracts'!$C$2:$Z$399,AF$1,FALSE)*AA15</f>
        <v>185.13434790462819</v>
      </c>
      <c r="AG15">
        <f>VLOOKUP($AC15,'2017 Seattle Tracts'!$C$2:$Z$399,AG$1,FALSE)*AA15</f>
        <v>749.14829152105358</v>
      </c>
      <c r="AH15">
        <f>VLOOKUP($AC15,'2017 Seattle Tracts'!$C$2:$Z$399,AH$1,FALSE)*AA15</f>
        <v>564.01394361642542</v>
      </c>
      <c r="AI15">
        <f>VLOOKUP($AC15,'2017 Seattle Tracts'!$C$2:$Z$399,AI$1,FALSE)*AA15</f>
        <v>185.13434790462819</v>
      </c>
      <c r="AJ15">
        <f>VLOOKUP($AC15,'2017 Seattle Tracts'!$C$2:$Z$399,AJ$1,FALSE)*AA15</f>
        <v>407.01878646474319</v>
      </c>
      <c r="AK15">
        <f>VLOOKUP($AC15,'2017 Seattle Tracts'!$C$2:$Z$399,AK$1,FALSE)*AA15</f>
        <v>58.89240469059186</v>
      </c>
      <c r="AL15">
        <f>VLOOKUP($AC15,'2017 Seattle Tracts'!$C$2:$Z$399,AL$1,FALSE)*AA15</f>
        <v>11.839987365993663</v>
      </c>
      <c r="AM15">
        <f>VLOOKUP($AC15,'2017 Seattle Tracts'!$C$2:$Z$399,AM$1,FALSE)*AA15</f>
        <v>5.689344578464488</v>
      </c>
      <c r="AN15">
        <f>VLOOKUP($AC15,'2017 Seattle Tracts'!$C$2:$Z$399,AN$1,FALSE)*AA15</f>
        <v>50.435270857739241</v>
      </c>
      <c r="AO15">
        <f>VLOOKUP($AC15,'2017 Seattle Tracts'!$C$2:$Z$399,AO$1,FALSE)*AA15</f>
        <v>14.607776620381793</v>
      </c>
      <c r="AP15">
        <f>VLOOKUP($AC15,'2017 Seattle Tracts'!$C$2:$Z$399,AP$1,FALSE)*AA15</f>
        <v>20.450887268534508</v>
      </c>
      <c r="AQ15">
        <f>VLOOKUP($AC15,'2017 Seattle Tracts'!$C$2:$Z$399,AQ$1,FALSE)*AA15</f>
        <v>0</v>
      </c>
      <c r="AR15">
        <f>VLOOKUP($AC15,'2017 Seattle Tracts'!$C$2:$Z$399,AR$1,FALSE)*AA15</f>
        <v>23.679974731987325</v>
      </c>
      <c r="AS15">
        <f>VLOOKUP($AC15,'2017 Seattle Tracts'!$C$2:$Z$399,AS$1,FALSE)*AA15</f>
        <v>73.038883101908965</v>
      </c>
      <c r="AT15">
        <f>VLOOKUP($AC15,'2017 Seattle Tracts'!$C$2:$Z$399,AT$1,FALSE)*AA15</f>
        <v>1.9989589059469821</v>
      </c>
      <c r="AU15">
        <f>VLOOKUP($AC15,'2017 Seattle Tracts'!$C$2:$Z$399,AU$1,FALSE)*AA15</f>
        <v>0</v>
      </c>
      <c r="AV15">
        <f>VLOOKUP($AC15,'2017 Seattle Tracts'!$C$2:$Z$399,AV$1,FALSE)*AA15</f>
        <v>7.842069554099699</v>
      </c>
      <c r="AW15">
        <f>VLOOKUP($AC15,'2017 Seattle Tracts'!$C$2:$Z$399,AW$1,FALSE)*AA15</f>
        <v>30.291915728581191</v>
      </c>
      <c r="AX15">
        <f>VLOOKUP($AC15,'2017 Seattle Tracts'!$C$2:$Z$399,AX$1,FALSE)*AA15</f>
        <v>40.748008467380792</v>
      </c>
      <c r="AY15">
        <f>VLOOKUP($AC15,'2017 Seattle Tracts'!$C$2:$Z$399,AY$1,FALSE)*AA15</f>
        <v>2.6140231846998998</v>
      </c>
      <c r="BA15" s="2" t="s">
        <v>159</v>
      </c>
      <c r="BB15">
        <v>7023.259283606244</v>
      </c>
      <c r="BC15">
        <v>5323.9351126047377</v>
      </c>
      <c r="BD15">
        <v>1699.3241710015068</v>
      </c>
      <c r="BE15">
        <v>4063.1868081316697</v>
      </c>
      <c r="BF15">
        <v>438.59419198111158</v>
      </c>
      <c r="BG15">
        <v>119.78706756457203</v>
      </c>
      <c r="BH15">
        <v>178.87500154457203</v>
      </c>
      <c r="BI15">
        <v>488.93392323908319</v>
      </c>
      <c r="BJ15">
        <v>93.751719478380622</v>
      </c>
      <c r="BK15">
        <v>100.95402915879627</v>
      </c>
      <c r="BL15">
        <v>8.4923360929823975E-3</v>
      </c>
      <c r="BM15">
        <v>193.68257302507183</v>
      </c>
      <c r="BN15">
        <v>826.29188590254739</v>
      </c>
      <c r="BO15">
        <v>10.656575544854503</v>
      </c>
      <c r="BP15">
        <v>1.085672548237117</v>
      </c>
      <c r="BQ15">
        <v>51.024701802683573</v>
      </c>
      <c r="BR15">
        <v>137.35155630920372</v>
      </c>
      <c r="BS15">
        <v>295.70943413800535</v>
      </c>
      <c r="BT15">
        <v>23.365650901361629</v>
      </c>
    </row>
    <row r="16" spans="1:72" x14ac:dyDescent="0.25">
      <c r="A16" t="s">
        <v>2917</v>
      </c>
      <c r="B16" t="s">
        <v>2918</v>
      </c>
      <c r="C16" t="s">
        <v>2933</v>
      </c>
      <c r="D16" t="s">
        <v>2530</v>
      </c>
      <c r="E16" t="s">
        <v>2531</v>
      </c>
      <c r="F16" t="s">
        <v>2532</v>
      </c>
      <c r="G16" t="s">
        <v>2920</v>
      </c>
      <c r="H16" t="s">
        <v>2921</v>
      </c>
      <c r="I16">
        <v>1007015</v>
      </c>
      <c r="J16">
        <v>1851901</v>
      </c>
      <c r="K16" t="s">
        <v>2934</v>
      </c>
      <c r="L16" t="s">
        <v>2935</v>
      </c>
      <c r="M16">
        <v>962512</v>
      </c>
      <c r="N16">
        <v>1</v>
      </c>
      <c r="O16">
        <v>617.84300000000007</v>
      </c>
      <c r="Q16">
        <v>0</v>
      </c>
      <c r="R16">
        <v>0</v>
      </c>
      <c r="S16">
        <v>0</v>
      </c>
      <c r="T16">
        <v>3588.4430000000002</v>
      </c>
      <c r="U16">
        <v>2</v>
      </c>
      <c r="V16">
        <v>0</v>
      </c>
      <c r="W16">
        <v>617.8426138070929</v>
      </c>
      <c r="X16">
        <v>3588.4423845993092</v>
      </c>
      <c r="Y16">
        <v>184.999</v>
      </c>
      <c r="Z16">
        <f>VLOOKUP($AC16,'2017 Seattle Tracts'!$C$2:$Z$399,24,FALSE)</f>
        <v>962511.60800000001</v>
      </c>
      <c r="AA16">
        <f t="shared" si="1"/>
        <v>1.9220443521134135E-4</v>
      </c>
      <c r="AB16" t="s">
        <v>115</v>
      </c>
      <c r="AC16" t="str">
        <f t="shared" si="0"/>
        <v>Census Tract 9, King County, Washington</v>
      </c>
      <c r="AD16">
        <f>VLOOKUP($AC16,'2017 Seattle Tracts'!$C$2:$Z$399,AD$1,FALSE)*AA16</f>
        <v>0.37902714623676514</v>
      </c>
      <c r="AE16">
        <f>VLOOKUP($AC16,'2017 Seattle Tracts'!$C$2:$Z$399,AE$1,FALSE)*AA16</f>
        <v>0.32770856203533699</v>
      </c>
      <c r="AF16">
        <f>VLOOKUP($AC16,'2017 Seattle Tracts'!$C$2:$Z$399,AF$1,FALSE)*AA16</f>
        <v>5.1318584201428138E-2</v>
      </c>
      <c r="AG16">
        <f>VLOOKUP($AC16,'2017 Seattle Tracts'!$C$2:$Z$399,AG$1,FALSE)*AA16</f>
        <v>0.37902714623676514</v>
      </c>
      <c r="AH16">
        <f>VLOOKUP($AC16,'2017 Seattle Tracts'!$C$2:$Z$399,AH$1,FALSE)*AA16</f>
        <v>0.32770856203533699</v>
      </c>
      <c r="AI16">
        <f>VLOOKUP($AC16,'2017 Seattle Tracts'!$C$2:$Z$399,AI$1,FALSE)*AA16</f>
        <v>5.1318584201428138E-2</v>
      </c>
      <c r="AJ16">
        <f>VLOOKUP($AC16,'2017 Seattle Tracts'!$C$2:$Z$399,AJ$1,FALSE)*AA16</f>
        <v>0.27696659113954286</v>
      </c>
      <c r="AK16">
        <f>VLOOKUP($AC16,'2017 Seattle Tracts'!$C$2:$Z$399,AK$1,FALSE)*AA16</f>
        <v>2.0758079002824864E-2</v>
      </c>
      <c r="AL16">
        <f>VLOOKUP($AC16,'2017 Seattle Tracts'!$C$2:$Z$399,AL$1,FALSE)*AA16</f>
        <v>6.1505419267629232E-3</v>
      </c>
      <c r="AM16">
        <f>VLOOKUP($AC16,'2017 Seattle Tracts'!$C$2:$Z$399,AM$1,FALSE)*AA16</f>
        <v>4.0362931394381683E-3</v>
      </c>
      <c r="AN16">
        <f>VLOOKUP($AC16,'2017 Seattle Tracts'!$C$2:$Z$399,AN$1,FALSE)*AA16</f>
        <v>4.2284975746495097E-3</v>
      </c>
      <c r="AO16">
        <f>VLOOKUP($AC16,'2017 Seattle Tracts'!$C$2:$Z$399,AO$1,FALSE)*AA16</f>
        <v>0</v>
      </c>
      <c r="AP16">
        <f>VLOOKUP($AC16,'2017 Seattle Tracts'!$C$2:$Z$399,AP$1,FALSE)*AA16</f>
        <v>1.1532266112680481E-3</v>
      </c>
      <c r="AQ16">
        <f>VLOOKUP($AC16,'2017 Seattle Tracts'!$C$2:$Z$399,AQ$1,FALSE)*AA16</f>
        <v>4.6129064450721926E-3</v>
      </c>
      <c r="AR16">
        <f>VLOOKUP($AC16,'2017 Seattle Tracts'!$C$2:$Z$399,AR$1,FALSE)*AA16</f>
        <v>2.0950283438036208E-2</v>
      </c>
      <c r="AS16">
        <f>VLOOKUP($AC16,'2017 Seattle Tracts'!$C$2:$Z$399,AS$1,FALSE)*AA16</f>
        <v>2.0565874567613524E-2</v>
      </c>
      <c r="AT16">
        <f>VLOOKUP($AC16,'2017 Seattle Tracts'!$C$2:$Z$399,AT$1,FALSE)*AA16</f>
        <v>6.3427463619742646E-3</v>
      </c>
      <c r="AU16">
        <f>VLOOKUP($AC16,'2017 Seattle Tracts'!$C$2:$Z$399,AU$1,FALSE)*AA16</f>
        <v>0</v>
      </c>
      <c r="AV16">
        <f>VLOOKUP($AC16,'2017 Seattle Tracts'!$C$2:$Z$399,AV$1,FALSE)*AA16</f>
        <v>2.1142487873247549E-3</v>
      </c>
      <c r="AW16">
        <f>VLOOKUP($AC16,'2017 Seattle Tracts'!$C$2:$Z$399,AW$1,FALSE)*AA16</f>
        <v>0</v>
      </c>
      <c r="AX16">
        <f>VLOOKUP($AC16,'2017 Seattle Tracts'!$C$2:$Z$399,AX$1,FALSE)*AA16</f>
        <v>9.8024261957784086E-3</v>
      </c>
      <c r="AY16">
        <f>VLOOKUP($AC16,'2017 Seattle Tracts'!$C$2:$Z$399,AY$1,FALSE)*AA16</f>
        <v>1.3454310464793894E-3</v>
      </c>
      <c r="BA16" s="2" t="s">
        <v>189</v>
      </c>
      <c r="BB16">
        <v>11808.904061273601</v>
      </c>
      <c r="BC16">
        <v>8517.0822779630544</v>
      </c>
      <c r="BD16">
        <v>3291.8217833105468</v>
      </c>
      <c r="BE16">
        <v>4411.430232666291</v>
      </c>
      <c r="BF16">
        <v>247.61368203481385</v>
      </c>
      <c r="BG16">
        <v>238.53836899902115</v>
      </c>
      <c r="BH16">
        <v>187.95715203481186</v>
      </c>
      <c r="BI16">
        <v>2368.1000790525109</v>
      </c>
      <c r="BJ16">
        <v>1063.4416646859199</v>
      </c>
      <c r="BK16">
        <v>66.28367474377491</v>
      </c>
      <c r="BL16">
        <v>13.988506304642675</v>
      </c>
      <c r="BM16">
        <v>780.57437750870508</v>
      </c>
      <c r="BN16">
        <v>1637.9107397458633</v>
      </c>
      <c r="BO16">
        <v>23.299411244878993</v>
      </c>
      <c r="BP16">
        <v>11.45355577155488</v>
      </c>
      <c r="BQ16">
        <v>6.6146539795470964</v>
      </c>
      <c r="BR16">
        <v>51.142512906816513</v>
      </c>
      <c r="BS16">
        <v>622.24147976832467</v>
      </c>
      <c r="BT16">
        <v>78.313969826123667</v>
      </c>
    </row>
    <row r="17" spans="1:72" x14ac:dyDescent="0.25">
      <c r="A17" t="s">
        <v>2917</v>
      </c>
      <c r="B17" t="s">
        <v>2918</v>
      </c>
      <c r="C17" t="s">
        <v>2933</v>
      </c>
      <c r="D17" t="s">
        <v>2530</v>
      </c>
      <c r="E17" t="s">
        <v>2531</v>
      </c>
      <c r="F17" t="s">
        <v>2532</v>
      </c>
      <c r="G17" t="s">
        <v>2920</v>
      </c>
      <c r="H17" t="s">
        <v>2921</v>
      </c>
      <c r="I17">
        <v>1007015</v>
      </c>
      <c r="J17">
        <v>1851901</v>
      </c>
      <c r="K17" t="s">
        <v>2934</v>
      </c>
      <c r="L17" t="s">
        <v>2935</v>
      </c>
      <c r="M17">
        <v>962512</v>
      </c>
      <c r="N17">
        <v>103</v>
      </c>
      <c r="O17">
        <v>31987.734</v>
      </c>
      <c r="P17" t="s">
        <v>207</v>
      </c>
      <c r="Q17">
        <v>3</v>
      </c>
      <c r="R17">
        <v>3</v>
      </c>
      <c r="S17">
        <v>95</v>
      </c>
      <c r="T17">
        <v>30977390</v>
      </c>
      <c r="U17">
        <v>105</v>
      </c>
      <c r="V17">
        <v>107</v>
      </c>
      <c r="W17">
        <v>31987.735324847999</v>
      </c>
      <c r="X17">
        <v>30977390.242551979</v>
      </c>
      <c r="Y17">
        <v>842545.74800000002</v>
      </c>
      <c r="Z17">
        <f>VLOOKUP($AC17,'2017 Seattle Tracts'!$C$2:$Z$399,24,FALSE)</f>
        <v>962511.60800000001</v>
      </c>
      <c r="AA17">
        <f t="shared" si="1"/>
        <v>0.87536164862543664</v>
      </c>
      <c r="AB17" t="s">
        <v>208</v>
      </c>
      <c r="AC17" t="str">
        <f t="shared" si="0"/>
        <v>Census Tract 9, King County, Washington</v>
      </c>
      <c r="AD17">
        <f>VLOOKUP($AC17,'2017 Seattle Tracts'!$C$2:$Z$399,AD$1,FALSE)*AA17</f>
        <v>1726.2131710893611</v>
      </c>
      <c r="AE17">
        <f>VLOOKUP($AC17,'2017 Seattle Tracts'!$C$2:$Z$399,AE$1,FALSE)*AA17</f>
        <v>1492.4916109063695</v>
      </c>
      <c r="AF17">
        <f>VLOOKUP($AC17,'2017 Seattle Tracts'!$C$2:$Z$399,AF$1,FALSE)*AA17</f>
        <v>233.7215601829916</v>
      </c>
      <c r="AG17">
        <f>VLOOKUP($AC17,'2017 Seattle Tracts'!$C$2:$Z$399,AG$1,FALSE)*AA17</f>
        <v>1726.2131710893611</v>
      </c>
      <c r="AH17">
        <f>VLOOKUP($AC17,'2017 Seattle Tracts'!$C$2:$Z$399,AH$1,FALSE)*AA17</f>
        <v>1492.4916109063695</v>
      </c>
      <c r="AI17">
        <f>VLOOKUP($AC17,'2017 Seattle Tracts'!$C$2:$Z$399,AI$1,FALSE)*AA17</f>
        <v>233.7215601829916</v>
      </c>
      <c r="AJ17">
        <f>VLOOKUP($AC17,'2017 Seattle Tracts'!$C$2:$Z$399,AJ$1,FALSE)*AA17</f>
        <v>1261.3961356692541</v>
      </c>
      <c r="AK17">
        <f>VLOOKUP($AC17,'2017 Seattle Tracts'!$C$2:$Z$399,AK$1,FALSE)*AA17</f>
        <v>94.539058051547158</v>
      </c>
      <c r="AL17">
        <f>VLOOKUP($AC17,'2017 Seattle Tracts'!$C$2:$Z$399,AL$1,FALSE)*AA17</f>
        <v>28.011572756013972</v>
      </c>
      <c r="AM17">
        <f>VLOOKUP($AC17,'2017 Seattle Tracts'!$C$2:$Z$399,AM$1,FALSE)*AA17</f>
        <v>18.382594621134171</v>
      </c>
      <c r="AN17">
        <f>VLOOKUP($AC17,'2017 Seattle Tracts'!$C$2:$Z$399,AN$1,FALSE)*AA17</f>
        <v>19.257956269759607</v>
      </c>
      <c r="AO17">
        <f>VLOOKUP($AC17,'2017 Seattle Tracts'!$C$2:$Z$399,AO$1,FALSE)*AA17</f>
        <v>0</v>
      </c>
      <c r="AP17">
        <f>VLOOKUP($AC17,'2017 Seattle Tracts'!$C$2:$Z$399,AP$1,FALSE)*AA17</f>
        <v>5.2521698917526196</v>
      </c>
      <c r="AQ17">
        <f>VLOOKUP($AC17,'2017 Seattle Tracts'!$C$2:$Z$399,AQ$1,FALSE)*AA17</f>
        <v>21.008679567010478</v>
      </c>
      <c r="AR17">
        <f>VLOOKUP($AC17,'2017 Seattle Tracts'!$C$2:$Z$399,AR$1,FALSE)*AA17</f>
        <v>95.414419700172587</v>
      </c>
      <c r="AS17">
        <f>VLOOKUP($AC17,'2017 Seattle Tracts'!$C$2:$Z$399,AS$1,FALSE)*AA17</f>
        <v>93.663696402921715</v>
      </c>
      <c r="AT17">
        <f>VLOOKUP($AC17,'2017 Seattle Tracts'!$C$2:$Z$399,AT$1,FALSE)*AA17</f>
        <v>28.886934404639408</v>
      </c>
      <c r="AU17">
        <f>VLOOKUP($AC17,'2017 Seattle Tracts'!$C$2:$Z$399,AU$1,FALSE)*AA17</f>
        <v>0</v>
      </c>
      <c r="AV17">
        <f>VLOOKUP($AC17,'2017 Seattle Tracts'!$C$2:$Z$399,AV$1,FALSE)*AA17</f>
        <v>9.6289781348798034</v>
      </c>
      <c r="AW17">
        <f>VLOOKUP($AC17,'2017 Seattle Tracts'!$C$2:$Z$399,AW$1,FALSE)*AA17</f>
        <v>0</v>
      </c>
      <c r="AX17">
        <f>VLOOKUP($AC17,'2017 Seattle Tracts'!$C$2:$Z$399,AX$1,FALSE)*AA17</f>
        <v>44.643444079897272</v>
      </c>
      <c r="AY17">
        <f>VLOOKUP($AC17,'2017 Seattle Tracts'!$C$2:$Z$399,AY$1,FALSE)*AA17</f>
        <v>6.1275315403780564</v>
      </c>
      <c r="BA17" s="2" t="s">
        <v>220</v>
      </c>
      <c r="BB17">
        <v>4291.6045851394911</v>
      </c>
      <c r="BC17">
        <v>3659.6985169265113</v>
      </c>
      <c r="BD17">
        <v>631.90606821297956</v>
      </c>
      <c r="BE17">
        <v>3027.7264625143025</v>
      </c>
      <c r="BF17">
        <v>262.75054556530671</v>
      </c>
      <c r="BG17">
        <v>70.341496676028356</v>
      </c>
      <c r="BH17">
        <v>66.332225784619624</v>
      </c>
      <c r="BI17">
        <v>40.674209998684475</v>
      </c>
      <c r="BJ17">
        <v>6.6648197238309379</v>
      </c>
      <c r="BK17">
        <v>24.923810594201917</v>
      </c>
      <c r="BL17">
        <v>0</v>
      </c>
      <c r="BM17">
        <v>168.16301142312085</v>
      </c>
      <c r="BN17">
        <v>208.21326308927152</v>
      </c>
      <c r="BO17">
        <v>0</v>
      </c>
      <c r="BP17">
        <v>1.9126446883878264E-3</v>
      </c>
      <c r="BQ17">
        <v>52.544496048206078</v>
      </c>
      <c r="BR17">
        <v>8.4799059721303642</v>
      </c>
      <c r="BS17">
        <v>275.32502967196694</v>
      </c>
      <c r="BT17">
        <v>79.463395433132007</v>
      </c>
    </row>
    <row r="18" spans="1:72" x14ac:dyDescent="0.25">
      <c r="A18" t="s">
        <v>2917</v>
      </c>
      <c r="B18" t="s">
        <v>2918</v>
      </c>
      <c r="C18" t="s">
        <v>2933</v>
      </c>
      <c r="D18" t="s">
        <v>2530</v>
      </c>
      <c r="E18" t="s">
        <v>2531</v>
      </c>
      <c r="F18" t="s">
        <v>2532</v>
      </c>
      <c r="G18" t="s">
        <v>2920</v>
      </c>
      <c r="H18" t="s">
        <v>2921</v>
      </c>
      <c r="I18">
        <v>1007015</v>
      </c>
      <c r="J18">
        <v>1851901</v>
      </c>
      <c r="K18" t="s">
        <v>2934</v>
      </c>
      <c r="L18" t="s">
        <v>2935</v>
      </c>
      <c r="M18">
        <v>962512</v>
      </c>
      <c r="N18">
        <v>106</v>
      </c>
      <c r="O18">
        <v>22788.76</v>
      </c>
      <c r="P18" t="s">
        <v>207</v>
      </c>
      <c r="Q18">
        <v>3</v>
      </c>
      <c r="R18">
        <v>3</v>
      </c>
      <c r="S18">
        <v>19</v>
      </c>
      <c r="T18">
        <v>20441486</v>
      </c>
      <c r="U18">
        <v>108</v>
      </c>
      <c r="V18">
        <v>105</v>
      </c>
      <c r="W18">
        <v>22788.760382662011</v>
      </c>
      <c r="X18">
        <v>20441485.84874605</v>
      </c>
      <c r="Y18">
        <v>105517.482</v>
      </c>
      <c r="Z18">
        <f>VLOOKUP($AC18,'2017 Seattle Tracts'!$C$2:$Z$399,24,FALSE)</f>
        <v>962511.60800000001</v>
      </c>
      <c r="AA18">
        <f t="shared" si="1"/>
        <v>0.10962723059439716</v>
      </c>
      <c r="AB18" t="s">
        <v>211</v>
      </c>
      <c r="AC18" t="str">
        <f t="shared" si="0"/>
        <v>Census Tract 9, King County, Washington</v>
      </c>
      <c r="AD18">
        <f>VLOOKUP($AC18,'2017 Seattle Tracts'!$C$2:$Z$399,AD$1,FALSE)*AA18</f>
        <v>216.1848987321512</v>
      </c>
      <c r="AE18">
        <f>VLOOKUP($AC18,'2017 Seattle Tracts'!$C$2:$Z$399,AE$1,FALSE)*AA18</f>
        <v>186.91442816344716</v>
      </c>
      <c r="AF18">
        <f>VLOOKUP($AC18,'2017 Seattle Tracts'!$C$2:$Z$399,AF$1,FALSE)*AA18</f>
        <v>29.270470568704042</v>
      </c>
      <c r="AG18">
        <f>VLOOKUP($AC18,'2017 Seattle Tracts'!$C$2:$Z$399,AG$1,FALSE)*AA18</f>
        <v>216.1848987321512</v>
      </c>
      <c r="AH18">
        <f>VLOOKUP($AC18,'2017 Seattle Tracts'!$C$2:$Z$399,AH$1,FALSE)*AA18</f>
        <v>186.91442816344716</v>
      </c>
      <c r="AI18">
        <f>VLOOKUP($AC18,'2017 Seattle Tracts'!$C$2:$Z$399,AI$1,FALSE)*AA18</f>
        <v>29.270470568704042</v>
      </c>
      <c r="AJ18">
        <f>VLOOKUP($AC18,'2017 Seattle Tracts'!$C$2:$Z$399,AJ$1,FALSE)*AA18</f>
        <v>157.97283928652632</v>
      </c>
      <c r="AK18">
        <f>VLOOKUP($AC18,'2017 Seattle Tracts'!$C$2:$Z$399,AK$1,FALSE)*AA18</f>
        <v>11.839740904194894</v>
      </c>
      <c r="AL18">
        <f>VLOOKUP($AC18,'2017 Seattle Tracts'!$C$2:$Z$399,AL$1,FALSE)*AA18</f>
        <v>3.5080713790207092</v>
      </c>
      <c r="AM18">
        <f>VLOOKUP($AC18,'2017 Seattle Tracts'!$C$2:$Z$399,AM$1,FALSE)*AA18</f>
        <v>2.3021718424823403</v>
      </c>
      <c r="AN18">
        <f>VLOOKUP($AC18,'2017 Seattle Tracts'!$C$2:$Z$399,AN$1,FALSE)*AA18</f>
        <v>2.4117990730767378</v>
      </c>
      <c r="AO18">
        <f>VLOOKUP($AC18,'2017 Seattle Tracts'!$C$2:$Z$399,AO$1,FALSE)*AA18</f>
        <v>0</v>
      </c>
      <c r="AP18">
        <f>VLOOKUP($AC18,'2017 Seattle Tracts'!$C$2:$Z$399,AP$1,FALSE)*AA18</f>
        <v>0.65776338356638298</v>
      </c>
      <c r="AQ18">
        <f>VLOOKUP($AC18,'2017 Seattle Tracts'!$C$2:$Z$399,AQ$1,FALSE)*AA18</f>
        <v>2.6310535342655319</v>
      </c>
      <c r="AR18">
        <f>VLOOKUP($AC18,'2017 Seattle Tracts'!$C$2:$Z$399,AR$1,FALSE)*AA18</f>
        <v>11.949368134789291</v>
      </c>
      <c r="AS18">
        <f>VLOOKUP($AC18,'2017 Seattle Tracts'!$C$2:$Z$399,AS$1,FALSE)*AA18</f>
        <v>11.730113673600496</v>
      </c>
      <c r="AT18">
        <f>VLOOKUP($AC18,'2017 Seattle Tracts'!$C$2:$Z$399,AT$1,FALSE)*AA18</f>
        <v>3.6176986096151063</v>
      </c>
      <c r="AU18">
        <f>VLOOKUP($AC18,'2017 Seattle Tracts'!$C$2:$Z$399,AU$1,FALSE)*AA18</f>
        <v>0</v>
      </c>
      <c r="AV18">
        <f>VLOOKUP($AC18,'2017 Seattle Tracts'!$C$2:$Z$399,AV$1,FALSE)*AA18</f>
        <v>1.2058995365383689</v>
      </c>
      <c r="AW18">
        <f>VLOOKUP($AC18,'2017 Seattle Tracts'!$C$2:$Z$399,AW$1,FALSE)*AA18</f>
        <v>0</v>
      </c>
      <c r="AX18">
        <f>VLOOKUP($AC18,'2017 Seattle Tracts'!$C$2:$Z$399,AX$1,FALSE)*AA18</f>
        <v>5.5909887603142554</v>
      </c>
      <c r="AY18">
        <f>VLOOKUP($AC18,'2017 Seattle Tracts'!$C$2:$Z$399,AY$1,FALSE)*AA18</f>
        <v>0.76739061416078014</v>
      </c>
      <c r="BA18" s="2" t="s">
        <v>185</v>
      </c>
      <c r="BB18">
        <v>5932.020724178451</v>
      </c>
      <c r="BC18">
        <v>3539.7064903562809</v>
      </c>
      <c r="BD18">
        <v>2392.3142338221696</v>
      </c>
      <c r="BE18">
        <v>1096.9888756884814</v>
      </c>
      <c r="BF18">
        <v>44.068310136304731</v>
      </c>
      <c r="BG18">
        <v>194.47263099112502</v>
      </c>
      <c r="BH18">
        <v>105.72292100267906</v>
      </c>
      <c r="BI18">
        <v>1116.4389052092336</v>
      </c>
      <c r="BJ18">
        <v>689.60845311738296</v>
      </c>
      <c r="BK18">
        <v>23.723000370378376</v>
      </c>
      <c r="BL18">
        <v>11.505267217613588</v>
      </c>
      <c r="BM18">
        <v>362.13806998756758</v>
      </c>
      <c r="BN18">
        <v>1156.4905325711302</v>
      </c>
      <c r="BO18">
        <v>10.021944444297995</v>
      </c>
      <c r="BP18">
        <v>11.871449758427969</v>
      </c>
      <c r="BQ18">
        <v>112.68278637931691</v>
      </c>
      <c r="BR18">
        <v>327.38741505807383</v>
      </c>
      <c r="BS18">
        <v>623.24027728588032</v>
      </c>
      <c r="BT18">
        <v>45.659884960557605</v>
      </c>
    </row>
    <row r="19" spans="1:72" x14ac:dyDescent="0.25">
      <c r="A19" t="s">
        <v>2917</v>
      </c>
      <c r="B19" t="s">
        <v>2918</v>
      </c>
      <c r="C19" t="s">
        <v>2936</v>
      </c>
      <c r="D19" t="s">
        <v>2653</v>
      </c>
      <c r="E19" t="s">
        <v>2654</v>
      </c>
      <c r="F19" t="s">
        <v>2655</v>
      </c>
      <c r="G19" t="s">
        <v>2920</v>
      </c>
      <c r="H19" t="s">
        <v>2921</v>
      </c>
      <c r="I19">
        <v>1199276</v>
      </c>
      <c r="J19">
        <v>647090</v>
      </c>
      <c r="K19" t="s">
        <v>2937</v>
      </c>
      <c r="L19" t="s">
        <v>2938</v>
      </c>
      <c r="M19">
        <v>1173331</v>
      </c>
      <c r="N19">
        <v>32</v>
      </c>
      <c r="O19">
        <v>33040.245999999999</v>
      </c>
      <c r="P19" t="s">
        <v>122</v>
      </c>
      <c r="Q19">
        <v>6</v>
      </c>
      <c r="R19">
        <v>9</v>
      </c>
      <c r="S19">
        <v>19</v>
      </c>
      <c r="T19">
        <v>42068344</v>
      </c>
      <c r="U19">
        <v>34</v>
      </c>
      <c r="V19">
        <v>133</v>
      </c>
      <c r="W19">
        <v>33040.246986119782</v>
      </c>
      <c r="X19">
        <v>42068342.613789164</v>
      </c>
      <c r="Y19">
        <v>845090.87100000004</v>
      </c>
      <c r="Z19">
        <f>VLOOKUP($AC19,'2017 Seattle Tracts'!$C$2:$Z$399,24,FALSE)</f>
        <v>1173331.1029999999</v>
      </c>
      <c r="AA19">
        <f t="shared" si="1"/>
        <v>0.72024927050791743</v>
      </c>
      <c r="AB19" t="s">
        <v>123</v>
      </c>
      <c r="AC19" t="str">
        <f t="shared" si="0"/>
        <v>Census Tract 54, King County, Washington</v>
      </c>
      <c r="AD19">
        <f>VLOOKUP($AC19,'2017 Seattle Tracts'!$C$2:$Z$399,AD$1,FALSE)*AA19</f>
        <v>4093.1766042964946</v>
      </c>
      <c r="AE19">
        <f>VLOOKUP($AC19,'2017 Seattle Tracts'!$C$2:$Z$399,AE$1,FALSE)*AA19</f>
        <v>3601.9666018100952</v>
      </c>
      <c r="AF19">
        <f>VLOOKUP($AC19,'2017 Seattle Tracts'!$C$2:$Z$399,AF$1,FALSE)*AA19</f>
        <v>491.21000248639967</v>
      </c>
      <c r="AG19">
        <f>VLOOKUP($AC19,'2017 Seattle Tracts'!$C$2:$Z$399,AG$1,FALSE)*AA19</f>
        <v>4093.1766042964946</v>
      </c>
      <c r="AH19">
        <f>VLOOKUP($AC19,'2017 Seattle Tracts'!$C$2:$Z$399,AH$1,FALSE)*AA19</f>
        <v>3601.9666018100952</v>
      </c>
      <c r="AI19">
        <f>VLOOKUP($AC19,'2017 Seattle Tracts'!$C$2:$Z$399,AI$1,FALSE)*AA19</f>
        <v>491.21000248639967</v>
      </c>
      <c r="AJ19">
        <f>VLOOKUP($AC19,'2017 Seattle Tracts'!$C$2:$Z$399,AJ$1,FALSE)*AA19</f>
        <v>3017.8444434281741</v>
      </c>
      <c r="AK19">
        <f>VLOOKUP($AC19,'2017 Seattle Tracts'!$C$2:$Z$399,AK$1,FALSE)*AA19</f>
        <v>213.19378407034355</v>
      </c>
      <c r="AL19">
        <f>VLOOKUP($AC19,'2017 Seattle Tracts'!$C$2:$Z$399,AL$1,FALSE)*AA19</f>
        <v>84.269164649426344</v>
      </c>
      <c r="AM19">
        <f>VLOOKUP($AC19,'2017 Seattle Tracts'!$C$2:$Z$399,AM$1,FALSE)*AA19</f>
        <v>0</v>
      </c>
      <c r="AN19">
        <f>VLOOKUP($AC19,'2017 Seattle Tracts'!$C$2:$Z$399,AN$1,FALSE)*AA19</f>
        <v>54.738944558601723</v>
      </c>
      <c r="AO19">
        <f>VLOOKUP($AC19,'2017 Seattle Tracts'!$C$2:$Z$399,AO$1,FALSE)*AA19</f>
        <v>0</v>
      </c>
      <c r="AP19">
        <f>VLOOKUP($AC19,'2017 Seattle Tracts'!$C$2:$Z$399,AP$1,FALSE)*AA19</f>
        <v>0</v>
      </c>
      <c r="AQ19">
        <f>VLOOKUP($AC19,'2017 Seattle Tracts'!$C$2:$Z$399,AQ$1,FALSE)*AA19</f>
        <v>0</v>
      </c>
      <c r="AR19">
        <f>VLOOKUP($AC19,'2017 Seattle Tracts'!$C$2:$Z$399,AR$1,FALSE)*AA19</f>
        <v>197.34830011916938</v>
      </c>
      <c r="AS19">
        <f>VLOOKUP($AC19,'2017 Seattle Tracts'!$C$2:$Z$399,AS$1,FALSE)*AA19</f>
        <v>157.01434097072601</v>
      </c>
      <c r="AT19">
        <f>VLOOKUP($AC19,'2017 Seattle Tracts'!$C$2:$Z$399,AT$1,FALSE)*AA19</f>
        <v>0</v>
      </c>
      <c r="AU19">
        <f>VLOOKUP($AC19,'2017 Seattle Tracts'!$C$2:$Z$399,AU$1,FALSE)*AA19</f>
        <v>0</v>
      </c>
      <c r="AV19">
        <f>VLOOKUP($AC19,'2017 Seattle Tracts'!$C$2:$Z$399,AV$1,FALSE)*AA19</f>
        <v>0</v>
      </c>
      <c r="AW19">
        <f>VLOOKUP($AC19,'2017 Seattle Tracts'!$C$2:$Z$399,AW$1,FALSE)*AA19</f>
        <v>10.803739057618762</v>
      </c>
      <c r="AX19">
        <f>VLOOKUP($AC19,'2017 Seattle Tracts'!$C$2:$Z$399,AX$1,FALSE)*AA19</f>
        <v>247.76574905472359</v>
      </c>
      <c r="AY19">
        <f>VLOOKUP($AC19,'2017 Seattle Tracts'!$C$2:$Z$399,AY$1,FALSE)*AA19</f>
        <v>110.19813838771137</v>
      </c>
      <c r="BA19" s="2" t="s">
        <v>135</v>
      </c>
      <c r="BB19">
        <v>10799.249706524424</v>
      </c>
      <c r="BC19">
        <v>8491.2031755794651</v>
      </c>
      <c r="BD19">
        <v>2308.0465309449596</v>
      </c>
      <c r="BE19">
        <v>7200.6314828531094</v>
      </c>
      <c r="BF19">
        <v>981.8550332714035</v>
      </c>
      <c r="BG19">
        <v>124.9953296978004</v>
      </c>
      <c r="BH19">
        <v>36.36307583053928</v>
      </c>
      <c r="BI19">
        <v>75.68171871324239</v>
      </c>
      <c r="BJ19">
        <v>0</v>
      </c>
      <c r="BK19">
        <v>91.230163647131477</v>
      </c>
      <c r="BL19">
        <v>0</v>
      </c>
      <c r="BM19">
        <v>409.98171992319652</v>
      </c>
      <c r="BN19">
        <v>1149.1900674922276</v>
      </c>
      <c r="BO19">
        <v>15.387396432453279</v>
      </c>
      <c r="BP19">
        <v>0</v>
      </c>
      <c r="BQ19">
        <v>35.721158867090665</v>
      </c>
      <c r="BR19">
        <v>13.14332340334385</v>
      </c>
      <c r="BS19">
        <v>537.57420544544016</v>
      </c>
      <c r="BT19">
        <v>127.49503094744554</v>
      </c>
    </row>
    <row r="20" spans="1:72" x14ac:dyDescent="0.25">
      <c r="A20" t="s">
        <v>2917</v>
      </c>
      <c r="B20" t="s">
        <v>2918</v>
      </c>
      <c r="C20" t="s">
        <v>2936</v>
      </c>
      <c r="D20" t="s">
        <v>2653</v>
      </c>
      <c r="E20" t="s">
        <v>2654</v>
      </c>
      <c r="F20" t="s">
        <v>2655</v>
      </c>
      <c r="G20" t="s">
        <v>2920</v>
      </c>
      <c r="H20" t="s">
        <v>2921</v>
      </c>
      <c r="I20">
        <v>1199276</v>
      </c>
      <c r="J20">
        <v>647090</v>
      </c>
      <c r="K20" t="s">
        <v>2937</v>
      </c>
      <c r="L20" t="s">
        <v>2938</v>
      </c>
      <c r="M20">
        <v>1173331</v>
      </c>
      <c r="N20">
        <v>33</v>
      </c>
      <c r="O20">
        <v>25999.285</v>
      </c>
      <c r="P20" t="s">
        <v>122</v>
      </c>
      <c r="Q20">
        <v>6</v>
      </c>
      <c r="R20">
        <v>9</v>
      </c>
      <c r="S20">
        <v>94</v>
      </c>
      <c r="T20">
        <v>26503756</v>
      </c>
      <c r="U20">
        <v>35</v>
      </c>
      <c r="V20">
        <v>137</v>
      </c>
      <c r="W20">
        <v>25999.284935718741</v>
      </c>
      <c r="X20">
        <v>26503756.57148983</v>
      </c>
      <c r="Y20">
        <v>325271.35100000002</v>
      </c>
      <c r="Z20">
        <f>VLOOKUP($AC20,'2017 Seattle Tracts'!$C$2:$Z$399,24,FALSE)</f>
        <v>1173331.1029999999</v>
      </c>
      <c r="AA20">
        <f t="shared" si="1"/>
        <v>0.2772204283755359</v>
      </c>
      <c r="AB20" t="s">
        <v>124</v>
      </c>
      <c r="AC20" t="str">
        <f t="shared" si="0"/>
        <v>Census Tract 54, King County, Washington</v>
      </c>
      <c r="AD20">
        <f>VLOOKUP($AC20,'2017 Seattle Tracts'!$C$2:$Z$399,AD$1,FALSE)*AA20</f>
        <v>1575.4436944581705</v>
      </c>
      <c r="AE20">
        <f>VLOOKUP($AC20,'2017 Seattle Tracts'!$C$2:$Z$399,AE$1,FALSE)*AA20</f>
        <v>1386.3793623060551</v>
      </c>
      <c r="AF20">
        <f>VLOOKUP($AC20,'2017 Seattle Tracts'!$C$2:$Z$399,AF$1,FALSE)*AA20</f>
        <v>189.06433215211547</v>
      </c>
      <c r="AG20">
        <f>VLOOKUP($AC20,'2017 Seattle Tracts'!$C$2:$Z$399,AG$1,FALSE)*AA20</f>
        <v>1575.4436944581705</v>
      </c>
      <c r="AH20">
        <f>VLOOKUP($AC20,'2017 Seattle Tracts'!$C$2:$Z$399,AH$1,FALSE)*AA20</f>
        <v>1386.3793623060551</v>
      </c>
      <c r="AI20">
        <f>VLOOKUP($AC20,'2017 Seattle Tracts'!$C$2:$Z$399,AI$1,FALSE)*AA20</f>
        <v>189.06433215211547</v>
      </c>
      <c r="AJ20">
        <f>VLOOKUP($AC20,'2017 Seattle Tracts'!$C$2:$Z$399,AJ$1,FALSE)*AA20</f>
        <v>1161.5535948934955</v>
      </c>
      <c r="AK20">
        <f>VLOOKUP($AC20,'2017 Seattle Tracts'!$C$2:$Z$399,AK$1,FALSE)*AA20</f>
        <v>82.057246799158619</v>
      </c>
      <c r="AL20">
        <f>VLOOKUP($AC20,'2017 Seattle Tracts'!$C$2:$Z$399,AL$1,FALSE)*AA20</f>
        <v>32.434790119937702</v>
      </c>
      <c r="AM20">
        <f>VLOOKUP($AC20,'2017 Seattle Tracts'!$C$2:$Z$399,AM$1,FALSE)*AA20</f>
        <v>0</v>
      </c>
      <c r="AN20">
        <f>VLOOKUP($AC20,'2017 Seattle Tracts'!$C$2:$Z$399,AN$1,FALSE)*AA20</f>
        <v>21.06875255654073</v>
      </c>
      <c r="AO20">
        <f>VLOOKUP($AC20,'2017 Seattle Tracts'!$C$2:$Z$399,AO$1,FALSE)*AA20</f>
        <v>0</v>
      </c>
      <c r="AP20">
        <f>VLOOKUP($AC20,'2017 Seattle Tracts'!$C$2:$Z$399,AP$1,FALSE)*AA20</f>
        <v>0</v>
      </c>
      <c r="AQ20">
        <f>VLOOKUP($AC20,'2017 Seattle Tracts'!$C$2:$Z$399,AQ$1,FALSE)*AA20</f>
        <v>0</v>
      </c>
      <c r="AR20">
        <f>VLOOKUP($AC20,'2017 Seattle Tracts'!$C$2:$Z$399,AR$1,FALSE)*AA20</f>
        <v>75.958397374896833</v>
      </c>
      <c r="AS20">
        <f>VLOOKUP($AC20,'2017 Seattle Tracts'!$C$2:$Z$399,AS$1,FALSE)*AA20</f>
        <v>60.434053385866825</v>
      </c>
      <c r="AT20">
        <f>VLOOKUP($AC20,'2017 Seattle Tracts'!$C$2:$Z$399,AT$1,FALSE)*AA20</f>
        <v>0</v>
      </c>
      <c r="AU20">
        <f>VLOOKUP($AC20,'2017 Seattle Tracts'!$C$2:$Z$399,AU$1,FALSE)*AA20</f>
        <v>0</v>
      </c>
      <c r="AV20">
        <f>VLOOKUP($AC20,'2017 Seattle Tracts'!$C$2:$Z$399,AV$1,FALSE)*AA20</f>
        <v>0</v>
      </c>
      <c r="AW20">
        <f>VLOOKUP($AC20,'2017 Seattle Tracts'!$C$2:$Z$399,AW$1,FALSE)*AA20</f>
        <v>4.1583064256330386</v>
      </c>
      <c r="AX20">
        <f>VLOOKUP($AC20,'2017 Seattle Tracts'!$C$2:$Z$399,AX$1,FALSE)*AA20</f>
        <v>95.363827361184349</v>
      </c>
      <c r="AY20">
        <f>VLOOKUP($AC20,'2017 Seattle Tracts'!$C$2:$Z$399,AY$1,FALSE)*AA20</f>
        <v>42.414725541456995</v>
      </c>
      <c r="BA20" s="2" t="s">
        <v>142</v>
      </c>
      <c r="BB20">
        <v>3032.259831203291</v>
      </c>
      <c r="BC20">
        <v>2617.6631267483808</v>
      </c>
      <c r="BD20">
        <v>414.59670445491014</v>
      </c>
      <c r="BE20">
        <v>2203.5658529398534</v>
      </c>
      <c r="BF20">
        <v>184.68916156032159</v>
      </c>
      <c r="BG20">
        <v>47.334906444822508</v>
      </c>
      <c r="BH20">
        <v>9.2269853048373083</v>
      </c>
      <c r="BI20">
        <v>31.927613680361119</v>
      </c>
      <c r="BJ20">
        <v>1.3516034902277145</v>
      </c>
      <c r="BK20">
        <v>5.4398339141160923</v>
      </c>
      <c r="BL20">
        <v>0</v>
      </c>
      <c r="BM20">
        <v>165.9028600702909</v>
      </c>
      <c r="BN20">
        <v>174.37389563318581</v>
      </c>
      <c r="BO20">
        <v>0</v>
      </c>
      <c r="BP20">
        <v>19.056128676008939</v>
      </c>
      <c r="BQ20">
        <v>7.3066437014805068</v>
      </c>
      <c r="BR20">
        <v>0.45053449674257151</v>
      </c>
      <c r="BS20">
        <v>156.1854159974568</v>
      </c>
      <c r="BT20">
        <v>25.44839529358622</v>
      </c>
    </row>
    <row r="21" spans="1:72" x14ac:dyDescent="0.25">
      <c r="A21" t="s">
        <v>2917</v>
      </c>
      <c r="B21" t="s">
        <v>2918</v>
      </c>
      <c r="C21" t="s">
        <v>2939</v>
      </c>
      <c r="D21" t="s">
        <v>2542</v>
      </c>
      <c r="E21" t="s">
        <v>2543</v>
      </c>
      <c r="F21" t="s">
        <v>2544</v>
      </c>
      <c r="G21" t="s">
        <v>2920</v>
      </c>
      <c r="H21" t="s">
        <v>2921</v>
      </c>
      <c r="I21">
        <v>711564</v>
      </c>
      <c r="J21">
        <v>0</v>
      </c>
      <c r="K21" t="s">
        <v>2940</v>
      </c>
      <c r="L21" t="s">
        <v>2941</v>
      </c>
      <c r="M21">
        <v>711566</v>
      </c>
      <c r="N21">
        <v>55</v>
      </c>
      <c r="O21">
        <v>18241.548999999999</v>
      </c>
      <c r="P21" t="s">
        <v>149</v>
      </c>
      <c r="Q21">
        <v>14</v>
      </c>
      <c r="R21">
        <v>8</v>
      </c>
      <c r="S21">
        <v>94</v>
      </c>
      <c r="T21">
        <v>17933144</v>
      </c>
      <c r="U21">
        <v>57</v>
      </c>
      <c r="V21">
        <v>157</v>
      </c>
      <c r="W21">
        <v>18241.548785981169</v>
      </c>
      <c r="X21">
        <v>17933144.708401948</v>
      </c>
      <c r="Y21">
        <v>368625.64899999998</v>
      </c>
      <c r="Z21">
        <f>VLOOKUP($AC21,'2017 Seattle Tracts'!$C$2:$Z$399,24,FALSE)</f>
        <v>711566.37399999995</v>
      </c>
      <c r="AA21">
        <f t="shared" si="1"/>
        <v>0.51804815751453703</v>
      </c>
      <c r="AB21" t="s">
        <v>151</v>
      </c>
      <c r="AC21" t="str">
        <f t="shared" si="0"/>
        <v>Census Tract 86, King County, Washington</v>
      </c>
      <c r="AD21">
        <f>VLOOKUP($AC21,'2017 Seattle Tracts'!$C$2:$Z$399,AD$1,FALSE)*AA21</f>
        <v>2745.6552348270461</v>
      </c>
      <c r="AE21">
        <f>VLOOKUP($AC21,'2017 Seattle Tracts'!$C$2:$Z$399,AE$1,FALSE)*AA21</f>
        <v>2172.6939726159685</v>
      </c>
      <c r="AF21">
        <f>VLOOKUP($AC21,'2017 Seattle Tracts'!$C$2:$Z$399,AF$1,FALSE)*AA21</f>
        <v>572.96126221107795</v>
      </c>
      <c r="AG21">
        <f>VLOOKUP($AC21,'2017 Seattle Tracts'!$C$2:$Z$399,AG$1,FALSE)*AA21</f>
        <v>2745.6552348270461</v>
      </c>
      <c r="AH21">
        <f>VLOOKUP($AC21,'2017 Seattle Tracts'!$C$2:$Z$399,AH$1,FALSE)*AA21</f>
        <v>2172.6939726159685</v>
      </c>
      <c r="AI21">
        <f>VLOOKUP($AC21,'2017 Seattle Tracts'!$C$2:$Z$399,AI$1,FALSE)*AA21</f>
        <v>572.96126221107795</v>
      </c>
      <c r="AJ21">
        <f>VLOOKUP($AC21,'2017 Seattle Tracts'!$C$2:$Z$399,AJ$1,FALSE)*AA21</f>
        <v>1486.7982120667214</v>
      </c>
      <c r="AK21">
        <f>VLOOKUP($AC21,'2017 Seattle Tracts'!$C$2:$Z$399,AK$1,FALSE)*AA21</f>
        <v>64.756019689317128</v>
      </c>
      <c r="AL21">
        <f>VLOOKUP($AC21,'2017 Seattle Tracts'!$C$2:$Z$399,AL$1,FALSE)*AA21</f>
        <v>47.142382333822873</v>
      </c>
      <c r="AM21">
        <f>VLOOKUP($AC21,'2017 Seattle Tracts'!$C$2:$Z$399,AM$1,FALSE)*AA21</f>
        <v>15.023396567921575</v>
      </c>
      <c r="AN21">
        <f>VLOOKUP($AC21,'2017 Seattle Tracts'!$C$2:$Z$399,AN$1,FALSE)*AA21</f>
        <v>103.6096315029074</v>
      </c>
      <c r="AO21">
        <f>VLOOKUP($AC21,'2017 Seattle Tracts'!$C$2:$Z$399,AO$1,FALSE)*AA21</f>
        <v>91.176475722558521</v>
      </c>
      <c r="AP21">
        <f>VLOOKUP($AC21,'2017 Seattle Tracts'!$C$2:$Z$399,AP$1,FALSE)*AA21</f>
        <v>7.7707223627180557</v>
      </c>
      <c r="AQ21">
        <f>VLOOKUP($AC21,'2017 Seattle Tracts'!$C$2:$Z$399,AQ$1,FALSE)*AA21</f>
        <v>0</v>
      </c>
      <c r="AR21">
        <f>VLOOKUP($AC21,'2017 Seattle Tracts'!$C$2:$Z$399,AR$1,FALSE)*AA21</f>
        <v>273.52942716767558</v>
      </c>
      <c r="AS21">
        <f>VLOOKUP($AC21,'2017 Seattle Tracts'!$C$2:$Z$399,AS$1,FALSE)*AA21</f>
        <v>305.64841293357682</v>
      </c>
      <c r="AT21">
        <f>VLOOKUP($AC21,'2017 Seattle Tracts'!$C$2:$Z$399,AT$1,FALSE)*AA21</f>
        <v>17.095589197979724</v>
      </c>
      <c r="AU21">
        <f>VLOOKUP($AC21,'2017 Seattle Tracts'!$C$2:$Z$399,AU$1,FALSE)*AA21</f>
        <v>0</v>
      </c>
      <c r="AV21">
        <f>VLOOKUP($AC21,'2017 Seattle Tracts'!$C$2:$Z$399,AV$1,FALSE)*AA21</f>
        <v>84.959897832384073</v>
      </c>
      <c r="AW21">
        <f>VLOOKUP($AC21,'2017 Seattle Tracts'!$C$2:$Z$399,AW$1,FALSE)*AA21</f>
        <v>69.936501264462493</v>
      </c>
      <c r="AX21">
        <f>VLOOKUP($AC21,'2017 Seattle Tracts'!$C$2:$Z$399,AX$1,FALSE)*AA21</f>
        <v>151.78811015175935</v>
      </c>
      <c r="AY21">
        <f>VLOOKUP($AC21,'2017 Seattle Tracts'!$C$2:$Z$399,AY$1,FALSE)*AA21</f>
        <v>26.42045603324139</v>
      </c>
      <c r="BA21" s="2" t="s">
        <v>175</v>
      </c>
      <c r="BB21">
        <v>5455.126556329009</v>
      </c>
      <c r="BC21">
        <v>4778.2442105341715</v>
      </c>
      <c r="BD21">
        <v>676.88234579483799</v>
      </c>
      <c r="BE21">
        <v>3948.8293878780369</v>
      </c>
      <c r="BF21">
        <v>294.04807594696945</v>
      </c>
      <c r="BG21">
        <v>160.18062969938399</v>
      </c>
      <c r="BH21">
        <v>4.1487055767553143</v>
      </c>
      <c r="BI21">
        <v>80.009897194875862</v>
      </c>
      <c r="BJ21">
        <v>53.97576087342712</v>
      </c>
      <c r="BK21">
        <v>19.707403661239027</v>
      </c>
      <c r="BL21">
        <v>2.7571075980678708</v>
      </c>
      <c r="BM21">
        <v>181.7044667839769</v>
      </c>
      <c r="BN21">
        <v>269.30756720728539</v>
      </c>
      <c r="BO21">
        <v>3.3933631976219947</v>
      </c>
      <c r="BP21">
        <v>0</v>
      </c>
      <c r="BQ21">
        <v>31.432967814158481</v>
      </c>
      <c r="BR21">
        <v>33.28499058836632</v>
      </c>
      <c r="BS21">
        <v>352.98609430487795</v>
      </c>
      <c r="BT21">
        <v>19.360138003966494</v>
      </c>
    </row>
    <row r="22" spans="1:72" x14ac:dyDescent="0.25">
      <c r="A22" t="s">
        <v>2917</v>
      </c>
      <c r="B22" t="s">
        <v>2918</v>
      </c>
      <c r="C22" t="s">
        <v>2939</v>
      </c>
      <c r="D22" t="s">
        <v>2542</v>
      </c>
      <c r="E22" t="s">
        <v>2543</v>
      </c>
      <c r="F22" t="s">
        <v>2544</v>
      </c>
      <c r="G22" t="s">
        <v>2920</v>
      </c>
      <c r="H22" t="s">
        <v>2921</v>
      </c>
      <c r="I22">
        <v>711564</v>
      </c>
      <c r="J22">
        <v>0</v>
      </c>
      <c r="K22" t="s">
        <v>2940</v>
      </c>
      <c r="L22" t="s">
        <v>2941</v>
      </c>
      <c r="M22">
        <v>711566</v>
      </c>
      <c r="N22">
        <v>58</v>
      </c>
      <c r="O22">
        <v>25426.23</v>
      </c>
      <c r="P22" t="s">
        <v>149</v>
      </c>
      <c r="Q22">
        <v>14</v>
      </c>
      <c r="R22">
        <v>8</v>
      </c>
      <c r="S22">
        <v>24</v>
      </c>
      <c r="T22">
        <v>20664986</v>
      </c>
      <c r="U22">
        <v>60</v>
      </c>
      <c r="V22">
        <v>165</v>
      </c>
      <c r="W22">
        <v>25426.231162667511</v>
      </c>
      <c r="X22">
        <v>20664986.272921581</v>
      </c>
      <c r="Y22">
        <v>473.92</v>
      </c>
      <c r="Z22">
        <f>VLOOKUP($AC22,'2017 Seattle Tracts'!$C$2:$Z$399,24,FALSE)</f>
        <v>711566.37399999995</v>
      </c>
      <c r="AA22">
        <f t="shared" si="1"/>
        <v>6.6602360273983392E-4</v>
      </c>
      <c r="AB22" t="s">
        <v>154</v>
      </c>
      <c r="AC22" t="str">
        <f t="shared" si="0"/>
        <v>Census Tract 86, King County, Washington</v>
      </c>
      <c r="AD22">
        <f>VLOOKUP($AC22,'2017 Seattle Tracts'!$C$2:$Z$399,AD$1,FALSE)*AA22</f>
        <v>3.5299250945211198</v>
      </c>
      <c r="AE22">
        <f>VLOOKUP($AC22,'2017 Seattle Tracts'!$C$2:$Z$399,AE$1,FALSE)*AA22</f>
        <v>2.7933029898908632</v>
      </c>
      <c r="AF22">
        <f>VLOOKUP($AC22,'2017 Seattle Tracts'!$C$2:$Z$399,AF$1,FALSE)*AA22</f>
        <v>0.73662210463025635</v>
      </c>
      <c r="AG22">
        <f>VLOOKUP($AC22,'2017 Seattle Tracts'!$C$2:$Z$399,AG$1,FALSE)*AA22</f>
        <v>3.5299250945211198</v>
      </c>
      <c r="AH22">
        <f>VLOOKUP($AC22,'2017 Seattle Tracts'!$C$2:$Z$399,AH$1,FALSE)*AA22</f>
        <v>2.7933029898908632</v>
      </c>
      <c r="AI22">
        <f>VLOOKUP($AC22,'2017 Seattle Tracts'!$C$2:$Z$399,AI$1,FALSE)*AA22</f>
        <v>0.73662210463025635</v>
      </c>
      <c r="AJ22">
        <f>VLOOKUP($AC22,'2017 Seattle Tracts'!$C$2:$Z$399,AJ$1,FALSE)*AA22</f>
        <v>1.9114877398633234</v>
      </c>
      <c r="AK22">
        <f>VLOOKUP($AC22,'2017 Seattle Tracts'!$C$2:$Z$399,AK$1,FALSE)*AA22</f>
        <v>8.3252950342479246E-2</v>
      </c>
      <c r="AL22">
        <f>VLOOKUP($AC22,'2017 Seattle Tracts'!$C$2:$Z$399,AL$1,FALSE)*AA22</f>
        <v>6.0608147849324889E-2</v>
      </c>
      <c r="AM22">
        <f>VLOOKUP($AC22,'2017 Seattle Tracts'!$C$2:$Z$399,AM$1,FALSE)*AA22</f>
        <v>1.9314684479455183E-2</v>
      </c>
      <c r="AN22">
        <f>VLOOKUP($AC22,'2017 Seattle Tracts'!$C$2:$Z$399,AN$1,FALSE)*AA22</f>
        <v>0.13320472054796678</v>
      </c>
      <c r="AO22">
        <f>VLOOKUP($AC22,'2017 Seattle Tracts'!$C$2:$Z$399,AO$1,FALSE)*AA22</f>
        <v>0.11722015408221077</v>
      </c>
      <c r="AP22">
        <f>VLOOKUP($AC22,'2017 Seattle Tracts'!$C$2:$Z$399,AP$1,FALSE)*AA22</f>
        <v>9.990354041097509E-3</v>
      </c>
      <c r="AQ22">
        <f>VLOOKUP($AC22,'2017 Seattle Tracts'!$C$2:$Z$399,AQ$1,FALSE)*AA22</f>
        <v>0</v>
      </c>
      <c r="AR22">
        <f>VLOOKUP($AC22,'2017 Seattle Tracts'!$C$2:$Z$399,AR$1,FALSE)*AA22</f>
        <v>0.35166046224663233</v>
      </c>
      <c r="AS22">
        <f>VLOOKUP($AC22,'2017 Seattle Tracts'!$C$2:$Z$399,AS$1,FALSE)*AA22</f>
        <v>0.392953925616502</v>
      </c>
      <c r="AT22">
        <f>VLOOKUP($AC22,'2017 Seattle Tracts'!$C$2:$Z$399,AT$1,FALSE)*AA22</f>
        <v>2.1978778890414521E-2</v>
      </c>
      <c r="AU22">
        <f>VLOOKUP($AC22,'2017 Seattle Tracts'!$C$2:$Z$399,AU$1,FALSE)*AA22</f>
        <v>0</v>
      </c>
      <c r="AV22">
        <f>VLOOKUP($AC22,'2017 Seattle Tracts'!$C$2:$Z$399,AV$1,FALSE)*AA22</f>
        <v>0.10922787084933276</v>
      </c>
      <c r="AW22">
        <f>VLOOKUP($AC22,'2017 Seattle Tracts'!$C$2:$Z$399,AW$1,FALSE)*AA22</f>
        <v>8.9913186369877579E-2</v>
      </c>
      <c r="AX22">
        <f>VLOOKUP($AC22,'2017 Seattle Tracts'!$C$2:$Z$399,AX$1,FALSE)*AA22</f>
        <v>0.19514491560277133</v>
      </c>
      <c r="AY22">
        <f>VLOOKUP($AC22,'2017 Seattle Tracts'!$C$2:$Z$399,AY$1,FALSE)*AA22</f>
        <v>3.3967203739731527E-2</v>
      </c>
      <c r="BA22" s="2" t="s">
        <v>177</v>
      </c>
      <c r="BB22">
        <v>6632.3536233563973</v>
      </c>
      <c r="BC22">
        <v>6138.5387006764167</v>
      </c>
      <c r="BD22">
        <v>493.81492267998021</v>
      </c>
      <c r="BE22">
        <v>5317.7298575934692</v>
      </c>
      <c r="BF22">
        <v>226.12633158800591</v>
      </c>
      <c r="BG22">
        <v>161.94147552926478</v>
      </c>
      <c r="BH22">
        <v>28.471117692770903</v>
      </c>
      <c r="BI22">
        <v>64.417587580224065</v>
      </c>
      <c r="BJ22">
        <v>31.55411999786714</v>
      </c>
      <c r="BK22">
        <v>95.242533616201229</v>
      </c>
      <c r="BL22">
        <v>0</v>
      </c>
      <c r="BM22">
        <v>105.82516623951656</v>
      </c>
      <c r="BN22">
        <v>127.37809054811827</v>
      </c>
      <c r="BO22">
        <v>0.18808729749572287</v>
      </c>
      <c r="BP22">
        <v>48.390604042615131</v>
      </c>
      <c r="BQ22">
        <v>61.449453309111547</v>
      </c>
      <c r="BR22">
        <v>25.082626199018641</v>
      </c>
      <c r="BS22">
        <v>331.74453951113355</v>
      </c>
      <c r="BT22">
        <v>6.8120326115842396</v>
      </c>
    </row>
    <row r="23" spans="1:72" x14ac:dyDescent="0.25">
      <c r="A23" t="s">
        <v>2917</v>
      </c>
      <c r="B23" t="s">
        <v>2918</v>
      </c>
      <c r="C23" t="s">
        <v>2939</v>
      </c>
      <c r="D23" t="s">
        <v>2542</v>
      </c>
      <c r="E23" t="s">
        <v>2543</v>
      </c>
      <c r="F23" t="s">
        <v>2544</v>
      </c>
      <c r="G23" t="s">
        <v>2920</v>
      </c>
      <c r="H23" t="s">
        <v>2921</v>
      </c>
      <c r="I23">
        <v>711564</v>
      </c>
      <c r="J23">
        <v>0</v>
      </c>
      <c r="K23" t="s">
        <v>2940</v>
      </c>
      <c r="L23" t="s">
        <v>2941</v>
      </c>
      <c r="M23">
        <v>711566</v>
      </c>
      <c r="N23">
        <v>63</v>
      </c>
      <c r="O23">
        <v>13225.233</v>
      </c>
      <c r="P23" t="s">
        <v>156</v>
      </c>
      <c r="Q23">
        <v>13</v>
      </c>
      <c r="R23">
        <v>11</v>
      </c>
      <c r="S23">
        <v>33</v>
      </c>
      <c r="T23">
        <v>9517568</v>
      </c>
      <c r="U23">
        <v>65</v>
      </c>
      <c r="V23">
        <v>160</v>
      </c>
      <c r="W23">
        <v>13225.23351595422</v>
      </c>
      <c r="X23">
        <v>9517568.4736377206</v>
      </c>
      <c r="Y23">
        <v>178302.92199999999</v>
      </c>
      <c r="Z23">
        <f>VLOOKUP($AC23,'2017 Seattle Tracts'!$C$2:$Z$399,24,FALSE)</f>
        <v>711566.37399999995</v>
      </c>
      <c r="AA23">
        <f t="shared" si="1"/>
        <v>0.25057806062094778</v>
      </c>
      <c r="AB23" t="s">
        <v>160</v>
      </c>
      <c r="AC23" t="str">
        <f t="shared" si="0"/>
        <v>Census Tract 86, King County, Washington</v>
      </c>
      <c r="AD23">
        <f>VLOOKUP($AC23,'2017 Seattle Tracts'!$C$2:$Z$399,AD$1,FALSE)*AA23</f>
        <v>1328.0637212910233</v>
      </c>
      <c r="AE23">
        <f>VLOOKUP($AC23,'2017 Seattle Tracts'!$C$2:$Z$399,AE$1,FALSE)*AA23</f>
        <v>1050.9243862442549</v>
      </c>
      <c r="AF23">
        <f>VLOOKUP($AC23,'2017 Seattle Tracts'!$C$2:$Z$399,AF$1,FALSE)*AA23</f>
        <v>277.13933504676822</v>
      </c>
      <c r="AG23">
        <f>VLOOKUP($AC23,'2017 Seattle Tracts'!$C$2:$Z$399,AG$1,FALSE)*AA23</f>
        <v>1328.0637212910233</v>
      </c>
      <c r="AH23">
        <f>VLOOKUP($AC23,'2017 Seattle Tracts'!$C$2:$Z$399,AH$1,FALSE)*AA23</f>
        <v>1050.9243862442549</v>
      </c>
      <c r="AI23">
        <f>VLOOKUP($AC23,'2017 Seattle Tracts'!$C$2:$Z$399,AI$1,FALSE)*AA23</f>
        <v>277.13933504676822</v>
      </c>
      <c r="AJ23">
        <f>VLOOKUP($AC23,'2017 Seattle Tracts'!$C$2:$Z$399,AJ$1,FALSE)*AA23</f>
        <v>719.15903398212015</v>
      </c>
      <c r="AK23">
        <f>VLOOKUP($AC23,'2017 Seattle Tracts'!$C$2:$Z$399,AK$1,FALSE)*AA23</f>
        <v>31.322257577618473</v>
      </c>
      <c r="AL23">
        <f>VLOOKUP($AC23,'2017 Seattle Tracts'!$C$2:$Z$399,AL$1,FALSE)*AA23</f>
        <v>22.802603516506249</v>
      </c>
      <c r="AM23">
        <f>VLOOKUP($AC23,'2017 Seattle Tracts'!$C$2:$Z$399,AM$1,FALSE)*AA23</f>
        <v>7.2667637580074853</v>
      </c>
      <c r="AN23">
        <f>VLOOKUP($AC23,'2017 Seattle Tracts'!$C$2:$Z$399,AN$1,FALSE)*AA23</f>
        <v>50.115612124189553</v>
      </c>
      <c r="AO23">
        <f>VLOOKUP($AC23,'2017 Seattle Tracts'!$C$2:$Z$399,AO$1,FALSE)*AA23</f>
        <v>44.10173866928681</v>
      </c>
      <c r="AP23">
        <f>VLOOKUP($AC23,'2017 Seattle Tracts'!$C$2:$Z$399,AP$1,FALSE)*AA23</f>
        <v>3.7586709093142168</v>
      </c>
      <c r="AQ23">
        <f>VLOOKUP($AC23,'2017 Seattle Tracts'!$C$2:$Z$399,AQ$1,FALSE)*AA23</f>
        <v>0</v>
      </c>
      <c r="AR23">
        <f>VLOOKUP($AC23,'2017 Seattle Tracts'!$C$2:$Z$399,AR$1,FALSE)*AA23</f>
        <v>132.30521600786042</v>
      </c>
      <c r="AS23">
        <f>VLOOKUP($AC23,'2017 Seattle Tracts'!$C$2:$Z$399,AS$1,FALSE)*AA23</f>
        <v>147.8410557663592</v>
      </c>
      <c r="AT23">
        <f>VLOOKUP($AC23,'2017 Seattle Tracts'!$C$2:$Z$399,AT$1,FALSE)*AA23</f>
        <v>8.2690760004912764</v>
      </c>
      <c r="AU23">
        <f>VLOOKUP($AC23,'2017 Seattle Tracts'!$C$2:$Z$399,AU$1,FALSE)*AA23</f>
        <v>0</v>
      </c>
      <c r="AV23">
        <f>VLOOKUP($AC23,'2017 Seattle Tracts'!$C$2:$Z$399,AV$1,FALSE)*AA23</f>
        <v>41.094801941835435</v>
      </c>
      <c r="AW23">
        <f>VLOOKUP($AC23,'2017 Seattle Tracts'!$C$2:$Z$399,AW$1,FALSE)*AA23</f>
        <v>33.82803818382795</v>
      </c>
      <c r="AX23">
        <f>VLOOKUP($AC23,'2017 Seattle Tracts'!$C$2:$Z$399,AX$1,FALSE)*AA23</f>
        <v>73.419371761937697</v>
      </c>
      <c r="AY23">
        <f>VLOOKUP($AC23,'2017 Seattle Tracts'!$C$2:$Z$399,AY$1,FALSE)*AA23</f>
        <v>12.779481091668337</v>
      </c>
      <c r="BA23" s="2" t="s">
        <v>160</v>
      </c>
      <c r="BB23">
        <v>9319.2460227411484</v>
      </c>
      <c r="BC23">
        <v>7334.1059398835514</v>
      </c>
      <c r="BD23">
        <v>1985.1400828575984</v>
      </c>
      <c r="BE23">
        <v>5472.9500110348299</v>
      </c>
      <c r="BF23">
        <v>517.83601627820849</v>
      </c>
      <c r="BG23">
        <v>172.63275116181984</v>
      </c>
      <c r="BH23">
        <v>151.26785488102351</v>
      </c>
      <c r="BI23">
        <v>513.2387803667591</v>
      </c>
      <c r="BJ23">
        <v>178.88067941679418</v>
      </c>
      <c r="BK23">
        <v>59.160009865786208</v>
      </c>
      <c r="BL23">
        <v>0</v>
      </c>
      <c r="BM23">
        <v>548.81545799527146</v>
      </c>
      <c r="BN23">
        <v>997.45987400948934</v>
      </c>
      <c r="BO23">
        <v>41.604963375544024</v>
      </c>
      <c r="BP23">
        <v>5.094365593492892</v>
      </c>
      <c r="BQ23">
        <v>154.10848084943515</v>
      </c>
      <c r="BR23">
        <v>78.181747485537443</v>
      </c>
      <c r="BS23">
        <v>371.59548523410541</v>
      </c>
      <c r="BT23">
        <v>56.419545193052507</v>
      </c>
    </row>
    <row r="24" spans="1:72" x14ac:dyDescent="0.25">
      <c r="A24" t="s">
        <v>2917</v>
      </c>
      <c r="B24" t="s">
        <v>2918</v>
      </c>
      <c r="C24" t="s">
        <v>2939</v>
      </c>
      <c r="D24" t="s">
        <v>2542</v>
      </c>
      <c r="E24" t="s">
        <v>2543</v>
      </c>
      <c r="F24" t="s">
        <v>2544</v>
      </c>
      <c r="G24" t="s">
        <v>2920</v>
      </c>
      <c r="H24" t="s">
        <v>2921</v>
      </c>
      <c r="I24">
        <v>711564</v>
      </c>
      <c r="J24">
        <v>0</v>
      </c>
      <c r="K24" t="s">
        <v>2940</v>
      </c>
      <c r="L24" t="s">
        <v>2941</v>
      </c>
      <c r="M24">
        <v>711566</v>
      </c>
      <c r="N24">
        <v>64</v>
      </c>
      <c r="O24">
        <v>9611.3540000000012</v>
      </c>
      <c r="P24" t="s">
        <v>156</v>
      </c>
      <c r="Q24">
        <v>13</v>
      </c>
      <c r="R24">
        <v>11</v>
      </c>
      <c r="S24">
        <v>81</v>
      </c>
      <c r="T24">
        <v>5348937.5</v>
      </c>
      <c r="U24">
        <v>66</v>
      </c>
      <c r="V24">
        <v>162</v>
      </c>
      <c r="W24">
        <v>9611.3535464166052</v>
      </c>
      <c r="X24">
        <v>5348937.2476122174</v>
      </c>
      <c r="Y24">
        <v>164163.883</v>
      </c>
      <c r="Z24">
        <f>VLOOKUP($AC24,'2017 Seattle Tracts'!$C$2:$Z$399,24,FALSE)</f>
        <v>711566.37399999995</v>
      </c>
      <c r="AA24">
        <f t="shared" si="1"/>
        <v>0.23070775826177534</v>
      </c>
      <c r="AB24" t="s">
        <v>161</v>
      </c>
      <c r="AC24" t="str">
        <f t="shared" si="0"/>
        <v>Census Tract 86, King County, Washington</v>
      </c>
      <c r="AD24">
        <f>VLOOKUP($AC24,'2017 Seattle Tracts'!$C$2:$Z$399,AD$1,FALSE)*AA24</f>
        <v>1222.7511187874093</v>
      </c>
      <c r="AE24">
        <f>VLOOKUP($AC24,'2017 Seattle Tracts'!$C$2:$Z$399,AE$1,FALSE)*AA24</f>
        <v>967.58833814988577</v>
      </c>
      <c r="AF24">
        <f>VLOOKUP($AC24,'2017 Seattle Tracts'!$C$2:$Z$399,AF$1,FALSE)*AA24</f>
        <v>255.16278063752353</v>
      </c>
      <c r="AG24">
        <f>VLOOKUP($AC24,'2017 Seattle Tracts'!$C$2:$Z$399,AG$1,FALSE)*AA24</f>
        <v>1222.7511187874093</v>
      </c>
      <c r="AH24">
        <f>VLOOKUP($AC24,'2017 Seattle Tracts'!$C$2:$Z$399,AH$1,FALSE)*AA24</f>
        <v>967.58833814988577</v>
      </c>
      <c r="AI24">
        <f>VLOOKUP($AC24,'2017 Seattle Tracts'!$C$2:$Z$399,AI$1,FALSE)*AA24</f>
        <v>255.16278063752353</v>
      </c>
      <c r="AJ24">
        <f>VLOOKUP($AC24,'2017 Seattle Tracts'!$C$2:$Z$399,AJ$1,FALSE)*AA24</f>
        <v>662.13126621129527</v>
      </c>
      <c r="AK24">
        <f>VLOOKUP($AC24,'2017 Seattle Tracts'!$C$2:$Z$399,AK$1,FALSE)*AA24</f>
        <v>28.838469782721916</v>
      </c>
      <c r="AL24">
        <f>VLOOKUP($AC24,'2017 Seattle Tracts'!$C$2:$Z$399,AL$1,FALSE)*AA24</f>
        <v>20.994406001821556</v>
      </c>
      <c r="AM24">
        <f>VLOOKUP($AC24,'2017 Seattle Tracts'!$C$2:$Z$399,AM$1,FALSE)*AA24</f>
        <v>6.6905249895914851</v>
      </c>
      <c r="AN24">
        <f>VLOOKUP($AC24,'2017 Seattle Tracts'!$C$2:$Z$399,AN$1,FALSE)*AA24</f>
        <v>46.141551652355069</v>
      </c>
      <c r="AO24">
        <f>VLOOKUP($AC24,'2017 Seattle Tracts'!$C$2:$Z$399,AO$1,FALSE)*AA24</f>
        <v>40.604565454072457</v>
      </c>
      <c r="AP24">
        <f>VLOOKUP($AC24,'2017 Seattle Tracts'!$C$2:$Z$399,AP$1,FALSE)*AA24</f>
        <v>3.46061637392663</v>
      </c>
      <c r="AQ24">
        <f>VLOOKUP($AC24,'2017 Seattle Tracts'!$C$2:$Z$399,AQ$1,FALSE)*AA24</f>
        <v>0</v>
      </c>
      <c r="AR24">
        <f>VLOOKUP($AC24,'2017 Seattle Tracts'!$C$2:$Z$399,AR$1,FALSE)*AA24</f>
        <v>121.81369636221737</v>
      </c>
      <c r="AS24">
        <f>VLOOKUP($AC24,'2017 Seattle Tracts'!$C$2:$Z$399,AS$1,FALSE)*AA24</f>
        <v>136.11757737444745</v>
      </c>
      <c r="AT24">
        <f>VLOOKUP($AC24,'2017 Seattle Tracts'!$C$2:$Z$399,AT$1,FALSE)*AA24</f>
        <v>7.6133560226385857</v>
      </c>
      <c r="AU24">
        <f>VLOOKUP($AC24,'2017 Seattle Tracts'!$C$2:$Z$399,AU$1,FALSE)*AA24</f>
        <v>0</v>
      </c>
      <c r="AV24">
        <f>VLOOKUP($AC24,'2017 Seattle Tracts'!$C$2:$Z$399,AV$1,FALSE)*AA24</f>
        <v>37.836072354931154</v>
      </c>
      <c r="AW24">
        <f>VLOOKUP($AC24,'2017 Seattle Tracts'!$C$2:$Z$399,AW$1,FALSE)*AA24</f>
        <v>31.14554736533967</v>
      </c>
      <c r="AX24">
        <f>VLOOKUP($AC24,'2017 Seattle Tracts'!$C$2:$Z$399,AX$1,FALSE)*AA24</f>
        <v>67.59737317070018</v>
      </c>
      <c r="AY24">
        <f>VLOOKUP($AC24,'2017 Seattle Tracts'!$C$2:$Z$399,AY$1,FALSE)*AA24</f>
        <v>11.766095671350541</v>
      </c>
      <c r="BA24" s="2" t="s">
        <v>124</v>
      </c>
      <c r="BB24">
        <v>13293.067474473013</v>
      </c>
      <c r="BC24">
        <v>12000.103067861291</v>
      </c>
      <c r="BD24">
        <v>1292.9644066117194</v>
      </c>
      <c r="BE24">
        <v>10617.149470216689</v>
      </c>
      <c r="BF24">
        <v>642.91633234972278</v>
      </c>
      <c r="BG24">
        <v>215.97939421118417</v>
      </c>
      <c r="BH24">
        <v>43.589303294522644</v>
      </c>
      <c r="BI24">
        <v>45.216669863444963</v>
      </c>
      <c r="BJ24">
        <v>34.822755632745213</v>
      </c>
      <c r="BK24">
        <v>35.452735453839267</v>
      </c>
      <c r="BL24">
        <v>10.045172072108601</v>
      </c>
      <c r="BM24">
        <v>392.33598994923096</v>
      </c>
      <c r="BN24">
        <v>318.86350154048455</v>
      </c>
      <c r="BO24">
        <v>7.5722667539505224</v>
      </c>
      <c r="BP24">
        <v>0</v>
      </c>
      <c r="BQ24">
        <v>65.380403036214474</v>
      </c>
      <c r="BR24">
        <v>43.986572696361634</v>
      </c>
      <c r="BS24">
        <v>621.01613837673938</v>
      </c>
      <c r="BT24">
        <v>198.74076902577411</v>
      </c>
    </row>
    <row r="25" spans="1:72" x14ac:dyDescent="0.25">
      <c r="A25" t="s">
        <v>2917</v>
      </c>
      <c r="B25" t="s">
        <v>2918</v>
      </c>
      <c r="C25" t="s">
        <v>2942</v>
      </c>
      <c r="D25" t="s">
        <v>2509</v>
      </c>
      <c r="E25" t="s">
        <v>2510</v>
      </c>
      <c r="F25" t="s">
        <v>2511</v>
      </c>
      <c r="G25" t="s">
        <v>2920</v>
      </c>
      <c r="H25" t="s">
        <v>2921</v>
      </c>
      <c r="I25">
        <v>1905650</v>
      </c>
      <c r="J25">
        <v>1385222</v>
      </c>
      <c r="K25" t="s">
        <v>2943</v>
      </c>
      <c r="L25" t="s">
        <v>2944</v>
      </c>
      <c r="M25">
        <v>1777292</v>
      </c>
      <c r="N25">
        <v>74</v>
      </c>
      <c r="O25">
        <v>45568.137000000002</v>
      </c>
      <c r="P25" t="s">
        <v>170</v>
      </c>
      <c r="Q25">
        <v>19</v>
      </c>
      <c r="R25">
        <v>9</v>
      </c>
      <c r="S25">
        <v>81</v>
      </c>
      <c r="T25">
        <v>24583470</v>
      </c>
      <c r="U25">
        <v>76</v>
      </c>
      <c r="V25">
        <v>168</v>
      </c>
      <c r="W25">
        <v>45568.137853690583</v>
      </c>
      <c r="X25">
        <v>24583469.184015442</v>
      </c>
      <c r="Y25">
        <v>306453.96600000001</v>
      </c>
      <c r="Z25">
        <f>VLOOKUP($AC25,'2017 Seattle Tracts'!$C$2:$Z$399,24,FALSE)</f>
        <v>1777292.192</v>
      </c>
      <c r="AA25">
        <f t="shared" si="1"/>
        <v>0.17242745305438217</v>
      </c>
      <c r="AB25" t="s">
        <v>173</v>
      </c>
      <c r="AC25" t="str">
        <f t="shared" si="0"/>
        <v>Census Tract 96, King County, Washington</v>
      </c>
      <c r="AD25">
        <f>VLOOKUP($AC25,'2017 Seattle Tracts'!$C$2:$Z$399,AD$1,FALSE)*AA25</f>
        <v>997.14796101349214</v>
      </c>
      <c r="AE25">
        <f>VLOOKUP($AC25,'2017 Seattle Tracts'!$C$2:$Z$399,AE$1,FALSE)*AA25</f>
        <v>879.20758312429473</v>
      </c>
      <c r="AF25">
        <f>VLOOKUP($AC25,'2017 Seattle Tracts'!$C$2:$Z$399,AF$1,FALSE)*AA25</f>
        <v>117.94037788919741</v>
      </c>
      <c r="AG25">
        <f>VLOOKUP($AC25,'2017 Seattle Tracts'!$C$2:$Z$399,AG$1,FALSE)*AA25</f>
        <v>997.14796101349214</v>
      </c>
      <c r="AH25">
        <f>VLOOKUP($AC25,'2017 Seattle Tracts'!$C$2:$Z$399,AH$1,FALSE)*AA25</f>
        <v>879.20758312429473</v>
      </c>
      <c r="AI25">
        <f>VLOOKUP($AC25,'2017 Seattle Tracts'!$C$2:$Z$399,AI$1,FALSE)*AA25</f>
        <v>117.94037788919741</v>
      </c>
      <c r="AJ25">
        <f>VLOOKUP($AC25,'2017 Seattle Tracts'!$C$2:$Z$399,AJ$1,FALSE)*AA25</f>
        <v>776.61324855693726</v>
      </c>
      <c r="AK25">
        <f>VLOOKUP($AC25,'2017 Seattle Tracts'!$C$2:$Z$399,AK$1,FALSE)*AA25</f>
        <v>46.727839777737572</v>
      </c>
      <c r="AL25">
        <f>VLOOKUP($AC25,'2017 Seattle Tracts'!$C$2:$Z$399,AL$1,FALSE)*AA25</f>
        <v>21.036149272634624</v>
      </c>
      <c r="AM25">
        <f>VLOOKUP($AC25,'2017 Seattle Tracts'!$C$2:$Z$399,AM$1,FALSE)*AA25</f>
        <v>2.7588392488701148</v>
      </c>
      <c r="AN25">
        <f>VLOOKUP($AC25,'2017 Seattle Tracts'!$C$2:$Z$399,AN$1,FALSE)*AA25</f>
        <v>5.1728235916314649</v>
      </c>
      <c r="AO25">
        <f>VLOOKUP($AC25,'2017 Seattle Tracts'!$C$2:$Z$399,AO$1,FALSE)*AA25</f>
        <v>7.7592353874471982</v>
      </c>
      <c r="AP25">
        <f>VLOOKUP($AC25,'2017 Seattle Tracts'!$C$2:$Z$399,AP$1,FALSE)*AA25</f>
        <v>1.896701983598204</v>
      </c>
      <c r="AQ25">
        <f>VLOOKUP($AC25,'2017 Seattle Tracts'!$C$2:$Z$399,AQ$1,FALSE)*AA25</f>
        <v>0</v>
      </c>
      <c r="AR25">
        <f>VLOOKUP($AC25,'2017 Seattle Tracts'!$C$2:$Z$399,AR$1,FALSE)*AA25</f>
        <v>11.725066807697988</v>
      </c>
      <c r="AS25">
        <f>VLOOKUP($AC25,'2017 Seattle Tracts'!$C$2:$Z$399,AS$1,FALSE)*AA25</f>
        <v>43.624145622758689</v>
      </c>
      <c r="AT25">
        <f>VLOOKUP($AC25,'2017 Seattle Tracts'!$C$2:$Z$399,AT$1,FALSE)*AA25</f>
        <v>0</v>
      </c>
      <c r="AU25">
        <f>VLOOKUP($AC25,'2017 Seattle Tracts'!$C$2:$Z$399,AU$1,FALSE)*AA25</f>
        <v>0</v>
      </c>
      <c r="AV25">
        <f>VLOOKUP($AC25,'2017 Seattle Tracts'!$C$2:$Z$399,AV$1,FALSE)*AA25</f>
        <v>2.4139843427613505</v>
      </c>
      <c r="AW25">
        <f>VLOOKUP($AC25,'2017 Seattle Tracts'!$C$2:$Z$399,AW$1,FALSE)*AA25</f>
        <v>10.518074636317312</v>
      </c>
      <c r="AX25">
        <f>VLOOKUP($AC25,'2017 Seattle Tracts'!$C$2:$Z$399,AX$1,FALSE)*AA25</f>
        <v>60.349608569033762</v>
      </c>
      <c r="AY25">
        <f>VLOOKUP($AC25,'2017 Seattle Tracts'!$C$2:$Z$399,AY$1,FALSE)*AA25</f>
        <v>6.5522432160665227</v>
      </c>
      <c r="BA25" s="2" t="s">
        <v>171</v>
      </c>
      <c r="BB25">
        <v>5865.2762701801712</v>
      </c>
      <c r="BC25">
        <v>5318.4469700405743</v>
      </c>
      <c r="BD25">
        <v>546.82930013959674</v>
      </c>
      <c r="BE25">
        <v>4472.1146332681883</v>
      </c>
      <c r="BF25">
        <v>218.99943251148329</v>
      </c>
      <c r="BG25">
        <v>145.67981957008686</v>
      </c>
      <c r="BH25">
        <v>23.14619604550488</v>
      </c>
      <c r="BI25">
        <v>115.77091758940358</v>
      </c>
      <c r="BJ25">
        <v>30.716220200471277</v>
      </c>
      <c r="BK25">
        <v>52.514357622754545</v>
      </c>
      <c r="BL25">
        <v>4.3401650054237733</v>
      </c>
      <c r="BM25">
        <v>139.01760412394017</v>
      </c>
      <c r="BN25">
        <v>210.58542112411703</v>
      </c>
      <c r="BO25">
        <v>5.3417415451369514</v>
      </c>
      <c r="BP25">
        <v>0</v>
      </c>
      <c r="BQ25">
        <v>66.515879201465864</v>
      </c>
      <c r="BR25">
        <v>47.259635632711976</v>
      </c>
      <c r="BS25">
        <v>321.49201711959813</v>
      </c>
      <c r="BT25">
        <v>11.782229619884552</v>
      </c>
    </row>
    <row r="26" spans="1:72" x14ac:dyDescent="0.25">
      <c r="A26" t="s">
        <v>2917</v>
      </c>
      <c r="B26" t="s">
        <v>2918</v>
      </c>
      <c r="C26" t="s">
        <v>2942</v>
      </c>
      <c r="D26" t="s">
        <v>2509</v>
      </c>
      <c r="E26" t="s">
        <v>2510</v>
      </c>
      <c r="F26" t="s">
        <v>2511</v>
      </c>
      <c r="G26" t="s">
        <v>2920</v>
      </c>
      <c r="H26" t="s">
        <v>2921</v>
      </c>
      <c r="I26">
        <v>1905650</v>
      </c>
      <c r="J26">
        <v>1385222</v>
      </c>
      <c r="K26" t="s">
        <v>2943</v>
      </c>
      <c r="L26" t="s">
        <v>2944</v>
      </c>
      <c r="M26">
        <v>1777292</v>
      </c>
      <c r="N26">
        <v>75</v>
      </c>
      <c r="O26">
        <v>30687.785</v>
      </c>
      <c r="P26" t="s">
        <v>170</v>
      </c>
      <c r="Q26">
        <v>19</v>
      </c>
      <c r="R26">
        <v>9</v>
      </c>
      <c r="S26">
        <v>24</v>
      </c>
      <c r="T26">
        <v>48581416</v>
      </c>
      <c r="U26">
        <v>77</v>
      </c>
      <c r="V26">
        <v>169</v>
      </c>
      <c r="W26">
        <v>30687.78447008365</v>
      </c>
      <c r="X26">
        <v>48581416.320232317</v>
      </c>
      <c r="Y26">
        <v>1426450.4680000001</v>
      </c>
      <c r="Z26">
        <f>VLOOKUP($AC26,'2017 Seattle Tracts'!$C$2:$Z$399,24,FALSE)</f>
        <v>1777292.192</v>
      </c>
      <c r="AA26">
        <f t="shared" si="1"/>
        <v>0.802597611366764</v>
      </c>
      <c r="AB26" t="s">
        <v>174</v>
      </c>
      <c r="AC26" t="str">
        <f t="shared" si="0"/>
        <v>Census Tract 96, King County, Washington</v>
      </c>
      <c r="AD26">
        <f>VLOOKUP($AC26,'2017 Seattle Tracts'!$C$2:$Z$399,AD$1,FALSE)*AA26</f>
        <v>4641.4219865339965</v>
      </c>
      <c r="AE26">
        <f>VLOOKUP($AC26,'2017 Seattle Tracts'!$C$2:$Z$399,AE$1,FALSE)*AA26</f>
        <v>4092.4452203591295</v>
      </c>
      <c r="AF26">
        <f>VLOOKUP($AC26,'2017 Seattle Tracts'!$C$2:$Z$399,AF$1,FALSE)*AA26</f>
        <v>548.97676617486661</v>
      </c>
      <c r="AG26">
        <f>VLOOKUP($AC26,'2017 Seattle Tracts'!$C$2:$Z$399,AG$1,FALSE)*AA26</f>
        <v>4641.4219865339965</v>
      </c>
      <c r="AH26">
        <f>VLOOKUP($AC26,'2017 Seattle Tracts'!$C$2:$Z$399,AH$1,FALSE)*AA26</f>
        <v>4092.4452203591295</v>
      </c>
      <c r="AI26">
        <f>VLOOKUP($AC26,'2017 Seattle Tracts'!$C$2:$Z$399,AI$1,FALSE)*AA26</f>
        <v>548.97676617486661</v>
      </c>
      <c r="AJ26">
        <f>VLOOKUP($AC26,'2017 Seattle Tracts'!$C$2:$Z$399,AJ$1,FALSE)*AA26</f>
        <v>3614.899641595905</v>
      </c>
      <c r="AK26">
        <f>VLOOKUP($AC26,'2017 Seattle Tracts'!$C$2:$Z$399,AK$1,FALSE)*AA26</f>
        <v>217.50395268039304</v>
      </c>
      <c r="AL26">
        <f>VLOOKUP($AC26,'2017 Seattle Tracts'!$C$2:$Z$399,AL$1,FALSE)*AA26</f>
        <v>97.916908586745208</v>
      </c>
      <c r="AM26">
        <f>VLOOKUP($AC26,'2017 Seattle Tracts'!$C$2:$Z$399,AM$1,FALSE)*AA26</f>
        <v>12.841561781868224</v>
      </c>
      <c r="AN26">
        <f>VLOOKUP($AC26,'2017 Seattle Tracts'!$C$2:$Z$399,AN$1,FALSE)*AA26</f>
        <v>24.07792834100292</v>
      </c>
      <c r="AO26">
        <f>VLOOKUP($AC26,'2017 Seattle Tracts'!$C$2:$Z$399,AO$1,FALSE)*AA26</f>
        <v>36.116892511504382</v>
      </c>
      <c r="AP26">
        <f>VLOOKUP($AC26,'2017 Seattle Tracts'!$C$2:$Z$399,AP$1,FALSE)*AA26</f>
        <v>8.8285737250344045</v>
      </c>
      <c r="AQ26">
        <f>VLOOKUP($AC26,'2017 Seattle Tracts'!$C$2:$Z$399,AQ$1,FALSE)*AA26</f>
        <v>0</v>
      </c>
      <c r="AR26">
        <f>VLOOKUP($AC26,'2017 Seattle Tracts'!$C$2:$Z$399,AR$1,FALSE)*AA26</f>
        <v>54.576637572939951</v>
      </c>
      <c r="AS26">
        <f>VLOOKUP($AC26,'2017 Seattle Tracts'!$C$2:$Z$399,AS$1,FALSE)*AA26</f>
        <v>203.05719567579129</v>
      </c>
      <c r="AT26">
        <f>VLOOKUP($AC26,'2017 Seattle Tracts'!$C$2:$Z$399,AT$1,FALSE)*AA26</f>
        <v>0</v>
      </c>
      <c r="AU26">
        <f>VLOOKUP($AC26,'2017 Seattle Tracts'!$C$2:$Z$399,AU$1,FALSE)*AA26</f>
        <v>0</v>
      </c>
      <c r="AV26">
        <f>VLOOKUP($AC26,'2017 Seattle Tracts'!$C$2:$Z$399,AV$1,FALSE)*AA26</f>
        <v>11.236366559134696</v>
      </c>
      <c r="AW26">
        <f>VLOOKUP($AC26,'2017 Seattle Tracts'!$C$2:$Z$399,AW$1,FALSE)*AA26</f>
        <v>48.958454293372604</v>
      </c>
      <c r="AX26">
        <f>VLOOKUP($AC26,'2017 Seattle Tracts'!$C$2:$Z$399,AX$1,FALSE)*AA26</f>
        <v>280.90916397836742</v>
      </c>
      <c r="AY26">
        <f>VLOOKUP($AC26,'2017 Seattle Tracts'!$C$2:$Z$399,AY$1,FALSE)*AA26</f>
        <v>30.498709231937031</v>
      </c>
      <c r="BA26" s="2" t="s">
        <v>176</v>
      </c>
      <c r="BB26">
        <v>6442.4418201477465</v>
      </c>
      <c r="BC26">
        <v>5777.2987674608703</v>
      </c>
      <c r="BD26">
        <v>665.14305268687701</v>
      </c>
      <c r="BE26">
        <v>4966.6361886310606</v>
      </c>
      <c r="BF26">
        <v>335.05140370958952</v>
      </c>
      <c r="BG26">
        <v>177.63030282313025</v>
      </c>
      <c r="BH26">
        <v>4.8943486465573027</v>
      </c>
      <c r="BI26">
        <v>34.848554477045305</v>
      </c>
      <c r="BJ26">
        <v>22.586599066851374</v>
      </c>
      <c r="BK26">
        <v>8.5581630994530276</v>
      </c>
      <c r="BL26">
        <v>0</v>
      </c>
      <c r="BM26">
        <v>170.19349670299124</v>
      </c>
      <c r="BN26">
        <v>267.21612012089804</v>
      </c>
      <c r="BO26">
        <v>0</v>
      </c>
      <c r="BP26">
        <v>0</v>
      </c>
      <c r="BQ26">
        <v>52.460146638808872</v>
      </c>
      <c r="BR26">
        <v>7.3685870853358946</v>
      </c>
      <c r="BS26">
        <v>366.97191508838091</v>
      </c>
      <c r="BT26">
        <v>28.02599405764483</v>
      </c>
    </row>
    <row r="27" spans="1:72" x14ac:dyDescent="0.25">
      <c r="A27" t="s">
        <v>2917</v>
      </c>
      <c r="B27" t="s">
        <v>2918</v>
      </c>
      <c r="C27" t="s">
        <v>2942</v>
      </c>
      <c r="D27" t="s">
        <v>2509</v>
      </c>
      <c r="E27" t="s">
        <v>2510</v>
      </c>
      <c r="F27" t="s">
        <v>2511</v>
      </c>
      <c r="G27" t="s">
        <v>2920</v>
      </c>
      <c r="H27" t="s">
        <v>2921</v>
      </c>
      <c r="I27">
        <v>1905650</v>
      </c>
      <c r="J27">
        <v>1385222</v>
      </c>
      <c r="K27" t="s">
        <v>2943</v>
      </c>
      <c r="L27" t="s">
        <v>2944</v>
      </c>
      <c r="M27">
        <v>1777292</v>
      </c>
      <c r="N27">
        <v>107</v>
      </c>
      <c r="O27">
        <v>58047.309000000001</v>
      </c>
      <c r="P27" t="s">
        <v>122</v>
      </c>
      <c r="Q27">
        <v>18</v>
      </c>
      <c r="R27">
        <v>12</v>
      </c>
      <c r="S27">
        <v>95</v>
      </c>
      <c r="T27">
        <v>24681990</v>
      </c>
      <c r="U27">
        <v>109</v>
      </c>
      <c r="V27">
        <v>198</v>
      </c>
      <c r="W27">
        <v>58047.307413870847</v>
      </c>
      <c r="X27">
        <v>24681989.600617379</v>
      </c>
      <c r="Y27">
        <v>43824.196000000004</v>
      </c>
      <c r="Z27">
        <f>VLOOKUP($AC27,'2017 Seattle Tracts'!$C$2:$Z$399,24,FALSE)</f>
        <v>1777292.192</v>
      </c>
      <c r="AA27">
        <f t="shared" si="1"/>
        <v>2.4657845343192732E-2</v>
      </c>
      <c r="AB27" t="s">
        <v>165</v>
      </c>
      <c r="AC27" t="str">
        <f t="shared" si="0"/>
        <v>Census Tract 96, King County, Washington</v>
      </c>
      <c r="AD27">
        <f>VLOOKUP($AC27,'2017 Seattle Tracts'!$C$2:$Z$399,AD$1,FALSE)*AA27</f>
        <v>142.59631961968358</v>
      </c>
      <c r="AE27">
        <f>VLOOKUP($AC27,'2017 Seattle Tracts'!$C$2:$Z$399,AE$1,FALSE)*AA27</f>
        <v>125.73035340493975</v>
      </c>
      <c r="AF27">
        <f>VLOOKUP($AC27,'2017 Seattle Tracts'!$C$2:$Z$399,AF$1,FALSE)*AA27</f>
        <v>16.865966214743828</v>
      </c>
      <c r="AG27">
        <f>VLOOKUP($AC27,'2017 Seattle Tracts'!$C$2:$Z$399,AG$1,FALSE)*AA27</f>
        <v>142.59631961968358</v>
      </c>
      <c r="AH27">
        <f>VLOOKUP($AC27,'2017 Seattle Tracts'!$C$2:$Z$399,AH$1,FALSE)*AA27</f>
        <v>125.73035340493975</v>
      </c>
      <c r="AI27">
        <f>VLOOKUP($AC27,'2017 Seattle Tracts'!$C$2:$Z$399,AI$1,FALSE)*AA27</f>
        <v>16.865966214743828</v>
      </c>
      <c r="AJ27">
        <f>VLOOKUP($AC27,'2017 Seattle Tracts'!$C$2:$Z$399,AJ$1,FALSE)*AA27</f>
        <v>111.05893542574006</v>
      </c>
      <c r="AK27">
        <f>VLOOKUP($AC27,'2017 Seattle Tracts'!$C$2:$Z$399,AK$1,FALSE)*AA27</f>
        <v>6.6822760880052305</v>
      </c>
      <c r="AL27">
        <f>VLOOKUP($AC27,'2017 Seattle Tracts'!$C$2:$Z$399,AL$1,FALSE)*AA27</f>
        <v>3.0082571318695135</v>
      </c>
      <c r="AM27">
        <f>VLOOKUP($AC27,'2017 Seattle Tracts'!$C$2:$Z$399,AM$1,FALSE)*AA27</f>
        <v>0.39452552549108372</v>
      </c>
      <c r="AN27">
        <f>VLOOKUP($AC27,'2017 Seattle Tracts'!$C$2:$Z$399,AN$1,FALSE)*AA27</f>
        <v>0.73973536029578202</v>
      </c>
      <c r="AO27">
        <f>VLOOKUP($AC27,'2017 Seattle Tracts'!$C$2:$Z$399,AO$1,FALSE)*AA27</f>
        <v>1.109603040443673</v>
      </c>
      <c r="AP27">
        <f>VLOOKUP($AC27,'2017 Seattle Tracts'!$C$2:$Z$399,AP$1,FALSE)*AA27</f>
        <v>0.27123629877512007</v>
      </c>
      <c r="AQ27">
        <f>VLOOKUP($AC27,'2017 Seattle Tracts'!$C$2:$Z$399,AQ$1,FALSE)*AA27</f>
        <v>0</v>
      </c>
      <c r="AR27">
        <f>VLOOKUP($AC27,'2017 Seattle Tracts'!$C$2:$Z$399,AR$1,FALSE)*AA27</f>
        <v>1.6767334833371057</v>
      </c>
      <c r="AS27">
        <f>VLOOKUP($AC27,'2017 Seattle Tracts'!$C$2:$Z$399,AS$1,FALSE)*AA27</f>
        <v>6.2384348718277609</v>
      </c>
      <c r="AT27">
        <f>VLOOKUP($AC27,'2017 Seattle Tracts'!$C$2:$Z$399,AT$1,FALSE)*AA27</f>
        <v>0</v>
      </c>
      <c r="AU27">
        <f>VLOOKUP($AC27,'2017 Seattle Tracts'!$C$2:$Z$399,AU$1,FALSE)*AA27</f>
        <v>0</v>
      </c>
      <c r="AV27">
        <f>VLOOKUP($AC27,'2017 Seattle Tracts'!$C$2:$Z$399,AV$1,FALSE)*AA27</f>
        <v>0.34520983480469825</v>
      </c>
      <c r="AW27">
        <f>VLOOKUP($AC27,'2017 Seattle Tracts'!$C$2:$Z$399,AW$1,FALSE)*AA27</f>
        <v>1.5041285659347567</v>
      </c>
      <c r="AX27">
        <f>VLOOKUP($AC27,'2017 Seattle Tracts'!$C$2:$Z$399,AX$1,FALSE)*AA27</f>
        <v>8.6302458701174558</v>
      </c>
      <c r="AY27">
        <f>VLOOKUP($AC27,'2017 Seattle Tracts'!$C$2:$Z$399,AY$1,FALSE)*AA27</f>
        <v>0.93699812304132379</v>
      </c>
      <c r="BA27" s="2" t="s">
        <v>166</v>
      </c>
      <c r="BB27">
        <v>1264.4604385375324</v>
      </c>
      <c r="BC27">
        <v>1115.4553529900636</v>
      </c>
      <c r="BD27">
        <v>149.00508554746852</v>
      </c>
      <c r="BE27">
        <v>798.07314822992225</v>
      </c>
      <c r="BF27">
        <v>21.426067330179308</v>
      </c>
      <c r="BG27">
        <v>28.157742570950688</v>
      </c>
      <c r="BH27">
        <v>2.8489808045970175</v>
      </c>
      <c r="BI27">
        <v>72.647027355413869</v>
      </c>
      <c r="BJ27">
        <v>23.701162259464699</v>
      </c>
      <c r="BK27">
        <v>7.5436755155774966</v>
      </c>
      <c r="BL27">
        <v>1.7169508263747022</v>
      </c>
      <c r="BM27">
        <v>48.481517312464376</v>
      </c>
      <c r="BN27">
        <v>93.927978355645948</v>
      </c>
      <c r="BO27">
        <v>19.78696328468207</v>
      </c>
      <c r="BP27">
        <v>3.122442461831171</v>
      </c>
      <c r="BQ27">
        <v>62.089874231330249</v>
      </c>
      <c r="BR27">
        <v>0.72535934820764836</v>
      </c>
      <c r="BS27">
        <v>78.675404489722737</v>
      </c>
      <c r="BT27">
        <v>1.5361441611680287</v>
      </c>
    </row>
    <row r="28" spans="1:72" x14ac:dyDescent="0.25">
      <c r="A28" t="s">
        <v>2917</v>
      </c>
      <c r="B28" t="s">
        <v>2918</v>
      </c>
      <c r="C28" t="s">
        <v>2945</v>
      </c>
      <c r="D28" t="s">
        <v>2506</v>
      </c>
      <c r="E28" t="s">
        <v>2507</v>
      </c>
      <c r="F28" t="s">
        <v>2508</v>
      </c>
      <c r="G28" t="s">
        <v>2920</v>
      </c>
      <c r="H28" t="s">
        <v>2921</v>
      </c>
      <c r="I28">
        <v>1861357</v>
      </c>
      <c r="J28">
        <v>1607123</v>
      </c>
      <c r="K28" t="s">
        <v>2946</v>
      </c>
      <c r="L28" t="s">
        <v>2947</v>
      </c>
      <c r="M28">
        <v>1757148</v>
      </c>
      <c r="N28">
        <v>71</v>
      </c>
      <c r="O28">
        <v>23122.263999999999</v>
      </c>
      <c r="P28" t="s">
        <v>170</v>
      </c>
      <c r="Q28">
        <v>19</v>
      </c>
      <c r="R28">
        <v>9</v>
      </c>
      <c r="S28">
        <v>19</v>
      </c>
      <c r="T28">
        <v>18463062</v>
      </c>
      <c r="U28">
        <v>73</v>
      </c>
      <c r="V28">
        <v>178</v>
      </c>
      <c r="W28">
        <v>23122.264003256802</v>
      </c>
      <c r="X28">
        <v>18463061.7979086</v>
      </c>
      <c r="Y28">
        <v>334.791</v>
      </c>
      <c r="Z28">
        <f>VLOOKUP($AC28,'2017 Seattle Tracts'!$C$2:$Z$399,24,FALSE)</f>
        <v>1757148.1340000001</v>
      </c>
      <c r="AA28">
        <f t="shared" si="1"/>
        <v>1.9053089123332841E-4</v>
      </c>
      <c r="AB28" t="s">
        <v>169</v>
      </c>
      <c r="AC28" t="str">
        <f t="shared" si="0"/>
        <v>Census Tract 97.01, King County, Washington</v>
      </c>
      <c r="AD28">
        <f>VLOOKUP($AC28,'2017 Seattle Tracts'!$C$2:$Z$399,AD$1,FALSE)*AA28</f>
        <v>1.1915801937732358</v>
      </c>
      <c r="AE28">
        <f>VLOOKUP($AC28,'2017 Seattle Tracts'!$C$2:$Z$399,AE$1,FALSE)*AA28</f>
        <v>1.0250561948353067</v>
      </c>
      <c r="AF28">
        <f>VLOOKUP($AC28,'2017 Seattle Tracts'!$C$2:$Z$399,AF$1,FALSE)*AA28</f>
        <v>0.16652399893792902</v>
      </c>
      <c r="AG28">
        <f>VLOOKUP($AC28,'2017 Seattle Tracts'!$C$2:$Z$399,AG$1,FALSE)*AA28</f>
        <v>1.1915801937732358</v>
      </c>
      <c r="AH28">
        <f>VLOOKUP($AC28,'2017 Seattle Tracts'!$C$2:$Z$399,AH$1,FALSE)*AA28</f>
        <v>1.0250561948353067</v>
      </c>
      <c r="AI28">
        <f>VLOOKUP($AC28,'2017 Seattle Tracts'!$C$2:$Z$399,AI$1,FALSE)*AA28</f>
        <v>0.16652399893792902</v>
      </c>
      <c r="AJ28">
        <f>VLOOKUP($AC28,'2017 Seattle Tracts'!$C$2:$Z$399,AJ$1,FALSE)*AA28</f>
        <v>0.84233707014254489</v>
      </c>
      <c r="AK28">
        <f>VLOOKUP($AC28,'2017 Seattle Tracts'!$C$2:$Z$399,AK$1,FALSE)*AA28</f>
        <v>9.2216951356930948E-2</v>
      </c>
      <c r="AL28">
        <f>VLOOKUP($AC28,'2017 Seattle Tracts'!$C$2:$Z$399,AL$1,FALSE)*AA28</f>
        <v>5.3539180436565283E-2</v>
      </c>
      <c r="AM28">
        <f>VLOOKUP($AC28,'2017 Seattle Tracts'!$C$2:$Z$399,AM$1,FALSE)*AA28</f>
        <v>1.314663149509966E-2</v>
      </c>
      <c r="AN28">
        <f>VLOOKUP($AC28,'2017 Seattle Tracts'!$C$2:$Z$399,AN$1,FALSE)*AA28</f>
        <v>2.3244768730466065E-2</v>
      </c>
      <c r="AO28">
        <f>VLOOKUP($AC28,'2017 Seattle Tracts'!$C$2:$Z$399,AO$1,FALSE)*AA28</f>
        <v>0</v>
      </c>
      <c r="AP28">
        <f>VLOOKUP($AC28,'2017 Seattle Tracts'!$C$2:$Z$399,AP$1,FALSE)*AA28</f>
        <v>6.2875194106998371E-3</v>
      </c>
      <c r="AQ28">
        <f>VLOOKUP($AC28,'2017 Seattle Tracts'!$C$2:$Z$399,AQ$1,FALSE)*AA28</f>
        <v>0</v>
      </c>
      <c r="AR28">
        <f>VLOOKUP($AC28,'2017 Seattle Tracts'!$C$2:$Z$399,AR$1,FALSE)*AA28</f>
        <v>2.2482645165532753E-2</v>
      </c>
      <c r="AS28">
        <f>VLOOKUP($AC28,'2017 Seattle Tracts'!$C$2:$Z$399,AS$1,FALSE)*AA28</f>
        <v>5.411077311026527E-2</v>
      </c>
      <c r="AT28">
        <f>VLOOKUP($AC28,'2017 Seattle Tracts'!$C$2:$Z$399,AT$1,FALSE)*AA28</f>
        <v>0</v>
      </c>
      <c r="AU28">
        <f>VLOOKUP($AC28,'2017 Seattle Tracts'!$C$2:$Z$399,AU$1,FALSE)*AA28</f>
        <v>0</v>
      </c>
      <c r="AV28">
        <f>VLOOKUP($AC28,'2017 Seattle Tracts'!$C$2:$Z$399,AV$1,FALSE)*AA28</f>
        <v>1.5814063972366257E-2</v>
      </c>
      <c r="AW28">
        <f>VLOOKUP($AC28,'2017 Seattle Tracts'!$C$2:$Z$399,AW$1,FALSE)*AA28</f>
        <v>3.8106178246665682E-3</v>
      </c>
      <c r="AX28">
        <f>VLOOKUP($AC28,'2017 Seattle Tracts'!$C$2:$Z$399,AX$1,FALSE)*AA28</f>
        <v>6.1350946977131747E-2</v>
      </c>
      <c r="AY28">
        <f>VLOOKUP($AC28,'2017 Seattle Tracts'!$C$2:$Z$399,AY$1,FALSE)*AA28</f>
        <v>3.239025150966583E-3</v>
      </c>
      <c r="BA28" s="2" t="s">
        <v>125</v>
      </c>
      <c r="BB28">
        <v>10146.658794914176</v>
      </c>
      <c r="BC28">
        <v>8827.6625212474082</v>
      </c>
      <c r="BD28">
        <v>1318.9962736667667</v>
      </c>
      <c r="BE28">
        <v>7257.5433566121419</v>
      </c>
      <c r="BF28">
        <v>521.79375899571994</v>
      </c>
      <c r="BG28">
        <v>94.026338516721012</v>
      </c>
      <c r="BH28">
        <v>67.275669686650687</v>
      </c>
      <c r="BI28">
        <v>132.64415718013004</v>
      </c>
      <c r="BJ28">
        <v>24.898608715405423</v>
      </c>
      <c r="BK28">
        <v>0.69906673161899768</v>
      </c>
      <c r="BL28">
        <v>1.9252701056146506</v>
      </c>
      <c r="BM28">
        <v>644.73578953860817</v>
      </c>
      <c r="BN28">
        <v>564.18264485948475</v>
      </c>
      <c r="BO28">
        <v>2.3230838584132982E-2</v>
      </c>
      <c r="BP28">
        <v>0</v>
      </c>
      <c r="BQ28">
        <v>80.296837919411914</v>
      </c>
      <c r="BR28">
        <v>115.01402533764144</v>
      </c>
      <c r="BS28">
        <v>617.69374391019244</v>
      </c>
      <c r="BT28">
        <v>23.906295966249907</v>
      </c>
    </row>
    <row r="29" spans="1:72" x14ac:dyDescent="0.25">
      <c r="A29" t="s">
        <v>2917</v>
      </c>
      <c r="B29" t="s">
        <v>2918</v>
      </c>
      <c r="C29" t="s">
        <v>2945</v>
      </c>
      <c r="D29" t="s">
        <v>2506</v>
      </c>
      <c r="E29" t="s">
        <v>2507</v>
      </c>
      <c r="F29" t="s">
        <v>2508</v>
      </c>
      <c r="G29" t="s">
        <v>2920</v>
      </c>
      <c r="H29" t="s">
        <v>2921</v>
      </c>
      <c r="I29">
        <v>1861357</v>
      </c>
      <c r="J29">
        <v>1607123</v>
      </c>
      <c r="K29" t="s">
        <v>2946</v>
      </c>
      <c r="L29" t="s">
        <v>2947</v>
      </c>
      <c r="M29">
        <v>1757148</v>
      </c>
      <c r="N29">
        <v>74</v>
      </c>
      <c r="O29">
        <v>45568.137000000002</v>
      </c>
      <c r="P29" t="s">
        <v>170</v>
      </c>
      <c r="Q29">
        <v>19</v>
      </c>
      <c r="R29">
        <v>9</v>
      </c>
      <c r="S29">
        <v>81</v>
      </c>
      <c r="T29">
        <v>24583470</v>
      </c>
      <c r="U29">
        <v>76</v>
      </c>
      <c r="V29">
        <v>168</v>
      </c>
      <c r="W29">
        <v>45568.137853690583</v>
      </c>
      <c r="X29">
        <v>24583469.184015442</v>
      </c>
      <c r="Y29">
        <v>1754189.176</v>
      </c>
      <c r="Z29">
        <f>VLOOKUP($AC29,'2017 Seattle Tracts'!$C$2:$Z$399,24,FALSE)</f>
        <v>1757148.1340000001</v>
      </c>
      <c r="AA29">
        <f t="shared" si="1"/>
        <v>0.99831604521966832</v>
      </c>
      <c r="AB29" t="s">
        <v>173</v>
      </c>
      <c r="AC29" t="str">
        <f t="shared" si="0"/>
        <v>Census Tract 97.01, King County, Washington</v>
      </c>
      <c r="AD29">
        <f>VLOOKUP($AC29,'2017 Seattle Tracts'!$C$2:$Z$399,AD$1,FALSE)*AA29</f>
        <v>6243.468546803806</v>
      </c>
      <c r="AE29">
        <f>VLOOKUP($AC29,'2017 Seattle Tracts'!$C$2:$Z$399,AE$1,FALSE)*AA29</f>
        <v>5370.9403232818158</v>
      </c>
      <c r="AF29">
        <f>VLOOKUP($AC29,'2017 Seattle Tracts'!$C$2:$Z$399,AF$1,FALSE)*AA29</f>
        <v>872.52822352199007</v>
      </c>
      <c r="AG29">
        <f>VLOOKUP($AC29,'2017 Seattle Tracts'!$C$2:$Z$399,AG$1,FALSE)*AA29</f>
        <v>6243.468546803806</v>
      </c>
      <c r="AH29">
        <f>VLOOKUP($AC29,'2017 Seattle Tracts'!$C$2:$Z$399,AH$1,FALSE)*AA29</f>
        <v>5370.9403232818158</v>
      </c>
      <c r="AI29">
        <f>VLOOKUP($AC29,'2017 Seattle Tracts'!$C$2:$Z$399,AI$1,FALSE)*AA29</f>
        <v>872.52822352199007</v>
      </c>
      <c r="AJ29">
        <f>VLOOKUP($AC29,'2017 Seattle Tracts'!$C$2:$Z$399,AJ$1,FALSE)*AA29</f>
        <v>4413.5552359161538</v>
      </c>
      <c r="AK29">
        <f>VLOOKUP($AC29,'2017 Seattle Tracts'!$C$2:$Z$399,AK$1,FALSE)*AA29</f>
        <v>483.18496588631945</v>
      </c>
      <c r="AL29">
        <f>VLOOKUP($AC29,'2017 Seattle Tracts'!$C$2:$Z$399,AL$1,FALSE)*AA29</f>
        <v>280.5268087067268</v>
      </c>
      <c r="AM29">
        <f>VLOOKUP($AC29,'2017 Seattle Tracts'!$C$2:$Z$399,AM$1,FALSE)*AA29</f>
        <v>68.883807120157115</v>
      </c>
      <c r="AN29">
        <f>VLOOKUP($AC29,'2017 Seattle Tracts'!$C$2:$Z$399,AN$1,FALSE)*AA29</f>
        <v>121.79455751679953</v>
      </c>
      <c r="AO29">
        <f>VLOOKUP($AC29,'2017 Seattle Tracts'!$C$2:$Z$399,AO$1,FALSE)*AA29</f>
        <v>0</v>
      </c>
      <c r="AP29">
        <f>VLOOKUP($AC29,'2017 Seattle Tracts'!$C$2:$Z$399,AP$1,FALSE)*AA29</f>
        <v>32.944429492249057</v>
      </c>
      <c r="AQ29">
        <f>VLOOKUP($AC29,'2017 Seattle Tracts'!$C$2:$Z$399,AQ$1,FALSE)*AA29</f>
        <v>0</v>
      </c>
      <c r="AR29">
        <f>VLOOKUP($AC29,'2017 Seattle Tracts'!$C$2:$Z$399,AR$1,FALSE)*AA29</f>
        <v>117.80129333592086</v>
      </c>
      <c r="AS29">
        <f>VLOOKUP($AC29,'2017 Seattle Tracts'!$C$2:$Z$399,AS$1,FALSE)*AA29</f>
        <v>283.5217568423858</v>
      </c>
      <c r="AT29">
        <f>VLOOKUP($AC29,'2017 Seattle Tracts'!$C$2:$Z$399,AT$1,FALSE)*AA29</f>
        <v>0</v>
      </c>
      <c r="AU29">
        <f>VLOOKUP($AC29,'2017 Seattle Tracts'!$C$2:$Z$399,AU$1,FALSE)*AA29</f>
        <v>0</v>
      </c>
      <c r="AV29">
        <f>VLOOKUP($AC29,'2017 Seattle Tracts'!$C$2:$Z$399,AV$1,FALSE)*AA29</f>
        <v>82.860231753232469</v>
      </c>
      <c r="AW29">
        <f>VLOOKUP($AC29,'2017 Seattle Tracts'!$C$2:$Z$399,AW$1,FALSE)*AA29</f>
        <v>19.966320904393367</v>
      </c>
      <c r="AX29">
        <f>VLOOKUP($AC29,'2017 Seattle Tracts'!$C$2:$Z$399,AX$1,FALSE)*AA29</f>
        <v>321.45776656073321</v>
      </c>
      <c r="AY29">
        <f>VLOOKUP($AC29,'2017 Seattle Tracts'!$C$2:$Z$399,AY$1,FALSE)*AA29</f>
        <v>16.971372768734362</v>
      </c>
      <c r="BA29" s="2" t="s">
        <v>221</v>
      </c>
      <c r="BB29">
        <v>17174.501052032199</v>
      </c>
      <c r="BC29">
        <v>14804.008029651835</v>
      </c>
      <c r="BD29">
        <v>2370.493022380364</v>
      </c>
      <c r="BE29">
        <v>12094.886914896739</v>
      </c>
      <c r="BF29">
        <v>857.64705049816575</v>
      </c>
      <c r="BG29">
        <v>399.5742917908612</v>
      </c>
      <c r="BH29">
        <v>147.10053997476533</v>
      </c>
      <c r="BI29">
        <v>268.28048407794438</v>
      </c>
      <c r="BJ29">
        <v>109.09689545549995</v>
      </c>
      <c r="BK29">
        <v>102.30779989408464</v>
      </c>
      <c r="BL29">
        <v>0</v>
      </c>
      <c r="BM29">
        <v>670.30852625016655</v>
      </c>
      <c r="BN29">
        <v>958.49438767209426</v>
      </c>
      <c r="BO29">
        <v>31.466195683867699</v>
      </c>
      <c r="BP29">
        <v>3.1615189739264922E-2</v>
      </c>
      <c r="BQ29">
        <v>214.75344391156955</v>
      </c>
      <c r="BR29">
        <v>100.16554393442273</v>
      </c>
      <c r="BS29">
        <v>1022.4303731466019</v>
      </c>
      <c r="BT29">
        <v>197.95698965567655</v>
      </c>
    </row>
    <row r="30" spans="1:72" x14ac:dyDescent="0.25">
      <c r="A30" t="s">
        <v>2917</v>
      </c>
      <c r="B30" t="s">
        <v>2918</v>
      </c>
      <c r="C30" t="s">
        <v>2945</v>
      </c>
      <c r="D30" t="s">
        <v>2506</v>
      </c>
      <c r="E30" t="s">
        <v>2507</v>
      </c>
      <c r="F30" t="s">
        <v>2508</v>
      </c>
      <c r="G30" t="s">
        <v>2920</v>
      </c>
      <c r="H30" t="s">
        <v>2921</v>
      </c>
      <c r="I30">
        <v>1861357</v>
      </c>
      <c r="J30">
        <v>1607123</v>
      </c>
      <c r="K30" t="s">
        <v>2946</v>
      </c>
      <c r="L30" t="s">
        <v>2947</v>
      </c>
      <c r="M30">
        <v>1757148</v>
      </c>
      <c r="N30">
        <v>75</v>
      </c>
      <c r="O30">
        <v>30687.785</v>
      </c>
      <c r="P30" t="s">
        <v>170</v>
      </c>
      <c r="Q30">
        <v>19</v>
      </c>
      <c r="R30">
        <v>9</v>
      </c>
      <c r="S30">
        <v>24</v>
      </c>
      <c r="T30">
        <v>48581416</v>
      </c>
      <c r="U30">
        <v>77</v>
      </c>
      <c r="V30">
        <v>169</v>
      </c>
      <c r="W30">
        <v>30687.78447008365</v>
      </c>
      <c r="X30">
        <v>48581416.320232317</v>
      </c>
      <c r="Y30">
        <v>1875.499</v>
      </c>
      <c r="Z30">
        <f>VLOOKUP($AC30,'2017 Seattle Tracts'!$C$2:$Z$399,24,FALSE)</f>
        <v>1757148.1340000001</v>
      </c>
      <c r="AA30">
        <f t="shared" si="1"/>
        <v>1.067353949112181E-3</v>
      </c>
      <c r="AB30" t="s">
        <v>174</v>
      </c>
      <c r="AC30" t="str">
        <f t="shared" si="0"/>
        <v>Census Tract 97.01, King County, Washington</v>
      </c>
      <c r="AD30">
        <f>VLOOKUP($AC30,'2017 Seattle Tracts'!$C$2:$Z$399,AD$1,FALSE)*AA30</f>
        <v>6.6752315977475805</v>
      </c>
      <c r="AE30">
        <f>VLOOKUP($AC30,'2017 Seattle Tracts'!$C$2:$Z$399,AE$1,FALSE)*AA30</f>
        <v>5.7423642462235343</v>
      </c>
      <c r="AF30">
        <f>VLOOKUP($AC30,'2017 Seattle Tracts'!$C$2:$Z$399,AF$1,FALSE)*AA30</f>
        <v>0.93286735152404621</v>
      </c>
      <c r="AG30">
        <f>VLOOKUP($AC30,'2017 Seattle Tracts'!$C$2:$Z$399,AG$1,FALSE)*AA30</f>
        <v>6.6752315977475805</v>
      </c>
      <c r="AH30">
        <f>VLOOKUP($AC30,'2017 Seattle Tracts'!$C$2:$Z$399,AH$1,FALSE)*AA30</f>
        <v>5.7423642462235343</v>
      </c>
      <c r="AI30">
        <f>VLOOKUP($AC30,'2017 Seattle Tracts'!$C$2:$Z$399,AI$1,FALSE)*AA30</f>
        <v>0.93286735152404621</v>
      </c>
      <c r="AJ30">
        <f>VLOOKUP($AC30,'2017 Seattle Tracts'!$C$2:$Z$399,AJ$1,FALSE)*AA30</f>
        <v>4.7187718090249522</v>
      </c>
      <c r="AK30">
        <f>VLOOKUP($AC30,'2017 Seattle Tracts'!$C$2:$Z$399,AK$1,FALSE)*AA30</f>
        <v>0.51659931137029558</v>
      </c>
      <c r="AL30">
        <f>VLOOKUP($AC30,'2017 Seattle Tracts'!$C$2:$Z$399,AL$1,FALSE)*AA30</f>
        <v>0.2999264597005229</v>
      </c>
      <c r="AM30">
        <f>VLOOKUP($AC30,'2017 Seattle Tracts'!$C$2:$Z$399,AM$1,FALSE)*AA30</f>
        <v>7.3647422488740497E-2</v>
      </c>
      <c r="AN30">
        <f>VLOOKUP($AC30,'2017 Seattle Tracts'!$C$2:$Z$399,AN$1,FALSE)*AA30</f>
        <v>0.13021718179168609</v>
      </c>
      <c r="AO30">
        <f>VLOOKUP($AC30,'2017 Seattle Tracts'!$C$2:$Z$399,AO$1,FALSE)*AA30</f>
        <v>0</v>
      </c>
      <c r="AP30">
        <f>VLOOKUP($AC30,'2017 Seattle Tracts'!$C$2:$Z$399,AP$1,FALSE)*AA30</f>
        <v>3.5222680320701971E-2</v>
      </c>
      <c r="AQ30">
        <f>VLOOKUP($AC30,'2017 Seattle Tracts'!$C$2:$Z$399,AQ$1,FALSE)*AA30</f>
        <v>0</v>
      </c>
      <c r="AR30">
        <f>VLOOKUP($AC30,'2017 Seattle Tracts'!$C$2:$Z$399,AR$1,FALSE)*AA30</f>
        <v>0.12594776599523735</v>
      </c>
      <c r="AS30">
        <f>VLOOKUP($AC30,'2017 Seattle Tracts'!$C$2:$Z$399,AS$1,FALSE)*AA30</f>
        <v>0.30312852154785941</v>
      </c>
      <c r="AT30">
        <f>VLOOKUP($AC30,'2017 Seattle Tracts'!$C$2:$Z$399,AT$1,FALSE)*AA30</f>
        <v>0</v>
      </c>
      <c r="AU30">
        <f>VLOOKUP($AC30,'2017 Seattle Tracts'!$C$2:$Z$399,AU$1,FALSE)*AA30</f>
        <v>0</v>
      </c>
      <c r="AV30">
        <f>VLOOKUP($AC30,'2017 Seattle Tracts'!$C$2:$Z$399,AV$1,FALSE)*AA30</f>
        <v>8.8590377776311027E-2</v>
      </c>
      <c r="AW30">
        <f>VLOOKUP($AC30,'2017 Seattle Tracts'!$C$2:$Z$399,AW$1,FALSE)*AA30</f>
        <v>2.1347078982243622E-2</v>
      </c>
      <c r="AX30">
        <f>VLOOKUP($AC30,'2017 Seattle Tracts'!$C$2:$Z$399,AX$1,FALSE)*AA30</f>
        <v>0.34368797161412229</v>
      </c>
      <c r="AY30">
        <f>VLOOKUP($AC30,'2017 Seattle Tracts'!$C$2:$Z$399,AY$1,FALSE)*AA30</f>
        <v>1.8145017134907078E-2</v>
      </c>
      <c r="BA30" s="2" t="s">
        <v>214</v>
      </c>
      <c r="BB30">
        <v>9877.7947991727415</v>
      </c>
      <c r="BC30">
        <v>7883.373477987454</v>
      </c>
      <c r="BD30">
        <v>1994.421321185288</v>
      </c>
      <c r="BE30">
        <v>5892.7782194256288</v>
      </c>
      <c r="BF30">
        <v>540.17977963496855</v>
      </c>
      <c r="BG30">
        <v>160.50250615209046</v>
      </c>
      <c r="BH30">
        <v>81.151470623821396</v>
      </c>
      <c r="BI30">
        <v>628.05205152504948</v>
      </c>
      <c r="BJ30">
        <v>199.48331491120132</v>
      </c>
      <c r="BK30">
        <v>52.472064335325932</v>
      </c>
      <c r="BL30">
        <v>2.1258473113579068</v>
      </c>
      <c r="BM30">
        <v>368.00948986387482</v>
      </c>
      <c r="BN30">
        <v>842.5933176275463</v>
      </c>
      <c r="BO30">
        <v>21.621816764611221</v>
      </c>
      <c r="BP30">
        <v>6.5792069702719189</v>
      </c>
      <c r="BQ30">
        <v>229.85058831482036</v>
      </c>
      <c r="BR30">
        <v>283.43358949625542</v>
      </c>
      <c r="BS30">
        <v>530.08674160605301</v>
      </c>
      <c r="BT30">
        <v>38.874794609864963</v>
      </c>
    </row>
    <row r="31" spans="1:72" x14ac:dyDescent="0.25">
      <c r="A31" t="s">
        <v>2917</v>
      </c>
      <c r="B31" t="s">
        <v>2918</v>
      </c>
      <c r="C31" t="s">
        <v>2945</v>
      </c>
      <c r="D31" t="s">
        <v>2506</v>
      </c>
      <c r="E31" t="s">
        <v>2507</v>
      </c>
      <c r="F31" t="s">
        <v>2508</v>
      </c>
      <c r="G31" t="s">
        <v>2920</v>
      </c>
      <c r="H31" t="s">
        <v>2921</v>
      </c>
      <c r="I31">
        <v>1861357</v>
      </c>
      <c r="J31">
        <v>1607123</v>
      </c>
      <c r="K31" t="s">
        <v>2946</v>
      </c>
      <c r="L31" t="s">
        <v>2947</v>
      </c>
      <c r="M31">
        <v>1757148</v>
      </c>
      <c r="N31">
        <v>77</v>
      </c>
      <c r="O31">
        <v>19870.868999999999</v>
      </c>
      <c r="P31" t="s">
        <v>170</v>
      </c>
      <c r="Q31">
        <v>19</v>
      </c>
      <c r="R31">
        <v>9</v>
      </c>
      <c r="S31">
        <v>95</v>
      </c>
      <c r="T31">
        <v>21164976</v>
      </c>
      <c r="U31">
        <v>79</v>
      </c>
      <c r="V31">
        <v>175</v>
      </c>
      <c r="W31">
        <v>19870.86960892408</v>
      </c>
      <c r="X31">
        <v>21164976.581290629</v>
      </c>
      <c r="Y31">
        <v>84.078999999999994</v>
      </c>
      <c r="Z31">
        <f>VLOOKUP($AC31,'2017 Seattle Tracts'!$C$2:$Z$399,24,FALSE)</f>
        <v>1757148.1340000001</v>
      </c>
      <c r="AA31">
        <f t="shared" si="1"/>
        <v>4.7849693701464553E-5</v>
      </c>
      <c r="AB31" t="s">
        <v>176</v>
      </c>
      <c r="AC31" t="str">
        <f t="shared" si="0"/>
        <v>Census Tract 97.01, King County, Washington</v>
      </c>
      <c r="AD31">
        <f>VLOOKUP($AC31,'2017 Seattle Tracts'!$C$2:$Z$399,AD$1,FALSE)*AA31</f>
        <v>0.29925198440895934</v>
      </c>
      <c r="AE31">
        <f>VLOOKUP($AC31,'2017 Seattle Tracts'!$C$2:$Z$399,AE$1,FALSE)*AA31</f>
        <v>0.2574313521138793</v>
      </c>
      <c r="AF31">
        <f>VLOOKUP($AC31,'2017 Seattle Tracts'!$C$2:$Z$399,AF$1,FALSE)*AA31</f>
        <v>4.1820632295080019E-2</v>
      </c>
      <c r="AG31">
        <f>VLOOKUP($AC31,'2017 Seattle Tracts'!$C$2:$Z$399,AG$1,FALSE)*AA31</f>
        <v>0.29925198440895934</v>
      </c>
      <c r="AH31">
        <f>VLOOKUP($AC31,'2017 Seattle Tracts'!$C$2:$Z$399,AH$1,FALSE)*AA31</f>
        <v>0.2574313521138793</v>
      </c>
      <c r="AI31">
        <f>VLOOKUP($AC31,'2017 Seattle Tracts'!$C$2:$Z$399,AI$1,FALSE)*AA31</f>
        <v>4.1820632295080019E-2</v>
      </c>
      <c r="AJ31">
        <f>VLOOKUP($AC31,'2017 Seattle Tracts'!$C$2:$Z$399,AJ$1,FALSE)*AA31</f>
        <v>0.21154349585417478</v>
      </c>
      <c r="AK31">
        <f>VLOOKUP($AC31,'2017 Seattle Tracts'!$C$2:$Z$399,AK$1,FALSE)*AA31</f>
        <v>2.3159251751508843E-2</v>
      </c>
      <c r="AL31">
        <f>VLOOKUP($AC31,'2017 Seattle Tracts'!$C$2:$Z$399,AL$1,FALSE)*AA31</f>
        <v>1.3445763930111539E-2</v>
      </c>
      <c r="AM31">
        <f>VLOOKUP($AC31,'2017 Seattle Tracts'!$C$2:$Z$399,AM$1,FALSE)*AA31</f>
        <v>3.3016288654010542E-3</v>
      </c>
      <c r="AN31">
        <f>VLOOKUP($AC31,'2017 Seattle Tracts'!$C$2:$Z$399,AN$1,FALSE)*AA31</f>
        <v>5.8376626315786752E-3</v>
      </c>
      <c r="AO31">
        <f>VLOOKUP($AC31,'2017 Seattle Tracts'!$C$2:$Z$399,AO$1,FALSE)*AA31</f>
        <v>0</v>
      </c>
      <c r="AP31">
        <f>VLOOKUP($AC31,'2017 Seattle Tracts'!$C$2:$Z$399,AP$1,FALSE)*AA31</f>
        <v>1.5790398921483302E-3</v>
      </c>
      <c r="AQ31">
        <f>VLOOKUP($AC31,'2017 Seattle Tracts'!$C$2:$Z$399,AQ$1,FALSE)*AA31</f>
        <v>0</v>
      </c>
      <c r="AR31">
        <f>VLOOKUP($AC31,'2017 Seattle Tracts'!$C$2:$Z$399,AR$1,FALSE)*AA31</f>
        <v>5.6462638567728171E-3</v>
      </c>
      <c r="AS31">
        <f>VLOOKUP($AC31,'2017 Seattle Tracts'!$C$2:$Z$399,AS$1,FALSE)*AA31</f>
        <v>1.3589313011215933E-2</v>
      </c>
      <c r="AT31">
        <f>VLOOKUP($AC31,'2017 Seattle Tracts'!$C$2:$Z$399,AT$1,FALSE)*AA31</f>
        <v>0</v>
      </c>
      <c r="AU31">
        <f>VLOOKUP($AC31,'2017 Seattle Tracts'!$C$2:$Z$399,AU$1,FALSE)*AA31</f>
        <v>0</v>
      </c>
      <c r="AV31">
        <f>VLOOKUP($AC31,'2017 Seattle Tracts'!$C$2:$Z$399,AV$1,FALSE)*AA31</f>
        <v>3.9715245772215576E-3</v>
      </c>
      <c r="AW31">
        <f>VLOOKUP($AC31,'2017 Seattle Tracts'!$C$2:$Z$399,AW$1,FALSE)*AA31</f>
        <v>9.5699387402929106E-4</v>
      </c>
      <c r="AX31">
        <f>VLOOKUP($AC31,'2017 Seattle Tracts'!$C$2:$Z$399,AX$1,FALSE)*AA31</f>
        <v>1.5407601371871586E-2</v>
      </c>
      <c r="AY31">
        <f>VLOOKUP($AC31,'2017 Seattle Tracts'!$C$2:$Z$399,AY$1,FALSE)*AA31</f>
        <v>8.1344479292489737E-4</v>
      </c>
      <c r="BA31" s="2" t="s">
        <v>168</v>
      </c>
      <c r="BB31">
        <v>1420.6374147414381</v>
      </c>
      <c r="BC31">
        <v>1174.0598194074616</v>
      </c>
      <c r="BD31">
        <v>246.57759533397649</v>
      </c>
      <c r="BE31">
        <v>925.98022856891271</v>
      </c>
      <c r="BF31">
        <v>131.42460665008898</v>
      </c>
      <c r="BG31">
        <v>52.069177491844783</v>
      </c>
      <c r="BH31">
        <v>6.0079820182897823</v>
      </c>
      <c r="BI31">
        <v>25.283590993636167</v>
      </c>
      <c r="BJ31">
        <v>8.7616404433392656</v>
      </c>
      <c r="BK31">
        <v>0</v>
      </c>
      <c r="BL31">
        <v>0</v>
      </c>
      <c r="BM31">
        <v>58.327492094229967</v>
      </c>
      <c r="BN31">
        <v>71.094453883095753</v>
      </c>
      <c r="BO31">
        <v>0</v>
      </c>
      <c r="BP31">
        <v>0</v>
      </c>
      <c r="BQ31">
        <v>5.5073168500989667</v>
      </c>
      <c r="BR31">
        <v>22.780265152682091</v>
      </c>
      <c r="BS31">
        <v>106.89201340873905</v>
      </c>
      <c r="BT31">
        <v>6.5086471864805979</v>
      </c>
    </row>
    <row r="32" spans="1:72" x14ac:dyDescent="0.25">
      <c r="A32" t="s">
        <v>2917</v>
      </c>
      <c r="B32" t="s">
        <v>2918</v>
      </c>
      <c r="C32" t="s">
        <v>2948</v>
      </c>
      <c r="D32" t="s">
        <v>2503</v>
      </c>
      <c r="E32" t="s">
        <v>2504</v>
      </c>
      <c r="F32" t="s">
        <v>2505</v>
      </c>
      <c r="G32" t="s">
        <v>2920</v>
      </c>
      <c r="H32" t="s">
        <v>2921</v>
      </c>
      <c r="I32">
        <v>2219067</v>
      </c>
      <c r="J32">
        <v>0</v>
      </c>
      <c r="K32" t="s">
        <v>2949</v>
      </c>
      <c r="L32" t="s">
        <v>2950</v>
      </c>
      <c r="M32">
        <v>2219066</v>
      </c>
      <c r="N32">
        <v>71</v>
      </c>
      <c r="O32">
        <v>23122.263999999999</v>
      </c>
      <c r="P32" t="s">
        <v>170</v>
      </c>
      <c r="Q32">
        <v>19</v>
      </c>
      <c r="R32">
        <v>9</v>
      </c>
      <c r="S32">
        <v>19</v>
      </c>
      <c r="T32">
        <v>18463062</v>
      </c>
      <c r="U32">
        <v>73</v>
      </c>
      <c r="V32">
        <v>178</v>
      </c>
      <c r="W32">
        <v>23122.264003256802</v>
      </c>
      <c r="X32">
        <v>18463061.7979086</v>
      </c>
      <c r="Y32">
        <v>42468.805999999997</v>
      </c>
      <c r="Z32">
        <f>VLOOKUP($AC32,'2017 Seattle Tracts'!$C$2:$Z$399,24,FALSE)</f>
        <v>2219066.1030000001</v>
      </c>
      <c r="AA32">
        <f t="shared" si="1"/>
        <v>1.913814371847038E-2</v>
      </c>
      <c r="AB32" t="s">
        <v>169</v>
      </c>
      <c r="AC32" t="str">
        <f t="shared" si="0"/>
        <v>Census Tract 97.02, King County, Washington</v>
      </c>
      <c r="AD32">
        <f>VLOOKUP($AC32,'2017 Seattle Tracts'!$C$2:$Z$399,AD$1,FALSE)*AA32</f>
        <v>106.23583578122908</v>
      </c>
      <c r="AE32">
        <f>VLOOKUP($AC32,'2017 Seattle Tracts'!$C$2:$Z$399,AE$1,FALSE)*AA32</f>
        <v>98.408335000374692</v>
      </c>
      <c r="AF32">
        <f>VLOOKUP($AC32,'2017 Seattle Tracts'!$C$2:$Z$399,AF$1,FALSE)*AA32</f>
        <v>7.8275007808543853</v>
      </c>
      <c r="AG32">
        <f>VLOOKUP($AC32,'2017 Seattle Tracts'!$C$2:$Z$399,AG$1,FALSE)*AA32</f>
        <v>106.23583578122908</v>
      </c>
      <c r="AH32">
        <f>VLOOKUP($AC32,'2017 Seattle Tracts'!$C$2:$Z$399,AH$1,FALSE)*AA32</f>
        <v>98.408335000374692</v>
      </c>
      <c r="AI32">
        <f>VLOOKUP($AC32,'2017 Seattle Tracts'!$C$2:$Z$399,AI$1,FALSE)*AA32</f>
        <v>7.8275007808543853</v>
      </c>
      <c r="AJ32">
        <f>VLOOKUP($AC32,'2017 Seattle Tracts'!$C$2:$Z$399,AJ$1,FALSE)*AA32</f>
        <v>84.85852924769766</v>
      </c>
      <c r="AK32">
        <f>VLOOKUP($AC32,'2017 Seattle Tracts'!$C$2:$Z$399,AK$1,FALSE)*AA32</f>
        <v>3.1003792823922014</v>
      </c>
      <c r="AL32">
        <f>VLOOKUP($AC32,'2017 Seattle Tracts'!$C$2:$Z$399,AL$1,FALSE)*AA32</f>
        <v>3.7893524562571352</v>
      </c>
      <c r="AM32">
        <f>VLOOKUP($AC32,'2017 Seattle Tracts'!$C$2:$Z$399,AM$1,FALSE)*AA32</f>
        <v>0.2679340120585853</v>
      </c>
      <c r="AN32">
        <f>VLOOKUP($AC32,'2017 Seattle Tracts'!$C$2:$Z$399,AN$1,FALSE)*AA32</f>
        <v>0</v>
      </c>
      <c r="AO32">
        <f>VLOOKUP($AC32,'2017 Seattle Tracts'!$C$2:$Z$399,AO$1,FALSE)*AA32</f>
        <v>0.30621029949552608</v>
      </c>
      <c r="AP32">
        <f>VLOOKUP($AC32,'2017 Seattle Tracts'!$C$2:$Z$399,AP$1,FALSE)*AA32</f>
        <v>0.28707215577705569</v>
      </c>
      <c r="AQ32">
        <f>VLOOKUP($AC32,'2017 Seattle Tracts'!$C$2:$Z$399,AQ$1,FALSE)*AA32</f>
        <v>0</v>
      </c>
      <c r="AR32">
        <f>VLOOKUP($AC32,'2017 Seattle Tracts'!$C$2:$Z$399,AR$1,FALSE)*AA32</f>
        <v>0.7272494613018744</v>
      </c>
      <c r="AS32">
        <f>VLOOKUP($AC32,'2017 Seattle Tracts'!$C$2:$Z$399,AS$1,FALSE)*AA32</f>
        <v>4.1529771869080729</v>
      </c>
      <c r="AT32">
        <f>VLOOKUP($AC32,'2017 Seattle Tracts'!$C$2:$Z$399,AT$1,FALSE)*AA32</f>
        <v>0</v>
      </c>
      <c r="AU32">
        <f>VLOOKUP($AC32,'2017 Seattle Tracts'!$C$2:$Z$399,AU$1,FALSE)*AA32</f>
        <v>0</v>
      </c>
      <c r="AV32">
        <f>VLOOKUP($AC32,'2017 Seattle Tracts'!$C$2:$Z$399,AV$1,FALSE)*AA32</f>
        <v>1.9329525155655085</v>
      </c>
      <c r="AW32">
        <f>VLOOKUP($AC32,'2017 Seattle Tracts'!$C$2:$Z$399,AW$1,FALSE)*AA32</f>
        <v>0</v>
      </c>
      <c r="AX32">
        <f>VLOOKUP($AC32,'2017 Seattle Tracts'!$C$2:$Z$399,AX$1,FALSE)*AA32</f>
        <v>6.8131791637754553</v>
      </c>
      <c r="AY32">
        <f>VLOOKUP($AC32,'2017 Seattle Tracts'!$C$2:$Z$399,AY$1,FALSE)*AA32</f>
        <v>0</v>
      </c>
      <c r="BA32" s="2" t="s">
        <v>150</v>
      </c>
      <c r="BB32">
        <v>3816.2360239975451</v>
      </c>
      <c r="BC32">
        <v>3346.1016694965974</v>
      </c>
      <c r="BD32">
        <v>470.13435450094738</v>
      </c>
      <c r="BE32">
        <v>2652.3034420699805</v>
      </c>
      <c r="BF32">
        <v>252.25955388831122</v>
      </c>
      <c r="BG32">
        <v>58.10301071921937</v>
      </c>
      <c r="BH32">
        <v>14.921188176631139</v>
      </c>
      <c r="BI32">
        <v>182.75024933771283</v>
      </c>
      <c r="BJ32">
        <v>36.459123297523277</v>
      </c>
      <c r="BK32">
        <v>15.081656132300559</v>
      </c>
      <c r="BL32">
        <v>0</v>
      </c>
      <c r="BM32">
        <v>74.081389245079336</v>
      </c>
      <c r="BN32">
        <v>121.15824029424004</v>
      </c>
      <c r="BO32">
        <v>0</v>
      </c>
      <c r="BP32">
        <v>0</v>
      </c>
      <c r="BQ32">
        <v>33.967084148120676</v>
      </c>
      <c r="BR32">
        <v>28.184960452120613</v>
      </c>
      <c r="BS32">
        <v>329.81483784418435</v>
      </c>
      <c r="BT32">
        <v>17.15128839212106</v>
      </c>
    </row>
    <row r="33" spans="1:72" x14ac:dyDescent="0.25">
      <c r="A33" t="s">
        <v>2917</v>
      </c>
      <c r="B33" t="s">
        <v>2918</v>
      </c>
      <c r="C33" t="s">
        <v>2948</v>
      </c>
      <c r="D33" t="s">
        <v>2503</v>
      </c>
      <c r="E33" t="s">
        <v>2504</v>
      </c>
      <c r="F33" t="s">
        <v>2505</v>
      </c>
      <c r="G33" t="s">
        <v>2920</v>
      </c>
      <c r="H33" t="s">
        <v>2921</v>
      </c>
      <c r="I33">
        <v>2219067</v>
      </c>
      <c r="J33">
        <v>0</v>
      </c>
      <c r="K33" t="s">
        <v>2949</v>
      </c>
      <c r="L33" t="s">
        <v>2950</v>
      </c>
      <c r="M33">
        <v>2219066</v>
      </c>
      <c r="N33">
        <v>74</v>
      </c>
      <c r="O33">
        <v>45568.137000000002</v>
      </c>
      <c r="P33" t="s">
        <v>170</v>
      </c>
      <c r="Q33">
        <v>19</v>
      </c>
      <c r="R33">
        <v>9</v>
      </c>
      <c r="S33">
        <v>81</v>
      </c>
      <c r="T33">
        <v>24583470</v>
      </c>
      <c r="U33">
        <v>76</v>
      </c>
      <c r="V33">
        <v>168</v>
      </c>
      <c r="W33">
        <v>45568.137853690583</v>
      </c>
      <c r="X33">
        <v>24583469.184015442</v>
      </c>
      <c r="Y33">
        <v>140869.97399999999</v>
      </c>
      <c r="Z33">
        <f>VLOOKUP($AC33,'2017 Seattle Tracts'!$C$2:$Z$399,24,FALSE)</f>
        <v>2219066.1030000001</v>
      </c>
      <c r="AA33">
        <f t="shared" si="1"/>
        <v>6.3481648342766817E-2</v>
      </c>
      <c r="AB33" t="s">
        <v>173</v>
      </c>
      <c r="AC33" t="str">
        <f t="shared" si="0"/>
        <v>Census Tract 97.02, King County, Washington</v>
      </c>
      <c r="AD33">
        <f>VLOOKUP($AC33,'2017 Seattle Tracts'!$C$2:$Z$399,AD$1,FALSE)*AA33</f>
        <v>352.38662995069859</v>
      </c>
      <c r="AE33">
        <f>VLOOKUP($AC33,'2017 Seattle Tracts'!$C$2:$Z$399,AE$1,FALSE)*AA33</f>
        <v>326.42263577850696</v>
      </c>
      <c r="AF33">
        <f>VLOOKUP($AC33,'2017 Seattle Tracts'!$C$2:$Z$399,AF$1,FALSE)*AA33</f>
        <v>25.963994172191629</v>
      </c>
      <c r="AG33">
        <f>VLOOKUP($AC33,'2017 Seattle Tracts'!$C$2:$Z$399,AG$1,FALSE)*AA33</f>
        <v>352.38662995069859</v>
      </c>
      <c r="AH33">
        <f>VLOOKUP($AC33,'2017 Seattle Tracts'!$C$2:$Z$399,AH$1,FALSE)*AA33</f>
        <v>326.42263577850696</v>
      </c>
      <c r="AI33">
        <f>VLOOKUP($AC33,'2017 Seattle Tracts'!$C$2:$Z$399,AI$1,FALSE)*AA33</f>
        <v>25.963994172191629</v>
      </c>
      <c r="AJ33">
        <f>VLOOKUP($AC33,'2017 Seattle Tracts'!$C$2:$Z$399,AJ$1,FALSE)*AA33</f>
        <v>281.47762875182809</v>
      </c>
      <c r="AK33">
        <f>VLOOKUP($AC33,'2017 Seattle Tracts'!$C$2:$Z$399,AK$1,FALSE)*AA33</f>
        <v>10.284027031528224</v>
      </c>
      <c r="AL33">
        <f>VLOOKUP($AC33,'2017 Seattle Tracts'!$C$2:$Z$399,AL$1,FALSE)*AA33</f>
        <v>12.569366371867829</v>
      </c>
      <c r="AM33">
        <f>VLOOKUP($AC33,'2017 Seattle Tracts'!$C$2:$Z$399,AM$1,FALSE)*AA33</f>
        <v>0.88874307679873543</v>
      </c>
      <c r="AN33">
        <f>VLOOKUP($AC33,'2017 Seattle Tracts'!$C$2:$Z$399,AN$1,FALSE)*AA33</f>
        <v>0</v>
      </c>
      <c r="AO33">
        <f>VLOOKUP($AC33,'2017 Seattle Tracts'!$C$2:$Z$399,AO$1,FALSE)*AA33</f>
        <v>1.0157063734842691</v>
      </c>
      <c r="AP33">
        <f>VLOOKUP($AC33,'2017 Seattle Tracts'!$C$2:$Z$399,AP$1,FALSE)*AA33</f>
        <v>0.95222472514150225</v>
      </c>
      <c r="AQ33">
        <f>VLOOKUP($AC33,'2017 Seattle Tracts'!$C$2:$Z$399,AQ$1,FALSE)*AA33</f>
        <v>0</v>
      </c>
      <c r="AR33">
        <f>VLOOKUP($AC33,'2017 Seattle Tracts'!$C$2:$Z$399,AR$1,FALSE)*AA33</f>
        <v>2.4123026370251388</v>
      </c>
      <c r="AS33">
        <f>VLOOKUP($AC33,'2017 Seattle Tracts'!$C$2:$Z$399,AS$1,FALSE)*AA33</f>
        <v>13.775517690380399</v>
      </c>
      <c r="AT33">
        <f>VLOOKUP($AC33,'2017 Seattle Tracts'!$C$2:$Z$399,AT$1,FALSE)*AA33</f>
        <v>0</v>
      </c>
      <c r="AU33">
        <f>VLOOKUP($AC33,'2017 Seattle Tracts'!$C$2:$Z$399,AU$1,FALSE)*AA33</f>
        <v>0</v>
      </c>
      <c r="AV33">
        <f>VLOOKUP($AC33,'2017 Seattle Tracts'!$C$2:$Z$399,AV$1,FALSE)*AA33</f>
        <v>6.4116464826194486</v>
      </c>
      <c r="AW33">
        <f>VLOOKUP($AC33,'2017 Seattle Tracts'!$C$2:$Z$399,AW$1,FALSE)*AA33</f>
        <v>0</v>
      </c>
      <c r="AX33">
        <f>VLOOKUP($AC33,'2017 Seattle Tracts'!$C$2:$Z$399,AX$1,FALSE)*AA33</f>
        <v>22.599466810024985</v>
      </c>
      <c r="AY33">
        <f>VLOOKUP($AC33,'2017 Seattle Tracts'!$C$2:$Z$399,AY$1,FALSE)*AA33</f>
        <v>0</v>
      </c>
      <c r="BA33" s="2" t="s">
        <v>194</v>
      </c>
      <c r="BB33">
        <v>8173.3735666603407</v>
      </c>
      <c r="BC33">
        <v>5419.2561398314429</v>
      </c>
      <c r="BD33">
        <v>2754.1174268288978</v>
      </c>
      <c r="BE33">
        <v>2676.146717778548</v>
      </c>
      <c r="BF33">
        <v>337.23994120102026</v>
      </c>
      <c r="BG33">
        <v>191.78274247040335</v>
      </c>
      <c r="BH33">
        <v>41.130294444699402</v>
      </c>
      <c r="BI33">
        <v>1421.4840232613146</v>
      </c>
      <c r="BJ33">
        <v>1432.5235731617918</v>
      </c>
      <c r="BK33">
        <v>7.4419132442135036E-2</v>
      </c>
      <c r="BL33">
        <v>1.0636239577505299E-2</v>
      </c>
      <c r="BM33">
        <v>477.45814958161924</v>
      </c>
      <c r="BN33">
        <v>720.15669826744147</v>
      </c>
      <c r="BO33">
        <v>72.17082912591458</v>
      </c>
      <c r="BP33">
        <v>40.977413869988645</v>
      </c>
      <c r="BQ33">
        <v>134.17688398542185</v>
      </c>
      <c r="BR33">
        <v>180.76656420022059</v>
      </c>
      <c r="BS33">
        <v>445.96237449577893</v>
      </c>
      <c r="BT33">
        <v>1.312305444158407</v>
      </c>
    </row>
    <row r="34" spans="1:72" x14ac:dyDescent="0.25">
      <c r="A34" t="s">
        <v>2917</v>
      </c>
      <c r="B34" t="s">
        <v>2918</v>
      </c>
      <c r="C34" t="s">
        <v>2948</v>
      </c>
      <c r="D34" t="s">
        <v>2503</v>
      </c>
      <c r="E34" t="s">
        <v>2504</v>
      </c>
      <c r="F34" t="s">
        <v>2505</v>
      </c>
      <c r="G34" t="s">
        <v>2920</v>
      </c>
      <c r="H34" t="s">
        <v>2921</v>
      </c>
      <c r="I34">
        <v>2219067</v>
      </c>
      <c r="J34">
        <v>0</v>
      </c>
      <c r="K34" t="s">
        <v>2949</v>
      </c>
      <c r="L34" t="s">
        <v>2950</v>
      </c>
      <c r="M34">
        <v>2219066</v>
      </c>
      <c r="N34">
        <v>75</v>
      </c>
      <c r="O34">
        <v>30687.785</v>
      </c>
      <c r="P34" t="s">
        <v>170</v>
      </c>
      <c r="Q34">
        <v>19</v>
      </c>
      <c r="R34">
        <v>9</v>
      </c>
      <c r="S34">
        <v>24</v>
      </c>
      <c r="T34">
        <v>48581416</v>
      </c>
      <c r="U34">
        <v>77</v>
      </c>
      <c r="V34">
        <v>169</v>
      </c>
      <c r="W34">
        <v>30687.78447008365</v>
      </c>
      <c r="X34">
        <v>48581416.320232317</v>
      </c>
      <c r="Y34">
        <v>1321088.52</v>
      </c>
      <c r="Z34">
        <f>VLOOKUP($AC34,'2017 Seattle Tracts'!$C$2:$Z$399,24,FALSE)</f>
        <v>2219066.1030000001</v>
      </c>
      <c r="AA34">
        <f t="shared" si="1"/>
        <v>0.5953353612197464</v>
      </c>
      <c r="AB34" t="s">
        <v>174</v>
      </c>
      <c r="AC34" t="str">
        <f t="shared" si="0"/>
        <v>Census Tract 97.02, King County, Washington</v>
      </c>
      <c r="AD34">
        <f>VLOOKUP($AC34,'2017 Seattle Tracts'!$C$2:$Z$399,AD$1,FALSE)*AA34</f>
        <v>3304.7065901308124</v>
      </c>
      <c r="AE34">
        <f>VLOOKUP($AC34,'2017 Seattle Tracts'!$C$2:$Z$399,AE$1,FALSE)*AA34</f>
        <v>3061.2144273919362</v>
      </c>
      <c r="AF34">
        <f>VLOOKUP($AC34,'2017 Seattle Tracts'!$C$2:$Z$399,AF$1,FALSE)*AA34</f>
        <v>243.49216273887629</v>
      </c>
      <c r="AG34">
        <f>VLOOKUP($AC34,'2017 Seattle Tracts'!$C$2:$Z$399,AG$1,FALSE)*AA34</f>
        <v>3304.7065901308124</v>
      </c>
      <c r="AH34">
        <f>VLOOKUP($AC34,'2017 Seattle Tracts'!$C$2:$Z$399,AH$1,FALSE)*AA34</f>
        <v>3061.2144273919362</v>
      </c>
      <c r="AI34">
        <f>VLOOKUP($AC34,'2017 Seattle Tracts'!$C$2:$Z$399,AI$1,FALSE)*AA34</f>
        <v>243.49216273887629</v>
      </c>
      <c r="AJ34">
        <f>VLOOKUP($AC34,'2017 Seattle Tracts'!$C$2:$Z$399,AJ$1,FALSE)*AA34</f>
        <v>2639.7169916483554</v>
      </c>
      <c r="AK34">
        <f>VLOOKUP($AC34,'2017 Seattle Tracts'!$C$2:$Z$399,AK$1,FALSE)*AA34</f>
        <v>96.444328517598919</v>
      </c>
      <c r="AL34">
        <f>VLOOKUP($AC34,'2017 Seattle Tracts'!$C$2:$Z$399,AL$1,FALSE)*AA34</f>
        <v>117.87640152150979</v>
      </c>
      <c r="AM34">
        <f>VLOOKUP($AC34,'2017 Seattle Tracts'!$C$2:$Z$399,AM$1,FALSE)*AA34</f>
        <v>8.3346950570764502</v>
      </c>
      <c r="AN34">
        <f>VLOOKUP($AC34,'2017 Seattle Tracts'!$C$2:$Z$399,AN$1,FALSE)*AA34</f>
        <v>0</v>
      </c>
      <c r="AO34">
        <f>VLOOKUP($AC34,'2017 Seattle Tracts'!$C$2:$Z$399,AO$1,FALSE)*AA34</f>
        <v>9.5253657795159423</v>
      </c>
      <c r="AP34">
        <f>VLOOKUP($AC34,'2017 Seattle Tracts'!$C$2:$Z$399,AP$1,FALSE)*AA34</f>
        <v>8.9300304182961963</v>
      </c>
      <c r="AQ34">
        <f>VLOOKUP($AC34,'2017 Seattle Tracts'!$C$2:$Z$399,AQ$1,FALSE)*AA34</f>
        <v>0</v>
      </c>
      <c r="AR34">
        <f>VLOOKUP($AC34,'2017 Seattle Tracts'!$C$2:$Z$399,AR$1,FALSE)*AA34</f>
        <v>22.622743726350365</v>
      </c>
      <c r="AS34">
        <f>VLOOKUP($AC34,'2017 Seattle Tracts'!$C$2:$Z$399,AS$1,FALSE)*AA34</f>
        <v>129.18777338468496</v>
      </c>
      <c r="AT34">
        <f>VLOOKUP($AC34,'2017 Seattle Tracts'!$C$2:$Z$399,AT$1,FALSE)*AA34</f>
        <v>0</v>
      </c>
      <c r="AU34">
        <f>VLOOKUP($AC34,'2017 Seattle Tracts'!$C$2:$Z$399,AU$1,FALSE)*AA34</f>
        <v>0</v>
      </c>
      <c r="AV34">
        <f>VLOOKUP($AC34,'2017 Seattle Tracts'!$C$2:$Z$399,AV$1,FALSE)*AA34</f>
        <v>60.128871483194388</v>
      </c>
      <c r="AW34">
        <f>VLOOKUP($AC34,'2017 Seattle Tracts'!$C$2:$Z$399,AW$1,FALSE)*AA34</f>
        <v>0</v>
      </c>
      <c r="AX34">
        <f>VLOOKUP($AC34,'2017 Seattle Tracts'!$C$2:$Z$399,AX$1,FALSE)*AA34</f>
        <v>211.93938859422971</v>
      </c>
      <c r="AY34">
        <f>VLOOKUP($AC34,'2017 Seattle Tracts'!$C$2:$Z$399,AY$1,FALSE)*AA34</f>
        <v>0</v>
      </c>
      <c r="BA34" s="2" t="s">
        <v>190</v>
      </c>
      <c r="BB34">
        <v>7038.0806530065875</v>
      </c>
      <c r="BC34">
        <v>5403.4937250114899</v>
      </c>
      <c r="BD34">
        <v>1634.5869279950989</v>
      </c>
      <c r="BE34">
        <v>2805.4874385163398</v>
      </c>
      <c r="BF34">
        <v>398.37179239403821</v>
      </c>
      <c r="BG34">
        <v>97.955542605967139</v>
      </c>
      <c r="BH34">
        <v>143.1312007123685</v>
      </c>
      <c r="BI34">
        <v>371.02754618368368</v>
      </c>
      <c r="BJ34">
        <v>31.230217987541312</v>
      </c>
      <c r="BK34">
        <v>40.829843992039009</v>
      </c>
      <c r="BL34">
        <v>11.894927261332295</v>
      </c>
      <c r="BM34">
        <v>742.13102717259653</v>
      </c>
      <c r="BN34">
        <v>671.55214153210375</v>
      </c>
      <c r="BO34">
        <v>18.545872270494499</v>
      </c>
      <c r="BP34">
        <v>1.1110819256607154</v>
      </c>
      <c r="BQ34">
        <v>57.980391401363789</v>
      </c>
      <c r="BR34">
        <v>196.73109084419195</v>
      </c>
      <c r="BS34">
        <v>1269.536062869005</v>
      </c>
      <c r="BT34">
        <v>180.56447533786206</v>
      </c>
    </row>
    <row r="35" spans="1:72" x14ac:dyDescent="0.25">
      <c r="A35" t="s">
        <v>2917</v>
      </c>
      <c r="B35" t="s">
        <v>2918</v>
      </c>
      <c r="C35" t="s">
        <v>2948</v>
      </c>
      <c r="D35" t="s">
        <v>2503</v>
      </c>
      <c r="E35" t="s">
        <v>2504</v>
      </c>
      <c r="F35" t="s">
        <v>2505</v>
      </c>
      <c r="G35" t="s">
        <v>2920</v>
      </c>
      <c r="H35" t="s">
        <v>2921</v>
      </c>
      <c r="I35">
        <v>2219067</v>
      </c>
      <c r="J35">
        <v>0</v>
      </c>
      <c r="K35" t="s">
        <v>2949</v>
      </c>
      <c r="L35" t="s">
        <v>2950</v>
      </c>
      <c r="M35">
        <v>2219066</v>
      </c>
      <c r="N35">
        <v>77</v>
      </c>
      <c r="O35">
        <v>19870.868999999999</v>
      </c>
      <c r="P35" t="s">
        <v>170</v>
      </c>
      <c r="Q35">
        <v>19</v>
      </c>
      <c r="R35">
        <v>9</v>
      </c>
      <c r="S35">
        <v>95</v>
      </c>
      <c r="T35">
        <v>21164976</v>
      </c>
      <c r="U35">
        <v>79</v>
      </c>
      <c r="V35">
        <v>175</v>
      </c>
      <c r="W35">
        <v>19870.86960892408</v>
      </c>
      <c r="X35">
        <v>21164976.581290629</v>
      </c>
      <c r="Y35">
        <v>714638.79799999995</v>
      </c>
      <c r="Z35">
        <f>VLOOKUP($AC35,'2017 Seattle Tracts'!$C$2:$Z$399,24,FALSE)</f>
        <v>2219066.1030000001</v>
      </c>
      <c r="AA35">
        <f t="shared" si="1"/>
        <v>0.32204484446581622</v>
      </c>
      <c r="AB35" t="s">
        <v>176</v>
      </c>
      <c r="AC35" t="str">
        <f t="shared" si="0"/>
        <v>Census Tract 97.02, King County, Washington</v>
      </c>
      <c r="AD35">
        <f>VLOOKUP($AC35,'2017 Seattle Tracts'!$C$2:$Z$399,AD$1,FALSE)*AA35</f>
        <v>1787.6709316297458</v>
      </c>
      <c r="AE35">
        <f>VLOOKUP($AC35,'2017 Seattle Tracts'!$C$2:$Z$399,AE$1,FALSE)*AA35</f>
        <v>1655.9545902432269</v>
      </c>
      <c r="AF35">
        <f>VLOOKUP($AC35,'2017 Seattle Tracts'!$C$2:$Z$399,AF$1,FALSE)*AA35</f>
        <v>131.71634138651882</v>
      </c>
      <c r="AG35">
        <f>VLOOKUP($AC35,'2017 Seattle Tracts'!$C$2:$Z$399,AG$1,FALSE)*AA35</f>
        <v>1787.6709316297458</v>
      </c>
      <c r="AH35">
        <f>VLOOKUP($AC35,'2017 Seattle Tracts'!$C$2:$Z$399,AH$1,FALSE)*AA35</f>
        <v>1655.9545902432269</v>
      </c>
      <c r="AI35">
        <f>VLOOKUP($AC35,'2017 Seattle Tracts'!$C$2:$Z$399,AI$1,FALSE)*AA35</f>
        <v>131.71634138651882</v>
      </c>
      <c r="AJ35">
        <f>VLOOKUP($AC35,'2017 Seattle Tracts'!$C$2:$Z$399,AJ$1,FALSE)*AA35</f>
        <v>1427.9468403614292</v>
      </c>
      <c r="AK35">
        <f>VLOOKUP($AC35,'2017 Seattle Tracts'!$C$2:$Z$399,AK$1,FALSE)*AA35</f>
        <v>52.171264803462229</v>
      </c>
      <c r="AL35">
        <f>VLOOKUP($AC35,'2017 Seattle Tracts'!$C$2:$Z$399,AL$1,FALSE)*AA35</f>
        <v>63.764879204231612</v>
      </c>
      <c r="AM35">
        <f>VLOOKUP($AC35,'2017 Seattle Tracts'!$C$2:$Z$399,AM$1,FALSE)*AA35</f>
        <v>4.5086278225214267</v>
      </c>
      <c r="AN35">
        <f>VLOOKUP($AC35,'2017 Seattle Tracts'!$C$2:$Z$399,AN$1,FALSE)*AA35</f>
        <v>0</v>
      </c>
      <c r="AO35">
        <f>VLOOKUP($AC35,'2017 Seattle Tracts'!$C$2:$Z$399,AO$1,FALSE)*AA35</f>
        <v>5.1527175114530595</v>
      </c>
      <c r="AP35">
        <f>VLOOKUP($AC35,'2017 Seattle Tracts'!$C$2:$Z$399,AP$1,FALSE)*AA35</f>
        <v>4.8306726669872431</v>
      </c>
      <c r="AQ35">
        <f>VLOOKUP($AC35,'2017 Seattle Tracts'!$C$2:$Z$399,AQ$1,FALSE)*AA35</f>
        <v>0</v>
      </c>
      <c r="AR35">
        <f>VLOOKUP($AC35,'2017 Seattle Tracts'!$C$2:$Z$399,AR$1,FALSE)*AA35</f>
        <v>12.237704089701015</v>
      </c>
      <c r="AS35">
        <f>VLOOKUP($AC35,'2017 Seattle Tracts'!$C$2:$Z$399,AS$1,FALSE)*AA35</f>
        <v>69.883731249082118</v>
      </c>
      <c r="AT35">
        <f>VLOOKUP($AC35,'2017 Seattle Tracts'!$C$2:$Z$399,AT$1,FALSE)*AA35</f>
        <v>0</v>
      </c>
      <c r="AU35">
        <f>VLOOKUP($AC35,'2017 Seattle Tracts'!$C$2:$Z$399,AU$1,FALSE)*AA35</f>
        <v>0</v>
      </c>
      <c r="AV35">
        <f>VLOOKUP($AC35,'2017 Seattle Tracts'!$C$2:$Z$399,AV$1,FALSE)*AA35</f>
        <v>32.526529291047439</v>
      </c>
      <c r="AW35">
        <f>VLOOKUP($AC35,'2017 Seattle Tracts'!$C$2:$Z$399,AW$1,FALSE)*AA35</f>
        <v>0</v>
      </c>
      <c r="AX35">
        <f>VLOOKUP($AC35,'2017 Seattle Tracts'!$C$2:$Z$399,AX$1,FALSE)*AA35</f>
        <v>114.64796462983057</v>
      </c>
      <c r="AY35">
        <f>VLOOKUP($AC35,'2017 Seattle Tracts'!$C$2:$Z$399,AY$1,FALSE)*AA35</f>
        <v>0</v>
      </c>
      <c r="BA35" s="2" t="s">
        <v>182</v>
      </c>
      <c r="BB35">
        <v>3090.1593961674334</v>
      </c>
      <c r="BC35">
        <v>1657.2166923458976</v>
      </c>
      <c r="BD35">
        <v>1432.9427038215363</v>
      </c>
      <c r="BE35">
        <v>349.91821409119041</v>
      </c>
      <c r="BF35">
        <v>41.875573234791688</v>
      </c>
      <c r="BG35">
        <v>39.766611572712051</v>
      </c>
      <c r="BH35">
        <v>40.183389133998439</v>
      </c>
      <c r="BI35">
        <v>672.7056451617517</v>
      </c>
      <c r="BJ35">
        <v>395.06394956636672</v>
      </c>
      <c r="BK35">
        <v>10.862844694427423</v>
      </c>
      <c r="BL35">
        <v>8.9553732001220503</v>
      </c>
      <c r="BM35">
        <v>479.20275313863851</v>
      </c>
      <c r="BN35">
        <v>882.03073270373011</v>
      </c>
      <c r="BO35">
        <v>7.444888619833006</v>
      </c>
      <c r="BP35">
        <v>9.0714112732939416</v>
      </c>
      <c r="BQ35">
        <v>43.170513076063216</v>
      </c>
      <c r="BR35">
        <v>50.232322873479291</v>
      </c>
      <c r="BS35">
        <v>54.145221991281161</v>
      </c>
      <c r="BT35">
        <v>5.5299518357537885</v>
      </c>
    </row>
    <row r="36" spans="1:72" x14ac:dyDescent="0.25">
      <c r="A36" t="s">
        <v>2917</v>
      </c>
      <c r="B36" t="s">
        <v>2918</v>
      </c>
      <c r="C36" t="s">
        <v>2951</v>
      </c>
      <c r="D36" t="s">
        <v>2500</v>
      </c>
      <c r="E36" t="s">
        <v>2501</v>
      </c>
      <c r="F36" t="s">
        <v>2502</v>
      </c>
      <c r="G36" t="s">
        <v>2920</v>
      </c>
      <c r="H36" t="s">
        <v>2921</v>
      </c>
      <c r="I36">
        <v>1930637</v>
      </c>
      <c r="J36">
        <v>0</v>
      </c>
      <c r="K36" t="s">
        <v>2952</v>
      </c>
      <c r="L36" t="s">
        <v>2953</v>
      </c>
      <c r="M36">
        <v>1930637</v>
      </c>
      <c r="N36">
        <v>75</v>
      </c>
      <c r="O36">
        <v>30687.785</v>
      </c>
      <c r="P36" t="s">
        <v>170</v>
      </c>
      <c r="Q36">
        <v>19</v>
      </c>
      <c r="R36">
        <v>9</v>
      </c>
      <c r="S36">
        <v>24</v>
      </c>
      <c r="T36">
        <v>48581416</v>
      </c>
      <c r="U36">
        <v>77</v>
      </c>
      <c r="V36">
        <v>169</v>
      </c>
      <c r="W36">
        <v>30687.78447008365</v>
      </c>
      <c r="X36">
        <v>48581416.320232317</v>
      </c>
      <c r="Y36">
        <v>1152010.2620000001</v>
      </c>
      <c r="Z36">
        <f>VLOOKUP($AC36,'2017 Seattle Tracts'!$C$2:$Z$399,24,FALSE)</f>
        <v>1930637.115</v>
      </c>
      <c r="AA36">
        <f t="shared" si="1"/>
        <v>0.59669953149118871</v>
      </c>
      <c r="AB36" t="s">
        <v>174</v>
      </c>
      <c r="AC36" t="str">
        <f t="shared" si="0"/>
        <v>Census Tract 98, King County, Washington</v>
      </c>
      <c r="AD36">
        <f>VLOOKUP($AC36,'2017 Seattle Tracts'!$C$2:$Z$399,AD$1,FALSE)*AA36</f>
        <v>4371.4207677044487</v>
      </c>
      <c r="AE36">
        <f>VLOOKUP($AC36,'2017 Seattle Tracts'!$C$2:$Z$399,AE$1,FALSE)*AA36</f>
        <v>3916.1390251766716</v>
      </c>
      <c r="AF36">
        <f>VLOOKUP($AC36,'2017 Seattle Tracts'!$C$2:$Z$399,AF$1,FALSE)*AA36</f>
        <v>455.281742527777</v>
      </c>
      <c r="AG36">
        <f>VLOOKUP($AC36,'2017 Seattle Tracts'!$C$2:$Z$399,AG$1,FALSE)*AA36</f>
        <v>4371.4207677044487</v>
      </c>
      <c r="AH36">
        <f>VLOOKUP($AC36,'2017 Seattle Tracts'!$C$2:$Z$399,AH$1,FALSE)*AA36</f>
        <v>3916.1390251766716</v>
      </c>
      <c r="AI36">
        <f>VLOOKUP($AC36,'2017 Seattle Tracts'!$C$2:$Z$399,AI$1,FALSE)*AA36</f>
        <v>455.281742527777</v>
      </c>
      <c r="AJ36">
        <f>VLOOKUP($AC36,'2017 Seattle Tracts'!$C$2:$Z$399,AJ$1,FALSE)*AA36</f>
        <v>3431.0223060743351</v>
      </c>
      <c r="AK36">
        <f>VLOOKUP($AC36,'2017 Seattle Tracts'!$C$2:$Z$399,AK$1,FALSE)*AA36</f>
        <v>258.37089713568469</v>
      </c>
      <c r="AL36">
        <f>VLOOKUP($AC36,'2017 Seattle Tracts'!$C$2:$Z$399,AL$1,FALSE)*AA36</f>
        <v>96.665324101572565</v>
      </c>
      <c r="AM36">
        <f>VLOOKUP($AC36,'2017 Seattle Tracts'!$C$2:$Z$399,AM$1,FALSE)*AA36</f>
        <v>0</v>
      </c>
      <c r="AN36">
        <f>VLOOKUP($AC36,'2017 Seattle Tracts'!$C$2:$Z$399,AN$1,FALSE)*AA36</f>
        <v>21.481183133682794</v>
      </c>
      <c r="AO36">
        <f>VLOOKUP($AC36,'2017 Seattle Tracts'!$C$2:$Z$399,AO$1,FALSE)*AA36</f>
        <v>0</v>
      </c>
      <c r="AP36">
        <f>VLOOKUP($AC36,'2017 Seattle Tracts'!$C$2:$Z$399,AP$1,FALSE)*AA36</f>
        <v>0</v>
      </c>
      <c r="AQ36">
        <f>VLOOKUP($AC36,'2017 Seattle Tracts'!$C$2:$Z$399,AQ$1,FALSE)*AA36</f>
        <v>0</v>
      </c>
      <c r="AR36">
        <f>VLOOKUP($AC36,'2017 Seattle Tracts'!$C$2:$Z$399,AR$1,FALSE)*AA36</f>
        <v>132.4672959910439</v>
      </c>
      <c r="AS36">
        <f>VLOOKUP($AC36,'2017 Seattle Tracts'!$C$2:$Z$399,AS$1,FALSE)*AA36</f>
        <v>166.47916928604164</v>
      </c>
      <c r="AT36">
        <f>VLOOKUP($AC36,'2017 Seattle Tracts'!$C$2:$Z$399,AT$1,FALSE)*AA36</f>
        <v>0</v>
      </c>
      <c r="AU36">
        <f>VLOOKUP($AC36,'2017 Seattle Tracts'!$C$2:$Z$399,AU$1,FALSE)*AA36</f>
        <v>0</v>
      </c>
      <c r="AV36">
        <f>VLOOKUP($AC36,'2017 Seattle Tracts'!$C$2:$Z$399,AV$1,FALSE)*AA36</f>
        <v>29.238277043068248</v>
      </c>
      <c r="AW36">
        <f>VLOOKUP($AC36,'2017 Seattle Tracts'!$C$2:$Z$399,AW$1,FALSE)*AA36</f>
        <v>0</v>
      </c>
      <c r="AX36">
        <f>VLOOKUP($AC36,'2017 Seattle Tracts'!$C$2:$Z$399,AX$1,FALSE)*AA36</f>
        <v>205.26463883296893</v>
      </c>
      <c r="AY36">
        <f>VLOOKUP($AC36,'2017 Seattle Tracts'!$C$2:$Z$399,AY$1,FALSE)*AA36</f>
        <v>30.431676106050624</v>
      </c>
      <c r="BA36" s="2" t="s">
        <v>165</v>
      </c>
      <c r="BB36">
        <v>4475.7881672575959</v>
      </c>
      <c r="BC36">
        <v>3626.7898985105576</v>
      </c>
      <c r="BD36">
        <v>848.99826874703876</v>
      </c>
      <c r="BE36">
        <v>2396.9997513954745</v>
      </c>
      <c r="BF36">
        <v>199.67217553368386</v>
      </c>
      <c r="BG36">
        <v>120.0064043600408</v>
      </c>
      <c r="BH36">
        <v>49.739425965387589</v>
      </c>
      <c r="BI36">
        <v>245.48387401244929</v>
      </c>
      <c r="BJ36">
        <v>137.67749003300011</v>
      </c>
      <c r="BK36">
        <v>26.740674129398919</v>
      </c>
      <c r="BL36">
        <v>5.5912369859387287E-4</v>
      </c>
      <c r="BM36">
        <v>367.52215036656264</v>
      </c>
      <c r="BN36">
        <v>375.08357340959174</v>
      </c>
      <c r="BO36">
        <v>10.684557863464564</v>
      </c>
      <c r="BP36">
        <v>8.6775352618824915</v>
      </c>
      <c r="BQ36">
        <v>67.285400262304847</v>
      </c>
      <c r="BR36">
        <v>47.529382747127542</v>
      </c>
      <c r="BS36">
        <v>392.06708612086203</v>
      </c>
      <c r="BT36">
        <v>30.618126672666996</v>
      </c>
    </row>
    <row r="37" spans="1:72" x14ac:dyDescent="0.25">
      <c r="A37" t="s">
        <v>2917</v>
      </c>
      <c r="B37" t="s">
        <v>2918</v>
      </c>
      <c r="C37" t="s">
        <v>2951</v>
      </c>
      <c r="D37" t="s">
        <v>2500</v>
      </c>
      <c r="E37" t="s">
        <v>2501</v>
      </c>
      <c r="F37" t="s">
        <v>2502</v>
      </c>
      <c r="G37" t="s">
        <v>2920</v>
      </c>
      <c r="H37" t="s">
        <v>2921</v>
      </c>
      <c r="I37">
        <v>1930637</v>
      </c>
      <c r="J37">
        <v>0</v>
      </c>
      <c r="K37" t="s">
        <v>2952</v>
      </c>
      <c r="L37" t="s">
        <v>2953</v>
      </c>
      <c r="M37">
        <v>1930637</v>
      </c>
      <c r="N37">
        <v>76</v>
      </c>
      <c r="O37">
        <v>24955.713</v>
      </c>
      <c r="P37" t="s">
        <v>170</v>
      </c>
      <c r="Q37">
        <v>19</v>
      </c>
      <c r="R37">
        <v>9</v>
      </c>
      <c r="S37">
        <v>9</v>
      </c>
      <c r="T37">
        <v>16153900</v>
      </c>
      <c r="U37">
        <v>78</v>
      </c>
      <c r="V37">
        <v>176</v>
      </c>
      <c r="W37">
        <v>24955.712841425851</v>
      </c>
      <c r="X37">
        <v>16153900.097700959</v>
      </c>
      <c r="Y37">
        <v>7195.6850000000004</v>
      </c>
      <c r="Z37">
        <f>VLOOKUP($AC37,'2017 Seattle Tracts'!$C$2:$Z$399,24,FALSE)</f>
        <v>1930637.115</v>
      </c>
      <c r="AA37">
        <f t="shared" si="1"/>
        <v>3.7271038374293349E-3</v>
      </c>
      <c r="AB37" t="s">
        <v>175</v>
      </c>
      <c r="AC37" t="str">
        <f t="shared" si="0"/>
        <v>Census Tract 98, King County, Washington</v>
      </c>
      <c r="AD37">
        <f>VLOOKUP($AC37,'2017 Seattle Tracts'!$C$2:$Z$399,AD$1,FALSE)*AA37</f>
        <v>27.304762713007307</v>
      </c>
      <c r="AE37">
        <f>VLOOKUP($AC37,'2017 Seattle Tracts'!$C$2:$Z$399,AE$1,FALSE)*AA37</f>
        <v>24.460982485048724</v>
      </c>
      <c r="AF37">
        <f>VLOOKUP($AC37,'2017 Seattle Tracts'!$C$2:$Z$399,AF$1,FALSE)*AA37</f>
        <v>2.8437802279585824</v>
      </c>
      <c r="AG37">
        <f>VLOOKUP($AC37,'2017 Seattle Tracts'!$C$2:$Z$399,AG$1,FALSE)*AA37</f>
        <v>27.304762713007307</v>
      </c>
      <c r="AH37">
        <f>VLOOKUP($AC37,'2017 Seattle Tracts'!$C$2:$Z$399,AH$1,FALSE)*AA37</f>
        <v>24.460982485048724</v>
      </c>
      <c r="AI37">
        <f>VLOOKUP($AC37,'2017 Seattle Tracts'!$C$2:$Z$399,AI$1,FALSE)*AA37</f>
        <v>2.8437802279585824</v>
      </c>
      <c r="AJ37">
        <f>VLOOKUP($AC37,'2017 Seattle Tracts'!$C$2:$Z$399,AJ$1,FALSE)*AA37</f>
        <v>21.430847065218675</v>
      </c>
      <c r="AK37">
        <f>VLOOKUP($AC37,'2017 Seattle Tracts'!$C$2:$Z$399,AK$1,FALSE)*AA37</f>
        <v>1.613835961606902</v>
      </c>
      <c r="AL37">
        <f>VLOOKUP($AC37,'2017 Seattle Tracts'!$C$2:$Z$399,AL$1,FALSE)*AA37</f>
        <v>0.60379082166355225</v>
      </c>
      <c r="AM37">
        <f>VLOOKUP($AC37,'2017 Seattle Tracts'!$C$2:$Z$399,AM$1,FALSE)*AA37</f>
        <v>0</v>
      </c>
      <c r="AN37">
        <f>VLOOKUP($AC37,'2017 Seattle Tracts'!$C$2:$Z$399,AN$1,FALSE)*AA37</f>
        <v>0.13417573814745606</v>
      </c>
      <c r="AO37">
        <f>VLOOKUP($AC37,'2017 Seattle Tracts'!$C$2:$Z$399,AO$1,FALSE)*AA37</f>
        <v>0</v>
      </c>
      <c r="AP37">
        <f>VLOOKUP($AC37,'2017 Seattle Tracts'!$C$2:$Z$399,AP$1,FALSE)*AA37</f>
        <v>0</v>
      </c>
      <c r="AQ37">
        <f>VLOOKUP($AC37,'2017 Seattle Tracts'!$C$2:$Z$399,AQ$1,FALSE)*AA37</f>
        <v>0</v>
      </c>
      <c r="AR37">
        <f>VLOOKUP($AC37,'2017 Seattle Tracts'!$C$2:$Z$399,AR$1,FALSE)*AA37</f>
        <v>0.82741705190931236</v>
      </c>
      <c r="AS37">
        <f>VLOOKUP($AC37,'2017 Seattle Tracts'!$C$2:$Z$399,AS$1,FALSE)*AA37</f>
        <v>1.0398619706427845</v>
      </c>
      <c r="AT37">
        <f>VLOOKUP($AC37,'2017 Seattle Tracts'!$C$2:$Z$399,AT$1,FALSE)*AA37</f>
        <v>0</v>
      </c>
      <c r="AU37">
        <f>VLOOKUP($AC37,'2017 Seattle Tracts'!$C$2:$Z$399,AU$1,FALSE)*AA37</f>
        <v>0</v>
      </c>
      <c r="AV37">
        <f>VLOOKUP($AC37,'2017 Seattle Tracts'!$C$2:$Z$399,AV$1,FALSE)*AA37</f>
        <v>0.18262808803403741</v>
      </c>
      <c r="AW37">
        <f>VLOOKUP($AC37,'2017 Seattle Tracts'!$C$2:$Z$399,AW$1,FALSE)*AA37</f>
        <v>0</v>
      </c>
      <c r="AX37">
        <f>VLOOKUP($AC37,'2017 Seattle Tracts'!$C$2:$Z$399,AX$1,FALSE)*AA37</f>
        <v>1.2821237200756912</v>
      </c>
      <c r="AY37">
        <f>VLOOKUP($AC37,'2017 Seattle Tracts'!$C$2:$Z$399,AY$1,FALSE)*AA37</f>
        <v>0.19008229570889609</v>
      </c>
      <c r="BA37" s="2" t="s">
        <v>163</v>
      </c>
      <c r="BB37">
        <v>7039.1118515122917</v>
      </c>
      <c r="BC37">
        <v>5791.0108899448123</v>
      </c>
      <c r="BD37">
        <v>1248.1009615674802</v>
      </c>
      <c r="BE37">
        <v>4562.3846758145028</v>
      </c>
      <c r="BF37">
        <v>517.79970175522828</v>
      </c>
      <c r="BG37">
        <v>286.08891243640323</v>
      </c>
      <c r="BH37">
        <v>87.378365473511252</v>
      </c>
      <c r="BI37">
        <v>363.76856204184173</v>
      </c>
      <c r="BJ37">
        <v>40.586601505939747</v>
      </c>
      <c r="BK37">
        <v>12.019932765760146</v>
      </c>
      <c r="BL37">
        <v>0.35926260504317076</v>
      </c>
      <c r="BM37">
        <v>235.32469239835595</v>
      </c>
      <c r="BN37">
        <v>510.20577890973493</v>
      </c>
      <c r="BO37">
        <v>1.962897487226885</v>
      </c>
      <c r="BP37">
        <v>13.812058328919022</v>
      </c>
      <c r="BQ37">
        <v>7.3502617484112367</v>
      </c>
      <c r="BR37">
        <v>41.778152972914114</v>
      </c>
      <c r="BS37">
        <v>322.11095525231013</v>
      </c>
      <c r="BT37">
        <v>36.181040016189577</v>
      </c>
    </row>
    <row r="38" spans="1:72" x14ac:dyDescent="0.25">
      <c r="A38" t="s">
        <v>2917</v>
      </c>
      <c r="B38" t="s">
        <v>2918</v>
      </c>
      <c r="C38" t="s">
        <v>2951</v>
      </c>
      <c r="D38" t="s">
        <v>2500</v>
      </c>
      <c r="E38" t="s">
        <v>2501</v>
      </c>
      <c r="F38" t="s">
        <v>2502</v>
      </c>
      <c r="G38" t="s">
        <v>2920</v>
      </c>
      <c r="H38" t="s">
        <v>2921</v>
      </c>
      <c r="I38">
        <v>1930637</v>
      </c>
      <c r="J38">
        <v>0</v>
      </c>
      <c r="K38" t="s">
        <v>2952</v>
      </c>
      <c r="L38" t="s">
        <v>2953</v>
      </c>
      <c r="M38">
        <v>1930637</v>
      </c>
      <c r="N38">
        <v>77</v>
      </c>
      <c r="O38">
        <v>19870.868999999999</v>
      </c>
      <c r="P38" t="s">
        <v>170</v>
      </c>
      <c r="Q38">
        <v>19</v>
      </c>
      <c r="R38">
        <v>9</v>
      </c>
      <c r="S38">
        <v>95</v>
      </c>
      <c r="T38">
        <v>21164976</v>
      </c>
      <c r="U38">
        <v>79</v>
      </c>
      <c r="V38">
        <v>175</v>
      </c>
      <c r="W38">
        <v>19870.86960892408</v>
      </c>
      <c r="X38">
        <v>21164976.581290629</v>
      </c>
      <c r="Y38">
        <v>771431.16899999999</v>
      </c>
      <c r="Z38">
        <f>VLOOKUP($AC38,'2017 Seattle Tracts'!$C$2:$Z$399,24,FALSE)</f>
        <v>1930637.115</v>
      </c>
      <c r="AA38">
        <f t="shared" si="1"/>
        <v>0.39957336518934577</v>
      </c>
      <c r="AB38" t="s">
        <v>176</v>
      </c>
      <c r="AC38" t="str">
        <f t="shared" si="0"/>
        <v>Census Tract 98, King County, Washington</v>
      </c>
      <c r="AD38">
        <f>VLOOKUP($AC38,'2017 Seattle Tracts'!$C$2:$Z$399,AD$1,FALSE)*AA38</f>
        <v>2927.2744733771469</v>
      </c>
      <c r="AE38">
        <f>VLOOKUP($AC38,'2017 Seattle Tracts'!$C$2:$Z$399,AE$1,FALSE)*AA38</f>
        <v>2622.3999957376764</v>
      </c>
      <c r="AF38">
        <f>VLOOKUP($AC38,'2017 Seattle Tracts'!$C$2:$Z$399,AF$1,FALSE)*AA38</f>
        <v>304.87447763947085</v>
      </c>
      <c r="AG38">
        <f>VLOOKUP($AC38,'2017 Seattle Tracts'!$C$2:$Z$399,AG$1,FALSE)*AA38</f>
        <v>2927.2744733771469</v>
      </c>
      <c r="AH38">
        <f>VLOOKUP($AC38,'2017 Seattle Tracts'!$C$2:$Z$399,AH$1,FALSE)*AA38</f>
        <v>2622.3999957376764</v>
      </c>
      <c r="AI38">
        <f>VLOOKUP($AC38,'2017 Seattle Tracts'!$C$2:$Z$399,AI$1,FALSE)*AA38</f>
        <v>304.87447763947085</v>
      </c>
      <c r="AJ38">
        <f>VLOOKUP($AC38,'2017 Seattle Tracts'!$C$2:$Z$399,AJ$1,FALSE)*AA38</f>
        <v>2297.5468498387381</v>
      </c>
      <c r="AK38">
        <f>VLOOKUP($AC38,'2017 Seattle Tracts'!$C$2:$Z$399,AK$1,FALSE)*AA38</f>
        <v>173.01526712698671</v>
      </c>
      <c r="AL38">
        <f>VLOOKUP($AC38,'2017 Seattle Tracts'!$C$2:$Z$399,AL$1,FALSE)*AA38</f>
        <v>64.730885160674021</v>
      </c>
      <c r="AM38">
        <f>VLOOKUP($AC38,'2017 Seattle Tracts'!$C$2:$Z$399,AM$1,FALSE)*AA38</f>
        <v>0</v>
      </c>
      <c r="AN38">
        <f>VLOOKUP($AC38,'2017 Seattle Tracts'!$C$2:$Z$399,AN$1,FALSE)*AA38</f>
        <v>14.384641146816447</v>
      </c>
      <c r="AO38">
        <f>VLOOKUP($AC38,'2017 Seattle Tracts'!$C$2:$Z$399,AO$1,FALSE)*AA38</f>
        <v>0</v>
      </c>
      <c r="AP38">
        <f>VLOOKUP($AC38,'2017 Seattle Tracts'!$C$2:$Z$399,AP$1,FALSE)*AA38</f>
        <v>0</v>
      </c>
      <c r="AQ38">
        <f>VLOOKUP($AC38,'2017 Seattle Tracts'!$C$2:$Z$399,AQ$1,FALSE)*AA38</f>
        <v>0</v>
      </c>
      <c r="AR38">
        <f>VLOOKUP($AC38,'2017 Seattle Tracts'!$C$2:$Z$399,AR$1,FALSE)*AA38</f>
        <v>88.705287072034764</v>
      </c>
      <c r="AS38">
        <f>VLOOKUP($AC38,'2017 Seattle Tracts'!$C$2:$Z$399,AS$1,FALSE)*AA38</f>
        <v>111.48096888782747</v>
      </c>
      <c r="AT38">
        <f>VLOOKUP($AC38,'2017 Seattle Tracts'!$C$2:$Z$399,AT$1,FALSE)*AA38</f>
        <v>0</v>
      </c>
      <c r="AU38">
        <f>VLOOKUP($AC38,'2017 Seattle Tracts'!$C$2:$Z$399,AU$1,FALSE)*AA38</f>
        <v>0</v>
      </c>
      <c r="AV38">
        <f>VLOOKUP($AC38,'2017 Seattle Tracts'!$C$2:$Z$399,AV$1,FALSE)*AA38</f>
        <v>19.579094894277944</v>
      </c>
      <c r="AW38">
        <f>VLOOKUP($AC38,'2017 Seattle Tracts'!$C$2:$Z$399,AW$1,FALSE)*AA38</f>
        <v>0</v>
      </c>
      <c r="AX38">
        <f>VLOOKUP($AC38,'2017 Seattle Tracts'!$C$2:$Z$399,AX$1,FALSE)*AA38</f>
        <v>137.45323762513496</v>
      </c>
      <c r="AY38">
        <f>VLOOKUP($AC38,'2017 Seattle Tracts'!$C$2:$Z$399,AY$1,FALSE)*AA38</f>
        <v>20.378241624656635</v>
      </c>
      <c r="BA38" s="2" t="s">
        <v>158</v>
      </c>
      <c r="BB38">
        <v>3400.4858908079959</v>
      </c>
      <c r="BC38">
        <v>1818.410993576741</v>
      </c>
      <c r="BD38">
        <v>1582.0748972312549</v>
      </c>
      <c r="BE38">
        <v>948.33573969142708</v>
      </c>
      <c r="BF38">
        <v>108.894892690245</v>
      </c>
      <c r="BG38">
        <v>87.594109615104387</v>
      </c>
      <c r="BH38">
        <v>32.889871156109983</v>
      </c>
      <c r="BI38">
        <v>265.18437693665766</v>
      </c>
      <c r="BJ38">
        <v>160.55231419370369</v>
      </c>
      <c r="BK38">
        <v>97.505147804366146</v>
      </c>
      <c r="BL38">
        <v>11.447593852331407</v>
      </c>
      <c r="BM38">
        <v>216.53694599327753</v>
      </c>
      <c r="BN38">
        <v>1222.031840225698</v>
      </c>
      <c r="BO38">
        <v>3.2684640125146291</v>
      </c>
      <c r="BP38">
        <v>8.3140520582757212E-4</v>
      </c>
      <c r="BQ38">
        <v>21.931821650387743</v>
      </c>
      <c r="BR38">
        <v>3.2654360190160858</v>
      </c>
      <c r="BS38">
        <v>178.05438787300557</v>
      </c>
      <c r="BT38">
        <v>42.992117688945143</v>
      </c>
    </row>
    <row r="39" spans="1:72" x14ac:dyDescent="0.25">
      <c r="A39" t="s">
        <v>2917</v>
      </c>
      <c r="B39" t="s">
        <v>2918</v>
      </c>
      <c r="C39" t="s">
        <v>2954</v>
      </c>
      <c r="D39" t="s">
        <v>2497</v>
      </c>
      <c r="E39" t="s">
        <v>2498</v>
      </c>
      <c r="F39" t="s">
        <v>2499</v>
      </c>
      <c r="G39" t="s">
        <v>2920</v>
      </c>
      <c r="H39" t="s">
        <v>2921</v>
      </c>
      <c r="I39">
        <v>6566267</v>
      </c>
      <c r="J39">
        <v>2286605</v>
      </c>
      <c r="K39" t="s">
        <v>2955</v>
      </c>
      <c r="L39" t="s">
        <v>2956</v>
      </c>
      <c r="M39">
        <v>6506273</v>
      </c>
      <c r="N39">
        <v>70</v>
      </c>
      <c r="O39">
        <v>24381.296999999999</v>
      </c>
      <c r="P39" t="s">
        <v>122</v>
      </c>
      <c r="Q39">
        <v>18</v>
      </c>
      <c r="R39">
        <v>12</v>
      </c>
      <c r="S39">
        <v>81</v>
      </c>
      <c r="T39">
        <v>17832300</v>
      </c>
      <c r="U39">
        <v>72</v>
      </c>
      <c r="V39">
        <v>197</v>
      </c>
      <c r="W39">
        <v>24381.296628060059</v>
      </c>
      <c r="X39">
        <v>17832300.735466979</v>
      </c>
      <c r="Y39">
        <v>1628732.193</v>
      </c>
      <c r="Z39">
        <f>VLOOKUP($AC39,'2017 Seattle Tracts'!$C$2:$Z$399,24,FALSE)</f>
        <v>6506273.2400000002</v>
      </c>
      <c r="AA39">
        <f t="shared" si="1"/>
        <v>0.2503325840954076</v>
      </c>
      <c r="AB39" t="s">
        <v>168</v>
      </c>
      <c r="AC39" t="str">
        <f t="shared" si="0"/>
        <v>Census Tract 99, King County, Washington</v>
      </c>
      <c r="AD39">
        <f>VLOOKUP($AC39,'2017 Seattle Tracts'!$C$2:$Z$399,AD$1,FALSE)*AA39</f>
        <v>1420.6374147414381</v>
      </c>
      <c r="AE39">
        <f>VLOOKUP($AC39,'2017 Seattle Tracts'!$C$2:$Z$399,AE$1,FALSE)*AA39</f>
        <v>1174.0598194074616</v>
      </c>
      <c r="AF39">
        <f>VLOOKUP($AC39,'2017 Seattle Tracts'!$C$2:$Z$399,AF$1,FALSE)*AA39</f>
        <v>246.57759533397649</v>
      </c>
      <c r="AG39">
        <f>VLOOKUP($AC39,'2017 Seattle Tracts'!$C$2:$Z$399,AG$1,FALSE)*AA39</f>
        <v>1420.6374147414381</v>
      </c>
      <c r="AH39">
        <f>VLOOKUP($AC39,'2017 Seattle Tracts'!$C$2:$Z$399,AH$1,FALSE)*AA39</f>
        <v>1174.0598194074616</v>
      </c>
      <c r="AI39">
        <f>VLOOKUP($AC39,'2017 Seattle Tracts'!$C$2:$Z$399,AI$1,FALSE)*AA39</f>
        <v>246.57759533397649</v>
      </c>
      <c r="AJ39">
        <f>VLOOKUP($AC39,'2017 Seattle Tracts'!$C$2:$Z$399,AJ$1,FALSE)*AA39</f>
        <v>925.98022856891271</v>
      </c>
      <c r="AK39">
        <f>VLOOKUP($AC39,'2017 Seattle Tracts'!$C$2:$Z$399,AK$1,FALSE)*AA39</f>
        <v>131.42460665008898</v>
      </c>
      <c r="AL39">
        <f>VLOOKUP($AC39,'2017 Seattle Tracts'!$C$2:$Z$399,AL$1,FALSE)*AA39</f>
        <v>52.069177491844783</v>
      </c>
      <c r="AM39">
        <f>VLOOKUP($AC39,'2017 Seattle Tracts'!$C$2:$Z$399,AM$1,FALSE)*AA39</f>
        <v>6.0079820182897823</v>
      </c>
      <c r="AN39">
        <f>VLOOKUP($AC39,'2017 Seattle Tracts'!$C$2:$Z$399,AN$1,FALSE)*AA39</f>
        <v>25.283590993636167</v>
      </c>
      <c r="AO39">
        <f>VLOOKUP($AC39,'2017 Seattle Tracts'!$C$2:$Z$399,AO$1,FALSE)*AA39</f>
        <v>8.7616404433392656</v>
      </c>
      <c r="AP39">
        <f>VLOOKUP($AC39,'2017 Seattle Tracts'!$C$2:$Z$399,AP$1,FALSE)*AA39</f>
        <v>0</v>
      </c>
      <c r="AQ39">
        <f>VLOOKUP($AC39,'2017 Seattle Tracts'!$C$2:$Z$399,AQ$1,FALSE)*AA39</f>
        <v>0</v>
      </c>
      <c r="AR39">
        <f>VLOOKUP($AC39,'2017 Seattle Tracts'!$C$2:$Z$399,AR$1,FALSE)*AA39</f>
        <v>58.327492094229967</v>
      </c>
      <c r="AS39">
        <f>VLOOKUP($AC39,'2017 Seattle Tracts'!$C$2:$Z$399,AS$1,FALSE)*AA39</f>
        <v>71.094453883095753</v>
      </c>
      <c r="AT39">
        <f>VLOOKUP($AC39,'2017 Seattle Tracts'!$C$2:$Z$399,AT$1,FALSE)*AA39</f>
        <v>0</v>
      </c>
      <c r="AU39">
        <f>VLOOKUP($AC39,'2017 Seattle Tracts'!$C$2:$Z$399,AU$1,FALSE)*AA39</f>
        <v>0</v>
      </c>
      <c r="AV39">
        <f>VLOOKUP($AC39,'2017 Seattle Tracts'!$C$2:$Z$399,AV$1,FALSE)*AA39</f>
        <v>5.5073168500989667</v>
      </c>
      <c r="AW39">
        <f>VLOOKUP($AC39,'2017 Seattle Tracts'!$C$2:$Z$399,AW$1,FALSE)*AA39</f>
        <v>22.780265152682091</v>
      </c>
      <c r="AX39">
        <f>VLOOKUP($AC39,'2017 Seattle Tracts'!$C$2:$Z$399,AX$1,FALSE)*AA39</f>
        <v>106.89201340873905</v>
      </c>
      <c r="AY39">
        <f>VLOOKUP($AC39,'2017 Seattle Tracts'!$C$2:$Z$399,AY$1,FALSE)*AA39</f>
        <v>6.5086471864805979</v>
      </c>
      <c r="BA39" s="2" t="s">
        <v>131</v>
      </c>
      <c r="BB39">
        <v>4367.7983621698995</v>
      </c>
      <c r="BC39">
        <v>3628.3234157329589</v>
      </c>
      <c r="BD39">
        <v>739.4749464369404</v>
      </c>
      <c r="BE39">
        <v>3251.4344531882275</v>
      </c>
      <c r="BF39">
        <v>316.38828576451681</v>
      </c>
      <c r="BG39">
        <v>23.815580318636645</v>
      </c>
      <c r="BH39">
        <v>27.093105561572926</v>
      </c>
      <c r="BI39">
        <v>4.1867019609998266</v>
      </c>
      <c r="BJ39">
        <v>0.73865876097458383</v>
      </c>
      <c r="BK39">
        <v>3.5803109498060655E-2</v>
      </c>
      <c r="BL39">
        <v>0</v>
      </c>
      <c r="BM39">
        <v>144.86953163637139</v>
      </c>
      <c r="BN39">
        <v>394.11660373289686</v>
      </c>
      <c r="BO39">
        <v>8.7940795823636364</v>
      </c>
      <c r="BP39">
        <v>0.22241970578648929</v>
      </c>
      <c r="BQ39">
        <v>0.30923534962796118</v>
      </c>
      <c r="BR39">
        <v>0.60390336473803796</v>
      </c>
      <c r="BS39">
        <v>194.87803058723412</v>
      </c>
      <c r="BT39">
        <v>0.3119695464546095</v>
      </c>
    </row>
    <row r="40" spans="1:72" x14ac:dyDescent="0.25">
      <c r="A40" t="s">
        <v>2917</v>
      </c>
      <c r="B40" t="s">
        <v>2918</v>
      </c>
      <c r="C40" t="s">
        <v>2954</v>
      </c>
      <c r="D40" t="s">
        <v>2497</v>
      </c>
      <c r="E40" t="s">
        <v>2498</v>
      </c>
      <c r="F40" t="s">
        <v>2499</v>
      </c>
      <c r="G40" t="s">
        <v>2920</v>
      </c>
      <c r="H40" t="s">
        <v>2921</v>
      </c>
      <c r="I40">
        <v>6566267</v>
      </c>
      <c r="J40">
        <v>2286605</v>
      </c>
      <c r="K40" t="s">
        <v>2955</v>
      </c>
      <c r="L40" t="s">
        <v>2956</v>
      </c>
      <c r="M40">
        <v>6506273</v>
      </c>
      <c r="N40">
        <v>75</v>
      </c>
      <c r="O40">
        <v>30687.785</v>
      </c>
      <c r="P40" t="s">
        <v>170</v>
      </c>
      <c r="Q40">
        <v>19</v>
      </c>
      <c r="R40">
        <v>9</v>
      </c>
      <c r="S40">
        <v>24</v>
      </c>
      <c r="T40">
        <v>48581416</v>
      </c>
      <c r="U40">
        <v>77</v>
      </c>
      <c r="V40">
        <v>169</v>
      </c>
      <c r="W40">
        <v>30687.78447008365</v>
      </c>
      <c r="X40">
        <v>48581416.320232317</v>
      </c>
      <c r="Y40">
        <v>612078.67700000003</v>
      </c>
      <c r="Z40">
        <f>VLOOKUP($AC40,'2017 Seattle Tracts'!$C$2:$Z$399,24,FALSE)</f>
        <v>6506273.2400000002</v>
      </c>
      <c r="AA40">
        <f t="shared" si="1"/>
        <v>9.4075157071023971E-2</v>
      </c>
      <c r="AB40" t="s">
        <v>174</v>
      </c>
      <c r="AC40" t="str">
        <f t="shared" si="0"/>
        <v>Census Tract 99, King County, Washington</v>
      </c>
      <c r="AD40">
        <f>VLOOKUP($AC40,'2017 Seattle Tracts'!$C$2:$Z$399,AD$1,FALSE)*AA40</f>
        <v>533.87651637806107</v>
      </c>
      <c r="AE40">
        <f>VLOOKUP($AC40,'2017 Seattle Tracts'!$C$2:$Z$399,AE$1,FALSE)*AA40</f>
        <v>441.21248666310242</v>
      </c>
      <c r="AF40">
        <f>VLOOKUP($AC40,'2017 Seattle Tracts'!$C$2:$Z$399,AF$1,FALSE)*AA40</f>
        <v>92.664029714958616</v>
      </c>
      <c r="AG40">
        <f>VLOOKUP($AC40,'2017 Seattle Tracts'!$C$2:$Z$399,AG$1,FALSE)*AA40</f>
        <v>533.87651637806107</v>
      </c>
      <c r="AH40">
        <f>VLOOKUP($AC40,'2017 Seattle Tracts'!$C$2:$Z$399,AH$1,FALSE)*AA40</f>
        <v>441.21248666310242</v>
      </c>
      <c r="AI40">
        <f>VLOOKUP($AC40,'2017 Seattle Tracts'!$C$2:$Z$399,AI$1,FALSE)*AA40</f>
        <v>92.664029714958616</v>
      </c>
      <c r="AJ40">
        <f>VLOOKUP($AC40,'2017 Seattle Tracts'!$C$2:$Z$399,AJ$1,FALSE)*AA40</f>
        <v>347.98400600571767</v>
      </c>
      <c r="AK40">
        <f>VLOOKUP($AC40,'2017 Seattle Tracts'!$C$2:$Z$399,AK$1,FALSE)*AA40</f>
        <v>49.389457462287588</v>
      </c>
      <c r="AL40">
        <f>VLOOKUP($AC40,'2017 Seattle Tracts'!$C$2:$Z$399,AL$1,FALSE)*AA40</f>
        <v>19.567632670772987</v>
      </c>
      <c r="AM40">
        <f>VLOOKUP($AC40,'2017 Seattle Tracts'!$C$2:$Z$399,AM$1,FALSE)*AA40</f>
        <v>2.2578037697045752</v>
      </c>
      <c r="AN40">
        <f>VLOOKUP($AC40,'2017 Seattle Tracts'!$C$2:$Z$399,AN$1,FALSE)*AA40</f>
        <v>9.501590864173421</v>
      </c>
      <c r="AO40">
        <f>VLOOKUP($AC40,'2017 Seattle Tracts'!$C$2:$Z$399,AO$1,FALSE)*AA40</f>
        <v>3.2926304974858391</v>
      </c>
      <c r="AP40">
        <f>VLOOKUP($AC40,'2017 Seattle Tracts'!$C$2:$Z$399,AP$1,FALSE)*AA40</f>
        <v>0</v>
      </c>
      <c r="AQ40">
        <f>VLOOKUP($AC40,'2017 Seattle Tracts'!$C$2:$Z$399,AQ$1,FALSE)*AA40</f>
        <v>0</v>
      </c>
      <c r="AR40">
        <f>VLOOKUP($AC40,'2017 Seattle Tracts'!$C$2:$Z$399,AR$1,FALSE)*AA40</f>
        <v>21.919511597548585</v>
      </c>
      <c r="AS40">
        <f>VLOOKUP($AC40,'2017 Seattle Tracts'!$C$2:$Z$399,AS$1,FALSE)*AA40</f>
        <v>26.717344608170809</v>
      </c>
      <c r="AT40">
        <f>VLOOKUP($AC40,'2017 Seattle Tracts'!$C$2:$Z$399,AT$1,FALSE)*AA40</f>
        <v>0</v>
      </c>
      <c r="AU40">
        <f>VLOOKUP($AC40,'2017 Seattle Tracts'!$C$2:$Z$399,AU$1,FALSE)*AA40</f>
        <v>0</v>
      </c>
      <c r="AV40">
        <f>VLOOKUP($AC40,'2017 Seattle Tracts'!$C$2:$Z$399,AV$1,FALSE)*AA40</f>
        <v>2.0696534555625274</v>
      </c>
      <c r="AW40">
        <f>VLOOKUP($AC40,'2017 Seattle Tracts'!$C$2:$Z$399,AW$1,FALSE)*AA40</f>
        <v>8.5608392934631805</v>
      </c>
      <c r="AX40">
        <f>VLOOKUP($AC40,'2017 Seattle Tracts'!$C$2:$Z$399,AX$1,FALSE)*AA40</f>
        <v>40.170092069327232</v>
      </c>
      <c r="AY40">
        <f>VLOOKUP($AC40,'2017 Seattle Tracts'!$C$2:$Z$399,AY$1,FALSE)*AA40</f>
        <v>2.4459540838466234</v>
      </c>
      <c r="BA40" s="2" t="s">
        <v>144</v>
      </c>
      <c r="BB40">
        <v>8435.2773166039151</v>
      </c>
      <c r="BC40">
        <v>7237.9232234394813</v>
      </c>
      <c r="BD40">
        <v>1197.3540931644357</v>
      </c>
      <c r="BE40">
        <v>6146.2311022926142</v>
      </c>
      <c r="BF40">
        <v>514.62301057605157</v>
      </c>
      <c r="BG40">
        <v>337.7798166707197</v>
      </c>
      <c r="BH40">
        <v>50.85247899102901</v>
      </c>
      <c r="BI40">
        <v>166.8830114328556</v>
      </c>
      <c r="BJ40">
        <v>95.308269496196374</v>
      </c>
      <c r="BK40">
        <v>46.261160716388432</v>
      </c>
      <c r="BL40">
        <v>1.1902241092384393E-2</v>
      </c>
      <c r="BM40">
        <v>183.71879152006773</v>
      </c>
      <c r="BN40">
        <v>479.11937355966847</v>
      </c>
      <c r="BO40">
        <v>2.1572811979946711E-2</v>
      </c>
      <c r="BP40">
        <v>3.0797890862871956E-2</v>
      </c>
      <c r="BQ40">
        <v>29.468230696445339</v>
      </c>
      <c r="BR40">
        <v>14.43587984443788</v>
      </c>
      <c r="BS40">
        <v>327.55953729841093</v>
      </c>
      <c r="BT40">
        <v>42.972380565097254</v>
      </c>
    </row>
    <row r="41" spans="1:72" x14ac:dyDescent="0.25">
      <c r="A41" t="s">
        <v>2917</v>
      </c>
      <c r="B41" t="s">
        <v>2918</v>
      </c>
      <c r="C41" t="s">
        <v>2954</v>
      </c>
      <c r="D41" t="s">
        <v>2497</v>
      </c>
      <c r="E41" t="s">
        <v>2498</v>
      </c>
      <c r="F41" t="s">
        <v>2499</v>
      </c>
      <c r="G41" t="s">
        <v>2920</v>
      </c>
      <c r="H41" t="s">
        <v>2921</v>
      </c>
      <c r="I41">
        <v>6566267</v>
      </c>
      <c r="J41">
        <v>2286605</v>
      </c>
      <c r="K41" t="s">
        <v>2955</v>
      </c>
      <c r="L41" t="s">
        <v>2956</v>
      </c>
      <c r="M41">
        <v>6506273</v>
      </c>
      <c r="N41">
        <v>76</v>
      </c>
      <c r="O41">
        <v>24955.713</v>
      </c>
      <c r="P41" t="s">
        <v>170</v>
      </c>
      <c r="Q41">
        <v>19</v>
      </c>
      <c r="R41">
        <v>9</v>
      </c>
      <c r="S41">
        <v>9</v>
      </c>
      <c r="T41">
        <v>16153900</v>
      </c>
      <c r="U41">
        <v>78</v>
      </c>
      <c r="V41">
        <v>176</v>
      </c>
      <c r="W41">
        <v>24955.712841425851</v>
      </c>
      <c r="X41">
        <v>16153900.097700959</v>
      </c>
      <c r="Y41">
        <v>147274.152</v>
      </c>
      <c r="Z41">
        <f>VLOOKUP($AC41,'2017 Seattle Tracts'!$C$2:$Z$399,24,FALSE)</f>
        <v>6506273.2400000002</v>
      </c>
      <c r="AA41">
        <f t="shared" si="1"/>
        <v>2.2635715803414367E-2</v>
      </c>
      <c r="AB41" t="s">
        <v>175</v>
      </c>
      <c r="AC41" t="str">
        <f t="shared" si="0"/>
        <v>Census Tract 99, King County, Washington</v>
      </c>
      <c r="AD41">
        <f>VLOOKUP($AC41,'2017 Seattle Tracts'!$C$2:$Z$399,AD$1,FALSE)*AA41</f>
        <v>128.45768718437654</v>
      </c>
      <c r="AE41">
        <f>VLOOKUP($AC41,'2017 Seattle Tracts'!$C$2:$Z$399,AE$1,FALSE)*AA41</f>
        <v>106.16150711801338</v>
      </c>
      <c r="AF41">
        <f>VLOOKUP($AC41,'2017 Seattle Tracts'!$C$2:$Z$399,AF$1,FALSE)*AA41</f>
        <v>22.296180066363153</v>
      </c>
      <c r="AG41">
        <f>VLOOKUP($AC41,'2017 Seattle Tracts'!$C$2:$Z$399,AG$1,FALSE)*AA41</f>
        <v>128.45768718437654</v>
      </c>
      <c r="AH41">
        <f>VLOOKUP($AC41,'2017 Seattle Tracts'!$C$2:$Z$399,AH$1,FALSE)*AA41</f>
        <v>106.16150711801338</v>
      </c>
      <c r="AI41">
        <f>VLOOKUP($AC41,'2017 Seattle Tracts'!$C$2:$Z$399,AI$1,FALSE)*AA41</f>
        <v>22.296180066363153</v>
      </c>
      <c r="AJ41">
        <f>VLOOKUP($AC41,'2017 Seattle Tracts'!$C$2:$Z$399,AJ$1,FALSE)*AA41</f>
        <v>83.729512756829749</v>
      </c>
      <c r="AK41">
        <f>VLOOKUP($AC41,'2017 Seattle Tracts'!$C$2:$Z$399,AK$1,FALSE)*AA41</f>
        <v>11.883750796792542</v>
      </c>
      <c r="AL41">
        <f>VLOOKUP($AC41,'2017 Seattle Tracts'!$C$2:$Z$399,AL$1,FALSE)*AA41</f>
        <v>4.7082288871101881</v>
      </c>
      <c r="AM41">
        <f>VLOOKUP($AC41,'2017 Seattle Tracts'!$C$2:$Z$399,AM$1,FALSE)*AA41</f>
        <v>0.54325717928194484</v>
      </c>
      <c r="AN41">
        <f>VLOOKUP($AC41,'2017 Seattle Tracts'!$C$2:$Z$399,AN$1,FALSE)*AA41</f>
        <v>2.286207296144851</v>
      </c>
      <c r="AO41">
        <f>VLOOKUP($AC41,'2017 Seattle Tracts'!$C$2:$Z$399,AO$1,FALSE)*AA41</f>
        <v>0.79225005311950281</v>
      </c>
      <c r="AP41">
        <f>VLOOKUP($AC41,'2017 Seattle Tracts'!$C$2:$Z$399,AP$1,FALSE)*AA41</f>
        <v>0</v>
      </c>
      <c r="AQ41">
        <f>VLOOKUP($AC41,'2017 Seattle Tracts'!$C$2:$Z$399,AQ$1,FALSE)*AA41</f>
        <v>0</v>
      </c>
      <c r="AR41">
        <f>VLOOKUP($AC41,'2017 Seattle Tracts'!$C$2:$Z$399,AR$1,FALSE)*AA41</f>
        <v>5.2741217821955475</v>
      </c>
      <c r="AS41">
        <f>VLOOKUP($AC41,'2017 Seattle Tracts'!$C$2:$Z$399,AS$1,FALSE)*AA41</f>
        <v>6.4285432881696805</v>
      </c>
      <c r="AT41">
        <f>VLOOKUP($AC41,'2017 Seattle Tracts'!$C$2:$Z$399,AT$1,FALSE)*AA41</f>
        <v>0</v>
      </c>
      <c r="AU41">
        <f>VLOOKUP($AC41,'2017 Seattle Tracts'!$C$2:$Z$399,AU$1,FALSE)*AA41</f>
        <v>0</v>
      </c>
      <c r="AV41">
        <f>VLOOKUP($AC41,'2017 Seattle Tracts'!$C$2:$Z$399,AV$1,FALSE)*AA41</f>
        <v>0.49798574767511605</v>
      </c>
      <c r="AW41">
        <f>VLOOKUP($AC41,'2017 Seattle Tracts'!$C$2:$Z$399,AW$1,FALSE)*AA41</f>
        <v>2.0598501381107073</v>
      </c>
      <c r="AX41">
        <f>VLOOKUP($AC41,'2017 Seattle Tracts'!$C$2:$Z$399,AX$1,FALSE)*AA41</f>
        <v>9.6654506480579343</v>
      </c>
      <c r="AY41">
        <f>VLOOKUP($AC41,'2017 Seattle Tracts'!$C$2:$Z$399,AY$1,FALSE)*AA41</f>
        <v>0.58852861088877351</v>
      </c>
      <c r="BA41" s="2" t="s">
        <v>152</v>
      </c>
      <c r="BB41">
        <v>6562.5806919777806</v>
      </c>
      <c r="BC41">
        <v>5477.6409347314548</v>
      </c>
      <c r="BD41">
        <v>1084.9397572463247</v>
      </c>
      <c r="BE41">
        <v>3395.0051464966227</v>
      </c>
      <c r="BF41">
        <v>309.18525885983991</v>
      </c>
      <c r="BG41">
        <v>127.93009858519736</v>
      </c>
      <c r="BH41">
        <v>33.100763991685952</v>
      </c>
      <c r="BI41">
        <v>894.53830058577626</v>
      </c>
      <c r="BJ41">
        <v>270.1457355310057</v>
      </c>
      <c r="BK41">
        <v>13.80834260083577</v>
      </c>
      <c r="BL41">
        <v>26.430972247841144</v>
      </c>
      <c r="BM41">
        <v>305.48610090508839</v>
      </c>
      <c r="BN41">
        <v>316.19190240727903</v>
      </c>
      <c r="BO41">
        <v>17.599289533696179</v>
      </c>
      <c r="BP41">
        <v>13.942294305915155</v>
      </c>
      <c r="BQ41">
        <v>66.621244020727133</v>
      </c>
      <c r="BR41">
        <v>47.431475763295701</v>
      </c>
      <c r="BS41">
        <v>656.65241200351124</v>
      </c>
      <c r="BT41">
        <v>68.511354139462171</v>
      </c>
    </row>
    <row r="42" spans="1:72" x14ac:dyDescent="0.25">
      <c r="A42" t="s">
        <v>2917</v>
      </c>
      <c r="B42" t="s">
        <v>2918</v>
      </c>
      <c r="C42" t="s">
        <v>2954</v>
      </c>
      <c r="D42" t="s">
        <v>2497</v>
      </c>
      <c r="E42" t="s">
        <v>2498</v>
      </c>
      <c r="F42" t="s">
        <v>2499</v>
      </c>
      <c r="G42" t="s">
        <v>2920</v>
      </c>
      <c r="H42" t="s">
        <v>2921</v>
      </c>
      <c r="I42">
        <v>6566267</v>
      </c>
      <c r="J42">
        <v>2286605</v>
      </c>
      <c r="K42" t="s">
        <v>2955</v>
      </c>
      <c r="L42" t="s">
        <v>2956</v>
      </c>
      <c r="M42">
        <v>6506273</v>
      </c>
      <c r="N42">
        <v>77</v>
      </c>
      <c r="O42">
        <v>19870.868999999999</v>
      </c>
      <c r="P42" t="s">
        <v>170</v>
      </c>
      <c r="Q42">
        <v>19</v>
      </c>
      <c r="R42">
        <v>9</v>
      </c>
      <c r="S42">
        <v>95</v>
      </c>
      <c r="T42">
        <v>21164976</v>
      </c>
      <c r="U42">
        <v>79</v>
      </c>
      <c r="V42">
        <v>175</v>
      </c>
      <c r="W42">
        <v>19870.86960892408</v>
      </c>
      <c r="X42">
        <v>21164976.581290629</v>
      </c>
      <c r="Y42">
        <v>103671.82399999999</v>
      </c>
      <c r="Z42">
        <f>VLOOKUP($AC42,'2017 Seattle Tracts'!$C$2:$Z$399,24,FALSE)</f>
        <v>6506273.2400000002</v>
      </c>
      <c r="AA42">
        <f t="shared" si="1"/>
        <v>1.593413313210313E-2</v>
      </c>
      <c r="AB42" t="s">
        <v>176</v>
      </c>
      <c r="AC42" t="str">
        <f t="shared" si="0"/>
        <v>Census Tract 99, King County, Washington</v>
      </c>
      <c r="AD42">
        <f>VLOOKUP($AC42,'2017 Seattle Tracts'!$C$2:$Z$399,AD$1,FALSE)*AA42</f>
        <v>90.426205524685258</v>
      </c>
      <c r="AE42">
        <f>VLOOKUP($AC42,'2017 Seattle Tracts'!$C$2:$Z$399,AE$1,FALSE)*AA42</f>
        <v>74.731084389563676</v>
      </c>
      <c r="AF42">
        <f>VLOOKUP($AC42,'2017 Seattle Tracts'!$C$2:$Z$399,AF$1,FALSE)*AA42</f>
        <v>15.695121135121584</v>
      </c>
      <c r="AG42">
        <f>VLOOKUP($AC42,'2017 Seattle Tracts'!$C$2:$Z$399,AG$1,FALSE)*AA42</f>
        <v>90.426205524685258</v>
      </c>
      <c r="AH42">
        <f>VLOOKUP($AC42,'2017 Seattle Tracts'!$C$2:$Z$399,AH$1,FALSE)*AA42</f>
        <v>74.731084389563676</v>
      </c>
      <c r="AI42">
        <f>VLOOKUP($AC42,'2017 Seattle Tracts'!$C$2:$Z$399,AI$1,FALSE)*AA42</f>
        <v>15.695121135121584</v>
      </c>
      <c r="AJ42">
        <f>VLOOKUP($AC42,'2017 Seattle Tracts'!$C$2:$Z$399,AJ$1,FALSE)*AA42</f>
        <v>58.940358455649481</v>
      </c>
      <c r="AK42">
        <f>VLOOKUP($AC42,'2017 Seattle Tracts'!$C$2:$Z$399,AK$1,FALSE)*AA42</f>
        <v>8.3654198943541438</v>
      </c>
      <c r="AL42">
        <f>VLOOKUP($AC42,'2017 Seattle Tracts'!$C$2:$Z$399,AL$1,FALSE)*AA42</f>
        <v>3.314299691477451</v>
      </c>
      <c r="AM42">
        <f>VLOOKUP($AC42,'2017 Seattle Tracts'!$C$2:$Z$399,AM$1,FALSE)*AA42</f>
        <v>0.38241919517047512</v>
      </c>
      <c r="AN42">
        <f>VLOOKUP($AC42,'2017 Seattle Tracts'!$C$2:$Z$399,AN$1,FALSE)*AA42</f>
        <v>1.6093474463424162</v>
      </c>
      <c r="AO42">
        <f>VLOOKUP($AC42,'2017 Seattle Tracts'!$C$2:$Z$399,AO$1,FALSE)*AA42</f>
        <v>0.55769465962360953</v>
      </c>
      <c r="AP42">
        <f>VLOOKUP($AC42,'2017 Seattle Tracts'!$C$2:$Z$399,AP$1,FALSE)*AA42</f>
        <v>0</v>
      </c>
      <c r="AQ42">
        <f>VLOOKUP($AC42,'2017 Seattle Tracts'!$C$2:$Z$399,AQ$1,FALSE)*AA42</f>
        <v>0</v>
      </c>
      <c r="AR42">
        <f>VLOOKUP($AC42,'2017 Seattle Tracts'!$C$2:$Z$399,AR$1,FALSE)*AA42</f>
        <v>3.7126530197800292</v>
      </c>
      <c r="AS42">
        <f>VLOOKUP($AC42,'2017 Seattle Tracts'!$C$2:$Z$399,AS$1,FALSE)*AA42</f>
        <v>4.5252938095172892</v>
      </c>
      <c r="AT42">
        <f>VLOOKUP($AC42,'2017 Seattle Tracts'!$C$2:$Z$399,AT$1,FALSE)*AA42</f>
        <v>0</v>
      </c>
      <c r="AU42">
        <f>VLOOKUP($AC42,'2017 Seattle Tracts'!$C$2:$Z$399,AU$1,FALSE)*AA42</f>
        <v>0</v>
      </c>
      <c r="AV42">
        <f>VLOOKUP($AC42,'2017 Seattle Tracts'!$C$2:$Z$399,AV$1,FALSE)*AA42</f>
        <v>0.35055092890626888</v>
      </c>
      <c r="AW42">
        <f>VLOOKUP($AC42,'2017 Seattle Tracts'!$C$2:$Z$399,AW$1,FALSE)*AA42</f>
        <v>1.4500061150213848</v>
      </c>
      <c r="AX42">
        <f>VLOOKUP($AC42,'2017 Seattle Tracts'!$C$2:$Z$399,AX$1,FALSE)*AA42</f>
        <v>6.8038748474080366</v>
      </c>
      <c r="AY42">
        <f>VLOOKUP($AC42,'2017 Seattle Tracts'!$C$2:$Z$399,AY$1,FALSE)*AA42</f>
        <v>0.41428746143468137</v>
      </c>
      <c r="BA42" s="2" t="s">
        <v>138</v>
      </c>
      <c r="BB42">
        <v>11597.085579452591</v>
      </c>
      <c r="BC42">
        <v>9012.5866736443259</v>
      </c>
      <c r="BD42">
        <v>2584.4989058082665</v>
      </c>
      <c r="BE42">
        <v>7488.7947083327726</v>
      </c>
      <c r="BF42">
        <v>894.54630827794335</v>
      </c>
      <c r="BG42">
        <v>260.61524972041639</v>
      </c>
      <c r="BH42">
        <v>125.9833194214642</v>
      </c>
      <c r="BI42">
        <v>219.916830599647</v>
      </c>
      <c r="BJ42">
        <v>39.43166606131625</v>
      </c>
      <c r="BK42">
        <v>61.318353919705451</v>
      </c>
      <c r="BL42">
        <v>0</v>
      </c>
      <c r="BM42">
        <v>414.0052894862211</v>
      </c>
      <c r="BN42">
        <v>1160.7222898698774</v>
      </c>
      <c r="BO42">
        <v>51.621616546616316</v>
      </c>
      <c r="BP42">
        <v>1.9160818093114776E-2</v>
      </c>
      <c r="BQ42">
        <v>18.513961481825937</v>
      </c>
      <c r="BR42">
        <v>206.42014636885142</v>
      </c>
      <c r="BS42">
        <v>497.80066355712131</v>
      </c>
      <c r="BT42">
        <v>157.37601499072048</v>
      </c>
    </row>
    <row r="43" spans="1:72" x14ac:dyDescent="0.25">
      <c r="A43" t="s">
        <v>2917</v>
      </c>
      <c r="B43" t="s">
        <v>2918</v>
      </c>
      <c r="C43" t="s">
        <v>2954</v>
      </c>
      <c r="D43" t="s">
        <v>2497</v>
      </c>
      <c r="E43" t="s">
        <v>2498</v>
      </c>
      <c r="F43" t="s">
        <v>2499</v>
      </c>
      <c r="G43" t="s">
        <v>2920</v>
      </c>
      <c r="H43" t="s">
        <v>2921</v>
      </c>
      <c r="I43">
        <v>6566267</v>
      </c>
      <c r="J43">
        <v>2286605</v>
      </c>
      <c r="K43" t="s">
        <v>2955</v>
      </c>
      <c r="L43" t="s">
        <v>2956</v>
      </c>
      <c r="M43">
        <v>6506273</v>
      </c>
      <c r="N43">
        <v>90</v>
      </c>
      <c r="O43">
        <v>23549.932000000001</v>
      </c>
      <c r="P43" t="s">
        <v>191</v>
      </c>
      <c r="Q43">
        <v>20</v>
      </c>
      <c r="R43">
        <v>10</v>
      </c>
      <c r="S43">
        <v>23</v>
      </c>
      <c r="T43">
        <v>29454656</v>
      </c>
      <c r="U43">
        <v>92</v>
      </c>
      <c r="V43">
        <v>174</v>
      </c>
      <c r="W43">
        <v>23549.93136663039</v>
      </c>
      <c r="X43">
        <v>29454656.567178611</v>
      </c>
      <c r="Y43">
        <v>2445506.8569999998</v>
      </c>
      <c r="Z43">
        <f>VLOOKUP($AC43,'2017 Seattle Tracts'!$C$2:$Z$399,24,FALSE)</f>
        <v>6506273.2400000002</v>
      </c>
      <c r="AA43">
        <f t="shared" si="1"/>
        <v>0.37586906771225609</v>
      </c>
      <c r="AB43" t="s">
        <v>192</v>
      </c>
      <c r="AC43" t="str">
        <f t="shared" si="0"/>
        <v>Census Tract 99, King County, Washington</v>
      </c>
      <c r="AD43">
        <f>VLOOKUP($AC43,'2017 Seattle Tracts'!$C$2:$Z$399,AD$1,FALSE)*AA43</f>
        <v>2133.0569592670531</v>
      </c>
      <c r="AE43">
        <f>VLOOKUP($AC43,'2017 Seattle Tracts'!$C$2:$Z$399,AE$1,FALSE)*AA43</f>
        <v>1762.8259275704811</v>
      </c>
      <c r="AF43">
        <f>VLOOKUP($AC43,'2017 Seattle Tracts'!$C$2:$Z$399,AF$1,FALSE)*AA43</f>
        <v>370.23103169657224</v>
      </c>
      <c r="AG43">
        <f>VLOOKUP($AC43,'2017 Seattle Tracts'!$C$2:$Z$399,AG$1,FALSE)*AA43</f>
        <v>2133.0569592670531</v>
      </c>
      <c r="AH43">
        <f>VLOOKUP($AC43,'2017 Seattle Tracts'!$C$2:$Z$399,AH$1,FALSE)*AA43</f>
        <v>1762.8259275704811</v>
      </c>
      <c r="AI43">
        <f>VLOOKUP($AC43,'2017 Seattle Tracts'!$C$2:$Z$399,AI$1,FALSE)*AA43</f>
        <v>370.23103169657224</v>
      </c>
      <c r="AJ43">
        <f>VLOOKUP($AC43,'2017 Seattle Tracts'!$C$2:$Z$399,AJ$1,FALSE)*AA43</f>
        <v>1390.3396814676353</v>
      </c>
      <c r="AK43">
        <f>VLOOKUP($AC43,'2017 Seattle Tracts'!$C$2:$Z$399,AK$1,FALSE)*AA43</f>
        <v>197.33126054893444</v>
      </c>
      <c r="AL43">
        <f>VLOOKUP($AC43,'2017 Seattle Tracts'!$C$2:$Z$399,AL$1,FALSE)*AA43</f>
        <v>78.180766084149269</v>
      </c>
      <c r="AM43">
        <f>VLOOKUP($AC43,'2017 Seattle Tracts'!$C$2:$Z$399,AM$1,FALSE)*AA43</f>
        <v>9.0208576250941466</v>
      </c>
      <c r="AN43">
        <f>VLOOKUP($AC43,'2017 Seattle Tracts'!$C$2:$Z$399,AN$1,FALSE)*AA43</f>
        <v>37.962775838937866</v>
      </c>
      <c r="AO43">
        <f>VLOOKUP($AC43,'2017 Seattle Tracts'!$C$2:$Z$399,AO$1,FALSE)*AA43</f>
        <v>13.155417369928964</v>
      </c>
      <c r="AP43">
        <f>VLOOKUP($AC43,'2017 Seattle Tracts'!$C$2:$Z$399,AP$1,FALSE)*AA43</f>
        <v>0</v>
      </c>
      <c r="AQ43">
        <f>VLOOKUP($AC43,'2017 Seattle Tracts'!$C$2:$Z$399,AQ$1,FALSE)*AA43</f>
        <v>0</v>
      </c>
      <c r="AR43">
        <f>VLOOKUP($AC43,'2017 Seattle Tracts'!$C$2:$Z$399,AR$1,FALSE)*AA43</f>
        <v>87.577492776955665</v>
      </c>
      <c r="AS43">
        <f>VLOOKUP($AC43,'2017 Seattle Tracts'!$C$2:$Z$399,AS$1,FALSE)*AA43</f>
        <v>106.74681523028073</v>
      </c>
      <c r="AT43">
        <f>VLOOKUP($AC43,'2017 Seattle Tracts'!$C$2:$Z$399,AT$1,FALSE)*AA43</f>
        <v>0</v>
      </c>
      <c r="AU43">
        <f>VLOOKUP($AC43,'2017 Seattle Tracts'!$C$2:$Z$399,AU$1,FALSE)*AA43</f>
        <v>0</v>
      </c>
      <c r="AV43">
        <f>VLOOKUP($AC43,'2017 Seattle Tracts'!$C$2:$Z$399,AV$1,FALSE)*AA43</f>
        <v>8.2691194896696345</v>
      </c>
      <c r="AW43">
        <f>VLOOKUP($AC43,'2017 Seattle Tracts'!$C$2:$Z$399,AW$1,FALSE)*AA43</f>
        <v>34.204085161815307</v>
      </c>
      <c r="AX43">
        <f>VLOOKUP($AC43,'2017 Seattle Tracts'!$C$2:$Z$399,AX$1,FALSE)*AA43</f>
        <v>160.49609191313334</v>
      </c>
      <c r="AY43">
        <f>VLOOKUP($AC43,'2017 Seattle Tracts'!$C$2:$Z$399,AY$1,FALSE)*AA43</f>
        <v>9.7725957605186586</v>
      </c>
      <c r="BA43" s="2" t="s">
        <v>116</v>
      </c>
      <c r="BB43">
        <v>7417.7097382006332</v>
      </c>
      <c r="BC43">
        <v>6793.8363069930383</v>
      </c>
      <c r="BD43">
        <v>623.87343120759431</v>
      </c>
      <c r="BE43">
        <v>5946.6494706434914</v>
      </c>
      <c r="BF43">
        <v>264.75103862992137</v>
      </c>
      <c r="BG43">
        <v>257.93628049790021</v>
      </c>
      <c r="BH43">
        <v>43.432133274250475</v>
      </c>
      <c r="BI43">
        <v>59.299613204637389</v>
      </c>
      <c r="BJ43">
        <v>0</v>
      </c>
      <c r="BK43">
        <v>28.922321046958437</v>
      </c>
      <c r="BL43">
        <v>0</v>
      </c>
      <c r="BM43">
        <v>130.50868492494078</v>
      </c>
      <c r="BN43">
        <v>183.87070155585582</v>
      </c>
      <c r="BO43">
        <v>0</v>
      </c>
      <c r="BP43">
        <v>7.2575160159705074</v>
      </c>
      <c r="BQ43">
        <v>25.833479460827604</v>
      </c>
      <c r="BR43">
        <v>106.39527358914381</v>
      </c>
      <c r="BS43">
        <v>344.6864572142814</v>
      </c>
      <c r="BT43">
        <v>18.166768142452405</v>
      </c>
    </row>
    <row r="44" spans="1:72" x14ac:dyDescent="0.25">
      <c r="A44" t="s">
        <v>2917</v>
      </c>
      <c r="B44" t="s">
        <v>2918</v>
      </c>
      <c r="C44" t="s">
        <v>2954</v>
      </c>
      <c r="D44" t="s">
        <v>2497</v>
      </c>
      <c r="E44" t="s">
        <v>2498</v>
      </c>
      <c r="F44" t="s">
        <v>2499</v>
      </c>
      <c r="G44" t="s">
        <v>2920</v>
      </c>
      <c r="H44" t="s">
        <v>2921</v>
      </c>
      <c r="I44">
        <v>6566267</v>
      </c>
      <c r="J44">
        <v>2286605</v>
      </c>
      <c r="K44" t="s">
        <v>2955</v>
      </c>
      <c r="L44" t="s">
        <v>2956</v>
      </c>
      <c r="M44">
        <v>6506273</v>
      </c>
      <c r="N44">
        <v>91</v>
      </c>
      <c r="O44">
        <v>25917.116999999998</v>
      </c>
      <c r="P44" t="s">
        <v>191</v>
      </c>
      <c r="Q44">
        <v>20</v>
      </c>
      <c r="R44">
        <v>10</v>
      </c>
      <c r="S44">
        <v>24</v>
      </c>
      <c r="T44">
        <v>33038268</v>
      </c>
      <c r="U44">
        <v>93</v>
      </c>
      <c r="V44">
        <v>180</v>
      </c>
      <c r="W44">
        <v>25917.117639101471</v>
      </c>
      <c r="X44">
        <v>33038267.192843691</v>
      </c>
      <c r="Y44">
        <v>20760.317999999999</v>
      </c>
      <c r="Z44">
        <f>VLOOKUP($AC44,'2017 Seattle Tracts'!$C$2:$Z$399,24,FALSE)</f>
        <v>6506273.2400000002</v>
      </c>
      <c r="AA44">
        <f t="shared" si="1"/>
        <v>3.190815576629548E-3</v>
      </c>
      <c r="AB44" t="s">
        <v>193</v>
      </c>
      <c r="AC44" t="str">
        <f t="shared" si="0"/>
        <v>Census Tract 99, King County, Washington</v>
      </c>
      <c r="AD44">
        <f>VLOOKUP($AC44,'2017 Seattle Tracts'!$C$2:$Z$399,AD$1,FALSE)*AA44</f>
        <v>18.107878397372684</v>
      </c>
      <c r="AE44">
        <f>VLOOKUP($AC44,'2017 Seattle Tracts'!$C$2:$Z$399,AE$1,FALSE)*AA44</f>
        <v>14.96492505439258</v>
      </c>
      <c r="AF44">
        <f>VLOOKUP($AC44,'2017 Seattle Tracts'!$C$2:$Z$399,AF$1,FALSE)*AA44</f>
        <v>3.1429533429801046</v>
      </c>
      <c r="AG44">
        <f>VLOOKUP($AC44,'2017 Seattle Tracts'!$C$2:$Z$399,AG$1,FALSE)*AA44</f>
        <v>18.107878397372684</v>
      </c>
      <c r="AH44">
        <f>VLOOKUP($AC44,'2017 Seattle Tracts'!$C$2:$Z$399,AH$1,FALSE)*AA44</f>
        <v>14.96492505439258</v>
      </c>
      <c r="AI44">
        <f>VLOOKUP($AC44,'2017 Seattle Tracts'!$C$2:$Z$399,AI$1,FALSE)*AA44</f>
        <v>3.1429533429801046</v>
      </c>
      <c r="AJ44">
        <f>VLOOKUP($AC44,'2017 Seattle Tracts'!$C$2:$Z$399,AJ$1,FALSE)*AA44</f>
        <v>11.802826817952697</v>
      </c>
      <c r="AK44">
        <f>VLOOKUP($AC44,'2017 Seattle Tracts'!$C$2:$Z$399,AK$1,FALSE)*AA44</f>
        <v>1.6751781777305126</v>
      </c>
      <c r="AL44">
        <f>VLOOKUP($AC44,'2017 Seattle Tracts'!$C$2:$Z$399,AL$1,FALSE)*AA44</f>
        <v>0.66368963993894603</v>
      </c>
      <c r="AM44">
        <f>VLOOKUP($AC44,'2017 Seattle Tracts'!$C$2:$Z$399,AM$1,FALSE)*AA44</f>
        <v>7.6579573839109155E-2</v>
      </c>
      <c r="AN44">
        <f>VLOOKUP($AC44,'2017 Seattle Tracts'!$C$2:$Z$399,AN$1,FALSE)*AA44</f>
        <v>0.32227237323958435</v>
      </c>
      <c r="AO44">
        <f>VLOOKUP($AC44,'2017 Seattle Tracts'!$C$2:$Z$399,AO$1,FALSE)*AA44</f>
        <v>0.11167854518203418</v>
      </c>
      <c r="AP44">
        <f>VLOOKUP($AC44,'2017 Seattle Tracts'!$C$2:$Z$399,AP$1,FALSE)*AA44</f>
        <v>0</v>
      </c>
      <c r="AQ44">
        <f>VLOOKUP($AC44,'2017 Seattle Tracts'!$C$2:$Z$399,AQ$1,FALSE)*AA44</f>
        <v>0</v>
      </c>
      <c r="AR44">
        <f>VLOOKUP($AC44,'2017 Seattle Tracts'!$C$2:$Z$399,AR$1,FALSE)*AA44</f>
        <v>0.74346002935468469</v>
      </c>
      <c r="AS44">
        <f>VLOOKUP($AC44,'2017 Seattle Tracts'!$C$2:$Z$399,AS$1,FALSE)*AA44</f>
        <v>0.90619162376279161</v>
      </c>
      <c r="AT44">
        <f>VLOOKUP($AC44,'2017 Seattle Tracts'!$C$2:$Z$399,AT$1,FALSE)*AA44</f>
        <v>0</v>
      </c>
      <c r="AU44">
        <f>VLOOKUP($AC44,'2017 Seattle Tracts'!$C$2:$Z$399,AU$1,FALSE)*AA44</f>
        <v>0</v>
      </c>
      <c r="AV44">
        <f>VLOOKUP($AC44,'2017 Seattle Tracts'!$C$2:$Z$399,AV$1,FALSE)*AA44</f>
        <v>7.0197942685850057E-2</v>
      </c>
      <c r="AW44">
        <f>VLOOKUP($AC44,'2017 Seattle Tracts'!$C$2:$Z$399,AW$1,FALSE)*AA44</f>
        <v>0.29036421747328889</v>
      </c>
      <c r="AX44">
        <f>VLOOKUP($AC44,'2017 Seattle Tracts'!$C$2:$Z$399,AX$1,FALSE)*AA44</f>
        <v>1.3624782512208169</v>
      </c>
      <c r="AY44">
        <f>VLOOKUP($AC44,'2017 Seattle Tracts'!$C$2:$Z$399,AY$1,FALSE)*AA44</f>
        <v>8.2961204992368254E-2</v>
      </c>
      <c r="BA44" s="2" t="s">
        <v>203</v>
      </c>
      <c r="BB44">
        <v>5075.8546470046194</v>
      </c>
      <c r="BC44">
        <v>4437.8391484201738</v>
      </c>
      <c r="BD44">
        <v>638.01549858444525</v>
      </c>
      <c r="BE44">
        <v>4017.2088209311451</v>
      </c>
      <c r="BF44">
        <v>377.60104638616099</v>
      </c>
      <c r="BG44">
        <v>65.420206221250723</v>
      </c>
      <c r="BH44">
        <v>20.324814699770698</v>
      </c>
      <c r="BI44">
        <v>71.137782948833305</v>
      </c>
      <c r="BJ44">
        <v>14.449780961677982</v>
      </c>
      <c r="BK44">
        <v>0</v>
      </c>
      <c r="BL44">
        <v>0</v>
      </c>
      <c r="BM44">
        <v>43.665923800139439</v>
      </c>
      <c r="BN44">
        <v>164.82321263211003</v>
      </c>
      <c r="BO44">
        <v>0</v>
      </c>
      <c r="BP44">
        <v>0</v>
      </c>
      <c r="BQ44">
        <v>24.294381739042215</v>
      </c>
      <c r="BR44">
        <v>2.0641493667469439</v>
      </c>
      <c r="BS44">
        <v>216.11203277976338</v>
      </c>
      <c r="BT44">
        <v>58.752494537978649</v>
      </c>
    </row>
    <row r="45" spans="1:72" x14ac:dyDescent="0.25">
      <c r="A45" t="s">
        <v>2917</v>
      </c>
      <c r="B45" t="s">
        <v>2918</v>
      </c>
      <c r="C45" t="s">
        <v>2954</v>
      </c>
      <c r="D45" t="s">
        <v>2497</v>
      </c>
      <c r="E45" t="s">
        <v>2498</v>
      </c>
      <c r="F45" t="s">
        <v>2499</v>
      </c>
      <c r="G45" t="s">
        <v>2920</v>
      </c>
      <c r="H45" t="s">
        <v>2921</v>
      </c>
      <c r="I45">
        <v>6566267</v>
      </c>
      <c r="J45">
        <v>2286605</v>
      </c>
      <c r="K45" t="s">
        <v>2955</v>
      </c>
      <c r="L45" t="s">
        <v>2956</v>
      </c>
      <c r="M45">
        <v>6506273</v>
      </c>
      <c r="N45">
        <v>92</v>
      </c>
      <c r="O45">
        <v>23180.396000000001</v>
      </c>
      <c r="P45" t="s">
        <v>191</v>
      </c>
      <c r="Q45">
        <v>20</v>
      </c>
      <c r="R45">
        <v>10</v>
      </c>
      <c r="S45">
        <v>95</v>
      </c>
      <c r="T45">
        <v>23343008</v>
      </c>
      <c r="U45">
        <v>94</v>
      </c>
      <c r="V45">
        <v>182</v>
      </c>
      <c r="W45">
        <v>23180.396359671431</v>
      </c>
      <c r="X45">
        <v>23343008.336782061</v>
      </c>
      <c r="Y45">
        <v>592.80499999999995</v>
      </c>
      <c r="Z45">
        <f>VLOOKUP($AC45,'2017 Seattle Tracts'!$C$2:$Z$399,24,FALSE)</f>
        <v>6506273.2400000002</v>
      </c>
      <c r="AA45">
        <f t="shared" si="1"/>
        <v>9.1112834972175241E-5</v>
      </c>
      <c r="AB45" t="s">
        <v>194</v>
      </c>
      <c r="AC45" t="str">
        <f t="shared" si="0"/>
        <v>Census Tract 99, King County, Washington</v>
      </c>
      <c r="AD45">
        <f>VLOOKUP($AC45,'2017 Seattle Tracts'!$C$2:$Z$399,AD$1,FALSE)*AA45</f>
        <v>0.51706533846709446</v>
      </c>
      <c r="AE45">
        <f>VLOOKUP($AC45,'2017 Seattle Tracts'!$C$2:$Z$399,AE$1,FALSE)*AA45</f>
        <v>0.42731919601950186</v>
      </c>
      <c r="AF45">
        <f>VLOOKUP($AC45,'2017 Seattle Tracts'!$C$2:$Z$399,AF$1,FALSE)*AA45</f>
        <v>8.9746142447592617E-2</v>
      </c>
      <c r="AG45">
        <f>VLOOKUP($AC45,'2017 Seattle Tracts'!$C$2:$Z$399,AG$1,FALSE)*AA45</f>
        <v>0.51706533846709446</v>
      </c>
      <c r="AH45">
        <f>VLOOKUP($AC45,'2017 Seattle Tracts'!$C$2:$Z$399,AH$1,FALSE)*AA45</f>
        <v>0.42731919601950186</v>
      </c>
      <c r="AI45">
        <f>VLOOKUP($AC45,'2017 Seattle Tracts'!$C$2:$Z$399,AI$1,FALSE)*AA45</f>
        <v>8.9746142447592617E-2</v>
      </c>
      <c r="AJ45">
        <f>VLOOKUP($AC45,'2017 Seattle Tracts'!$C$2:$Z$399,AJ$1,FALSE)*AA45</f>
        <v>0.33702637656207624</v>
      </c>
      <c r="AK45">
        <f>VLOOKUP($AC45,'2017 Seattle Tracts'!$C$2:$Z$399,AK$1,FALSE)*AA45</f>
        <v>4.7834238360392002E-2</v>
      </c>
      <c r="AL45">
        <f>VLOOKUP($AC45,'2017 Seattle Tracts'!$C$2:$Z$399,AL$1,FALSE)*AA45</f>
        <v>1.8951469674212448E-2</v>
      </c>
      <c r="AM45">
        <f>VLOOKUP($AC45,'2017 Seattle Tracts'!$C$2:$Z$399,AM$1,FALSE)*AA45</f>
        <v>2.1867080393322058E-3</v>
      </c>
      <c r="AN45">
        <f>VLOOKUP($AC45,'2017 Seattle Tracts'!$C$2:$Z$399,AN$1,FALSE)*AA45</f>
        <v>9.2023963321896992E-3</v>
      </c>
      <c r="AO45">
        <f>VLOOKUP($AC45,'2017 Seattle Tracts'!$C$2:$Z$399,AO$1,FALSE)*AA45</f>
        <v>3.1889492240261335E-3</v>
      </c>
      <c r="AP45">
        <f>VLOOKUP($AC45,'2017 Seattle Tracts'!$C$2:$Z$399,AP$1,FALSE)*AA45</f>
        <v>0</v>
      </c>
      <c r="AQ45">
        <f>VLOOKUP($AC45,'2017 Seattle Tracts'!$C$2:$Z$399,AQ$1,FALSE)*AA45</f>
        <v>0</v>
      </c>
      <c r="AR45">
        <f>VLOOKUP($AC45,'2017 Seattle Tracts'!$C$2:$Z$399,AR$1,FALSE)*AA45</f>
        <v>2.1229290548516831E-2</v>
      </c>
      <c r="AS45">
        <f>VLOOKUP($AC45,'2017 Seattle Tracts'!$C$2:$Z$399,AS$1,FALSE)*AA45</f>
        <v>2.5876045132097767E-2</v>
      </c>
      <c r="AT45">
        <f>VLOOKUP($AC45,'2017 Seattle Tracts'!$C$2:$Z$399,AT$1,FALSE)*AA45</f>
        <v>0</v>
      </c>
      <c r="AU45">
        <f>VLOOKUP($AC45,'2017 Seattle Tracts'!$C$2:$Z$399,AU$1,FALSE)*AA45</f>
        <v>0</v>
      </c>
      <c r="AV45">
        <f>VLOOKUP($AC45,'2017 Seattle Tracts'!$C$2:$Z$399,AV$1,FALSE)*AA45</f>
        <v>2.0044823693878555E-3</v>
      </c>
      <c r="AW45">
        <f>VLOOKUP($AC45,'2017 Seattle Tracts'!$C$2:$Z$399,AW$1,FALSE)*AA45</f>
        <v>8.291267982467947E-3</v>
      </c>
      <c r="AX45">
        <f>VLOOKUP($AC45,'2017 Seattle Tracts'!$C$2:$Z$399,AX$1,FALSE)*AA45</f>
        <v>3.8905180533118824E-2</v>
      </c>
      <c r="AY45">
        <f>VLOOKUP($AC45,'2017 Seattle Tracts'!$C$2:$Z$399,AY$1,FALSE)*AA45</f>
        <v>2.368933709276556E-3</v>
      </c>
      <c r="BA45" s="2" t="s">
        <v>148</v>
      </c>
      <c r="BB45">
        <v>4280.6084189803132</v>
      </c>
      <c r="BC45">
        <v>3732.4726367320964</v>
      </c>
      <c r="BD45">
        <v>548.13578224821731</v>
      </c>
      <c r="BE45">
        <v>2740.8221017360183</v>
      </c>
      <c r="BF45">
        <v>255.33680486630033</v>
      </c>
      <c r="BG45">
        <v>87.093769808515447</v>
      </c>
      <c r="BH45">
        <v>14.654545613037486</v>
      </c>
      <c r="BI45">
        <v>267.64363036414636</v>
      </c>
      <c r="BJ45">
        <v>48.576727061537596</v>
      </c>
      <c r="BK45">
        <v>20.933990167053665</v>
      </c>
      <c r="BL45">
        <v>0</v>
      </c>
      <c r="BM45">
        <v>90.455058559909105</v>
      </c>
      <c r="BN45">
        <v>156.60318967804369</v>
      </c>
      <c r="BO45">
        <v>12.210289056954577</v>
      </c>
      <c r="BP45">
        <v>9.6730861360289513</v>
      </c>
      <c r="BQ45">
        <v>69.64816933338011</v>
      </c>
      <c r="BR45">
        <v>56.995465240464952</v>
      </c>
      <c r="BS45">
        <v>443.66562770611858</v>
      </c>
      <c r="BT45">
        <v>6.2959636528043035</v>
      </c>
    </row>
    <row r="46" spans="1:72" x14ac:dyDescent="0.25">
      <c r="A46" t="s">
        <v>2917</v>
      </c>
      <c r="B46" t="s">
        <v>2918</v>
      </c>
      <c r="C46" t="s">
        <v>2954</v>
      </c>
      <c r="D46" t="s">
        <v>2497</v>
      </c>
      <c r="E46" t="s">
        <v>2498</v>
      </c>
      <c r="F46" t="s">
        <v>2499</v>
      </c>
      <c r="G46" t="s">
        <v>2920</v>
      </c>
      <c r="H46" t="s">
        <v>2921</v>
      </c>
      <c r="I46">
        <v>6566267</v>
      </c>
      <c r="J46">
        <v>2286605</v>
      </c>
      <c r="K46" t="s">
        <v>2955</v>
      </c>
      <c r="L46" t="s">
        <v>2956</v>
      </c>
      <c r="M46">
        <v>6506273</v>
      </c>
      <c r="N46">
        <v>107</v>
      </c>
      <c r="O46">
        <v>58047.309000000001</v>
      </c>
      <c r="P46" t="s">
        <v>122</v>
      </c>
      <c r="Q46">
        <v>18</v>
      </c>
      <c r="R46">
        <v>12</v>
      </c>
      <c r="S46">
        <v>95</v>
      </c>
      <c r="T46">
        <v>24681990</v>
      </c>
      <c r="U46">
        <v>109</v>
      </c>
      <c r="V46">
        <v>198</v>
      </c>
      <c r="W46">
        <v>58047.307413870847</v>
      </c>
      <c r="X46">
        <v>24681989.600617379</v>
      </c>
      <c r="Y46">
        <v>1515490.132</v>
      </c>
      <c r="Z46">
        <f>VLOOKUP($AC46,'2017 Seattle Tracts'!$C$2:$Z$399,24,FALSE)</f>
        <v>6506273.2400000002</v>
      </c>
      <c r="AA46">
        <f t="shared" si="1"/>
        <v>0.23292752641910255</v>
      </c>
      <c r="AB46" t="s">
        <v>165</v>
      </c>
      <c r="AC46" t="str">
        <f t="shared" si="0"/>
        <v>Census Tract 99, King County, Washington</v>
      </c>
      <c r="AD46">
        <f>VLOOKUP($AC46,'2017 Seattle Tracts'!$C$2:$Z$399,AD$1,FALSE)*AA46</f>
        <v>1321.8637124284071</v>
      </c>
      <c r="AE46">
        <f>VLOOKUP($AC46,'2017 Seattle Tracts'!$C$2:$Z$399,AE$1,FALSE)*AA46</f>
        <v>1092.430098905591</v>
      </c>
      <c r="AF46">
        <f>VLOOKUP($AC46,'2017 Seattle Tracts'!$C$2:$Z$399,AF$1,FALSE)*AA46</f>
        <v>229.43361352281602</v>
      </c>
      <c r="AG46">
        <f>VLOOKUP($AC46,'2017 Seattle Tracts'!$C$2:$Z$399,AG$1,FALSE)*AA46</f>
        <v>1321.8637124284071</v>
      </c>
      <c r="AH46">
        <f>VLOOKUP($AC46,'2017 Seattle Tracts'!$C$2:$Z$399,AH$1,FALSE)*AA46</f>
        <v>1092.430098905591</v>
      </c>
      <c r="AI46">
        <f>VLOOKUP($AC46,'2017 Seattle Tracts'!$C$2:$Z$399,AI$1,FALSE)*AA46</f>
        <v>229.43361352281602</v>
      </c>
      <c r="AJ46">
        <f>VLOOKUP($AC46,'2017 Seattle Tracts'!$C$2:$Z$399,AJ$1,FALSE)*AA46</f>
        <v>861.59892022426038</v>
      </c>
      <c r="AK46">
        <f>VLOOKUP($AC46,'2017 Seattle Tracts'!$C$2:$Z$399,AK$1,FALSE)*AA46</f>
        <v>122.28695137002885</v>
      </c>
      <c r="AL46">
        <f>VLOOKUP($AC46,'2017 Seattle Tracts'!$C$2:$Z$399,AL$1,FALSE)*AA46</f>
        <v>48.448925495173334</v>
      </c>
      <c r="AM46">
        <f>VLOOKUP($AC46,'2017 Seattle Tracts'!$C$2:$Z$399,AM$1,FALSE)*AA46</f>
        <v>5.5902606340584615</v>
      </c>
      <c r="AN46">
        <f>VLOOKUP($AC46,'2017 Seattle Tracts'!$C$2:$Z$399,AN$1,FALSE)*AA46</f>
        <v>23.525680168329359</v>
      </c>
      <c r="AO46">
        <f>VLOOKUP($AC46,'2017 Seattle Tracts'!$C$2:$Z$399,AO$1,FALSE)*AA46</f>
        <v>8.1524634246685892</v>
      </c>
      <c r="AP46">
        <f>VLOOKUP($AC46,'2017 Seattle Tracts'!$C$2:$Z$399,AP$1,FALSE)*AA46</f>
        <v>0</v>
      </c>
      <c r="AQ46">
        <f>VLOOKUP($AC46,'2017 Seattle Tracts'!$C$2:$Z$399,AQ$1,FALSE)*AA46</f>
        <v>0</v>
      </c>
      <c r="AR46">
        <f>VLOOKUP($AC46,'2017 Seattle Tracts'!$C$2:$Z$399,AR$1,FALSE)*AA46</f>
        <v>54.272113655650898</v>
      </c>
      <c r="AS46">
        <f>VLOOKUP($AC46,'2017 Seattle Tracts'!$C$2:$Z$399,AS$1,FALSE)*AA46</f>
        <v>66.151417503025129</v>
      </c>
      <c r="AT46">
        <f>VLOOKUP($AC46,'2017 Seattle Tracts'!$C$2:$Z$399,AT$1,FALSE)*AA46</f>
        <v>0</v>
      </c>
      <c r="AU46">
        <f>VLOOKUP($AC46,'2017 Seattle Tracts'!$C$2:$Z$399,AU$1,FALSE)*AA46</f>
        <v>0</v>
      </c>
      <c r="AV46">
        <f>VLOOKUP($AC46,'2017 Seattle Tracts'!$C$2:$Z$399,AV$1,FALSE)*AA46</f>
        <v>5.1244055812202562</v>
      </c>
      <c r="AW46">
        <f>VLOOKUP($AC46,'2017 Seattle Tracts'!$C$2:$Z$399,AW$1,FALSE)*AA46</f>
        <v>21.196404904138333</v>
      </c>
      <c r="AX46">
        <f>VLOOKUP($AC46,'2017 Seattle Tracts'!$C$2:$Z$399,AX$1,FALSE)*AA46</f>
        <v>99.460053780956784</v>
      </c>
      <c r="AY46">
        <f>VLOOKUP($AC46,'2017 Seattle Tracts'!$C$2:$Z$399,AY$1,FALSE)*AA46</f>
        <v>6.0561156868966668</v>
      </c>
      <c r="BA46" s="2" t="s">
        <v>153</v>
      </c>
      <c r="BB46">
        <v>4870.0971983071995</v>
      </c>
      <c r="BC46">
        <v>4230.5671700088687</v>
      </c>
      <c r="BD46">
        <v>639.53002829833076</v>
      </c>
      <c r="BE46">
        <v>2880.2981021369333</v>
      </c>
      <c r="BF46">
        <v>202.55484863489659</v>
      </c>
      <c r="BG46">
        <v>129.34251654396198</v>
      </c>
      <c r="BH46">
        <v>42.099598841466005</v>
      </c>
      <c r="BI46">
        <v>528.48489912314199</v>
      </c>
      <c r="BJ46">
        <v>47.843975396622419</v>
      </c>
      <c r="BK46">
        <v>31.105847690918438</v>
      </c>
      <c r="BL46">
        <v>0</v>
      </c>
      <c r="BM46">
        <v>126.60344171675565</v>
      </c>
      <c r="BN46">
        <v>253.15877396233816</v>
      </c>
      <c r="BO46">
        <v>47.108617372315173</v>
      </c>
      <c r="BP46">
        <v>37.319813762483449</v>
      </c>
      <c r="BQ46">
        <v>131.76018716041392</v>
      </c>
      <c r="BR46">
        <v>49.775388123091496</v>
      </c>
      <c r="BS46">
        <v>355.86355826442849</v>
      </c>
      <c r="BT46">
        <v>6.7776295774326245</v>
      </c>
    </row>
    <row r="47" spans="1:72" x14ac:dyDescent="0.25">
      <c r="A47" t="s">
        <v>2917</v>
      </c>
      <c r="B47" t="s">
        <v>2918</v>
      </c>
      <c r="C47" t="s">
        <v>2957</v>
      </c>
      <c r="D47" t="s">
        <v>2878</v>
      </c>
      <c r="E47" t="s">
        <v>2879</v>
      </c>
      <c r="F47" t="s">
        <v>2880</v>
      </c>
      <c r="G47" t="s">
        <v>2920</v>
      </c>
      <c r="H47" t="s">
        <v>2921</v>
      </c>
      <c r="I47">
        <v>2509573</v>
      </c>
      <c r="J47">
        <v>2170059</v>
      </c>
      <c r="K47" t="s">
        <v>2958</v>
      </c>
      <c r="L47" t="s">
        <v>2959</v>
      </c>
      <c r="M47">
        <v>2482442</v>
      </c>
      <c r="N47">
        <v>25</v>
      </c>
      <c r="O47">
        <v>730.19799999999998</v>
      </c>
      <c r="Q47">
        <v>0</v>
      </c>
      <c r="R47">
        <v>0</v>
      </c>
      <c r="S47">
        <v>0</v>
      </c>
      <c r="T47">
        <v>35565.781000000003</v>
      </c>
      <c r="U47">
        <v>27</v>
      </c>
      <c r="V47">
        <v>0</v>
      </c>
      <c r="W47">
        <v>730.19833529257301</v>
      </c>
      <c r="X47">
        <v>35565.786815697182</v>
      </c>
      <c r="Y47">
        <v>3304.2570000000001</v>
      </c>
      <c r="Z47">
        <f>VLOOKUP($AC47,'2017 Seattle Tracts'!$C$2:$Z$399,24,FALSE)</f>
        <v>2482441.9679999999</v>
      </c>
      <c r="AA47">
        <f t="shared" si="1"/>
        <v>1.3310510548055639E-3</v>
      </c>
      <c r="AB47" t="s">
        <v>115</v>
      </c>
      <c r="AC47" t="str">
        <f t="shared" si="0"/>
        <v>Census Tract 101, King County, Washington</v>
      </c>
      <c r="AD47">
        <f>VLOOKUP($AC47,'2017 Seattle Tracts'!$C$2:$Z$399,AD$1,FALSE)*AA47</f>
        <v>10.681684714814651</v>
      </c>
      <c r="AE47">
        <f>VLOOKUP($AC47,'2017 Seattle Tracts'!$C$2:$Z$399,AE$1,FALSE)*AA47</f>
        <v>8.1753155786157734</v>
      </c>
      <c r="AF47">
        <f>VLOOKUP($AC47,'2017 Seattle Tracts'!$C$2:$Z$399,AF$1,FALSE)*AA47</f>
        <v>2.5063691361988769</v>
      </c>
      <c r="AG47">
        <f>VLOOKUP($AC47,'2017 Seattle Tracts'!$C$2:$Z$399,AG$1,FALSE)*AA47</f>
        <v>10.681684714814651</v>
      </c>
      <c r="AH47">
        <f>VLOOKUP($AC47,'2017 Seattle Tracts'!$C$2:$Z$399,AH$1,FALSE)*AA47</f>
        <v>8.1753155786157734</v>
      </c>
      <c r="AI47">
        <f>VLOOKUP($AC47,'2017 Seattle Tracts'!$C$2:$Z$399,AI$1,FALSE)*AA47</f>
        <v>2.5063691361988769</v>
      </c>
      <c r="AJ47">
        <f>VLOOKUP($AC47,'2017 Seattle Tracts'!$C$2:$Z$399,AJ$1,FALSE)*AA47</f>
        <v>3.6697077580989399</v>
      </c>
      <c r="AK47">
        <f>VLOOKUP($AC47,'2017 Seattle Tracts'!$C$2:$Z$399,AK$1,FALSE)*AA47</f>
        <v>0.2662102109611128</v>
      </c>
      <c r="AL47">
        <f>VLOOKUP($AC47,'2017 Seattle Tracts'!$C$2:$Z$399,AL$1,FALSE)*AA47</f>
        <v>0.20231976033044571</v>
      </c>
      <c r="AM47">
        <f>VLOOKUP($AC47,'2017 Seattle Tracts'!$C$2:$Z$399,AM$1,FALSE)*AA47</f>
        <v>3.0614174260527972E-2</v>
      </c>
      <c r="AN47">
        <f>VLOOKUP($AC47,'2017 Seattle Tracts'!$C$2:$Z$399,AN$1,FALSE)*AA47</f>
        <v>2.7499514792282951</v>
      </c>
      <c r="AO47">
        <f>VLOOKUP($AC47,'2017 Seattle Tracts'!$C$2:$Z$399,AO$1,FALSE)*AA47</f>
        <v>0.51910991137416995</v>
      </c>
      <c r="AP47">
        <f>VLOOKUP($AC47,'2017 Seattle Tracts'!$C$2:$Z$399,AP$1,FALSE)*AA47</f>
        <v>4.7917837973000303E-2</v>
      </c>
      <c r="AQ47">
        <f>VLOOKUP($AC47,'2017 Seattle Tracts'!$C$2:$Z$399,AQ$1,FALSE)*AA47</f>
        <v>0</v>
      </c>
      <c r="AR47">
        <f>VLOOKUP($AC47,'2017 Seattle Tracts'!$C$2:$Z$399,AR$1,FALSE)*AA47</f>
        <v>0.84521741980153309</v>
      </c>
      <c r="AS47">
        <f>VLOOKUP($AC47,'2017 Seattle Tracts'!$C$2:$Z$399,AS$1,FALSE)*AA47</f>
        <v>1.3044300337094525</v>
      </c>
      <c r="AT47">
        <f>VLOOKUP($AC47,'2017 Seattle Tracts'!$C$2:$Z$399,AT$1,FALSE)*AA47</f>
        <v>7.8532012233528278E-2</v>
      </c>
      <c r="AU47">
        <f>VLOOKUP($AC47,'2017 Seattle Tracts'!$C$2:$Z$399,AU$1,FALSE)*AA47</f>
        <v>3.8600480589361351E-2</v>
      </c>
      <c r="AV47">
        <f>VLOOKUP($AC47,'2017 Seattle Tracts'!$C$2:$Z$399,AV$1,FALSE)*AA47</f>
        <v>0</v>
      </c>
      <c r="AW47">
        <f>VLOOKUP($AC47,'2017 Seattle Tracts'!$C$2:$Z$399,AW$1,FALSE)*AA47</f>
        <v>0.16371927974108436</v>
      </c>
      <c r="AX47">
        <f>VLOOKUP($AC47,'2017 Seattle Tracts'!$C$2:$Z$399,AX$1,FALSE)*AA47</f>
        <v>0.58166931095003138</v>
      </c>
      <c r="AY47">
        <f>VLOOKUP($AC47,'2017 Seattle Tracts'!$C$2:$Z$399,AY$1,FALSE)*AA47</f>
        <v>0.18368504556316781</v>
      </c>
      <c r="BA47" s="2" t="s">
        <v>219</v>
      </c>
      <c r="BB47">
        <v>10657.948505039894</v>
      </c>
      <c r="BC47">
        <v>8375.3686305322135</v>
      </c>
      <c r="BD47">
        <v>2282.5798745076813</v>
      </c>
      <c r="BE47">
        <v>6726.7539253162076</v>
      </c>
      <c r="BF47">
        <v>861.48722927499909</v>
      </c>
      <c r="BG47">
        <v>257.70309144833595</v>
      </c>
      <c r="BH47">
        <v>43.041033439999516</v>
      </c>
      <c r="BI47">
        <v>131.20300063973002</v>
      </c>
      <c r="BJ47">
        <v>182.07961719851315</v>
      </c>
      <c r="BK47">
        <v>16.921005860658411</v>
      </c>
      <c r="BL47">
        <v>14.962434499943768</v>
      </c>
      <c r="BM47">
        <v>524.5637359113249</v>
      </c>
      <c r="BN47">
        <v>1009.9425387024422</v>
      </c>
      <c r="BO47">
        <v>9.0430198336150749</v>
      </c>
      <c r="BP47">
        <v>0</v>
      </c>
      <c r="BQ47">
        <v>168.52112942586237</v>
      </c>
      <c r="BR47">
        <v>69.592639349813453</v>
      </c>
      <c r="BS47">
        <v>540.65972209647975</v>
      </c>
      <c r="BT47">
        <v>101.47438204197022</v>
      </c>
    </row>
    <row r="48" spans="1:72" x14ac:dyDescent="0.25">
      <c r="A48" t="s">
        <v>2917</v>
      </c>
      <c r="B48" t="s">
        <v>2918</v>
      </c>
      <c r="C48" t="s">
        <v>2957</v>
      </c>
      <c r="D48" t="s">
        <v>2878</v>
      </c>
      <c r="E48" t="s">
        <v>2879</v>
      </c>
      <c r="F48" t="s">
        <v>2880</v>
      </c>
      <c r="G48" t="s">
        <v>2920</v>
      </c>
      <c r="H48" t="s">
        <v>2921</v>
      </c>
      <c r="I48">
        <v>2509573</v>
      </c>
      <c r="J48">
        <v>2170059</v>
      </c>
      <c r="K48" t="s">
        <v>2958</v>
      </c>
      <c r="L48" t="s">
        <v>2959</v>
      </c>
      <c r="M48">
        <v>2482442</v>
      </c>
      <c r="N48">
        <v>80</v>
      </c>
      <c r="O48">
        <v>40522.184000000001</v>
      </c>
      <c r="P48" t="s">
        <v>179</v>
      </c>
      <c r="Q48">
        <v>17</v>
      </c>
      <c r="R48">
        <v>5</v>
      </c>
      <c r="S48">
        <v>95</v>
      </c>
      <c r="T48">
        <v>52620472</v>
      </c>
      <c r="U48">
        <v>82</v>
      </c>
      <c r="V48">
        <v>172</v>
      </c>
      <c r="W48">
        <v>40522.182927532267</v>
      </c>
      <c r="X48">
        <v>52620470.788550943</v>
      </c>
      <c r="Y48">
        <v>1.579</v>
      </c>
      <c r="Z48">
        <f>VLOOKUP($AC48,'2017 Seattle Tracts'!$C$2:$Z$399,24,FALSE)</f>
        <v>2482441.9679999999</v>
      </c>
      <c r="AA48">
        <f t="shared" si="1"/>
        <v>6.3606723555037806E-7</v>
      </c>
      <c r="AB48" t="s">
        <v>180</v>
      </c>
      <c r="AC48" t="str">
        <f t="shared" si="0"/>
        <v>Census Tract 101, King County, Washington</v>
      </c>
      <c r="AD48">
        <f>VLOOKUP($AC48,'2017 Seattle Tracts'!$C$2:$Z$399,AD$1,FALSE)*AA48</f>
        <v>5.1044395652917835E-3</v>
      </c>
      <c r="AE48">
        <f>VLOOKUP($AC48,'2017 Seattle Tracts'!$C$2:$Z$399,AE$1,FALSE)*AA48</f>
        <v>3.9067249607504222E-3</v>
      </c>
      <c r="AF48">
        <f>VLOOKUP($AC48,'2017 Seattle Tracts'!$C$2:$Z$399,AF$1,FALSE)*AA48</f>
        <v>1.197714604541362E-3</v>
      </c>
      <c r="AG48">
        <f>VLOOKUP($AC48,'2017 Seattle Tracts'!$C$2:$Z$399,AG$1,FALSE)*AA48</f>
        <v>5.1044395652917835E-3</v>
      </c>
      <c r="AH48">
        <f>VLOOKUP($AC48,'2017 Seattle Tracts'!$C$2:$Z$399,AH$1,FALSE)*AA48</f>
        <v>3.9067249607504222E-3</v>
      </c>
      <c r="AI48">
        <f>VLOOKUP($AC48,'2017 Seattle Tracts'!$C$2:$Z$399,AI$1,FALSE)*AA48</f>
        <v>1.197714604541362E-3</v>
      </c>
      <c r="AJ48">
        <f>VLOOKUP($AC48,'2017 Seattle Tracts'!$C$2:$Z$399,AJ$1,FALSE)*AA48</f>
        <v>1.7536373684123923E-3</v>
      </c>
      <c r="AK48">
        <f>VLOOKUP($AC48,'2017 Seattle Tracts'!$C$2:$Z$399,AK$1,FALSE)*AA48</f>
        <v>1.2721344711007562E-4</v>
      </c>
      <c r="AL48">
        <f>VLOOKUP($AC48,'2017 Seattle Tracts'!$C$2:$Z$399,AL$1,FALSE)*AA48</f>
        <v>9.668221980365746E-5</v>
      </c>
      <c r="AM48">
        <f>VLOOKUP($AC48,'2017 Seattle Tracts'!$C$2:$Z$399,AM$1,FALSE)*AA48</f>
        <v>1.4629546417658696E-5</v>
      </c>
      <c r="AN48">
        <f>VLOOKUP($AC48,'2017 Seattle Tracts'!$C$2:$Z$399,AN$1,FALSE)*AA48</f>
        <v>1.3141149086470811E-3</v>
      </c>
      <c r="AO48">
        <f>VLOOKUP($AC48,'2017 Seattle Tracts'!$C$2:$Z$399,AO$1,FALSE)*AA48</f>
        <v>2.4806622186464744E-4</v>
      </c>
      <c r="AP48">
        <f>VLOOKUP($AC48,'2017 Seattle Tracts'!$C$2:$Z$399,AP$1,FALSE)*AA48</f>
        <v>2.2898420479813609E-5</v>
      </c>
      <c r="AQ48">
        <f>VLOOKUP($AC48,'2017 Seattle Tracts'!$C$2:$Z$399,AQ$1,FALSE)*AA48</f>
        <v>0</v>
      </c>
      <c r="AR48">
        <f>VLOOKUP($AC48,'2017 Seattle Tracts'!$C$2:$Z$399,AR$1,FALSE)*AA48</f>
        <v>4.0390269457449008E-4</v>
      </c>
      <c r="AS48">
        <f>VLOOKUP($AC48,'2017 Seattle Tracts'!$C$2:$Z$399,AS$1,FALSE)*AA48</f>
        <v>6.2334589083937045E-4</v>
      </c>
      <c r="AT48">
        <f>VLOOKUP($AC48,'2017 Seattle Tracts'!$C$2:$Z$399,AT$1,FALSE)*AA48</f>
        <v>3.7527966897472307E-5</v>
      </c>
      <c r="AU48">
        <f>VLOOKUP($AC48,'2017 Seattle Tracts'!$C$2:$Z$399,AU$1,FALSE)*AA48</f>
        <v>1.8445949830960964E-5</v>
      </c>
      <c r="AV48">
        <f>VLOOKUP($AC48,'2017 Seattle Tracts'!$C$2:$Z$399,AV$1,FALSE)*AA48</f>
        <v>0</v>
      </c>
      <c r="AW48">
        <f>VLOOKUP($AC48,'2017 Seattle Tracts'!$C$2:$Z$399,AW$1,FALSE)*AA48</f>
        <v>7.8236269972696502E-5</v>
      </c>
      <c r="AX48">
        <f>VLOOKUP($AC48,'2017 Seattle Tracts'!$C$2:$Z$399,AX$1,FALSE)*AA48</f>
        <v>2.7796138193551519E-4</v>
      </c>
      <c r="AY48">
        <f>VLOOKUP($AC48,'2017 Seattle Tracts'!$C$2:$Z$399,AY$1,FALSE)*AA48</f>
        <v>8.777727850595217E-5</v>
      </c>
      <c r="BA48" s="2" t="s">
        <v>208</v>
      </c>
      <c r="BB48">
        <v>6124.6679539706647</v>
      </c>
      <c r="BC48">
        <v>5377.9823151952614</v>
      </c>
      <c r="BD48">
        <v>746.68563877540305</v>
      </c>
      <c r="BE48">
        <v>4588.8121742477251</v>
      </c>
      <c r="BF48">
        <v>262.11853125585594</v>
      </c>
      <c r="BG48">
        <v>67.296742588663534</v>
      </c>
      <c r="BH48">
        <v>49.24819601603869</v>
      </c>
      <c r="BI48">
        <v>73.948963710393599</v>
      </c>
      <c r="BJ48">
        <v>12.228427148474063</v>
      </c>
      <c r="BK48">
        <v>11.662319814774952</v>
      </c>
      <c r="BL48">
        <v>21.008679567010478</v>
      </c>
      <c r="BM48">
        <v>283.8555578816871</v>
      </c>
      <c r="BN48">
        <v>373.82471128740667</v>
      </c>
      <c r="BO48">
        <v>34.107840446716246</v>
      </c>
      <c r="BP48">
        <v>8.9487657667052523E-3</v>
      </c>
      <c r="BQ48">
        <v>17.250510295426018</v>
      </c>
      <c r="BR48">
        <v>6.8341383892365322</v>
      </c>
      <c r="BS48">
        <v>301.04820620987493</v>
      </c>
      <c r="BT48">
        <v>21.414006345613949</v>
      </c>
    </row>
    <row r="49" spans="1:72" x14ac:dyDescent="0.25">
      <c r="A49" t="s">
        <v>2917</v>
      </c>
      <c r="B49" t="s">
        <v>2918</v>
      </c>
      <c r="C49" t="s">
        <v>2957</v>
      </c>
      <c r="D49" t="s">
        <v>2878</v>
      </c>
      <c r="E49" t="s">
        <v>2879</v>
      </c>
      <c r="F49" t="s">
        <v>2880</v>
      </c>
      <c r="G49" t="s">
        <v>2920</v>
      </c>
      <c r="H49" t="s">
        <v>2921</v>
      </c>
      <c r="I49">
        <v>2509573</v>
      </c>
      <c r="J49">
        <v>2170059</v>
      </c>
      <c r="K49" t="s">
        <v>2958</v>
      </c>
      <c r="L49" t="s">
        <v>2959</v>
      </c>
      <c r="M49">
        <v>2482442</v>
      </c>
      <c r="N49">
        <v>87</v>
      </c>
      <c r="O49">
        <v>26318.982</v>
      </c>
      <c r="P49" t="s">
        <v>184</v>
      </c>
      <c r="Q49">
        <v>15</v>
      </c>
      <c r="R49">
        <v>4</v>
      </c>
      <c r="S49">
        <v>23</v>
      </c>
      <c r="T49">
        <v>28986996</v>
      </c>
      <c r="U49">
        <v>89</v>
      </c>
      <c r="V49">
        <v>170</v>
      </c>
      <c r="W49">
        <v>26318.98190548713</v>
      </c>
      <c r="X49">
        <v>28986995.234481908</v>
      </c>
      <c r="Y49">
        <v>762811.98499999999</v>
      </c>
      <c r="Z49">
        <f>VLOOKUP($AC49,'2017 Seattle Tracts'!$C$2:$Z$399,24,FALSE)</f>
        <v>2482441.9679999999</v>
      </c>
      <c r="AA49">
        <f t="shared" si="1"/>
        <v>0.30728290724740115</v>
      </c>
      <c r="AB49" t="s">
        <v>188</v>
      </c>
      <c r="AC49" t="str">
        <f t="shared" si="0"/>
        <v>Census Tract 101, King County, Washington</v>
      </c>
      <c r="AD49">
        <f>VLOOKUP($AC49,'2017 Seattle Tracts'!$C$2:$Z$399,AD$1,FALSE)*AA49</f>
        <v>2465.9453306603941</v>
      </c>
      <c r="AE49">
        <f>VLOOKUP($AC49,'2017 Seattle Tracts'!$C$2:$Z$399,AE$1,FALSE)*AA49</f>
        <v>1887.3316163135378</v>
      </c>
      <c r="AF49">
        <f>VLOOKUP($AC49,'2017 Seattle Tracts'!$C$2:$Z$399,AF$1,FALSE)*AA49</f>
        <v>578.61371434685634</v>
      </c>
      <c r="AG49">
        <f>VLOOKUP($AC49,'2017 Seattle Tracts'!$C$2:$Z$399,AG$1,FALSE)*AA49</f>
        <v>2465.9453306603941</v>
      </c>
      <c r="AH49">
        <f>VLOOKUP($AC49,'2017 Seattle Tracts'!$C$2:$Z$399,AH$1,FALSE)*AA49</f>
        <v>1887.3316163135378</v>
      </c>
      <c r="AI49">
        <f>VLOOKUP($AC49,'2017 Seattle Tracts'!$C$2:$Z$399,AI$1,FALSE)*AA49</f>
        <v>578.61371434685634</v>
      </c>
      <c r="AJ49">
        <f>VLOOKUP($AC49,'2017 Seattle Tracts'!$C$2:$Z$399,AJ$1,FALSE)*AA49</f>
        <v>847.17897528108494</v>
      </c>
      <c r="AK49">
        <f>VLOOKUP($AC49,'2017 Seattle Tracts'!$C$2:$Z$399,AK$1,FALSE)*AA49</f>
        <v>61.456581449480232</v>
      </c>
      <c r="AL49">
        <f>VLOOKUP($AC49,'2017 Seattle Tracts'!$C$2:$Z$399,AL$1,FALSE)*AA49</f>
        <v>46.707001901604976</v>
      </c>
      <c r="AM49">
        <f>VLOOKUP($AC49,'2017 Seattle Tracts'!$C$2:$Z$399,AM$1,FALSE)*AA49</f>
        <v>7.0675068666902261</v>
      </c>
      <c r="AN49">
        <f>VLOOKUP($AC49,'2017 Seattle Tracts'!$C$2:$Z$399,AN$1,FALSE)*AA49</f>
        <v>634.8464863731308</v>
      </c>
      <c r="AO49">
        <f>VLOOKUP($AC49,'2017 Seattle Tracts'!$C$2:$Z$399,AO$1,FALSE)*AA49</f>
        <v>119.84033382648644</v>
      </c>
      <c r="AP49">
        <f>VLOOKUP($AC49,'2017 Seattle Tracts'!$C$2:$Z$399,AP$1,FALSE)*AA49</f>
        <v>11.062184660906441</v>
      </c>
      <c r="AQ49">
        <f>VLOOKUP($AC49,'2017 Seattle Tracts'!$C$2:$Z$399,AQ$1,FALSE)*AA49</f>
        <v>0</v>
      </c>
      <c r="AR49">
        <f>VLOOKUP($AC49,'2017 Seattle Tracts'!$C$2:$Z$399,AR$1,FALSE)*AA49</f>
        <v>195.12464610209972</v>
      </c>
      <c r="AS49">
        <f>VLOOKUP($AC49,'2017 Seattle Tracts'!$C$2:$Z$399,AS$1,FALSE)*AA49</f>
        <v>301.13724910245315</v>
      </c>
      <c r="AT49">
        <f>VLOOKUP($AC49,'2017 Seattle Tracts'!$C$2:$Z$399,AT$1,FALSE)*AA49</f>
        <v>18.129691527596666</v>
      </c>
      <c r="AU49">
        <f>VLOOKUP($AC49,'2017 Seattle Tracts'!$C$2:$Z$399,AU$1,FALSE)*AA49</f>
        <v>8.9112043101746341</v>
      </c>
      <c r="AV49">
        <f>VLOOKUP($AC49,'2017 Seattle Tracts'!$C$2:$Z$399,AV$1,FALSE)*AA49</f>
        <v>0</v>
      </c>
      <c r="AW49">
        <f>VLOOKUP($AC49,'2017 Seattle Tracts'!$C$2:$Z$399,AW$1,FALSE)*AA49</f>
        <v>37.795797591430343</v>
      </c>
      <c r="AX49">
        <f>VLOOKUP($AC49,'2017 Seattle Tracts'!$C$2:$Z$399,AX$1,FALSE)*AA49</f>
        <v>134.2826304671143</v>
      </c>
      <c r="AY49">
        <f>VLOOKUP($AC49,'2017 Seattle Tracts'!$C$2:$Z$399,AY$1,FALSE)*AA49</f>
        <v>42.405041200141362</v>
      </c>
      <c r="BA49" s="2" t="s">
        <v>209</v>
      </c>
      <c r="BB49">
        <v>4065.4057618187658</v>
      </c>
      <c r="BC49">
        <v>3221.0934973671219</v>
      </c>
      <c r="BD49">
        <v>844.31226445164441</v>
      </c>
      <c r="BE49">
        <v>2535.4229543315269</v>
      </c>
      <c r="BF49">
        <v>192.6959078178466</v>
      </c>
      <c r="BG49">
        <v>73.442237123883771</v>
      </c>
      <c r="BH49">
        <v>43.374972942692608</v>
      </c>
      <c r="BI49">
        <v>225.78443989139319</v>
      </c>
      <c r="BJ49">
        <v>155.59678650477395</v>
      </c>
      <c r="BK49">
        <v>4.5111430033034683</v>
      </c>
      <c r="BL49">
        <v>0</v>
      </c>
      <c r="BM49">
        <v>175.87119763448857</v>
      </c>
      <c r="BN49">
        <v>390.99235643611485</v>
      </c>
      <c r="BO49">
        <v>12.045712120311174</v>
      </c>
      <c r="BP49">
        <v>6.9551506214591328</v>
      </c>
      <c r="BQ49">
        <v>31.241080405482535</v>
      </c>
      <c r="BR49">
        <v>38.697351198880114</v>
      </c>
      <c r="BS49">
        <v>162.77473285673193</v>
      </c>
      <c r="BT49">
        <v>15.999738929877216</v>
      </c>
    </row>
    <row r="50" spans="1:72" x14ac:dyDescent="0.25">
      <c r="A50" t="s">
        <v>2917</v>
      </c>
      <c r="B50" t="s">
        <v>2918</v>
      </c>
      <c r="C50" t="s">
        <v>2957</v>
      </c>
      <c r="D50" t="s">
        <v>2878</v>
      </c>
      <c r="E50" t="s">
        <v>2879</v>
      </c>
      <c r="F50" t="s">
        <v>2880</v>
      </c>
      <c r="G50" t="s">
        <v>2920</v>
      </c>
      <c r="H50" t="s">
        <v>2921</v>
      </c>
      <c r="I50">
        <v>2509573</v>
      </c>
      <c r="J50">
        <v>2170059</v>
      </c>
      <c r="K50" t="s">
        <v>2958</v>
      </c>
      <c r="L50" t="s">
        <v>2959</v>
      </c>
      <c r="M50">
        <v>2482442</v>
      </c>
      <c r="N50">
        <v>88</v>
      </c>
      <c r="O50">
        <v>35177.063000000002</v>
      </c>
      <c r="P50" t="s">
        <v>184</v>
      </c>
      <c r="Q50">
        <v>15</v>
      </c>
      <c r="R50">
        <v>4</v>
      </c>
      <c r="S50">
        <v>94</v>
      </c>
      <c r="T50">
        <v>37406576</v>
      </c>
      <c r="U50">
        <v>90</v>
      </c>
      <c r="V50">
        <v>179</v>
      </c>
      <c r="W50">
        <v>35177.060803967521</v>
      </c>
      <c r="X50">
        <v>37406576.492632188</v>
      </c>
      <c r="Y50">
        <v>980290.01699999999</v>
      </c>
      <c r="Z50">
        <f>VLOOKUP($AC50,'2017 Seattle Tracts'!$C$2:$Z$399,24,FALSE)</f>
        <v>2482441.9679999999</v>
      </c>
      <c r="AA50">
        <f t="shared" si="1"/>
        <v>0.39488939908221854</v>
      </c>
      <c r="AB50" t="s">
        <v>189</v>
      </c>
      <c r="AC50" t="str">
        <f t="shared" si="0"/>
        <v>Census Tract 101, King County, Washington</v>
      </c>
      <c r="AD50">
        <f>VLOOKUP($AC50,'2017 Seattle Tracts'!$C$2:$Z$399,AD$1,FALSE)*AA50</f>
        <v>3168.9874276348037</v>
      </c>
      <c r="AE50">
        <f>VLOOKUP($AC50,'2017 Seattle Tracts'!$C$2:$Z$399,AE$1,FALSE)*AA50</f>
        <v>2425.4106891629863</v>
      </c>
      <c r="AF50">
        <f>VLOOKUP($AC50,'2017 Seattle Tracts'!$C$2:$Z$399,AF$1,FALSE)*AA50</f>
        <v>743.57673847181752</v>
      </c>
      <c r="AG50">
        <f>VLOOKUP($AC50,'2017 Seattle Tracts'!$C$2:$Z$399,AG$1,FALSE)*AA50</f>
        <v>3168.9874276348037</v>
      </c>
      <c r="AH50">
        <f>VLOOKUP($AC50,'2017 Seattle Tracts'!$C$2:$Z$399,AH$1,FALSE)*AA50</f>
        <v>2425.4106891629863</v>
      </c>
      <c r="AI50">
        <f>VLOOKUP($AC50,'2017 Seattle Tracts'!$C$2:$Z$399,AI$1,FALSE)*AA50</f>
        <v>743.57673847181752</v>
      </c>
      <c r="AJ50">
        <f>VLOOKUP($AC50,'2017 Seattle Tracts'!$C$2:$Z$399,AJ$1,FALSE)*AA50</f>
        <v>1088.7100732696765</v>
      </c>
      <c r="AK50">
        <f>VLOOKUP($AC50,'2017 Seattle Tracts'!$C$2:$Z$399,AK$1,FALSE)*AA50</f>
        <v>78.977879816443703</v>
      </c>
      <c r="AL50">
        <f>VLOOKUP($AC50,'2017 Seattle Tracts'!$C$2:$Z$399,AL$1,FALSE)*AA50</f>
        <v>60.023188660497219</v>
      </c>
      <c r="AM50">
        <f>VLOOKUP($AC50,'2017 Seattle Tracts'!$C$2:$Z$399,AM$1,FALSE)*AA50</f>
        <v>9.082456178891027</v>
      </c>
      <c r="AN50">
        <f>VLOOKUP($AC50,'2017 Seattle Tracts'!$C$2:$Z$399,AN$1,FALSE)*AA50</f>
        <v>815.84149850386348</v>
      </c>
      <c r="AO50">
        <f>VLOOKUP($AC50,'2017 Seattle Tracts'!$C$2:$Z$399,AO$1,FALSE)*AA50</f>
        <v>154.00686564206524</v>
      </c>
      <c r="AP50">
        <f>VLOOKUP($AC50,'2017 Seattle Tracts'!$C$2:$Z$399,AP$1,FALSE)*AA50</f>
        <v>14.216018366959867</v>
      </c>
      <c r="AQ50">
        <f>VLOOKUP($AC50,'2017 Seattle Tracts'!$C$2:$Z$399,AQ$1,FALSE)*AA50</f>
        <v>0</v>
      </c>
      <c r="AR50">
        <f>VLOOKUP($AC50,'2017 Seattle Tracts'!$C$2:$Z$399,AR$1,FALSE)*AA50</f>
        <v>250.75476841720877</v>
      </c>
      <c r="AS50">
        <f>VLOOKUP($AC50,'2017 Seattle Tracts'!$C$2:$Z$399,AS$1,FALSE)*AA50</f>
        <v>386.99161110057418</v>
      </c>
      <c r="AT50">
        <f>VLOOKUP($AC50,'2017 Seattle Tracts'!$C$2:$Z$399,AT$1,FALSE)*AA50</f>
        <v>23.298474545850894</v>
      </c>
      <c r="AU50">
        <f>VLOOKUP($AC50,'2017 Seattle Tracts'!$C$2:$Z$399,AU$1,FALSE)*AA50</f>
        <v>11.451792573384338</v>
      </c>
      <c r="AV50">
        <f>VLOOKUP($AC50,'2017 Seattle Tracts'!$C$2:$Z$399,AV$1,FALSE)*AA50</f>
        <v>0</v>
      </c>
      <c r="AW50">
        <f>VLOOKUP($AC50,'2017 Seattle Tracts'!$C$2:$Z$399,AW$1,FALSE)*AA50</f>
        <v>48.57139608711288</v>
      </c>
      <c r="AX50">
        <f>VLOOKUP($AC50,'2017 Seattle Tracts'!$C$2:$Z$399,AX$1,FALSE)*AA50</f>
        <v>172.5666673989295</v>
      </c>
      <c r="AY50">
        <f>VLOOKUP($AC50,'2017 Seattle Tracts'!$C$2:$Z$399,AY$1,FALSE)*AA50</f>
        <v>54.494737073346158</v>
      </c>
      <c r="BA50" s="2" t="s">
        <v>180</v>
      </c>
      <c r="BB50">
        <v>12100.577507740791</v>
      </c>
      <c r="BC50">
        <v>6543.2150362362527</v>
      </c>
      <c r="BD50">
        <v>5557.3624715045371</v>
      </c>
      <c r="BE50">
        <v>2352.3992171396908</v>
      </c>
      <c r="BF50">
        <v>181.61347465829022</v>
      </c>
      <c r="BG50">
        <v>157.45340228261736</v>
      </c>
      <c r="BH50">
        <v>284.37491985991539</v>
      </c>
      <c r="BI50">
        <v>1427.4901001940204</v>
      </c>
      <c r="BJ50">
        <v>679.90850861235594</v>
      </c>
      <c r="BK50">
        <v>18.871280245352455</v>
      </c>
      <c r="BL50">
        <v>17.331888986182562</v>
      </c>
      <c r="BM50">
        <v>1871.3687929438609</v>
      </c>
      <c r="BN50">
        <v>4151.4451968551739</v>
      </c>
      <c r="BO50">
        <v>5.7928307545423863</v>
      </c>
      <c r="BP50">
        <v>8.914166750572992</v>
      </c>
      <c r="BQ50">
        <v>215.83190051407783</v>
      </c>
      <c r="BR50">
        <v>176.21387441945095</v>
      </c>
      <c r="BS50">
        <v>494.00751216209068</v>
      </c>
      <c r="BT50">
        <v>57.560441362594638</v>
      </c>
    </row>
    <row r="51" spans="1:72" x14ac:dyDescent="0.25">
      <c r="A51" t="s">
        <v>2917</v>
      </c>
      <c r="B51" t="s">
        <v>2918</v>
      </c>
      <c r="C51" t="s">
        <v>2957</v>
      </c>
      <c r="D51" t="s">
        <v>2878</v>
      </c>
      <c r="E51" t="s">
        <v>2879</v>
      </c>
      <c r="F51" t="s">
        <v>2880</v>
      </c>
      <c r="G51" t="s">
        <v>2920</v>
      </c>
      <c r="H51" t="s">
        <v>2921</v>
      </c>
      <c r="I51">
        <v>2509573</v>
      </c>
      <c r="J51">
        <v>2170059</v>
      </c>
      <c r="K51" t="s">
        <v>2958</v>
      </c>
      <c r="L51" t="s">
        <v>2959</v>
      </c>
      <c r="M51">
        <v>2482442</v>
      </c>
      <c r="N51">
        <v>95</v>
      </c>
      <c r="O51">
        <v>52212.785000000003</v>
      </c>
      <c r="P51" t="s">
        <v>198</v>
      </c>
      <c r="Q51">
        <v>16</v>
      </c>
      <c r="R51">
        <v>11</v>
      </c>
      <c r="S51">
        <v>95</v>
      </c>
      <c r="T51">
        <v>43835280</v>
      </c>
      <c r="U51">
        <v>97</v>
      </c>
      <c r="V51">
        <v>173</v>
      </c>
      <c r="W51">
        <v>52212.786810353093</v>
      </c>
      <c r="X51">
        <v>43835279.005916066</v>
      </c>
      <c r="Y51">
        <v>733176.38699999999</v>
      </c>
      <c r="Z51">
        <f>VLOOKUP($AC51,'2017 Seattle Tracts'!$C$2:$Z$399,24,FALSE)</f>
        <v>2482441.9679999999</v>
      </c>
      <c r="AA51">
        <f t="shared" si="1"/>
        <v>0.29534482435079423</v>
      </c>
      <c r="AB51" t="s">
        <v>197</v>
      </c>
      <c r="AC51" t="str">
        <f t="shared" si="0"/>
        <v>Census Tract 101, King County, Washington</v>
      </c>
      <c r="AD51">
        <f>VLOOKUP($AC51,'2017 Seattle Tracts'!$C$2:$Z$399,AD$1,FALSE)*AA51</f>
        <v>2370.1422154151237</v>
      </c>
      <c r="AE51">
        <f>VLOOKUP($AC51,'2017 Seattle Tracts'!$C$2:$Z$399,AE$1,FALSE)*AA51</f>
        <v>1814.0079111625782</v>
      </c>
      <c r="AF51">
        <f>VLOOKUP($AC51,'2017 Seattle Tracts'!$C$2:$Z$399,AF$1,FALSE)*AA51</f>
        <v>556.13430425254558</v>
      </c>
      <c r="AG51">
        <f>VLOOKUP($AC51,'2017 Seattle Tracts'!$C$2:$Z$399,AG$1,FALSE)*AA51</f>
        <v>2370.1422154151237</v>
      </c>
      <c r="AH51">
        <f>VLOOKUP($AC51,'2017 Seattle Tracts'!$C$2:$Z$399,AH$1,FALSE)*AA51</f>
        <v>1814.0079111625782</v>
      </c>
      <c r="AI51">
        <f>VLOOKUP($AC51,'2017 Seattle Tracts'!$C$2:$Z$399,AI$1,FALSE)*AA51</f>
        <v>556.13430425254558</v>
      </c>
      <c r="AJ51">
        <f>VLOOKUP($AC51,'2017 Seattle Tracts'!$C$2:$Z$399,AJ$1,FALSE)*AA51</f>
        <v>814.26568073513965</v>
      </c>
      <c r="AK51">
        <f>VLOOKUP($AC51,'2017 Seattle Tracts'!$C$2:$Z$399,AK$1,FALSE)*AA51</f>
        <v>59.068964870158844</v>
      </c>
      <c r="AL51">
        <f>VLOOKUP($AC51,'2017 Seattle Tracts'!$C$2:$Z$399,AL$1,FALSE)*AA51</f>
        <v>44.892413301320722</v>
      </c>
      <c r="AM51">
        <f>VLOOKUP($AC51,'2017 Seattle Tracts'!$C$2:$Z$399,AM$1,FALSE)*AA51</f>
        <v>6.7929309600682677</v>
      </c>
      <c r="AN51">
        <f>VLOOKUP($AC51,'2017 Seattle Tracts'!$C$2:$Z$399,AN$1,FALSE)*AA51</f>
        <v>610.1824071087409</v>
      </c>
      <c r="AO51">
        <f>VLOOKUP($AC51,'2017 Seattle Tracts'!$C$2:$Z$399,AO$1,FALSE)*AA51</f>
        <v>115.18448149680975</v>
      </c>
      <c r="AP51">
        <f>VLOOKUP($AC51,'2017 Seattle Tracts'!$C$2:$Z$399,AP$1,FALSE)*AA51</f>
        <v>10.632413676628593</v>
      </c>
      <c r="AQ51">
        <f>VLOOKUP($AC51,'2017 Seattle Tracts'!$C$2:$Z$399,AQ$1,FALSE)*AA51</f>
        <v>0</v>
      </c>
      <c r="AR51">
        <f>VLOOKUP($AC51,'2017 Seattle Tracts'!$C$2:$Z$399,AR$1,FALSE)*AA51</f>
        <v>187.54396346275433</v>
      </c>
      <c r="AS51">
        <f>VLOOKUP($AC51,'2017 Seattle Tracts'!$C$2:$Z$399,AS$1,FALSE)*AA51</f>
        <v>289.43792786377833</v>
      </c>
      <c r="AT51">
        <f>VLOOKUP($AC51,'2017 Seattle Tracts'!$C$2:$Z$399,AT$1,FALSE)*AA51</f>
        <v>17.42534463669686</v>
      </c>
      <c r="AU51">
        <f>VLOOKUP($AC51,'2017 Seattle Tracts'!$C$2:$Z$399,AU$1,FALSE)*AA51</f>
        <v>8.564999906173032</v>
      </c>
      <c r="AV51">
        <f>VLOOKUP($AC51,'2017 Seattle Tracts'!$C$2:$Z$399,AV$1,FALSE)*AA51</f>
        <v>0</v>
      </c>
      <c r="AW51">
        <f>VLOOKUP($AC51,'2017 Seattle Tracts'!$C$2:$Z$399,AW$1,FALSE)*AA51</f>
        <v>36.327413395147694</v>
      </c>
      <c r="AX51">
        <f>VLOOKUP($AC51,'2017 Seattle Tracts'!$C$2:$Z$399,AX$1,FALSE)*AA51</f>
        <v>129.06568824129707</v>
      </c>
      <c r="AY51">
        <f>VLOOKUP($AC51,'2017 Seattle Tracts'!$C$2:$Z$399,AY$1,FALSE)*AA51</f>
        <v>40.757585760409604</v>
      </c>
      <c r="BA51" s="2" t="s">
        <v>151</v>
      </c>
      <c r="BB51">
        <v>12650.811326814057</v>
      </c>
      <c r="BC51">
        <v>10192.845669424078</v>
      </c>
      <c r="BD51">
        <v>2457.965657389982</v>
      </c>
      <c r="BE51">
        <v>7104.3777287332978</v>
      </c>
      <c r="BF51">
        <v>757.00522622224878</v>
      </c>
      <c r="BG51">
        <v>208.67307347469276</v>
      </c>
      <c r="BH51">
        <v>173.09173054404692</v>
      </c>
      <c r="BI51">
        <v>1250.9231218426501</v>
      </c>
      <c r="BJ51">
        <v>409.52555512326774</v>
      </c>
      <c r="BK51">
        <v>82.678274377655981</v>
      </c>
      <c r="BL51">
        <v>0</v>
      </c>
      <c r="BM51">
        <v>642.91171493429943</v>
      </c>
      <c r="BN51">
        <v>699.58525263085482</v>
      </c>
      <c r="BO51">
        <v>22.542720748612364</v>
      </c>
      <c r="BP51">
        <v>0.79857671965148713</v>
      </c>
      <c r="BQ51">
        <v>139.52889901808058</v>
      </c>
      <c r="BR51">
        <v>308.56714825883699</v>
      </c>
      <c r="BS51">
        <v>741.21013629478819</v>
      </c>
      <c r="BT51">
        <v>109.39216789107579</v>
      </c>
    </row>
    <row r="52" spans="1:72" x14ac:dyDescent="0.25">
      <c r="A52" t="s">
        <v>2917</v>
      </c>
      <c r="B52" t="s">
        <v>2918</v>
      </c>
      <c r="C52" t="s">
        <v>2960</v>
      </c>
      <c r="D52" t="s">
        <v>2875</v>
      </c>
      <c r="E52" t="s">
        <v>2876</v>
      </c>
      <c r="F52" t="s">
        <v>2877</v>
      </c>
      <c r="G52" t="s">
        <v>2920</v>
      </c>
      <c r="H52" t="s">
        <v>2921</v>
      </c>
      <c r="I52">
        <v>2783290</v>
      </c>
      <c r="J52">
        <v>2076608</v>
      </c>
      <c r="K52" t="s">
        <v>2961</v>
      </c>
      <c r="L52" t="s">
        <v>2962</v>
      </c>
      <c r="M52">
        <v>2749745</v>
      </c>
      <c r="N52">
        <v>83</v>
      </c>
      <c r="O52">
        <v>18911.330000000002</v>
      </c>
      <c r="P52" t="s">
        <v>184</v>
      </c>
      <c r="Q52">
        <v>15</v>
      </c>
      <c r="R52">
        <v>4</v>
      </c>
      <c r="S52">
        <v>19</v>
      </c>
      <c r="T52">
        <v>18366938</v>
      </c>
      <c r="U52">
        <v>85</v>
      </c>
      <c r="V52">
        <v>185</v>
      </c>
      <c r="W52">
        <v>18911.329349083731</v>
      </c>
      <c r="X52">
        <v>18366938.27518687</v>
      </c>
      <c r="Y52">
        <v>4.3529999999999998</v>
      </c>
      <c r="Z52">
        <f>VLOOKUP($AC52,'2017 Seattle Tracts'!$C$2:$Z$399,24,FALSE)</f>
        <v>2749745.4610000001</v>
      </c>
      <c r="AA52">
        <f t="shared" si="1"/>
        <v>1.5830556179614328E-6</v>
      </c>
      <c r="AB52" t="s">
        <v>183</v>
      </c>
      <c r="AC52" t="str">
        <f t="shared" si="0"/>
        <v>Census Tract 102, King County, Washington</v>
      </c>
      <c r="AD52">
        <f>VLOOKUP($AC52,'2017 Seattle Tracts'!$C$2:$Z$399,AD$1,FALSE)*AA52</f>
        <v>7.234564174083748E-3</v>
      </c>
      <c r="AE52">
        <f>VLOOKUP($AC52,'2017 Seattle Tracts'!$C$2:$Z$399,AE$1,FALSE)*AA52</f>
        <v>6.0045299589277148E-3</v>
      </c>
      <c r="AF52">
        <f>VLOOKUP($AC52,'2017 Seattle Tracts'!$C$2:$Z$399,AF$1,FALSE)*AA52</f>
        <v>1.2300342151560333E-3</v>
      </c>
      <c r="AG52">
        <f>VLOOKUP($AC52,'2017 Seattle Tracts'!$C$2:$Z$399,AG$1,FALSE)*AA52</f>
        <v>7.234564174083748E-3</v>
      </c>
      <c r="AH52">
        <f>VLOOKUP($AC52,'2017 Seattle Tracts'!$C$2:$Z$399,AH$1,FALSE)*AA52</f>
        <v>6.0045299589277148E-3</v>
      </c>
      <c r="AI52">
        <f>VLOOKUP($AC52,'2017 Seattle Tracts'!$C$2:$Z$399,AI$1,FALSE)*AA52</f>
        <v>1.2300342151560333E-3</v>
      </c>
      <c r="AJ52">
        <f>VLOOKUP($AC52,'2017 Seattle Tracts'!$C$2:$Z$399,AJ$1,FALSE)*AA52</f>
        <v>4.1982634988337198E-3</v>
      </c>
      <c r="AK52">
        <f>VLOOKUP($AC52,'2017 Seattle Tracts'!$C$2:$Z$399,AK$1,FALSE)*AA52</f>
        <v>3.3560779100782372E-4</v>
      </c>
      <c r="AL52">
        <f>VLOOKUP($AC52,'2017 Seattle Tracts'!$C$2:$Z$399,AL$1,FALSE)*AA52</f>
        <v>7.2820558426225912E-5</v>
      </c>
      <c r="AM52">
        <f>VLOOKUP($AC52,'2017 Seattle Tracts'!$C$2:$Z$399,AM$1,FALSE)*AA52</f>
        <v>8.073583651603307E-5</v>
      </c>
      <c r="AN52">
        <f>VLOOKUP($AC52,'2017 Seattle Tracts'!$C$2:$Z$399,AN$1,FALSE)*AA52</f>
        <v>7.2187336179041332E-4</v>
      </c>
      <c r="AO52">
        <f>VLOOKUP($AC52,'2017 Seattle Tracts'!$C$2:$Z$399,AO$1,FALSE)*AA52</f>
        <v>7.9152780898071633E-5</v>
      </c>
      <c r="AP52">
        <f>VLOOKUP($AC52,'2017 Seattle Tracts'!$C$2:$Z$399,AP$1,FALSE)*AA52</f>
        <v>7.9152780898071647E-6</v>
      </c>
      <c r="AQ52">
        <f>VLOOKUP($AC52,'2017 Seattle Tracts'!$C$2:$Z$399,AQ$1,FALSE)*AA52</f>
        <v>0</v>
      </c>
      <c r="AR52">
        <f>VLOOKUP($AC52,'2017 Seattle Tracts'!$C$2:$Z$399,AR$1,FALSE)*AA52</f>
        <v>6.4588669212826456E-4</v>
      </c>
      <c r="AS52">
        <f>VLOOKUP($AC52,'2017 Seattle Tracts'!$C$2:$Z$399,AS$1,FALSE)*AA52</f>
        <v>6.7279863763360895E-4</v>
      </c>
      <c r="AT52">
        <f>VLOOKUP($AC52,'2017 Seattle Tracts'!$C$2:$Z$399,AT$1,FALSE)*AA52</f>
        <v>0</v>
      </c>
      <c r="AU52">
        <f>VLOOKUP($AC52,'2017 Seattle Tracts'!$C$2:$Z$399,AU$1,FALSE)*AA52</f>
        <v>0</v>
      </c>
      <c r="AV52">
        <f>VLOOKUP($AC52,'2017 Seattle Tracts'!$C$2:$Z$399,AV$1,FALSE)*AA52</f>
        <v>8.2318892133994507E-5</v>
      </c>
      <c r="AW52">
        <f>VLOOKUP($AC52,'2017 Seattle Tracts'!$C$2:$Z$399,AW$1,FALSE)*AA52</f>
        <v>3.1661112359228659E-5</v>
      </c>
      <c r="AX52">
        <f>VLOOKUP($AC52,'2017 Seattle Tracts'!$C$2:$Z$399,AX$1,FALSE)*AA52</f>
        <v>2.7545167752528931E-4</v>
      </c>
      <c r="AY52">
        <f>VLOOKUP($AC52,'2017 Seattle Tracts'!$C$2:$Z$399,AY$1,FALSE)*AA52</f>
        <v>3.0078056741267222E-5</v>
      </c>
      <c r="BA52" s="2" t="s">
        <v>202</v>
      </c>
      <c r="BB52">
        <v>4466.9634828777916</v>
      </c>
      <c r="BC52">
        <v>3946.663286667505</v>
      </c>
      <c r="BD52">
        <v>520.30019621028691</v>
      </c>
      <c r="BE52">
        <v>3358.4104688674206</v>
      </c>
      <c r="BF52">
        <v>286.6895143700055</v>
      </c>
      <c r="BG52">
        <v>128.544769015284</v>
      </c>
      <c r="BH52">
        <v>29.215437189260651</v>
      </c>
      <c r="BI52">
        <v>32.858590431947064</v>
      </c>
      <c r="BJ52">
        <v>8.7042147464102353</v>
      </c>
      <c r="BK52">
        <v>4.3055053745995391</v>
      </c>
      <c r="BL52">
        <v>0</v>
      </c>
      <c r="BM52">
        <v>176.62180828157662</v>
      </c>
      <c r="BN52">
        <v>158.45771717017135</v>
      </c>
      <c r="BO52">
        <v>2.6269710010921652</v>
      </c>
      <c r="BP52">
        <v>10.465335572604996</v>
      </c>
      <c r="BQ52">
        <v>43.556357038812017</v>
      </c>
      <c r="BR52">
        <v>10.045157250499852</v>
      </c>
      <c r="BS52">
        <v>199.73881665677268</v>
      </c>
      <c r="BT52">
        <v>16.722819911334323</v>
      </c>
    </row>
    <row r="53" spans="1:72" x14ac:dyDescent="0.25">
      <c r="A53" t="s">
        <v>2917</v>
      </c>
      <c r="B53" t="s">
        <v>2918</v>
      </c>
      <c r="C53" t="s">
        <v>2960</v>
      </c>
      <c r="D53" t="s">
        <v>2875</v>
      </c>
      <c r="E53" t="s">
        <v>2876</v>
      </c>
      <c r="F53" t="s">
        <v>2877</v>
      </c>
      <c r="G53" t="s">
        <v>2920</v>
      </c>
      <c r="H53" t="s">
        <v>2921</v>
      </c>
      <c r="I53">
        <v>2783290</v>
      </c>
      <c r="J53">
        <v>2076608</v>
      </c>
      <c r="K53" t="s">
        <v>2961</v>
      </c>
      <c r="L53" t="s">
        <v>2962</v>
      </c>
      <c r="M53">
        <v>2749745</v>
      </c>
      <c r="N53">
        <v>88</v>
      </c>
      <c r="O53">
        <v>35177.063000000002</v>
      </c>
      <c r="P53" t="s">
        <v>184</v>
      </c>
      <c r="Q53">
        <v>15</v>
      </c>
      <c r="R53">
        <v>4</v>
      </c>
      <c r="S53">
        <v>94</v>
      </c>
      <c r="T53">
        <v>37406576</v>
      </c>
      <c r="U53">
        <v>90</v>
      </c>
      <c r="V53">
        <v>179</v>
      </c>
      <c r="W53">
        <v>35177.060803967521</v>
      </c>
      <c r="X53">
        <v>37406576.492632188</v>
      </c>
      <c r="Y53">
        <v>283214.63099999999</v>
      </c>
      <c r="Z53">
        <f>VLOOKUP($AC53,'2017 Seattle Tracts'!$C$2:$Z$399,24,FALSE)</f>
        <v>2749745.4610000001</v>
      </c>
      <c r="AA53">
        <f t="shared" si="1"/>
        <v>0.10299667187995042</v>
      </c>
      <c r="AB53" t="s">
        <v>189</v>
      </c>
      <c r="AC53" t="str">
        <f t="shared" si="0"/>
        <v>Census Tract 102, King County, Washington</v>
      </c>
      <c r="AD53">
        <f>VLOOKUP($AC53,'2017 Seattle Tracts'!$C$2:$Z$399,AD$1,FALSE)*AA53</f>
        <v>470.6947904913734</v>
      </c>
      <c r="AE53">
        <f>VLOOKUP($AC53,'2017 Seattle Tracts'!$C$2:$Z$399,AE$1,FALSE)*AA53</f>
        <v>390.6663764406519</v>
      </c>
      <c r="AF53">
        <f>VLOOKUP($AC53,'2017 Seattle Tracts'!$C$2:$Z$399,AF$1,FALSE)*AA53</f>
        <v>80.02841405072148</v>
      </c>
      <c r="AG53">
        <f>VLOOKUP($AC53,'2017 Seattle Tracts'!$C$2:$Z$399,AG$1,FALSE)*AA53</f>
        <v>470.6947904913734</v>
      </c>
      <c r="AH53">
        <f>VLOOKUP($AC53,'2017 Seattle Tracts'!$C$2:$Z$399,AH$1,FALSE)*AA53</f>
        <v>390.6663764406519</v>
      </c>
      <c r="AI53">
        <f>VLOOKUP($AC53,'2017 Seattle Tracts'!$C$2:$Z$399,AI$1,FALSE)*AA53</f>
        <v>80.02841405072148</v>
      </c>
      <c r="AJ53">
        <f>VLOOKUP($AC53,'2017 Seattle Tracts'!$C$2:$Z$399,AJ$1,FALSE)*AA53</f>
        <v>273.1471738256285</v>
      </c>
      <c r="AK53">
        <f>VLOOKUP($AC53,'2017 Seattle Tracts'!$C$2:$Z$399,AK$1,FALSE)*AA53</f>
        <v>21.835294438549489</v>
      </c>
      <c r="AL53">
        <f>VLOOKUP($AC53,'2017 Seattle Tracts'!$C$2:$Z$399,AL$1,FALSE)*AA53</f>
        <v>4.7378469064777189</v>
      </c>
      <c r="AM53">
        <f>VLOOKUP($AC53,'2017 Seattle Tracts'!$C$2:$Z$399,AM$1,FALSE)*AA53</f>
        <v>5.2528302658774715</v>
      </c>
      <c r="AN53">
        <f>VLOOKUP($AC53,'2017 Seattle Tracts'!$C$2:$Z$399,AN$1,FALSE)*AA53</f>
        <v>46.966482377257392</v>
      </c>
      <c r="AO53">
        <f>VLOOKUP($AC53,'2017 Seattle Tracts'!$C$2:$Z$399,AO$1,FALSE)*AA53</f>
        <v>5.1498335939975206</v>
      </c>
      <c r="AP53">
        <f>VLOOKUP($AC53,'2017 Seattle Tracts'!$C$2:$Z$399,AP$1,FALSE)*AA53</f>
        <v>0.51498335939975204</v>
      </c>
      <c r="AQ53">
        <f>VLOOKUP($AC53,'2017 Seattle Tracts'!$C$2:$Z$399,AQ$1,FALSE)*AA53</f>
        <v>0</v>
      </c>
      <c r="AR53">
        <f>VLOOKUP($AC53,'2017 Seattle Tracts'!$C$2:$Z$399,AR$1,FALSE)*AA53</f>
        <v>42.022642127019772</v>
      </c>
      <c r="AS53">
        <f>VLOOKUP($AC53,'2017 Seattle Tracts'!$C$2:$Z$399,AS$1,FALSE)*AA53</f>
        <v>43.773585548978929</v>
      </c>
      <c r="AT53">
        <f>VLOOKUP($AC53,'2017 Seattle Tracts'!$C$2:$Z$399,AT$1,FALSE)*AA53</f>
        <v>0</v>
      </c>
      <c r="AU53">
        <f>VLOOKUP($AC53,'2017 Seattle Tracts'!$C$2:$Z$399,AU$1,FALSE)*AA53</f>
        <v>0</v>
      </c>
      <c r="AV53">
        <f>VLOOKUP($AC53,'2017 Seattle Tracts'!$C$2:$Z$399,AV$1,FALSE)*AA53</f>
        <v>5.3558269377574215</v>
      </c>
      <c r="AW53">
        <f>VLOOKUP($AC53,'2017 Seattle Tracts'!$C$2:$Z$399,AW$1,FALSE)*AA53</f>
        <v>2.0599334375990082</v>
      </c>
      <c r="AX53">
        <f>VLOOKUP($AC53,'2017 Seattle Tracts'!$C$2:$Z$399,AX$1,FALSE)*AA53</f>
        <v>17.921420907111372</v>
      </c>
      <c r="AY53">
        <f>VLOOKUP($AC53,'2017 Seattle Tracts'!$C$2:$Z$399,AY$1,FALSE)*AA53</f>
        <v>1.9569367657190579</v>
      </c>
      <c r="BA53" s="2" t="s">
        <v>188</v>
      </c>
      <c r="BB53">
        <v>7470.3338606396774</v>
      </c>
      <c r="BC53">
        <v>6163.8066543055102</v>
      </c>
      <c r="BD53">
        <v>1306.5272063341681</v>
      </c>
      <c r="BE53">
        <v>3858.4708747538853</v>
      </c>
      <c r="BF53">
        <v>229.43705792552038</v>
      </c>
      <c r="BG53">
        <v>101.18932385710863</v>
      </c>
      <c r="BH53">
        <v>41.872352365851192</v>
      </c>
      <c r="BI53">
        <v>1406.6337976438376</v>
      </c>
      <c r="BJ53">
        <v>245.47034150983364</v>
      </c>
      <c r="BK53">
        <v>20.141060739961407</v>
      </c>
      <c r="BL53">
        <v>5.2998197631781265E-3</v>
      </c>
      <c r="BM53">
        <v>376.74080057989374</v>
      </c>
      <c r="BN53">
        <v>576.54869829715426</v>
      </c>
      <c r="BO53">
        <v>18.129691527596666</v>
      </c>
      <c r="BP53">
        <v>8.9112043101746341</v>
      </c>
      <c r="BQ53">
        <v>43.879119103158438</v>
      </c>
      <c r="BR53">
        <v>54.439962084717521</v>
      </c>
      <c r="BS53">
        <v>338.62198610006772</v>
      </c>
      <c r="BT53">
        <v>149.84229002115342</v>
      </c>
    </row>
    <row r="54" spans="1:72" x14ac:dyDescent="0.25">
      <c r="A54" t="s">
        <v>2917</v>
      </c>
      <c r="B54" t="s">
        <v>2918</v>
      </c>
      <c r="C54" t="s">
        <v>2960</v>
      </c>
      <c r="D54" t="s">
        <v>2875</v>
      </c>
      <c r="E54" t="s">
        <v>2876</v>
      </c>
      <c r="F54" t="s">
        <v>2877</v>
      </c>
      <c r="G54" t="s">
        <v>2920</v>
      </c>
      <c r="H54" t="s">
        <v>2921</v>
      </c>
      <c r="I54">
        <v>2783290</v>
      </c>
      <c r="J54">
        <v>2076608</v>
      </c>
      <c r="K54" t="s">
        <v>2961</v>
      </c>
      <c r="L54" t="s">
        <v>2962</v>
      </c>
      <c r="M54">
        <v>2749745</v>
      </c>
      <c r="N54">
        <v>95</v>
      </c>
      <c r="O54">
        <v>52212.785000000003</v>
      </c>
      <c r="P54" t="s">
        <v>198</v>
      </c>
      <c r="Q54">
        <v>16</v>
      </c>
      <c r="R54">
        <v>11</v>
      </c>
      <c r="S54">
        <v>95</v>
      </c>
      <c r="T54">
        <v>43835280</v>
      </c>
      <c r="U54">
        <v>97</v>
      </c>
      <c r="V54">
        <v>173</v>
      </c>
      <c r="W54">
        <v>52212.786810353093</v>
      </c>
      <c r="X54">
        <v>43835279.005916066</v>
      </c>
      <c r="Y54">
        <v>2455654.997</v>
      </c>
      <c r="Z54">
        <f>VLOOKUP($AC54,'2017 Seattle Tracts'!$C$2:$Z$399,24,FALSE)</f>
        <v>2749745.4610000001</v>
      </c>
      <c r="AA54">
        <f t="shared" si="1"/>
        <v>0.89304811366320125</v>
      </c>
      <c r="AB54" t="s">
        <v>197</v>
      </c>
      <c r="AC54" t="str">
        <f t="shared" si="0"/>
        <v>Census Tract 102, King County, Washington</v>
      </c>
      <c r="AD54">
        <f>VLOOKUP($AC54,'2017 Seattle Tracts'!$C$2:$Z$399,AD$1,FALSE)*AA54</f>
        <v>4081.2298794408298</v>
      </c>
      <c r="AE54">
        <f>VLOOKUP($AC54,'2017 Seattle Tracts'!$C$2:$Z$399,AE$1,FALSE)*AA54</f>
        <v>3387.3314951245225</v>
      </c>
      <c r="AF54">
        <f>VLOOKUP($AC54,'2017 Seattle Tracts'!$C$2:$Z$399,AF$1,FALSE)*AA54</f>
        <v>693.89838431630733</v>
      </c>
      <c r="AG54">
        <f>VLOOKUP($AC54,'2017 Seattle Tracts'!$C$2:$Z$399,AG$1,FALSE)*AA54</f>
        <v>4081.2298794408298</v>
      </c>
      <c r="AH54">
        <f>VLOOKUP($AC54,'2017 Seattle Tracts'!$C$2:$Z$399,AH$1,FALSE)*AA54</f>
        <v>3387.3314951245225</v>
      </c>
      <c r="AI54">
        <f>VLOOKUP($AC54,'2017 Seattle Tracts'!$C$2:$Z$399,AI$1,FALSE)*AA54</f>
        <v>693.89838431630733</v>
      </c>
      <c r="AJ54">
        <f>VLOOKUP($AC54,'2017 Seattle Tracts'!$C$2:$Z$399,AJ$1,FALSE)*AA54</f>
        <v>2368.3635974348099</v>
      </c>
      <c r="AK54">
        <f>VLOOKUP($AC54,'2017 Seattle Tracts'!$C$2:$Z$399,AK$1,FALSE)*AA54</f>
        <v>189.32620009659865</v>
      </c>
      <c r="AL54">
        <f>VLOOKUP($AC54,'2017 Seattle Tracts'!$C$2:$Z$399,AL$1,FALSE)*AA54</f>
        <v>41.080213228507255</v>
      </c>
      <c r="AM54">
        <f>VLOOKUP($AC54,'2017 Seattle Tracts'!$C$2:$Z$399,AM$1,FALSE)*AA54</f>
        <v>45.545453796823267</v>
      </c>
      <c r="AN54">
        <f>VLOOKUP($AC54,'2017 Seattle Tracts'!$C$2:$Z$399,AN$1,FALSE)*AA54</f>
        <v>407.22993983041977</v>
      </c>
      <c r="AO54">
        <f>VLOOKUP($AC54,'2017 Seattle Tracts'!$C$2:$Z$399,AO$1,FALSE)*AA54</f>
        <v>44.652405683160062</v>
      </c>
      <c r="AP54">
        <f>VLOOKUP($AC54,'2017 Seattle Tracts'!$C$2:$Z$399,AP$1,FALSE)*AA54</f>
        <v>4.4652405683160064</v>
      </c>
      <c r="AQ54">
        <f>VLOOKUP($AC54,'2017 Seattle Tracts'!$C$2:$Z$399,AQ$1,FALSE)*AA54</f>
        <v>0</v>
      </c>
      <c r="AR54">
        <f>VLOOKUP($AC54,'2017 Seattle Tracts'!$C$2:$Z$399,AR$1,FALSE)*AA54</f>
        <v>364.36363037458614</v>
      </c>
      <c r="AS54">
        <f>VLOOKUP($AC54,'2017 Seattle Tracts'!$C$2:$Z$399,AS$1,FALSE)*AA54</f>
        <v>379.54544830686052</v>
      </c>
      <c r="AT54">
        <f>VLOOKUP($AC54,'2017 Seattle Tracts'!$C$2:$Z$399,AT$1,FALSE)*AA54</f>
        <v>0</v>
      </c>
      <c r="AU54">
        <f>VLOOKUP($AC54,'2017 Seattle Tracts'!$C$2:$Z$399,AU$1,FALSE)*AA54</f>
        <v>0</v>
      </c>
      <c r="AV54">
        <f>VLOOKUP($AC54,'2017 Seattle Tracts'!$C$2:$Z$399,AV$1,FALSE)*AA54</f>
        <v>46.438501910486465</v>
      </c>
      <c r="AW54">
        <f>VLOOKUP($AC54,'2017 Seattle Tracts'!$C$2:$Z$399,AW$1,FALSE)*AA54</f>
        <v>17.860962273264025</v>
      </c>
      <c r="AX54">
        <f>VLOOKUP($AC54,'2017 Seattle Tracts'!$C$2:$Z$399,AX$1,FALSE)*AA54</f>
        <v>155.39037177739701</v>
      </c>
      <c r="AY54">
        <f>VLOOKUP($AC54,'2017 Seattle Tracts'!$C$2:$Z$399,AY$1,FALSE)*AA54</f>
        <v>16.967914159600824</v>
      </c>
      <c r="BA54" s="2" t="s">
        <v>174</v>
      </c>
      <c r="BB54">
        <v>12858.101092345065</v>
      </c>
      <c r="BC54">
        <v>11516.753523837062</v>
      </c>
      <c r="BD54">
        <v>1341.3475685080025</v>
      </c>
      <c r="BE54">
        <v>10038.341717133339</v>
      </c>
      <c r="BF54">
        <v>622.22523510733458</v>
      </c>
      <c r="BG54">
        <v>332.32619334030107</v>
      </c>
      <c r="BH54">
        <v>23.507708031137991</v>
      </c>
      <c r="BI54">
        <v>55.190919520650823</v>
      </c>
      <c r="BJ54">
        <v>48.934888788506164</v>
      </c>
      <c r="BK54">
        <v>17.793826823651301</v>
      </c>
      <c r="BL54">
        <v>0</v>
      </c>
      <c r="BM54">
        <v>231.71213665387805</v>
      </c>
      <c r="BN54">
        <v>525.74461147623651</v>
      </c>
      <c r="BO54">
        <v>0</v>
      </c>
      <c r="BP54">
        <v>0</v>
      </c>
      <c r="BQ54">
        <v>102.76175891873618</v>
      </c>
      <c r="BR54">
        <v>57.540640665818032</v>
      </c>
      <c r="BS54">
        <v>738.62697144650735</v>
      </c>
      <c r="BT54">
        <v>63.39448443896918</v>
      </c>
    </row>
    <row r="55" spans="1:72" x14ac:dyDescent="0.25">
      <c r="A55" t="s">
        <v>2917</v>
      </c>
      <c r="B55" t="s">
        <v>2918</v>
      </c>
      <c r="C55" t="s">
        <v>2963</v>
      </c>
      <c r="D55" t="s">
        <v>2872</v>
      </c>
      <c r="E55" t="s">
        <v>2873</v>
      </c>
      <c r="F55" t="s">
        <v>2874</v>
      </c>
      <c r="G55" t="s">
        <v>2920</v>
      </c>
      <c r="H55" t="s">
        <v>2921</v>
      </c>
      <c r="I55">
        <v>1660254</v>
      </c>
      <c r="J55">
        <v>0</v>
      </c>
      <c r="K55" t="s">
        <v>2964</v>
      </c>
      <c r="L55" t="s">
        <v>2965</v>
      </c>
      <c r="M55">
        <v>1660252</v>
      </c>
      <c r="N55">
        <v>80</v>
      </c>
      <c r="O55">
        <v>40522.184000000001</v>
      </c>
      <c r="P55" t="s">
        <v>179</v>
      </c>
      <c r="Q55">
        <v>17</v>
      </c>
      <c r="R55">
        <v>5</v>
      </c>
      <c r="S55">
        <v>95</v>
      </c>
      <c r="T55">
        <v>52620472</v>
      </c>
      <c r="U55">
        <v>82</v>
      </c>
      <c r="V55">
        <v>172</v>
      </c>
      <c r="W55">
        <v>40522.182927532267</v>
      </c>
      <c r="X55">
        <v>52620470.788550943</v>
      </c>
      <c r="Y55">
        <v>1292.701</v>
      </c>
      <c r="Z55">
        <f>VLOOKUP($AC55,'2017 Seattle Tracts'!$C$2:$Z$399,24,FALSE)</f>
        <v>1660252.4010000001</v>
      </c>
      <c r="AA55">
        <f t="shared" si="1"/>
        <v>7.7861715436844587E-4</v>
      </c>
      <c r="AB55" t="s">
        <v>180</v>
      </c>
      <c r="AC55" t="str">
        <f t="shared" si="0"/>
        <v>Census Tract 103, King County, Washington</v>
      </c>
      <c r="AD55">
        <f>VLOOKUP($AC55,'2017 Seattle Tracts'!$C$2:$Z$399,AD$1,FALSE)*AA55</f>
        <v>5.5157239215460709</v>
      </c>
      <c r="AE55">
        <f>VLOOKUP($AC55,'2017 Seattle Tracts'!$C$2:$Z$399,AE$1,FALSE)*AA55</f>
        <v>3.8743989601373867</v>
      </c>
      <c r="AF55">
        <f>VLOOKUP($AC55,'2017 Seattle Tracts'!$C$2:$Z$399,AF$1,FALSE)*AA55</f>
        <v>1.641324961408684</v>
      </c>
      <c r="AG55">
        <f>VLOOKUP($AC55,'2017 Seattle Tracts'!$C$2:$Z$399,AG$1,FALSE)*AA55</f>
        <v>5.5157239215460709</v>
      </c>
      <c r="AH55">
        <f>VLOOKUP($AC55,'2017 Seattle Tracts'!$C$2:$Z$399,AH$1,FALSE)*AA55</f>
        <v>3.8743989601373867</v>
      </c>
      <c r="AI55">
        <f>VLOOKUP($AC55,'2017 Seattle Tracts'!$C$2:$Z$399,AI$1,FALSE)*AA55</f>
        <v>1.641324961408684</v>
      </c>
      <c r="AJ55">
        <f>VLOOKUP($AC55,'2017 Seattle Tracts'!$C$2:$Z$399,AJ$1,FALSE)*AA55</f>
        <v>2.0680071620025924</v>
      </c>
      <c r="AK55">
        <f>VLOOKUP($AC55,'2017 Seattle Tracts'!$C$2:$Z$399,AK$1,FALSE)*AA55</f>
        <v>9.6548527141687282E-2</v>
      </c>
      <c r="AL55">
        <f>VLOOKUP($AC55,'2017 Seattle Tracts'!$C$2:$Z$399,AL$1,FALSE)*AA55</f>
        <v>0.10978501876595087</v>
      </c>
      <c r="AM55">
        <f>VLOOKUP($AC55,'2017 Seattle Tracts'!$C$2:$Z$399,AM$1,FALSE)*AA55</f>
        <v>0.12535736185331978</v>
      </c>
      <c r="AN55">
        <f>VLOOKUP($AC55,'2017 Seattle Tracts'!$C$2:$Z$399,AN$1,FALSE)*AA55</f>
        <v>1.0503545412430335</v>
      </c>
      <c r="AO55">
        <f>VLOOKUP($AC55,'2017 Seattle Tracts'!$C$2:$Z$399,AO$1,FALSE)*AA55</f>
        <v>0.59252765447438727</v>
      </c>
      <c r="AP55">
        <f>VLOOKUP($AC55,'2017 Seattle Tracts'!$C$2:$Z$399,AP$1,FALSE)*AA55</f>
        <v>3.5816389100948511E-2</v>
      </c>
      <c r="AQ55">
        <f>VLOOKUP($AC55,'2017 Seattle Tracts'!$C$2:$Z$399,AQ$1,FALSE)*AA55</f>
        <v>1.0900640161158243E-2</v>
      </c>
      <c r="AR55">
        <f>VLOOKUP($AC55,'2017 Seattle Tracts'!$C$2:$Z$399,AR$1,FALSE)*AA55</f>
        <v>0.30288207304932546</v>
      </c>
      <c r="AS55">
        <f>VLOOKUP($AC55,'2017 Seattle Tracts'!$C$2:$Z$399,AS$1,FALSE)*AA55</f>
        <v>0.80509013761697301</v>
      </c>
      <c r="AT55">
        <f>VLOOKUP($AC55,'2017 Seattle Tracts'!$C$2:$Z$399,AT$1,FALSE)*AA55</f>
        <v>0</v>
      </c>
      <c r="AU55">
        <f>VLOOKUP($AC55,'2017 Seattle Tracts'!$C$2:$Z$399,AU$1,FALSE)*AA55</f>
        <v>0</v>
      </c>
      <c r="AV55">
        <f>VLOOKUP($AC55,'2017 Seattle Tracts'!$C$2:$Z$399,AV$1,FALSE)*AA55</f>
        <v>0</v>
      </c>
      <c r="AW55">
        <f>VLOOKUP($AC55,'2017 Seattle Tracts'!$C$2:$Z$399,AW$1,FALSE)*AA55</f>
        <v>0</v>
      </c>
      <c r="AX55">
        <f>VLOOKUP($AC55,'2017 Seattle Tracts'!$C$2:$Z$399,AX$1,FALSE)*AA55</f>
        <v>0.30755377597553613</v>
      </c>
      <c r="AY55">
        <f>VLOOKUP($AC55,'2017 Seattle Tracts'!$C$2:$Z$399,AY$1,FALSE)*AA55</f>
        <v>1.0900640161158243E-2</v>
      </c>
      <c r="BA55" s="2" t="s">
        <v>217</v>
      </c>
      <c r="BB55">
        <v>6796.7345994040743</v>
      </c>
      <c r="BC55">
        <v>6041.6629063531955</v>
      </c>
      <c r="BD55">
        <v>755.07169305087837</v>
      </c>
      <c r="BE55">
        <v>5239.6617060058761</v>
      </c>
      <c r="BF55">
        <v>442.86730674605366</v>
      </c>
      <c r="BG55">
        <v>114.44591465799431</v>
      </c>
      <c r="BH55">
        <v>21.040251384985687</v>
      </c>
      <c r="BI55">
        <v>38.322080455642158</v>
      </c>
      <c r="BJ55">
        <v>3.1445692700329212E-3</v>
      </c>
      <c r="BK55">
        <v>22.644825386344699</v>
      </c>
      <c r="BL55">
        <v>0</v>
      </c>
      <c r="BM55">
        <v>216.92107768593272</v>
      </c>
      <c r="BN55">
        <v>241.01172156592708</v>
      </c>
      <c r="BO55">
        <v>0</v>
      </c>
      <c r="BP55">
        <v>0</v>
      </c>
      <c r="BQ55">
        <v>25.241528085297293</v>
      </c>
      <c r="BR55">
        <v>3.865966634614761</v>
      </c>
      <c r="BS55">
        <v>384.42577407610889</v>
      </c>
      <c r="BT55">
        <v>46.283302150027133</v>
      </c>
    </row>
    <row r="56" spans="1:72" x14ac:dyDescent="0.25">
      <c r="A56" t="s">
        <v>2917</v>
      </c>
      <c r="B56" t="s">
        <v>2918</v>
      </c>
      <c r="C56" t="s">
        <v>2963</v>
      </c>
      <c r="D56" t="s">
        <v>2872</v>
      </c>
      <c r="E56" t="s">
        <v>2873</v>
      </c>
      <c r="F56" t="s">
        <v>2874</v>
      </c>
      <c r="G56" t="s">
        <v>2920</v>
      </c>
      <c r="H56" t="s">
        <v>2921</v>
      </c>
      <c r="I56">
        <v>1660254</v>
      </c>
      <c r="J56">
        <v>0</v>
      </c>
      <c r="K56" t="s">
        <v>2964</v>
      </c>
      <c r="L56" t="s">
        <v>2965</v>
      </c>
      <c r="M56">
        <v>1660252</v>
      </c>
      <c r="N56">
        <v>83</v>
      </c>
      <c r="O56">
        <v>18911.330000000002</v>
      </c>
      <c r="P56" t="s">
        <v>184</v>
      </c>
      <c r="Q56">
        <v>15</v>
      </c>
      <c r="R56">
        <v>4</v>
      </c>
      <c r="S56">
        <v>19</v>
      </c>
      <c r="T56">
        <v>18366938</v>
      </c>
      <c r="U56">
        <v>85</v>
      </c>
      <c r="V56">
        <v>185</v>
      </c>
      <c r="W56">
        <v>18911.329349083731</v>
      </c>
      <c r="X56">
        <v>18366938.27518687</v>
      </c>
      <c r="Y56">
        <v>79.39</v>
      </c>
      <c r="Z56">
        <f>VLOOKUP($AC56,'2017 Seattle Tracts'!$C$2:$Z$399,24,FALSE)</f>
        <v>1660252.4010000001</v>
      </c>
      <c r="AA56">
        <f t="shared" si="1"/>
        <v>4.7818030530889139E-5</v>
      </c>
      <c r="AB56" t="s">
        <v>183</v>
      </c>
      <c r="AC56" t="str">
        <f t="shared" si="0"/>
        <v>Census Tract 103, King County, Washington</v>
      </c>
      <c r="AD56">
        <f>VLOOKUP($AC56,'2017 Seattle Tracts'!$C$2:$Z$399,AD$1,FALSE)*AA56</f>
        <v>0.33874292828081864</v>
      </c>
      <c r="AE56">
        <f>VLOOKUP($AC56,'2017 Seattle Tracts'!$C$2:$Z$399,AE$1,FALSE)*AA56</f>
        <v>0.23794251992170434</v>
      </c>
      <c r="AF56">
        <f>VLOOKUP($AC56,'2017 Seattle Tracts'!$C$2:$Z$399,AF$1,FALSE)*AA56</f>
        <v>0.1008004083591143</v>
      </c>
      <c r="AG56">
        <f>VLOOKUP($AC56,'2017 Seattle Tracts'!$C$2:$Z$399,AG$1,FALSE)*AA56</f>
        <v>0.33874292828081864</v>
      </c>
      <c r="AH56">
        <f>VLOOKUP($AC56,'2017 Seattle Tracts'!$C$2:$Z$399,AH$1,FALSE)*AA56</f>
        <v>0.23794251992170434</v>
      </c>
      <c r="AI56">
        <f>VLOOKUP($AC56,'2017 Seattle Tracts'!$C$2:$Z$399,AI$1,FALSE)*AA56</f>
        <v>0.1008004083591143</v>
      </c>
      <c r="AJ56">
        <f>VLOOKUP($AC56,'2017 Seattle Tracts'!$C$2:$Z$399,AJ$1,FALSE)*AA56</f>
        <v>0.12700468909004156</v>
      </c>
      <c r="AK56">
        <f>VLOOKUP($AC56,'2017 Seattle Tracts'!$C$2:$Z$399,AK$1,FALSE)*AA56</f>
        <v>5.9294357858302536E-3</v>
      </c>
      <c r="AL56">
        <f>VLOOKUP($AC56,'2017 Seattle Tracts'!$C$2:$Z$399,AL$1,FALSE)*AA56</f>
        <v>6.7423423048553685E-3</v>
      </c>
      <c r="AM56">
        <f>VLOOKUP($AC56,'2017 Seattle Tracts'!$C$2:$Z$399,AM$1,FALSE)*AA56</f>
        <v>7.6987029154731513E-3</v>
      </c>
      <c r="AN56">
        <f>VLOOKUP($AC56,'2017 Seattle Tracts'!$C$2:$Z$399,AN$1,FALSE)*AA56</f>
        <v>6.4506523186169451E-2</v>
      </c>
      <c r="AO56">
        <f>VLOOKUP($AC56,'2017 Seattle Tracts'!$C$2:$Z$399,AO$1,FALSE)*AA56</f>
        <v>3.6389521234006635E-2</v>
      </c>
      <c r="AP56">
        <f>VLOOKUP($AC56,'2017 Seattle Tracts'!$C$2:$Z$399,AP$1,FALSE)*AA56</f>
        <v>2.1996294044209002E-3</v>
      </c>
      <c r="AQ56">
        <f>VLOOKUP($AC56,'2017 Seattle Tracts'!$C$2:$Z$399,AQ$1,FALSE)*AA56</f>
        <v>6.694524274324479E-4</v>
      </c>
      <c r="AR56">
        <f>VLOOKUP($AC56,'2017 Seattle Tracts'!$C$2:$Z$399,AR$1,FALSE)*AA56</f>
        <v>1.8601213876515876E-2</v>
      </c>
      <c r="AS56">
        <f>VLOOKUP($AC56,'2017 Seattle Tracts'!$C$2:$Z$399,AS$1,FALSE)*AA56</f>
        <v>4.9443843568939369E-2</v>
      </c>
      <c r="AT56">
        <f>VLOOKUP($AC56,'2017 Seattle Tracts'!$C$2:$Z$399,AT$1,FALSE)*AA56</f>
        <v>0</v>
      </c>
      <c r="AU56">
        <f>VLOOKUP($AC56,'2017 Seattle Tracts'!$C$2:$Z$399,AU$1,FALSE)*AA56</f>
        <v>0</v>
      </c>
      <c r="AV56">
        <f>VLOOKUP($AC56,'2017 Seattle Tracts'!$C$2:$Z$399,AV$1,FALSE)*AA56</f>
        <v>0</v>
      </c>
      <c r="AW56">
        <f>VLOOKUP($AC56,'2017 Seattle Tracts'!$C$2:$Z$399,AW$1,FALSE)*AA56</f>
        <v>0</v>
      </c>
      <c r="AX56">
        <f>VLOOKUP($AC56,'2017 Seattle Tracts'!$C$2:$Z$399,AX$1,FALSE)*AA56</f>
        <v>1.8888122059701209E-2</v>
      </c>
      <c r="AY56">
        <f>VLOOKUP($AC56,'2017 Seattle Tracts'!$C$2:$Z$399,AY$1,FALSE)*AA56</f>
        <v>6.694524274324479E-4</v>
      </c>
      <c r="BA56" s="2" t="s">
        <v>178</v>
      </c>
      <c r="BB56">
        <v>13167.619843018703</v>
      </c>
      <c r="BC56">
        <v>8265.2381610673656</v>
      </c>
      <c r="BD56">
        <v>4902.3816819513404</v>
      </c>
      <c r="BE56">
        <v>4199.5849166336129</v>
      </c>
      <c r="BF56">
        <v>296.53581127213886</v>
      </c>
      <c r="BG56">
        <v>537.61109462829302</v>
      </c>
      <c r="BH56">
        <v>385.09368287883035</v>
      </c>
      <c r="BI56">
        <v>1035.1422485731832</v>
      </c>
      <c r="BJ56">
        <v>572.02626424392508</v>
      </c>
      <c r="BK56">
        <v>119.79070910688203</v>
      </c>
      <c r="BL56">
        <v>97.930235444918637</v>
      </c>
      <c r="BM56">
        <v>1198.9845487731404</v>
      </c>
      <c r="BN56">
        <v>2657.8177746308943</v>
      </c>
      <c r="BO56">
        <v>11.934362898316957</v>
      </c>
      <c r="BP56">
        <v>13.990033634988377</v>
      </c>
      <c r="BQ56">
        <v>293.5741771773973</v>
      </c>
      <c r="BR56">
        <v>811.87703566097321</v>
      </c>
      <c r="BS56">
        <v>868.61610327653966</v>
      </c>
      <c r="BT56">
        <v>67.110844184670711</v>
      </c>
    </row>
    <row r="57" spans="1:72" x14ac:dyDescent="0.25">
      <c r="A57" t="s">
        <v>2917</v>
      </c>
      <c r="B57" t="s">
        <v>2918</v>
      </c>
      <c r="C57" t="s">
        <v>2963</v>
      </c>
      <c r="D57" t="s">
        <v>2872</v>
      </c>
      <c r="E57" t="s">
        <v>2873</v>
      </c>
      <c r="F57" t="s">
        <v>2874</v>
      </c>
      <c r="G57" t="s">
        <v>2920</v>
      </c>
      <c r="H57" t="s">
        <v>2921</v>
      </c>
      <c r="I57">
        <v>1660254</v>
      </c>
      <c r="J57">
        <v>0</v>
      </c>
      <c r="K57" t="s">
        <v>2964</v>
      </c>
      <c r="L57" t="s">
        <v>2965</v>
      </c>
      <c r="M57">
        <v>1660252</v>
      </c>
      <c r="N57">
        <v>88</v>
      </c>
      <c r="O57">
        <v>35177.063000000002</v>
      </c>
      <c r="P57" t="s">
        <v>184</v>
      </c>
      <c r="Q57">
        <v>15</v>
      </c>
      <c r="R57">
        <v>4</v>
      </c>
      <c r="S57">
        <v>94</v>
      </c>
      <c r="T57">
        <v>37406576</v>
      </c>
      <c r="U57">
        <v>90</v>
      </c>
      <c r="V57">
        <v>179</v>
      </c>
      <c r="W57">
        <v>35177.060803967521</v>
      </c>
      <c r="X57">
        <v>37406576.492632188</v>
      </c>
      <c r="Y57">
        <v>1658843.63</v>
      </c>
      <c r="Z57">
        <f>VLOOKUP($AC57,'2017 Seattle Tracts'!$C$2:$Z$399,24,FALSE)</f>
        <v>1660252.4010000001</v>
      </c>
      <c r="AA57">
        <f t="shared" si="1"/>
        <v>0.99915147178877639</v>
      </c>
      <c r="AB57" t="s">
        <v>189</v>
      </c>
      <c r="AC57" t="str">
        <f t="shared" si="0"/>
        <v>Census Tract 103, King County, Washington</v>
      </c>
      <c r="AD57">
        <f>VLOOKUP($AC57,'2017 Seattle Tracts'!$C$2:$Z$399,AD$1,FALSE)*AA57</f>
        <v>7077.9890261516921</v>
      </c>
      <c r="AE57">
        <f>VLOOKUP($AC57,'2017 Seattle Tracts'!$C$2:$Z$399,AE$1,FALSE)*AA57</f>
        <v>4971.7777236209513</v>
      </c>
      <c r="AF57">
        <f>VLOOKUP($AC57,'2017 Seattle Tracts'!$C$2:$Z$399,AF$1,FALSE)*AA57</f>
        <v>2106.2113025307408</v>
      </c>
      <c r="AG57">
        <f>VLOOKUP($AC57,'2017 Seattle Tracts'!$C$2:$Z$399,AG$1,FALSE)*AA57</f>
        <v>7077.9890261516921</v>
      </c>
      <c r="AH57">
        <f>VLOOKUP($AC57,'2017 Seattle Tracts'!$C$2:$Z$399,AH$1,FALSE)*AA57</f>
        <v>4971.7777236209513</v>
      </c>
      <c r="AI57">
        <f>VLOOKUP($AC57,'2017 Seattle Tracts'!$C$2:$Z$399,AI$1,FALSE)*AA57</f>
        <v>2106.2113025307408</v>
      </c>
      <c r="AJ57">
        <f>VLOOKUP($AC57,'2017 Seattle Tracts'!$C$2:$Z$399,AJ$1,FALSE)*AA57</f>
        <v>2653.7463090709903</v>
      </c>
      <c r="AK57">
        <f>VLOOKUP($AC57,'2017 Seattle Tracts'!$C$2:$Z$399,AK$1,FALSE)*AA57</f>
        <v>123.89478250180827</v>
      </c>
      <c r="AL57">
        <f>VLOOKUP($AC57,'2017 Seattle Tracts'!$C$2:$Z$399,AL$1,FALSE)*AA57</f>
        <v>140.88035752221748</v>
      </c>
      <c r="AM57">
        <f>VLOOKUP($AC57,'2017 Seattle Tracts'!$C$2:$Z$399,AM$1,FALSE)*AA57</f>
        <v>160.86338695799299</v>
      </c>
      <c r="AN57">
        <f>VLOOKUP($AC57,'2017 Seattle Tracts'!$C$2:$Z$399,AN$1,FALSE)*AA57</f>
        <v>1347.8553354430594</v>
      </c>
      <c r="AO57">
        <f>VLOOKUP($AC57,'2017 Seattle Tracts'!$C$2:$Z$399,AO$1,FALSE)*AA57</f>
        <v>760.35427003125881</v>
      </c>
      <c r="AP57">
        <f>VLOOKUP($AC57,'2017 Seattle Tracts'!$C$2:$Z$399,AP$1,FALSE)*AA57</f>
        <v>45.96096770228371</v>
      </c>
      <c r="AQ57">
        <f>VLOOKUP($AC57,'2017 Seattle Tracts'!$C$2:$Z$399,AQ$1,FALSE)*AA57</f>
        <v>13.988120605042869</v>
      </c>
      <c r="AR57">
        <f>VLOOKUP($AC57,'2017 Seattle Tracts'!$C$2:$Z$399,AR$1,FALSE)*AA57</f>
        <v>388.66992252583401</v>
      </c>
      <c r="AS57">
        <f>VLOOKUP($AC57,'2017 Seattle Tracts'!$C$2:$Z$399,AS$1,FALSE)*AA57</f>
        <v>1033.1226218295949</v>
      </c>
      <c r="AT57">
        <f>VLOOKUP($AC57,'2017 Seattle Tracts'!$C$2:$Z$399,AT$1,FALSE)*AA57</f>
        <v>0</v>
      </c>
      <c r="AU57">
        <f>VLOOKUP($AC57,'2017 Seattle Tracts'!$C$2:$Z$399,AU$1,FALSE)*AA57</f>
        <v>0</v>
      </c>
      <c r="AV57">
        <f>VLOOKUP($AC57,'2017 Seattle Tracts'!$C$2:$Z$399,AV$1,FALSE)*AA57</f>
        <v>0</v>
      </c>
      <c r="AW57">
        <f>VLOOKUP($AC57,'2017 Seattle Tracts'!$C$2:$Z$399,AW$1,FALSE)*AA57</f>
        <v>0</v>
      </c>
      <c r="AX57">
        <f>VLOOKUP($AC57,'2017 Seattle Tracts'!$C$2:$Z$399,AX$1,FALSE)*AA57</f>
        <v>394.66483135656665</v>
      </c>
      <c r="AY57">
        <f>VLOOKUP($AC57,'2017 Seattle Tracts'!$C$2:$Z$399,AY$1,FALSE)*AA57</f>
        <v>13.988120605042869</v>
      </c>
      <c r="BA57" s="2" t="s">
        <v>218</v>
      </c>
      <c r="BB57">
        <v>8337.80791681763</v>
      </c>
      <c r="BC57">
        <v>6504.7791695272754</v>
      </c>
      <c r="BD57">
        <v>1833.0287472903542</v>
      </c>
      <c r="BE57">
        <v>4882.66488478668</v>
      </c>
      <c r="BF57">
        <v>439.80704888669158</v>
      </c>
      <c r="BG57">
        <v>269.62278570847394</v>
      </c>
      <c r="BH57">
        <v>72.875230866766287</v>
      </c>
      <c r="BI57">
        <v>92.327856885184957</v>
      </c>
      <c r="BJ57">
        <v>113.71049894442221</v>
      </c>
      <c r="BK57">
        <v>47.700152460035056</v>
      </c>
      <c r="BL57">
        <v>2.9602884905437223</v>
      </c>
      <c r="BM57">
        <v>500.46986186897198</v>
      </c>
      <c r="BN57">
        <v>969.2541175978447</v>
      </c>
      <c r="BO57">
        <v>12.464684055057614</v>
      </c>
      <c r="BP57">
        <v>0</v>
      </c>
      <c r="BQ57">
        <v>141.4676827138569</v>
      </c>
      <c r="BR57">
        <v>124.39348755619112</v>
      </c>
      <c r="BS57">
        <v>558.061261049015</v>
      </c>
      <c r="BT57">
        <v>110.02807494789454</v>
      </c>
    </row>
    <row r="58" spans="1:72" x14ac:dyDescent="0.25">
      <c r="A58" t="s">
        <v>2917</v>
      </c>
      <c r="B58" t="s">
        <v>2918</v>
      </c>
      <c r="C58" t="s">
        <v>2963</v>
      </c>
      <c r="D58" t="s">
        <v>2872</v>
      </c>
      <c r="E58" t="s">
        <v>2873</v>
      </c>
      <c r="F58" t="s">
        <v>2874</v>
      </c>
      <c r="G58" t="s">
        <v>2920</v>
      </c>
      <c r="H58" t="s">
        <v>2921</v>
      </c>
      <c r="I58">
        <v>1660254</v>
      </c>
      <c r="J58">
        <v>0</v>
      </c>
      <c r="K58" t="s">
        <v>2964</v>
      </c>
      <c r="L58" t="s">
        <v>2965</v>
      </c>
      <c r="M58">
        <v>1660252</v>
      </c>
      <c r="N58">
        <v>95</v>
      </c>
      <c r="O58">
        <v>52212.785000000003</v>
      </c>
      <c r="P58" t="s">
        <v>198</v>
      </c>
      <c r="Q58">
        <v>16</v>
      </c>
      <c r="R58">
        <v>11</v>
      </c>
      <c r="S58">
        <v>95</v>
      </c>
      <c r="T58">
        <v>43835280</v>
      </c>
      <c r="U58">
        <v>97</v>
      </c>
      <c r="V58">
        <v>173</v>
      </c>
      <c r="W58">
        <v>52212.786810353093</v>
      </c>
      <c r="X58">
        <v>43835279.005916066</v>
      </c>
      <c r="Y58">
        <v>36.68</v>
      </c>
      <c r="Z58">
        <f>VLOOKUP($AC58,'2017 Seattle Tracts'!$C$2:$Z$399,24,FALSE)</f>
        <v>1660252.4010000001</v>
      </c>
      <c r="AA58">
        <f t="shared" si="1"/>
        <v>2.2093026324134194E-5</v>
      </c>
      <c r="AB58" t="s">
        <v>197</v>
      </c>
      <c r="AC58" t="str">
        <f t="shared" si="0"/>
        <v>Census Tract 103, King County, Washington</v>
      </c>
      <c r="AD58">
        <f>VLOOKUP($AC58,'2017 Seattle Tracts'!$C$2:$Z$399,AD$1,FALSE)*AA58</f>
        <v>0.15650699848016664</v>
      </c>
      <c r="AE58">
        <f>VLOOKUP($AC58,'2017 Seattle Tracts'!$C$2:$Z$399,AE$1,FALSE)*AA58</f>
        <v>0.10993489898889175</v>
      </c>
      <c r="AF58">
        <f>VLOOKUP($AC58,'2017 Seattle Tracts'!$C$2:$Z$399,AF$1,FALSE)*AA58</f>
        <v>4.6572099491274881E-2</v>
      </c>
      <c r="AG58">
        <f>VLOOKUP($AC58,'2017 Seattle Tracts'!$C$2:$Z$399,AG$1,FALSE)*AA58</f>
        <v>0.15650699848016664</v>
      </c>
      <c r="AH58">
        <f>VLOOKUP($AC58,'2017 Seattle Tracts'!$C$2:$Z$399,AH$1,FALSE)*AA58</f>
        <v>0.10993489898889175</v>
      </c>
      <c r="AI58">
        <f>VLOOKUP($AC58,'2017 Seattle Tracts'!$C$2:$Z$399,AI$1,FALSE)*AA58</f>
        <v>4.6572099491274881E-2</v>
      </c>
      <c r="AJ58">
        <f>VLOOKUP($AC58,'2017 Seattle Tracts'!$C$2:$Z$399,AJ$1,FALSE)*AA58</f>
        <v>5.867907791690042E-2</v>
      </c>
      <c r="AK58">
        <f>VLOOKUP($AC58,'2017 Seattle Tracts'!$C$2:$Z$399,AK$1,FALSE)*AA58</f>
        <v>2.73953526419264E-3</v>
      </c>
      <c r="AL58">
        <f>VLOOKUP($AC58,'2017 Seattle Tracts'!$C$2:$Z$399,AL$1,FALSE)*AA58</f>
        <v>3.1151167117029212E-3</v>
      </c>
      <c r="AM58">
        <f>VLOOKUP($AC58,'2017 Seattle Tracts'!$C$2:$Z$399,AM$1,FALSE)*AA58</f>
        <v>3.5569772381856051E-3</v>
      </c>
      <c r="AN58">
        <f>VLOOKUP($AC58,'2017 Seattle Tracts'!$C$2:$Z$399,AN$1,FALSE)*AA58</f>
        <v>2.9803492511257027E-2</v>
      </c>
      <c r="AO58">
        <f>VLOOKUP($AC58,'2017 Seattle Tracts'!$C$2:$Z$399,AO$1,FALSE)*AA58</f>
        <v>1.6812793032666123E-2</v>
      </c>
      <c r="AP58">
        <f>VLOOKUP($AC58,'2017 Seattle Tracts'!$C$2:$Z$399,AP$1,FALSE)*AA58</f>
        <v>1.0162792109101729E-3</v>
      </c>
      <c r="AQ58">
        <f>VLOOKUP($AC58,'2017 Seattle Tracts'!$C$2:$Z$399,AQ$1,FALSE)*AA58</f>
        <v>3.0930236853787872E-4</v>
      </c>
      <c r="AR58">
        <f>VLOOKUP($AC58,'2017 Seattle Tracts'!$C$2:$Z$399,AR$1,FALSE)*AA58</f>
        <v>8.5941872400882007E-3</v>
      </c>
      <c r="AS58">
        <f>VLOOKUP($AC58,'2017 Seattle Tracts'!$C$2:$Z$399,AS$1,FALSE)*AA58</f>
        <v>2.2844189219154758E-2</v>
      </c>
      <c r="AT58">
        <f>VLOOKUP($AC58,'2017 Seattle Tracts'!$C$2:$Z$399,AT$1,FALSE)*AA58</f>
        <v>0</v>
      </c>
      <c r="AU58">
        <f>VLOOKUP($AC58,'2017 Seattle Tracts'!$C$2:$Z$399,AU$1,FALSE)*AA58</f>
        <v>0</v>
      </c>
      <c r="AV58">
        <f>VLOOKUP($AC58,'2017 Seattle Tracts'!$C$2:$Z$399,AV$1,FALSE)*AA58</f>
        <v>0</v>
      </c>
      <c r="AW58">
        <f>VLOOKUP($AC58,'2017 Seattle Tracts'!$C$2:$Z$399,AW$1,FALSE)*AA58</f>
        <v>0</v>
      </c>
      <c r="AX58">
        <f>VLOOKUP($AC58,'2017 Seattle Tracts'!$C$2:$Z$399,AX$1,FALSE)*AA58</f>
        <v>8.7267453980330069E-3</v>
      </c>
      <c r="AY58">
        <f>VLOOKUP($AC58,'2017 Seattle Tracts'!$C$2:$Z$399,AY$1,FALSE)*AA58</f>
        <v>3.0930236853787872E-4</v>
      </c>
      <c r="BA58" s="2" t="s">
        <v>192</v>
      </c>
      <c r="BB58">
        <v>2496.9889048716677</v>
      </c>
      <c r="BC58">
        <v>2055.382254138402</v>
      </c>
      <c r="BD58">
        <v>441.60665073326572</v>
      </c>
      <c r="BE58">
        <v>1562.7155257127758</v>
      </c>
      <c r="BF58">
        <v>199.32190011678512</v>
      </c>
      <c r="BG58">
        <v>90.495166568356055</v>
      </c>
      <c r="BH58">
        <v>9.0570896750277043</v>
      </c>
      <c r="BI58">
        <v>67.189766448875105</v>
      </c>
      <c r="BJ58">
        <v>24.60389426373991</v>
      </c>
      <c r="BK58">
        <v>1.7785089894687127E-2</v>
      </c>
      <c r="BL58">
        <v>0</v>
      </c>
      <c r="BM58">
        <v>122.0941594474896</v>
      </c>
      <c r="BN58">
        <v>156.59664708140713</v>
      </c>
      <c r="BO58">
        <v>4.2175444587705426</v>
      </c>
      <c r="BP58">
        <v>3.5506259488817005</v>
      </c>
      <c r="BQ58">
        <v>17.026939028290347</v>
      </c>
      <c r="BR58">
        <v>34.536121083034558</v>
      </c>
      <c r="BS58">
        <v>191.62536738394977</v>
      </c>
      <c r="BT58">
        <v>13.940372564389635</v>
      </c>
    </row>
    <row r="59" spans="1:72" x14ac:dyDescent="0.25">
      <c r="A59" t="s">
        <v>2917</v>
      </c>
      <c r="B59" t="s">
        <v>2918</v>
      </c>
      <c r="C59" t="s">
        <v>2966</v>
      </c>
      <c r="D59" t="s">
        <v>2860</v>
      </c>
      <c r="E59" t="s">
        <v>2861</v>
      </c>
      <c r="F59" t="s">
        <v>2862</v>
      </c>
      <c r="G59" t="s">
        <v>2920</v>
      </c>
      <c r="H59" t="s">
        <v>2921</v>
      </c>
      <c r="I59">
        <v>2594296</v>
      </c>
      <c r="J59">
        <v>817132</v>
      </c>
      <c r="K59" t="s">
        <v>2967</v>
      </c>
      <c r="L59" t="s">
        <v>2968</v>
      </c>
      <c r="M59">
        <v>2515783</v>
      </c>
      <c r="N59">
        <v>71</v>
      </c>
      <c r="O59">
        <v>23122.263999999999</v>
      </c>
      <c r="P59" t="s">
        <v>170</v>
      </c>
      <c r="Q59">
        <v>19</v>
      </c>
      <c r="R59">
        <v>9</v>
      </c>
      <c r="S59">
        <v>19</v>
      </c>
      <c r="T59">
        <v>18463062</v>
      </c>
      <c r="U59">
        <v>73</v>
      </c>
      <c r="V59">
        <v>178</v>
      </c>
      <c r="W59">
        <v>23122.264003256802</v>
      </c>
      <c r="X59">
        <v>18463061.7979086</v>
      </c>
      <c r="Y59">
        <v>1138373.5349999999</v>
      </c>
      <c r="Z59">
        <f>VLOOKUP($AC59,'2017 Seattle Tracts'!$C$2:$Z$399,24,FALSE)</f>
        <v>2515783.1209999998</v>
      </c>
      <c r="AA59">
        <f t="shared" si="1"/>
        <v>0.45249271509044359</v>
      </c>
      <c r="AB59" t="s">
        <v>169</v>
      </c>
      <c r="AC59" t="str">
        <f t="shared" si="0"/>
        <v>Census Tract 106, King County, Washington</v>
      </c>
      <c r="AD59">
        <f>VLOOKUP($AC59,'2017 Seattle Tracts'!$C$2:$Z$399,AD$1,FALSE)*AA59</f>
        <v>3768.3593312732141</v>
      </c>
      <c r="AE59">
        <f>VLOOKUP($AC59,'2017 Seattle Tracts'!$C$2:$Z$399,AE$1,FALSE)*AA59</f>
        <v>3357.9484386861818</v>
      </c>
      <c r="AF59">
        <f>VLOOKUP($AC59,'2017 Seattle Tracts'!$C$2:$Z$399,AF$1,FALSE)*AA59</f>
        <v>410.41089258703232</v>
      </c>
      <c r="AG59">
        <f>VLOOKUP($AC59,'2017 Seattle Tracts'!$C$2:$Z$399,AG$1,FALSE)*AA59</f>
        <v>3768.3593312732141</v>
      </c>
      <c r="AH59">
        <f>VLOOKUP($AC59,'2017 Seattle Tracts'!$C$2:$Z$399,AH$1,FALSE)*AA59</f>
        <v>3357.9484386861818</v>
      </c>
      <c r="AI59">
        <f>VLOOKUP($AC59,'2017 Seattle Tracts'!$C$2:$Z$399,AI$1,FALSE)*AA59</f>
        <v>410.41089258703232</v>
      </c>
      <c r="AJ59">
        <f>VLOOKUP($AC59,'2017 Seattle Tracts'!$C$2:$Z$399,AJ$1,FALSE)*AA59</f>
        <v>2757.0381130460728</v>
      </c>
      <c r="AK59">
        <f>VLOOKUP($AC59,'2017 Seattle Tracts'!$C$2:$Z$399,AK$1,FALSE)*AA59</f>
        <v>131.22288737622864</v>
      </c>
      <c r="AL59">
        <f>VLOOKUP($AC59,'2017 Seattle Tracts'!$C$2:$Z$399,AL$1,FALSE)*AA59</f>
        <v>119.4580767838771</v>
      </c>
      <c r="AM59">
        <f>VLOOKUP($AC59,'2017 Seattle Tracts'!$C$2:$Z$399,AM$1,FALSE)*AA59</f>
        <v>7.6923761565375406</v>
      </c>
      <c r="AN59">
        <f>VLOOKUP($AC59,'2017 Seattle Tracts'!$C$2:$Z$399,AN$1,FALSE)*AA59</f>
        <v>78.733732425737188</v>
      </c>
      <c r="AO59">
        <f>VLOOKUP($AC59,'2017 Seattle Tracts'!$C$2:$Z$399,AO$1,FALSE)*AA59</f>
        <v>35.746924492145041</v>
      </c>
      <c r="AP59">
        <f>VLOOKUP($AC59,'2017 Seattle Tracts'!$C$2:$Z$399,AP$1,FALSE)*AA59</f>
        <v>24.887099329974397</v>
      </c>
      <c r="AQ59">
        <f>VLOOKUP($AC59,'2017 Seattle Tracts'!$C$2:$Z$399,AQ$1,FALSE)*AA59</f>
        <v>5.8824052961757669</v>
      </c>
      <c r="AR59">
        <f>VLOOKUP($AC59,'2017 Seattle Tracts'!$C$2:$Z$399,AR$1,FALSE)*AA59</f>
        <v>72.851327129561412</v>
      </c>
      <c r="AS59">
        <f>VLOOKUP($AC59,'2017 Seattle Tracts'!$C$2:$Z$399,AS$1,FALSE)*AA59</f>
        <v>184.16453504181055</v>
      </c>
      <c r="AT59">
        <f>VLOOKUP($AC59,'2017 Seattle Tracts'!$C$2:$Z$399,AT$1,FALSE)*AA59</f>
        <v>7.2398834414470974</v>
      </c>
      <c r="AU59">
        <f>VLOOKUP($AC59,'2017 Seattle Tracts'!$C$2:$Z$399,AU$1,FALSE)*AA59</f>
        <v>0</v>
      </c>
      <c r="AV59">
        <f>VLOOKUP($AC59,'2017 Seattle Tracts'!$C$2:$Z$399,AV$1,FALSE)*AA59</f>
        <v>65.611443688114321</v>
      </c>
      <c r="AW59">
        <f>VLOOKUP($AC59,'2017 Seattle Tracts'!$C$2:$Z$399,AW$1,FALSE)*AA59</f>
        <v>39.366866212868594</v>
      </c>
      <c r="AX59">
        <f>VLOOKUP($AC59,'2017 Seattle Tracts'!$C$2:$Z$399,AX$1,FALSE)*AA59</f>
        <v>232.12876284139756</v>
      </c>
      <c r="AY59">
        <f>VLOOKUP($AC59,'2017 Seattle Tracts'!$C$2:$Z$399,AY$1,FALSE)*AA59</f>
        <v>6.3348980112662101</v>
      </c>
      <c r="BA59" s="2" t="s">
        <v>139</v>
      </c>
      <c r="BB59">
        <v>11839.733552850048</v>
      </c>
      <c r="BC59">
        <v>10234.914616792208</v>
      </c>
      <c r="BD59">
        <v>1604.8189360578372</v>
      </c>
      <c r="BE59">
        <v>8439.1384814315243</v>
      </c>
      <c r="BF59">
        <v>927.10738187028051</v>
      </c>
      <c r="BG59">
        <v>154.9750026519244</v>
      </c>
      <c r="BH59">
        <v>48.201244067546234</v>
      </c>
      <c r="BI59">
        <v>205.55786142974316</v>
      </c>
      <c r="BJ59">
        <v>20.704605017199512</v>
      </c>
      <c r="BK59">
        <v>123.83535951033767</v>
      </c>
      <c r="BL59">
        <v>0</v>
      </c>
      <c r="BM59">
        <v>458.11900659555431</v>
      </c>
      <c r="BN59">
        <v>449.60225132908772</v>
      </c>
      <c r="BO59">
        <v>0.6112954017809008</v>
      </c>
      <c r="BP59">
        <v>0.58981921755321332</v>
      </c>
      <c r="BQ59">
        <v>76.008377350355062</v>
      </c>
      <c r="BR59">
        <v>81.18184761330366</v>
      </c>
      <c r="BS59">
        <v>776.6692324209896</v>
      </c>
      <c r="BT59">
        <v>77.431786942866466</v>
      </c>
    </row>
    <row r="60" spans="1:72" x14ac:dyDescent="0.25">
      <c r="A60" t="s">
        <v>2917</v>
      </c>
      <c r="B60" t="s">
        <v>2918</v>
      </c>
      <c r="C60" t="s">
        <v>2966</v>
      </c>
      <c r="D60" t="s">
        <v>2860</v>
      </c>
      <c r="E60" t="s">
        <v>2861</v>
      </c>
      <c r="F60" t="s">
        <v>2862</v>
      </c>
      <c r="G60" t="s">
        <v>2920</v>
      </c>
      <c r="H60" t="s">
        <v>2921</v>
      </c>
      <c r="I60">
        <v>2594296</v>
      </c>
      <c r="J60">
        <v>817132</v>
      </c>
      <c r="K60" t="s">
        <v>2967</v>
      </c>
      <c r="L60" t="s">
        <v>2968</v>
      </c>
      <c r="M60">
        <v>2515783</v>
      </c>
      <c r="N60">
        <v>72</v>
      </c>
      <c r="O60">
        <v>23801.266</v>
      </c>
      <c r="P60" t="s">
        <v>170</v>
      </c>
      <c r="Q60">
        <v>19</v>
      </c>
      <c r="R60">
        <v>9</v>
      </c>
      <c r="S60">
        <v>81</v>
      </c>
      <c r="T60">
        <v>22821708</v>
      </c>
      <c r="U60">
        <v>74</v>
      </c>
      <c r="V60">
        <v>184</v>
      </c>
      <c r="W60">
        <v>23801.264700512202</v>
      </c>
      <c r="X60">
        <v>22821707.468856081</v>
      </c>
      <c r="Y60">
        <v>839916.451</v>
      </c>
      <c r="Z60">
        <f>VLOOKUP($AC60,'2017 Seattle Tracts'!$C$2:$Z$399,24,FALSE)</f>
        <v>2515783.1209999998</v>
      </c>
      <c r="AA60">
        <f t="shared" si="1"/>
        <v>0.33385884657105946</v>
      </c>
      <c r="AB60" t="s">
        <v>171</v>
      </c>
      <c r="AC60" t="str">
        <f t="shared" si="0"/>
        <v>Census Tract 106, King County, Washington</v>
      </c>
      <c r="AD60">
        <f>VLOOKUP($AC60,'2017 Seattle Tracts'!$C$2:$Z$399,AD$1,FALSE)*AA60</f>
        <v>2780.3764742437834</v>
      </c>
      <c r="AE60">
        <f>VLOOKUP($AC60,'2017 Seattle Tracts'!$C$2:$Z$399,AE$1,FALSE)*AA60</f>
        <v>2477.5665004038324</v>
      </c>
      <c r="AF60">
        <f>VLOOKUP($AC60,'2017 Seattle Tracts'!$C$2:$Z$399,AF$1,FALSE)*AA60</f>
        <v>302.80997383995094</v>
      </c>
      <c r="AG60">
        <f>VLOOKUP($AC60,'2017 Seattle Tracts'!$C$2:$Z$399,AG$1,FALSE)*AA60</f>
        <v>2780.3764742437834</v>
      </c>
      <c r="AH60">
        <f>VLOOKUP($AC60,'2017 Seattle Tracts'!$C$2:$Z$399,AH$1,FALSE)*AA60</f>
        <v>2477.5665004038324</v>
      </c>
      <c r="AI60">
        <f>VLOOKUP($AC60,'2017 Seattle Tracts'!$C$2:$Z$399,AI$1,FALSE)*AA60</f>
        <v>302.80997383995094</v>
      </c>
      <c r="AJ60">
        <f>VLOOKUP($AC60,'2017 Seattle Tracts'!$C$2:$Z$399,AJ$1,FALSE)*AA60</f>
        <v>2034.2019521574653</v>
      </c>
      <c r="AK60">
        <f>VLOOKUP($AC60,'2017 Seattle Tracts'!$C$2:$Z$399,AK$1,FALSE)*AA60</f>
        <v>96.819065505607242</v>
      </c>
      <c r="AL60">
        <f>VLOOKUP($AC60,'2017 Seattle Tracts'!$C$2:$Z$399,AL$1,FALSE)*AA60</f>
        <v>88.1387354947597</v>
      </c>
      <c r="AM60">
        <f>VLOOKUP($AC60,'2017 Seattle Tracts'!$C$2:$Z$399,AM$1,FALSE)*AA60</f>
        <v>5.6756003917080111</v>
      </c>
      <c r="AN60">
        <f>VLOOKUP($AC60,'2017 Seattle Tracts'!$C$2:$Z$399,AN$1,FALSE)*AA60</f>
        <v>58.091439303364346</v>
      </c>
      <c r="AO60">
        <f>VLOOKUP($AC60,'2017 Seattle Tracts'!$C$2:$Z$399,AO$1,FALSE)*AA60</f>
        <v>26.374848879113699</v>
      </c>
      <c r="AP60">
        <f>VLOOKUP($AC60,'2017 Seattle Tracts'!$C$2:$Z$399,AP$1,FALSE)*AA60</f>
        <v>18.36223656140827</v>
      </c>
      <c r="AQ60">
        <f>VLOOKUP($AC60,'2017 Seattle Tracts'!$C$2:$Z$399,AQ$1,FALSE)*AA60</f>
        <v>4.3401650054237733</v>
      </c>
      <c r="AR60">
        <f>VLOOKUP($AC60,'2017 Seattle Tracts'!$C$2:$Z$399,AR$1,FALSE)*AA60</f>
        <v>53.751274297940576</v>
      </c>
      <c r="AS60">
        <f>VLOOKUP($AC60,'2017 Seattle Tracts'!$C$2:$Z$399,AS$1,FALSE)*AA60</f>
        <v>135.88055055442121</v>
      </c>
      <c r="AT60">
        <f>VLOOKUP($AC60,'2017 Seattle Tracts'!$C$2:$Z$399,AT$1,FALSE)*AA60</f>
        <v>5.3417415451369514</v>
      </c>
      <c r="AU60">
        <f>VLOOKUP($AC60,'2017 Seattle Tracts'!$C$2:$Z$399,AU$1,FALSE)*AA60</f>
        <v>0</v>
      </c>
      <c r="AV60">
        <f>VLOOKUP($AC60,'2017 Seattle Tracts'!$C$2:$Z$399,AV$1,FALSE)*AA60</f>
        <v>48.409532752803621</v>
      </c>
      <c r="AW60">
        <f>VLOOKUP($AC60,'2017 Seattle Tracts'!$C$2:$Z$399,AW$1,FALSE)*AA60</f>
        <v>29.045719651682173</v>
      </c>
      <c r="AX60">
        <f>VLOOKUP($AC60,'2017 Seattle Tracts'!$C$2:$Z$399,AX$1,FALSE)*AA60</f>
        <v>171.26958829095349</v>
      </c>
      <c r="AY60">
        <f>VLOOKUP($AC60,'2017 Seattle Tracts'!$C$2:$Z$399,AY$1,FALSE)*AA60</f>
        <v>4.6740238519948321</v>
      </c>
      <c r="BA60" s="2" t="s">
        <v>210</v>
      </c>
      <c r="BB60">
        <v>6633.4629878975948</v>
      </c>
      <c r="BC60">
        <v>4745.7369448182217</v>
      </c>
      <c r="BD60">
        <v>1887.7260430793726</v>
      </c>
      <c r="BE60">
        <v>3516.3477714366718</v>
      </c>
      <c r="BF60">
        <v>506.84319689866601</v>
      </c>
      <c r="BG60">
        <v>149.20680279560358</v>
      </c>
      <c r="BH60">
        <v>154.31076627051578</v>
      </c>
      <c r="BI60">
        <v>210.6098584399731</v>
      </c>
      <c r="BJ60">
        <v>266.35782921240542</v>
      </c>
      <c r="BK60">
        <v>74.423892238793144</v>
      </c>
      <c r="BL60">
        <v>3.0293632261482633</v>
      </c>
      <c r="BM60">
        <v>259.52151649223271</v>
      </c>
      <c r="BN60">
        <v>766.87130507345194</v>
      </c>
      <c r="BO60">
        <v>6.7819673347385523</v>
      </c>
      <c r="BP60">
        <v>14.461682161462642</v>
      </c>
      <c r="BQ60">
        <v>191.89237988748548</v>
      </c>
      <c r="BR60">
        <v>36.527540663102364</v>
      </c>
      <c r="BS60">
        <v>336.952756192724</v>
      </c>
      <c r="BT60">
        <v>139.32435957362023</v>
      </c>
    </row>
    <row r="61" spans="1:72" x14ac:dyDescent="0.25">
      <c r="A61" t="s">
        <v>2917</v>
      </c>
      <c r="B61" t="s">
        <v>2918</v>
      </c>
      <c r="C61" t="s">
        <v>2966</v>
      </c>
      <c r="D61" t="s">
        <v>2860</v>
      </c>
      <c r="E61" t="s">
        <v>2861</v>
      </c>
      <c r="F61" t="s">
        <v>2862</v>
      </c>
      <c r="G61" t="s">
        <v>2920</v>
      </c>
      <c r="H61" t="s">
        <v>2921</v>
      </c>
      <c r="I61">
        <v>2594296</v>
      </c>
      <c r="J61">
        <v>817132</v>
      </c>
      <c r="K61" t="s">
        <v>2967</v>
      </c>
      <c r="L61" t="s">
        <v>2968</v>
      </c>
      <c r="M61">
        <v>2515783</v>
      </c>
      <c r="N61">
        <v>74</v>
      </c>
      <c r="O61">
        <v>45568.137000000002</v>
      </c>
      <c r="P61" t="s">
        <v>170</v>
      </c>
      <c r="Q61">
        <v>19</v>
      </c>
      <c r="R61">
        <v>9</v>
      </c>
      <c r="S61">
        <v>81</v>
      </c>
      <c r="T61">
        <v>24583470</v>
      </c>
      <c r="U61">
        <v>76</v>
      </c>
      <c r="V61">
        <v>168</v>
      </c>
      <c r="W61">
        <v>45568.137853690583</v>
      </c>
      <c r="X61">
        <v>24583469.184015442</v>
      </c>
      <c r="Y61">
        <v>67.744</v>
      </c>
      <c r="Z61">
        <f>VLOOKUP($AC61,'2017 Seattle Tracts'!$C$2:$Z$399,24,FALSE)</f>
        <v>2515783.1209999998</v>
      </c>
      <c r="AA61">
        <f t="shared" si="1"/>
        <v>2.6927599376321597E-5</v>
      </c>
      <c r="AB61" t="s">
        <v>173</v>
      </c>
      <c r="AC61" t="str">
        <f t="shared" si="0"/>
        <v>Census Tract 106, King County, Washington</v>
      </c>
      <c r="AD61">
        <f>VLOOKUP($AC61,'2017 Seattle Tracts'!$C$2:$Z$399,AD$1,FALSE)*AA61</f>
        <v>0.22425304760600626</v>
      </c>
      <c r="AE61">
        <f>VLOOKUP($AC61,'2017 Seattle Tracts'!$C$2:$Z$399,AE$1,FALSE)*AA61</f>
        <v>0.19982971497168256</v>
      </c>
      <c r="AF61">
        <f>VLOOKUP($AC61,'2017 Seattle Tracts'!$C$2:$Z$399,AF$1,FALSE)*AA61</f>
        <v>2.442333263432369E-2</v>
      </c>
      <c r="AG61">
        <f>VLOOKUP($AC61,'2017 Seattle Tracts'!$C$2:$Z$399,AG$1,FALSE)*AA61</f>
        <v>0.22425304760600626</v>
      </c>
      <c r="AH61">
        <f>VLOOKUP($AC61,'2017 Seattle Tracts'!$C$2:$Z$399,AH$1,FALSE)*AA61</f>
        <v>0.19982971497168256</v>
      </c>
      <c r="AI61">
        <f>VLOOKUP($AC61,'2017 Seattle Tracts'!$C$2:$Z$399,AI$1,FALSE)*AA61</f>
        <v>2.442333263432369E-2</v>
      </c>
      <c r="AJ61">
        <f>VLOOKUP($AC61,'2017 Seattle Tracts'!$C$2:$Z$399,AJ$1,FALSE)*AA61</f>
        <v>0.16406986299992748</v>
      </c>
      <c r="AK61">
        <f>VLOOKUP($AC61,'2017 Seattle Tracts'!$C$2:$Z$399,AK$1,FALSE)*AA61</f>
        <v>7.8090038191332631E-3</v>
      </c>
      <c r="AL61">
        <f>VLOOKUP($AC61,'2017 Seattle Tracts'!$C$2:$Z$399,AL$1,FALSE)*AA61</f>
        <v>7.1088862353489018E-3</v>
      </c>
      <c r="AM61">
        <f>VLOOKUP($AC61,'2017 Seattle Tracts'!$C$2:$Z$399,AM$1,FALSE)*AA61</f>
        <v>4.5776918939746713E-4</v>
      </c>
      <c r="AN61">
        <f>VLOOKUP($AC61,'2017 Seattle Tracts'!$C$2:$Z$399,AN$1,FALSE)*AA61</f>
        <v>4.6854022914799582E-3</v>
      </c>
      <c r="AO61">
        <f>VLOOKUP($AC61,'2017 Seattle Tracts'!$C$2:$Z$399,AO$1,FALSE)*AA61</f>
        <v>2.1272803507294061E-3</v>
      </c>
      <c r="AP61">
        <f>VLOOKUP($AC61,'2017 Seattle Tracts'!$C$2:$Z$399,AP$1,FALSE)*AA61</f>
        <v>1.4810179656976879E-3</v>
      </c>
      <c r="AQ61">
        <f>VLOOKUP($AC61,'2017 Seattle Tracts'!$C$2:$Z$399,AQ$1,FALSE)*AA61</f>
        <v>3.5005879189218078E-4</v>
      </c>
      <c r="AR61">
        <f>VLOOKUP($AC61,'2017 Seattle Tracts'!$C$2:$Z$399,AR$1,FALSE)*AA61</f>
        <v>4.3353434995877767E-3</v>
      </c>
      <c r="AS61">
        <f>VLOOKUP($AC61,'2017 Seattle Tracts'!$C$2:$Z$399,AS$1,FALSE)*AA61</f>
        <v>1.095953294616289E-2</v>
      </c>
      <c r="AT61">
        <f>VLOOKUP($AC61,'2017 Seattle Tracts'!$C$2:$Z$399,AT$1,FALSE)*AA61</f>
        <v>4.3084159002114555E-4</v>
      </c>
      <c r="AU61">
        <f>VLOOKUP($AC61,'2017 Seattle Tracts'!$C$2:$Z$399,AU$1,FALSE)*AA61</f>
        <v>0</v>
      </c>
      <c r="AV61">
        <f>VLOOKUP($AC61,'2017 Seattle Tracts'!$C$2:$Z$399,AV$1,FALSE)*AA61</f>
        <v>3.9045019095666315E-3</v>
      </c>
      <c r="AW61">
        <f>VLOOKUP($AC61,'2017 Seattle Tracts'!$C$2:$Z$399,AW$1,FALSE)*AA61</f>
        <v>2.3427011457399791E-3</v>
      </c>
      <c r="AX61">
        <f>VLOOKUP($AC61,'2017 Seattle Tracts'!$C$2:$Z$399,AX$1,FALSE)*AA61</f>
        <v>1.381385848005298E-2</v>
      </c>
      <c r="AY61">
        <f>VLOOKUP($AC61,'2017 Seattle Tracts'!$C$2:$Z$399,AY$1,FALSE)*AA61</f>
        <v>3.7698639126850235E-4</v>
      </c>
      <c r="BA61" s="2" t="s">
        <v>115</v>
      </c>
      <c r="BB61">
        <v>229.59885963728391</v>
      </c>
      <c r="BC61">
        <v>197.4439144317044</v>
      </c>
      <c r="BD61">
        <v>32.154945205579452</v>
      </c>
      <c r="BE61">
        <v>158.00188910396454</v>
      </c>
      <c r="BF61">
        <v>13.563458553164374</v>
      </c>
      <c r="BG61">
        <v>7.2686714625279292</v>
      </c>
      <c r="BH61">
        <v>2.0926597054084488</v>
      </c>
      <c r="BI61">
        <v>4.8034993789171807</v>
      </c>
      <c r="BJ61">
        <v>1.4192256856046548</v>
      </c>
      <c r="BK61">
        <v>0.16334232085311265</v>
      </c>
      <c r="BL61">
        <v>4.6129064450721926E-3</v>
      </c>
      <c r="BM61">
        <v>11.899929957980289</v>
      </c>
      <c r="BN61">
        <v>13.708025697547823</v>
      </c>
      <c r="BO61">
        <v>0.17355600161349147</v>
      </c>
      <c r="BP61">
        <v>0.13320260331350733</v>
      </c>
      <c r="BQ61">
        <v>3.1847992056783925</v>
      </c>
      <c r="BR61">
        <v>0.77838928814010555</v>
      </c>
      <c r="BS61">
        <v>11.948227000169512</v>
      </c>
      <c r="BT61">
        <v>0.4553707659554701</v>
      </c>
    </row>
    <row r="62" spans="1:72" x14ac:dyDescent="0.25">
      <c r="A62" t="s">
        <v>2917</v>
      </c>
      <c r="B62" t="s">
        <v>2918</v>
      </c>
      <c r="C62" t="s">
        <v>2966</v>
      </c>
      <c r="D62" t="s">
        <v>2860</v>
      </c>
      <c r="E62" t="s">
        <v>2861</v>
      </c>
      <c r="F62" t="s">
        <v>2862</v>
      </c>
      <c r="G62" t="s">
        <v>2920</v>
      </c>
      <c r="H62" t="s">
        <v>2921</v>
      </c>
      <c r="I62">
        <v>2594296</v>
      </c>
      <c r="J62">
        <v>817132</v>
      </c>
      <c r="K62" t="s">
        <v>2967</v>
      </c>
      <c r="L62" t="s">
        <v>2968</v>
      </c>
      <c r="M62">
        <v>2515783</v>
      </c>
      <c r="N62">
        <v>76</v>
      </c>
      <c r="O62">
        <v>24955.713</v>
      </c>
      <c r="P62" t="s">
        <v>170</v>
      </c>
      <c r="Q62">
        <v>19</v>
      </c>
      <c r="R62">
        <v>9</v>
      </c>
      <c r="S62">
        <v>9</v>
      </c>
      <c r="T62">
        <v>16153900</v>
      </c>
      <c r="U62">
        <v>78</v>
      </c>
      <c r="V62">
        <v>176</v>
      </c>
      <c r="W62">
        <v>24955.712841425851</v>
      </c>
      <c r="X62">
        <v>16153900.097700959</v>
      </c>
      <c r="Y62">
        <v>533560.36600000004</v>
      </c>
      <c r="Z62">
        <f>VLOOKUP($AC62,'2017 Seattle Tracts'!$C$2:$Z$399,24,FALSE)</f>
        <v>2515783.1209999998</v>
      </c>
      <c r="AA62">
        <f t="shared" si="1"/>
        <v>0.21208519985137467</v>
      </c>
      <c r="AB62" t="s">
        <v>175</v>
      </c>
      <c r="AC62" t="str">
        <f t="shared" si="0"/>
        <v>Census Tract 106, King County, Washington</v>
      </c>
      <c r="AD62">
        <f>VLOOKUP($AC62,'2017 Seattle Tracts'!$C$2:$Z$399,AD$1,FALSE)*AA62</f>
        <v>1766.2455443622482</v>
      </c>
      <c r="AE62">
        <f>VLOOKUP($AC62,'2017 Seattle Tracts'!$C$2:$Z$399,AE$1,FALSE)*AA62</f>
        <v>1573.8842680970515</v>
      </c>
      <c r="AF62">
        <f>VLOOKUP($AC62,'2017 Seattle Tracts'!$C$2:$Z$399,AF$1,FALSE)*AA62</f>
        <v>192.36127626519684</v>
      </c>
      <c r="AG62">
        <f>VLOOKUP($AC62,'2017 Seattle Tracts'!$C$2:$Z$399,AG$1,FALSE)*AA62</f>
        <v>1766.2455443622482</v>
      </c>
      <c r="AH62">
        <f>VLOOKUP($AC62,'2017 Seattle Tracts'!$C$2:$Z$399,AH$1,FALSE)*AA62</f>
        <v>1573.8842680970515</v>
      </c>
      <c r="AI62">
        <f>VLOOKUP($AC62,'2017 Seattle Tracts'!$C$2:$Z$399,AI$1,FALSE)*AA62</f>
        <v>192.36127626519684</v>
      </c>
      <c r="AJ62">
        <f>VLOOKUP($AC62,'2017 Seattle Tracts'!$C$2:$Z$399,AJ$1,FALSE)*AA62</f>
        <v>1292.2351226944259</v>
      </c>
      <c r="AK62">
        <f>VLOOKUP($AC62,'2017 Seattle Tracts'!$C$2:$Z$399,AK$1,FALSE)*AA62</f>
        <v>61.504707956898656</v>
      </c>
      <c r="AL62">
        <f>VLOOKUP($AC62,'2017 Seattle Tracts'!$C$2:$Z$399,AL$1,FALSE)*AA62</f>
        <v>55.990492760762912</v>
      </c>
      <c r="AM62">
        <f>VLOOKUP($AC62,'2017 Seattle Tracts'!$C$2:$Z$399,AM$1,FALSE)*AA62</f>
        <v>3.6054483974733693</v>
      </c>
      <c r="AN62">
        <f>VLOOKUP($AC62,'2017 Seattle Tracts'!$C$2:$Z$399,AN$1,FALSE)*AA62</f>
        <v>36.902824774139191</v>
      </c>
      <c r="AO62">
        <f>VLOOKUP($AC62,'2017 Seattle Tracts'!$C$2:$Z$399,AO$1,FALSE)*AA62</f>
        <v>16.754730788258598</v>
      </c>
      <c r="AP62">
        <f>VLOOKUP($AC62,'2017 Seattle Tracts'!$C$2:$Z$399,AP$1,FALSE)*AA62</f>
        <v>11.664685991825607</v>
      </c>
      <c r="AQ62">
        <f>VLOOKUP($AC62,'2017 Seattle Tracts'!$C$2:$Z$399,AQ$1,FALSE)*AA62</f>
        <v>2.7571075980678708</v>
      </c>
      <c r="AR62">
        <f>VLOOKUP($AC62,'2017 Seattle Tracts'!$C$2:$Z$399,AR$1,FALSE)*AA62</f>
        <v>34.145717176071322</v>
      </c>
      <c r="AS62">
        <f>VLOOKUP($AC62,'2017 Seattle Tracts'!$C$2:$Z$399,AS$1,FALSE)*AA62</f>
        <v>86.318676339509494</v>
      </c>
      <c r="AT62">
        <f>VLOOKUP($AC62,'2017 Seattle Tracts'!$C$2:$Z$399,AT$1,FALSE)*AA62</f>
        <v>3.3933631976219947</v>
      </c>
      <c r="AU62">
        <f>VLOOKUP($AC62,'2017 Seattle Tracts'!$C$2:$Z$399,AU$1,FALSE)*AA62</f>
        <v>0</v>
      </c>
      <c r="AV62">
        <f>VLOOKUP($AC62,'2017 Seattle Tracts'!$C$2:$Z$399,AV$1,FALSE)*AA62</f>
        <v>30.752353978449328</v>
      </c>
      <c r="AW62">
        <f>VLOOKUP($AC62,'2017 Seattle Tracts'!$C$2:$Z$399,AW$1,FALSE)*AA62</f>
        <v>18.451412387069595</v>
      </c>
      <c r="AX62">
        <f>VLOOKUP($AC62,'2017 Seattle Tracts'!$C$2:$Z$399,AX$1,FALSE)*AA62</f>
        <v>108.7997075237552</v>
      </c>
      <c r="AY62">
        <f>VLOOKUP($AC62,'2017 Seattle Tracts'!$C$2:$Z$399,AY$1,FALSE)*AA62</f>
        <v>2.9691927979192454</v>
      </c>
      <c r="BA62" s="2" t="s">
        <v>121</v>
      </c>
      <c r="BB62">
        <v>11004.742871322982</v>
      </c>
      <c r="BC62">
        <v>9923.607446038799</v>
      </c>
      <c r="BD62">
        <v>1081.135425284182</v>
      </c>
      <c r="BE62">
        <v>8706.5101244000944</v>
      </c>
      <c r="BF62">
        <v>661.55031429845633</v>
      </c>
      <c r="BG62">
        <v>189.41547165407388</v>
      </c>
      <c r="BH62">
        <v>36.543737303314145</v>
      </c>
      <c r="BI62">
        <v>63.853219615670831</v>
      </c>
      <c r="BJ62">
        <v>26.411124465388085</v>
      </c>
      <c r="BK62">
        <v>12.608307044096129</v>
      </c>
      <c r="BL62">
        <v>3.5167299819803324</v>
      </c>
      <c r="BM62">
        <v>393.1622181601241</v>
      </c>
      <c r="BN62">
        <v>307.43650461849677</v>
      </c>
      <c r="BO62">
        <v>15.011636304928288</v>
      </c>
      <c r="BP62">
        <v>1.5247323353218656E-2</v>
      </c>
      <c r="BQ62">
        <v>64.708299471853124</v>
      </c>
      <c r="BR62">
        <v>0.31325456902105364</v>
      </c>
      <c r="BS62">
        <v>478.33816938795798</v>
      </c>
      <c r="BT62">
        <v>45.34851272417206</v>
      </c>
    </row>
    <row r="63" spans="1:72" x14ac:dyDescent="0.25">
      <c r="A63" t="s">
        <v>2917</v>
      </c>
      <c r="B63" t="s">
        <v>2918</v>
      </c>
      <c r="C63" t="s">
        <v>2966</v>
      </c>
      <c r="D63" t="s">
        <v>2860</v>
      </c>
      <c r="E63" t="s">
        <v>2861</v>
      </c>
      <c r="F63" t="s">
        <v>2862</v>
      </c>
      <c r="G63" t="s">
        <v>2920</v>
      </c>
      <c r="H63" t="s">
        <v>2921</v>
      </c>
      <c r="I63">
        <v>2594296</v>
      </c>
      <c r="J63">
        <v>817132</v>
      </c>
      <c r="K63" t="s">
        <v>2967</v>
      </c>
      <c r="L63" t="s">
        <v>2968</v>
      </c>
      <c r="M63">
        <v>2515783</v>
      </c>
      <c r="N63">
        <v>92</v>
      </c>
      <c r="O63">
        <v>23180.396000000001</v>
      </c>
      <c r="P63" t="s">
        <v>191</v>
      </c>
      <c r="Q63">
        <v>20</v>
      </c>
      <c r="R63">
        <v>10</v>
      </c>
      <c r="S63">
        <v>95</v>
      </c>
      <c r="T63">
        <v>23343008</v>
      </c>
      <c r="U63">
        <v>94</v>
      </c>
      <c r="V63">
        <v>182</v>
      </c>
      <c r="W63">
        <v>23180.396359671431</v>
      </c>
      <c r="X63">
        <v>23343008.336782061</v>
      </c>
      <c r="Y63">
        <v>2058.3440000000001</v>
      </c>
      <c r="Z63">
        <f>VLOOKUP($AC63,'2017 Seattle Tracts'!$C$2:$Z$399,24,FALSE)</f>
        <v>2515783.1209999998</v>
      </c>
      <c r="AA63">
        <f t="shared" si="1"/>
        <v>8.1817227519271534E-4</v>
      </c>
      <c r="AB63" t="s">
        <v>194</v>
      </c>
      <c r="AC63" t="str">
        <f t="shared" si="0"/>
        <v>Census Tract 106, King County, Washington</v>
      </c>
      <c r="AD63">
        <f>VLOOKUP($AC63,'2017 Seattle Tracts'!$C$2:$Z$399,AD$1,FALSE)*AA63</f>
        <v>6.8137387078049336</v>
      </c>
      <c r="AE63">
        <f>VLOOKUP($AC63,'2017 Seattle Tracts'!$C$2:$Z$399,AE$1,FALSE)*AA63</f>
        <v>6.0716564542051401</v>
      </c>
      <c r="AF63">
        <f>VLOOKUP($AC63,'2017 Seattle Tracts'!$C$2:$Z$399,AF$1,FALSE)*AA63</f>
        <v>0.74208225359979285</v>
      </c>
      <c r="AG63">
        <f>VLOOKUP($AC63,'2017 Seattle Tracts'!$C$2:$Z$399,AG$1,FALSE)*AA63</f>
        <v>6.8137387078049336</v>
      </c>
      <c r="AH63">
        <f>VLOOKUP($AC63,'2017 Seattle Tracts'!$C$2:$Z$399,AH$1,FALSE)*AA63</f>
        <v>6.0716564542051401</v>
      </c>
      <c r="AI63">
        <f>VLOOKUP($AC63,'2017 Seattle Tracts'!$C$2:$Z$399,AI$1,FALSE)*AA63</f>
        <v>0.74208225359979285</v>
      </c>
      <c r="AJ63">
        <f>VLOOKUP($AC63,'2017 Seattle Tracts'!$C$2:$Z$399,AJ$1,FALSE)*AA63</f>
        <v>4.9851236727492143</v>
      </c>
      <c r="AK63">
        <f>VLOOKUP($AC63,'2017 Seattle Tracts'!$C$2:$Z$399,AK$1,FALSE)*AA63</f>
        <v>0.23726995980588744</v>
      </c>
      <c r="AL63">
        <f>VLOOKUP($AC63,'2017 Seattle Tracts'!$C$2:$Z$399,AL$1,FALSE)*AA63</f>
        <v>0.21599748065087684</v>
      </c>
      <c r="AM63">
        <f>VLOOKUP($AC63,'2017 Seattle Tracts'!$C$2:$Z$399,AM$1,FALSE)*AA63</f>
        <v>1.390892867827616E-2</v>
      </c>
      <c r="AN63">
        <f>VLOOKUP($AC63,'2017 Seattle Tracts'!$C$2:$Z$399,AN$1,FALSE)*AA63</f>
        <v>0.14236197588353247</v>
      </c>
      <c r="AO63">
        <f>VLOOKUP($AC63,'2017 Seattle Tracts'!$C$2:$Z$399,AO$1,FALSE)*AA63</f>
        <v>6.4635609740224517E-2</v>
      </c>
      <c r="AP63">
        <f>VLOOKUP($AC63,'2017 Seattle Tracts'!$C$2:$Z$399,AP$1,FALSE)*AA63</f>
        <v>4.4999475135599341E-2</v>
      </c>
      <c r="AQ63">
        <f>VLOOKUP($AC63,'2017 Seattle Tracts'!$C$2:$Z$399,AQ$1,FALSE)*AA63</f>
        <v>1.0636239577505299E-2</v>
      </c>
      <c r="AR63">
        <f>VLOOKUP($AC63,'2017 Seattle Tracts'!$C$2:$Z$399,AR$1,FALSE)*AA63</f>
        <v>0.13172573630602716</v>
      </c>
      <c r="AS63">
        <f>VLOOKUP($AC63,'2017 Seattle Tracts'!$C$2:$Z$399,AS$1,FALSE)*AA63</f>
        <v>0.33299611600343515</v>
      </c>
      <c r="AT63">
        <f>VLOOKUP($AC63,'2017 Seattle Tracts'!$C$2:$Z$399,AT$1,FALSE)*AA63</f>
        <v>1.3090756403083445E-2</v>
      </c>
      <c r="AU63">
        <f>VLOOKUP($AC63,'2017 Seattle Tracts'!$C$2:$Z$399,AU$1,FALSE)*AA63</f>
        <v>0</v>
      </c>
      <c r="AV63">
        <f>VLOOKUP($AC63,'2017 Seattle Tracts'!$C$2:$Z$399,AV$1,FALSE)*AA63</f>
        <v>0.11863497990294372</v>
      </c>
      <c r="AW63">
        <f>VLOOKUP($AC63,'2017 Seattle Tracts'!$C$2:$Z$399,AW$1,FALSE)*AA63</f>
        <v>7.1180987941766236E-2</v>
      </c>
      <c r="AX63">
        <f>VLOOKUP($AC63,'2017 Seattle Tracts'!$C$2:$Z$399,AX$1,FALSE)*AA63</f>
        <v>0.41972237717386296</v>
      </c>
      <c r="AY63">
        <f>VLOOKUP($AC63,'2017 Seattle Tracts'!$C$2:$Z$399,AY$1,FALSE)*AA63</f>
        <v>1.1454411852698014E-2</v>
      </c>
      <c r="BA63" s="2" t="s">
        <v>155</v>
      </c>
      <c r="BB63">
        <v>1804.2475462324123</v>
      </c>
      <c r="BC63">
        <v>1405.7926670143331</v>
      </c>
      <c r="BD63">
        <v>398.45487921807933</v>
      </c>
      <c r="BE63">
        <v>1046.7835367517448</v>
      </c>
      <c r="BF63">
        <v>100.43160183326708</v>
      </c>
      <c r="BG63">
        <v>47.145653040902737</v>
      </c>
      <c r="BH63">
        <v>15.630261220644973</v>
      </c>
      <c r="BI63">
        <v>104.01088897137767</v>
      </c>
      <c r="BJ63">
        <v>32.92094437817039</v>
      </c>
      <c r="BK63">
        <v>32.607415084134459</v>
      </c>
      <c r="BL63">
        <v>4.6033646277092721</v>
      </c>
      <c r="BM63">
        <v>57.568481275513747</v>
      </c>
      <c r="BN63">
        <v>200.20124679721692</v>
      </c>
      <c r="BO63">
        <v>2.4359212798549841</v>
      </c>
      <c r="BP63">
        <v>0</v>
      </c>
      <c r="BQ63">
        <v>13.262271945926829</v>
      </c>
      <c r="BR63">
        <v>41.386984122867695</v>
      </c>
      <c r="BS63">
        <v>101.97849866487786</v>
      </c>
      <c r="BT63">
        <v>3.2804762382030326</v>
      </c>
    </row>
    <row r="64" spans="1:72" x14ac:dyDescent="0.25">
      <c r="A64" t="s">
        <v>2917</v>
      </c>
      <c r="B64" t="s">
        <v>2918</v>
      </c>
      <c r="C64" t="s">
        <v>2969</v>
      </c>
      <c r="D64" t="s">
        <v>2851</v>
      </c>
      <c r="E64" t="s">
        <v>2852</v>
      </c>
      <c r="F64" t="s">
        <v>2853</v>
      </c>
      <c r="G64" t="s">
        <v>2920</v>
      </c>
      <c r="H64" t="s">
        <v>2921</v>
      </c>
      <c r="I64">
        <v>4093698</v>
      </c>
      <c r="J64">
        <v>330620</v>
      </c>
      <c r="K64" t="s">
        <v>2970</v>
      </c>
      <c r="L64" t="s">
        <v>2971</v>
      </c>
      <c r="M64">
        <v>4057517</v>
      </c>
      <c r="N64">
        <v>26</v>
      </c>
      <c r="O64">
        <v>86.52600000000001</v>
      </c>
      <c r="Q64">
        <v>0</v>
      </c>
      <c r="R64">
        <v>0</v>
      </c>
      <c r="S64">
        <v>0</v>
      </c>
      <c r="T64">
        <v>485.584</v>
      </c>
      <c r="U64">
        <v>28</v>
      </c>
      <c r="V64">
        <v>0</v>
      </c>
      <c r="W64">
        <v>86.526273946907651</v>
      </c>
      <c r="X64">
        <v>485.58415443652302</v>
      </c>
      <c r="Y64">
        <v>45.113</v>
      </c>
      <c r="Z64">
        <f>VLOOKUP($AC64,'2017 Seattle Tracts'!$C$2:$Z$399,24,FALSE)</f>
        <v>4057516.9249999998</v>
      </c>
      <c r="AA64">
        <f t="shared" si="1"/>
        <v>1.1118376296113663E-5</v>
      </c>
      <c r="AB64" t="s">
        <v>115</v>
      </c>
      <c r="AC64" t="str">
        <f t="shared" si="0"/>
        <v>Census Tract 108, King County, Washington</v>
      </c>
      <c r="AD64">
        <f>VLOOKUP($AC64,'2017 Seattle Tracts'!$C$2:$Z$399,AD$1,FALSE)*AA64</f>
        <v>5.5258330191684905E-2</v>
      </c>
      <c r="AE64">
        <f>VLOOKUP($AC64,'2017 Seattle Tracts'!$C$2:$Z$399,AE$1,FALSE)*AA64</f>
        <v>4.4517978689639109E-2</v>
      </c>
      <c r="AF64">
        <f>VLOOKUP($AC64,'2017 Seattle Tracts'!$C$2:$Z$399,AF$1,FALSE)*AA64</f>
        <v>1.0740351502045798E-2</v>
      </c>
      <c r="AG64">
        <f>VLOOKUP($AC64,'2017 Seattle Tracts'!$C$2:$Z$399,AG$1,FALSE)*AA64</f>
        <v>5.5258330191684905E-2</v>
      </c>
      <c r="AH64">
        <f>VLOOKUP($AC64,'2017 Seattle Tracts'!$C$2:$Z$399,AH$1,FALSE)*AA64</f>
        <v>4.4517978689639109E-2</v>
      </c>
      <c r="AI64">
        <f>VLOOKUP($AC64,'2017 Seattle Tracts'!$C$2:$Z$399,AI$1,FALSE)*AA64</f>
        <v>1.0740351502045798E-2</v>
      </c>
      <c r="AJ64">
        <f>VLOOKUP($AC64,'2017 Seattle Tracts'!$C$2:$Z$399,AJ$1,FALSE)*AA64</f>
        <v>2.6050355661794311E-2</v>
      </c>
      <c r="AK64">
        <f>VLOOKUP($AC64,'2017 Seattle Tracts'!$C$2:$Z$399,AK$1,FALSE)*AA64</f>
        <v>1.8901239703393227E-4</v>
      </c>
      <c r="AL64">
        <f>VLOOKUP($AC64,'2017 Seattle Tracts'!$C$2:$Z$399,AL$1,FALSE)*AA64</f>
        <v>1.8901239703393226E-3</v>
      </c>
      <c r="AM64">
        <f>VLOOKUP($AC64,'2017 Seattle Tracts'!$C$2:$Z$399,AM$1,FALSE)*AA64</f>
        <v>0</v>
      </c>
      <c r="AN64">
        <f>VLOOKUP($AC64,'2017 Seattle Tracts'!$C$2:$Z$399,AN$1,FALSE)*AA64</f>
        <v>4.4028770132610107E-3</v>
      </c>
      <c r="AO64">
        <f>VLOOKUP($AC64,'2017 Seattle Tracts'!$C$2:$Z$399,AO$1,FALSE)*AA64</f>
        <v>1.5788094340481401E-3</v>
      </c>
      <c r="AP64">
        <f>VLOOKUP($AC64,'2017 Seattle Tracts'!$C$2:$Z$399,AP$1,FALSE)*AA64</f>
        <v>0</v>
      </c>
      <c r="AQ64">
        <f>VLOOKUP($AC64,'2017 Seattle Tracts'!$C$2:$Z$399,AQ$1,FALSE)*AA64</f>
        <v>0</v>
      </c>
      <c r="AR64">
        <f>VLOOKUP($AC64,'2017 Seattle Tracts'!$C$2:$Z$399,AR$1,FALSE)*AA64</f>
        <v>5.3590573747267856E-3</v>
      </c>
      <c r="AS64">
        <f>VLOOKUP($AC64,'2017 Seattle Tracts'!$C$2:$Z$399,AS$1,FALSE)*AA64</f>
        <v>7.7383899020951096E-3</v>
      </c>
      <c r="AT64">
        <f>VLOOKUP($AC64,'2017 Seattle Tracts'!$C$2:$Z$399,AT$1,FALSE)*AA64</f>
        <v>6.5598420147070608E-4</v>
      </c>
      <c r="AU64">
        <f>VLOOKUP($AC64,'2017 Seattle Tracts'!$C$2:$Z$399,AU$1,FALSE)*AA64</f>
        <v>5.5591881480568318E-4</v>
      </c>
      <c r="AV64">
        <f>VLOOKUP($AC64,'2017 Seattle Tracts'!$C$2:$Z$399,AV$1,FALSE)*AA64</f>
        <v>1.3675602844219806E-3</v>
      </c>
      <c r="AW64">
        <f>VLOOKUP($AC64,'2017 Seattle Tracts'!$C$2:$Z$399,AW$1,FALSE)*AA64</f>
        <v>2.2236752592227326E-5</v>
      </c>
      <c r="AX64">
        <f>VLOOKUP($AC64,'2017 Seattle Tracts'!$C$2:$Z$399,AX$1,FALSE)*AA64</f>
        <v>4.7920201836249886E-3</v>
      </c>
      <c r="AY64">
        <f>VLOOKUP($AC64,'2017 Seattle Tracts'!$C$2:$Z$399,AY$1,FALSE)*AA64</f>
        <v>6.5598420147070608E-4</v>
      </c>
      <c r="BA64" s="2" t="s">
        <v>216</v>
      </c>
      <c r="BB64">
        <v>7117.5436589327574</v>
      </c>
      <c r="BC64">
        <v>5224.5287312500759</v>
      </c>
      <c r="BD64">
        <v>1893.014927682681</v>
      </c>
      <c r="BE64">
        <v>3842.6481655636926</v>
      </c>
      <c r="BF64">
        <v>587.6292555990151</v>
      </c>
      <c r="BG64">
        <v>164.78816554514469</v>
      </c>
      <c r="BH64">
        <v>103.54977312373541</v>
      </c>
      <c r="BI64">
        <v>247.59485718439345</v>
      </c>
      <c r="BJ64">
        <v>202.34869591565612</v>
      </c>
      <c r="BK64">
        <v>60.621165040924495</v>
      </c>
      <c r="BL64">
        <v>7.9500874346774193</v>
      </c>
      <c r="BM64">
        <v>335.52326893367228</v>
      </c>
      <c r="BN64">
        <v>765.17221930570736</v>
      </c>
      <c r="BO64">
        <v>1.4022831815490779</v>
      </c>
      <c r="BP64">
        <v>0.43394758492988361</v>
      </c>
      <c r="BQ64">
        <v>214.5476494381524</v>
      </c>
      <c r="BR64">
        <v>108.67043563011879</v>
      </c>
      <c r="BS64">
        <v>357.40317636254707</v>
      </c>
      <c r="BT64">
        <v>117.26051308884085</v>
      </c>
    </row>
    <row r="65" spans="1:72" x14ac:dyDescent="0.25">
      <c r="A65" t="s">
        <v>2917</v>
      </c>
      <c r="B65" t="s">
        <v>2918</v>
      </c>
      <c r="C65" t="s">
        <v>2969</v>
      </c>
      <c r="D65" t="s">
        <v>2851</v>
      </c>
      <c r="E65" t="s">
        <v>2852</v>
      </c>
      <c r="F65" t="s">
        <v>2853</v>
      </c>
      <c r="G65" t="s">
        <v>2920</v>
      </c>
      <c r="H65" t="s">
        <v>2921</v>
      </c>
      <c r="I65">
        <v>4093698</v>
      </c>
      <c r="J65">
        <v>330620</v>
      </c>
      <c r="K65" t="s">
        <v>2970</v>
      </c>
      <c r="L65" t="s">
        <v>2971</v>
      </c>
      <c r="M65">
        <v>4057517</v>
      </c>
      <c r="N65">
        <v>69</v>
      </c>
      <c r="O65">
        <v>30433.403999999999</v>
      </c>
      <c r="P65" t="s">
        <v>122</v>
      </c>
      <c r="Q65">
        <v>18</v>
      </c>
      <c r="R65">
        <v>12</v>
      </c>
      <c r="S65">
        <v>9</v>
      </c>
      <c r="T65">
        <v>29423452</v>
      </c>
      <c r="U65">
        <v>71</v>
      </c>
      <c r="V65">
        <v>187</v>
      </c>
      <c r="W65">
        <v>30433.404868631082</v>
      </c>
      <c r="X65">
        <v>29423452.15209388</v>
      </c>
      <c r="Y65">
        <v>3650.694</v>
      </c>
      <c r="Z65">
        <f>VLOOKUP($AC65,'2017 Seattle Tracts'!$C$2:$Z$399,24,FALSE)</f>
        <v>4057516.9249999998</v>
      </c>
      <c r="AA65">
        <f t="shared" si="1"/>
        <v>8.9973598816226754E-4</v>
      </c>
      <c r="AB65" t="s">
        <v>167</v>
      </c>
      <c r="AC65" t="str">
        <f t="shared" si="0"/>
        <v>Census Tract 108, King County, Washington</v>
      </c>
      <c r="AD65">
        <f>VLOOKUP($AC65,'2017 Seattle Tracts'!$C$2:$Z$399,AD$1,FALSE)*AA65</f>
        <v>4.4716878611664699</v>
      </c>
      <c r="AE65">
        <f>VLOOKUP($AC65,'2017 Seattle Tracts'!$C$2:$Z$399,AE$1,FALSE)*AA65</f>
        <v>3.6025428966017192</v>
      </c>
      <c r="AF65">
        <f>VLOOKUP($AC65,'2017 Seattle Tracts'!$C$2:$Z$399,AF$1,FALSE)*AA65</f>
        <v>0.86914496456475043</v>
      </c>
      <c r="AG65">
        <f>VLOOKUP($AC65,'2017 Seattle Tracts'!$C$2:$Z$399,AG$1,FALSE)*AA65</f>
        <v>4.4716878611664699</v>
      </c>
      <c r="AH65">
        <f>VLOOKUP($AC65,'2017 Seattle Tracts'!$C$2:$Z$399,AH$1,FALSE)*AA65</f>
        <v>3.6025428966017192</v>
      </c>
      <c r="AI65">
        <f>VLOOKUP($AC65,'2017 Seattle Tracts'!$C$2:$Z$399,AI$1,FALSE)*AA65</f>
        <v>0.86914496456475043</v>
      </c>
      <c r="AJ65">
        <f>VLOOKUP($AC65,'2017 Seattle Tracts'!$C$2:$Z$399,AJ$1,FALSE)*AA65</f>
        <v>2.1080814202641927</v>
      </c>
      <c r="AK65">
        <f>VLOOKUP($AC65,'2017 Seattle Tracts'!$C$2:$Z$399,AK$1,FALSE)*AA65</f>
        <v>1.5295511798758548E-2</v>
      </c>
      <c r="AL65">
        <f>VLOOKUP($AC65,'2017 Seattle Tracts'!$C$2:$Z$399,AL$1,FALSE)*AA65</f>
        <v>0.15295511798758549</v>
      </c>
      <c r="AM65">
        <f>VLOOKUP($AC65,'2017 Seattle Tracts'!$C$2:$Z$399,AM$1,FALSE)*AA65</f>
        <v>0</v>
      </c>
      <c r="AN65">
        <f>VLOOKUP($AC65,'2017 Seattle Tracts'!$C$2:$Z$399,AN$1,FALSE)*AA65</f>
        <v>0.35629545131225793</v>
      </c>
      <c r="AO65">
        <f>VLOOKUP($AC65,'2017 Seattle Tracts'!$C$2:$Z$399,AO$1,FALSE)*AA65</f>
        <v>0.12776251031904198</v>
      </c>
      <c r="AP65">
        <f>VLOOKUP($AC65,'2017 Seattle Tracts'!$C$2:$Z$399,AP$1,FALSE)*AA65</f>
        <v>0</v>
      </c>
      <c r="AQ65">
        <f>VLOOKUP($AC65,'2017 Seattle Tracts'!$C$2:$Z$399,AQ$1,FALSE)*AA65</f>
        <v>0</v>
      </c>
      <c r="AR65">
        <f>VLOOKUP($AC65,'2017 Seattle Tracts'!$C$2:$Z$399,AR$1,FALSE)*AA65</f>
        <v>0.43367274629421293</v>
      </c>
      <c r="AS65">
        <f>VLOOKUP($AC65,'2017 Seattle Tracts'!$C$2:$Z$399,AS$1,FALSE)*AA65</f>
        <v>0.6262162477609382</v>
      </c>
      <c r="AT65">
        <f>VLOOKUP($AC65,'2017 Seattle Tracts'!$C$2:$Z$399,AT$1,FALSE)*AA65</f>
        <v>5.3084423301573785E-2</v>
      </c>
      <c r="AU65">
        <f>VLOOKUP($AC65,'2017 Seattle Tracts'!$C$2:$Z$399,AU$1,FALSE)*AA65</f>
        <v>4.4986799408113377E-2</v>
      </c>
      <c r="AV65">
        <f>VLOOKUP($AC65,'2017 Seattle Tracts'!$C$2:$Z$399,AV$1,FALSE)*AA65</f>
        <v>0.11066752654395891</v>
      </c>
      <c r="AW65">
        <f>VLOOKUP($AC65,'2017 Seattle Tracts'!$C$2:$Z$399,AW$1,FALSE)*AA65</f>
        <v>1.7994719763245351E-3</v>
      </c>
      <c r="AX65">
        <f>VLOOKUP($AC65,'2017 Seattle Tracts'!$C$2:$Z$399,AX$1,FALSE)*AA65</f>
        <v>0.3877862108979373</v>
      </c>
      <c r="AY65">
        <f>VLOOKUP($AC65,'2017 Seattle Tracts'!$C$2:$Z$399,AY$1,FALSE)*AA65</f>
        <v>5.3084423301573785E-2</v>
      </c>
      <c r="BA65" s="2" t="s">
        <v>162</v>
      </c>
      <c r="BB65">
        <v>3198.2234917871092</v>
      </c>
      <c r="BC65">
        <v>2202.2441126837616</v>
      </c>
      <c r="BD65">
        <v>995.97937910334736</v>
      </c>
      <c r="BE65">
        <v>1418.6699235193539</v>
      </c>
      <c r="BF65">
        <v>167.51128747074881</v>
      </c>
      <c r="BG65">
        <v>80.359709848076605</v>
      </c>
      <c r="BH65">
        <v>32.803743108401846</v>
      </c>
      <c r="BI65">
        <v>268.25183223952456</v>
      </c>
      <c r="BJ65">
        <v>66.341969026739662</v>
      </c>
      <c r="BK65">
        <v>106.89396234909729</v>
      </c>
      <c r="BL65">
        <v>17.128569381408287</v>
      </c>
      <c r="BM65">
        <v>81.377745311383919</v>
      </c>
      <c r="BN65">
        <v>647.08627368301518</v>
      </c>
      <c r="BO65">
        <v>5.7975011926677613</v>
      </c>
      <c r="BP65">
        <v>1.8276121725698187</v>
      </c>
      <c r="BQ65">
        <v>57.187440016090569</v>
      </c>
      <c r="BR65">
        <v>39.939082421128276</v>
      </c>
      <c r="BS65">
        <v>183.70599820756726</v>
      </c>
      <c r="BT65">
        <v>23.340841839335546</v>
      </c>
    </row>
    <row r="66" spans="1:72" x14ac:dyDescent="0.25">
      <c r="A66" t="s">
        <v>2917</v>
      </c>
      <c r="B66" t="s">
        <v>2918</v>
      </c>
      <c r="C66" t="s">
        <v>2969</v>
      </c>
      <c r="D66" t="s">
        <v>2851</v>
      </c>
      <c r="E66" t="s">
        <v>2852</v>
      </c>
      <c r="F66" t="s">
        <v>2853</v>
      </c>
      <c r="G66" t="s">
        <v>2920</v>
      </c>
      <c r="H66" t="s">
        <v>2921</v>
      </c>
      <c r="I66">
        <v>4093698</v>
      </c>
      <c r="J66">
        <v>330620</v>
      </c>
      <c r="K66" t="s">
        <v>2970</v>
      </c>
      <c r="L66" t="s">
        <v>2971</v>
      </c>
      <c r="M66">
        <v>4057517</v>
      </c>
      <c r="N66">
        <v>89</v>
      </c>
      <c r="O66">
        <v>31111.062999999998</v>
      </c>
      <c r="P66" t="s">
        <v>191</v>
      </c>
      <c r="Q66">
        <v>20</v>
      </c>
      <c r="R66">
        <v>10</v>
      </c>
      <c r="S66">
        <v>23</v>
      </c>
      <c r="T66">
        <v>39810332</v>
      </c>
      <c r="U66">
        <v>91</v>
      </c>
      <c r="V66">
        <v>188</v>
      </c>
      <c r="W66">
        <v>31111.063083771449</v>
      </c>
      <c r="X66">
        <v>39810333.415949456</v>
      </c>
      <c r="Y66">
        <v>3896.2979999999998</v>
      </c>
      <c r="Z66">
        <f>VLOOKUP($AC66,'2017 Seattle Tracts'!$C$2:$Z$399,24,FALSE)</f>
        <v>4057516.9249999998</v>
      </c>
      <c r="AA66">
        <f t="shared" si="1"/>
        <v>9.6026660443320269E-4</v>
      </c>
      <c r="AB66" t="s">
        <v>190</v>
      </c>
      <c r="AC66" t="str">
        <f t="shared" si="0"/>
        <v>Census Tract 108, King County, Washington</v>
      </c>
      <c r="AD66">
        <f>VLOOKUP($AC66,'2017 Seattle Tracts'!$C$2:$Z$399,AD$1,FALSE)*AA66</f>
        <v>4.7725250240330173</v>
      </c>
      <c r="AE66">
        <f>VLOOKUP($AC66,'2017 Seattle Tracts'!$C$2:$Z$399,AE$1,FALSE)*AA66</f>
        <v>3.8449074841505437</v>
      </c>
      <c r="AF66">
        <f>VLOOKUP($AC66,'2017 Seattle Tracts'!$C$2:$Z$399,AF$1,FALSE)*AA66</f>
        <v>0.92761753988247375</v>
      </c>
      <c r="AG66">
        <f>VLOOKUP($AC66,'2017 Seattle Tracts'!$C$2:$Z$399,AG$1,FALSE)*AA66</f>
        <v>4.7725250240330173</v>
      </c>
      <c r="AH66">
        <f>VLOOKUP($AC66,'2017 Seattle Tracts'!$C$2:$Z$399,AH$1,FALSE)*AA66</f>
        <v>3.8449074841505437</v>
      </c>
      <c r="AI66">
        <f>VLOOKUP($AC66,'2017 Seattle Tracts'!$C$2:$Z$399,AI$1,FALSE)*AA66</f>
        <v>0.92761753988247375</v>
      </c>
      <c r="AJ66">
        <f>VLOOKUP($AC66,'2017 Seattle Tracts'!$C$2:$Z$399,AJ$1,FALSE)*AA66</f>
        <v>2.2499046541869938</v>
      </c>
      <c r="AK66">
        <f>VLOOKUP($AC66,'2017 Seattle Tracts'!$C$2:$Z$399,AK$1,FALSE)*AA66</f>
        <v>1.6324532275364446E-2</v>
      </c>
      <c r="AL66">
        <f>VLOOKUP($AC66,'2017 Seattle Tracts'!$C$2:$Z$399,AL$1,FALSE)*AA66</f>
        <v>0.16324532275364445</v>
      </c>
      <c r="AM66">
        <f>VLOOKUP($AC66,'2017 Seattle Tracts'!$C$2:$Z$399,AM$1,FALSE)*AA66</f>
        <v>0</v>
      </c>
      <c r="AN66">
        <f>VLOOKUP($AC66,'2017 Seattle Tracts'!$C$2:$Z$399,AN$1,FALSE)*AA66</f>
        <v>0.38026557535554828</v>
      </c>
      <c r="AO66">
        <f>VLOOKUP($AC66,'2017 Seattle Tracts'!$C$2:$Z$399,AO$1,FALSE)*AA66</f>
        <v>0.13635785782951479</v>
      </c>
      <c r="AP66">
        <f>VLOOKUP($AC66,'2017 Seattle Tracts'!$C$2:$Z$399,AP$1,FALSE)*AA66</f>
        <v>0</v>
      </c>
      <c r="AQ66">
        <f>VLOOKUP($AC66,'2017 Seattle Tracts'!$C$2:$Z$399,AQ$1,FALSE)*AA66</f>
        <v>0</v>
      </c>
      <c r="AR66">
        <f>VLOOKUP($AC66,'2017 Seattle Tracts'!$C$2:$Z$399,AR$1,FALSE)*AA66</f>
        <v>0.46284850333680372</v>
      </c>
      <c r="AS66">
        <f>VLOOKUP($AC66,'2017 Seattle Tracts'!$C$2:$Z$399,AS$1,FALSE)*AA66</f>
        <v>0.6683455566855091</v>
      </c>
      <c r="AT66">
        <f>VLOOKUP($AC66,'2017 Seattle Tracts'!$C$2:$Z$399,AT$1,FALSE)*AA66</f>
        <v>5.6655729661558962E-2</v>
      </c>
      <c r="AU66">
        <f>VLOOKUP($AC66,'2017 Seattle Tracts'!$C$2:$Z$399,AU$1,FALSE)*AA66</f>
        <v>4.8013330221660135E-2</v>
      </c>
      <c r="AV66">
        <f>VLOOKUP($AC66,'2017 Seattle Tracts'!$C$2:$Z$399,AV$1,FALSE)*AA66</f>
        <v>0.11811279234528393</v>
      </c>
      <c r="AW66">
        <f>VLOOKUP($AC66,'2017 Seattle Tracts'!$C$2:$Z$399,AW$1,FALSE)*AA66</f>
        <v>1.9205332088664054E-3</v>
      </c>
      <c r="AX66">
        <f>VLOOKUP($AC66,'2017 Seattle Tracts'!$C$2:$Z$399,AX$1,FALSE)*AA66</f>
        <v>0.41387490651071035</v>
      </c>
      <c r="AY66">
        <f>VLOOKUP($AC66,'2017 Seattle Tracts'!$C$2:$Z$399,AY$1,FALSE)*AA66</f>
        <v>5.6655729661558962E-2</v>
      </c>
      <c r="BA66" s="2" t="s">
        <v>200</v>
      </c>
      <c r="BB66">
        <v>1957.1680149903636</v>
      </c>
      <c r="BC66">
        <v>1697.6113087134249</v>
      </c>
      <c r="BD66">
        <v>259.55670627693877</v>
      </c>
      <c r="BE66">
        <v>1459.4082038039508</v>
      </c>
      <c r="BF66">
        <v>122.5991250925115</v>
      </c>
      <c r="BG66">
        <v>26.139753398103053</v>
      </c>
      <c r="BH66">
        <v>6.2588141939119986</v>
      </c>
      <c r="BI66">
        <v>14.358456091915761</v>
      </c>
      <c r="BJ66">
        <v>0</v>
      </c>
      <c r="BK66">
        <v>4.4179864898202341</v>
      </c>
      <c r="BL66">
        <v>0</v>
      </c>
      <c r="BM66">
        <v>110.8178277863242</v>
      </c>
      <c r="BN66">
        <v>99.036530480136918</v>
      </c>
      <c r="BO66">
        <v>0</v>
      </c>
      <c r="BP66">
        <v>17.671945959280936</v>
      </c>
      <c r="BQ66">
        <v>5.5224831122752924</v>
      </c>
      <c r="BR66">
        <v>0</v>
      </c>
      <c r="BS66">
        <v>76.946598031035748</v>
      </c>
      <c r="BT66">
        <v>13.990290551097408</v>
      </c>
    </row>
    <row r="67" spans="1:72" x14ac:dyDescent="0.25">
      <c r="A67" t="s">
        <v>2917</v>
      </c>
      <c r="B67" t="s">
        <v>2918</v>
      </c>
      <c r="C67" t="s">
        <v>2969</v>
      </c>
      <c r="D67" t="s">
        <v>2851</v>
      </c>
      <c r="E67" t="s">
        <v>2852</v>
      </c>
      <c r="F67" t="s">
        <v>2853</v>
      </c>
      <c r="G67" t="s">
        <v>2920</v>
      </c>
      <c r="H67" t="s">
        <v>2921</v>
      </c>
      <c r="I67">
        <v>4093698</v>
      </c>
      <c r="J67">
        <v>330620</v>
      </c>
      <c r="K67" t="s">
        <v>2970</v>
      </c>
      <c r="L67" t="s">
        <v>2971</v>
      </c>
      <c r="M67">
        <v>4057517</v>
      </c>
      <c r="N67">
        <v>90</v>
      </c>
      <c r="O67">
        <v>23549.932000000001</v>
      </c>
      <c r="P67" t="s">
        <v>191</v>
      </c>
      <c r="Q67">
        <v>20</v>
      </c>
      <c r="R67">
        <v>10</v>
      </c>
      <c r="S67">
        <v>23</v>
      </c>
      <c r="T67">
        <v>29454656</v>
      </c>
      <c r="U67">
        <v>92</v>
      </c>
      <c r="V67">
        <v>174</v>
      </c>
      <c r="W67">
        <v>23549.93136663039</v>
      </c>
      <c r="X67">
        <v>29454656.567178611</v>
      </c>
      <c r="Y67">
        <v>284249.88500000001</v>
      </c>
      <c r="Z67">
        <f>VLOOKUP($AC67,'2017 Seattle Tracts'!$C$2:$Z$399,24,FALSE)</f>
        <v>4057516.9249999998</v>
      </c>
      <c r="AA67">
        <f t="shared" si="1"/>
        <v>7.0055132302374812E-2</v>
      </c>
      <c r="AB67" t="s">
        <v>192</v>
      </c>
      <c r="AC67" t="str">
        <f t="shared" ref="AC67:AC130" si="2">_xlfn.CONCAT(F67, ", King County, Washington")</f>
        <v>Census Tract 108, King County, Washington</v>
      </c>
      <c r="AD67">
        <f>VLOOKUP($AC67,'2017 Seattle Tracts'!$C$2:$Z$399,AD$1,FALSE)*AA67</f>
        <v>348.17400754280283</v>
      </c>
      <c r="AE67">
        <f>VLOOKUP($AC67,'2017 Seattle Tracts'!$C$2:$Z$399,AE$1,FALSE)*AA67</f>
        <v>280.50074973870875</v>
      </c>
      <c r="AF67">
        <f>VLOOKUP($AC67,'2017 Seattle Tracts'!$C$2:$Z$399,AF$1,FALSE)*AA67</f>
        <v>67.673257804094064</v>
      </c>
      <c r="AG67">
        <f>VLOOKUP($AC67,'2017 Seattle Tracts'!$C$2:$Z$399,AG$1,FALSE)*AA67</f>
        <v>348.17400754280283</v>
      </c>
      <c r="AH67">
        <f>VLOOKUP($AC67,'2017 Seattle Tracts'!$C$2:$Z$399,AH$1,FALSE)*AA67</f>
        <v>280.50074973870875</v>
      </c>
      <c r="AI67">
        <f>VLOOKUP($AC67,'2017 Seattle Tracts'!$C$2:$Z$399,AI$1,FALSE)*AA67</f>
        <v>67.673257804094064</v>
      </c>
      <c r="AJ67">
        <f>VLOOKUP($AC67,'2017 Seattle Tracts'!$C$2:$Z$399,AJ$1,FALSE)*AA67</f>
        <v>164.13917498446418</v>
      </c>
      <c r="AK67">
        <f>VLOOKUP($AC67,'2017 Seattle Tracts'!$C$2:$Z$399,AK$1,FALSE)*AA67</f>
        <v>1.1909372491403718</v>
      </c>
      <c r="AL67">
        <f>VLOOKUP($AC67,'2017 Seattle Tracts'!$C$2:$Z$399,AL$1,FALSE)*AA67</f>
        <v>11.909372491403719</v>
      </c>
      <c r="AM67">
        <f>VLOOKUP($AC67,'2017 Seattle Tracts'!$C$2:$Z$399,AM$1,FALSE)*AA67</f>
        <v>0</v>
      </c>
      <c r="AN67">
        <f>VLOOKUP($AC67,'2017 Seattle Tracts'!$C$2:$Z$399,AN$1,FALSE)*AA67</f>
        <v>27.741832391740424</v>
      </c>
      <c r="AO67">
        <f>VLOOKUP($AC67,'2017 Seattle Tracts'!$C$2:$Z$399,AO$1,FALSE)*AA67</f>
        <v>9.9478287869372224</v>
      </c>
      <c r="AP67">
        <f>VLOOKUP($AC67,'2017 Seattle Tracts'!$C$2:$Z$399,AP$1,FALSE)*AA67</f>
        <v>0</v>
      </c>
      <c r="AQ67">
        <f>VLOOKUP($AC67,'2017 Seattle Tracts'!$C$2:$Z$399,AQ$1,FALSE)*AA67</f>
        <v>0</v>
      </c>
      <c r="AR67">
        <f>VLOOKUP($AC67,'2017 Seattle Tracts'!$C$2:$Z$399,AR$1,FALSE)*AA67</f>
        <v>33.76657376974466</v>
      </c>
      <c r="AS67">
        <f>VLOOKUP($AC67,'2017 Seattle Tracts'!$C$2:$Z$399,AS$1,FALSE)*AA67</f>
        <v>48.758372082452865</v>
      </c>
      <c r="AT67">
        <f>VLOOKUP($AC67,'2017 Seattle Tracts'!$C$2:$Z$399,AT$1,FALSE)*AA67</f>
        <v>4.1332528058401135</v>
      </c>
      <c r="AU67">
        <f>VLOOKUP($AC67,'2017 Seattle Tracts'!$C$2:$Z$399,AU$1,FALSE)*AA67</f>
        <v>3.5027566151187406</v>
      </c>
      <c r="AV67">
        <f>VLOOKUP($AC67,'2017 Seattle Tracts'!$C$2:$Z$399,AV$1,FALSE)*AA67</f>
        <v>8.6167812731921014</v>
      </c>
      <c r="AW67">
        <f>VLOOKUP($AC67,'2017 Seattle Tracts'!$C$2:$Z$399,AW$1,FALSE)*AA67</f>
        <v>0.14011026460474962</v>
      </c>
      <c r="AX67">
        <f>VLOOKUP($AC67,'2017 Seattle Tracts'!$C$2:$Z$399,AX$1,FALSE)*AA67</f>
        <v>30.193762022323543</v>
      </c>
      <c r="AY67">
        <f>VLOOKUP($AC67,'2017 Seattle Tracts'!$C$2:$Z$399,AY$1,FALSE)*AA67</f>
        <v>4.1332528058401135</v>
      </c>
      <c r="BA67" s="2" t="s">
        <v>186</v>
      </c>
      <c r="BB67">
        <v>7774.3599204891889</v>
      </c>
      <c r="BC67">
        <v>5114.0734163011666</v>
      </c>
      <c r="BD67">
        <v>2660.2865041880227</v>
      </c>
      <c r="BE67">
        <v>1499.9075554518604</v>
      </c>
      <c r="BF67">
        <v>92.716718491804542</v>
      </c>
      <c r="BG67">
        <v>248.14025532126834</v>
      </c>
      <c r="BH67">
        <v>139.93985432508708</v>
      </c>
      <c r="BI67">
        <v>1600.4838353127261</v>
      </c>
      <c r="BJ67">
        <v>507.0776635877894</v>
      </c>
      <c r="BK67">
        <v>67.02503279730513</v>
      </c>
      <c r="BL67">
        <v>6.4351262072435018</v>
      </c>
      <c r="BM67">
        <v>828.24050077343134</v>
      </c>
      <c r="BN67">
        <v>1650.383534102501</v>
      </c>
      <c r="BO67">
        <v>141.99950801877162</v>
      </c>
      <c r="BP67">
        <v>37.508679810614737</v>
      </c>
      <c r="BQ67">
        <v>96.859808704087172</v>
      </c>
      <c r="BR67">
        <v>188.59208577849267</v>
      </c>
      <c r="BS67">
        <v>631.41691992171639</v>
      </c>
      <c r="BT67">
        <v>37.63284188448975</v>
      </c>
    </row>
    <row r="68" spans="1:72" x14ac:dyDescent="0.25">
      <c r="A68" t="s">
        <v>2917</v>
      </c>
      <c r="B68" t="s">
        <v>2918</v>
      </c>
      <c r="C68" t="s">
        <v>2969</v>
      </c>
      <c r="D68" t="s">
        <v>2851</v>
      </c>
      <c r="E68" t="s">
        <v>2852</v>
      </c>
      <c r="F68" t="s">
        <v>2853</v>
      </c>
      <c r="G68" t="s">
        <v>2920</v>
      </c>
      <c r="H68" t="s">
        <v>2921</v>
      </c>
      <c r="I68">
        <v>4093698</v>
      </c>
      <c r="J68">
        <v>330620</v>
      </c>
      <c r="K68" t="s">
        <v>2970</v>
      </c>
      <c r="L68" t="s">
        <v>2971</v>
      </c>
      <c r="M68">
        <v>4057517</v>
      </c>
      <c r="N68">
        <v>91</v>
      </c>
      <c r="O68">
        <v>25917.116999999998</v>
      </c>
      <c r="P68" t="s">
        <v>191</v>
      </c>
      <c r="Q68">
        <v>20</v>
      </c>
      <c r="R68">
        <v>10</v>
      </c>
      <c r="S68">
        <v>24</v>
      </c>
      <c r="T68">
        <v>33038268</v>
      </c>
      <c r="U68">
        <v>93</v>
      </c>
      <c r="V68">
        <v>180</v>
      </c>
      <c r="W68">
        <v>25917.117639101471</v>
      </c>
      <c r="X68">
        <v>33038267.192843691</v>
      </c>
      <c r="Y68">
        <v>3007707.1379999998</v>
      </c>
      <c r="Z68">
        <f>VLOOKUP($AC68,'2017 Seattle Tracts'!$C$2:$Z$399,24,FALSE)</f>
        <v>4057516.9249999998</v>
      </c>
      <c r="AA68">
        <f t="shared" ref="AA68:AA131" si="3">Y68/Z68</f>
        <v>0.74126792163658073</v>
      </c>
      <c r="AB68" t="s">
        <v>193</v>
      </c>
      <c r="AC68" t="str">
        <f t="shared" si="2"/>
        <v>Census Tract 108, King County, Washington</v>
      </c>
      <c r="AD68">
        <f>VLOOKUP($AC68,'2017 Seattle Tracts'!$C$2:$Z$399,AD$1,FALSE)*AA68</f>
        <v>3684.1015705338064</v>
      </c>
      <c r="AE68">
        <f>VLOOKUP($AC68,'2017 Seattle Tracts'!$C$2:$Z$399,AE$1,FALSE)*AA68</f>
        <v>2968.036758232869</v>
      </c>
      <c r="AF68">
        <f>VLOOKUP($AC68,'2017 Seattle Tracts'!$C$2:$Z$399,AF$1,FALSE)*AA68</f>
        <v>716.06481230093698</v>
      </c>
      <c r="AG68">
        <f>VLOOKUP($AC68,'2017 Seattle Tracts'!$C$2:$Z$399,AG$1,FALSE)*AA68</f>
        <v>3684.1015705338064</v>
      </c>
      <c r="AH68">
        <f>VLOOKUP($AC68,'2017 Seattle Tracts'!$C$2:$Z$399,AH$1,FALSE)*AA68</f>
        <v>2968.036758232869</v>
      </c>
      <c r="AI68">
        <f>VLOOKUP($AC68,'2017 Seattle Tracts'!$C$2:$Z$399,AI$1,FALSE)*AA68</f>
        <v>716.06481230093698</v>
      </c>
      <c r="AJ68">
        <f>VLOOKUP($AC68,'2017 Seattle Tracts'!$C$2:$Z$399,AJ$1,FALSE)*AA68</f>
        <v>1736.7907403945087</v>
      </c>
      <c r="AK68">
        <f>VLOOKUP($AC68,'2017 Seattle Tracts'!$C$2:$Z$399,AK$1,FALSE)*AA68</f>
        <v>12.601554667821873</v>
      </c>
      <c r="AL68">
        <f>VLOOKUP($AC68,'2017 Seattle Tracts'!$C$2:$Z$399,AL$1,FALSE)*AA68</f>
        <v>126.01554667821873</v>
      </c>
      <c r="AM68">
        <f>VLOOKUP($AC68,'2017 Seattle Tracts'!$C$2:$Z$399,AM$1,FALSE)*AA68</f>
        <v>0</v>
      </c>
      <c r="AN68">
        <f>VLOOKUP($AC68,'2017 Seattle Tracts'!$C$2:$Z$399,AN$1,FALSE)*AA68</f>
        <v>293.54209696808596</v>
      </c>
      <c r="AO68">
        <f>VLOOKUP($AC68,'2017 Seattle Tracts'!$C$2:$Z$399,AO$1,FALSE)*AA68</f>
        <v>105.26004487239446</v>
      </c>
      <c r="AP68">
        <f>VLOOKUP($AC68,'2017 Seattle Tracts'!$C$2:$Z$399,AP$1,FALSE)*AA68</f>
        <v>0</v>
      </c>
      <c r="AQ68">
        <f>VLOOKUP($AC68,'2017 Seattle Tracts'!$C$2:$Z$399,AQ$1,FALSE)*AA68</f>
        <v>0</v>
      </c>
      <c r="AR68">
        <f>VLOOKUP($AC68,'2017 Seattle Tracts'!$C$2:$Z$399,AR$1,FALSE)*AA68</f>
        <v>357.29113822883193</v>
      </c>
      <c r="AS68">
        <f>VLOOKUP($AC68,'2017 Seattle Tracts'!$C$2:$Z$399,AS$1,FALSE)*AA68</f>
        <v>515.92247345906014</v>
      </c>
      <c r="AT68">
        <f>VLOOKUP($AC68,'2017 Seattle Tracts'!$C$2:$Z$399,AT$1,FALSE)*AA68</f>
        <v>43.734807376558265</v>
      </c>
      <c r="AU68">
        <f>VLOOKUP($AC68,'2017 Seattle Tracts'!$C$2:$Z$399,AU$1,FALSE)*AA68</f>
        <v>37.063396081829033</v>
      </c>
      <c r="AV68">
        <f>VLOOKUP($AC68,'2017 Seattle Tracts'!$C$2:$Z$399,AV$1,FALSE)*AA68</f>
        <v>91.175954361299432</v>
      </c>
      <c r="AW68">
        <f>VLOOKUP($AC68,'2017 Seattle Tracts'!$C$2:$Z$399,AW$1,FALSE)*AA68</f>
        <v>1.4825358432731615</v>
      </c>
      <c r="AX68">
        <f>VLOOKUP($AC68,'2017 Seattle Tracts'!$C$2:$Z$399,AX$1,FALSE)*AA68</f>
        <v>319.48647422536629</v>
      </c>
      <c r="AY68">
        <f>VLOOKUP($AC68,'2017 Seattle Tracts'!$C$2:$Z$399,AY$1,FALSE)*AA68</f>
        <v>43.734807376558265</v>
      </c>
      <c r="BA68" s="2" t="s">
        <v>187</v>
      </c>
      <c r="BB68">
        <v>3965.3473331036021</v>
      </c>
      <c r="BC68">
        <v>2916.7251411587376</v>
      </c>
      <c r="BD68">
        <v>1048.6221919448647</v>
      </c>
      <c r="BE68">
        <v>875.33071970708704</v>
      </c>
      <c r="BF68">
        <v>75.162566271807123</v>
      </c>
      <c r="BG68">
        <v>132.0564532414389</v>
      </c>
      <c r="BH68">
        <v>66.28920775360767</v>
      </c>
      <c r="BI68">
        <v>909.78022924833203</v>
      </c>
      <c r="BJ68">
        <v>54.284075640749585</v>
      </c>
      <c r="BK68">
        <v>55.328000172302467</v>
      </c>
      <c r="BL68">
        <v>0</v>
      </c>
      <c r="BM68">
        <v>593.47109618781042</v>
      </c>
      <c r="BN68">
        <v>840.35924790006572</v>
      </c>
      <c r="BO68">
        <v>134.14430230454465</v>
      </c>
      <c r="BP68">
        <v>12.527094378634519</v>
      </c>
      <c r="BQ68">
        <v>24.532226491492601</v>
      </c>
      <c r="BR68">
        <v>0</v>
      </c>
      <c r="BS68">
        <v>192.08211380572931</v>
      </c>
      <c r="BT68">
        <v>0</v>
      </c>
    </row>
    <row r="69" spans="1:72" x14ac:dyDescent="0.25">
      <c r="A69" t="s">
        <v>2917</v>
      </c>
      <c r="B69" t="s">
        <v>2918</v>
      </c>
      <c r="C69" t="s">
        <v>2969</v>
      </c>
      <c r="D69" t="s">
        <v>2851</v>
      </c>
      <c r="E69" t="s">
        <v>2852</v>
      </c>
      <c r="F69" t="s">
        <v>2853</v>
      </c>
      <c r="G69" t="s">
        <v>2920</v>
      </c>
      <c r="H69" t="s">
        <v>2921</v>
      </c>
      <c r="I69">
        <v>4093698</v>
      </c>
      <c r="J69">
        <v>330620</v>
      </c>
      <c r="K69" t="s">
        <v>2970</v>
      </c>
      <c r="L69" t="s">
        <v>2971</v>
      </c>
      <c r="M69">
        <v>4057517</v>
      </c>
      <c r="N69">
        <v>92</v>
      </c>
      <c r="O69">
        <v>23180.396000000001</v>
      </c>
      <c r="P69" t="s">
        <v>191</v>
      </c>
      <c r="Q69">
        <v>20</v>
      </c>
      <c r="R69">
        <v>10</v>
      </c>
      <c r="S69">
        <v>95</v>
      </c>
      <c r="T69">
        <v>23343008</v>
      </c>
      <c r="U69">
        <v>94</v>
      </c>
      <c r="V69">
        <v>182</v>
      </c>
      <c r="W69">
        <v>23180.396359671431</v>
      </c>
      <c r="X69">
        <v>23343008.336782061</v>
      </c>
      <c r="Y69">
        <v>650.47199999999998</v>
      </c>
      <c r="Z69">
        <f>VLOOKUP($AC69,'2017 Seattle Tracts'!$C$2:$Z$399,24,FALSE)</f>
        <v>4057516.9249999998</v>
      </c>
      <c r="AA69">
        <f t="shared" si="3"/>
        <v>1.6031282481957854E-4</v>
      </c>
      <c r="AB69" t="s">
        <v>194</v>
      </c>
      <c r="AC69" t="str">
        <f t="shared" si="2"/>
        <v>Census Tract 108, King County, Washington</v>
      </c>
      <c r="AD69">
        <f>VLOOKUP($AC69,'2017 Seattle Tracts'!$C$2:$Z$399,AD$1,FALSE)*AA69</f>
        <v>0.79675473935330532</v>
      </c>
      <c r="AE69">
        <f>VLOOKUP($AC69,'2017 Seattle Tracts'!$C$2:$Z$399,AE$1,FALSE)*AA69</f>
        <v>0.64189255057759254</v>
      </c>
      <c r="AF69">
        <f>VLOOKUP($AC69,'2017 Seattle Tracts'!$C$2:$Z$399,AF$1,FALSE)*AA69</f>
        <v>0.15486218877571287</v>
      </c>
      <c r="AG69">
        <f>VLOOKUP($AC69,'2017 Seattle Tracts'!$C$2:$Z$399,AG$1,FALSE)*AA69</f>
        <v>0.79675473935330532</v>
      </c>
      <c r="AH69">
        <f>VLOOKUP($AC69,'2017 Seattle Tracts'!$C$2:$Z$399,AH$1,FALSE)*AA69</f>
        <v>0.64189255057759254</v>
      </c>
      <c r="AI69">
        <f>VLOOKUP($AC69,'2017 Seattle Tracts'!$C$2:$Z$399,AI$1,FALSE)*AA69</f>
        <v>0.15486218877571287</v>
      </c>
      <c r="AJ69">
        <f>VLOOKUP($AC69,'2017 Seattle Tracts'!$C$2:$Z$399,AJ$1,FALSE)*AA69</f>
        <v>0.37561294855227251</v>
      </c>
      <c r="AK69">
        <f>VLOOKUP($AC69,'2017 Seattle Tracts'!$C$2:$Z$399,AK$1,FALSE)*AA69</f>
        <v>2.7253180219328353E-3</v>
      </c>
      <c r="AL69">
        <f>VLOOKUP($AC69,'2017 Seattle Tracts'!$C$2:$Z$399,AL$1,FALSE)*AA69</f>
        <v>2.7253180219328352E-2</v>
      </c>
      <c r="AM69">
        <f>VLOOKUP($AC69,'2017 Seattle Tracts'!$C$2:$Z$399,AM$1,FALSE)*AA69</f>
        <v>0</v>
      </c>
      <c r="AN69">
        <f>VLOOKUP($AC69,'2017 Seattle Tracts'!$C$2:$Z$399,AN$1,FALSE)*AA69</f>
        <v>6.3483878628553106E-2</v>
      </c>
      <c r="AO69">
        <f>VLOOKUP($AC69,'2017 Seattle Tracts'!$C$2:$Z$399,AO$1,FALSE)*AA69</f>
        <v>2.2764421124380152E-2</v>
      </c>
      <c r="AP69">
        <f>VLOOKUP($AC69,'2017 Seattle Tracts'!$C$2:$Z$399,AP$1,FALSE)*AA69</f>
        <v>0</v>
      </c>
      <c r="AQ69">
        <f>VLOOKUP($AC69,'2017 Seattle Tracts'!$C$2:$Z$399,AQ$1,FALSE)*AA69</f>
        <v>0</v>
      </c>
      <c r="AR69">
        <f>VLOOKUP($AC69,'2017 Seattle Tracts'!$C$2:$Z$399,AR$1,FALSE)*AA69</f>
        <v>7.7270781563036864E-2</v>
      </c>
      <c r="AS69">
        <f>VLOOKUP($AC69,'2017 Seattle Tracts'!$C$2:$Z$399,AS$1,FALSE)*AA69</f>
        <v>0.11157772607442666</v>
      </c>
      <c r="AT69">
        <f>VLOOKUP($AC69,'2017 Seattle Tracts'!$C$2:$Z$399,AT$1,FALSE)*AA69</f>
        <v>9.4584566643551339E-3</v>
      </c>
      <c r="AU69">
        <f>VLOOKUP($AC69,'2017 Seattle Tracts'!$C$2:$Z$399,AU$1,FALSE)*AA69</f>
        <v>8.0156412409789265E-3</v>
      </c>
      <c r="AV69">
        <f>VLOOKUP($AC69,'2017 Seattle Tracts'!$C$2:$Z$399,AV$1,FALSE)*AA69</f>
        <v>1.9718477452808161E-2</v>
      </c>
      <c r="AW69">
        <f>VLOOKUP($AC69,'2017 Seattle Tracts'!$C$2:$Z$399,AW$1,FALSE)*AA69</f>
        <v>3.2062564963915709E-4</v>
      </c>
      <c r="AX69">
        <f>VLOOKUP($AC69,'2017 Seattle Tracts'!$C$2:$Z$399,AX$1,FALSE)*AA69</f>
        <v>6.9094827497238345E-2</v>
      </c>
      <c r="AY69">
        <f>VLOOKUP($AC69,'2017 Seattle Tracts'!$C$2:$Z$399,AY$1,FALSE)*AA69</f>
        <v>9.4584566643551339E-3</v>
      </c>
      <c r="BA69" s="2" t="s">
        <v>127</v>
      </c>
      <c r="BB69">
        <v>13162.009197992815</v>
      </c>
      <c r="BC69">
        <v>11133.614303886778</v>
      </c>
      <c r="BD69">
        <v>2028.3948941060398</v>
      </c>
      <c r="BE69">
        <v>9305.6567032029798</v>
      </c>
      <c r="BF69">
        <v>763.26992780994874</v>
      </c>
      <c r="BG69">
        <v>273.81799635798041</v>
      </c>
      <c r="BH69">
        <v>97.010536779275</v>
      </c>
      <c r="BI69">
        <v>189.17865355977739</v>
      </c>
      <c r="BJ69">
        <v>37.820290904691205</v>
      </c>
      <c r="BK69">
        <v>7.9069422360844221</v>
      </c>
      <c r="BL69">
        <v>2.2857490898880493E-4</v>
      </c>
      <c r="BM69">
        <v>532.9457398852644</v>
      </c>
      <c r="BN69">
        <v>957.42900284453572</v>
      </c>
      <c r="BO69">
        <v>1.4808465879487735E-3</v>
      </c>
      <c r="BP69">
        <v>23.615846017509373</v>
      </c>
      <c r="BQ69">
        <v>152.08576377574363</v>
      </c>
      <c r="BR69">
        <v>95.193153087131307</v>
      </c>
      <c r="BS69">
        <v>672.02102402235641</v>
      </c>
      <c r="BT69">
        <v>54.0559080880397</v>
      </c>
    </row>
    <row r="70" spans="1:72" x14ac:dyDescent="0.25">
      <c r="A70" t="s">
        <v>2917</v>
      </c>
      <c r="B70" t="s">
        <v>2918</v>
      </c>
      <c r="C70" t="s">
        <v>2969</v>
      </c>
      <c r="D70" t="s">
        <v>2851</v>
      </c>
      <c r="E70" t="s">
        <v>2852</v>
      </c>
      <c r="F70" t="s">
        <v>2853</v>
      </c>
      <c r="G70" t="s">
        <v>2920</v>
      </c>
      <c r="H70" t="s">
        <v>2921</v>
      </c>
      <c r="I70">
        <v>4093698</v>
      </c>
      <c r="J70">
        <v>330620</v>
      </c>
      <c r="K70" t="s">
        <v>2970</v>
      </c>
      <c r="L70" t="s">
        <v>2971</v>
      </c>
      <c r="M70">
        <v>4057517</v>
      </c>
      <c r="N70">
        <v>93</v>
      </c>
      <c r="O70">
        <v>23416.34</v>
      </c>
      <c r="P70" t="s">
        <v>191</v>
      </c>
      <c r="Q70">
        <v>20</v>
      </c>
      <c r="R70">
        <v>10</v>
      </c>
      <c r="S70">
        <v>94</v>
      </c>
      <c r="T70">
        <v>17923316</v>
      </c>
      <c r="U70">
        <v>95</v>
      </c>
      <c r="V70">
        <v>190</v>
      </c>
      <c r="W70">
        <v>23416.340535979401</v>
      </c>
      <c r="X70">
        <v>17923316.223963421</v>
      </c>
      <c r="Y70">
        <v>295.58100000000002</v>
      </c>
      <c r="Z70">
        <f>VLOOKUP($AC70,'2017 Seattle Tracts'!$C$2:$Z$399,24,FALSE)</f>
        <v>4057516.9249999998</v>
      </c>
      <c r="AA70">
        <f t="shared" si="3"/>
        <v>7.284775528077434E-5</v>
      </c>
      <c r="AB70" t="s">
        <v>195</v>
      </c>
      <c r="AC70" t="str">
        <f t="shared" si="2"/>
        <v>Census Tract 108, King County, Washington</v>
      </c>
      <c r="AD70">
        <f>VLOOKUP($AC70,'2017 Seattle Tracts'!$C$2:$Z$399,AD$1,FALSE)*AA70</f>
        <v>0.36205334374544845</v>
      </c>
      <c r="AE70">
        <f>VLOOKUP($AC70,'2017 Seattle Tracts'!$C$2:$Z$399,AE$1,FALSE)*AA70</f>
        <v>0.29168241214422047</v>
      </c>
      <c r="AF70">
        <f>VLOOKUP($AC70,'2017 Seattle Tracts'!$C$2:$Z$399,AF$1,FALSE)*AA70</f>
        <v>7.0370931601228009E-2</v>
      </c>
      <c r="AG70">
        <f>VLOOKUP($AC70,'2017 Seattle Tracts'!$C$2:$Z$399,AG$1,FALSE)*AA70</f>
        <v>0.36205334374544845</v>
      </c>
      <c r="AH70">
        <f>VLOOKUP($AC70,'2017 Seattle Tracts'!$C$2:$Z$399,AH$1,FALSE)*AA70</f>
        <v>0.29168241214422047</v>
      </c>
      <c r="AI70">
        <f>VLOOKUP($AC70,'2017 Seattle Tracts'!$C$2:$Z$399,AI$1,FALSE)*AA70</f>
        <v>7.0370931601228009E-2</v>
      </c>
      <c r="AJ70">
        <f>VLOOKUP($AC70,'2017 Seattle Tracts'!$C$2:$Z$399,AJ$1,FALSE)*AA70</f>
        <v>0.17068229062285428</v>
      </c>
      <c r="AK70">
        <f>VLOOKUP($AC70,'2017 Seattle Tracts'!$C$2:$Z$399,AK$1,FALSE)*AA70</f>
        <v>1.2384118397731638E-3</v>
      </c>
      <c r="AL70">
        <f>VLOOKUP($AC70,'2017 Seattle Tracts'!$C$2:$Z$399,AL$1,FALSE)*AA70</f>
        <v>1.2384118397731637E-2</v>
      </c>
      <c r="AM70">
        <f>VLOOKUP($AC70,'2017 Seattle Tracts'!$C$2:$Z$399,AM$1,FALSE)*AA70</f>
        <v>0</v>
      </c>
      <c r="AN70">
        <f>VLOOKUP($AC70,'2017 Seattle Tracts'!$C$2:$Z$399,AN$1,FALSE)*AA70</f>
        <v>2.884771109118664E-2</v>
      </c>
      <c r="AO70">
        <f>VLOOKUP($AC70,'2017 Seattle Tracts'!$C$2:$Z$399,AO$1,FALSE)*AA70</f>
        <v>1.0344381249869956E-2</v>
      </c>
      <c r="AP70">
        <f>VLOOKUP($AC70,'2017 Seattle Tracts'!$C$2:$Z$399,AP$1,FALSE)*AA70</f>
        <v>0</v>
      </c>
      <c r="AQ70">
        <f>VLOOKUP($AC70,'2017 Seattle Tracts'!$C$2:$Z$399,AQ$1,FALSE)*AA70</f>
        <v>0</v>
      </c>
      <c r="AR70">
        <f>VLOOKUP($AC70,'2017 Seattle Tracts'!$C$2:$Z$399,AR$1,FALSE)*AA70</f>
        <v>3.5112618045333228E-2</v>
      </c>
      <c r="AS70">
        <f>VLOOKUP($AC70,'2017 Seattle Tracts'!$C$2:$Z$399,AS$1,FALSE)*AA70</f>
        <v>5.0702037675418941E-2</v>
      </c>
      <c r="AT70">
        <f>VLOOKUP($AC70,'2017 Seattle Tracts'!$C$2:$Z$399,AT$1,FALSE)*AA70</f>
        <v>4.2980175615656858E-3</v>
      </c>
      <c r="AU70">
        <f>VLOOKUP($AC70,'2017 Seattle Tracts'!$C$2:$Z$399,AU$1,FALSE)*AA70</f>
        <v>3.6423877640387168E-3</v>
      </c>
      <c r="AV70">
        <f>VLOOKUP($AC70,'2017 Seattle Tracts'!$C$2:$Z$399,AV$1,FALSE)*AA70</f>
        <v>8.9602738995352444E-3</v>
      </c>
      <c r="AW70">
        <f>VLOOKUP($AC70,'2017 Seattle Tracts'!$C$2:$Z$399,AW$1,FALSE)*AA70</f>
        <v>1.4569551056154868E-4</v>
      </c>
      <c r="AX70">
        <f>VLOOKUP($AC70,'2017 Seattle Tracts'!$C$2:$Z$399,AX$1,FALSE)*AA70</f>
        <v>3.1397382526013741E-2</v>
      </c>
      <c r="AY70">
        <f>VLOOKUP($AC70,'2017 Seattle Tracts'!$C$2:$Z$399,AY$1,FALSE)*AA70</f>
        <v>4.2980175615656858E-3</v>
      </c>
      <c r="BA70" s="2" t="s">
        <v>193</v>
      </c>
      <c r="BB70">
        <v>3808.6495800698367</v>
      </c>
      <c r="BC70">
        <v>3058.3294355057992</v>
      </c>
      <c r="BD70">
        <v>750.32014456403761</v>
      </c>
      <c r="BE70">
        <v>1792.204231944643</v>
      </c>
      <c r="BF70">
        <v>17.48915765273621</v>
      </c>
      <c r="BG70">
        <v>128.93293188792498</v>
      </c>
      <c r="BH70">
        <v>0.45388188495827292</v>
      </c>
      <c r="BI70">
        <v>310.64751231559489</v>
      </c>
      <c r="BJ70">
        <v>121.88792923776317</v>
      </c>
      <c r="BK70">
        <v>4.4666453752611218E-2</v>
      </c>
      <c r="BL70">
        <v>2.4008613445694448E-3</v>
      </c>
      <c r="BM70">
        <v>361.31388386322914</v>
      </c>
      <c r="BN70">
        <v>525.30781269843203</v>
      </c>
      <c r="BO70">
        <v>45.908393891409993</v>
      </c>
      <c r="BP70">
        <v>38.290734965088276</v>
      </c>
      <c r="BQ70">
        <v>93.937455233063403</v>
      </c>
      <c r="BR70">
        <v>2.963633321672098</v>
      </c>
      <c r="BS70">
        <v>325.34035991618168</v>
      </c>
      <c r="BT70">
        <v>43.924593942042762</v>
      </c>
    </row>
    <row r="71" spans="1:72" x14ac:dyDescent="0.25">
      <c r="A71" t="s">
        <v>2917</v>
      </c>
      <c r="B71" t="s">
        <v>2918</v>
      </c>
      <c r="C71" t="s">
        <v>2969</v>
      </c>
      <c r="D71" t="s">
        <v>2851</v>
      </c>
      <c r="E71" t="s">
        <v>2852</v>
      </c>
      <c r="F71" t="s">
        <v>2853</v>
      </c>
      <c r="G71" t="s">
        <v>2920</v>
      </c>
      <c r="H71" t="s">
        <v>2921</v>
      </c>
      <c r="I71">
        <v>4093698</v>
      </c>
      <c r="J71">
        <v>330620</v>
      </c>
      <c r="K71" t="s">
        <v>2970</v>
      </c>
      <c r="L71" t="s">
        <v>2971</v>
      </c>
      <c r="M71">
        <v>4057517</v>
      </c>
      <c r="N71">
        <v>107</v>
      </c>
      <c r="O71">
        <v>58047.309000000001</v>
      </c>
      <c r="P71" t="s">
        <v>122</v>
      </c>
      <c r="Q71">
        <v>18</v>
      </c>
      <c r="R71">
        <v>12</v>
      </c>
      <c r="S71">
        <v>95</v>
      </c>
      <c r="T71">
        <v>24681990</v>
      </c>
      <c r="U71">
        <v>109</v>
      </c>
      <c r="V71">
        <v>198</v>
      </c>
      <c r="W71">
        <v>58047.307413870847</v>
      </c>
      <c r="X71">
        <v>24681989.600617379</v>
      </c>
      <c r="Y71">
        <v>686056.86600000004</v>
      </c>
      <c r="Z71">
        <f>VLOOKUP($AC71,'2017 Seattle Tracts'!$C$2:$Z$399,24,FALSE)</f>
        <v>4057516.9249999998</v>
      </c>
      <c r="AA71">
        <f t="shared" si="3"/>
        <v>0.16908293389312234</v>
      </c>
      <c r="AB71" t="s">
        <v>165</v>
      </c>
      <c r="AC71" t="str">
        <f t="shared" si="2"/>
        <v>Census Tract 108, King County, Washington</v>
      </c>
      <c r="AD71">
        <f>VLOOKUP($AC71,'2017 Seattle Tracts'!$C$2:$Z$399,AD$1,FALSE)*AA71</f>
        <v>840.34218144881811</v>
      </c>
      <c r="AE71">
        <f>VLOOKUP($AC71,'2017 Seattle Tracts'!$C$2:$Z$399,AE$1,FALSE)*AA71</f>
        <v>677.00806730806187</v>
      </c>
      <c r="AF71">
        <f>VLOOKUP($AC71,'2017 Seattle Tracts'!$C$2:$Z$399,AF$1,FALSE)*AA71</f>
        <v>163.33411414075618</v>
      </c>
      <c r="AG71">
        <f>VLOOKUP($AC71,'2017 Seattle Tracts'!$C$2:$Z$399,AG$1,FALSE)*AA71</f>
        <v>840.34218144881811</v>
      </c>
      <c r="AH71">
        <f>VLOOKUP($AC71,'2017 Seattle Tracts'!$C$2:$Z$399,AH$1,FALSE)*AA71</f>
        <v>677.00806730806187</v>
      </c>
      <c r="AI71">
        <f>VLOOKUP($AC71,'2017 Seattle Tracts'!$C$2:$Z$399,AI$1,FALSE)*AA71</f>
        <v>163.33411414075618</v>
      </c>
      <c r="AJ71">
        <f>VLOOKUP($AC71,'2017 Seattle Tracts'!$C$2:$Z$399,AJ$1,FALSE)*AA71</f>
        <v>396.16131411158563</v>
      </c>
      <c r="AK71">
        <f>VLOOKUP($AC71,'2017 Seattle Tracts'!$C$2:$Z$399,AK$1,FALSE)*AA71</f>
        <v>2.8744098761830799</v>
      </c>
      <c r="AL71">
        <f>VLOOKUP($AC71,'2017 Seattle Tracts'!$C$2:$Z$399,AL$1,FALSE)*AA71</f>
        <v>28.744098761830799</v>
      </c>
      <c r="AM71">
        <f>VLOOKUP($AC71,'2017 Seattle Tracts'!$C$2:$Z$399,AM$1,FALSE)*AA71</f>
        <v>0</v>
      </c>
      <c r="AN71">
        <f>VLOOKUP($AC71,'2017 Seattle Tracts'!$C$2:$Z$399,AN$1,FALSE)*AA71</f>
        <v>66.956841821676448</v>
      </c>
      <c r="AO71">
        <f>VLOOKUP($AC71,'2017 Seattle Tracts'!$C$2:$Z$399,AO$1,FALSE)*AA71</f>
        <v>24.009776612823373</v>
      </c>
      <c r="AP71">
        <f>VLOOKUP($AC71,'2017 Seattle Tracts'!$C$2:$Z$399,AP$1,FALSE)*AA71</f>
        <v>0</v>
      </c>
      <c r="AQ71">
        <f>VLOOKUP($AC71,'2017 Seattle Tracts'!$C$2:$Z$399,AQ$1,FALSE)*AA71</f>
        <v>0</v>
      </c>
      <c r="AR71">
        <f>VLOOKUP($AC71,'2017 Seattle Tracts'!$C$2:$Z$399,AR$1,FALSE)*AA71</f>
        <v>81.49797413648497</v>
      </c>
      <c r="AS71">
        <f>VLOOKUP($AC71,'2017 Seattle Tracts'!$C$2:$Z$399,AS$1,FALSE)*AA71</f>
        <v>117.68172198961315</v>
      </c>
      <c r="AT71">
        <f>VLOOKUP($AC71,'2017 Seattle Tracts'!$C$2:$Z$399,AT$1,FALSE)*AA71</f>
        <v>9.9758930996942183</v>
      </c>
      <c r="AU71">
        <f>VLOOKUP($AC71,'2017 Seattle Tracts'!$C$2:$Z$399,AU$1,FALSE)*AA71</f>
        <v>8.4541466946561172</v>
      </c>
      <c r="AV71">
        <f>VLOOKUP($AC71,'2017 Seattle Tracts'!$C$2:$Z$399,AV$1,FALSE)*AA71</f>
        <v>20.797200868854048</v>
      </c>
      <c r="AW71">
        <f>VLOOKUP($AC71,'2017 Seattle Tracts'!$C$2:$Z$399,AW$1,FALSE)*AA71</f>
        <v>0.33816586778624469</v>
      </c>
      <c r="AX71">
        <f>VLOOKUP($AC71,'2017 Seattle Tracts'!$C$2:$Z$399,AX$1,FALSE)*AA71</f>
        <v>72.874744507935731</v>
      </c>
      <c r="AY71">
        <f>VLOOKUP($AC71,'2017 Seattle Tracts'!$C$2:$Z$399,AY$1,FALSE)*AA71</f>
        <v>9.9758930996942183</v>
      </c>
      <c r="BA71" s="2" t="s">
        <v>132</v>
      </c>
      <c r="BB71">
        <v>9007.2613418569817</v>
      </c>
      <c r="BC71">
        <v>7768.1190983130964</v>
      </c>
      <c r="BD71">
        <v>1239.1422435438853</v>
      </c>
      <c r="BE71">
        <v>6431.6087183695363</v>
      </c>
      <c r="BF71">
        <v>492.96053172398246</v>
      </c>
      <c r="BG71">
        <v>128.45080633574992</v>
      </c>
      <c r="BH71">
        <v>81.000175836854083</v>
      </c>
      <c r="BI71">
        <v>131.25528114207148</v>
      </c>
      <c r="BJ71">
        <v>17.27545449200333</v>
      </c>
      <c r="BK71">
        <v>0.45569530815337772</v>
      </c>
      <c r="BL71">
        <v>0</v>
      </c>
      <c r="BM71">
        <v>427.54536358441101</v>
      </c>
      <c r="BN71">
        <v>555.17773365969799</v>
      </c>
      <c r="BO71">
        <v>2.1161037117747219E-3</v>
      </c>
      <c r="BP71">
        <v>0</v>
      </c>
      <c r="BQ71">
        <v>128.61560142332848</v>
      </c>
      <c r="BR71">
        <v>65.712773879761642</v>
      </c>
      <c r="BS71">
        <v>520.18551604613367</v>
      </c>
      <c r="BT71">
        <v>27.015573951585779</v>
      </c>
    </row>
    <row r="72" spans="1:72" x14ac:dyDescent="0.25">
      <c r="A72" t="s">
        <v>2917</v>
      </c>
      <c r="B72" t="s">
        <v>2918</v>
      </c>
      <c r="C72" t="s">
        <v>2969</v>
      </c>
      <c r="D72" t="s">
        <v>2851</v>
      </c>
      <c r="E72" t="s">
        <v>2852</v>
      </c>
      <c r="F72" t="s">
        <v>2853</v>
      </c>
      <c r="G72" t="s">
        <v>2920</v>
      </c>
      <c r="H72" t="s">
        <v>2921</v>
      </c>
      <c r="I72">
        <v>4093698</v>
      </c>
      <c r="J72">
        <v>330620</v>
      </c>
      <c r="K72" t="s">
        <v>2970</v>
      </c>
      <c r="L72" t="s">
        <v>2971</v>
      </c>
      <c r="M72">
        <v>4057517</v>
      </c>
      <c r="N72">
        <v>109</v>
      </c>
      <c r="O72">
        <v>3664.7449999999999</v>
      </c>
      <c r="Q72">
        <v>0</v>
      </c>
      <c r="R72">
        <v>0</v>
      </c>
      <c r="S72">
        <v>0</v>
      </c>
      <c r="T72">
        <v>581389.125</v>
      </c>
      <c r="U72">
        <v>111</v>
      </c>
      <c r="V72">
        <v>0</v>
      </c>
      <c r="W72">
        <v>3664.7450842386988</v>
      </c>
      <c r="X72">
        <v>581389.11535830784</v>
      </c>
      <c r="Y72">
        <v>51882.258999999998</v>
      </c>
      <c r="Z72">
        <f>VLOOKUP($AC72,'2017 Seattle Tracts'!$C$2:$Z$399,24,FALSE)</f>
        <v>4057516.9249999998</v>
      </c>
      <c r="AA72">
        <f t="shared" si="3"/>
        <v>1.2786701807781123E-2</v>
      </c>
      <c r="AC72" t="str">
        <f t="shared" si="2"/>
        <v>Census Tract 108, King County, Washington</v>
      </c>
      <c r="AD72">
        <f>VLOOKUP($AC72,'2017 Seattle Tracts'!$C$2:$Z$399,AD$1,FALSE)*AA72</f>
        <v>63.549907984672181</v>
      </c>
      <c r="AE72">
        <f>VLOOKUP($AC72,'2017 Seattle Tracts'!$C$2:$Z$399,AE$1,FALSE)*AA72</f>
        <v>51.197954038355611</v>
      </c>
      <c r="AF72">
        <f>VLOOKUP($AC72,'2017 Seattle Tracts'!$C$2:$Z$399,AF$1,FALSE)*AA72</f>
        <v>12.351953946316565</v>
      </c>
      <c r="AG72">
        <f>VLOOKUP($AC72,'2017 Seattle Tracts'!$C$2:$Z$399,AG$1,FALSE)*AA72</f>
        <v>63.549907984672181</v>
      </c>
      <c r="AH72">
        <f>VLOOKUP($AC72,'2017 Seattle Tracts'!$C$2:$Z$399,AH$1,FALSE)*AA72</f>
        <v>51.197954038355611</v>
      </c>
      <c r="AI72">
        <f>VLOOKUP($AC72,'2017 Seattle Tracts'!$C$2:$Z$399,AI$1,FALSE)*AA72</f>
        <v>12.351953946316565</v>
      </c>
      <c r="AJ72">
        <f>VLOOKUP($AC72,'2017 Seattle Tracts'!$C$2:$Z$399,AJ$1,FALSE)*AA72</f>
        <v>29.959242335631171</v>
      </c>
      <c r="AK72">
        <f>VLOOKUP($AC72,'2017 Seattle Tracts'!$C$2:$Z$399,AK$1,FALSE)*AA72</f>
        <v>0.21737393073227909</v>
      </c>
      <c r="AL72">
        <f>VLOOKUP($AC72,'2017 Seattle Tracts'!$C$2:$Z$399,AL$1,FALSE)*AA72</f>
        <v>2.1737393073227906</v>
      </c>
      <c r="AM72">
        <f>VLOOKUP($AC72,'2017 Seattle Tracts'!$C$2:$Z$399,AM$1,FALSE)*AA72</f>
        <v>0</v>
      </c>
      <c r="AN72">
        <f>VLOOKUP($AC72,'2017 Seattle Tracts'!$C$2:$Z$399,AN$1,FALSE)*AA72</f>
        <v>5.0635339158813242</v>
      </c>
      <c r="AO72">
        <f>VLOOKUP($AC72,'2017 Seattle Tracts'!$C$2:$Z$399,AO$1,FALSE)*AA72</f>
        <v>1.8157116567049194</v>
      </c>
      <c r="AP72">
        <f>VLOOKUP($AC72,'2017 Seattle Tracts'!$C$2:$Z$399,AP$1,FALSE)*AA72</f>
        <v>0</v>
      </c>
      <c r="AQ72">
        <f>VLOOKUP($AC72,'2017 Seattle Tracts'!$C$2:$Z$399,AQ$1,FALSE)*AA72</f>
        <v>0</v>
      </c>
      <c r="AR72">
        <f>VLOOKUP($AC72,'2017 Seattle Tracts'!$C$2:$Z$399,AR$1,FALSE)*AA72</f>
        <v>6.1631902713505013</v>
      </c>
      <c r="AS72">
        <f>VLOOKUP($AC72,'2017 Seattle Tracts'!$C$2:$Z$399,AS$1,FALSE)*AA72</f>
        <v>8.8995444582156615</v>
      </c>
      <c r="AT72">
        <f>VLOOKUP($AC72,'2017 Seattle Tracts'!$C$2:$Z$399,AT$1,FALSE)*AA72</f>
        <v>0.75441540665908624</v>
      </c>
      <c r="AU72">
        <f>VLOOKUP($AC72,'2017 Seattle Tracts'!$C$2:$Z$399,AU$1,FALSE)*AA72</f>
        <v>0.63933509038905612</v>
      </c>
      <c r="AV72">
        <f>VLOOKUP($AC72,'2017 Seattle Tracts'!$C$2:$Z$399,AV$1,FALSE)*AA72</f>
        <v>1.572764322357078</v>
      </c>
      <c r="AW72">
        <f>VLOOKUP($AC72,'2017 Seattle Tracts'!$C$2:$Z$399,AW$1,FALSE)*AA72</f>
        <v>2.5573403615562245E-2</v>
      </c>
      <c r="AX72">
        <f>VLOOKUP($AC72,'2017 Seattle Tracts'!$C$2:$Z$399,AX$1,FALSE)*AA72</f>
        <v>5.5110684791536642</v>
      </c>
      <c r="AY72">
        <f>VLOOKUP($AC72,'2017 Seattle Tracts'!$C$2:$Z$399,AY$1,FALSE)*AA72</f>
        <v>0.75441540665908624</v>
      </c>
      <c r="BA72" s="2" t="s">
        <v>196</v>
      </c>
      <c r="BB72">
        <v>5532.8440155042199</v>
      </c>
      <c r="BC72">
        <v>4363.7262168975549</v>
      </c>
      <c r="BD72">
        <v>1169.1177986066662</v>
      </c>
      <c r="BE72">
        <v>3038.5726586729143</v>
      </c>
      <c r="BF72">
        <v>203.06483374158577</v>
      </c>
      <c r="BG72">
        <v>152.01583237650564</v>
      </c>
      <c r="BH72">
        <v>144.25708089834603</v>
      </c>
      <c r="BI72">
        <v>447.62985796717248</v>
      </c>
      <c r="BJ72">
        <v>136.23575275251233</v>
      </c>
      <c r="BK72">
        <v>31.78692409610322</v>
      </c>
      <c r="BL72">
        <v>12.118582716379015</v>
      </c>
      <c r="BM72">
        <v>240.98005904323952</v>
      </c>
      <c r="BN72">
        <v>360.78368830016421</v>
      </c>
      <c r="BO72">
        <v>19.30565796783905</v>
      </c>
      <c r="BP72">
        <v>40.891612215339457</v>
      </c>
      <c r="BQ72">
        <v>129.83247384729333</v>
      </c>
      <c r="BR72">
        <v>231.30611800577645</v>
      </c>
      <c r="BS72">
        <v>303.60275292648697</v>
      </c>
      <c r="BT72">
        <v>40.460129976562911</v>
      </c>
    </row>
    <row r="73" spans="1:72" x14ac:dyDescent="0.25">
      <c r="A73" t="s">
        <v>2917</v>
      </c>
      <c r="B73" t="s">
        <v>2918</v>
      </c>
      <c r="C73" t="s">
        <v>2972</v>
      </c>
      <c r="D73" t="s">
        <v>2848</v>
      </c>
      <c r="E73" t="s">
        <v>2849</v>
      </c>
      <c r="F73" t="s">
        <v>2850</v>
      </c>
      <c r="G73" t="s">
        <v>2920</v>
      </c>
      <c r="H73" t="s">
        <v>2921</v>
      </c>
      <c r="I73">
        <v>4775571</v>
      </c>
      <c r="J73">
        <v>272911</v>
      </c>
      <c r="K73" t="s">
        <v>2973</v>
      </c>
      <c r="L73" t="s">
        <v>2974</v>
      </c>
      <c r="M73">
        <v>4776042</v>
      </c>
      <c r="N73">
        <v>67</v>
      </c>
      <c r="O73">
        <v>49792.156000000003</v>
      </c>
      <c r="P73" t="s">
        <v>122</v>
      </c>
      <c r="Q73">
        <v>18</v>
      </c>
      <c r="R73">
        <v>12</v>
      </c>
      <c r="S73">
        <v>23</v>
      </c>
      <c r="T73">
        <v>82845392</v>
      </c>
      <c r="U73">
        <v>69</v>
      </c>
      <c r="V73">
        <v>167</v>
      </c>
      <c r="W73">
        <v>49792.15483538049</v>
      </c>
      <c r="X73">
        <v>82845389.347022861</v>
      </c>
      <c r="Y73">
        <v>151758.875</v>
      </c>
      <c r="Z73">
        <f>VLOOKUP($AC73,'2017 Seattle Tracts'!$C$2:$Z$399,24,FALSE)</f>
        <v>4776041.7609999999</v>
      </c>
      <c r="AA73">
        <f t="shared" si="3"/>
        <v>3.1775030997263511E-2</v>
      </c>
      <c r="AB73" t="s">
        <v>165</v>
      </c>
      <c r="AC73" t="str">
        <f t="shared" si="2"/>
        <v>Census Tract 109, King County, Washington</v>
      </c>
      <c r="AD73">
        <f>VLOOKUP($AC73,'2017 Seattle Tracts'!$C$2:$Z$399,AD$1,FALSE)*AA73</f>
        <v>33.20490739214037</v>
      </c>
      <c r="AE73">
        <f>VLOOKUP($AC73,'2017 Seattle Tracts'!$C$2:$Z$399,AE$1,FALSE)*AA73</f>
        <v>32.28343149321973</v>
      </c>
      <c r="AF73">
        <f>VLOOKUP($AC73,'2017 Seattle Tracts'!$C$2:$Z$399,AF$1,FALSE)*AA73</f>
        <v>0.92147589892064186</v>
      </c>
      <c r="AG73">
        <f>VLOOKUP($AC73,'2017 Seattle Tracts'!$C$2:$Z$399,AG$1,FALSE)*AA73</f>
        <v>33.20490739214037</v>
      </c>
      <c r="AH73">
        <f>VLOOKUP($AC73,'2017 Seattle Tracts'!$C$2:$Z$399,AH$1,FALSE)*AA73</f>
        <v>32.28343149321973</v>
      </c>
      <c r="AI73">
        <f>VLOOKUP($AC73,'2017 Seattle Tracts'!$C$2:$Z$399,AI$1,FALSE)*AA73</f>
        <v>0.92147589892064186</v>
      </c>
      <c r="AJ73">
        <f>VLOOKUP($AC73,'2017 Seattle Tracts'!$C$2:$Z$399,AJ$1,FALSE)*AA73</f>
        <v>25.5153498908026</v>
      </c>
      <c r="AK73">
        <f>VLOOKUP($AC73,'2017 Seattle Tracts'!$C$2:$Z$399,AK$1,FALSE)*AA73</f>
        <v>0.66727565094253372</v>
      </c>
      <c r="AL73">
        <f>VLOOKUP($AC73,'2017 Seattle Tracts'!$C$2:$Z$399,AL$1,FALSE)*AA73</f>
        <v>0.79437577493158773</v>
      </c>
      <c r="AM73">
        <f>VLOOKUP($AC73,'2017 Seattle Tracts'!$C$2:$Z$399,AM$1,FALSE)*AA73</f>
        <v>0</v>
      </c>
      <c r="AN73">
        <f>VLOOKUP($AC73,'2017 Seattle Tracts'!$C$2:$Z$399,AN$1,FALSE)*AA73</f>
        <v>0.57195055795074323</v>
      </c>
      <c r="AO73">
        <f>VLOOKUP($AC73,'2017 Seattle Tracts'!$C$2:$Z$399,AO$1,FALSE)*AA73</f>
        <v>0</v>
      </c>
      <c r="AP73">
        <f>VLOOKUP($AC73,'2017 Seattle Tracts'!$C$2:$Z$399,AP$1,FALSE)*AA73</f>
        <v>0.19065018598358108</v>
      </c>
      <c r="AQ73">
        <f>VLOOKUP($AC73,'2017 Seattle Tracts'!$C$2:$Z$399,AQ$1,FALSE)*AA73</f>
        <v>0</v>
      </c>
      <c r="AR73">
        <f>VLOOKUP($AC73,'2017 Seattle Tracts'!$C$2:$Z$399,AR$1,FALSE)*AA73</f>
        <v>0.60372558894800665</v>
      </c>
      <c r="AS73">
        <f>VLOOKUP($AC73,'2017 Seattle Tracts'!$C$2:$Z$399,AS$1,FALSE)*AA73</f>
        <v>0.25420024797810808</v>
      </c>
      <c r="AT73">
        <f>VLOOKUP($AC73,'2017 Seattle Tracts'!$C$2:$Z$399,AT$1,FALSE)*AA73</f>
        <v>0.57195055795074323</v>
      </c>
      <c r="AU73">
        <f>VLOOKUP($AC73,'2017 Seattle Tracts'!$C$2:$Z$399,AU$1,FALSE)*AA73</f>
        <v>0</v>
      </c>
      <c r="AV73">
        <f>VLOOKUP($AC73,'2017 Seattle Tracts'!$C$2:$Z$399,AV$1,FALSE)*AA73</f>
        <v>1.9700519218303376</v>
      </c>
      <c r="AW73">
        <f>VLOOKUP($AC73,'2017 Seattle Tracts'!$C$2:$Z$399,AW$1,FALSE)*AA73</f>
        <v>0</v>
      </c>
      <c r="AX73">
        <f>VLOOKUP($AC73,'2017 Seattle Tracts'!$C$2:$Z$399,AX$1,FALSE)*AA73</f>
        <v>2.0653770148221282</v>
      </c>
      <c r="AY73">
        <f>VLOOKUP($AC73,'2017 Seattle Tracts'!$C$2:$Z$399,AY$1,FALSE)*AA73</f>
        <v>0</v>
      </c>
      <c r="BA73" s="2" t="s">
        <v>128</v>
      </c>
      <c r="BB73">
        <v>2313.6233070383146</v>
      </c>
      <c r="BC73">
        <v>1942.9892561565646</v>
      </c>
      <c r="BD73">
        <v>370.63405088175</v>
      </c>
      <c r="BE73">
        <v>1490.6964004877534</v>
      </c>
      <c r="BF73">
        <v>114.97203464374682</v>
      </c>
      <c r="BG73">
        <v>28.730184525366344</v>
      </c>
      <c r="BH73">
        <v>5.9189094691053672</v>
      </c>
      <c r="BI73">
        <v>224.77031460213126</v>
      </c>
      <c r="BJ73">
        <v>49.946497781360264</v>
      </c>
      <c r="BK73">
        <v>5.2126669817386057E-3</v>
      </c>
      <c r="BL73">
        <v>0</v>
      </c>
      <c r="BM73">
        <v>39.593329414665845</v>
      </c>
      <c r="BN73">
        <v>176.2356293965284</v>
      </c>
      <c r="BO73">
        <v>6.4994055866952477E-2</v>
      </c>
      <c r="BP73">
        <v>2.8497785658014407E-5</v>
      </c>
      <c r="BQ73">
        <v>18.556340169018206</v>
      </c>
      <c r="BR73">
        <v>9.3419614592117513E-3</v>
      </c>
      <c r="BS73">
        <v>140.57248023478098</v>
      </c>
      <c r="BT73">
        <v>23.551609131764295</v>
      </c>
    </row>
    <row r="74" spans="1:72" x14ac:dyDescent="0.25">
      <c r="A74" t="s">
        <v>2917</v>
      </c>
      <c r="B74" t="s">
        <v>2918</v>
      </c>
      <c r="C74" t="s">
        <v>2972</v>
      </c>
      <c r="D74" t="s">
        <v>2848</v>
      </c>
      <c r="E74" t="s">
        <v>2849</v>
      </c>
      <c r="F74" t="s">
        <v>2850</v>
      </c>
      <c r="G74" t="s">
        <v>2920</v>
      </c>
      <c r="H74" t="s">
        <v>2921</v>
      </c>
      <c r="I74">
        <v>4775571</v>
      </c>
      <c r="J74">
        <v>272911</v>
      </c>
      <c r="K74" t="s">
        <v>2973</v>
      </c>
      <c r="L74" t="s">
        <v>2974</v>
      </c>
      <c r="M74">
        <v>4776042</v>
      </c>
      <c r="N74">
        <v>68</v>
      </c>
      <c r="O74">
        <v>45963.663999999997</v>
      </c>
      <c r="P74" t="s">
        <v>122</v>
      </c>
      <c r="Q74">
        <v>18</v>
      </c>
      <c r="R74">
        <v>12</v>
      </c>
      <c r="S74">
        <v>81</v>
      </c>
      <c r="T74">
        <v>51305072</v>
      </c>
      <c r="U74">
        <v>70</v>
      </c>
      <c r="V74">
        <v>177</v>
      </c>
      <c r="W74">
        <v>45963.665676960663</v>
      </c>
      <c r="X74">
        <v>51305072.646258257</v>
      </c>
      <c r="Y74">
        <v>4604956.7120000003</v>
      </c>
      <c r="Z74">
        <f>VLOOKUP($AC74,'2017 Seattle Tracts'!$C$2:$Z$399,24,FALSE)</f>
        <v>4776041.7609999999</v>
      </c>
      <c r="AA74">
        <f t="shared" si="3"/>
        <v>0.96417848554067542</v>
      </c>
      <c r="AB74" t="s">
        <v>166</v>
      </c>
      <c r="AC74" t="str">
        <f t="shared" si="2"/>
        <v>Census Tract 109, King County, Washington</v>
      </c>
      <c r="AD74">
        <f>VLOOKUP($AC74,'2017 Seattle Tracts'!$C$2:$Z$399,AD$1,FALSE)*AA74</f>
        <v>1007.5665173900059</v>
      </c>
      <c r="AE74">
        <f>VLOOKUP($AC74,'2017 Seattle Tracts'!$C$2:$Z$399,AE$1,FALSE)*AA74</f>
        <v>979.60534130932626</v>
      </c>
      <c r="AF74">
        <f>VLOOKUP($AC74,'2017 Seattle Tracts'!$C$2:$Z$399,AF$1,FALSE)*AA74</f>
        <v>27.961176080679586</v>
      </c>
      <c r="AG74">
        <f>VLOOKUP($AC74,'2017 Seattle Tracts'!$C$2:$Z$399,AG$1,FALSE)*AA74</f>
        <v>1007.5665173900059</v>
      </c>
      <c r="AH74">
        <f>VLOOKUP($AC74,'2017 Seattle Tracts'!$C$2:$Z$399,AH$1,FALSE)*AA74</f>
        <v>979.60534130932626</v>
      </c>
      <c r="AI74">
        <f>VLOOKUP($AC74,'2017 Seattle Tracts'!$C$2:$Z$399,AI$1,FALSE)*AA74</f>
        <v>27.961176080679586</v>
      </c>
      <c r="AJ74">
        <f>VLOOKUP($AC74,'2017 Seattle Tracts'!$C$2:$Z$399,AJ$1,FALSE)*AA74</f>
        <v>774.23532388916237</v>
      </c>
      <c r="AK74">
        <f>VLOOKUP($AC74,'2017 Seattle Tracts'!$C$2:$Z$399,AK$1,FALSE)*AA74</f>
        <v>20.247748196354184</v>
      </c>
      <c r="AL74">
        <f>VLOOKUP($AC74,'2017 Seattle Tracts'!$C$2:$Z$399,AL$1,FALSE)*AA74</f>
        <v>24.104462138516887</v>
      </c>
      <c r="AM74">
        <f>VLOOKUP($AC74,'2017 Seattle Tracts'!$C$2:$Z$399,AM$1,FALSE)*AA74</f>
        <v>0</v>
      </c>
      <c r="AN74">
        <f>VLOOKUP($AC74,'2017 Seattle Tracts'!$C$2:$Z$399,AN$1,FALSE)*AA74</f>
        <v>17.355212739732156</v>
      </c>
      <c r="AO74">
        <f>VLOOKUP($AC74,'2017 Seattle Tracts'!$C$2:$Z$399,AO$1,FALSE)*AA74</f>
        <v>0</v>
      </c>
      <c r="AP74">
        <f>VLOOKUP($AC74,'2017 Seattle Tracts'!$C$2:$Z$399,AP$1,FALSE)*AA74</f>
        <v>5.7850709132440521</v>
      </c>
      <c r="AQ74">
        <f>VLOOKUP($AC74,'2017 Seattle Tracts'!$C$2:$Z$399,AQ$1,FALSE)*AA74</f>
        <v>0</v>
      </c>
      <c r="AR74">
        <f>VLOOKUP($AC74,'2017 Seattle Tracts'!$C$2:$Z$399,AR$1,FALSE)*AA74</f>
        <v>18.319391225272835</v>
      </c>
      <c r="AS74">
        <f>VLOOKUP($AC74,'2017 Seattle Tracts'!$C$2:$Z$399,AS$1,FALSE)*AA74</f>
        <v>7.7134278843254034</v>
      </c>
      <c r="AT74">
        <f>VLOOKUP($AC74,'2017 Seattle Tracts'!$C$2:$Z$399,AT$1,FALSE)*AA74</f>
        <v>17.355212739732156</v>
      </c>
      <c r="AU74">
        <f>VLOOKUP($AC74,'2017 Seattle Tracts'!$C$2:$Z$399,AU$1,FALSE)*AA74</f>
        <v>0</v>
      </c>
      <c r="AV74">
        <f>VLOOKUP($AC74,'2017 Seattle Tracts'!$C$2:$Z$399,AV$1,FALSE)*AA74</f>
        <v>59.779066103521878</v>
      </c>
      <c r="AW74">
        <f>VLOOKUP($AC74,'2017 Seattle Tracts'!$C$2:$Z$399,AW$1,FALSE)*AA74</f>
        <v>0</v>
      </c>
      <c r="AX74">
        <f>VLOOKUP($AC74,'2017 Seattle Tracts'!$C$2:$Z$399,AX$1,FALSE)*AA74</f>
        <v>62.671601560143905</v>
      </c>
      <c r="AY74">
        <f>VLOOKUP($AC74,'2017 Seattle Tracts'!$C$2:$Z$399,AY$1,FALSE)*AA74</f>
        <v>0</v>
      </c>
      <c r="BA74" s="2" t="s">
        <v>169</v>
      </c>
      <c r="BB74">
        <v>6164.9999921979352</v>
      </c>
      <c r="BC74">
        <v>5448.9483073346364</v>
      </c>
      <c r="BD74">
        <v>716.05168486329808</v>
      </c>
      <c r="BE74">
        <v>4495.8893585516553</v>
      </c>
      <c r="BF74">
        <v>276.34180015002801</v>
      </c>
      <c r="BG74">
        <v>187.36705949595364</v>
      </c>
      <c r="BH74">
        <v>7.9734568110555806</v>
      </c>
      <c r="BI74">
        <v>105.11910077776984</v>
      </c>
      <c r="BJ74">
        <v>59.656431487669401</v>
      </c>
      <c r="BK74">
        <v>30.391576494516958</v>
      </c>
      <c r="BL74">
        <v>5.8824052961757669</v>
      </c>
      <c r="BM74">
        <v>165.25541914125529</v>
      </c>
      <c r="BN74">
        <v>302.09659800975692</v>
      </c>
      <c r="BO74">
        <v>7.2398834414470974</v>
      </c>
      <c r="BP74">
        <v>0</v>
      </c>
      <c r="BQ74">
        <v>67.560210281518877</v>
      </c>
      <c r="BR74">
        <v>47.647157488643572</v>
      </c>
      <c r="BS74">
        <v>390.1256991505204</v>
      </c>
      <c r="BT74">
        <v>16.453835619968846</v>
      </c>
    </row>
    <row r="75" spans="1:72" x14ac:dyDescent="0.25">
      <c r="A75" t="s">
        <v>2917</v>
      </c>
      <c r="B75" t="s">
        <v>2918</v>
      </c>
      <c r="C75" t="s">
        <v>2972</v>
      </c>
      <c r="D75" t="s">
        <v>2848</v>
      </c>
      <c r="E75" t="s">
        <v>2849</v>
      </c>
      <c r="F75" t="s">
        <v>2850</v>
      </c>
      <c r="G75" t="s">
        <v>2920</v>
      </c>
      <c r="H75" t="s">
        <v>2921</v>
      </c>
      <c r="I75">
        <v>4775571</v>
      </c>
      <c r="J75">
        <v>272911</v>
      </c>
      <c r="K75" t="s">
        <v>2973</v>
      </c>
      <c r="L75" t="s">
        <v>2974</v>
      </c>
      <c r="M75">
        <v>4776042</v>
      </c>
      <c r="N75">
        <v>80</v>
      </c>
      <c r="O75">
        <v>40522.184000000001</v>
      </c>
      <c r="P75" t="s">
        <v>179</v>
      </c>
      <c r="Q75">
        <v>17</v>
      </c>
      <c r="R75">
        <v>5</v>
      </c>
      <c r="S75">
        <v>95</v>
      </c>
      <c r="T75">
        <v>52620472</v>
      </c>
      <c r="U75">
        <v>82</v>
      </c>
      <c r="V75">
        <v>172</v>
      </c>
      <c r="W75">
        <v>40522.182927532267</v>
      </c>
      <c r="X75">
        <v>52620470.788550943</v>
      </c>
      <c r="Y75">
        <v>3200.049</v>
      </c>
      <c r="Z75">
        <f>VLOOKUP($AC75,'2017 Seattle Tracts'!$C$2:$Z$399,24,FALSE)</f>
        <v>4776041.7609999999</v>
      </c>
      <c r="AA75">
        <f t="shared" si="3"/>
        <v>6.7002115143356266E-4</v>
      </c>
      <c r="AB75" t="s">
        <v>180</v>
      </c>
      <c r="AC75" t="str">
        <f t="shared" si="2"/>
        <v>Census Tract 109, King County, Washington</v>
      </c>
      <c r="AD75">
        <f>VLOOKUP($AC75,'2017 Seattle Tracts'!$C$2:$Z$399,AD$1,FALSE)*AA75</f>
        <v>0.700172103248073</v>
      </c>
      <c r="AE75">
        <f>VLOOKUP($AC75,'2017 Seattle Tracts'!$C$2:$Z$399,AE$1,FALSE)*AA75</f>
        <v>0.68074148985649963</v>
      </c>
      <c r="AF75">
        <f>VLOOKUP($AC75,'2017 Seattle Tracts'!$C$2:$Z$399,AF$1,FALSE)*AA75</f>
        <v>1.9430613391573318E-2</v>
      </c>
      <c r="AG75">
        <f>VLOOKUP($AC75,'2017 Seattle Tracts'!$C$2:$Z$399,AG$1,FALSE)*AA75</f>
        <v>0.700172103248073</v>
      </c>
      <c r="AH75">
        <f>VLOOKUP($AC75,'2017 Seattle Tracts'!$C$2:$Z$399,AH$1,FALSE)*AA75</f>
        <v>0.68074148985649963</v>
      </c>
      <c r="AI75">
        <f>VLOOKUP($AC75,'2017 Seattle Tracts'!$C$2:$Z$399,AI$1,FALSE)*AA75</f>
        <v>1.9430613391573318E-2</v>
      </c>
      <c r="AJ75">
        <f>VLOOKUP($AC75,'2017 Seattle Tracts'!$C$2:$Z$399,AJ$1,FALSE)*AA75</f>
        <v>0.53802698460115084</v>
      </c>
      <c r="AK75">
        <f>VLOOKUP($AC75,'2017 Seattle Tracts'!$C$2:$Z$399,AK$1,FALSE)*AA75</f>
        <v>1.4070444180104816E-2</v>
      </c>
      <c r="AL75">
        <f>VLOOKUP($AC75,'2017 Seattle Tracts'!$C$2:$Z$399,AL$1,FALSE)*AA75</f>
        <v>1.6750528785839068E-2</v>
      </c>
      <c r="AM75">
        <f>VLOOKUP($AC75,'2017 Seattle Tracts'!$C$2:$Z$399,AM$1,FALSE)*AA75</f>
        <v>0</v>
      </c>
      <c r="AN75">
        <f>VLOOKUP($AC75,'2017 Seattle Tracts'!$C$2:$Z$399,AN$1,FALSE)*AA75</f>
        <v>1.2060380725804128E-2</v>
      </c>
      <c r="AO75">
        <f>VLOOKUP($AC75,'2017 Seattle Tracts'!$C$2:$Z$399,AO$1,FALSE)*AA75</f>
        <v>0</v>
      </c>
      <c r="AP75">
        <f>VLOOKUP($AC75,'2017 Seattle Tracts'!$C$2:$Z$399,AP$1,FALSE)*AA75</f>
        <v>4.0201269086013762E-3</v>
      </c>
      <c r="AQ75">
        <f>VLOOKUP($AC75,'2017 Seattle Tracts'!$C$2:$Z$399,AQ$1,FALSE)*AA75</f>
        <v>0</v>
      </c>
      <c r="AR75">
        <f>VLOOKUP($AC75,'2017 Seattle Tracts'!$C$2:$Z$399,AR$1,FALSE)*AA75</f>
        <v>1.2730401877237691E-2</v>
      </c>
      <c r="AS75">
        <f>VLOOKUP($AC75,'2017 Seattle Tracts'!$C$2:$Z$399,AS$1,FALSE)*AA75</f>
        <v>5.3601692114685013E-3</v>
      </c>
      <c r="AT75">
        <f>VLOOKUP($AC75,'2017 Seattle Tracts'!$C$2:$Z$399,AT$1,FALSE)*AA75</f>
        <v>1.2060380725804128E-2</v>
      </c>
      <c r="AU75">
        <f>VLOOKUP($AC75,'2017 Seattle Tracts'!$C$2:$Z$399,AU$1,FALSE)*AA75</f>
        <v>0</v>
      </c>
      <c r="AV75">
        <f>VLOOKUP($AC75,'2017 Seattle Tracts'!$C$2:$Z$399,AV$1,FALSE)*AA75</f>
        <v>4.1541311388880883E-2</v>
      </c>
      <c r="AW75">
        <f>VLOOKUP($AC75,'2017 Seattle Tracts'!$C$2:$Z$399,AW$1,FALSE)*AA75</f>
        <v>0</v>
      </c>
      <c r="AX75">
        <f>VLOOKUP($AC75,'2017 Seattle Tracts'!$C$2:$Z$399,AX$1,FALSE)*AA75</f>
        <v>4.355137484318157E-2</v>
      </c>
      <c r="AY75">
        <f>VLOOKUP($AC75,'2017 Seattle Tracts'!$C$2:$Z$399,AY$1,FALSE)*AA75</f>
        <v>0</v>
      </c>
      <c r="BA75" s="2" t="s">
        <v>197</v>
      </c>
      <c r="BB75">
        <v>9227.2681761598196</v>
      </c>
      <c r="BC75">
        <v>6950.8745892783581</v>
      </c>
      <c r="BD75">
        <v>2276.3935868814633</v>
      </c>
      <c r="BE75">
        <v>4292.0467804017444</v>
      </c>
      <c r="BF75">
        <v>320.55464181203729</v>
      </c>
      <c r="BG75">
        <v>106.80107018803668</v>
      </c>
      <c r="BH75">
        <v>78.290712973276399</v>
      </c>
      <c r="BI75">
        <v>1230.1006163163979</v>
      </c>
      <c r="BJ75">
        <v>245.69050068671629</v>
      </c>
      <c r="BK75">
        <v>18.860302052534582</v>
      </c>
      <c r="BL75">
        <v>1.5680942201372328E-2</v>
      </c>
      <c r="BM75">
        <v>678.49893533326861</v>
      </c>
      <c r="BN75">
        <v>1217.4677853729993</v>
      </c>
      <c r="BO75">
        <v>17.42534463669686</v>
      </c>
      <c r="BP75">
        <v>8.564999906173032</v>
      </c>
      <c r="BQ75">
        <v>165.21504542909142</v>
      </c>
      <c r="BR75">
        <v>231.7429079169691</v>
      </c>
      <c r="BS75">
        <v>441.92649492058689</v>
      </c>
      <c r="BT75">
        <v>174.06635727109085</v>
      </c>
    </row>
    <row r="76" spans="1:72" x14ac:dyDescent="0.25">
      <c r="A76" t="s">
        <v>2917</v>
      </c>
      <c r="B76" t="s">
        <v>2918</v>
      </c>
      <c r="C76" t="s">
        <v>2972</v>
      </c>
      <c r="D76" t="s">
        <v>2848</v>
      </c>
      <c r="E76" t="s">
        <v>2849</v>
      </c>
      <c r="F76" t="s">
        <v>2850</v>
      </c>
      <c r="G76" t="s">
        <v>2920</v>
      </c>
      <c r="H76" t="s">
        <v>2921</v>
      </c>
      <c r="I76">
        <v>4775571</v>
      </c>
      <c r="J76">
        <v>272911</v>
      </c>
      <c r="K76" t="s">
        <v>2973</v>
      </c>
      <c r="L76" t="s">
        <v>2974</v>
      </c>
      <c r="M76">
        <v>4776042</v>
      </c>
      <c r="N76">
        <v>81</v>
      </c>
      <c r="O76">
        <v>38996.714999999997</v>
      </c>
      <c r="P76" t="s">
        <v>179</v>
      </c>
      <c r="Q76">
        <v>17</v>
      </c>
      <c r="R76">
        <v>5</v>
      </c>
      <c r="S76">
        <v>23</v>
      </c>
      <c r="T76">
        <v>38448828</v>
      </c>
      <c r="U76">
        <v>83</v>
      </c>
      <c r="V76">
        <v>183</v>
      </c>
      <c r="W76">
        <v>38996.715107084907</v>
      </c>
      <c r="X76">
        <v>38448826.89896398</v>
      </c>
      <c r="Y76">
        <v>1927.0329999999999</v>
      </c>
      <c r="Z76">
        <f>VLOOKUP($AC76,'2017 Seattle Tracts'!$C$2:$Z$399,24,FALSE)</f>
        <v>4776041.7609999999</v>
      </c>
      <c r="AA76">
        <f t="shared" si="3"/>
        <v>4.0347909344840417E-4</v>
      </c>
      <c r="AB76" t="s">
        <v>181</v>
      </c>
      <c r="AC76" t="str">
        <f t="shared" si="2"/>
        <v>Census Tract 109, King County, Washington</v>
      </c>
      <c r="AD76">
        <f>VLOOKUP($AC76,'2017 Seattle Tracts'!$C$2:$Z$399,AD$1,FALSE)*AA76</f>
        <v>0.42163565265358238</v>
      </c>
      <c r="AE76">
        <f>VLOOKUP($AC76,'2017 Seattle Tracts'!$C$2:$Z$399,AE$1,FALSE)*AA76</f>
        <v>0.40993475894357861</v>
      </c>
      <c r="AF76">
        <f>VLOOKUP($AC76,'2017 Seattle Tracts'!$C$2:$Z$399,AF$1,FALSE)*AA76</f>
        <v>1.1700893710003721E-2</v>
      </c>
      <c r="AG76">
        <f>VLOOKUP($AC76,'2017 Seattle Tracts'!$C$2:$Z$399,AG$1,FALSE)*AA76</f>
        <v>0.42163565265358238</v>
      </c>
      <c r="AH76">
        <f>VLOOKUP($AC76,'2017 Seattle Tracts'!$C$2:$Z$399,AH$1,FALSE)*AA76</f>
        <v>0.40993475894357861</v>
      </c>
      <c r="AI76">
        <f>VLOOKUP($AC76,'2017 Seattle Tracts'!$C$2:$Z$399,AI$1,FALSE)*AA76</f>
        <v>1.1700893710003721E-2</v>
      </c>
      <c r="AJ76">
        <f>VLOOKUP($AC76,'2017 Seattle Tracts'!$C$2:$Z$399,AJ$1,FALSE)*AA76</f>
        <v>0.32399371203906857</v>
      </c>
      <c r="AK76">
        <f>VLOOKUP($AC76,'2017 Seattle Tracts'!$C$2:$Z$399,AK$1,FALSE)*AA76</f>
        <v>8.4730609624164878E-3</v>
      </c>
      <c r="AL76">
        <f>VLOOKUP($AC76,'2017 Seattle Tracts'!$C$2:$Z$399,AL$1,FALSE)*AA76</f>
        <v>1.0086977336210104E-2</v>
      </c>
      <c r="AM76">
        <f>VLOOKUP($AC76,'2017 Seattle Tracts'!$C$2:$Z$399,AM$1,FALSE)*AA76</f>
        <v>0</v>
      </c>
      <c r="AN76">
        <f>VLOOKUP($AC76,'2017 Seattle Tracts'!$C$2:$Z$399,AN$1,FALSE)*AA76</f>
        <v>7.2626236820712755E-3</v>
      </c>
      <c r="AO76">
        <f>VLOOKUP($AC76,'2017 Seattle Tracts'!$C$2:$Z$399,AO$1,FALSE)*AA76</f>
        <v>0</v>
      </c>
      <c r="AP76">
        <f>VLOOKUP($AC76,'2017 Seattle Tracts'!$C$2:$Z$399,AP$1,FALSE)*AA76</f>
        <v>2.420874560690425E-3</v>
      </c>
      <c r="AQ76">
        <f>VLOOKUP($AC76,'2017 Seattle Tracts'!$C$2:$Z$399,AQ$1,FALSE)*AA76</f>
        <v>0</v>
      </c>
      <c r="AR76">
        <f>VLOOKUP($AC76,'2017 Seattle Tracts'!$C$2:$Z$399,AR$1,FALSE)*AA76</f>
        <v>7.666102775519679E-3</v>
      </c>
      <c r="AS76">
        <f>VLOOKUP($AC76,'2017 Seattle Tracts'!$C$2:$Z$399,AS$1,FALSE)*AA76</f>
        <v>3.2278327475872334E-3</v>
      </c>
      <c r="AT76">
        <f>VLOOKUP($AC76,'2017 Seattle Tracts'!$C$2:$Z$399,AT$1,FALSE)*AA76</f>
        <v>7.2626236820712755E-3</v>
      </c>
      <c r="AU76">
        <f>VLOOKUP($AC76,'2017 Seattle Tracts'!$C$2:$Z$399,AU$1,FALSE)*AA76</f>
        <v>0</v>
      </c>
      <c r="AV76">
        <f>VLOOKUP($AC76,'2017 Seattle Tracts'!$C$2:$Z$399,AV$1,FALSE)*AA76</f>
        <v>2.501570379380106E-2</v>
      </c>
      <c r="AW76">
        <f>VLOOKUP($AC76,'2017 Seattle Tracts'!$C$2:$Z$399,AW$1,FALSE)*AA76</f>
        <v>0</v>
      </c>
      <c r="AX76">
        <f>VLOOKUP($AC76,'2017 Seattle Tracts'!$C$2:$Z$399,AX$1,FALSE)*AA76</f>
        <v>2.622614107414627E-2</v>
      </c>
      <c r="AY76">
        <f>VLOOKUP($AC76,'2017 Seattle Tracts'!$C$2:$Z$399,AY$1,FALSE)*AA76</f>
        <v>0</v>
      </c>
      <c r="BA76" s="2" t="s">
        <v>181</v>
      </c>
      <c r="BB76">
        <v>7812.2832857001631</v>
      </c>
      <c r="BC76">
        <v>4237.4946358095312</v>
      </c>
      <c r="BD76">
        <v>3574.7886498906323</v>
      </c>
      <c r="BE76">
        <v>805.80381326591521</v>
      </c>
      <c r="BF76">
        <v>44.390821516081871</v>
      </c>
      <c r="BG76">
        <v>132.44331204550161</v>
      </c>
      <c r="BH76">
        <v>116.16153248357151</v>
      </c>
      <c r="BI76">
        <v>1607.0320632161461</v>
      </c>
      <c r="BJ76">
        <v>749.33418519376505</v>
      </c>
      <c r="BK76">
        <v>43.619712227807852</v>
      </c>
      <c r="BL76">
        <v>33.08874355977057</v>
      </c>
      <c r="BM76">
        <v>958.07117246414646</v>
      </c>
      <c r="BN76">
        <v>2430.6884483143103</v>
      </c>
      <c r="BO76">
        <v>78.360160367386698</v>
      </c>
      <c r="BP76">
        <v>96.940966523551964</v>
      </c>
      <c r="BQ76">
        <v>86.596867971885089</v>
      </c>
      <c r="BR76">
        <v>50.311292372829747</v>
      </c>
      <c r="BS76">
        <v>525.56753425074237</v>
      </c>
      <c r="BT76">
        <v>53.872659926751048</v>
      </c>
    </row>
    <row r="77" spans="1:72" x14ac:dyDescent="0.25">
      <c r="A77" t="s">
        <v>2917</v>
      </c>
      <c r="B77" t="s">
        <v>2918</v>
      </c>
      <c r="C77" t="s">
        <v>2975</v>
      </c>
      <c r="D77" t="s">
        <v>2809</v>
      </c>
      <c r="E77" t="s">
        <v>2810</v>
      </c>
      <c r="F77" t="s">
        <v>2811</v>
      </c>
      <c r="G77" t="s">
        <v>2920</v>
      </c>
      <c r="H77" t="s">
        <v>2921</v>
      </c>
      <c r="I77">
        <v>2301121</v>
      </c>
      <c r="J77">
        <v>1668242</v>
      </c>
      <c r="K77" t="s">
        <v>2976</v>
      </c>
      <c r="L77" t="s">
        <v>2977</v>
      </c>
      <c r="M77">
        <v>2299528</v>
      </c>
      <c r="N77">
        <v>83</v>
      </c>
      <c r="O77">
        <v>18911.330000000002</v>
      </c>
      <c r="P77" t="s">
        <v>184</v>
      </c>
      <c r="Q77">
        <v>15</v>
      </c>
      <c r="R77">
        <v>4</v>
      </c>
      <c r="S77">
        <v>19</v>
      </c>
      <c r="T77">
        <v>18366938</v>
      </c>
      <c r="U77">
        <v>85</v>
      </c>
      <c r="V77">
        <v>185</v>
      </c>
      <c r="W77">
        <v>18911.329349083731</v>
      </c>
      <c r="X77">
        <v>18366938.27518687</v>
      </c>
      <c r="Y77">
        <v>2376.7130000000002</v>
      </c>
      <c r="Z77">
        <f>VLOOKUP($AC77,'2017 Seattle Tracts'!$C$2:$Z$399,24,FALSE)</f>
        <v>2299528.1170000001</v>
      </c>
      <c r="AA77">
        <f t="shared" si="3"/>
        <v>1.0335655313059172E-3</v>
      </c>
      <c r="AB77" t="s">
        <v>183</v>
      </c>
      <c r="AC77" t="str">
        <f t="shared" si="2"/>
        <v>Census Tract 118, King County, Washington</v>
      </c>
      <c r="AD77">
        <f>VLOOKUP($AC77,'2017 Seattle Tracts'!$C$2:$Z$399,AD$1,FALSE)*AA77</f>
        <v>8.6974539459392926</v>
      </c>
      <c r="AE77">
        <f>VLOOKUP($AC77,'2017 Seattle Tracts'!$C$2:$Z$399,AE$1,FALSE)*AA77</f>
        <v>5.2060695811879052</v>
      </c>
      <c r="AF77">
        <f>VLOOKUP($AC77,'2017 Seattle Tracts'!$C$2:$Z$399,AF$1,FALSE)*AA77</f>
        <v>3.4913843647513882</v>
      </c>
      <c r="AG77">
        <f>VLOOKUP($AC77,'2017 Seattle Tracts'!$C$2:$Z$399,AG$1,FALSE)*AA77</f>
        <v>8.6974539459392926</v>
      </c>
      <c r="AH77">
        <f>VLOOKUP($AC77,'2017 Seattle Tracts'!$C$2:$Z$399,AH$1,FALSE)*AA77</f>
        <v>5.2060695811879052</v>
      </c>
      <c r="AI77">
        <f>VLOOKUP($AC77,'2017 Seattle Tracts'!$C$2:$Z$399,AI$1,FALSE)*AA77</f>
        <v>3.4913843647513882</v>
      </c>
      <c r="AJ77">
        <f>VLOOKUP($AC77,'2017 Seattle Tracts'!$C$2:$Z$399,AJ$1,FALSE)*AA77</f>
        <v>1.6712754641216681</v>
      </c>
      <c r="AK77">
        <f>VLOOKUP($AC77,'2017 Seattle Tracts'!$C$2:$Z$399,AK$1,FALSE)*AA77</f>
        <v>7.0282456128802365E-2</v>
      </c>
      <c r="AL77">
        <f>VLOOKUP($AC77,'2017 Seattle Tracts'!$C$2:$Z$399,AL$1,FALSE)*AA77</f>
        <v>0.29353261089088051</v>
      </c>
      <c r="AM77">
        <f>VLOOKUP($AC77,'2017 Seattle Tracts'!$C$2:$Z$399,AM$1,FALSE)*AA77</f>
        <v>0.14986700203935799</v>
      </c>
      <c r="AN77">
        <f>VLOOKUP($AC77,'2017 Seattle Tracts'!$C$2:$Z$399,AN$1,FALSE)*AA77</f>
        <v>1.6454363258390201</v>
      </c>
      <c r="AO77">
        <f>VLOOKUP($AC77,'2017 Seattle Tracts'!$C$2:$Z$399,AO$1,FALSE)*AA77</f>
        <v>1.0439011866189765</v>
      </c>
      <c r="AP77">
        <f>VLOOKUP($AC77,'2017 Seattle Tracts'!$C$2:$Z$399,AP$1,FALSE)*AA77</f>
        <v>3.4107662533095266E-2</v>
      </c>
      <c r="AQ77">
        <f>VLOOKUP($AC77,'2017 Seattle Tracts'!$C$2:$Z$399,AQ$1,FALSE)*AA77</f>
        <v>1.8604179563506511E-2</v>
      </c>
      <c r="AR77">
        <f>VLOOKUP($AC77,'2017 Seattle Tracts'!$C$2:$Z$399,AR$1,FALSE)*AA77</f>
        <v>0.49197719290161657</v>
      </c>
      <c r="AS77">
        <f>VLOOKUP($AC77,'2017 Seattle Tracts'!$C$2:$Z$399,AS$1,FALSE)*AA77</f>
        <v>1.6226978841502899</v>
      </c>
      <c r="AT77">
        <f>VLOOKUP($AC77,'2017 Seattle Tracts'!$C$2:$Z$399,AT$1,FALSE)*AA77</f>
        <v>0</v>
      </c>
      <c r="AU77">
        <f>VLOOKUP($AC77,'2017 Seattle Tracts'!$C$2:$Z$399,AU$1,FALSE)*AA77</f>
        <v>0</v>
      </c>
      <c r="AV77">
        <f>VLOOKUP($AC77,'2017 Seattle Tracts'!$C$2:$Z$399,AV$1,FALSE)*AA77</f>
        <v>0.17053831266547634</v>
      </c>
      <c r="AW77">
        <f>VLOOKUP($AC77,'2017 Seattle Tracts'!$C$2:$Z$399,AW$1,FALSE)*AA77</f>
        <v>0.52401772437210004</v>
      </c>
      <c r="AX77">
        <f>VLOOKUP($AC77,'2017 Seattle Tracts'!$C$2:$Z$399,AX$1,FALSE)*AA77</f>
        <v>0.89920201223614793</v>
      </c>
      <c r="AY77">
        <f>VLOOKUP($AC77,'2017 Seattle Tracts'!$C$2:$Z$399,AY$1,FALSE)*AA77</f>
        <v>6.2013931878355029E-2</v>
      </c>
      <c r="BA77" s="2" t="s">
        <v>195</v>
      </c>
      <c r="BB77">
        <v>5891.1811920562031</v>
      </c>
      <c r="BC77">
        <v>4295.7169460952919</v>
      </c>
      <c r="BD77">
        <v>1595.4642459609115</v>
      </c>
      <c r="BE77">
        <v>2390.8864716059134</v>
      </c>
      <c r="BF77">
        <v>123.11344056414319</v>
      </c>
      <c r="BG77">
        <v>281.53418095994112</v>
      </c>
      <c r="BH77">
        <v>248.5868485879005</v>
      </c>
      <c r="BI77">
        <v>722.32442987872628</v>
      </c>
      <c r="BJ77">
        <v>191.43810824621497</v>
      </c>
      <c r="BK77">
        <v>58.269755213593868</v>
      </c>
      <c r="BL77">
        <v>16.898330417998228</v>
      </c>
      <c r="BM77">
        <v>203.98628892401933</v>
      </c>
      <c r="BN77">
        <v>512.24288842990984</v>
      </c>
      <c r="BO77">
        <v>21.326740130454855</v>
      </c>
      <c r="BP77">
        <v>51.836435641667798</v>
      </c>
      <c r="BQ77">
        <v>218.55217944961603</v>
      </c>
      <c r="BR77">
        <v>385.59451497962817</v>
      </c>
      <c r="BS77">
        <v>398.83689993302687</v>
      </c>
      <c r="BT77">
        <v>65.753679093448682</v>
      </c>
    </row>
    <row r="78" spans="1:72" x14ac:dyDescent="0.25">
      <c r="A78" t="s">
        <v>2917</v>
      </c>
      <c r="B78" t="s">
        <v>2918</v>
      </c>
      <c r="C78" t="s">
        <v>2975</v>
      </c>
      <c r="D78" t="s">
        <v>2809</v>
      </c>
      <c r="E78" t="s">
        <v>2810</v>
      </c>
      <c r="F78" t="s">
        <v>2811</v>
      </c>
      <c r="G78" t="s">
        <v>2920</v>
      </c>
      <c r="H78" t="s">
        <v>2921</v>
      </c>
      <c r="I78">
        <v>2301121</v>
      </c>
      <c r="J78">
        <v>1668242</v>
      </c>
      <c r="K78" t="s">
        <v>2976</v>
      </c>
      <c r="L78" t="s">
        <v>2977</v>
      </c>
      <c r="M78">
        <v>2299528</v>
      </c>
      <c r="N78">
        <v>84</v>
      </c>
      <c r="O78">
        <v>20847.651999999998</v>
      </c>
      <c r="P78" t="s">
        <v>184</v>
      </c>
      <c r="Q78">
        <v>15</v>
      </c>
      <c r="R78">
        <v>4</v>
      </c>
      <c r="S78">
        <v>9</v>
      </c>
      <c r="T78">
        <v>19601602</v>
      </c>
      <c r="U78">
        <v>86</v>
      </c>
      <c r="V78">
        <v>192</v>
      </c>
      <c r="W78">
        <v>20847.653192299731</v>
      </c>
      <c r="X78">
        <v>19601601.215348601</v>
      </c>
      <c r="Y78">
        <v>1469743.746</v>
      </c>
      <c r="Z78">
        <f>VLOOKUP($AC78,'2017 Seattle Tracts'!$C$2:$Z$399,24,FALSE)</f>
        <v>2299528.1170000001</v>
      </c>
      <c r="AA78">
        <f t="shared" si="3"/>
        <v>0.63915015221359872</v>
      </c>
      <c r="AB78" t="s">
        <v>185</v>
      </c>
      <c r="AC78" t="str">
        <f t="shared" si="2"/>
        <v>Census Tract 118, King County, Washington</v>
      </c>
      <c r="AD78">
        <f>VLOOKUP($AC78,'2017 Seattle Tracts'!$C$2:$Z$399,AD$1,FALSE)*AA78</f>
        <v>5378.4485308774329</v>
      </c>
      <c r="AE78">
        <f>VLOOKUP($AC78,'2017 Seattle Tracts'!$C$2:$Z$399,AE$1,FALSE)*AA78</f>
        <v>3219.3993166998966</v>
      </c>
      <c r="AF78">
        <f>VLOOKUP($AC78,'2017 Seattle Tracts'!$C$2:$Z$399,AF$1,FALSE)*AA78</f>
        <v>2159.0492141775367</v>
      </c>
      <c r="AG78">
        <f>VLOOKUP($AC78,'2017 Seattle Tracts'!$C$2:$Z$399,AG$1,FALSE)*AA78</f>
        <v>5378.4485308774329</v>
      </c>
      <c r="AH78">
        <f>VLOOKUP($AC78,'2017 Seattle Tracts'!$C$2:$Z$399,AH$1,FALSE)*AA78</f>
        <v>3219.3993166998966</v>
      </c>
      <c r="AI78">
        <f>VLOOKUP($AC78,'2017 Seattle Tracts'!$C$2:$Z$399,AI$1,FALSE)*AA78</f>
        <v>2159.0492141775367</v>
      </c>
      <c r="AJ78">
        <f>VLOOKUP($AC78,'2017 Seattle Tracts'!$C$2:$Z$399,AJ$1,FALSE)*AA78</f>
        <v>1033.5057961293892</v>
      </c>
      <c r="AK78">
        <f>VLOOKUP($AC78,'2017 Seattle Tracts'!$C$2:$Z$399,AK$1,FALSE)*AA78</f>
        <v>43.462210350524714</v>
      </c>
      <c r="AL78">
        <f>VLOOKUP($AC78,'2017 Seattle Tracts'!$C$2:$Z$399,AL$1,FALSE)*AA78</f>
        <v>181.51864322866203</v>
      </c>
      <c r="AM78">
        <f>VLOOKUP($AC78,'2017 Seattle Tracts'!$C$2:$Z$399,AM$1,FALSE)*AA78</f>
        <v>92.676772070971808</v>
      </c>
      <c r="AN78">
        <f>VLOOKUP($AC78,'2017 Seattle Tracts'!$C$2:$Z$399,AN$1,FALSE)*AA78</f>
        <v>1017.5270423240491</v>
      </c>
      <c r="AO78">
        <f>VLOOKUP($AC78,'2017 Seattle Tracts'!$C$2:$Z$399,AO$1,FALSE)*AA78</f>
        <v>645.54165373573471</v>
      </c>
      <c r="AP78">
        <f>VLOOKUP($AC78,'2017 Seattle Tracts'!$C$2:$Z$399,AP$1,FALSE)*AA78</f>
        <v>21.091955023048758</v>
      </c>
      <c r="AQ78">
        <f>VLOOKUP($AC78,'2017 Seattle Tracts'!$C$2:$Z$399,AQ$1,FALSE)*AA78</f>
        <v>11.504702739844777</v>
      </c>
      <c r="AR78">
        <f>VLOOKUP($AC78,'2017 Seattle Tracts'!$C$2:$Z$399,AR$1,FALSE)*AA78</f>
        <v>304.23547245367297</v>
      </c>
      <c r="AS78">
        <f>VLOOKUP($AC78,'2017 Seattle Tracts'!$C$2:$Z$399,AS$1,FALSE)*AA78</f>
        <v>1003.46573897535</v>
      </c>
      <c r="AT78">
        <f>VLOOKUP($AC78,'2017 Seattle Tracts'!$C$2:$Z$399,AT$1,FALSE)*AA78</f>
        <v>0</v>
      </c>
      <c r="AU78">
        <f>VLOOKUP($AC78,'2017 Seattle Tracts'!$C$2:$Z$399,AU$1,FALSE)*AA78</f>
        <v>0</v>
      </c>
      <c r="AV78">
        <f>VLOOKUP($AC78,'2017 Seattle Tracts'!$C$2:$Z$399,AV$1,FALSE)*AA78</f>
        <v>105.45977511524379</v>
      </c>
      <c r="AW78">
        <f>VLOOKUP($AC78,'2017 Seattle Tracts'!$C$2:$Z$399,AW$1,FALSE)*AA78</f>
        <v>324.04912717229456</v>
      </c>
      <c r="AX78">
        <f>VLOOKUP($AC78,'2017 Seattle Tracts'!$C$2:$Z$399,AX$1,FALSE)*AA78</f>
        <v>556.06063242583093</v>
      </c>
      <c r="AY78">
        <f>VLOOKUP($AC78,'2017 Seattle Tracts'!$C$2:$Z$399,AY$1,FALSE)*AA78</f>
        <v>38.349009132815922</v>
      </c>
      <c r="BA78" s="2" t="s">
        <v>143</v>
      </c>
      <c r="BB78">
        <v>10076.874512393893</v>
      </c>
      <c r="BC78">
        <v>7234.9193638901479</v>
      </c>
      <c r="BD78">
        <v>2841.9551485037455</v>
      </c>
      <c r="BE78">
        <v>5338.4532233017471</v>
      </c>
      <c r="BF78">
        <v>720.92217174257632</v>
      </c>
      <c r="BG78">
        <v>335.56137171582242</v>
      </c>
      <c r="BH78">
        <v>217.83342169388587</v>
      </c>
      <c r="BI78">
        <v>425.76351476859946</v>
      </c>
      <c r="BJ78">
        <v>195.14850188067751</v>
      </c>
      <c r="BK78">
        <v>55.310821359887761</v>
      </c>
      <c r="BL78">
        <v>0</v>
      </c>
      <c r="BM78">
        <v>425.84635884473425</v>
      </c>
      <c r="BN78">
        <v>1361.7366545225232</v>
      </c>
      <c r="BO78">
        <v>37.771328783652258</v>
      </c>
      <c r="BP78">
        <v>0</v>
      </c>
      <c r="BQ78">
        <v>49.29383844782835</v>
      </c>
      <c r="BR78">
        <v>99.674009310786772</v>
      </c>
      <c r="BS78">
        <v>566.91890666787549</v>
      </c>
      <c r="BT78">
        <v>246.64038935329592</v>
      </c>
    </row>
    <row r="79" spans="1:72" x14ac:dyDescent="0.25">
      <c r="A79" t="s">
        <v>2917</v>
      </c>
      <c r="B79" t="s">
        <v>2918</v>
      </c>
      <c r="C79" t="s">
        <v>2975</v>
      </c>
      <c r="D79" t="s">
        <v>2809</v>
      </c>
      <c r="E79" t="s">
        <v>2810</v>
      </c>
      <c r="F79" t="s">
        <v>2811</v>
      </c>
      <c r="G79" t="s">
        <v>2920</v>
      </c>
      <c r="H79" t="s">
        <v>2921</v>
      </c>
      <c r="I79">
        <v>2301121</v>
      </c>
      <c r="J79">
        <v>1668242</v>
      </c>
      <c r="K79" t="s">
        <v>2976</v>
      </c>
      <c r="L79" t="s">
        <v>2977</v>
      </c>
      <c r="M79">
        <v>2299528</v>
      </c>
      <c r="N79">
        <v>85</v>
      </c>
      <c r="O79">
        <v>34965.612999999998</v>
      </c>
      <c r="P79" t="s">
        <v>184</v>
      </c>
      <c r="Q79">
        <v>15</v>
      </c>
      <c r="R79">
        <v>4</v>
      </c>
      <c r="S79">
        <v>81</v>
      </c>
      <c r="T79">
        <v>33128236</v>
      </c>
      <c r="U79">
        <v>87</v>
      </c>
      <c r="V79">
        <v>194</v>
      </c>
      <c r="W79">
        <v>34965.613210047493</v>
      </c>
      <c r="X79">
        <v>33128236.141302869</v>
      </c>
      <c r="Y79">
        <v>822097.42500000005</v>
      </c>
      <c r="Z79">
        <f>VLOOKUP($AC79,'2017 Seattle Tracts'!$C$2:$Z$399,24,FALSE)</f>
        <v>2299528.1170000001</v>
      </c>
      <c r="AA79">
        <f t="shared" si="3"/>
        <v>0.35750701151352787</v>
      </c>
      <c r="AB79" t="s">
        <v>186</v>
      </c>
      <c r="AC79" t="str">
        <f t="shared" si="2"/>
        <v>Census Tract 118, King County, Washington</v>
      </c>
      <c r="AD79">
        <f>VLOOKUP($AC79,'2017 Seattle Tracts'!$C$2:$Z$399,AD$1,FALSE)*AA79</f>
        <v>3008.421501886337</v>
      </c>
      <c r="AE79">
        <f>VLOOKUP($AC79,'2017 Seattle Tracts'!$C$2:$Z$399,AE$1,FALSE)*AA79</f>
        <v>1800.7628169936399</v>
      </c>
      <c r="AF79">
        <f>VLOOKUP($AC79,'2017 Seattle Tracts'!$C$2:$Z$399,AF$1,FALSE)*AA79</f>
        <v>1207.6586848926972</v>
      </c>
      <c r="AG79">
        <f>VLOOKUP($AC79,'2017 Seattle Tracts'!$C$2:$Z$399,AG$1,FALSE)*AA79</f>
        <v>3008.421501886337</v>
      </c>
      <c r="AH79">
        <f>VLOOKUP($AC79,'2017 Seattle Tracts'!$C$2:$Z$399,AH$1,FALSE)*AA79</f>
        <v>1800.7628169936399</v>
      </c>
      <c r="AI79">
        <f>VLOOKUP($AC79,'2017 Seattle Tracts'!$C$2:$Z$399,AI$1,FALSE)*AA79</f>
        <v>1207.6586848926972</v>
      </c>
      <c r="AJ79">
        <f>VLOOKUP($AC79,'2017 Seattle Tracts'!$C$2:$Z$399,AJ$1,FALSE)*AA79</f>
        <v>578.08883761737457</v>
      </c>
      <c r="AK79">
        <f>VLOOKUP($AC79,'2017 Seattle Tracts'!$C$2:$Z$399,AK$1,FALSE)*AA79</f>
        <v>24.310476782919896</v>
      </c>
      <c r="AL79">
        <f>VLOOKUP($AC79,'2017 Seattle Tracts'!$C$2:$Z$399,AL$1,FALSE)*AA79</f>
        <v>101.53199126984191</v>
      </c>
      <c r="AM79">
        <f>VLOOKUP($AC79,'2017 Seattle Tracts'!$C$2:$Z$399,AM$1,FALSE)*AA79</f>
        <v>51.838516669461541</v>
      </c>
      <c r="AN79">
        <f>VLOOKUP($AC79,'2017 Seattle Tracts'!$C$2:$Z$399,AN$1,FALSE)*AA79</f>
        <v>569.15116232953642</v>
      </c>
      <c r="AO79">
        <f>VLOOKUP($AC79,'2017 Seattle Tracts'!$C$2:$Z$399,AO$1,FALSE)*AA79</f>
        <v>361.08208162866316</v>
      </c>
      <c r="AP79">
        <f>VLOOKUP($AC79,'2017 Seattle Tracts'!$C$2:$Z$399,AP$1,FALSE)*AA79</f>
        <v>11.79773137994642</v>
      </c>
      <c r="AQ79">
        <f>VLOOKUP($AC79,'2017 Seattle Tracts'!$C$2:$Z$399,AQ$1,FALSE)*AA79</f>
        <v>6.4351262072435018</v>
      </c>
      <c r="AR79">
        <f>VLOOKUP($AC79,'2017 Seattle Tracts'!$C$2:$Z$399,AR$1,FALSE)*AA79</f>
        <v>170.17333748043927</v>
      </c>
      <c r="AS79">
        <f>VLOOKUP($AC79,'2017 Seattle Tracts'!$C$2:$Z$399,AS$1,FALSE)*AA79</f>
        <v>561.28600807623877</v>
      </c>
      <c r="AT79">
        <f>VLOOKUP($AC79,'2017 Seattle Tracts'!$C$2:$Z$399,AT$1,FALSE)*AA79</f>
        <v>0</v>
      </c>
      <c r="AU79">
        <f>VLOOKUP($AC79,'2017 Seattle Tracts'!$C$2:$Z$399,AU$1,FALSE)*AA79</f>
        <v>0</v>
      </c>
      <c r="AV79">
        <f>VLOOKUP($AC79,'2017 Seattle Tracts'!$C$2:$Z$399,AV$1,FALSE)*AA79</f>
        <v>58.988656899732099</v>
      </c>
      <c r="AW79">
        <f>VLOOKUP($AC79,'2017 Seattle Tracts'!$C$2:$Z$399,AW$1,FALSE)*AA79</f>
        <v>181.25605483735862</v>
      </c>
      <c r="AX79">
        <f>VLOOKUP($AC79,'2017 Seattle Tracts'!$C$2:$Z$399,AX$1,FALSE)*AA79</f>
        <v>311.03110001676924</v>
      </c>
      <c r="AY79">
        <f>VLOOKUP($AC79,'2017 Seattle Tracts'!$C$2:$Z$399,AY$1,FALSE)*AA79</f>
        <v>21.450420690811672</v>
      </c>
      <c r="BA79" s="2" t="s">
        <v>167</v>
      </c>
      <c r="BB79">
        <v>3689.3701512691305</v>
      </c>
      <c r="BC79">
        <v>2880.4036701087766</v>
      </c>
      <c r="BD79">
        <v>808.96648116035408</v>
      </c>
      <c r="BE79">
        <v>1159.1534999024022</v>
      </c>
      <c r="BF79">
        <v>79.829133729332682</v>
      </c>
      <c r="BG79">
        <v>322.89608902769606</v>
      </c>
      <c r="BH79">
        <v>123.27752460323785</v>
      </c>
      <c r="BI79">
        <v>167.14253765302922</v>
      </c>
      <c r="BJ79">
        <v>31.652462143700294</v>
      </c>
      <c r="BK79">
        <v>16.897740372628551</v>
      </c>
      <c r="BL79">
        <v>7.3495003668265529E-2</v>
      </c>
      <c r="BM79">
        <v>112.7222407703585</v>
      </c>
      <c r="BN79">
        <v>251.51603125246294</v>
      </c>
      <c r="BO79">
        <v>57.936933644232802</v>
      </c>
      <c r="BP79">
        <v>95.028713094265669</v>
      </c>
      <c r="BQ79">
        <v>298.1284762621201</v>
      </c>
      <c r="BR79">
        <v>217.60843962979703</v>
      </c>
      <c r="BS79">
        <v>745.52615247630877</v>
      </c>
      <c r="BT79">
        <v>9.9806817038893527</v>
      </c>
    </row>
    <row r="80" spans="1:72" x14ac:dyDescent="0.25">
      <c r="A80" t="s">
        <v>2917</v>
      </c>
      <c r="B80" t="s">
        <v>2918</v>
      </c>
      <c r="C80" t="s">
        <v>2975</v>
      </c>
      <c r="D80" t="s">
        <v>2809</v>
      </c>
      <c r="E80" t="s">
        <v>2810</v>
      </c>
      <c r="F80" t="s">
        <v>2811</v>
      </c>
      <c r="G80" t="s">
        <v>2920</v>
      </c>
      <c r="H80" t="s">
        <v>2921</v>
      </c>
      <c r="I80">
        <v>2301121</v>
      </c>
      <c r="J80">
        <v>1668242</v>
      </c>
      <c r="K80" t="s">
        <v>2976</v>
      </c>
      <c r="L80" t="s">
        <v>2977</v>
      </c>
      <c r="M80">
        <v>2299528</v>
      </c>
      <c r="N80">
        <v>95</v>
      </c>
      <c r="O80">
        <v>52212.785000000003</v>
      </c>
      <c r="P80" t="s">
        <v>198</v>
      </c>
      <c r="Q80">
        <v>16</v>
      </c>
      <c r="R80">
        <v>11</v>
      </c>
      <c r="S80">
        <v>95</v>
      </c>
      <c r="T80">
        <v>43835280</v>
      </c>
      <c r="U80">
        <v>97</v>
      </c>
      <c r="V80">
        <v>173</v>
      </c>
      <c r="W80">
        <v>52212.786810353093</v>
      </c>
      <c r="X80">
        <v>43835279.005916066</v>
      </c>
      <c r="Y80">
        <v>1963.751</v>
      </c>
      <c r="Z80">
        <f>VLOOKUP($AC80,'2017 Seattle Tracts'!$C$2:$Z$399,24,FALSE)</f>
        <v>2299528.1170000001</v>
      </c>
      <c r="AA80">
        <f t="shared" si="3"/>
        <v>8.5397999071302501E-4</v>
      </c>
      <c r="AB80" t="s">
        <v>197</v>
      </c>
      <c r="AC80" t="str">
        <f t="shared" si="2"/>
        <v>Census Tract 118, King County, Washington</v>
      </c>
      <c r="AD80">
        <f>VLOOKUP($AC80,'2017 Seattle Tracts'!$C$2:$Z$399,AD$1,FALSE)*AA80</f>
        <v>7.1862416218501055</v>
      </c>
      <c r="AE80">
        <f>VLOOKUP($AC80,'2017 Seattle Tracts'!$C$2:$Z$399,AE$1,FALSE)*AA80</f>
        <v>4.3014972132215066</v>
      </c>
      <c r="AF80">
        <f>VLOOKUP($AC80,'2017 Seattle Tracts'!$C$2:$Z$399,AF$1,FALSE)*AA80</f>
        <v>2.8847444086285985</v>
      </c>
      <c r="AG80">
        <f>VLOOKUP($AC80,'2017 Seattle Tracts'!$C$2:$Z$399,AG$1,FALSE)*AA80</f>
        <v>7.1862416218501055</v>
      </c>
      <c r="AH80">
        <f>VLOOKUP($AC80,'2017 Seattle Tracts'!$C$2:$Z$399,AH$1,FALSE)*AA80</f>
        <v>4.3014972132215066</v>
      </c>
      <c r="AI80">
        <f>VLOOKUP($AC80,'2017 Seattle Tracts'!$C$2:$Z$399,AI$1,FALSE)*AA80</f>
        <v>2.8847444086285985</v>
      </c>
      <c r="AJ80">
        <f>VLOOKUP($AC80,'2017 Seattle Tracts'!$C$2:$Z$399,AJ$1,FALSE)*AA80</f>
        <v>1.3808856449829614</v>
      </c>
      <c r="AK80">
        <f>VLOOKUP($AC80,'2017 Seattle Tracts'!$C$2:$Z$399,AK$1,FALSE)*AA80</f>
        <v>5.8070639368485701E-2</v>
      </c>
      <c r="AL80">
        <f>VLOOKUP($AC80,'2017 Seattle Tracts'!$C$2:$Z$399,AL$1,FALSE)*AA80</f>
        <v>0.24253031736249911</v>
      </c>
      <c r="AM80">
        <f>VLOOKUP($AC80,'2017 Seattle Tracts'!$C$2:$Z$399,AM$1,FALSE)*AA80</f>
        <v>0.12382709865338863</v>
      </c>
      <c r="AN80">
        <f>VLOOKUP($AC80,'2017 Seattle Tracts'!$C$2:$Z$399,AN$1,FALSE)*AA80</f>
        <v>1.3595361452151358</v>
      </c>
      <c r="AO80">
        <f>VLOOKUP($AC80,'2017 Seattle Tracts'!$C$2:$Z$399,AO$1,FALSE)*AA80</f>
        <v>0.86251979062015527</v>
      </c>
      <c r="AP80">
        <f>VLOOKUP($AC80,'2017 Seattle Tracts'!$C$2:$Z$399,AP$1,FALSE)*AA80</f>
        <v>2.8181339693529824E-2</v>
      </c>
      <c r="AQ80">
        <f>VLOOKUP($AC80,'2017 Seattle Tracts'!$C$2:$Z$399,AQ$1,FALSE)*AA80</f>
        <v>1.537163983283445E-2</v>
      </c>
      <c r="AR80">
        <f>VLOOKUP($AC80,'2017 Seattle Tracts'!$C$2:$Z$399,AR$1,FALSE)*AA80</f>
        <v>0.40649447557939988</v>
      </c>
      <c r="AS80">
        <f>VLOOKUP($AC80,'2017 Seattle Tracts'!$C$2:$Z$399,AS$1,FALSE)*AA80</f>
        <v>1.3407485854194492</v>
      </c>
      <c r="AT80">
        <f>VLOOKUP($AC80,'2017 Seattle Tracts'!$C$2:$Z$399,AT$1,FALSE)*AA80</f>
        <v>0</v>
      </c>
      <c r="AU80">
        <f>VLOOKUP($AC80,'2017 Seattle Tracts'!$C$2:$Z$399,AU$1,FALSE)*AA80</f>
        <v>0</v>
      </c>
      <c r="AV80">
        <f>VLOOKUP($AC80,'2017 Seattle Tracts'!$C$2:$Z$399,AV$1,FALSE)*AA80</f>
        <v>0.14090669846764914</v>
      </c>
      <c r="AW80">
        <f>VLOOKUP($AC80,'2017 Seattle Tracts'!$C$2:$Z$399,AW$1,FALSE)*AA80</f>
        <v>0.43296785529150367</v>
      </c>
      <c r="AX80">
        <f>VLOOKUP($AC80,'2017 Seattle Tracts'!$C$2:$Z$399,AX$1,FALSE)*AA80</f>
        <v>0.74296259192033176</v>
      </c>
      <c r="AY80">
        <f>VLOOKUP($AC80,'2017 Seattle Tracts'!$C$2:$Z$399,AY$1,FALSE)*AA80</f>
        <v>5.1238799442781501E-2</v>
      </c>
      <c r="BA80" s="2" t="s">
        <v>147</v>
      </c>
      <c r="BB80">
        <v>3164.8010530624024</v>
      </c>
      <c r="BC80">
        <v>2694.1978320429275</v>
      </c>
      <c r="BD80">
        <v>470.60322101947531</v>
      </c>
      <c r="BE80">
        <v>2273.3738045391779</v>
      </c>
      <c r="BF80">
        <v>192.49453552256267</v>
      </c>
      <c r="BG80">
        <v>76.287556936681</v>
      </c>
      <c r="BH80">
        <v>17.010230745950661</v>
      </c>
      <c r="BI80">
        <v>83.527362078711391</v>
      </c>
      <c r="BJ80">
        <v>8.8606199286955452</v>
      </c>
      <c r="BK80">
        <v>8.6726407214555223</v>
      </c>
      <c r="BL80">
        <v>2.4036644829044156</v>
      </c>
      <c r="BM80">
        <v>93.2129775556824</v>
      </c>
      <c r="BN80">
        <v>214.2028599979021</v>
      </c>
      <c r="BO80">
        <v>4.3566418752642528</v>
      </c>
      <c r="BP80">
        <v>11.028062918942609</v>
      </c>
      <c r="BQ80">
        <v>12.150442230106728</v>
      </c>
      <c r="BR80">
        <v>5.4852943424058962</v>
      </c>
      <c r="BS80">
        <v>142.61640610584831</v>
      </c>
      <c r="BT80">
        <v>19.117953080111416</v>
      </c>
    </row>
    <row r="81" spans="1:72" x14ac:dyDescent="0.25">
      <c r="A81" t="s">
        <v>2917</v>
      </c>
      <c r="B81" t="s">
        <v>2918</v>
      </c>
      <c r="C81" t="s">
        <v>2978</v>
      </c>
      <c r="D81" t="s">
        <v>2836</v>
      </c>
      <c r="E81" t="s">
        <v>2837</v>
      </c>
      <c r="F81" t="s">
        <v>2838</v>
      </c>
      <c r="G81" t="s">
        <v>2920</v>
      </c>
      <c r="H81" t="s">
        <v>2921</v>
      </c>
      <c r="I81">
        <v>1150365</v>
      </c>
      <c r="J81">
        <v>0</v>
      </c>
      <c r="K81" t="s">
        <v>2979</v>
      </c>
      <c r="L81" t="s">
        <v>2980</v>
      </c>
      <c r="M81">
        <v>1150364</v>
      </c>
      <c r="N81">
        <v>80</v>
      </c>
      <c r="O81">
        <v>40522.184000000001</v>
      </c>
      <c r="P81" t="s">
        <v>179</v>
      </c>
      <c r="Q81">
        <v>17</v>
      </c>
      <c r="R81">
        <v>5</v>
      </c>
      <c r="S81">
        <v>95</v>
      </c>
      <c r="T81">
        <v>52620472</v>
      </c>
      <c r="U81">
        <v>82</v>
      </c>
      <c r="V81">
        <v>172</v>
      </c>
      <c r="W81">
        <v>40522.182927532267</v>
      </c>
      <c r="X81">
        <v>52620470.788550943</v>
      </c>
      <c r="Y81">
        <v>1052.807</v>
      </c>
      <c r="Z81">
        <f>VLOOKUP($AC81,'2017 Seattle Tracts'!$C$2:$Z$399,24,FALSE)</f>
        <v>1150364.17</v>
      </c>
      <c r="AA81">
        <f t="shared" si="3"/>
        <v>9.1519453357105174E-4</v>
      </c>
      <c r="AB81" t="s">
        <v>180</v>
      </c>
      <c r="AC81" t="str">
        <f t="shared" si="2"/>
        <v>Census Tract 111.01, King County, Washington</v>
      </c>
      <c r="AD81">
        <f>VLOOKUP($AC81,'2017 Seattle Tracts'!$C$2:$Z$399,AD$1,FALSE)*AA81</f>
        <v>4.987810207962232</v>
      </c>
      <c r="AE81">
        <f>VLOOKUP($AC81,'2017 Seattle Tracts'!$C$2:$Z$399,AE$1,FALSE)*AA81</f>
        <v>2.8014104672609892</v>
      </c>
      <c r="AF81">
        <f>VLOOKUP($AC81,'2017 Seattle Tracts'!$C$2:$Z$399,AF$1,FALSE)*AA81</f>
        <v>2.1863997407012428</v>
      </c>
      <c r="AG81">
        <f>VLOOKUP($AC81,'2017 Seattle Tracts'!$C$2:$Z$399,AG$1,FALSE)*AA81</f>
        <v>4.987810207962232</v>
      </c>
      <c r="AH81">
        <f>VLOOKUP($AC81,'2017 Seattle Tracts'!$C$2:$Z$399,AH$1,FALSE)*AA81</f>
        <v>2.8014104672609892</v>
      </c>
      <c r="AI81">
        <f>VLOOKUP($AC81,'2017 Seattle Tracts'!$C$2:$Z$399,AI$1,FALSE)*AA81</f>
        <v>2.1863997407012428</v>
      </c>
      <c r="AJ81">
        <f>VLOOKUP($AC81,'2017 Seattle Tracts'!$C$2:$Z$399,AJ$1,FALSE)*AA81</f>
        <v>0.902381810101057</v>
      </c>
      <c r="AK81">
        <f>VLOOKUP($AC81,'2017 Seattle Tracts'!$C$2:$Z$399,AK$1,FALSE)*AA81</f>
        <v>9.6095426024960434E-2</v>
      </c>
      <c r="AL81">
        <f>VLOOKUP($AC81,'2017 Seattle Tracts'!$C$2:$Z$399,AL$1,FALSE)*AA81</f>
        <v>9.6095426024960434E-2</v>
      </c>
      <c r="AM81">
        <f>VLOOKUP($AC81,'2017 Seattle Tracts'!$C$2:$Z$399,AM$1,FALSE)*AA81</f>
        <v>1.7388696137849984E-2</v>
      </c>
      <c r="AN81">
        <f>VLOOKUP($AC81,'2017 Seattle Tracts'!$C$2:$Z$399,AN$1,FALSE)*AA81</f>
        <v>0.83191183101608601</v>
      </c>
      <c r="AO81">
        <f>VLOOKUP($AC81,'2017 Seattle Tracts'!$C$2:$Z$399,AO$1,FALSE)*AA81</f>
        <v>0.42098948544268378</v>
      </c>
      <c r="AP81">
        <f>VLOOKUP($AC81,'2017 Seattle Tracts'!$C$2:$Z$399,AP$1,FALSE)*AA81</f>
        <v>3.8438170409984172E-2</v>
      </c>
      <c r="AQ81">
        <f>VLOOKUP($AC81,'2017 Seattle Tracts'!$C$2:$Z$399,AQ$1,FALSE)*AA81</f>
        <v>6.4063617349973626E-3</v>
      </c>
      <c r="AR81">
        <f>VLOOKUP($AC81,'2017 Seattle Tracts'!$C$2:$Z$399,AR$1,FALSE)*AA81</f>
        <v>0.49878102079622322</v>
      </c>
      <c r="AS81">
        <f>VLOOKUP($AC81,'2017 Seattle Tracts'!$C$2:$Z$399,AS$1,FALSE)*AA81</f>
        <v>1.5832865430779195</v>
      </c>
      <c r="AT81">
        <f>VLOOKUP($AC81,'2017 Seattle Tracts'!$C$2:$Z$399,AT$1,FALSE)*AA81</f>
        <v>1.5558307070707879E-2</v>
      </c>
      <c r="AU81">
        <f>VLOOKUP($AC81,'2017 Seattle Tracts'!$C$2:$Z$399,AU$1,FALSE)*AA81</f>
        <v>2.9286225074273656E-2</v>
      </c>
      <c r="AV81">
        <f>VLOOKUP($AC81,'2017 Seattle Tracts'!$C$2:$Z$399,AV$1,FALSE)*AA81</f>
        <v>5.0335699346407844E-2</v>
      </c>
      <c r="AW81">
        <f>VLOOKUP($AC81,'2017 Seattle Tracts'!$C$2:$Z$399,AW$1,FALSE)*AA81</f>
        <v>2.5625446939989451E-2</v>
      </c>
      <c r="AX81">
        <f>VLOOKUP($AC81,'2017 Seattle Tracts'!$C$2:$Z$399,AX$1,FALSE)*AA81</f>
        <v>0.36790820249556277</v>
      </c>
      <c r="AY81">
        <f>VLOOKUP($AC81,'2017 Seattle Tracts'!$C$2:$Z$399,AY$1,FALSE)*AA81</f>
        <v>7.3215562685684139E-3</v>
      </c>
      <c r="BA81" s="2" t="s">
        <v>205</v>
      </c>
      <c r="BB81">
        <v>11322.944965173401</v>
      </c>
      <c r="BC81">
        <v>9809.3064689956736</v>
      </c>
      <c r="BD81">
        <v>1513.6384961777253</v>
      </c>
      <c r="BE81">
        <v>8061.902538682999</v>
      </c>
      <c r="BF81">
        <v>725.48712759701618</v>
      </c>
      <c r="BG81">
        <v>421.54769017225601</v>
      </c>
      <c r="BH81">
        <v>126.65318928537108</v>
      </c>
      <c r="BI81">
        <v>360.04992031247031</v>
      </c>
      <c r="BJ81">
        <v>145.3887455091608</v>
      </c>
      <c r="BK81">
        <v>32.211865677674808</v>
      </c>
      <c r="BL81">
        <v>0</v>
      </c>
      <c r="BM81">
        <v>351.50487325480418</v>
      </c>
      <c r="BN81">
        <v>456.96939181680449</v>
      </c>
      <c r="BO81">
        <v>18.577272757026321</v>
      </c>
      <c r="BP81">
        <v>0.22672512516352497</v>
      </c>
      <c r="BQ81">
        <v>53.681893531946812</v>
      </c>
      <c r="BR81">
        <v>23.490161724336325</v>
      </c>
      <c r="BS81">
        <v>509.83041460649719</v>
      </c>
      <c r="BT81">
        <v>35.423155119872959</v>
      </c>
    </row>
    <row r="82" spans="1:72" x14ac:dyDescent="0.25">
      <c r="A82" t="s">
        <v>2917</v>
      </c>
      <c r="B82" t="s">
        <v>2918</v>
      </c>
      <c r="C82" t="s">
        <v>2978</v>
      </c>
      <c r="D82" t="s">
        <v>2836</v>
      </c>
      <c r="E82" t="s">
        <v>2837</v>
      </c>
      <c r="F82" t="s">
        <v>2838</v>
      </c>
      <c r="G82" t="s">
        <v>2920</v>
      </c>
      <c r="H82" t="s">
        <v>2921</v>
      </c>
      <c r="I82">
        <v>1150365</v>
      </c>
      <c r="J82">
        <v>0</v>
      </c>
      <c r="K82" t="s">
        <v>2979</v>
      </c>
      <c r="L82" t="s">
        <v>2980</v>
      </c>
      <c r="M82">
        <v>1150364</v>
      </c>
      <c r="N82">
        <v>82</v>
      </c>
      <c r="O82">
        <v>15848.361999999999</v>
      </c>
      <c r="P82" t="s">
        <v>179</v>
      </c>
      <c r="Q82">
        <v>17</v>
      </c>
      <c r="R82">
        <v>5</v>
      </c>
      <c r="S82">
        <v>24</v>
      </c>
      <c r="T82">
        <v>8444236</v>
      </c>
      <c r="U82">
        <v>84</v>
      </c>
      <c r="V82">
        <v>186</v>
      </c>
      <c r="W82">
        <v>15848.362418511269</v>
      </c>
      <c r="X82">
        <v>8444235.9786088634</v>
      </c>
      <c r="Y82">
        <v>967.17200000000003</v>
      </c>
      <c r="Z82">
        <f>VLOOKUP($AC82,'2017 Seattle Tracts'!$C$2:$Z$399,24,FALSE)</f>
        <v>1150364.17</v>
      </c>
      <c r="AA82">
        <f t="shared" si="3"/>
        <v>8.4075288958278325E-4</v>
      </c>
      <c r="AB82" t="s">
        <v>182</v>
      </c>
      <c r="AC82" t="str">
        <f t="shared" si="2"/>
        <v>Census Tract 111.01, King County, Washington</v>
      </c>
      <c r="AD82">
        <f>VLOOKUP($AC82,'2017 Seattle Tracts'!$C$2:$Z$399,AD$1,FALSE)*AA82</f>
        <v>4.5821032482261685</v>
      </c>
      <c r="AE82">
        <f>VLOOKUP($AC82,'2017 Seattle Tracts'!$C$2:$Z$399,AE$1,FALSE)*AA82</f>
        <v>2.5735445950128994</v>
      </c>
      <c r="AF82">
        <f>VLOOKUP($AC82,'2017 Seattle Tracts'!$C$2:$Z$399,AF$1,FALSE)*AA82</f>
        <v>2.0085586532132691</v>
      </c>
      <c r="AG82">
        <f>VLOOKUP($AC82,'2017 Seattle Tracts'!$C$2:$Z$399,AG$1,FALSE)*AA82</f>
        <v>4.5821032482261685</v>
      </c>
      <c r="AH82">
        <f>VLOOKUP($AC82,'2017 Seattle Tracts'!$C$2:$Z$399,AH$1,FALSE)*AA82</f>
        <v>2.5735445950128994</v>
      </c>
      <c r="AI82">
        <f>VLOOKUP($AC82,'2017 Seattle Tracts'!$C$2:$Z$399,AI$1,FALSE)*AA82</f>
        <v>2.0085586532132691</v>
      </c>
      <c r="AJ82">
        <f>VLOOKUP($AC82,'2017 Seattle Tracts'!$C$2:$Z$399,AJ$1,FALSE)*AA82</f>
        <v>0.82898234912862434</v>
      </c>
      <c r="AK82">
        <f>VLOOKUP($AC82,'2017 Seattle Tracts'!$C$2:$Z$399,AK$1,FALSE)*AA82</f>
        <v>8.8279053406192243E-2</v>
      </c>
      <c r="AL82">
        <f>VLOOKUP($AC82,'2017 Seattle Tracts'!$C$2:$Z$399,AL$1,FALSE)*AA82</f>
        <v>8.8279053406192243E-2</v>
      </c>
      <c r="AM82">
        <f>VLOOKUP($AC82,'2017 Seattle Tracts'!$C$2:$Z$399,AM$1,FALSE)*AA82</f>
        <v>1.5974304902072883E-2</v>
      </c>
      <c r="AN82">
        <f>VLOOKUP($AC82,'2017 Seattle Tracts'!$C$2:$Z$399,AN$1,FALSE)*AA82</f>
        <v>0.76424437663074996</v>
      </c>
      <c r="AO82">
        <f>VLOOKUP($AC82,'2017 Seattle Tracts'!$C$2:$Z$399,AO$1,FALSE)*AA82</f>
        <v>0.38674632920808028</v>
      </c>
      <c r="AP82">
        <f>VLOOKUP($AC82,'2017 Seattle Tracts'!$C$2:$Z$399,AP$1,FALSE)*AA82</f>
        <v>3.5311621362476897E-2</v>
      </c>
      <c r="AQ82">
        <f>VLOOKUP($AC82,'2017 Seattle Tracts'!$C$2:$Z$399,AQ$1,FALSE)*AA82</f>
        <v>5.8852702270794826E-3</v>
      </c>
      <c r="AR82">
        <f>VLOOKUP($AC82,'2017 Seattle Tracts'!$C$2:$Z$399,AR$1,FALSE)*AA82</f>
        <v>0.45821032482261687</v>
      </c>
      <c r="AS82">
        <f>VLOOKUP($AC82,'2017 Seattle Tracts'!$C$2:$Z$399,AS$1,FALSE)*AA82</f>
        <v>1.4545024989782149</v>
      </c>
      <c r="AT82">
        <f>VLOOKUP($AC82,'2017 Seattle Tracts'!$C$2:$Z$399,AT$1,FALSE)*AA82</f>
        <v>1.4292799122907315E-2</v>
      </c>
      <c r="AU82">
        <f>VLOOKUP($AC82,'2017 Seattle Tracts'!$C$2:$Z$399,AU$1,FALSE)*AA82</f>
        <v>2.6904092466649064E-2</v>
      </c>
      <c r="AV82">
        <f>VLOOKUP($AC82,'2017 Seattle Tracts'!$C$2:$Z$399,AV$1,FALSE)*AA82</f>
        <v>4.6241408927053078E-2</v>
      </c>
      <c r="AW82">
        <f>VLOOKUP($AC82,'2017 Seattle Tracts'!$C$2:$Z$399,AW$1,FALSE)*AA82</f>
        <v>2.354108090831793E-2</v>
      </c>
      <c r="AX82">
        <f>VLOOKUP($AC82,'2017 Seattle Tracts'!$C$2:$Z$399,AX$1,FALSE)*AA82</f>
        <v>0.33798266161227886</v>
      </c>
      <c r="AY82">
        <f>VLOOKUP($AC82,'2017 Seattle Tracts'!$C$2:$Z$399,AY$1,FALSE)*AA82</f>
        <v>6.726023116662266E-3</v>
      </c>
      <c r="BA82" s="2" t="s">
        <v>222</v>
      </c>
      <c r="BB82">
        <v>7804.6172967317434</v>
      </c>
      <c r="BC82">
        <v>7198.1978746856512</v>
      </c>
      <c r="BD82">
        <v>606.41942204609256</v>
      </c>
      <c r="BE82">
        <v>6299.9813614806772</v>
      </c>
      <c r="BF82">
        <v>309.96933458449899</v>
      </c>
      <c r="BG82">
        <v>400.30160643148287</v>
      </c>
      <c r="BH82">
        <v>48.059351440088768</v>
      </c>
      <c r="BI82">
        <v>41.619087439541545</v>
      </c>
      <c r="BJ82">
        <v>0</v>
      </c>
      <c r="BK82">
        <v>46.387928912269068</v>
      </c>
      <c r="BL82">
        <v>0</v>
      </c>
      <c r="BM82">
        <v>162.24562911385897</v>
      </c>
      <c r="BN82">
        <v>113.0332418248166</v>
      </c>
      <c r="BO82">
        <v>0</v>
      </c>
      <c r="BP82">
        <v>0</v>
      </c>
      <c r="BQ82">
        <v>14.929135389340612</v>
      </c>
      <c r="BR82">
        <v>80.119693256127945</v>
      </c>
      <c r="BS82">
        <v>232.73312591848139</v>
      </c>
      <c r="BT82">
        <v>55.237800940560263</v>
      </c>
    </row>
    <row r="83" spans="1:72" x14ac:dyDescent="0.25">
      <c r="A83" t="s">
        <v>2917</v>
      </c>
      <c r="B83" t="s">
        <v>2918</v>
      </c>
      <c r="C83" t="s">
        <v>2978</v>
      </c>
      <c r="D83" t="s">
        <v>2836</v>
      </c>
      <c r="E83" t="s">
        <v>2837</v>
      </c>
      <c r="F83" t="s">
        <v>2838</v>
      </c>
      <c r="G83" t="s">
        <v>2920</v>
      </c>
      <c r="H83" t="s">
        <v>2921</v>
      </c>
      <c r="I83">
        <v>1150365</v>
      </c>
      <c r="J83">
        <v>0</v>
      </c>
      <c r="K83" t="s">
        <v>2979</v>
      </c>
      <c r="L83" t="s">
        <v>2980</v>
      </c>
      <c r="M83">
        <v>1150364</v>
      </c>
      <c r="N83">
        <v>83</v>
      </c>
      <c r="O83">
        <v>18911.330000000002</v>
      </c>
      <c r="P83" t="s">
        <v>184</v>
      </c>
      <c r="Q83">
        <v>15</v>
      </c>
      <c r="R83">
        <v>4</v>
      </c>
      <c r="S83">
        <v>19</v>
      </c>
      <c r="T83">
        <v>18366938</v>
      </c>
      <c r="U83">
        <v>85</v>
      </c>
      <c r="V83">
        <v>185</v>
      </c>
      <c r="W83">
        <v>18911.329349083731</v>
      </c>
      <c r="X83">
        <v>18366938.27518687</v>
      </c>
      <c r="Y83">
        <v>1148188.044</v>
      </c>
      <c r="Z83">
        <f>VLOOKUP($AC83,'2017 Seattle Tracts'!$C$2:$Z$399,24,FALSE)</f>
        <v>1150364.17</v>
      </c>
      <c r="AA83">
        <f t="shared" si="3"/>
        <v>0.99810831556062818</v>
      </c>
      <c r="AB83" t="s">
        <v>183</v>
      </c>
      <c r="AC83" t="str">
        <f t="shared" si="2"/>
        <v>Census Tract 111.01, King County, Washington</v>
      </c>
      <c r="AD83">
        <f>VLOOKUP($AC83,'2017 Seattle Tracts'!$C$2:$Z$399,AD$1,FALSE)*AA83</f>
        <v>5439.6903198054233</v>
      </c>
      <c r="AE83">
        <f>VLOOKUP($AC83,'2017 Seattle Tracts'!$C$2:$Z$399,AE$1,FALSE)*AA83</f>
        <v>3055.2095539310831</v>
      </c>
      <c r="AF83">
        <f>VLOOKUP($AC83,'2017 Seattle Tracts'!$C$2:$Z$399,AF$1,FALSE)*AA83</f>
        <v>2384.4807658743407</v>
      </c>
      <c r="AG83">
        <f>VLOOKUP($AC83,'2017 Seattle Tracts'!$C$2:$Z$399,AG$1,FALSE)*AA83</f>
        <v>5439.6903198054233</v>
      </c>
      <c r="AH83">
        <f>VLOOKUP($AC83,'2017 Seattle Tracts'!$C$2:$Z$399,AH$1,FALSE)*AA83</f>
        <v>3055.2095539310831</v>
      </c>
      <c r="AI83">
        <f>VLOOKUP($AC83,'2017 Seattle Tracts'!$C$2:$Z$399,AI$1,FALSE)*AA83</f>
        <v>2384.4807658743407</v>
      </c>
      <c r="AJ83">
        <f>VLOOKUP($AC83,'2017 Seattle Tracts'!$C$2:$Z$399,AJ$1,FALSE)*AA83</f>
        <v>984.13479914277934</v>
      </c>
      <c r="AK83">
        <f>VLOOKUP($AC83,'2017 Seattle Tracts'!$C$2:$Z$399,AK$1,FALSE)*AA83</f>
        <v>104.80137313386597</v>
      </c>
      <c r="AL83">
        <f>VLOOKUP($AC83,'2017 Seattle Tracts'!$C$2:$Z$399,AL$1,FALSE)*AA83</f>
        <v>104.80137313386597</v>
      </c>
      <c r="AM83">
        <f>VLOOKUP($AC83,'2017 Seattle Tracts'!$C$2:$Z$399,AM$1,FALSE)*AA83</f>
        <v>18.964057995651935</v>
      </c>
      <c r="AN83">
        <f>VLOOKUP($AC83,'2017 Seattle Tracts'!$C$2:$Z$399,AN$1,FALSE)*AA83</f>
        <v>907.28045884461096</v>
      </c>
      <c r="AO83">
        <f>VLOOKUP($AC83,'2017 Seattle Tracts'!$C$2:$Z$399,AO$1,FALSE)*AA83</f>
        <v>459.12982515788894</v>
      </c>
      <c r="AP83">
        <f>VLOOKUP($AC83,'2017 Seattle Tracts'!$C$2:$Z$399,AP$1,FALSE)*AA83</f>
        <v>41.920549253546383</v>
      </c>
      <c r="AQ83">
        <f>VLOOKUP($AC83,'2017 Seattle Tracts'!$C$2:$Z$399,AQ$1,FALSE)*AA83</f>
        <v>6.9867582089243969</v>
      </c>
      <c r="AR83">
        <f>VLOOKUP($AC83,'2017 Seattle Tracts'!$C$2:$Z$399,AR$1,FALSE)*AA83</f>
        <v>543.96903198054235</v>
      </c>
      <c r="AS83">
        <f>VLOOKUP($AC83,'2017 Seattle Tracts'!$C$2:$Z$399,AS$1,FALSE)*AA83</f>
        <v>1726.7273859198867</v>
      </c>
      <c r="AT83">
        <f>VLOOKUP($AC83,'2017 Seattle Tracts'!$C$2:$Z$399,AT$1,FALSE)*AA83</f>
        <v>16.967841364530678</v>
      </c>
      <c r="AU83">
        <f>VLOOKUP($AC83,'2017 Seattle Tracts'!$C$2:$Z$399,AU$1,FALSE)*AA83</f>
        <v>31.939466097940102</v>
      </c>
      <c r="AV83">
        <f>VLOOKUP($AC83,'2017 Seattle Tracts'!$C$2:$Z$399,AV$1,FALSE)*AA83</f>
        <v>54.895957355834547</v>
      </c>
      <c r="AW83">
        <f>VLOOKUP($AC83,'2017 Seattle Tracts'!$C$2:$Z$399,AW$1,FALSE)*AA83</f>
        <v>27.947032835697588</v>
      </c>
      <c r="AX83">
        <f>VLOOKUP($AC83,'2017 Seattle Tracts'!$C$2:$Z$399,AX$1,FALSE)*AA83</f>
        <v>401.23954285537252</v>
      </c>
      <c r="AY83">
        <f>VLOOKUP($AC83,'2017 Seattle Tracts'!$C$2:$Z$399,AY$1,FALSE)*AA83</f>
        <v>7.9848665244850254</v>
      </c>
      <c r="BA83" s="2" t="s">
        <v>133</v>
      </c>
      <c r="BB83">
        <v>25106.315100593551</v>
      </c>
      <c r="BC83">
        <v>17973.46719862863</v>
      </c>
      <c r="BD83">
        <v>7132.8479019649203</v>
      </c>
      <c r="BE83">
        <v>12523.022858182825</v>
      </c>
      <c r="BF83">
        <v>1375.7018885462064</v>
      </c>
      <c r="BG83">
        <v>439.43968235097515</v>
      </c>
      <c r="BH83">
        <v>180.15145695312742</v>
      </c>
      <c r="BI83">
        <v>420.75156536248591</v>
      </c>
      <c r="BJ83">
        <v>181.33866788982903</v>
      </c>
      <c r="BK83">
        <v>213.77703242705547</v>
      </c>
      <c r="BL83">
        <v>0</v>
      </c>
      <c r="BM83">
        <v>2181.0133288025663</v>
      </c>
      <c r="BN83">
        <v>5021.0685309926484</v>
      </c>
      <c r="BO83">
        <v>36.648461510088296</v>
      </c>
      <c r="BP83">
        <v>27.508460140101114</v>
      </c>
      <c r="BQ83">
        <v>316.56537694993966</v>
      </c>
      <c r="BR83">
        <v>126.88027436615863</v>
      </c>
      <c r="BS83">
        <v>1842.2488930426948</v>
      </c>
      <c r="BT83">
        <v>220.19862307684949</v>
      </c>
    </row>
    <row r="84" spans="1:72" x14ac:dyDescent="0.25">
      <c r="A84" t="s">
        <v>2917</v>
      </c>
      <c r="B84" t="s">
        <v>2918</v>
      </c>
      <c r="C84" t="s">
        <v>2978</v>
      </c>
      <c r="D84" t="s">
        <v>2836</v>
      </c>
      <c r="E84" t="s">
        <v>2837</v>
      </c>
      <c r="F84" t="s">
        <v>2838</v>
      </c>
      <c r="G84" t="s">
        <v>2920</v>
      </c>
      <c r="H84" t="s">
        <v>2921</v>
      </c>
      <c r="I84">
        <v>1150365</v>
      </c>
      <c r="J84">
        <v>0</v>
      </c>
      <c r="K84" t="s">
        <v>2979</v>
      </c>
      <c r="L84" t="s">
        <v>2980</v>
      </c>
      <c r="M84">
        <v>1150364</v>
      </c>
      <c r="N84">
        <v>84</v>
      </c>
      <c r="O84">
        <v>20847.651999999998</v>
      </c>
      <c r="P84" t="s">
        <v>184</v>
      </c>
      <c r="Q84">
        <v>15</v>
      </c>
      <c r="R84">
        <v>4</v>
      </c>
      <c r="S84">
        <v>9</v>
      </c>
      <c r="T84">
        <v>19601602</v>
      </c>
      <c r="U84">
        <v>86</v>
      </c>
      <c r="V84">
        <v>192</v>
      </c>
      <c r="W84">
        <v>20847.653192299731</v>
      </c>
      <c r="X84">
        <v>19601601.215348601</v>
      </c>
      <c r="Y84">
        <v>92.765000000000001</v>
      </c>
      <c r="Z84">
        <f>VLOOKUP($AC84,'2017 Seattle Tracts'!$C$2:$Z$399,24,FALSE)</f>
        <v>1150364.17</v>
      </c>
      <c r="AA84">
        <f t="shared" si="3"/>
        <v>8.0639681258500958E-5</v>
      </c>
      <c r="AB84" t="s">
        <v>185</v>
      </c>
      <c r="AC84" t="str">
        <f t="shared" si="2"/>
        <v>Census Tract 111.01, King County, Washington</v>
      </c>
      <c r="AD84">
        <f>VLOOKUP($AC84,'2017 Seattle Tracts'!$C$2:$Z$399,AD$1,FALSE)*AA84</f>
        <v>0.43948626285883025</v>
      </c>
      <c r="AE84">
        <f>VLOOKUP($AC84,'2017 Seattle Tracts'!$C$2:$Z$399,AE$1,FALSE)*AA84</f>
        <v>0.24683806433227143</v>
      </c>
      <c r="AF84">
        <f>VLOOKUP($AC84,'2017 Seattle Tracts'!$C$2:$Z$399,AF$1,FALSE)*AA84</f>
        <v>0.19264819852655879</v>
      </c>
      <c r="AG84">
        <f>VLOOKUP($AC84,'2017 Seattle Tracts'!$C$2:$Z$399,AG$1,FALSE)*AA84</f>
        <v>0.43948626285883025</v>
      </c>
      <c r="AH84">
        <f>VLOOKUP($AC84,'2017 Seattle Tracts'!$C$2:$Z$399,AH$1,FALSE)*AA84</f>
        <v>0.24683806433227143</v>
      </c>
      <c r="AI84">
        <f>VLOOKUP($AC84,'2017 Seattle Tracts'!$C$2:$Z$399,AI$1,FALSE)*AA84</f>
        <v>0.19264819852655879</v>
      </c>
      <c r="AJ84">
        <f>VLOOKUP($AC84,'2017 Seattle Tracts'!$C$2:$Z$399,AJ$1,FALSE)*AA84</f>
        <v>7.9510725720881942E-2</v>
      </c>
      <c r="AK84">
        <f>VLOOKUP($AC84,'2017 Seattle Tracts'!$C$2:$Z$399,AK$1,FALSE)*AA84</f>
        <v>8.4671665321426007E-3</v>
      </c>
      <c r="AL84">
        <f>VLOOKUP($AC84,'2017 Seattle Tracts'!$C$2:$Z$399,AL$1,FALSE)*AA84</f>
        <v>8.4671665321426007E-3</v>
      </c>
      <c r="AM84">
        <f>VLOOKUP($AC84,'2017 Seattle Tracts'!$C$2:$Z$399,AM$1,FALSE)*AA84</f>
        <v>1.5321539439115182E-3</v>
      </c>
      <c r="AN84">
        <f>VLOOKUP($AC84,'2017 Seattle Tracts'!$C$2:$Z$399,AN$1,FALSE)*AA84</f>
        <v>7.3301470263977375E-2</v>
      </c>
      <c r="AO84">
        <f>VLOOKUP($AC84,'2017 Seattle Tracts'!$C$2:$Z$399,AO$1,FALSE)*AA84</f>
        <v>3.7094253378910438E-2</v>
      </c>
      <c r="AP84">
        <f>VLOOKUP($AC84,'2017 Seattle Tracts'!$C$2:$Z$399,AP$1,FALSE)*AA84</f>
        <v>3.3868666128570404E-3</v>
      </c>
      <c r="AQ84">
        <f>VLOOKUP($AC84,'2017 Seattle Tracts'!$C$2:$Z$399,AQ$1,FALSE)*AA84</f>
        <v>5.6447776880950669E-4</v>
      </c>
      <c r="AR84">
        <f>VLOOKUP($AC84,'2017 Seattle Tracts'!$C$2:$Z$399,AR$1,FALSE)*AA84</f>
        <v>4.3948626285883023E-2</v>
      </c>
      <c r="AS84">
        <f>VLOOKUP($AC84,'2017 Seattle Tracts'!$C$2:$Z$399,AS$1,FALSE)*AA84</f>
        <v>0.13950664857720665</v>
      </c>
      <c r="AT84">
        <f>VLOOKUP($AC84,'2017 Seattle Tracts'!$C$2:$Z$399,AT$1,FALSE)*AA84</f>
        <v>1.3708745813945163E-3</v>
      </c>
      <c r="AU84">
        <f>VLOOKUP($AC84,'2017 Seattle Tracts'!$C$2:$Z$399,AU$1,FALSE)*AA84</f>
        <v>2.5804698002720307E-3</v>
      </c>
      <c r="AV84">
        <f>VLOOKUP($AC84,'2017 Seattle Tracts'!$C$2:$Z$399,AV$1,FALSE)*AA84</f>
        <v>4.435182469217553E-3</v>
      </c>
      <c r="AW84">
        <f>VLOOKUP($AC84,'2017 Seattle Tracts'!$C$2:$Z$399,AW$1,FALSE)*AA84</f>
        <v>2.2579110752380268E-3</v>
      </c>
      <c r="AX84">
        <f>VLOOKUP($AC84,'2017 Seattle Tracts'!$C$2:$Z$399,AX$1,FALSE)*AA84</f>
        <v>3.2417151865917385E-2</v>
      </c>
      <c r="AY84">
        <f>VLOOKUP($AC84,'2017 Seattle Tracts'!$C$2:$Z$399,AY$1,FALSE)*AA84</f>
        <v>6.4511745006800767E-4</v>
      </c>
      <c r="BA84" s="2" t="s">
        <v>206</v>
      </c>
      <c r="BB84">
        <v>6302.7497670777493</v>
      </c>
      <c r="BC84">
        <v>4727.9553257161042</v>
      </c>
      <c r="BD84">
        <v>1574.7944413616456</v>
      </c>
      <c r="BE84">
        <v>3600.2826675298525</v>
      </c>
      <c r="BF84">
        <v>291.09606138280412</v>
      </c>
      <c r="BG84">
        <v>203.16491680803631</v>
      </c>
      <c r="BH84">
        <v>120.68222281615061</v>
      </c>
      <c r="BI84">
        <v>222.9284646952311</v>
      </c>
      <c r="BJ84">
        <v>236.94297676095061</v>
      </c>
      <c r="BK84">
        <v>11.405456571959776</v>
      </c>
      <c r="BL84">
        <v>1.3422634771865056E-3</v>
      </c>
      <c r="BM84">
        <v>293.74892055553096</v>
      </c>
      <c r="BN84">
        <v>742.44947906271966</v>
      </c>
      <c r="BO84">
        <v>50.337706591801556</v>
      </c>
      <c r="BP84">
        <v>29.068253102307942</v>
      </c>
      <c r="BQ84">
        <v>89.555484946103462</v>
      </c>
      <c r="BR84">
        <v>138.90659331273162</v>
      </c>
      <c r="BS84">
        <v>256.53170801758853</v>
      </c>
      <c r="BT84">
        <v>15.647512660503679</v>
      </c>
    </row>
    <row r="85" spans="1:72" x14ac:dyDescent="0.25">
      <c r="A85" t="s">
        <v>2917</v>
      </c>
      <c r="B85" t="s">
        <v>2918</v>
      </c>
      <c r="C85" t="s">
        <v>2978</v>
      </c>
      <c r="D85" t="s">
        <v>2836</v>
      </c>
      <c r="E85" t="s">
        <v>2837</v>
      </c>
      <c r="F85" t="s">
        <v>2838</v>
      </c>
      <c r="G85" t="s">
        <v>2920</v>
      </c>
      <c r="H85" t="s">
        <v>2921</v>
      </c>
      <c r="I85">
        <v>1150365</v>
      </c>
      <c r="J85">
        <v>0</v>
      </c>
      <c r="K85" t="s">
        <v>2979</v>
      </c>
      <c r="L85" t="s">
        <v>2980</v>
      </c>
      <c r="M85">
        <v>1150364</v>
      </c>
      <c r="N85">
        <v>88</v>
      </c>
      <c r="O85">
        <v>35177.063000000002</v>
      </c>
      <c r="P85" t="s">
        <v>184</v>
      </c>
      <c r="Q85">
        <v>15</v>
      </c>
      <c r="R85">
        <v>4</v>
      </c>
      <c r="S85">
        <v>94</v>
      </c>
      <c r="T85">
        <v>37406576</v>
      </c>
      <c r="U85">
        <v>90</v>
      </c>
      <c r="V85">
        <v>179</v>
      </c>
      <c r="W85">
        <v>35177.060803967521</v>
      </c>
      <c r="X85">
        <v>37406576.492632188</v>
      </c>
      <c r="Y85">
        <v>63.384999999999998</v>
      </c>
      <c r="Z85">
        <f>VLOOKUP($AC85,'2017 Seattle Tracts'!$C$2:$Z$399,24,FALSE)</f>
        <v>1150364.17</v>
      </c>
      <c r="AA85">
        <f t="shared" si="3"/>
        <v>5.5099942829408535E-5</v>
      </c>
      <c r="AB85" t="s">
        <v>189</v>
      </c>
      <c r="AC85" t="str">
        <f t="shared" si="2"/>
        <v>Census Tract 111.01, King County, Washington</v>
      </c>
      <c r="AD85">
        <f>VLOOKUP($AC85,'2017 Seattle Tracts'!$C$2:$Z$399,AD$1,FALSE)*AA85</f>
        <v>0.30029468842027651</v>
      </c>
      <c r="AE85">
        <f>VLOOKUP($AC85,'2017 Seattle Tracts'!$C$2:$Z$399,AE$1,FALSE)*AA85</f>
        <v>0.16866092500081953</v>
      </c>
      <c r="AF85">
        <f>VLOOKUP($AC85,'2017 Seattle Tracts'!$C$2:$Z$399,AF$1,FALSE)*AA85</f>
        <v>0.13163376341945698</v>
      </c>
      <c r="AG85">
        <f>VLOOKUP($AC85,'2017 Seattle Tracts'!$C$2:$Z$399,AG$1,FALSE)*AA85</f>
        <v>0.30029468842027651</v>
      </c>
      <c r="AH85">
        <f>VLOOKUP($AC85,'2017 Seattle Tracts'!$C$2:$Z$399,AH$1,FALSE)*AA85</f>
        <v>0.16866092500081953</v>
      </c>
      <c r="AI85">
        <f>VLOOKUP($AC85,'2017 Seattle Tracts'!$C$2:$Z$399,AI$1,FALSE)*AA85</f>
        <v>0.13163376341945698</v>
      </c>
      <c r="AJ85">
        <f>VLOOKUP($AC85,'2017 Seattle Tracts'!$C$2:$Z$399,AJ$1,FALSE)*AA85</f>
        <v>5.4328543629796819E-2</v>
      </c>
      <c r="AK85">
        <f>VLOOKUP($AC85,'2017 Seattle Tracts'!$C$2:$Z$399,AK$1,FALSE)*AA85</f>
        <v>5.7854939970878958E-3</v>
      </c>
      <c r="AL85">
        <f>VLOOKUP($AC85,'2017 Seattle Tracts'!$C$2:$Z$399,AL$1,FALSE)*AA85</f>
        <v>5.7854939970878958E-3</v>
      </c>
      <c r="AM85">
        <f>VLOOKUP($AC85,'2017 Seattle Tracts'!$C$2:$Z$399,AM$1,FALSE)*AA85</f>
        <v>1.0468989137587621E-3</v>
      </c>
      <c r="AN85">
        <f>VLOOKUP($AC85,'2017 Seattle Tracts'!$C$2:$Z$399,AN$1,FALSE)*AA85</f>
        <v>5.0085848031932362E-2</v>
      </c>
      <c r="AO85">
        <f>VLOOKUP($AC85,'2017 Seattle Tracts'!$C$2:$Z$399,AO$1,FALSE)*AA85</f>
        <v>2.5345973701527927E-2</v>
      </c>
      <c r="AP85">
        <f>VLOOKUP($AC85,'2017 Seattle Tracts'!$C$2:$Z$399,AP$1,FALSE)*AA85</f>
        <v>2.3141975988351586E-3</v>
      </c>
      <c r="AQ85">
        <f>VLOOKUP($AC85,'2017 Seattle Tracts'!$C$2:$Z$399,AQ$1,FALSE)*AA85</f>
        <v>3.8569959980585975E-4</v>
      </c>
      <c r="AR85">
        <f>VLOOKUP($AC85,'2017 Seattle Tracts'!$C$2:$Z$399,AR$1,FALSE)*AA85</f>
        <v>3.0029468842027653E-2</v>
      </c>
      <c r="AS85">
        <f>VLOOKUP($AC85,'2017 Seattle Tracts'!$C$2:$Z$399,AS$1,FALSE)*AA85</f>
        <v>9.5322901094876761E-2</v>
      </c>
      <c r="AT85">
        <f>VLOOKUP($AC85,'2017 Seattle Tracts'!$C$2:$Z$399,AT$1,FALSE)*AA85</f>
        <v>9.3669902809994515E-4</v>
      </c>
      <c r="AU85">
        <f>VLOOKUP($AC85,'2017 Seattle Tracts'!$C$2:$Z$399,AU$1,FALSE)*AA85</f>
        <v>1.7631981705410731E-3</v>
      </c>
      <c r="AV85">
        <f>VLOOKUP($AC85,'2017 Seattle Tracts'!$C$2:$Z$399,AV$1,FALSE)*AA85</f>
        <v>3.0304968556174694E-3</v>
      </c>
      <c r="AW85">
        <f>VLOOKUP($AC85,'2017 Seattle Tracts'!$C$2:$Z$399,AW$1,FALSE)*AA85</f>
        <v>1.542798399223439E-3</v>
      </c>
      <c r="AX85">
        <f>VLOOKUP($AC85,'2017 Seattle Tracts'!$C$2:$Z$399,AX$1,FALSE)*AA85</f>
        <v>2.215017701742223E-2</v>
      </c>
      <c r="AY85">
        <f>VLOOKUP($AC85,'2017 Seattle Tracts'!$C$2:$Z$399,AY$1,FALSE)*AA85</f>
        <v>4.4079954263526828E-4</v>
      </c>
      <c r="BA85" s="2" t="s">
        <v>126</v>
      </c>
      <c r="BB85">
        <v>5069.9608868716841</v>
      </c>
      <c r="BC85">
        <v>4323.4467307824161</v>
      </c>
      <c r="BD85">
        <v>746.51415608926754</v>
      </c>
      <c r="BE85">
        <v>3631.6792046931864</v>
      </c>
      <c r="BF85">
        <v>211.27704733202552</v>
      </c>
      <c r="BG85">
        <v>79.728193492093908</v>
      </c>
      <c r="BH85">
        <v>82.046542092626751</v>
      </c>
      <c r="BI85">
        <v>106.30034117020661</v>
      </c>
      <c r="BJ85">
        <v>19.96236194251189</v>
      </c>
      <c r="BK85">
        <v>29.205251402980355</v>
      </c>
      <c r="BL85">
        <v>7.9789029059939462</v>
      </c>
      <c r="BM85">
        <v>161.92941556129682</v>
      </c>
      <c r="BN85">
        <v>382.71028389477965</v>
      </c>
      <c r="BO85">
        <v>4.8267054012829318</v>
      </c>
      <c r="BP85">
        <v>1.2220096098448686E-2</v>
      </c>
      <c r="BQ85">
        <v>14.480787649109553</v>
      </c>
      <c r="BR85">
        <v>24.940511482849889</v>
      </c>
      <c r="BS85">
        <v>295.29683141225945</v>
      </c>
      <c r="BT85">
        <v>17.586286342381467</v>
      </c>
    </row>
    <row r="86" spans="1:72" x14ac:dyDescent="0.25">
      <c r="A86" t="s">
        <v>2917</v>
      </c>
      <c r="B86" t="s">
        <v>2918</v>
      </c>
      <c r="C86" t="s">
        <v>2981</v>
      </c>
      <c r="D86" t="s">
        <v>2806</v>
      </c>
      <c r="E86" t="s">
        <v>2807</v>
      </c>
      <c r="F86" t="s">
        <v>2808</v>
      </c>
      <c r="G86" t="s">
        <v>2920</v>
      </c>
      <c r="H86" t="s">
        <v>2921</v>
      </c>
      <c r="I86">
        <v>3197091</v>
      </c>
      <c r="J86">
        <v>1217487</v>
      </c>
      <c r="K86" t="s">
        <v>2982</v>
      </c>
      <c r="L86" t="s">
        <v>2983</v>
      </c>
      <c r="M86">
        <v>3154917</v>
      </c>
      <c r="N86">
        <v>85</v>
      </c>
      <c r="O86">
        <v>34965.612999999998</v>
      </c>
      <c r="P86" t="s">
        <v>184</v>
      </c>
      <c r="Q86">
        <v>15</v>
      </c>
      <c r="R86">
        <v>4</v>
      </c>
      <c r="S86">
        <v>81</v>
      </c>
      <c r="T86">
        <v>33128236</v>
      </c>
      <c r="U86">
        <v>87</v>
      </c>
      <c r="V86">
        <v>194</v>
      </c>
      <c r="W86">
        <v>34965.613210047493</v>
      </c>
      <c r="X86">
        <v>33128236.141302869</v>
      </c>
      <c r="Y86">
        <v>1470358.9650000001</v>
      </c>
      <c r="Z86">
        <f>VLOOKUP($AC86,'2017 Seattle Tracts'!$C$2:$Z$399,24,FALSE)</f>
        <v>3154917.1749999998</v>
      </c>
      <c r="AA86">
        <f t="shared" si="3"/>
        <v>0.46605311120410003</v>
      </c>
      <c r="AB86" t="s">
        <v>186</v>
      </c>
      <c r="AC86" t="str">
        <f t="shared" si="2"/>
        <v>Census Tract 119, King County, Washington</v>
      </c>
      <c r="AD86">
        <f>VLOOKUP($AC86,'2017 Seattle Tracts'!$C$2:$Z$399,AD$1,FALSE)*AA86</f>
        <v>3540.605485817548</v>
      </c>
      <c r="AE86">
        <f>VLOOKUP($AC86,'2017 Seattle Tracts'!$C$2:$Z$399,AE$1,FALSE)*AA86</f>
        <v>2604.3047854085112</v>
      </c>
      <c r="AF86">
        <f>VLOOKUP($AC86,'2017 Seattle Tracts'!$C$2:$Z$399,AF$1,FALSE)*AA86</f>
        <v>936.30070040903695</v>
      </c>
      <c r="AG86">
        <f>VLOOKUP($AC86,'2017 Seattle Tracts'!$C$2:$Z$399,AG$1,FALSE)*AA86</f>
        <v>3540.605485817548</v>
      </c>
      <c r="AH86">
        <f>VLOOKUP($AC86,'2017 Seattle Tracts'!$C$2:$Z$399,AH$1,FALSE)*AA86</f>
        <v>2604.3047854085112</v>
      </c>
      <c r="AI86">
        <f>VLOOKUP($AC86,'2017 Seattle Tracts'!$C$2:$Z$399,AI$1,FALSE)*AA86</f>
        <v>936.30070040903695</v>
      </c>
      <c r="AJ86">
        <f>VLOOKUP($AC86,'2017 Seattle Tracts'!$C$2:$Z$399,AJ$1,FALSE)*AA86</f>
        <v>781.57106748927572</v>
      </c>
      <c r="AK86">
        <f>VLOOKUP($AC86,'2017 Seattle Tracts'!$C$2:$Z$399,AK$1,FALSE)*AA86</f>
        <v>67.111648013390408</v>
      </c>
      <c r="AL86">
        <f>VLOOKUP($AC86,'2017 Seattle Tracts'!$C$2:$Z$399,AL$1,FALSE)*AA86</f>
        <v>117.91143713463731</v>
      </c>
      <c r="AM86">
        <f>VLOOKUP($AC86,'2017 Seattle Tracts'!$C$2:$Z$399,AM$1,FALSE)*AA86</f>
        <v>59.188745122920707</v>
      </c>
      <c r="AN86">
        <f>VLOOKUP($AC86,'2017 Seattle Tracts'!$C$2:$Z$399,AN$1,FALSE)*AA86</f>
        <v>812.33057282874631</v>
      </c>
      <c r="AO86">
        <f>VLOOKUP($AC86,'2017 Seattle Tracts'!$C$2:$Z$399,AO$1,FALSE)*AA86</f>
        <v>48.469523565226403</v>
      </c>
      <c r="AP86">
        <f>VLOOKUP($AC86,'2017 Seattle Tracts'!$C$2:$Z$399,AP$1,FALSE)*AA86</f>
        <v>49.401629787634604</v>
      </c>
      <c r="AQ86">
        <f>VLOOKUP($AC86,'2017 Seattle Tracts'!$C$2:$Z$399,AQ$1,FALSE)*AA86</f>
        <v>0</v>
      </c>
      <c r="AR86">
        <f>VLOOKUP($AC86,'2017 Seattle Tracts'!$C$2:$Z$399,AR$1,FALSE)*AA86</f>
        <v>529.90238743906173</v>
      </c>
      <c r="AS86">
        <f>VLOOKUP($AC86,'2017 Seattle Tracts'!$C$2:$Z$399,AS$1,FALSE)*AA86</f>
        <v>750.34550903860111</v>
      </c>
      <c r="AT86">
        <f>VLOOKUP($AC86,'2017 Seattle Tracts'!$C$2:$Z$399,AT$1,FALSE)*AA86</f>
        <v>119.77564957945371</v>
      </c>
      <c r="AU86">
        <f>VLOOKUP($AC86,'2017 Seattle Tracts'!$C$2:$Z$399,AU$1,FALSE)*AA86</f>
        <v>11.185274668898401</v>
      </c>
      <c r="AV86">
        <f>VLOOKUP($AC86,'2017 Seattle Tracts'!$C$2:$Z$399,AV$1,FALSE)*AA86</f>
        <v>21.904496226592702</v>
      </c>
      <c r="AW86">
        <f>VLOOKUP($AC86,'2017 Seattle Tracts'!$C$2:$Z$399,AW$1,FALSE)*AA86</f>
        <v>0</v>
      </c>
      <c r="AX86">
        <f>VLOOKUP($AC86,'2017 Seattle Tracts'!$C$2:$Z$399,AX$1,FALSE)*AA86</f>
        <v>171.50754492310881</v>
      </c>
      <c r="AY86">
        <f>VLOOKUP($AC86,'2017 Seattle Tracts'!$C$2:$Z$399,AY$1,FALSE)*AA86</f>
        <v>0</v>
      </c>
      <c r="BA86" s="2" t="s">
        <v>123</v>
      </c>
      <c r="BB86">
        <v>18329.927247345469</v>
      </c>
      <c r="BC86">
        <v>15365.500059244001</v>
      </c>
      <c r="BD86">
        <v>2964.4271881014693</v>
      </c>
      <c r="BE86">
        <v>12803.838527184264</v>
      </c>
      <c r="BF86">
        <v>990.92649348792077</v>
      </c>
      <c r="BG86">
        <v>413.13979120407379</v>
      </c>
      <c r="BH86">
        <v>135.33260442042371</v>
      </c>
      <c r="BI86">
        <v>153.70472248580612</v>
      </c>
      <c r="BJ86">
        <v>58.486748455573419</v>
      </c>
      <c r="BK86">
        <v>24.7953771617277</v>
      </c>
      <c r="BL86">
        <v>2.4554170828451447</v>
      </c>
      <c r="BM86">
        <v>965.18281486299907</v>
      </c>
      <c r="BN86">
        <v>1497.8613071560728</v>
      </c>
      <c r="BO86">
        <v>32.441730173366381</v>
      </c>
      <c r="BP86">
        <v>0</v>
      </c>
      <c r="BQ86">
        <v>81.483447058431693</v>
      </c>
      <c r="BR86">
        <v>106.48896514131137</v>
      </c>
      <c r="BS86">
        <v>890.91364911333096</v>
      </c>
      <c r="BT86">
        <v>172.875652357322</v>
      </c>
    </row>
    <row r="87" spans="1:72" x14ac:dyDescent="0.25">
      <c r="A87" t="s">
        <v>2917</v>
      </c>
      <c r="B87" t="s">
        <v>2918</v>
      </c>
      <c r="C87" t="s">
        <v>2981</v>
      </c>
      <c r="D87" t="s">
        <v>2806</v>
      </c>
      <c r="E87" t="s">
        <v>2807</v>
      </c>
      <c r="F87" t="s">
        <v>2808</v>
      </c>
      <c r="G87" t="s">
        <v>2920</v>
      </c>
      <c r="H87" t="s">
        <v>2921</v>
      </c>
      <c r="I87">
        <v>3197091</v>
      </c>
      <c r="J87">
        <v>1217487</v>
      </c>
      <c r="K87" t="s">
        <v>2982</v>
      </c>
      <c r="L87" t="s">
        <v>2983</v>
      </c>
      <c r="M87">
        <v>3154917</v>
      </c>
      <c r="N87">
        <v>86</v>
      </c>
      <c r="O87">
        <v>34791.82</v>
      </c>
      <c r="P87" t="s">
        <v>184</v>
      </c>
      <c r="Q87">
        <v>15</v>
      </c>
      <c r="R87">
        <v>4</v>
      </c>
      <c r="S87">
        <v>95</v>
      </c>
      <c r="T87">
        <v>18248566</v>
      </c>
      <c r="U87">
        <v>88</v>
      </c>
      <c r="V87">
        <v>195</v>
      </c>
      <c r="W87">
        <v>34791.821814710507</v>
      </c>
      <c r="X87">
        <v>18248566.179461651</v>
      </c>
      <c r="Y87">
        <v>1646747.7169999999</v>
      </c>
      <c r="Z87">
        <f>VLOOKUP($AC87,'2017 Seattle Tracts'!$C$2:$Z$399,24,FALSE)</f>
        <v>3154917.1749999998</v>
      </c>
      <c r="AA87">
        <f t="shared" si="3"/>
        <v>0.52196226577643834</v>
      </c>
      <c r="AB87" t="s">
        <v>187</v>
      </c>
      <c r="AC87" t="str">
        <f t="shared" si="2"/>
        <v>Census Tract 119, King County, Washington</v>
      </c>
      <c r="AD87">
        <f>VLOOKUP($AC87,'2017 Seattle Tracts'!$C$2:$Z$399,AD$1,FALSE)*AA87</f>
        <v>3965.3473331036021</v>
      </c>
      <c r="AE87">
        <f>VLOOKUP($AC87,'2017 Seattle Tracts'!$C$2:$Z$399,AE$1,FALSE)*AA87</f>
        <v>2916.7251411587376</v>
      </c>
      <c r="AF87">
        <f>VLOOKUP($AC87,'2017 Seattle Tracts'!$C$2:$Z$399,AF$1,FALSE)*AA87</f>
        <v>1048.6221919448647</v>
      </c>
      <c r="AG87">
        <f>VLOOKUP($AC87,'2017 Seattle Tracts'!$C$2:$Z$399,AG$1,FALSE)*AA87</f>
        <v>3965.3473331036021</v>
      </c>
      <c r="AH87">
        <f>VLOOKUP($AC87,'2017 Seattle Tracts'!$C$2:$Z$399,AH$1,FALSE)*AA87</f>
        <v>2916.7251411587376</v>
      </c>
      <c r="AI87">
        <f>VLOOKUP($AC87,'2017 Seattle Tracts'!$C$2:$Z$399,AI$1,FALSE)*AA87</f>
        <v>1048.6221919448647</v>
      </c>
      <c r="AJ87">
        <f>VLOOKUP($AC87,'2017 Seattle Tracts'!$C$2:$Z$399,AJ$1,FALSE)*AA87</f>
        <v>875.33071970708704</v>
      </c>
      <c r="AK87">
        <f>VLOOKUP($AC87,'2017 Seattle Tracts'!$C$2:$Z$399,AK$1,FALSE)*AA87</f>
        <v>75.162566271807123</v>
      </c>
      <c r="AL87">
        <f>VLOOKUP($AC87,'2017 Seattle Tracts'!$C$2:$Z$399,AL$1,FALSE)*AA87</f>
        <v>132.0564532414389</v>
      </c>
      <c r="AM87">
        <f>VLOOKUP($AC87,'2017 Seattle Tracts'!$C$2:$Z$399,AM$1,FALSE)*AA87</f>
        <v>66.28920775360767</v>
      </c>
      <c r="AN87">
        <f>VLOOKUP($AC87,'2017 Seattle Tracts'!$C$2:$Z$399,AN$1,FALSE)*AA87</f>
        <v>909.78022924833203</v>
      </c>
      <c r="AO87">
        <f>VLOOKUP($AC87,'2017 Seattle Tracts'!$C$2:$Z$399,AO$1,FALSE)*AA87</f>
        <v>54.284075640749585</v>
      </c>
      <c r="AP87">
        <f>VLOOKUP($AC87,'2017 Seattle Tracts'!$C$2:$Z$399,AP$1,FALSE)*AA87</f>
        <v>55.328000172302467</v>
      </c>
      <c r="AQ87">
        <f>VLOOKUP($AC87,'2017 Seattle Tracts'!$C$2:$Z$399,AQ$1,FALSE)*AA87</f>
        <v>0</v>
      </c>
      <c r="AR87">
        <f>VLOOKUP($AC87,'2017 Seattle Tracts'!$C$2:$Z$399,AR$1,FALSE)*AA87</f>
        <v>593.47109618781042</v>
      </c>
      <c r="AS87">
        <f>VLOOKUP($AC87,'2017 Seattle Tracts'!$C$2:$Z$399,AS$1,FALSE)*AA87</f>
        <v>840.35924790006572</v>
      </c>
      <c r="AT87">
        <f>VLOOKUP($AC87,'2017 Seattle Tracts'!$C$2:$Z$399,AT$1,FALSE)*AA87</f>
        <v>134.14430230454465</v>
      </c>
      <c r="AU87">
        <f>VLOOKUP($AC87,'2017 Seattle Tracts'!$C$2:$Z$399,AU$1,FALSE)*AA87</f>
        <v>12.527094378634519</v>
      </c>
      <c r="AV87">
        <f>VLOOKUP($AC87,'2017 Seattle Tracts'!$C$2:$Z$399,AV$1,FALSE)*AA87</f>
        <v>24.532226491492601</v>
      </c>
      <c r="AW87">
        <f>VLOOKUP($AC87,'2017 Seattle Tracts'!$C$2:$Z$399,AW$1,FALSE)*AA87</f>
        <v>0</v>
      </c>
      <c r="AX87">
        <f>VLOOKUP($AC87,'2017 Seattle Tracts'!$C$2:$Z$399,AX$1,FALSE)*AA87</f>
        <v>192.08211380572931</v>
      </c>
      <c r="AY87">
        <f>VLOOKUP($AC87,'2017 Seattle Tracts'!$C$2:$Z$399,AY$1,FALSE)*AA87</f>
        <v>0</v>
      </c>
      <c r="BA87" s="2" t="s">
        <v>199</v>
      </c>
      <c r="BB87">
        <v>8382.5713950895006</v>
      </c>
      <c r="BC87">
        <v>7181.3446834825427</v>
      </c>
      <c r="BD87">
        <v>1201.2267116069593</v>
      </c>
      <c r="BE87">
        <v>6217.0909940153251</v>
      </c>
      <c r="BF87">
        <v>429.22347526245693</v>
      </c>
      <c r="BG87">
        <v>133.07290953925428</v>
      </c>
      <c r="BH87">
        <v>52.160428047928391</v>
      </c>
      <c r="BI87">
        <v>32.086456781599807</v>
      </c>
      <c r="BJ87">
        <v>1.7186208259575186</v>
      </c>
      <c r="BK87">
        <v>10.403636239662768</v>
      </c>
      <c r="BL87">
        <v>3.3680572604895232E-4</v>
      </c>
      <c r="BM87">
        <v>323.32628231933984</v>
      </c>
      <c r="BN87">
        <v>609.25778227836099</v>
      </c>
      <c r="BO87">
        <v>10.936263509896309</v>
      </c>
      <c r="BP87">
        <v>0</v>
      </c>
      <c r="BQ87">
        <v>72.600732814607809</v>
      </c>
      <c r="BR87">
        <v>67.166365334579609</v>
      </c>
      <c r="BS87">
        <v>381.82740826285658</v>
      </c>
      <c r="BT87">
        <v>41.699703051949676</v>
      </c>
    </row>
    <row r="88" spans="1:72" x14ac:dyDescent="0.25">
      <c r="A88" t="s">
        <v>2917</v>
      </c>
      <c r="B88" t="s">
        <v>2918</v>
      </c>
      <c r="C88" t="s">
        <v>2984</v>
      </c>
      <c r="D88" t="s">
        <v>2800</v>
      </c>
      <c r="E88" t="s">
        <v>2801</v>
      </c>
      <c r="F88" t="s">
        <v>2802</v>
      </c>
      <c r="G88" t="s">
        <v>2920</v>
      </c>
      <c r="H88" t="s">
        <v>2921</v>
      </c>
      <c r="I88">
        <v>1447511</v>
      </c>
      <c r="J88">
        <v>0</v>
      </c>
      <c r="K88" t="s">
        <v>2985</v>
      </c>
      <c r="L88" t="s">
        <v>2986</v>
      </c>
      <c r="M88">
        <v>1447512</v>
      </c>
      <c r="N88">
        <v>73</v>
      </c>
      <c r="O88">
        <v>28162.436000000002</v>
      </c>
      <c r="P88" t="s">
        <v>170</v>
      </c>
      <c r="Q88">
        <v>19</v>
      </c>
      <c r="R88">
        <v>9</v>
      </c>
      <c r="S88">
        <v>95</v>
      </c>
      <c r="T88">
        <v>26197314</v>
      </c>
      <c r="U88">
        <v>75</v>
      </c>
      <c r="V88">
        <v>193</v>
      </c>
      <c r="W88">
        <v>28162.435138616551</v>
      </c>
      <c r="X88">
        <v>26197314.057339299</v>
      </c>
      <c r="Y88">
        <v>1434719.5249999999</v>
      </c>
      <c r="Z88">
        <f>VLOOKUP($AC88,'2017 Seattle Tracts'!$C$2:$Z$399,24,FALSE)</f>
        <v>1447512.4509999999</v>
      </c>
      <c r="AA88">
        <f t="shared" si="3"/>
        <v>0.99116213059779756</v>
      </c>
      <c r="AB88" t="s">
        <v>172</v>
      </c>
      <c r="AC88" t="str">
        <f t="shared" si="2"/>
        <v>Census Tract 120, King County, Washington</v>
      </c>
      <c r="AD88">
        <f>VLOOKUP($AC88,'2017 Seattle Tracts'!$C$2:$Z$399,AD$1,FALSE)*AA88</f>
        <v>3583.0511021110383</v>
      </c>
      <c r="AE88">
        <f>VLOOKUP($AC88,'2017 Seattle Tracts'!$C$2:$Z$399,AE$1,FALSE)*AA88</f>
        <v>3350.1280014205558</v>
      </c>
      <c r="AF88">
        <f>VLOOKUP($AC88,'2017 Seattle Tracts'!$C$2:$Z$399,AF$1,FALSE)*AA88</f>
        <v>232.92310069048241</v>
      </c>
      <c r="AG88">
        <f>VLOOKUP($AC88,'2017 Seattle Tracts'!$C$2:$Z$399,AG$1,FALSE)*AA88</f>
        <v>3583.0511021110383</v>
      </c>
      <c r="AH88">
        <f>VLOOKUP($AC88,'2017 Seattle Tracts'!$C$2:$Z$399,AH$1,FALSE)*AA88</f>
        <v>3350.1280014205558</v>
      </c>
      <c r="AI88">
        <f>VLOOKUP($AC88,'2017 Seattle Tracts'!$C$2:$Z$399,AI$1,FALSE)*AA88</f>
        <v>232.92310069048241</v>
      </c>
      <c r="AJ88">
        <f>VLOOKUP($AC88,'2017 Seattle Tracts'!$C$2:$Z$399,AJ$1,FALSE)*AA88</f>
        <v>2628.561970345359</v>
      </c>
      <c r="AK88">
        <f>VLOOKUP($AC88,'2017 Seattle Tracts'!$C$2:$Z$399,AK$1,FALSE)*AA88</f>
        <v>153.63013024265862</v>
      </c>
      <c r="AL88">
        <f>VLOOKUP($AC88,'2017 Seattle Tracts'!$C$2:$Z$399,AL$1,FALSE)*AA88</f>
        <v>58.478565705270057</v>
      </c>
      <c r="AM88">
        <f>VLOOKUP($AC88,'2017 Seattle Tracts'!$C$2:$Z$399,AM$1,FALSE)*AA88</f>
        <v>10.902783436575774</v>
      </c>
      <c r="AN88">
        <f>VLOOKUP($AC88,'2017 Seattle Tracts'!$C$2:$Z$399,AN$1,FALSE)*AA88</f>
        <v>228.95845216809124</v>
      </c>
      <c r="AO88">
        <f>VLOOKUP($AC88,'2017 Seattle Tracts'!$C$2:$Z$399,AO$1,FALSE)*AA88</f>
        <v>28.743701787336128</v>
      </c>
      <c r="AP88">
        <f>VLOOKUP($AC88,'2017 Seattle Tracts'!$C$2:$Z$399,AP$1,FALSE)*AA88</f>
        <v>98.125050929181953</v>
      </c>
      <c r="AQ88">
        <f>VLOOKUP($AC88,'2017 Seattle Tracts'!$C$2:$Z$399,AQ$1,FALSE)*AA88</f>
        <v>0</v>
      </c>
      <c r="AR88">
        <f>VLOOKUP($AC88,'2017 Seattle Tracts'!$C$2:$Z$399,AR$1,FALSE)*AA88</f>
        <v>50.549268660487677</v>
      </c>
      <c r="AS88">
        <f>VLOOKUP($AC88,'2017 Seattle Tracts'!$C$2:$Z$399,AS$1,FALSE)*AA88</f>
        <v>27.752539656738332</v>
      </c>
      <c r="AT88">
        <f>VLOOKUP($AC88,'2017 Seattle Tracts'!$C$2:$Z$399,AT$1,FALSE)*AA88</f>
        <v>22.796729003749345</v>
      </c>
      <c r="AU88">
        <f>VLOOKUP($AC88,'2017 Seattle Tracts'!$C$2:$Z$399,AU$1,FALSE)*AA88</f>
        <v>0</v>
      </c>
      <c r="AV88">
        <f>VLOOKUP($AC88,'2017 Seattle Tracts'!$C$2:$Z$399,AV$1,FALSE)*AA88</f>
        <v>59.469727835867857</v>
      </c>
      <c r="AW88">
        <f>VLOOKUP($AC88,'2017 Seattle Tracts'!$C$2:$Z$399,AW$1,FALSE)*AA88</f>
        <v>0</v>
      </c>
      <c r="AX88">
        <f>VLOOKUP($AC88,'2017 Seattle Tracts'!$C$2:$Z$399,AX$1,FALSE)*AA88</f>
        <v>203.18823677254849</v>
      </c>
      <c r="AY88">
        <f>VLOOKUP($AC88,'2017 Seattle Tracts'!$C$2:$Z$399,AY$1,FALSE)*AA88</f>
        <v>11.893945567173571</v>
      </c>
      <c r="BA88" s="2" t="s">
        <v>137</v>
      </c>
      <c r="BB88">
        <v>7254.2587110671211</v>
      </c>
      <c r="BC88">
        <v>6429.8450275655914</v>
      </c>
      <c r="BD88">
        <v>824.41368350153198</v>
      </c>
      <c r="BE88">
        <v>5585.9562172914493</v>
      </c>
      <c r="BF88">
        <v>541.0776999540102</v>
      </c>
      <c r="BG88">
        <v>142.83268757358886</v>
      </c>
      <c r="BH88">
        <v>14.691995508708734</v>
      </c>
      <c r="BI88">
        <v>94.899899623356148</v>
      </c>
      <c r="BJ88">
        <v>2.5396690350442671E-2</v>
      </c>
      <c r="BK88">
        <v>5.8879905260246392</v>
      </c>
      <c r="BL88">
        <v>0</v>
      </c>
      <c r="BM88">
        <v>258.50248541950867</v>
      </c>
      <c r="BN88">
        <v>249.60977268820082</v>
      </c>
      <c r="BO88">
        <v>6.6762901527292057E-2</v>
      </c>
      <c r="BP88">
        <v>3.6159415838672855</v>
      </c>
      <c r="BQ88">
        <v>19.149320463111319</v>
      </c>
      <c r="BR88">
        <v>5.5627413671752572</v>
      </c>
      <c r="BS88">
        <v>322.54966376702316</v>
      </c>
      <c r="BT88">
        <v>9.8301357092193538</v>
      </c>
    </row>
    <row r="89" spans="1:72" x14ac:dyDescent="0.25">
      <c r="A89" t="s">
        <v>2917</v>
      </c>
      <c r="B89" t="s">
        <v>2918</v>
      </c>
      <c r="C89" t="s">
        <v>2984</v>
      </c>
      <c r="D89" t="s">
        <v>2800</v>
      </c>
      <c r="E89" t="s">
        <v>2801</v>
      </c>
      <c r="F89" t="s">
        <v>2802</v>
      </c>
      <c r="G89" t="s">
        <v>2920</v>
      </c>
      <c r="H89" t="s">
        <v>2921</v>
      </c>
      <c r="I89">
        <v>1447511</v>
      </c>
      <c r="J89">
        <v>0</v>
      </c>
      <c r="K89" t="s">
        <v>2985</v>
      </c>
      <c r="L89" t="s">
        <v>2986</v>
      </c>
      <c r="M89">
        <v>1447512</v>
      </c>
      <c r="N89">
        <v>78</v>
      </c>
      <c r="O89">
        <v>42276.531000000003</v>
      </c>
      <c r="P89" t="s">
        <v>170</v>
      </c>
      <c r="Q89">
        <v>19</v>
      </c>
      <c r="R89">
        <v>9</v>
      </c>
      <c r="S89">
        <v>23</v>
      </c>
      <c r="T89">
        <v>33881864</v>
      </c>
      <c r="U89">
        <v>80</v>
      </c>
      <c r="V89">
        <v>189</v>
      </c>
      <c r="W89">
        <v>42276.53178777737</v>
      </c>
      <c r="X89">
        <v>33881863.870656453</v>
      </c>
      <c r="Y89">
        <v>11837.334999999999</v>
      </c>
      <c r="Z89">
        <f>VLOOKUP($AC89,'2017 Seattle Tracts'!$C$2:$Z$399,24,FALSE)</f>
        <v>1447512.4509999999</v>
      </c>
      <c r="AA89">
        <f t="shared" si="3"/>
        <v>8.1777085867705598E-3</v>
      </c>
      <c r="AB89" t="s">
        <v>177</v>
      </c>
      <c r="AC89" t="str">
        <f t="shared" si="2"/>
        <v>Census Tract 120, King County, Washington</v>
      </c>
      <c r="AD89">
        <f>VLOOKUP($AC89,'2017 Seattle Tracts'!$C$2:$Z$399,AD$1,FALSE)*AA89</f>
        <v>29.562416541175573</v>
      </c>
      <c r="AE89">
        <f>VLOOKUP($AC89,'2017 Seattle Tracts'!$C$2:$Z$399,AE$1,FALSE)*AA89</f>
        <v>27.640655023284491</v>
      </c>
      <c r="AF89">
        <f>VLOOKUP($AC89,'2017 Seattle Tracts'!$C$2:$Z$399,AF$1,FALSE)*AA89</f>
        <v>1.9217615178910816</v>
      </c>
      <c r="AG89">
        <f>VLOOKUP($AC89,'2017 Seattle Tracts'!$C$2:$Z$399,AG$1,FALSE)*AA89</f>
        <v>29.562416541175573</v>
      </c>
      <c r="AH89">
        <f>VLOOKUP($AC89,'2017 Seattle Tracts'!$C$2:$Z$399,AH$1,FALSE)*AA89</f>
        <v>27.640655023284491</v>
      </c>
      <c r="AI89">
        <f>VLOOKUP($AC89,'2017 Seattle Tracts'!$C$2:$Z$399,AI$1,FALSE)*AA89</f>
        <v>1.9217615178910816</v>
      </c>
      <c r="AJ89">
        <f>VLOOKUP($AC89,'2017 Seattle Tracts'!$C$2:$Z$399,AJ$1,FALSE)*AA89</f>
        <v>21.687283172115524</v>
      </c>
      <c r="AK89">
        <f>VLOOKUP($AC89,'2017 Seattle Tracts'!$C$2:$Z$399,AK$1,FALSE)*AA89</f>
        <v>1.2675448309494368</v>
      </c>
      <c r="AL89">
        <f>VLOOKUP($AC89,'2017 Seattle Tracts'!$C$2:$Z$399,AL$1,FALSE)*AA89</f>
        <v>0.48248480661946302</v>
      </c>
      <c r="AM89">
        <f>VLOOKUP($AC89,'2017 Seattle Tracts'!$C$2:$Z$399,AM$1,FALSE)*AA89</f>
        <v>8.9954794454476156E-2</v>
      </c>
      <c r="AN89">
        <f>VLOOKUP($AC89,'2017 Seattle Tracts'!$C$2:$Z$399,AN$1,FALSE)*AA89</f>
        <v>1.8890506835439993</v>
      </c>
      <c r="AO89">
        <f>VLOOKUP($AC89,'2017 Seattle Tracts'!$C$2:$Z$399,AO$1,FALSE)*AA89</f>
        <v>0.23715354901634622</v>
      </c>
      <c r="AP89">
        <f>VLOOKUP($AC89,'2017 Seattle Tracts'!$C$2:$Z$399,AP$1,FALSE)*AA89</f>
        <v>0.80959315009028543</v>
      </c>
      <c r="AQ89">
        <f>VLOOKUP($AC89,'2017 Seattle Tracts'!$C$2:$Z$399,AQ$1,FALSE)*AA89</f>
        <v>0</v>
      </c>
      <c r="AR89">
        <f>VLOOKUP($AC89,'2017 Seattle Tracts'!$C$2:$Z$399,AR$1,FALSE)*AA89</f>
        <v>0.41706313792529853</v>
      </c>
      <c r="AS89">
        <f>VLOOKUP($AC89,'2017 Seattle Tracts'!$C$2:$Z$399,AS$1,FALSE)*AA89</f>
        <v>0.22897584042957567</v>
      </c>
      <c r="AT89">
        <f>VLOOKUP($AC89,'2017 Seattle Tracts'!$C$2:$Z$399,AT$1,FALSE)*AA89</f>
        <v>0.18808729749572287</v>
      </c>
      <c r="AU89">
        <f>VLOOKUP($AC89,'2017 Seattle Tracts'!$C$2:$Z$399,AU$1,FALSE)*AA89</f>
        <v>0</v>
      </c>
      <c r="AV89">
        <f>VLOOKUP($AC89,'2017 Seattle Tracts'!$C$2:$Z$399,AV$1,FALSE)*AA89</f>
        <v>0.49066251520623361</v>
      </c>
      <c r="AW89">
        <f>VLOOKUP($AC89,'2017 Seattle Tracts'!$C$2:$Z$399,AW$1,FALSE)*AA89</f>
        <v>0</v>
      </c>
      <c r="AX89">
        <f>VLOOKUP($AC89,'2017 Seattle Tracts'!$C$2:$Z$399,AX$1,FALSE)*AA89</f>
        <v>1.6764302602879648</v>
      </c>
      <c r="AY89">
        <f>VLOOKUP($AC89,'2017 Seattle Tracts'!$C$2:$Z$399,AY$1,FALSE)*AA89</f>
        <v>9.813250304124671E-2</v>
      </c>
      <c r="BA89" s="2" t="s">
        <v>120</v>
      </c>
      <c r="BB89">
        <v>9214.9590941619972</v>
      </c>
      <c r="BC89">
        <v>8180.1738627342565</v>
      </c>
      <c r="BD89">
        <v>1034.7852314277397</v>
      </c>
      <c r="BE89">
        <v>6938.9861207770036</v>
      </c>
      <c r="BF89">
        <v>492.195309449246</v>
      </c>
      <c r="BG89">
        <v>97.5385450159622</v>
      </c>
      <c r="BH89">
        <v>63.874456371669211</v>
      </c>
      <c r="BI89">
        <v>101.05321461135068</v>
      </c>
      <c r="BJ89">
        <v>49.76658517072174</v>
      </c>
      <c r="BK89">
        <v>9.8395116911983465</v>
      </c>
      <c r="BL89">
        <v>4.0448424473249052</v>
      </c>
      <c r="BM89">
        <v>373.78196495177178</v>
      </c>
      <c r="BN89">
        <v>363.17953468584307</v>
      </c>
      <c r="BO89">
        <v>0</v>
      </c>
      <c r="BP89">
        <v>0</v>
      </c>
      <c r="BQ89">
        <v>69.806234273149954</v>
      </c>
      <c r="BR89">
        <v>17.117040838456774</v>
      </c>
      <c r="BS89">
        <v>589.16827141382043</v>
      </c>
      <c r="BT89">
        <v>44.607462464477983</v>
      </c>
    </row>
    <row r="90" spans="1:72" x14ac:dyDescent="0.25">
      <c r="A90" t="s">
        <v>2917</v>
      </c>
      <c r="B90" t="s">
        <v>2918</v>
      </c>
      <c r="C90" t="s">
        <v>2984</v>
      </c>
      <c r="D90" t="s">
        <v>2800</v>
      </c>
      <c r="E90" t="s">
        <v>2801</v>
      </c>
      <c r="F90" t="s">
        <v>2802</v>
      </c>
      <c r="G90" t="s">
        <v>2920</v>
      </c>
      <c r="H90" t="s">
        <v>2921</v>
      </c>
      <c r="I90">
        <v>1447511</v>
      </c>
      <c r="J90">
        <v>0</v>
      </c>
      <c r="K90" t="s">
        <v>2985</v>
      </c>
      <c r="L90" t="s">
        <v>2986</v>
      </c>
      <c r="M90">
        <v>1447512</v>
      </c>
      <c r="N90">
        <v>94</v>
      </c>
      <c r="O90">
        <v>22360.046999999999</v>
      </c>
      <c r="P90" t="s">
        <v>191</v>
      </c>
      <c r="Q90">
        <v>20</v>
      </c>
      <c r="R90">
        <v>10</v>
      </c>
      <c r="S90">
        <v>0</v>
      </c>
      <c r="T90">
        <v>18781060</v>
      </c>
      <c r="U90">
        <v>96</v>
      </c>
      <c r="V90">
        <v>191</v>
      </c>
      <c r="W90">
        <v>22360.047228914489</v>
      </c>
      <c r="X90">
        <v>18781059.844160609</v>
      </c>
      <c r="Y90">
        <v>15.237</v>
      </c>
      <c r="Z90">
        <f>VLOOKUP($AC90,'2017 Seattle Tracts'!$C$2:$Z$399,24,FALSE)</f>
        <v>1447512.4509999999</v>
      </c>
      <c r="AA90">
        <f t="shared" si="3"/>
        <v>1.0526334325810922E-5</v>
      </c>
      <c r="AB90" t="s">
        <v>196</v>
      </c>
      <c r="AC90" t="str">
        <f t="shared" si="2"/>
        <v>Census Tract 120, King County, Washington</v>
      </c>
      <c r="AD90">
        <f>VLOOKUP($AC90,'2017 Seattle Tracts'!$C$2:$Z$399,AD$1,FALSE)*AA90</f>
        <v>3.8052698587806487E-2</v>
      </c>
      <c r="AE90">
        <f>VLOOKUP($AC90,'2017 Seattle Tracts'!$C$2:$Z$399,AE$1,FALSE)*AA90</f>
        <v>3.557901002124092E-2</v>
      </c>
      <c r="AF90">
        <f>VLOOKUP($AC90,'2017 Seattle Tracts'!$C$2:$Z$399,AF$1,FALSE)*AA90</f>
        <v>2.473688566565567E-3</v>
      </c>
      <c r="AG90">
        <f>VLOOKUP($AC90,'2017 Seattle Tracts'!$C$2:$Z$399,AG$1,FALSE)*AA90</f>
        <v>3.8052698587806487E-2</v>
      </c>
      <c r="AH90">
        <f>VLOOKUP($AC90,'2017 Seattle Tracts'!$C$2:$Z$399,AH$1,FALSE)*AA90</f>
        <v>3.557901002124092E-2</v>
      </c>
      <c r="AI90">
        <f>VLOOKUP($AC90,'2017 Seattle Tracts'!$C$2:$Z$399,AI$1,FALSE)*AA90</f>
        <v>2.473688566565567E-3</v>
      </c>
      <c r="AJ90">
        <f>VLOOKUP($AC90,'2017 Seattle Tracts'!$C$2:$Z$399,AJ$1,FALSE)*AA90</f>
        <v>2.7915838632050567E-2</v>
      </c>
      <c r="AK90">
        <f>VLOOKUP($AC90,'2017 Seattle Tracts'!$C$2:$Z$399,AK$1,FALSE)*AA90</f>
        <v>1.631581820500693E-3</v>
      </c>
      <c r="AL90">
        <f>VLOOKUP($AC90,'2017 Seattle Tracts'!$C$2:$Z$399,AL$1,FALSE)*AA90</f>
        <v>6.2105372522284444E-4</v>
      </c>
      <c r="AM90">
        <f>VLOOKUP($AC90,'2017 Seattle Tracts'!$C$2:$Z$399,AM$1,FALSE)*AA90</f>
        <v>1.1578967758392015E-4</v>
      </c>
      <c r="AN90">
        <f>VLOOKUP($AC90,'2017 Seattle Tracts'!$C$2:$Z$399,AN$1,FALSE)*AA90</f>
        <v>2.4315832292623233E-3</v>
      </c>
      <c r="AO90">
        <f>VLOOKUP($AC90,'2017 Seattle Tracts'!$C$2:$Z$399,AO$1,FALSE)*AA90</f>
        <v>3.0526369544851676E-4</v>
      </c>
      <c r="AP90">
        <f>VLOOKUP($AC90,'2017 Seattle Tracts'!$C$2:$Z$399,AP$1,FALSE)*AA90</f>
        <v>1.0421070982552813E-3</v>
      </c>
      <c r="AQ90">
        <f>VLOOKUP($AC90,'2017 Seattle Tracts'!$C$2:$Z$399,AQ$1,FALSE)*AA90</f>
        <v>0</v>
      </c>
      <c r="AR90">
        <f>VLOOKUP($AC90,'2017 Seattle Tracts'!$C$2:$Z$399,AR$1,FALSE)*AA90</f>
        <v>5.3684305061635709E-4</v>
      </c>
      <c r="AS90">
        <f>VLOOKUP($AC90,'2017 Seattle Tracts'!$C$2:$Z$399,AS$1,FALSE)*AA90</f>
        <v>2.9473736112270584E-4</v>
      </c>
      <c r="AT90">
        <f>VLOOKUP($AC90,'2017 Seattle Tracts'!$C$2:$Z$399,AT$1,FALSE)*AA90</f>
        <v>2.4210568949365122E-4</v>
      </c>
      <c r="AU90">
        <f>VLOOKUP($AC90,'2017 Seattle Tracts'!$C$2:$Z$399,AU$1,FALSE)*AA90</f>
        <v>0</v>
      </c>
      <c r="AV90">
        <f>VLOOKUP($AC90,'2017 Seattle Tracts'!$C$2:$Z$399,AV$1,FALSE)*AA90</f>
        <v>6.3158005954865536E-4</v>
      </c>
      <c r="AW90">
        <f>VLOOKUP($AC90,'2017 Seattle Tracts'!$C$2:$Z$399,AW$1,FALSE)*AA90</f>
        <v>0</v>
      </c>
      <c r="AX90">
        <f>VLOOKUP($AC90,'2017 Seattle Tracts'!$C$2:$Z$399,AX$1,FALSE)*AA90</f>
        <v>2.1578985367912392E-3</v>
      </c>
      <c r="AY90">
        <f>VLOOKUP($AC90,'2017 Seattle Tracts'!$C$2:$Z$399,AY$1,FALSE)*AA90</f>
        <v>1.2631601190973108E-4</v>
      </c>
      <c r="BA90" s="2" t="s">
        <v>140</v>
      </c>
      <c r="BB90">
        <v>2284.3460562701857</v>
      </c>
      <c r="BC90">
        <v>1607.0931989890371</v>
      </c>
      <c r="BD90">
        <v>677.25285728114852</v>
      </c>
      <c r="BE90">
        <v>1378.8466216695001</v>
      </c>
      <c r="BF90">
        <v>189.58389340075956</v>
      </c>
      <c r="BG90">
        <v>24.190709103656594</v>
      </c>
      <c r="BH90">
        <v>7.3632985109338076</v>
      </c>
      <c r="BI90">
        <v>19.981455547097632</v>
      </c>
      <c r="BJ90">
        <v>0</v>
      </c>
      <c r="BK90">
        <v>5.0069447389519466</v>
      </c>
      <c r="BL90">
        <v>0</v>
      </c>
      <c r="BM90">
        <v>81.243491257026932</v>
      </c>
      <c r="BN90">
        <v>433.24452898401358</v>
      </c>
      <c r="BO90">
        <v>7.0614952302064461E-5</v>
      </c>
      <c r="BP90">
        <v>0</v>
      </c>
      <c r="BQ90">
        <v>2.3302934259681273E-3</v>
      </c>
      <c r="BR90">
        <v>1.2004541891350959E-3</v>
      </c>
      <c r="BS90">
        <v>97.821575764425617</v>
      </c>
      <c r="BT90">
        <v>47.059935931252461</v>
      </c>
    </row>
    <row r="91" spans="1:72" x14ac:dyDescent="0.25">
      <c r="A91" t="s">
        <v>2917</v>
      </c>
      <c r="B91" t="s">
        <v>2918</v>
      </c>
      <c r="C91" t="s">
        <v>2987</v>
      </c>
      <c r="D91" t="s">
        <v>2830</v>
      </c>
      <c r="E91" t="s">
        <v>2831</v>
      </c>
      <c r="F91" t="s">
        <v>2832</v>
      </c>
      <c r="G91" t="s">
        <v>2920</v>
      </c>
      <c r="H91" t="s">
        <v>2921</v>
      </c>
      <c r="I91">
        <v>2771967</v>
      </c>
      <c r="J91">
        <v>228120</v>
      </c>
      <c r="K91" t="s">
        <v>2988</v>
      </c>
      <c r="L91" t="s">
        <v>2989</v>
      </c>
      <c r="M91">
        <v>2750511</v>
      </c>
      <c r="N91">
        <v>69</v>
      </c>
      <c r="O91">
        <v>30433.403999999999</v>
      </c>
      <c r="P91" t="s">
        <v>122</v>
      </c>
      <c r="Q91">
        <v>18</v>
      </c>
      <c r="R91">
        <v>12</v>
      </c>
      <c r="S91">
        <v>9</v>
      </c>
      <c r="T91">
        <v>29423452</v>
      </c>
      <c r="U91">
        <v>71</v>
      </c>
      <c r="V91">
        <v>187</v>
      </c>
      <c r="W91">
        <v>30433.404868631082</v>
      </c>
      <c r="X91">
        <v>29423452.15209388</v>
      </c>
      <c r="Y91">
        <v>2693337.6179999998</v>
      </c>
      <c r="Z91">
        <f>VLOOKUP($AC91,'2017 Seattle Tracts'!$C$2:$Z$399,24,FALSE)</f>
        <v>2750510.6310000001</v>
      </c>
      <c r="AA91">
        <f t="shared" si="3"/>
        <v>0.97921367314286145</v>
      </c>
      <c r="AB91" t="s">
        <v>167</v>
      </c>
      <c r="AC91" t="str">
        <f t="shared" si="2"/>
        <v>Census Tract 112, King County, Washington</v>
      </c>
      <c r="AD91">
        <f>VLOOKUP($AC91,'2017 Seattle Tracts'!$C$2:$Z$399,AD$1,FALSE)*AA91</f>
        <v>3641.6956504183017</v>
      </c>
      <c r="AE91">
        <f>VLOOKUP($AC91,'2017 Seattle Tracts'!$C$2:$Z$399,AE$1,FALSE)*AA91</f>
        <v>2843.6365068068699</v>
      </c>
      <c r="AF91">
        <f>VLOOKUP($AC91,'2017 Seattle Tracts'!$C$2:$Z$399,AF$1,FALSE)*AA91</f>
        <v>798.05914361143209</v>
      </c>
      <c r="AG91">
        <f>VLOOKUP($AC91,'2017 Seattle Tracts'!$C$2:$Z$399,AG$1,FALSE)*AA91</f>
        <v>3641.6956504183017</v>
      </c>
      <c r="AH91">
        <f>VLOOKUP($AC91,'2017 Seattle Tracts'!$C$2:$Z$399,AH$1,FALSE)*AA91</f>
        <v>2843.6365068068699</v>
      </c>
      <c r="AI91">
        <f>VLOOKUP($AC91,'2017 Seattle Tracts'!$C$2:$Z$399,AI$1,FALSE)*AA91</f>
        <v>798.05914361143209</v>
      </c>
      <c r="AJ91">
        <f>VLOOKUP($AC91,'2017 Seattle Tracts'!$C$2:$Z$399,AJ$1,FALSE)*AA91</f>
        <v>1139.8047155382908</v>
      </c>
      <c r="AK91">
        <f>VLOOKUP($AC91,'2017 Seattle Tracts'!$C$2:$Z$399,AK$1,FALSE)*AA91</f>
        <v>77.357880178286052</v>
      </c>
      <c r="AL91">
        <f>VLOOKUP($AC91,'2017 Seattle Tracts'!$C$2:$Z$399,AL$1,FALSE)*AA91</f>
        <v>322.16129846400139</v>
      </c>
      <c r="AM91">
        <f>VLOOKUP($AC91,'2017 Seattle Tracts'!$C$2:$Z$399,AM$1,FALSE)*AA91</f>
        <v>122.40170914285768</v>
      </c>
      <c r="AN91">
        <f>VLOOKUP($AC91,'2017 Seattle Tracts'!$C$2:$Z$399,AN$1,FALSE)*AA91</f>
        <v>164.50789708800073</v>
      </c>
      <c r="AO91">
        <f>VLOOKUP($AC91,'2017 Seattle Tracts'!$C$2:$Z$399,AO$1,FALSE)*AA91</f>
        <v>31.334837540571566</v>
      </c>
      <c r="AP91">
        <f>VLOOKUP($AC91,'2017 Seattle Tracts'!$C$2:$Z$399,AP$1,FALSE)*AA91</f>
        <v>16.646632443428643</v>
      </c>
      <c r="AQ91">
        <f>VLOOKUP($AC91,'2017 Seattle Tracts'!$C$2:$Z$399,AQ$1,FALSE)*AA91</f>
        <v>0</v>
      </c>
      <c r="AR91">
        <f>VLOOKUP($AC91,'2017 Seattle Tracts'!$C$2:$Z$399,AR$1,FALSE)*AA91</f>
        <v>107.71350404571476</v>
      </c>
      <c r="AS91">
        <f>VLOOKUP($AC91,'2017 Seattle Tracts'!$C$2:$Z$399,AS$1,FALSE)*AA91</f>
        <v>246.7618456320011</v>
      </c>
      <c r="AT91">
        <f>VLOOKUP($AC91,'2017 Seattle Tracts'!$C$2:$Z$399,AT$1,FALSE)*AA91</f>
        <v>57.773606715428826</v>
      </c>
      <c r="AU91">
        <f>VLOOKUP($AC91,'2017 Seattle Tracts'!$C$2:$Z$399,AU$1,FALSE)*AA91</f>
        <v>94.983726294857561</v>
      </c>
      <c r="AV91">
        <f>VLOOKUP($AC91,'2017 Seattle Tracts'!$C$2:$Z$399,AV$1,FALSE)*AA91</f>
        <v>297.68095663542988</v>
      </c>
      <c r="AW91">
        <f>VLOOKUP($AC91,'2017 Seattle Tracts'!$C$2:$Z$399,AW$1,FALSE)*AA91</f>
        <v>216.40622176457239</v>
      </c>
      <c r="AX91">
        <f>VLOOKUP($AC91,'2017 Seattle Tracts'!$C$2:$Z$399,AX$1,FALSE)*AA91</f>
        <v>737.34789587657463</v>
      </c>
      <c r="AY91">
        <f>VLOOKUP($AC91,'2017 Seattle Tracts'!$C$2:$Z$399,AY$1,FALSE)*AA91</f>
        <v>8.8129230582857527</v>
      </c>
      <c r="BA91" s="2" t="s">
        <v>119</v>
      </c>
      <c r="BB91">
        <v>5700.0189077500518</v>
      </c>
      <c r="BC91">
        <v>5087.0202633405879</v>
      </c>
      <c r="BD91">
        <v>612.99864440946385</v>
      </c>
      <c r="BE91">
        <v>4414.8534582953389</v>
      </c>
      <c r="BF91">
        <v>199.37286981046336</v>
      </c>
      <c r="BG91">
        <v>111.24916513518446</v>
      </c>
      <c r="BH91">
        <v>38.452014660008949</v>
      </c>
      <c r="BI91">
        <v>47.439622514958359</v>
      </c>
      <c r="BJ91">
        <v>1.7415617442451509E-3</v>
      </c>
      <c r="BK91">
        <v>4.0092636009574243E-3</v>
      </c>
      <c r="BL91">
        <v>0</v>
      </c>
      <c r="BM91">
        <v>108.15309120867227</v>
      </c>
      <c r="BN91">
        <v>180.03298915921496</v>
      </c>
      <c r="BO91">
        <v>4.9438629237815498E-3</v>
      </c>
      <c r="BP91">
        <v>14.693708811515684</v>
      </c>
      <c r="BQ91">
        <v>42.395718707910731</v>
      </c>
      <c r="BR91">
        <v>171.02667699297712</v>
      </c>
      <c r="BS91">
        <v>362.92025435199855</v>
      </c>
      <c r="BT91">
        <v>9.41864341353965</v>
      </c>
    </row>
    <row r="92" spans="1:72" x14ac:dyDescent="0.25">
      <c r="A92" t="s">
        <v>2917</v>
      </c>
      <c r="B92" t="s">
        <v>2918</v>
      </c>
      <c r="C92" t="s">
        <v>2987</v>
      </c>
      <c r="D92" t="s">
        <v>2830</v>
      </c>
      <c r="E92" t="s">
        <v>2831</v>
      </c>
      <c r="F92" t="s">
        <v>2832</v>
      </c>
      <c r="G92" t="s">
        <v>2920</v>
      </c>
      <c r="H92" t="s">
        <v>2921</v>
      </c>
      <c r="I92">
        <v>2771967</v>
      </c>
      <c r="J92">
        <v>228120</v>
      </c>
      <c r="K92" t="s">
        <v>2988</v>
      </c>
      <c r="L92" t="s">
        <v>2989</v>
      </c>
      <c r="M92">
        <v>2750511</v>
      </c>
      <c r="N92">
        <v>89</v>
      </c>
      <c r="O92">
        <v>31111.062999999998</v>
      </c>
      <c r="P92" t="s">
        <v>191</v>
      </c>
      <c r="Q92">
        <v>20</v>
      </c>
      <c r="R92">
        <v>10</v>
      </c>
      <c r="S92">
        <v>23</v>
      </c>
      <c r="T92">
        <v>39810332</v>
      </c>
      <c r="U92">
        <v>91</v>
      </c>
      <c r="V92">
        <v>188</v>
      </c>
      <c r="W92">
        <v>31111.063083771449</v>
      </c>
      <c r="X92">
        <v>39810333.415949456</v>
      </c>
      <c r="Y92">
        <v>30126.893</v>
      </c>
      <c r="Z92">
        <f>VLOOKUP($AC92,'2017 Seattle Tracts'!$C$2:$Z$399,24,FALSE)</f>
        <v>2750510.6310000001</v>
      </c>
      <c r="AA92">
        <f t="shared" si="3"/>
        <v>1.0953199984195952E-2</v>
      </c>
      <c r="AB92" t="s">
        <v>190</v>
      </c>
      <c r="AC92" t="str">
        <f t="shared" si="2"/>
        <v>Census Tract 112, King County, Washington</v>
      </c>
      <c r="AD92">
        <f>VLOOKUP($AC92,'2017 Seattle Tracts'!$C$2:$Z$399,AD$1,FALSE)*AA92</f>
        <v>40.73495074122475</v>
      </c>
      <c r="AE92">
        <f>VLOOKUP($AC92,'2017 Seattle Tracts'!$C$2:$Z$399,AE$1,FALSE)*AA92</f>
        <v>31.808092754105047</v>
      </c>
      <c r="AF92">
        <f>VLOOKUP($AC92,'2017 Seattle Tracts'!$C$2:$Z$399,AF$1,FALSE)*AA92</f>
        <v>8.9268579871197016</v>
      </c>
      <c r="AG92">
        <f>VLOOKUP($AC92,'2017 Seattle Tracts'!$C$2:$Z$399,AG$1,FALSE)*AA92</f>
        <v>40.73495074122475</v>
      </c>
      <c r="AH92">
        <f>VLOOKUP($AC92,'2017 Seattle Tracts'!$C$2:$Z$399,AH$1,FALSE)*AA92</f>
        <v>31.808092754105047</v>
      </c>
      <c r="AI92">
        <f>VLOOKUP($AC92,'2017 Seattle Tracts'!$C$2:$Z$399,AI$1,FALSE)*AA92</f>
        <v>8.9268579871197016</v>
      </c>
      <c r="AJ92">
        <f>VLOOKUP($AC92,'2017 Seattle Tracts'!$C$2:$Z$399,AJ$1,FALSE)*AA92</f>
        <v>12.749524781604089</v>
      </c>
      <c r="AK92">
        <f>VLOOKUP($AC92,'2017 Seattle Tracts'!$C$2:$Z$399,AK$1,FALSE)*AA92</f>
        <v>0.8653027987514802</v>
      </c>
      <c r="AL92">
        <f>VLOOKUP($AC92,'2017 Seattle Tracts'!$C$2:$Z$399,AL$1,FALSE)*AA92</f>
        <v>3.6036027948004685</v>
      </c>
      <c r="AM92">
        <f>VLOOKUP($AC92,'2017 Seattle Tracts'!$C$2:$Z$399,AM$1,FALSE)*AA92</f>
        <v>1.3691499980244941</v>
      </c>
      <c r="AN92">
        <f>VLOOKUP($AC92,'2017 Seattle Tracts'!$C$2:$Z$399,AN$1,FALSE)*AA92</f>
        <v>1.8401375973449201</v>
      </c>
      <c r="AO92">
        <f>VLOOKUP($AC92,'2017 Seattle Tracts'!$C$2:$Z$399,AO$1,FALSE)*AA92</f>
        <v>0.35050239949427048</v>
      </c>
      <c r="AP92">
        <f>VLOOKUP($AC92,'2017 Seattle Tracts'!$C$2:$Z$399,AP$1,FALSE)*AA92</f>
        <v>0.18620439973133118</v>
      </c>
      <c r="AQ92">
        <f>VLOOKUP($AC92,'2017 Seattle Tracts'!$C$2:$Z$399,AQ$1,FALSE)*AA92</f>
        <v>0</v>
      </c>
      <c r="AR92">
        <f>VLOOKUP($AC92,'2017 Seattle Tracts'!$C$2:$Z$399,AR$1,FALSE)*AA92</f>
        <v>1.2048519982615549</v>
      </c>
      <c r="AS92">
        <f>VLOOKUP($AC92,'2017 Seattle Tracts'!$C$2:$Z$399,AS$1,FALSE)*AA92</f>
        <v>2.7602063960173799</v>
      </c>
      <c r="AT92">
        <f>VLOOKUP($AC92,'2017 Seattle Tracts'!$C$2:$Z$399,AT$1,FALSE)*AA92</f>
        <v>0.64623879906756121</v>
      </c>
      <c r="AU92">
        <f>VLOOKUP($AC92,'2017 Seattle Tracts'!$C$2:$Z$399,AU$1,FALSE)*AA92</f>
        <v>1.0624603984670073</v>
      </c>
      <c r="AV92">
        <f>VLOOKUP($AC92,'2017 Seattle Tracts'!$C$2:$Z$399,AV$1,FALSE)*AA92</f>
        <v>3.3297727951955696</v>
      </c>
      <c r="AW92">
        <f>VLOOKUP($AC92,'2017 Seattle Tracts'!$C$2:$Z$399,AW$1,FALSE)*AA92</f>
        <v>2.4206571965073054</v>
      </c>
      <c r="AX92">
        <f>VLOOKUP($AC92,'2017 Seattle Tracts'!$C$2:$Z$399,AX$1,FALSE)*AA92</f>
        <v>8.2477595880995516</v>
      </c>
      <c r="AY92">
        <f>VLOOKUP($AC92,'2017 Seattle Tracts'!$C$2:$Z$399,AY$1,FALSE)*AA92</f>
        <v>9.8578799857763577E-2</v>
      </c>
      <c r="BA92" s="2" t="s">
        <v>130</v>
      </c>
      <c r="BB92">
        <v>5794.1636670194994</v>
      </c>
      <c r="BC92">
        <v>4818.7999126299255</v>
      </c>
      <c r="BD92">
        <v>975.36375438957407</v>
      </c>
      <c r="BE92">
        <v>4301.5440524596552</v>
      </c>
      <c r="BF92">
        <v>374.48849489060268</v>
      </c>
      <c r="BG92">
        <v>97.67577978639244</v>
      </c>
      <c r="BH92">
        <v>34.624308377764216</v>
      </c>
      <c r="BI92">
        <v>30.828474054826785</v>
      </c>
      <c r="BJ92">
        <v>15.947653133711857</v>
      </c>
      <c r="BK92">
        <v>0.28288966797804427</v>
      </c>
      <c r="BL92">
        <v>6.355710863612913E-4</v>
      </c>
      <c r="BM92">
        <v>163.43435409872552</v>
      </c>
      <c r="BN92">
        <v>488.85720061450286</v>
      </c>
      <c r="BO92">
        <v>6.8975336089637906</v>
      </c>
      <c r="BP92">
        <v>25.012196788877986</v>
      </c>
      <c r="BQ92">
        <v>9.8583875245374628</v>
      </c>
      <c r="BR92">
        <v>6.0532972292848894</v>
      </c>
      <c r="BS92">
        <v>208.27844142884683</v>
      </c>
      <c r="BT92">
        <v>30.379967783743233</v>
      </c>
    </row>
    <row r="93" spans="1:72" x14ac:dyDescent="0.25">
      <c r="A93" t="s">
        <v>2917</v>
      </c>
      <c r="B93" t="s">
        <v>2918</v>
      </c>
      <c r="C93" t="s">
        <v>2987</v>
      </c>
      <c r="D93" t="s">
        <v>2830</v>
      </c>
      <c r="E93" t="s">
        <v>2831</v>
      </c>
      <c r="F93" t="s">
        <v>2832</v>
      </c>
      <c r="G93" t="s">
        <v>2920</v>
      </c>
      <c r="H93" t="s">
        <v>2921</v>
      </c>
      <c r="I93">
        <v>2771967</v>
      </c>
      <c r="J93">
        <v>228120</v>
      </c>
      <c r="K93" t="s">
        <v>2988</v>
      </c>
      <c r="L93" t="s">
        <v>2989</v>
      </c>
      <c r="M93">
        <v>2750511</v>
      </c>
      <c r="N93">
        <v>107</v>
      </c>
      <c r="O93">
        <v>58047.309000000001</v>
      </c>
      <c r="P93" t="s">
        <v>122</v>
      </c>
      <c r="Q93">
        <v>18</v>
      </c>
      <c r="R93">
        <v>12</v>
      </c>
      <c r="S93">
        <v>95</v>
      </c>
      <c r="T93">
        <v>24681990</v>
      </c>
      <c r="U93">
        <v>109</v>
      </c>
      <c r="V93">
        <v>198</v>
      </c>
      <c r="W93">
        <v>58047.307413870847</v>
      </c>
      <c r="X93">
        <v>24681989.600617379</v>
      </c>
      <c r="Y93">
        <v>6334.357</v>
      </c>
      <c r="Z93">
        <f>VLOOKUP($AC93,'2017 Seattle Tracts'!$C$2:$Z$399,24,FALSE)</f>
        <v>2750510.6310000001</v>
      </c>
      <c r="AA93">
        <f t="shared" si="3"/>
        <v>2.3029749198595264E-3</v>
      </c>
      <c r="AB93" t="s">
        <v>165</v>
      </c>
      <c r="AC93" t="str">
        <f t="shared" si="2"/>
        <v>Census Tract 112, King County, Washington</v>
      </c>
      <c r="AD93">
        <f>VLOOKUP($AC93,'2017 Seattle Tracts'!$C$2:$Z$399,AD$1,FALSE)*AA93</f>
        <v>8.5647637269575778</v>
      </c>
      <c r="AE93">
        <f>VLOOKUP($AC93,'2017 Seattle Tracts'!$C$2:$Z$399,AE$1,FALSE)*AA93</f>
        <v>6.687839167272065</v>
      </c>
      <c r="AF93">
        <f>VLOOKUP($AC93,'2017 Seattle Tracts'!$C$2:$Z$399,AF$1,FALSE)*AA93</f>
        <v>1.876924559685514</v>
      </c>
      <c r="AG93">
        <f>VLOOKUP($AC93,'2017 Seattle Tracts'!$C$2:$Z$399,AG$1,FALSE)*AA93</f>
        <v>8.5647637269575778</v>
      </c>
      <c r="AH93">
        <f>VLOOKUP($AC93,'2017 Seattle Tracts'!$C$2:$Z$399,AH$1,FALSE)*AA93</f>
        <v>6.687839167272065</v>
      </c>
      <c r="AI93">
        <f>VLOOKUP($AC93,'2017 Seattle Tracts'!$C$2:$Z$399,AI$1,FALSE)*AA93</f>
        <v>1.876924559685514</v>
      </c>
      <c r="AJ93">
        <f>VLOOKUP($AC93,'2017 Seattle Tracts'!$C$2:$Z$399,AJ$1,FALSE)*AA93</f>
        <v>2.6806628067164886</v>
      </c>
      <c r="AK93">
        <f>VLOOKUP($AC93,'2017 Seattle Tracts'!$C$2:$Z$399,AK$1,FALSE)*AA93</f>
        <v>0.18193501866890258</v>
      </c>
      <c r="AL93">
        <f>VLOOKUP($AC93,'2017 Seattle Tracts'!$C$2:$Z$399,AL$1,FALSE)*AA93</f>
        <v>0.75767874863378415</v>
      </c>
      <c r="AM93">
        <f>VLOOKUP($AC93,'2017 Seattle Tracts'!$C$2:$Z$399,AM$1,FALSE)*AA93</f>
        <v>0.28787186498244077</v>
      </c>
      <c r="AN93">
        <f>VLOOKUP($AC93,'2017 Seattle Tracts'!$C$2:$Z$399,AN$1,FALSE)*AA93</f>
        <v>0.38689978653640045</v>
      </c>
      <c r="AO93">
        <f>VLOOKUP($AC93,'2017 Seattle Tracts'!$C$2:$Z$399,AO$1,FALSE)*AA93</f>
        <v>7.3695197435504844E-2</v>
      </c>
      <c r="AP93">
        <f>VLOOKUP($AC93,'2017 Seattle Tracts'!$C$2:$Z$399,AP$1,FALSE)*AA93</f>
        <v>3.915057363761195E-2</v>
      </c>
      <c r="AQ93">
        <f>VLOOKUP($AC93,'2017 Seattle Tracts'!$C$2:$Z$399,AQ$1,FALSE)*AA93</f>
        <v>0</v>
      </c>
      <c r="AR93">
        <f>VLOOKUP($AC93,'2017 Seattle Tracts'!$C$2:$Z$399,AR$1,FALSE)*AA93</f>
        <v>0.25332724118454791</v>
      </c>
      <c r="AS93">
        <f>VLOOKUP($AC93,'2017 Seattle Tracts'!$C$2:$Z$399,AS$1,FALSE)*AA93</f>
        <v>0.58034967980460062</v>
      </c>
      <c r="AT93">
        <f>VLOOKUP($AC93,'2017 Seattle Tracts'!$C$2:$Z$399,AT$1,FALSE)*AA93</f>
        <v>0.13587552027171207</v>
      </c>
      <c r="AU93">
        <f>VLOOKUP($AC93,'2017 Seattle Tracts'!$C$2:$Z$399,AU$1,FALSE)*AA93</f>
        <v>0.22338856722637407</v>
      </c>
      <c r="AV93">
        <f>VLOOKUP($AC93,'2017 Seattle Tracts'!$C$2:$Z$399,AV$1,FALSE)*AA93</f>
        <v>0.70010437563729599</v>
      </c>
      <c r="AW93">
        <f>VLOOKUP($AC93,'2017 Seattle Tracts'!$C$2:$Z$399,AW$1,FALSE)*AA93</f>
        <v>0.50895745728895536</v>
      </c>
      <c r="AX93">
        <f>VLOOKUP($AC93,'2017 Seattle Tracts'!$C$2:$Z$399,AX$1,FALSE)*AA93</f>
        <v>1.7341401146542235</v>
      </c>
      <c r="AY93">
        <f>VLOOKUP($AC93,'2017 Seattle Tracts'!$C$2:$Z$399,AY$1,FALSE)*AA93</f>
        <v>2.0726774278735739E-2</v>
      </c>
      <c r="BA93" s="2" t="s">
        <v>161</v>
      </c>
      <c r="BB93">
        <v>3826.497746437246</v>
      </c>
      <c r="BC93">
        <v>2713.4042847551104</v>
      </c>
      <c r="BD93">
        <v>1113.0934616821353</v>
      </c>
      <c r="BE93">
        <v>1678.4807965148545</v>
      </c>
      <c r="BF93">
        <v>121.10386254287297</v>
      </c>
      <c r="BG93">
        <v>83.294230679614131</v>
      </c>
      <c r="BH93">
        <v>40.820315669271608</v>
      </c>
      <c r="BI93">
        <v>308.91860388580454</v>
      </c>
      <c r="BJ93">
        <v>145.30391739581538</v>
      </c>
      <c r="BK93">
        <v>35.640842627340675</v>
      </c>
      <c r="BL93">
        <v>0.4032773386280829</v>
      </c>
      <c r="BM93">
        <v>256.161553322489</v>
      </c>
      <c r="BN93">
        <v>738.00867087631991</v>
      </c>
      <c r="BO93">
        <v>12.377826018314815</v>
      </c>
      <c r="BP93">
        <v>5.9915182509783973</v>
      </c>
      <c r="BQ93">
        <v>88.204088926514771</v>
      </c>
      <c r="BR93">
        <v>40.24407366280812</v>
      </c>
      <c r="BS93">
        <v>250.32634278017827</v>
      </c>
      <c r="BT93">
        <v>21.217825945440641</v>
      </c>
    </row>
    <row r="94" spans="1:72" x14ac:dyDescent="0.25">
      <c r="A94" t="s">
        <v>2917</v>
      </c>
      <c r="B94" t="s">
        <v>2918</v>
      </c>
      <c r="C94" t="s">
        <v>2990</v>
      </c>
      <c r="D94" t="s">
        <v>2827</v>
      </c>
      <c r="E94" t="s">
        <v>2828</v>
      </c>
      <c r="F94" t="s">
        <v>2829</v>
      </c>
      <c r="G94" t="s">
        <v>2920</v>
      </c>
      <c r="H94" t="s">
        <v>2921</v>
      </c>
      <c r="I94">
        <v>3157573</v>
      </c>
      <c r="J94">
        <v>42220</v>
      </c>
      <c r="K94" t="s">
        <v>2991</v>
      </c>
      <c r="L94" t="s">
        <v>2992</v>
      </c>
      <c r="M94">
        <v>3157577</v>
      </c>
      <c r="N94">
        <v>69</v>
      </c>
      <c r="O94">
        <v>30433.403999999999</v>
      </c>
      <c r="P94" t="s">
        <v>122</v>
      </c>
      <c r="Q94">
        <v>18</v>
      </c>
      <c r="R94">
        <v>12</v>
      </c>
      <c r="S94">
        <v>9</v>
      </c>
      <c r="T94">
        <v>29423452</v>
      </c>
      <c r="U94">
        <v>71</v>
      </c>
      <c r="V94">
        <v>187</v>
      </c>
      <c r="W94">
        <v>30433.404868631082</v>
      </c>
      <c r="X94">
        <v>29423452.15209388</v>
      </c>
      <c r="Y94">
        <v>19338.843000000001</v>
      </c>
      <c r="Z94">
        <f>VLOOKUP($AC94,'2017 Seattle Tracts'!$C$2:$Z$399,24,FALSE)</f>
        <v>3157576.7659999998</v>
      </c>
      <c r="AA94">
        <f t="shared" si="3"/>
        <v>6.124583639022128E-3</v>
      </c>
      <c r="AB94" t="s">
        <v>167</v>
      </c>
      <c r="AC94" t="str">
        <f t="shared" si="2"/>
        <v>Census Tract 113, King County, Washington</v>
      </c>
      <c r="AD94">
        <f>VLOOKUP($AC94,'2017 Seattle Tracts'!$C$2:$Z$399,AD$1,FALSE)*AA94</f>
        <v>43.202812989662092</v>
      </c>
      <c r="AE94">
        <f>VLOOKUP($AC94,'2017 Seattle Tracts'!$C$2:$Z$399,AE$1,FALSE)*AA94</f>
        <v>33.164620405304824</v>
      </c>
      <c r="AF94">
        <f>VLOOKUP($AC94,'2017 Seattle Tracts'!$C$2:$Z$399,AF$1,FALSE)*AA94</f>
        <v>10.038192584357267</v>
      </c>
      <c r="AG94">
        <f>VLOOKUP($AC94,'2017 Seattle Tracts'!$C$2:$Z$399,AG$1,FALSE)*AA94</f>
        <v>43.202812989662092</v>
      </c>
      <c r="AH94">
        <f>VLOOKUP($AC94,'2017 Seattle Tracts'!$C$2:$Z$399,AH$1,FALSE)*AA94</f>
        <v>33.164620405304824</v>
      </c>
      <c r="AI94">
        <f>VLOOKUP($AC94,'2017 Seattle Tracts'!$C$2:$Z$399,AI$1,FALSE)*AA94</f>
        <v>10.038192584357267</v>
      </c>
      <c r="AJ94">
        <f>VLOOKUP($AC94,'2017 Seattle Tracts'!$C$2:$Z$399,AJ$1,FALSE)*AA94</f>
        <v>17.240702943847289</v>
      </c>
      <c r="AK94">
        <f>VLOOKUP($AC94,'2017 Seattle Tracts'!$C$2:$Z$399,AK$1,FALSE)*AA94</f>
        <v>2.4559580392478733</v>
      </c>
      <c r="AL94">
        <f>VLOOKUP($AC94,'2017 Seattle Tracts'!$C$2:$Z$399,AL$1,FALSE)*AA94</f>
        <v>0.58183544570710222</v>
      </c>
      <c r="AM94">
        <f>VLOOKUP($AC94,'2017 Seattle Tracts'!$C$2:$Z$399,AM$1,FALSE)*AA94</f>
        <v>0.87581546038016433</v>
      </c>
      <c r="AN94">
        <f>VLOOKUP($AC94,'2017 Seattle Tracts'!$C$2:$Z$399,AN$1,FALSE)*AA94</f>
        <v>2.2783451137162318</v>
      </c>
      <c r="AO94">
        <f>VLOOKUP($AC94,'2017 Seattle Tracts'!$C$2:$Z$399,AO$1,FALSE)*AA94</f>
        <v>0.18986209280968597</v>
      </c>
      <c r="AP94">
        <f>VLOOKUP($AC94,'2017 Seattle Tracts'!$C$2:$Z$399,AP$1,FALSE)*AA94</f>
        <v>0.25110792919990726</v>
      </c>
      <c r="AQ94">
        <f>VLOOKUP($AC94,'2017 Seattle Tracts'!$C$2:$Z$399,AQ$1,FALSE)*AA94</f>
        <v>7.3495003668265529E-2</v>
      </c>
      <c r="AR94">
        <f>VLOOKUP($AC94,'2017 Seattle Tracts'!$C$2:$Z$399,AR$1,FALSE)*AA94</f>
        <v>4.5750639783495295</v>
      </c>
      <c r="AS94">
        <f>VLOOKUP($AC94,'2017 Seattle Tracts'!$C$2:$Z$399,AS$1,FALSE)*AA94</f>
        <v>4.1279693727009139</v>
      </c>
      <c r="AT94">
        <f>VLOOKUP($AC94,'2017 Seattle Tracts'!$C$2:$Z$399,AT$1,FALSE)*AA94</f>
        <v>0.11024250550239831</v>
      </c>
      <c r="AU94">
        <f>VLOOKUP($AC94,'2017 Seattle Tracts'!$C$2:$Z$399,AU$1,FALSE)*AA94</f>
        <v>0</v>
      </c>
      <c r="AV94">
        <f>VLOOKUP($AC94,'2017 Seattle Tracts'!$C$2:$Z$399,AV$1,FALSE)*AA94</f>
        <v>0.33685210014621703</v>
      </c>
      <c r="AW94">
        <f>VLOOKUP($AC94,'2017 Seattle Tracts'!$C$2:$Z$399,AW$1,FALSE)*AA94</f>
        <v>1.200418393248337</v>
      </c>
      <c r="AX94">
        <f>VLOOKUP($AC94,'2017 Seattle Tracts'!$C$2:$Z$399,AX$1,FALSE)*AA94</f>
        <v>7.7904703888361473</v>
      </c>
      <c r="AY94">
        <f>VLOOKUP($AC94,'2017 Seattle Tracts'!$C$2:$Z$399,AY$1,FALSE)*AA94</f>
        <v>1.1146742223020274</v>
      </c>
      <c r="BA94" s="2" t="s">
        <v>3321</v>
      </c>
      <c r="BB94">
        <v>63.549907984672181</v>
      </c>
      <c r="BC94">
        <v>51.197954038355611</v>
      </c>
      <c r="BD94">
        <v>12.351953946316565</v>
      </c>
      <c r="BE94">
        <v>29.959242335631171</v>
      </c>
      <c r="BF94">
        <v>0.21737393073227909</v>
      </c>
      <c r="BG94">
        <v>2.1737393073227906</v>
      </c>
      <c r="BH94">
        <v>0</v>
      </c>
      <c r="BI94">
        <v>5.0635339158813242</v>
      </c>
      <c r="BJ94">
        <v>1.8157116567049194</v>
      </c>
      <c r="BK94">
        <v>0</v>
      </c>
      <c r="BL94">
        <v>0</v>
      </c>
      <c r="BM94">
        <v>6.1631902713505013</v>
      </c>
      <c r="BN94">
        <v>8.8995444582156615</v>
      </c>
      <c r="BO94">
        <v>0.75441540665908624</v>
      </c>
      <c r="BP94">
        <v>0.63933509038905612</v>
      </c>
      <c r="BQ94">
        <v>1.572764322357078</v>
      </c>
      <c r="BR94">
        <v>2.5573403615562245E-2</v>
      </c>
      <c r="BS94">
        <v>5.5110684791536642</v>
      </c>
      <c r="BT94">
        <v>0.75441540665908624</v>
      </c>
    </row>
    <row r="95" spans="1:72" x14ac:dyDescent="0.25">
      <c r="A95" t="s">
        <v>2917</v>
      </c>
      <c r="B95" t="s">
        <v>2918</v>
      </c>
      <c r="C95" t="s">
        <v>2990</v>
      </c>
      <c r="D95" t="s">
        <v>2827</v>
      </c>
      <c r="E95" t="s">
        <v>2828</v>
      </c>
      <c r="F95" t="s">
        <v>2829</v>
      </c>
      <c r="G95" t="s">
        <v>2920</v>
      </c>
      <c r="H95" t="s">
        <v>2921</v>
      </c>
      <c r="I95">
        <v>3157573</v>
      </c>
      <c r="J95">
        <v>42220</v>
      </c>
      <c r="K95" t="s">
        <v>2991</v>
      </c>
      <c r="L95" t="s">
        <v>2992</v>
      </c>
      <c r="M95">
        <v>3157577</v>
      </c>
      <c r="N95">
        <v>89</v>
      </c>
      <c r="O95">
        <v>31111.062999999998</v>
      </c>
      <c r="P95" t="s">
        <v>191</v>
      </c>
      <c r="Q95">
        <v>20</v>
      </c>
      <c r="R95">
        <v>10</v>
      </c>
      <c r="S95">
        <v>23</v>
      </c>
      <c r="T95">
        <v>39810332</v>
      </c>
      <c r="U95">
        <v>91</v>
      </c>
      <c r="V95">
        <v>188</v>
      </c>
      <c r="W95">
        <v>31111.063083771449</v>
      </c>
      <c r="X95">
        <v>39810333.415949456</v>
      </c>
      <c r="Y95">
        <v>3129876.6830000002</v>
      </c>
      <c r="Z95">
        <f>VLOOKUP($AC95,'2017 Seattle Tracts'!$C$2:$Z$399,24,FALSE)</f>
        <v>3157576.7659999998</v>
      </c>
      <c r="AA95">
        <f t="shared" si="3"/>
        <v>0.99122742373257011</v>
      </c>
      <c r="AB95" t="s">
        <v>190</v>
      </c>
      <c r="AC95" t="str">
        <f t="shared" si="2"/>
        <v>Census Tract 113, King County, Washington</v>
      </c>
      <c r="AD95">
        <f>VLOOKUP($AC95,'2017 Seattle Tracts'!$C$2:$Z$399,AD$1,FALSE)*AA95</f>
        <v>6992.1182470095491</v>
      </c>
      <c r="AE95">
        <f>VLOOKUP($AC95,'2017 Seattle Tracts'!$C$2:$Z$399,AE$1,FALSE)*AA95</f>
        <v>5367.4964995118671</v>
      </c>
      <c r="AF95">
        <f>VLOOKUP($AC95,'2017 Seattle Tracts'!$C$2:$Z$399,AF$1,FALSE)*AA95</f>
        <v>1624.6217474976825</v>
      </c>
      <c r="AG95">
        <f>VLOOKUP($AC95,'2017 Seattle Tracts'!$C$2:$Z$399,AG$1,FALSE)*AA95</f>
        <v>6992.1182470095491</v>
      </c>
      <c r="AH95">
        <f>VLOOKUP($AC95,'2017 Seattle Tracts'!$C$2:$Z$399,AH$1,FALSE)*AA95</f>
        <v>5367.4964995118671</v>
      </c>
      <c r="AI95">
        <f>VLOOKUP($AC95,'2017 Seattle Tracts'!$C$2:$Z$399,AI$1,FALSE)*AA95</f>
        <v>1624.6217474976825</v>
      </c>
      <c r="AJ95">
        <f>VLOOKUP($AC95,'2017 Seattle Tracts'!$C$2:$Z$399,AJ$1,FALSE)*AA95</f>
        <v>2790.3051978071849</v>
      </c>
      <c r="AK95">
        <f>VLOOKUP($AC95,'2017 Seattle Tracts'!$C$2:$Z$399,AK$1,FALSE)*AA95</f>
        <v>397.48219691676064</v>
      </c>
      <c r="AL95">
        <f>VLOOKUP($AC95,'2017 Seattle Tracts'!$C$2:$Z$399,AL$1,FALSE)*AA95</f>
        <v>94.16660525459416</v>
      </c>
      <c r="AM95">
        <f>VLOOKUP($AC95,'2017 Seattle Tracts'!$C$2:$Z$399,AM$1,FALSE)*AA95</f>
        <v>141.74552159375753</v>
      </c>
      <c r="AN95">
        <f>VLOOKUP($AC95,'2017 Seattle Tracts'!$C$2:$Z$399,AN$1,FALSE)*AA95</f>
        <v>368.7366016285161</v>
      </c>
      <c r="AO95">
        <f>VLOOKUP($AC95,'2017 Seattle Tracts'!$C$2:$Z$399,AO$1,FALSE)*AA95</f>
        <v>30.728050135709672</v>
      </c>
      <c r="AP95">
        <f>VLOOKUP($AC95,'2017 Seattle Tracts'!$C$2:$Z$399,AP$1,FALSE)*AA95</f>
        <v>40.640324373035376</v>
      </c>
      <c r="AQ95">
        <f>VLOOKUP($AC95,'2017 Seattle Tracts'!$C$2:$Z$399,AQ$1,FALSE)*AA95</f>
        <v>11.894729084790841</v>
      </c>
      <c r="AR95">
        <f>VLOOKUP($AC95,'2017 Seattle Tracts'!$C$2:$Z$399,AR$1,FALSE)*AA95</f>
        <v>740.44688552822993</v>
      </c>
      <c r="AS95">
        <f>VLOOKUP($AC95,'2017 Seattle Tracts'!$C$2:$Z$399,AS$1,FALSE)*AA95</f>
        <v>668.0872835957523</v>
      </c>
      <c r="AT95">
        <f>VLOOKUP($AC95,'2017 Seattle Tracts'!$C$2:$Z$399,AT$1,FALSE)*AA95</f>
        <v>17.842093627186262</v>
      </c>
      <c r="AU95">
        <f>VLOOKUP($AC95,'2017 Seattle Tracts'!$C$2:$Z$399,AU$1,FALSE)*AA95</f>
        <v>0</v>
      </c>
      <c r="AV95">
        <f>VLOOKUP($AC95,'2017 Seattle Tracts'!$C$2:$Z$399,AV$1,FALSE)*AA95</f>
        <v>54.517508305291358</v>
      </c>
      <c r="AW95">
        <f>VLOOKUP($AC95,'2017 Seattle Tracts'!$C$2:$Z$399,AW$1,FALSE)*AA95</f>
        <v>194.28057505158375</v>
      </c>
      <c r="AX95">
        <f>VLOOKUP($AC95,'2017 Seattle Tracts'!$C$2:$Z$399,AX$1,FALSE)*AA95</f>
        <v>1260.8412829878291</v>
      </c>
      <c r="AY95">
        <f>VLOOKUP($AC95,'2017 Seattle Tracts'!$C$2:$Z$399,AY$1,FALSE)*AA95</f>
        <v>180.40339111932775</v>
      </c>
      <c r="BA95" s="2" t="s">
        <v>3320</v>
      </c>
      <c r="BB95">
        <v>687029.08566720167</v>
      </c>
      <c r="BC95">
        <v>549190.65910543944</v>
      </c>
      <c r="BD95">
        <v>137838.42656176249</v>
      </c>
      <c r="BE95">
        <v>412639.69893192971</v>
      </c>
      <c r="BF95">
        <v>35805.728523655926</v>
      </c>
      <c r="BG95">
        <v>16166.26451541084</v>
      </c>
      <c r="BH95">
        <v>7000.6928956800275</v>
      </c>
      <c r="BI95">
        <v>34503.479834650949</v>
      </c>
      <c r="BJ95">
        <v>14219.127250684794</v>
      </c>
      <c r="BK95">
        <v>3340.7644490846437</v>
      </c>
      <c r="BL95">
        <v>453.45434019795601</v>
      </c>
      <c r="BM95">
        <v>33701.537993469596</v>
      </c>
      <c r="BN95">
        <v>65826.354087520624</v>
      </c>
      <c r="BO95">
        <v>1572.6182298525894</v>
      </c>
      <c r="BP95">
        <v>1093.7484851886359</v>
      </c>
      <c r="BQ95">
        <v>7277.6621642843211</v>
      </c>
      <c r="BR95">
        <v>7854.4276179367007</v>
      </c>
      <c r="BS95">
        <v>39988.632986756769</v>
      </c>
      <c r="BT95">
        <v>5584.8933608978214</v>
      </c>
    </row>
    <row r="96" spans="1:72" x14ac:dyDescent="0.25">
      <c r="A96" t="s">
        <v>2917</v>
      </c>
      <c r="B96" t="s">
        <v>2918</v>
      </c>
      <c r="C96" t="s">
        <v>2990</v>
      </c>
      <c r="D96" t="s">
        <v>2827</v>
      </c>
      <c r="E96" t="s">
        <v>2828</v>
      </c>
      <c r="F96" t="s">
        <v>2829</v>
      </c>
      <c r="G96" t="s">
        <v>2920</v>
      </c>
      <c r="H96" t="s">
        <v>2921</v>
      </c>
      <c r="I96">
        <v>3157573</v>
      </c>
      <c r="J96">
        <v>42220</v>
      </c>
      <c r="K96" t="s">
        <v>2991</v>
      </c>
      <c r="L96" t="s">
        <v>2992</v>
      </c>
      <c r="M96">
        <v>3157577</v>
      </c>
      <c r="N96">
        <v>91</v>
      </c>
      <c r="O96">
        <v>25917.116999999998</v>
      </c>
      <c r="P96" t="s">
        <v>191</v>
      </c>
      <c r="Q96">
        <v>20</v>
      </c>
      <c r="R96">
        <v>10</v>
      </c>
      <c r="S96">
        <v>24</v>
      </c>
      <c r="T96">
        <v>33038268</v>
      </c>
      <c r="U96">
        <v>93</v>
      </c>
      <c r="V96">
        <v>180</v>
      </c>
      <c r="W96">
        <v>25917.117639101471</v>
      </c>
      <c r="X96">
        <v>33038267.192843691</v>
      </c>
      <c r="Y96">
        <v>631.74199999999996</v>
      </c>
      <c r="Z96">
        <f>VLOOKUP($AC96,'2017 Seattle Tracts'!$C$2:$Z$399,24,FALSE)</f>
        <v>3157576.7659999998</v>
      </c>
      <c r="AA96">
        <f t="shared" si="3"/>
        <v>2.0007177871412041E-4</v>
      </c>
      <c r="AB96" t="s">
        <v>193</v>
      </c>
      <c r="AC96" t="str">
        <f t="shared" si="2"/>
        <v>Census Tract 113, King County, Washington</v>
      </c>
      <c r="AD96">
        <f>VLOOKUP($AC96,'2017 Seattle Tracts'!$C$2:$Z$399,AD$1,FALSE)*AA96</f>
        <v>1.4113063270494053</v>
      </c>
      <c r="AE96">
        <f>VLOOKUP($AC96,'2017 Seattle Tracts'!$C$2:$Z$399,AE$1,FALSE)*AA96</f>
        <v>1.083388681736962</v>
      </c>
      <c r="AF96">
        <f>VLOOKUP($AC96,'2017 Seattle Tracts'!$C$2:$Z$399,AF$1,FALSE)*AA96</f>
        <v>0.32791764531244333</v>
      </c>
      <c r="AG96">
        <f>VLOOKUP($AC96,'2017 Seattle Tracts'!$C$2:$Z$399,AG$1,FALSE)*AA96</f>
        <v>1.4113063270494053</v>
      </c>
      <c r="AH96">
        <f>VLOOKUP($AC96,'2017 Seattle Tracts'!$C$2:$Z$399,AH$1,FALSE)*AA96</f>
        <v>1.083388681736962</v>
      </c>
      <c r="AI96">
        <f>VLOOKUP($AC96,'2017 Seattle Tracts'!$C$2:$Z$399,AI$1,FALSE)*AA96</f>
        <v>0.32791764531244333</v>
      </c>
      <c r="AJ96">
        <f>VLOOKUP($AC96,'2017 Seattle Tracts'!$C$2:$Z$399,AJ$1,FALSE)*AA96</f>
        <v>0.56320205708024895</v>
      </c>
      <c r="AK96">
        <f>VLOOKUP($AC96,'2017 Seattle Tracts'!$C$2:$Z$399,AK$1,FALSE)*AA96</f>
        <v>8.022878326436228E-2</v>
      </c>
      <c r="AL96">
        <f>VLOOKUP($AC96,'2017 Seattle Tracts'!$C$2:$Z$399,AL$1,FALSE)*AA96</f>
        <v>1.9006818977841438E-2</v>
      </c>
      <c r="AM96">
        <f>VLOOKUP($AC96,'2017 Seattle Tracts'!$C$2:$Z$399,AM$1,FALSE)*AA96</f>
        <v>2.8610264356119217E-2</v>
      </c>
      <c r="AN96">
        <f>VLOOKUP($AC96,'2017 Seattle Tracts'!$C$2:$Z$399,AN$1,FALSE)*AA96</f>
        <v>7.4426701681652788E-2</v>
      </c>
      <c r="AO96">
        <f>VLOOKUP($AC96,'2017 Seattle Tracts'!$C$2:$Z$399,AO$1,FALSE)*AA96</f>
        <v>6.2022251401377326E-3</v>
      </c>
      <c r="AP96">
        <f>VLOOKUP($AC96,'2017 Seattle Tracts'!$C$2:$Z$399,AP$1,FALSE)*AA96</f>
        <v>8.2029429272789372E-3</v>
      </c>
      <c r="AQ96">
        <f>VLOOKUP($AC96,'2017 Seattle Tracts'!$C$2:$Z$399,AQ$1,FALSE)*AA96</f>
        <v>2.4008613445694448E-3</v>
      </c>
      <c r="AR96">
        <f>VLOOKUP($AC96,'2017 Seattle Tracts'!$C$2:$Z$399,AR$1,FALSE)*AA96</f>
        <v>0.14945361869944795</v>
      </c>
      <c r="AS96">
        <f>VLOOKUP($AC96,'2017 Seattle Tracts'!$C$2:$Z$399,AS$1,FALSE)*AA96</f>
        <v>0.13484837885331716</v>
      </c>
      <c r="AT96">
        <f>VLOOKUP($AC96,'2017 Seattle Tracts'!$C$2:$Z$399,AT$1,FALSE)*AA96</f>
        <v>3.6012920168541672E-3</v>
      </c>
      <c r="AU96">
        <f>VLOOKUP($AC96,'2017 Seattle Tracts'!$C$2:$Z$399,AU$1,FALSE)*AA96</f>
        <v>0</v>
      </c>
      <c r="AV96">
        <f>VLOOKUP($AC96,'2017 Seattle Tracts'!$C$2:$Z$399,AV$1,FALSE)*AA96</f>
        <v>1.1003947829276623E-2</v>
      </c>
      <c r="AW96">
        <f>VLOOKUP($AC96,'2017 Seattle Tracts'!$C$2:$Z$399,AW$1,FALSE)*AA96</f>
        <v>3.9214068627967599E-2</v>
      </c>
      <c r="AX96">
        <f>VLOOKUP($AC96,'2017 Seattle Tracts'!$C$2:$Z$399,AX$1,FALSE)*AA96</f>
        <v>0.25449130252436114</v>
      </c>
      <c r="AY96">
        <f>VLOOKUP($AC96,'2017 Seattle Tracts'!$C$2:$Z$399,AY$1,FALSE)*AA96</f>
        <v>3.6413063725969912E-2</v>
      </c>
    </row>
    <row r="97" spans="1:54" x14ac:dyDescent="0.25">
      <c r="A97" t="s">
        <v>2917</v>
      </c>
      <c r="B97" t="s">
        <v>2918</v>
      </c>
      <c r="C97" t="s">
        <v>2990</v>
      </c>
      <c r="D97" t="s">
        <v>2827</v>
      </c>
      <c r="E97" t="s">
        <v>2828</v>
      </c>
      <c r="F97" t="s">
        <v>2829</v>
      </c>
      <c r="G97" t="s">
        <v>2920</v>
      </c>
      <c r="H97" t="s">
        <v>2921</v>
      </c>
      <c r="I97">
        <v>3157573</v>
      </c>
      <c r="J97">
        <v>42220</v>
      </c>
      <c r="K97" t="s">
        <v>2991</v>
      </c>
      <c r="L97" t="s">
        <v>2992</v>
      </c>
      <c r="M97">
        <v>3157577</v>
      </c>
      <c r="N97">
        <v>93</v>
      </c>
      <c r="O97">
        <v>23416.34</v>
      </c>
      <c r="P97" t="s">
        <v>191</v>
      </c>
      <c r="Q97">
        <v>20</v>
      </c>
      <c r="R97">
        <v>10</v>
      </c>
      <c r="S97">
        <v>94</v>
      </c>
      <c r="T97">
        <v>17923316</v>
      </c>
      <c r="U97">
        <v>95</v>
      </c>
      <c r="V97">
        <v>190</v>
      </c>
      <c r="W97">
        <v>23416.340535979401</v>
      </c>
      <c r="X97">
        <v>17923316.223963421</v>
      </c>
      <c r="Y97">
        <v>7107.2669999999998</v>
      </c>
      <c r="Z97">
        <f>VLOOKUP($AC97,'2017 Seattle Tracts'!$C$2:$Z$399,24,FALSE)</f>
        <v>3157576.7659999998</v>
      </c>
      <c r="AA97">
        <f t="shared" si="3"/>
        <v>2.2508611909389758E-3</v>
      </c>
      <c r="AB97" t="s">
        <v>195</v>
      </c>
      <c r="AC97" t="str">
        <f t="shared" si="2"/>
        <v>Census Tract 113, King County, Washington</v>
      </c>
      <c r="AD97">
        <f>VLOOKUP($AC97,'2017 Seattle Tracts'!$C$2:$Z$399,AD$1,FALSE)*AA97</f>
        <v>15.877574840883536</v>
      </c>
      <c r="AE97">
        <f>VLOOKUP($AC97,'2017 Seattle Tracts'!$C$2:$Z$399,AE$1,FALSE)*AA97</f>
        <v>12.188413348934555</v>
      </c>
      <c r="AF97">
        <f>VLOOKUP($AC97,'2017 Seattle Tracts'!$C$2:$Z$399,AF$1,FALSE)*AA97</f>
        <v>3.6891614919489815</v>
      </c>
      <c r="AG97">
        <f>VLOOKUP($AC97,'2017 Seattle Tracts'!$C$2:$Z$399,AG$1,FALSE)*AA97</f>
        <v>15.877574840883536</v>
      </c>
      <c r="AH97">
        <f>VLOOKUP($AC97,'2017 Seattle Tracts'!$C$2:$Z$399,AH$1,FALSE)*AA97</f>
        <v>12.188413348934555</v>
      </c>
      <c r="AI97">
        <f>VLOOKUP($AC97,'2017 Seattle Tracts'!$C$2:$Z$399,AI$1,FALSE)*AA97</f>
        <v>3.6891614919489815</v>
      </c>
      <c r="AJ97">
        <f>VLOOKUP($AC97,'2017 Seattle Tracts'!$C$2:$Z$399,AJ$1,FALSE)*AA97</f>
        <v>6.3361742524932172</v>
      </c>
      <c r="AK97">
        <f>VLOOKUP($AC97,'2017 Seattle Tracts'!$C$2:$Z$399,AK$1,FALSE)*AA97</f>
        <v>0.90259533756652932</v>
      </c>
      <c r="AL97">
        <f>VLOOKUP($AC97,'2017 Seattle Tracts'!$C$2:$Z$399,AL$1,FALSE)*AA97</f>
        <v>0.21383181313920271</v>
      </c>
      <c r="AM97">
        <f>VLOOKUP($AC97,'2017 Seattle Tracts'!$C$2:$Z$399,AM$1,FALSE)*AA97</f>
        <v>0.32187315030427355</v>
      </c>
      <c r="AN97">
        <f>VLOOKUP($AC97,'2017 Seattle Tracts'!$C$2:$Z$399,AN$1,FALSE)*AA97</f>
        <v>0.83732036302929902</v>
      </c>
      <c r="AO97">
        <f>VLOOKUP($AC97,'2017 Seattle Tracts'!$C$2:$Z$399,AO$1,FALSE)*AA97</f>
        <v>6.9776696919108247E-2</v>
      </c>
      <c r="AP97">
        <f>VLOOKUP($AC97,'2017 Seattle Tracts'!$C$2:$Z$399,AP$1,FALSE)*AA97</f>
        <v>9.2285308828498003E-2</v>
      </c>
      <c r="AQ97">
        <f>VLOOKUP($AC97,'2017 Seattle Tracts'!$C$2:$Z$399,AQ$1,FALSE)*AA97</f>
        <v>2.7010334291267708E-2</v>
      </c>
      <c r="AR97">
        <f>VLOOKUP($AC97,'2017 Seattle Tracts'!$C$2:$Z$399,AR$1,FALSE)*AA97</f>
        <v>1.6813933096314149</v>
      </c>
      <c r="AS97">
        <f>VLOOKUP($AC97,'2017 Seattle Tracts'!$C$2:$Z$399,AS$1,FALSE)*AA97</f>
        <v>1.5170804426928697</v>
      </c>
      <c r="AT97">
        <f>VLOOKUP($AC97,'2017 Seattle Tracts'!$C$2:$Z$399,AT$1,FALSE)*AA97</f>
        <v>4.0515501436901566E-2</v>
      </c>
      <c r="AU97">
        <f>VLOOKUP($AC97,'2017 Seattle Tracts'!$C$2:$Z$399,AU$1,FALSE)*AA97</f>
        <v>0</v>
      </c>
      <c r="AV97">
        <f>VLOOKUP($AC97,'2017 Seattle Tracts'!$C$2:$Z$399,AV$1,FALSE)*AA97</f>
        <v>0.12379736550164368</v>
      </c>
      <c r="AW97">
        <f>VLOOKUP($AC97,'2017 Seattle Tracts'!$C$2:$Z$399,AW$1,FALSE)*AA97</f>
        <v>0.44116879342403925</v>
      </c>
      <c r="AX97">
        <f>VLOOKUP($AC97,'2017 Seattle Tracts'!$C$2:$Z$399,AX$1,FALSE)*AA97</f>
        <v>2.8630954348743773</v>
      </c>
      <c r="AY97">
        <f>VLOOKUP($AC97,'2017 Seattle Tracts'!$C$2:$Z$399,AY$1,FALSE)*AA97</f>
        <v>0.40965673675089359</v>
      </c>
      <c r="BB97">
        <f>608660/687029</f>
        <v>0.88593057934963448</v>
      </c>
    </row>
    <row r="98" spans="1:54" x14ac:dyDescent="0.25">
      <c r="A98" t="s">
        <v>2917</v>
      </c>
      <c r="B98" t="s">
        <v>2918</v>
      </c>
      <c r="C98" t="s">
        <v>2990</v>
      </c>
      <c r="D98" t="s">
        <v>2827</v>
      </c>
      <c r="E98" t="s">
        <v>2828</v>
      </c>
      <c r="F98" t="s">
        <v>2829</v>
      </c>
      <c r="G98" t="s">
        <v>2920</v>
      </c>
      <c r="H98" t="s">
        <v>2921</v>
      </c>
      <c r="I98">
        <v>3157573</v>
      </c>
      <c r="J98">
        <v>42220</v>
      </c>
      <c r="K98" t="s">
        <v>2991</v>
      </c>
      <c r="L98" t="s">
        <v>2992</v>
      </c>
      <c r="M98">
        <v>3157577</v>
      </c>
      <c r="N98">
        <v>107</v>
      </c>
      <c r="O98">
        <v>58047.309000000001</v>
      </c>
      <c r="P98" t="s">
        <v>122</v>
      </c>
      <c r="Q98">
        <v>18</v>
      </c>
      <c r="R98">
        <v>12</v>
      </c>
      <c r="S98">
        <v>95</v>
      </c>
      <c r="T98">
        <v>24681990</v>
      </c>
      <c r="U98">
        <v>109</v>
      </c>
      <c r="V98">
        <v>198</v>
      </c>
      <c r="W98">
        <v>58047.307413870847</v>
      </c>
      <c r="X98">
        <v>24681989.600617379</v>
      </c>
      <c r="Y98">
        <v>147.12299999999999</v>
      </c>
      <c r="Z98">
        <f>VLOOKUP($AC98,'2017 Seattle Tracts'!$C$2:$Z$399,24,FALSE)</f>
        <v>3157576.7659999998</v>
      </c>
      <c r="AA98">
        <f t="shared" si="3"/>
        <v>4.6593641549489408E-5</v>
      </c>
      <c r="AB98" t="s">
        <v>165</v>
      </c>
      <c r="AC98" t="str">
        <f t="shared" si="2"/>
        <v>Census Tract 113, King County, Washington</v>
      </c>
      <c r="AD98">
        <f>VLOOKUP($AC98,'2017 Seattle Tracts'!$C$2:$Z$399,AD$1,FALSE)*AA98</f>
        <v>0.3286715474900983</v>
      </c>
      <c r="AE98">
        <f>VLOOKUP($AC98,'2017 Seattle Tracts'!$C$2:$Z$399,AE$1,FALSE)*AA98</f>
        <v>0.25230456899048515</v>
      </c>
      <c r="AF98">
        <f>VLOOKUP($AC98,'2017 Seattle Tracts'!$C$2:$Z$399,AF$1,FALSE)*AA98</f>
        <v>7.6366978499613145E-2</v>
      </c>
      <c r="AG98">
        <f>VLOOKUP($AC98,'2017 Seattle Tracts'!$C$2:$Z$399,AG$1,FALSE)*AA98</f>
        <v>0.3286715474900983</v>
      </c>
      <c r="AH98">
        <f>VLOOKUP($AC98,'2017 Seattle Tracts'!$C$2:$Z$399,AH$1,FALSE)*AA98</f>
        <v>0.25230456899048515</v>
      </c>
      <c r="AI98">
        <f>VLOOKUP($AC98,'2017 Seattle Tracts'!$C$2:$Z$399,AI$1,FALSE)*AA98</f>
        <v>7.6366978499613145E-2</v>
      </c>
      <c r="AJ98">
        <f>VLOOKUP($AC98,'2017 Seattle Tracts'!$C$2:$Z$399,AJ$1,FALSE)*AA98</f>
        <v>0.13116110096181269</v>
      </c>
      <c r="AK98">
        <f>VLOOKUP($AC98,'2017 Seattle Tracts'!$C$2:$Z$399,AK$1,FALSE)*AA98</f>
        <v>1.8684050261345252E-2</v>
      </c>
      <c r="AL98">
        <f>VLOOKUP($AC98,'2017 Seattle Tracts'!$C$2:$Z$399,AL$1,FALSE)*AA98</f>
        <v>4.426395947201494E-3</v>
      </c>
      <c r="AM98">
        <f>VLOOKUP($AC98,'2017 Seattle Tracts'!$C$2:$Z$399,AM$1,FALSE)*AA98</f>
        <v>6.662890741576985E-3</v>
      </c>
      <c r="AN98">
        <f>VLOOKUP($AC98,'2017 Seattle Tracts'!$C$2:$Z$399,AN$1,FALSE)*AA98</f>
        <v>1.733283465641006E-2</v>
      </c>
      <c r="AO98">
        <f>VLOOKUP($AC98,'2017 Seattle Tracts'!$C$2:$Z$399,AO$1,FALSE)*AA98</f>
        <v>1.4444028880341716E-3</v>
      </c>
      <c r="AP98">
        <f>VLOOKUP($AC98,'2017 Seattle Tracts'!$C$2:$Z$399,AP$1,FALSE)*AA98</f>
        <v>1.9103393035290656E-3</v>
      </c>
      <c r="AQ98">
        <f>VLOOKUP($AC98,'2017 Seattle Tracts'!$C$2:$Z$399,AQ$1,FALSE)*AA98</f>
        <v>5.5912369859387287E-4</v>
      </c>
      <c r="AR98">
        <f>VLOOKUP($AC98,'2017 Seattle Tracts'!$C$2:$Z$399,AR$1,FALSE)*AA98</f>
        <v>3.4805450237468588E-2</v>
      </c>
      <c r="AS98">
        <f>VLOOKUP($AC98,'2017 Seattle Tracts'!$C$2:$Z$399,AS$1,FALSE)*AA98</f>
        <v>3.1404114404355858E-2</v>
      </c>
      <c r="AT98">
        <f>VLOOKUP($AC98,'2017 Seattle Tracts'!$C$2:$Z$399,AT$1,FALSE)*AA98</f>
        <v>8.3868554789080937E-4</v>
      </c>
      <c r="AU98">
        <f>VLOOKUP($AC98,'2017 Seattle Tracts'!$C$2:$Z$399,AU$1,FALSE)*AA98</f>
        <v>0</v>
      </c>
      <c r="AV98">
        <f>VLOOKUP($AC98,'2017 Seattle Tracts'!$C$2:$Z$399,AV$1,FALSE)*AA98</f>
        <v>2.5626502852219173E-3</v>
      </c>
      <c r="AW98">
        <f>VLOOKUP($AC98,'2017 Seattle Tracts'!$C$2:$Z$399,AW$1,FALSE)*AA98</f>
        <v>9.1323537436999239E-3</v>
      </c>
      <c r="AX98">
        <f>VLOOKUP($AC98,'2017 Seattle Tracts'!$C$2:$Z$399,AX$1,FALSE)*AA98</f>
        <v>5.9267112050950525E-2</v>
      </c>
      <c r="AY98">
        <f>VLOOKUP($AC98,'2017 Seattle Tracts'!$C$2:$Z$399,AY$1,FALSE)*AA98</f>
        <v>8.4800427620070722E-3</v>
      </c>
    </row>
    <row r="99" spans="1:54" x14ac:dyDescent="0.25">
      <c r="A99" t="s">
        <v>2917</v>
      </c>
      <c r="B99" t="s">
        <v>2918</v>
      </c>
      <c r="C99" t="s">
        <v>2993</v>
      </c>
      <c r="D99" t="s">
        <v>2797</v>
      </c>
      <c r="E99" t="s">
        <v>2798</v>
      </c>
      <c r="F99" t="s">
        <v>2799</v>
      </c>
      <c r="G99" t="s">
        <v>2920</v>
      </c>
      <c r="H99" t="s">
        <v>2921</v>
      </c>
      <c r="I99">
        <v>1721296</v>
      </c>
      <c r="J99">
        <v>1399504</v>
      </c>
      <c r="K99" t="s">
        <v>2994</v>
      </c>
      <c r="L99" t="s">
        <v>2995</v>
      </c>
      <c r="M99">
        <v>1706805</v>
      </c>
      <c r="N99">
        <v>73</v>
      </c>
      <c r="O99">
        <v>28162.436000000002</v>
      </c>
      <c r="P99" t="s">
        <v>170</v>
      </c>
      <c r="Q99">
        <v>19</v>
      </c>
      <c r="R99">
        <v>9</v>
      </c>
      <c r="S99">
        <v>95</v>
      </c>
      <c r="T99">
        <v>26197314</v>
      </c>
      <c r="U99">
        <v>75</v>
      </c>
      <c r="V99">
        <v>193</v>
      </c>
      <c r="W99">
        <v>28162.435138616551</v>
      </c>
      <c r="X99">
        <v>26197314.057339299</v>
      </c>
      <c r="Y99">
        <v>995552.84299999999</v>
      </c>
      <c r="Z99">
        <f>VLOOKUP($AC99,'2017 Seattle Tracts'!$C$2:$Z$399,24,FALSE)</f>
        <v>1706805.1229999999</v>
      </c>
      <c r="AA99">
        <f t="shared" si="3"/>
        <v>0.58328442397111324</v>
      </c>
      <c r="AB99" t="s">
        <v>172</v>
      </c>
      <c r="AC99" t="str">
        <f t="shared" si="2"/>
        <v>Census Tract 121, King County, Washington</v>
      </c>
      <c r="AD99">
        <f>VLOOKUP($AC99,'2017 Seattle Tracts'!$C$2:$Z$399,AD$1,FALSE)*AA99</f>
        <v>1553.2864210350745</v>
      </c>
      <c r="AE99">
        <f>VLOOKUP($AC99,'2017 Seattle Tracts'!$C$2:$Z$399,AE$1,FALSE)*AA99</f>
        <v>1365.4688365163761</v>
      </c>
      <c r="AF99">
        <f>VLOOKUP($AC99,'2017 Seattle Tracts'!$C$2:$Z$399,AF$1,FALSE)*AA99</f>
        <v>187.81758451869845</v>
      </c>
      <c r="AG99">
        <f>VLOOKUP($AC99,'2017 Seattle Tracts'!$C$2:$Z$399,AG$1,FALSE)*AA99</f>
        <v>1553.2864210350745</v>
      </c>
      <c r="AH99">
        <f>VLOOKUP($AC99,'2017 Seattle Tracts'!$C$2:$Z$399,AH$1,FALSE)*AA99</f>
        <v>1365.4688365163761</v>
      </c>
      <c r="AI99">
        <f>VLOOKUP($AC99,'2017 Seattle Tracts'!$C$2:$Z$399,AI$1,FALSE)*AA99</f>
        <v>187.81758451869845</v>
      </c>
      <c r="AJ99">
        <f>VLOOKUP($AC99,'2017 Seattle Tracts'!$C$2:$Z$399,AJ$1,FALSE)*AA99</f>
        <v>1136.2380578957286</v>
      </c>
      <c r="AK99">
        <f>VLOOKUP($AC99,'2017 Seattle Tracts'!$C$2:$Z$399,AK$1,FALSE)*AA99</f>
        <v>47.829322765631289</v>
      </c>
      <c r="AL99">
        <f>VLOOKUP($AC99,'2017 Seattle Tracts'!$C$2:$Z$399,AL$1,FALSE)*AA99</f>
        <v>47.246038341660174</v>
      </c>
      <c r="AM99">
        <f>VLOOKUP($AC99,'2017 Seattle Tracts'!$C$2:$Z$399,AM$1,FALSE)*AA99</f>
        <v>0</v>
      </c>
      <c r="AN99">
        <f>VLOOKUP($AC99,'2017 Seattle Tracts'!$C$2:$Z$399,AN$1,FALSE)*AA99</f>
        <v>27.997652350613436</v>
      </c>
      <c r="AO99">
        <f>VLOOKUP($AC99,'2017 Seattle Tracts'!$C$2:$Z$399,AO$1,FALSE)*AA99</f>
        <v>29.164221198555662</v>
      </c>
      <c r="AP99">
        <f>VLOOKUP($AC99,'2017 Seattle Tracts'!$C$2:$Z$399,AP$1,FALSE)*AA99</f>
        <v>15.165395023248944</v>
      </c>
      <c r="AQ99">
        <f>VLOOKUP($AC99,'2017 Seattle Tracts'!$C$2:$Z$399,AQ$1,FALSE)*AA99</f>
        <v>0</v>
      </c>
      <c r="AR99">
        <f>VLOOKUP($AC99,'2017 Seattle Tracts'!$C$2:$Z$399,AR$1,FALSE)*AA99</f>
        <v>18.081817143104509</v>
      </c>
      <c r="AS99">
        <f>VLOOKUP($AC99,'2017 Seattle Tracts'!$C$2:$Z$399,AS$1,FALSE)*AA99</f>
        <v>21.581523686931192</v>
      </c>
      <c r="AT99">
        <f>VLOOKUP($AC99,'2017 Seattle Tracts'!$C$2:$Z$399,AT$1,FALSE)*AA99</f>
        <v>0</v>
      </c>
      <c r="AU99">
        <f>VLOOKUP($AC99,'2017 Seattle Tracts'!$C$2:$Z$399,AU$1,FALSE)*AA99</f>
        <v>68.244277604620251</v>
      </c>
      <c r="AV99">
        <f>VLOOKUP($AC99,'2017 Seattle Tracts'!$C$2:$Z$399,AV$1,FALSE)*AA99</f>
        <v>38.496771982093478</v>
      </c>
      <c r="AW99">
        <f>VLOOKUP($AC99,'2017 Seattle Tracts'!$C$2:$Z$399,AW$1,FALSE)*AA99</f>
        <v>20.998239262960077</v>
      </c>
      <c r="AX99">
        <f>VLOOKUP($AC99,'2017 Seattle Tracts'!$C$2:$Z$399,AX$1,FALSE)*AA99</f>
        <v>82.243103779926969</v>
      </c>
      <c r="AY99">
        <f>VLOOKUP($AC99,'2017 Seattle Tracts'!$C$2:$Z$399,AY$1,FALSE)*AA99</f>
        <v>0</v>
      </c>
    </row>
    <row r="100" spans="1:54" x14ac:dyDescent="0.25">
      <c r="A100" t="s">
        <v>2917</v>
      </c>
      <c r="B100" t="s">
        <v>2918</v>
      </c>
      <c r="C100" t="s">
        <v>2993</v>
      </c>
      <c r="D100" t="s">
        <v>2797</v>
      </c>
      <c r="E100" t="s">
        <v>2798</v>
      </c>
      <c r="F100" t="s">
        <v>2799</v>
      </c>
      <c r="G100" t="s">
        <v>2920</v>
      </c>
      <c r="H100" t="s">
        <v>2921</v>
      </c>
      <c r="I100">
        <v>1721296</v>
      </c>
      <c r="J100">
        <v>1399504</v>
      </c>
      <c r="K100" t="s">
        <v>2994</v>
      </c>
      <c r="L100" t="s">
        <v>2995</v>
      </c>
      <c r="M100">
        <v>1706805</v>
      </c>
      <c r="N100">
        <v>78</v>
      </c>
      <c r="O100">
        <v>42276.531000000003</v>
      </c>
      <c r="P100" t="s">
        <v>170</v>
      </c>
      <c r="Q100">
        <v>19</v>
      </c>
      <c r="R100">
        <v>9</v>
      </c>
      <c r="S100">
        <v>23</v>
      </c>
      <c r="T100">
        <v>33881864</v>
      </c>
      <c r="U100">
        <v>80</v>
      </c>
      <c r="V100">
        <v>189</v>
      </c>
      <c r="W100">
        <v>42276.53178777737</v>
      </c>
      <c r="X100">
        <v>33881863.870656453</v>
      </c>
      <c r="Y100">
        <v>705925.90500000003</v>
      </c>
      <c r="Z100">
        <f>VLOOKUP($AC100,'2017 Seattle Tracts'!$C$2:$Z$399,24,FALSE)</f>
        <v>1706805.1229999999</v>
      </c>
      <c r="AA100">
        <f t="shared" si="3"/>
        <v>0.41359490634713786</v>
      </c>
      <c r="AB100" t="s">
        <v>177</v>
      </c>
      <c r="AC100" t="str">
        <f t="shared" si="2"/>
        <v>Census Tract 121, King County, Washington</v>
      </c>
      <c r="AD100">
        <f>VLOOKUP($AC100,'2017 Seattle Tracts'!$C$2:$Z$399,AD$1,FALSE)*AA100</f>
        <v>1101.4032356024281</v>
      </c>
      <c r="AE100">
        <f>VLOOKUP($AC100,'2017 Seattle Tracts'!$C$2:$Z$399,AE$1,FALSE)*AA100</f>
        <v>968.22567575864969</v>
      </c>
      <c r="AF100">
        <f>VLOOKUP($AC100,'2017 Seattle Tracts'!$C$2:$Z$399,AF$1,FALSE)*AA100</f>
        <v>133.1775598437784</v>
      </c>
      <c r="AG100">
        <f>VLOOKUP($AC100,'2017 Seattle Tracts'!$C$2:$Z$399,AG$1,FALSE)*AA100</f>
        <v>1101.4032356024281</v>
      </c>
      <c r="AH100">
        <f>VLOOKUP($AC100,'2017 Seattle Tracts'!$C$2:$Z$399,AH$1,FALSE)*AA100</f>
        <v>968.22567575864969</v>
      </c>
      <c r="AI100">
        <f>VLOOKUP($AC100,'2017 Seattle Tracts'!$C$2:$Z$399,AI$1,FALSE)*AA100</f>
        <v>133.1775598437784</v>
      </c>
      <c r="AJ100">
        <f>VLOOKUP($AC100,'2017 Seattle Tracts'!$C$2:$Z$399,AJ$1,FALSE)*AA100</f>
        <v>805.68287756422455</v>
      </c>
      <c r="AK100">
        <f>VLOOKUP($AC100,'2017 Seattle Tracts'!$C$2:$Z$399,AK$1,FALSE)*AA100</f>
        <v>33.914782320465306</v>
      </c>
      <c r="AL100">
        <f>VLOOKUP($AC100,'2017 Seattle Tracts'!$C$2:$Z$399,AL$1,FALSE)*AA100</f>
        <v>33.501187414118164</v>
      </c>
      <c r="AM100">
        <f>VLOOKUP($AC100,'2017 Seattle Tracts'!$C$2:$Z$399,AM$1,FALSE)*AA100</f>
        <v>0</v>
      </c>
      <c r="AN100">
        <f>VLOOKUP($AC100,'2017 Seattle Tracts'!$C$2:$Z$399,AN$1,FALSE)*AA100</f>
        <v>19.852555504662618</v>
      </c>
      <c r="AO100">
        <f>VLOOKUP($AC100,'2017 Seattle Tracts'!$C$2:$Z$399,AO$1,FALSE)*AA100</f>
        <v>20.679745317356893</v>
      </c>
      <c r="AP100">
        <f>VLOOKUP($AC100,'2017 Seattle Tracts'!$C$2:$Z$399,AP$1,FALSE)*AA100</f>
        <v>10.753467565025584</v>
      </c>
      <c r="AQ100">
        <f>VLOOKUP($AC100,'2017 Seattle Tracts'!$C$2:$Z$399,AQ$1,FALSE)*AA100</f>
        <v>0</v>
      </c>
      <c r="AR100">
        <f>VLOOKUP($AC100,'2017 Seattle Tracts'!$C$2:$Z$399,AR$1,FALSE)*AA100</f>
        <v>12.821442096761274</v>
      </c>
      <c r="AS100">
        <f>VLOOKUP($AC100,'2017 Seattle Tracts'!$C$2:$Z$399,AS$1,FALSE)*AA100</f>
        <v>15.303011534844101</v>
      </c>
      <c r="AT100">
        <f>VLOOKUP($AC100,'2017 Seattle Tracts'!$C$2:$Z$399,AT$1,FALSE)*AA100</f>
        <v>0</v>
      </c>
      <c r="AU100">
        <f>VLOOKUP($AC100,'2017 Seattle Tracts'!$C$2:$Z$399,AU$1,FALSE)*AA100</f>
        <v>48.390604042615131</v>
      </c>
      <c r="AV100">
        <f>VLOOKUP($AC100,'2017 Seattle Tracts'!$C$2:$Z$399,AV$1,FALSE)*AA100</f>
        <v>27.297263818911098</v>
      </c>
      <c r="AW100">
        <f>VLOOKUP($AC100,'2017 Seattle Tracts'!$C$2:$Z$399,AW$1,FALSE)*AA100</f>
        <v>14.889416628496964</v>
      </c>
      <c r="AX100">
        <f>VLOOKUP($AC100,'2017 Seattle Tracts'!$C$2:$Z$399,AX$1,FALSE)*AA100</f>
        <v>58.31688179494644</v>
      </c>
      <c r="AY100">
        <f>VLOOKUP($AC100,'2017 Seattle Tracts'!$C$2:$Z$399,AY$1,FALSE)*AA100</f>
        <v>0</v>
      </c>
    </row>
    <row r="101" spans="1:54" x14ac:dyDescent="0.25">
      <c r="A101" t="s">
        <v>2917</v>
      </c>
      <c r="B101" t="s">
        <v>2918</v>
      </c>
      <c r="C101" t="s">
        <v>2996</v>
      </c>
      <c r="D101" t="s">
        <v>2587</v>
      </c>
      <c r="E101" t="s">
        <v>2588</v>
      </c>
      <c r="F101" t="s">
        <v>2589</v>
      </c>
      <c r="G101" t="s">
        <v>2920</v>
      </c>
      <c r="H101" t="s">
        <v>2921</v>
      </c>
      <c r="I101">
        <v>259384</v>
      </c>
      <c r="J101">
        <v>0</v>
      </c>
      <c r="K101" t="s">
        <v>2997</v>
      </c>
      <c r="L101" t="s">
        <v>2998</v>
      </c>
      <c r="M101">
        <v>259384</v>
      </c>
      <c r="N101">
        <v>100</v>
      </c>
      <c r="O101">
        <v>26851.947</v>
      </c>
      <c r="P101" t="s">
        <v>201</v>
      </c>
      <c r="Q101">
        <v>11</v>
      </c>
      <c r="R101">
        <v>3</v>
      </c>
      <c r="S101">
        <v>0</v>
      </c>
      <c r="T101">
        <v>30239240</v>
      </c>
      <c r="U101">
        <v>102</v>
      </c>
      <c r="V101">
        <v>151</v>
      </c>
      <c r="W101">
        <v>26851.9474418256</v>
      </c>
      <c r="X101">
        <v>30239240.52129779</v>
      </c>
      <c r="Y101">
        <v>259384.057</v>
      </c>
      <c r="Z101">
        <f>VLOOKUP($AC101,'2017 Seattle Tracts'!$C$2:$Z$399,24,FALSE)</f>
        <v>259384.057</v>
      </c>
      <c r="AA101">
        <f t="shared" si="3"/>
        <v>1</v>
      </c>
      <c r="AB101" t="s">
        <v>204</v>
      </c>
      <c r="AC101" t="str">
        <f t="shared" si="2"/>
        <v>Census Tract 74.01, King County, Washington</v>
      </c>
      <c r="AD101">
        <f>VLOOKUP($AC101,'2017 Seattle Tracts'!$C$2:$Z$399,AD$1,FALSE)*AA101</f>
        <v>5192</v>
      </c>
      <c r="AE101">
        <f>VLOOKUP($AC101,'2017 Seattle Tracts'!$C$2:$Z$399,AE$1,FALSE)*AA101</f>
        <v>4250</v>
      </c>
      <c r="AF101">
        <f>VLOOKUP($AC101,'2017 Seattle Tracts'!$C$2:$Z$399,AF$1,FALSE)*AA101</f>
        <v>942</v>
      </c>
      <c r="AG101">
        <f>VLOOKUP($AC101,'2017 Seattle Tracts'!$C$2:$Z$399,AG$1,FALSE)*AA101</f>
        <v>5192</v>
      </c>
      <c r="AH101">
        <f>VLOOKUP($AC101,'2017 Seattle Tracts'!$C$2:$Z$399,AH$1,FALSE)*AA101</f>
        <v>4250</v>
      </c>
      <c r="AI101">
        <f>VLOOKUP($AC101,'2017 Seattle Tracts'!$C$2:$Z$399,AI$1,FALSE)*AA101</f>
        <v>942</v>
      </c>
      <c r="AJ101">
        <f>VLOOKUP($AC101,'2017 Seattle Tracts'!$C$2:$Z$399,AJ$1,FALSE)*AA101</f>
        <v>3245</v>
      </c>
      <c r="AK101">
        <f>VLOOKUP($AC101,'2017 Seattle Tracts'!$C$2:$Z$399,AK$1,FALSE)*AA101</f>
        <v>382</v>
      </c>
      <c r="AL101">
        <f>VLOOKUP($AC101,'2017 Seattle Tracts'!$C$2:$Z$399,AL$1,FALSE)*AA101</f>
        <v>275</v>
      </c>
      <c r="AM101">
        <f>VLOOKUP($AC101,'2017 Seattle Tracts'!$C$2:$Z$399,AM$1,FALSE)*AA101</f>
        <v>67</v>
      </c>
      <c r="AN101">
        <f>VLOOKUP($AC101,'2017 Seattle Tracts'!$C$2:$Z$399,AN$1,FALSE)*AA101</f>
        <v>74</v>
      </c>
      <c r="AO101">
        <f>VLOOKUP($AC101,'2017 Seattle Tracts'!$C$2:$Z$399,AO$1,FALSE)*AA101</f>
        <v>21</v>
      </c>
      <c r="AP101">
        <f>VLOOKUP($AC101,'2017 Seattle Tracts'!$C$2:$Z$399,AP$1,FALSE)*AA101</f>
        <v>0</v>
      </c>
      <c r="AQ101">
        <f>VLOOKUP($AC101,'2017 Seattle Tracts'!$C$2:$Z$399,AQ$1,FALSE)*AA101</f>
        <v>0</v>
      </c>
      <c r="AR101">
        <f>VLOOKUP($AC101,'2017 Seattle Tracts'!$C$2:$Z$399,AR$1,FALSE)*AA101</f>
        <v>302</v>
      </c>
      <c r="AS101">
        <f>VLOOKUP($AC101,'2017 Seattle Tracts'!$C$2:$Z$399,AS$1,FALSE)*AA101</f>
        <v>440</v>
      </c>
      <c r="AT101">
        <f>VLOOKUP($AC101,'2017 Seattle Tracts'!$C$2:$Z$399,AT$1,FALSE)*AA101</f>
        <v>0</v>
      </c>
      <c r="AU101">
        <f>VLOOKUP($AC101,'2017 Seattle Tracts'!$C$2:$Z$399,AU$1,FALSE)*AA101</f>
        <v>0</v>
      </c>
      <c r="AV101">
        <f>VLOOKUP($AC101,'2017 Seattle Tracts'!$C$2:$Z$399,AV$1,FALSE)*AA101</f>
        <v>17</v>
      </c>
      <c r="AW101">
        <f>VLOOKUP($AC101,'2017 Seattle Tracts'!$C$2:$Z$399,AW$1,FALSE)*AA101</f>
        <v>0</v>
      </c>
      <c r="AX101">
        <f>VLOOKUP($AC101,'2017 Seattle Tracts'!$C$2:$Z$399,AX$1,FALSE)*AA101</f>
        <v>337</v>
      </c>
      <c r="AY101">
        <f>VLOOKUP($AC101,'2017 Seattle Tracts'!$C$2:$Z$399,AY$1,FALSE)*AA101</f>
        <v>32</v>
      </c>
    </row>
    <row r="102" spans="1:54" x14ac:dyDescent="0.25">
      <c r="A102" t="s">
        <v>2917</v>
      </c>
      <c r="B102" t="s">
        <v>2918</v>
      </c>
      <c r="C102" t="s">
        <v>2999</v>
      </c>
      <c r="D102" t="s">
        <v>2818</v>
      </c>
      <c r="E102" t="s">
        <v>2819</v>
      </c>
      <c r="F102" t="s">
        <v>2820</v>
      </c>
      <c r="G102" t="s">
        <v>2920</v>
      </c>
      <c r="H102" t="s">
        <v>2921</v>
      </c>
      <c r="I102">
        <v>1538373</v>
      </c>
      <c r="J102">
        <v>0</v>
      </c>
      <c r="K102" t="s">
        <v>3000</v>
      </c>
      <c r="L102" t="s">
        <v>3001</v>
      </c>
      <c r="M102">
        <v>1538373</v>
      </c>
      <c r="N102">
        <v>72</v>
      </c>
      <c r="O102">
        <v>23801.266</v>
      </c>
      <c r="P102" t="s">
        <v>170</v>
      </c>
      <c r="Q102">
        <v>19</v>
      </c>
      <c r="R102">
        <v>9</v>
      </c>
      <c r="S102">
        <v>81</v>
      </c>
      <c r="T102">
        <v>22821708</v>
      </c>
      <c r="U102">
        <v>74</v>
      </c>
      <c r="V102">
        <v>184</v>
      </c>
      <c r="W102">
        <v>23801.264700512202</v>
      </c>
      <c r="X102">
        <v>22821707.468856081</v>
      </c>
      <c r="Y102">
        <v>378645.93699999998</v>
      </c>
      <c r="Z102">
        <f>VLOOKUP($AC102,'2017 Seattle Tracts'!$C$2:$Z$399,24,FALSE)</f>
        <v>1538373.152</v>
      </c>
      <c r="AA102">
        <f t="shared" si="3"/>
        <v>0.24613399974364605</v>
      </c>
      <c r="AB102" t="s">
        <v>171</v>
      </c>
      <c r="AC102" t="str">
        <f t="shared" si="2"/>
        <v>Census Tract 115, King County, Washington</v>
      </c>
      <c r="AD102">
        <f>VLOOKUP($AC102,'2017 Seattle Tracts'!$C$2:$Z$399,AD$1,FALSE)*AA102</f>
        <v>1088.1584128666591</v>
      </c>
      <c r="AE102">
        <f>VLOOKUP($AC102,'2017 Seattle Tracts'!$C$2:$Z$399,AE$1,FALSE)*AA102</f>
        <v>961.64553699842509</v>
      </c>
      <c r="AF102">
        <f>VLOOKUP($AC102,'2017 Seattle Tracts'!$C$2:$Z$399,AF$1,FALSE)*AA102</f>
        <v>126.51287586823408</v>
      </c>
      <c r="AG102">
        <f>VLOOKUP($AC102,'2017 Seattle Tracts'!$C$2:$Z$399,AG$1,FALSE)*AA102</f>
        <v>1088.1584128666591</v>
      </c>
      <c r="AH102">
        <f>VLOOKUP($AC102,'2017 Seattle Tracts'!$C$2:$Z$399,AH$1,FALSE)*AA102</f>
        <v>961.64553699842509</v>
      </c>
      <c r="AI102">
        <f>VLOOKUP($AC102,'2017 Seattle Tracts'!$C$2:$Z$399,AI$1,FALSE)*AA102</f>
        <v>126.51287586823408</v>
      </c>
      <c r="AJ102">
        <f>VLOOKUP($AC102,'2017 Seattle Tracts'!$C$2:$Z$399,AJ$1,FALSE)*AA102</f>
        <v>784.42905718299994</v>
      </c>
      <c r="AK102">
        <f>VLOOKUP($AC102,'2017 Seattle Tracts'!$C$2:$Z$399,AK$1,FALSE)*AA102</f>
        <v>57.34922194026953</v>
      </c>
      <c r="AL102">
        <f>VLOOKUP($AC102,'2017 Seattle Tracts'!$C$2:$Z$399,AL$1,FALSE)*AA102</f>
        <v>6.8917519928220896</v>
      </c>
      <c r="AM102">
        <f>VLOOKUP($AC102,'2017 Seattle Tracts'!$C$2:$Z$399,AM$1,FALSE)*AA102</f>
        <v>7.6301539920530272</v>
      </c>
      <c r="AN102">
        <f>VLOOKUP($AC102,'2017 Seattle Tracts'!$C$2:$Z$399,AN$1,FALSE)*AA102</f>
        <v>52.180407945652966</v>
      </c>
      <c r="AO102">
        <f>VLOOKUP($AC102,'2017 Seattle Tracts'!$C$2:$Z$399,AO$1,FALSE)*AA102</f>
        <v>0</v>
      </c>
      <c r="AP102">
        <f>VLOOKUP($AC102,'2017 Seattle Tracts'!$C$2:$Z$399,AP$1,FALSE)*AA102</f>
        <v>0</v>
      </c>
      <c r="AQ102">
        <f>VLOOKUP($AC102,'2017 Seattle Tracts'!$C$2:$Z$399,AQ$1,FALSE)*AA102</f>
        <v>0</v>
      </c>
      <c r="AR102">
        <f>VLOOKUP($AC102,'2017 Seattle Tracts'!$C$2:$Z$399,AR$1,FALSE)*AA102</f>
        <v>61.533499935911514</v>
      </c>
      <c r="AS102">
        <f>VLOOKUP($AC102,'2017 Seattle Tracts'!$C$2:$Z$399,AS$1,FALSE)*AA102</f>
        <v>37.658501960777848</v>
      </c>
      <c r="AT102">
        <f>VLOOKUP($AC102,'2017 Seattle Tracts'!$C$2:$Z$399,AT$1,FALSE)*AA102</f>
        <v>0</v>
      </c>
      <c r="AU102">
        <f>VLOOKUP($AC102,'2017 Seattle Tracts'!$C$2:$Z$399,AU$1,FALSE)*AA102</f>
        <v>0</v>
      </c>
      <c r="AV102">
        <f>VLOOKUP($AC102,'2017 Seattle Tracts'!$C$2:$Z$399,AV$1,FALSE)*AA102</f>
        <v>5.661081994103859</v>
      </c>
      <c r="AW102">
        <f>VLOOKUP($AC102,'2017 Seattle Tracts'!$C$2:$Z$399,AW$1,FALSE)*AA102</f>
        <v>18.213915981029807</v>
      </c>
      <c r="AX102">
        <f>VLOOKUP($AC102,'2017 Seattle Tracts'!$C$2:$Z$399,AX$1,FALSE)*AA102</f>
        <v>50.949737946934732</v>
      </c>
      <c r="AY102">
        <f>VLOOKUP($AC102,'2017 Seattle Tracts'!$C$2:$Z$399,AY$1,FALSE)*AA102</f>
        <v>5.661081994103859</v>
      </c>
    </row>
    <row r="103" spans="1:54" x14ac:dyDescent="0.25">
      <c r="A103" t="s">
        <v>2917</v>
      </c>
      <c r="B103" t="s">
        <v>2918</v>
      </c>
      <c r="C103" t="s">
        <v>2999</v>
      </c>
      <c r="D103" t="s">
        <v>2818</v>
      </c>
      <c r="E103" t="s">
        <v>2819</v>
      </c>
      <c r="F103" t="s">
        <v>2820</v>
      </c>
      <c r="G103" t="s">
        <v>2920</v>
      </c>
      <c r="H103" t="s">
        <v>2921</v>
      </c>
      <c r="I103">
        <v>1538373</v>
      </c>
      <c r="J103">
        <v>0</v>
      </c>
      <c r="K103" t="s">
        <v>3000</v>
      </c>
      <c r="L103" t="s">
        <v>3001</v>
      </c>
      <c r="M103">
        <v>1538373</v>
      </c>
      <c r="N103">
        <v>78</v>
      </c>
      <c r="O103">
        <v>42276.531000000003</v>
      </c>
      <c r="P103" t="s">
        <v>170</v>
      </c>
      <c r="Q103">
        <v>19</v>
      </c>
      <c r="R103">
        <v>9</v>
      </c>
      <c r="S103">
        <v>23</v>
      </c>
      <c r="T103">
        <v>33881864</v>
      </c>
      <c r="U103">
        <v>80</v>
      </c>
      <c r="V103">
        <v>189</v>
      </c>
      <c r="W103">
        <v>42276.53178777737</v>
      </c>
      <c r="X103">
        <v>33881863.870656453</v>
      </c>
      <c r="Y103">
        <v>211904.864</v>
      </c>
      <c r="Z103">
        <f>VLOOKUP($AC103,'2017 Seattle Tracts'!$C$2:$Z$399,24,FALSE)</f>
        <v>1538373.152</v>
      </c>
      <c r="AA103">
        <f t="shared" si="3"/>
        <v>0.13774607527731997</v>
      </c>
      <c r="AB103" t="s">
        <v>177</v>
      </c>
      <c r="AC103" t="str">
        <f t="shared" si="2"/>
        <v>Census Tract 115, King County, Washington</v>
      </c>
      <c r="AD103">
        <f>VLOOKUP($AC103,'2017 Seattle Tracts'!$C$2:$Z$399,AD$1,FALSE)*AA103</f>
        <v>608.97539880103159</v>
      </c>
      <c r="AE103">
        <f>VLOOKUP($AC103,'2017 Seattle Tracts'!$C$2:$Z$399,AE$1,FALSE)*AA103</f>
        <v>538.17391610848915</v>
      </c>
      <c r="AF103">
        <f>VLOOKUP($AC103,'2017 Seattle Tracts'!$C$2:$Z$399,AF$1,FALSE)*AA103</f>
        <v>70.801482692542464</v>
      </c>
      <c r="AG103">
        <f>VLOOKUP($AC103,'2017 Seattle Tracts'!$C$2:$Z$399,AG$1,FALSE)*AA103</f>
        <v>608.97539880103159</v>
      </c>
      <c r="AH103">
        <f>VLOOKUP($AC103,'2017 Seattle Tracts'!$C$2:$Z$399,AH$1,FALSE)*AA103</f>
        <v>538.17391610848915</v>
      </c>
      <c r="AI103">
        <f>VLOOKUP($AC103,'2017 Seattle Tracts'!$C$2:$Z$399,AI$1,FALSE)*AA103</f>
        <v>70.801482692542464</v>
      </c>
      <c r="AJ103">
        <f>VLOOKUP($AC103,'2017 Seattle Tracts'!$C$2:$Z$399,AJ$1,FALSE)*AA103</f>
        <v>438.99674190881876</v>
      </c>
      <c r="AK103">
        <f>VLOOKUP($AC103,'2017 Seattle Tracts'!$C$2:$Z$399,AK$1,FALSE)*AA103</f>
        <v>32.094835539615552</v>
      </c>
      <c r="AL103">
        <f>VLOOKUP($AC103,'2017 Seattle Tracts'!$C$2:$Z$399,AL$1,FALSE)*AA103</f>
        <v>3.8568901077649591</v>
      </c>
      <c r="AM103">
        <f>VLOOKUP($AC103,'2017 Seattle Tracts'!$C$2:$Z$399,AM$1,FALSE)*AA103</f>
        <v>4.2701283335969187</v>
      </c>
      <c r="AN103">
        <f>VLOOKUP($AC103,'2017 Seattle Tracts'!$C$2:$Z$399,AN$1,FALSE)*AA103</f>
        <v>29.202167958791833</v>
      </c>
      <c r="AO103">
        <f>VLOOKUP($AC103,'2017 Seattle Tracts'!$C$2:$Z$399,AO$1,FALSE)*AA103</f>
        <v>0</v>
      </c>
      <c r="AP103">
        <f>VLOOKUP($AC103,'2017 Seattle Tracts'!$C$2:$Z$399,AP$1,FALSE)*AA103</f>
        <v>0</v>
      </c>
      <c r="AQ103">
        <f>VLOOKUP($AC103,'2017 Seattle Tracts'!$C$2:$Z$399,AQ$1,FALSE)*AA103</f>
        <v>0</v>
      </c>
      <c r="AR103">
        <f>VLOOKUP($AC103,'2017 Seattle Tracts'!$C$2:$Z$399,AR$1,FALSE)*AA103</f>
        <v>34.43651881932999</v>
      </c>
      <c r="AS103">
        <f>VLOOKUP($AC103,'2017 Seattle Tracts'!$C$2:$Z$399,AS$1,FALSE)*AA103</f>
        <v>21.075149517429956</v>
      </c>
      <c r="AT103">
        <f>VLOOKUP($AC103,'2017 Seattle Tracts'!$C$2:$Z$399,AT$1,FALSE)*AA103</f>
        <v>0</v>
      </c>
      <c r="AU103">
        <f>VLOOKUP($AC103,'2017 Seattle Tracts'!$C$2:$Z$399,AU$1,FALSE)*AA103</f>
        <v>0</v>
      </c>
      <c r="AV103">
        <f>VLOOKUP($AC103,'2017 Seattle Tracts'!$C$2:$Z$399,AV$1,FALSE)*AA103</f>
        <v>3.1681597313783594</v>
      </c>
      <c r="AW103">
        <f>VLOOKUP($AC103,'2017 Seattle Tracts'!$C$2:$Z$399,AW$1,FALSE)*AA103</f>
        <v>10.193209570521677</v>
      </c>
      <c r="AX103">
        <f>VLOOKUP($AC103,'2017 Seattle Tracts'!$C$2:$Z$399,AX$1,FALSE)*AA103</f>
        <v>28.513437582405235</v>
      </c>
      <c r="AY103">
        <f>VLOOKUP($AC103,'2017 Seattle Tracts'!$C$2:$Z$399,AY$1,FALSE)*AA103</f>
        <v>3.1681597313783594</v>
      </c>
    </row>
    <row r="104" spans="1:54" x14ac:dyDescent="0.25">
      <c r="A104" t="s">
        <v>2917</v>
      </c>
      <c r="B104" t="s">
        <v>2918</v>
      </c>
      <c r="C104" t="s">
        <v>2999</v>
      </c>
      <c r="D104" t="s">
        <v>2818</v>
      </c>
      <c r="E104" t="s">
        <v>2819</v>
      </c>
      <c r="F104" t="s">
        <v>2820</v>
      </c>
      <c r="G104" t="s">
        <v>2920</v>
      </c>
      <c r="H104" t="s">
        <v>2921</v>
      </c>
      <c r="I104">
        <v>1538373</v>
      </c>
      <c r="J104">
        <v>0</v>
      </c>
      <c r="K104" t="s">
        <v>3000</v>
      </c>
      <c r="L104" t="s">
        <v>3001</v>
      </c>
      <c r="M104">
        <v>1538373</v>
      </c>
      <c r="N104">
        <v>92</v>
      </c>
      <c r="O104">
        <v>23180.396000000001</v>
      </c>
      <c r="P104" t="s">
        <v>191</v>
      </c>
      <c r="Q104">
        <v>20</v>
      </c>
      <c r="R104">
        <v>10</v>
      </c>
      <c r="S104">
        <v>95</v>
      </c>
      <c r="T104">
        <v>23343008</v>
      </c>
      <c r="U104">
        <v>94</v>
      </c>
      <c r="V104">
        <v>182</v>
      </c>
      <c r="W104">
        <v>23180.396359671431</v>
      </c>
      <c r="X104">
        <v>23343008.336782061</v>
      </c>
      <c r="Y104">
        <v>82415.904999999999</v>
      </c>
      <c r="Z104">
        <f>VLOOKUP($AC104,'2017 Seattle Tracts'!$C$2:$Z$399,24,FALSE)</f>
        <v>1538373.152</v>
      </c>
      <c r="AA104">
        <f t="shared" si="3"/>
        <v>5.3573416107043449E-2</v>
      </c>
      <c r="AB104" t="s">
        <v>194</v>
      </c>
      <c r="AC104" t="str">
        <f t="shared" si="2"/>
        <v>Census Tract 115, King County, Washington</v>
      </c>
      <c r="AD104">
        <f>VLOOKUP($AC104,'2017 Seattle Tracts'!$C$2:$Z$399,AD$1,FALSE)*AA104</f>
        <v>236.8480726092391</v>
      </c>
      <c r="AE104">
        <f>VLOOKUP($AC104,'2017 Seattle Tracts'!$C$2:$Z$399,AE$1,FALSE)*AA104</f>
        <v>209.31133673021876</v>
      </c>
      <c r="AF104">
        <f>VLOOKUP($AC104,'2017 Seattle Tracts'!$C$2:$Z$399,AF$1,FALSE)*AA104</f>
        <v>27.536735879020334</v>
      </c>
      <c r="AG104">
        <f>VLOOKUP($AC104,'2017 Seattle Tracts'!$C$2:$Z$399,AG$1,FALSE)*AA104</f>
        <v>236.8480726092391</v>
      </c>
      <c r="AH104">
        <f>VLOOKUP($AC104,'2017 Seattle Tracts'!$C$2:$Z$399,AH$1,FALSE)*AA104</f>
        <v>209.31133673021876</v>
      </c>
      <c r="AI104">
        <f>VLOOKUP($AC104,'2017 Seattle Tracts'!$C$2:$Z$399,AI$1,FALSE)*AA104</f>
        <v>27.536735879020334</v>
      </c>
      <c r="AJ104">
        <f>VLOOKUP($AC104,'2017 Seattle Tracts'!$C$2:$Z$399,AJ$1,FALSE)*AA104</f>
        <v>170.73847713314748</v>
      </c>
      <c r="AK104">
        <f>VLOOKUP($AC104,'2017 Seattle Tracts'!$C$2:$Z$399,AK$1,FALSE)*AA104</f>
        <v>12.482605952941123</v>
      </c>
      <c r="AL104">
        <f>VLOOKUP($AC104,'2017 Seattle Tracts'!$C$2:$Z$399,AL$1,FALSE)*AA104</f>
        <v>1.5000556509972165</v>
      </c>
      <c r="AM104">
        <f>VLOOKUP($AC104,'2017 Seattle Tracts'!$C$2:$Z$399,AM$1,FALSE)*AA104</f>
        <v>1.660775899318347</v>
      </c>
      <c r="AN104">
        <f>VLOOKUP($AC104,'2017 Seattle Tracts'!$C$2:$Z$399,AN$1,FALSE)*AA104</f>
        <v>11.357564214693211</v>
      </c>
      <c r="AO104">
        <f>VLOOKUP($AC104,'2017 Seattle Tracts'!$C$2:$Z$399,AO$1,FALSE)*AA104</f>
        <v>0</v>
      </c>
      <c r="AP104">
        <f>VLOOKUP($AC104,'2017 Seattle Tracts'!$C$2:$Z$399,AP$1,FALSE)*AA104</f>
        <v>0</v>
      </c>
      <c r="AQ104">
        <f>VLOOKUP($AC104,'2017 Seattle Tracts'!$C$2:$Z$399,AQ$1,FALSE)*AA104</f>
        <v>0</v>
      </c>
      <c r="AR104">
        <f>VLOOKUP($AC104,'2017 Seattle Tracts'!$C$2:$Z$399,AR$1,FALSE)*AA104</f>
        <v>13.393354026760862</v>
      </c>
      <c r="AS104">
        <f>VLOOKUP($AC104,'2017 Seattle Tracts'!$C$2:$Z$399,AS$1,FALSE)*AA104</f>
        <v>8.196732664377647</v>
      </c>
      <c r="AT104">
        <f>VLOOKUP($AC104,'2017 Seattle Tracts'!$C$2:$Z$399,AT$1,FALSE)*AA104</f>
        <v>0</v>
      </c>
      <c r="AU104">
        <f>VLOOKUP($AC104,'2017 Seattle Tracts'!$C$2:$Z$399,AU$1,FALSE)*AA104</f>
        <v>0</v>
      </c>
      <c r="AV104">
        <f>VLOOKUP($AC104,'2017 Seattle Tracts'!$C$2:$Z$399,AV$1,FALSE)*AA104</f>
        <v>1.2321885704619993</v>
      </c>
      <c r="AW104">
        <f>VLOOKUP($AC104,'2017 Seattle Tracts'!$C$2:$Z$399,AW$1,FALSE)*AA104</f>
        <v>3.9644327919212152</v>
      </c>
      <c r="AX104">
        <f>VLOOKUP($AC104,'2017 Seattle Tracts'!$C$2:$Z$399,AX$1,FALSE)*AA104</f>
        <v>11.089697134157994</v>
      </c>
      <c r="AY104">
        <f>VLOOKUP($AC104,'2017 Seattle Tracts'!$C$2:$Z$399,AY$1,FALSE)*AA104</f>
        <v>1.2321885704619993</v>
      </c>
    </row>
    <row r="105" spans="1:54" x14ac:dyDescent="0.25">
      <c r="A105" t="s">
        <v>2917</v>
      </c>
      <c r="B105" t="s">
        <v>2918</v>
      </c>
      <c r="C105" t="s">
        <v>2999</v>
      </c>
      <c r="D105" t="s">
        <v>2818</v>
      </c>
      <c r="E105" t="s">
        <v>2819</v>
      </c>
      <c r="F105" t="s">
        <v>2820</v>
      </c>
      <c r="G105" t="s">
        <v>2920</v>
      </c>
      <c r="H105" t="s">
        <v>2921</v>
      </c>
      <c r="I105">
        <v>1538373</v>
      </c>
      <c r="J105">
        <v>0</v>
      </c>
      <c r="K105" t="s">
        <v>3000</v>
      </c>
      <c r="L105" t="s">
        <v>3001</v>
      </c>
      <c r="M105">
        <v>1538373</v>
      </c>
      <c r="N105">
        <v>94</v>
      </c>
      <c r="O105">
        <v>22360.046999999999</v>
      </c>
      <c r="P105" t="s">
        <v>191</v>
      </c>
      <c r="Q105">
        <v>20</v>
      </c>
      <c r="R105">
        <v>10</v>
      </c>
      <c r="S105">
        <v>0</v>
      </c>
      <c r="T105">
        <v>18781060</v>
      </c>
      <c r="U105">
        <v>96</v>
      </c>
      <c r="V105">
        <v>191</v>
      </c>
      <c r="W105">
        <v>22360.047228914489</v>
      </c>
      <c r="X105">
        <v>18781059.844160609</v>
      </c>
      <c r="Y105">
        <v>865406.44499999995</v>
      </c>
      <c r="Z105">
        <f>VLOOKUP($AC105,'2017 Seattle Tracts'!$C$2:$Z$399,24,FALSE)</f>
        <v>1538373.152</v>
      </c>
      <c r="AA105">
        <f t="shared" si="3"/>
        <v>0.56254650822195318</v>
      </c>
      <c r="AB105" t="s">
        <v>196</v>
      </c>
      <c r="AC105" t="str">
        <f t="shared" si="2"/>
        <v>Census Tract 115, King County, Washington</v>
      </c>
      <c r="AD105">
        <f>VLOOKUP($AC105,'2017 Seattle Tracts'!$C$2:$Z$399,AD$1,FALSE)*AA105</f>
        <v>2487.018112849255</v>
      </c>
      <c r="AE105">
        <f>VLOOKUP($AC105,'2017 Seattle Tracts'!$C$2:$Z$399,AE$1,FALSE)*AA105</f>
        <v>2197.869207623171</v>
      </c>
      <c r="AF105">
        <f>VLOOKUP($AC105,'2017 Seattle Tracts'!$C$2:$Z$399,AF$1,FALSE)*AA105</f>
        <v>289.14890522608391</v>
      </c>
      <c r="AG105">
        <f>VLOOKUP($AC105,'2017 Seattle Tracts'!$C$2:$Z$399,AG$1,FALSE)*AA105</f>
        <v>2487.018112849255</v>
      </c>
      <c r="AH105">
        <f>VLOOKUP($AC105,'2017 Seattle Tracts'!$C$2:$Z$399,AH$1,FALSE)*AA105</f>
        <v>2197.869207623171</v>
      </c>
      <c r="AI105">
        <f>VLOOKUP($AC105,'2017 Seattle Tracts'!$C$2:$Z$399,AI$1,FALSE)*AA105</f>
        <v>289.14890522608391</v>
      </c>
      <c r="AJ105">
        <f>VLOOKUP($AC105,'2017 Seattle Tracts'!$C$2:$Z$399,AJ$1,FALSE)*AA105</f>
        <v>1792.8357217033647</v>
      </c>
      <c r="AK105">
        <f>VLOOKUP($AC105,'2017 Seattle Tracts'!$C$2:$Z$399,AK$1,FALSE)*AA105</f>
        <v>131.07333641571509</v>
      </c>
      <c r="AL105">
        <f>VLOOKUP($AC105,'2017 Seattle Tracts'!$C$2:$Z$399,AL$1,FALSE)*AA105</f>
        <v>15.751302230214689</v>
      </c>
      <c r="AM105">
        <f>VLOOKUP($AC105,'2017 Seattle Tracts'!$C$2:$Z$399,AM$1,FALSE)*AA105</f>
        <v>17.438941754880549</v>
      </c>
      <c r="AN105">
        <f>VLOOKUP($AC105,'2017 Seattle Tracts'!$C$2:$Z$399,AN$1,FALSE)*AA105</f>
        <v>119.25985974305408</v>
      </c>
      <c r="AO105">
        <f>VLOOKUP($AC105,'2017 Seattle Tracts'!$C$2:$Z$399,AO$1,FALSE)*AA105</f>
        <v>0</v>
      </c>
      <c r="AP105">
        <f>VLOOKUP($AC105,'2017 Seattle Tracts'!$C$2:$Z$399,AP$1,FALSE)*AA105</f>
        <v>0</v>
      </c>
      <c r="AQ105">
        <f>VLOOKUP($AC105,'2017 Seattle Tracts'!$C$2:$Z$399,AQ$1,FALSE)*AA105</f>
        <v>0</v>
      </c>
      <c r="AR105">
        <f>VLOOKUP($AC105,'2017 Seattle Tracts'!$C$2:$Z$399,AR$1,FALSE)*AA105</f>
        <v>140.6366270554883</v>
      </c>
      <c r="AS105">
        <f>VLOOKUP($AC105,'2017 Seattle Tracts'!$C$2:$Z$399,AS$1,FALSE)*AA105</f>
        <v>86.069615757958843</v>
      </c>
      <c r="AT105">
        <f>VLOOKUP($AC105,'2017 Seattle Tracts'!$C$2:$Z$399,AT$1,FALSE)*AA105</f>
        <v>0</v>
      </c>
      <c r="AU105">
        <f>VLOOKUP($AC105,'2017 Seattle Tracts'!$C$2:$Z$399,AU$1,FALSE)*AA105</f>
        <v>0</v>
      </c>
      <c r="AV105">
        <f>VLOOKUP($AC105,'2017 Seattle Tracts'!$C$2:$Z$399,AV$1,FALSE)*AA105</f>
        <v>12.938569689104924</v>
      </c>
      <c r="AW105">
        <f>VLOOKUP($AC105,'2017 Seattle Tracts'!$C$2:$Z$399,AW$1,FALSE)*AA105</f>
        <v>41.628441608424538</v>
      </c>
      <c r="AX105">
        <f>VLOOKUP($AC105,'2017 Seattle Tracts'!$C$2:$Z$399,AX$1,FALSE)*AA105</f>
        <v>116.44712720194431</v>
      </c>
      <c r="AY105">
        <f>VLOOKUP($AC105,'2017 Seattle Tracts'!$C$2:$Z$399,AY$1,FALSE)*AA105</f>
        <v>12.938569689104924</v>
      </c>
    </row>
    <row r="106" spans="1:54" x14ac:dyDescent="0.25">
      <c r="A106" t="s">
        <v>2917</v>
      </c>
      <c r="B106" t="s">
        <v>2918</v>
      </c>
      <c r="C106" t="s">
        <v>3002</v>
      </c>
      <c r="D106" t="s">
        <v>2815</v>
      </c>
      <c r="E106" t="s">
        <v>2816</v>
      </c>
      <c r="F106" t="s">
        <v>2817</v>
      </c>
      <c r="G106" t="s">
        <v>2920</v>
      </c>
      <c r="H106" t="s">
        <v>2921</v>
      </c>
      <c r="I106">
        <v>3109902</v>
      </c>
      <c r="J106">
        <v>971211</v>
      </c>
      <c r="K106" t="s">
        <v>3003</v>
      </c>
      <c r="L106" t="s">
        <v>3004</v>
      </c>
      <c r="M106">
        <v>3100958</v>
      </c>
      <c r="N106">
        <v>71</v>
      </c>
      <c r="O106">
        <v>23122.263999999999</v>
      </c>
      <c r="P106" t="s">
        <v>170</v>
      </c>
      <c r="Q106">
        <v>19</v>
      </c>
      <c r="R106">
        <v>9</v>
      </c>
      <c r="S106">
        <v>19</v>
      </c>
      <c r="T106">
        <v>18463062</v>
      </c>
      <c r="U106">
        <v>73</v>
      </c>
      <c r="V106">
        <v>178</v>
      </c>
      <c r="W106">
        <v>23122.264003256802</v>
      </c>
      <c r="X106">
        <v>18463061.7979086</v>
      </c>
      <c r="Y106">
        <v>1E-3</v>
      </c>
      <c r="Z106">
        <f>VLOOKUP($AC106,'2017 Seattle Tracts'!$C$2:$Z$399,24,FALSE)</f>
        <v>3100957.5520000001</v>
      </c>
      <c r="AA106">
        <f t="shared" si="3"/>
        <v>3.2248103472265783E-10</v>
      </c>
      <c r="AB106" t="s">
        <v>169</v>
      </c>
      <c r="AC106" t="str">
        <f t="shared" si="2"/>
        <v>Census Tract 116, King County, Washington</v>
      </c>
      <c r="AD106">
        <f>VLOOKUP($AC106,'2017 Seattle Tracts'!$C$2:$Z$399,AD$1,FALSE)*AA106</f>
        <v>2.2247966585516165E-6</v>
      </c>
      <c r="AE106">
        <f>VLOOKUP($AC106,'2017 Seattle Tracts'!$C$2:$Z$399,AE$1,FALSE)*AA106</f>
        <v>2.0938693584542172E-6</v>
      </c>
      <c r="AF106">
        <f>VLOOKUP($AC106,'2017 Seattle Tracts'!$C$2:$Z$399,AF$1,FALSE)*AA106</f>
        <v>1.3092730009739907E-7</v>
      </c>
      <c r="AG106">
        <f>VLOOKUP($AC106,'2017 Seattle Tracts'!$C$2:$Z$399,AG$1,FALSE)*AA106</f>
        <v>2.2247966585516165E-6</v>
      </c>
      <c r="AH106">
        <f>VLOOKUP($AC106,'2017 Seattle Tracts'!$C$2:$Z$399,AH$1,FALSE)*AA106</f>
        <v>2.0938693584542172E-6</v>
      </c>
      <c r="AI106">
        <f>VLOOKUP($AC106,'2017 Seattle Tracts'!$C$2:$Z$399,AI$1,FALSE)*AA106</f>
        <v>1.3092730009739907E-7</v>
      </c>
      <c r="AJ106">
        <f>VLOOKUP($AC106,'2017 Seattle Tracts'!$C$2:$Z$399,AJ$1,FALSE)*AA106</f>
        <v>1.8423341513705441E-6</v>
      </c>
      <c r="AK106">
        <f>VLOOKUP($AC106,'2017 Seattle Tracts'!$C$2:$Z$399,AK$1,FALSE)*AA106</f>
        <v>7.223575177787535E-8</v>
      </c>
      <c r="AL106">
        <f>VLOOKUP($AC106,'2017 Seattle Tracts'!$C$2:$Z$399,AL$1,FALSE)*AA106</f>
        <v>5.6434181076465121E-8</v>
      </c>
      <c r="AM106">
        <f>VLOOKUP($AC106,'2017 Seattle Tracts'!$C$2:$Z$399,AM$1,FALSE)*AA106</f>
        <v>1.0964355180570367E-8</v>
      </c>
      <c r="AN106">
        <f>VLOOKUP($AC106,'2017 Seattle Tracts'!$C$2:$Z$399,AN$1,FALSE)*AA106</f>
        <v>6.1271396597304985E-9</v>
      </c>
      <c r="AO106">
        <f>VLOOKUP($AC106,'2017 Seattle Tracts'!$C$2:$Z$399,AO$1,FALSE)*AA106</f>
        <v>4.8372155208398674E-9</v>
      </c>
      <c r="AP106">
        <f>VLOOKUP($AC106,'2017 Seattle Tracts'!$C$2:$Z$399,AP$1,FALSE)*AA106</f>
        <v>3.8052762097273621E-8</v>
      </c>
      <c r="AQ106">
        <f>VLOOKUP($AC106,'2017 Seattle Tracts'!$C$2:$Z$399,AQ$1,FALSE)*AA106</f>
        <v>0</v>
      </c>
      <c r="AR106">
        <f>VLOOKUP($AC106,'2017 Seattle Tracts'!$C$2:$Z$399,AR$1,FALSE)*AA106</f>
        <v>2.6443444847257944E-8</v>
      </c>
      <c r="AS106">
        <f>VLOOKUP($AC106,'2017 Seattle Tracts'!$C$2:$Z$399,AS$1,FALSE)*AA106</f>
        <v>4.1277572444500203E-8</v>
      </c>
      <c r="AT106">
        <f>VLOOKUP($AC106,'2017 Seattle Tracts'!$C$2:$Z$399,AT$1,FALSE)*AA106</f>
        <v>0</v>
      </c>
      <c r="AU106">
        <f>VLOOKUP($AC106,'2017 Seattle Tracts'!$C$2:$Z$399,AU$1,FALSE)*AA106</f>
        <v>0</v>
      </c>
      <c r="AV106">
        <f>VLOOKUP($AC106,'2017 Seattle Tracts'!$C$2:$Z$399,AV$1,FALSE)*AA106</f>
        <v>1.3866684493074286E-8</v>
      </c>
      <c r="AW106">
        <f>VLOOKUP($AC106,'2017 Seattle Tracts'!$C$2:$Z$399,AW$1,FALSE)*AA106</f>
        <v>0</v>
      </c>
      <c r="AX106">
        <f>VLOOKUP($AC106,'2017 Seattle Tracts'!$C$2:$Z$399,AX$1,FALSE)*AA106</f>
        <v>1.1061099490987164E-7</v>
      </c>
      <c r="AY106">
        <f>VLOOKUP($AC106,'2017 Seattle Tracts'!$C$2:$Z$399,AY$1,FALSE)*AA106</f>
        <v>1.6124051736132891E-9</v>
      </c>
    </row>
    <row r="107" spans="1:54" x14ac:dyDescent="0.25">
      <c r="A107" t="s">
        <v>2917</v>
      </c>
      <c r="B107" t="s">
        <v>2918</v>
      </c>
      <c r="C107" t="s">
        <v>3002</v>
      </c>
      <c r="D107" t="s">
        <v>2815</v>
      </c>
      <c r="E107" t="s">
        <v>2816</v>
      </c>
      <c r="F107" t="s">
        <v>2817</v>
      </c>
      <c r="G107" t="s">
        <v>2920</v>
      </c>
      <c r="H107" t="s">
        <v>2921</v>
      </c>
      <c r="I107">
        <v>3109902</v>
      </c>
      <c r="J107">
        <v>971211</v>
      </c>
      <c r="K107" t="s">
        <v>3003</v>
      </c>
      <c r="L107" t="s">
        <v>3004</v>
      </c>
      <c r="M107">
        <v>3100958</v>
      </c>
      <c r="N107">
        <v>72</v>
      </c>
      <c r="O107">
        <v>23801.266</v>
      </c>
      <c r="P107" t="s">
        <v>170</v>
      </c>
      <c r="Q107">
        <v>19</v>
      </c>
      <c r="R107">
        <v>9</v>
      </c>
      <c r="S107">
        <v>81</v>
      </c>
      <c r="T107">
        <v>22821708</v>
      </c>
      <c r="U107">
        <v>74</v>
      </c>
      <c r="V107">
        <v>184</v>
      </c>
      <c r="W107">
        <v>23801.264700512202</v>
      </c>
      <c r="X107">
        <v>22821707.468856081</v>
      </c>
      <c r="Y107">
        <v>897493.87899999996</v>
      </c>
      <c r="Z107">
        <f>VLOOKUP($AC107,'2017 Seattle Tracts'!$C$2:$Z$399,24,FALSE)</f>
        <v>3100957.5520000001</v>
      </c>
      <c r="AA107">
        <f t="shared" si="3"/>
        <v>0.28942475475717183</v>
      </c>
      <c r="AB107" t="s">
        <v>171</v>
      </c>
      <c r="AC107" t="str">
        <f t="shared" si="2"/>
        <v>Census Tract 116, King County, Washington</v>
      </c>
      <c r="AD107">
        <f>VLOOKUP($AC107,'2017 Seattle Tracts'!$C$2:$Z$399,AD$1,FALSE)*AA107</f>
        <v>1996.7413830697285</v>
      </c>
      <c r="AE107">
        <f>VLOOKUP($AC107,'2017 Seattle Tracts'!$C$2:$Z$399,AE$1,FALSE)*AA107</f>
        <v>1879.2349326383166</v>
      </c>
      <c r="AF107">
        <f>VLOOKUP($AC107,'2017 Seattle Tracts'!$C$2:$Z$399,AF$1,FALSE)*AA107</f>
        <v>117.50645043141176</v>
      </c>
      <c r="AG107">
        <f>VLOOKUP($AC107,'2017 Seattle Tracts'!$C$2:$Z$399,AG$1,FALSE)*AA107</f>
        <v>1996.7413830697285</v>
      </c>
      <c r="AH107">
        <f>VLOOKUP($AC107,'2017 Seattle Tracts'!$C$2:$Z$399,AH$1,FALSE)*AA107</f>
        <v>1879.2349326383166</v>
      </c>
      <c r="AI107">
        <f>VLOOKUP($AC107,'2017 Seattle Tracts'!$C$2:$Z$399,AI$1,FALSE)*AA107</f>
        <v>117.50645043141176</v>
      </c>
      <c r="AJ107">
        <f>VLOOKUP($AC107,'2017 Seattle Tracts'!$C$2:$Z$399,AJ$1,FALSE)*AA107</f>
        <v>1653.4836239277226</v>
      </c>
      <c r="AK107">
        <f>VLOOKUP($AC107,'2017 Seattle Tracts'!$C$2:$Z$399,AK$1,FALSE)*AA107</f>
        <v>64.831145065606492</v>
      </c>
      <c r="AL107">
        <f>VLOOKUP($AC107,'2017 Seattle Tracts'!$C$2:$Z$399,AL$1,FALSE)*AA107</f>
        <v>50.649332082505069</v>
      </c>
      <c r="AM107">
        <f>VLOOKUP($AC107,'2017 Seattle Tracts'!$C$2:$Z$399,AM$1,FALSE)*AA107</f>
        <v>9.8404416617438422</v>
      </c>
      <c r="AN107">
        <f>VLOOKUP($AC107,'2017 Seattle Tracts'!$C$2:$Z$399,AN$1,FALSE)*AA107</f>
        <v>5.4990703403862646</v>
      </c>
      <c r="AO107">
        <f>VLOOKUP($AC107,'2017 Seattle Tracts'!$C$2:$Z$399,AO$1,FALSE)*AA107</f>
        <v>4.3413713213575775</v>
      </c>
      <c r="AP107">
        <f>VLOOKUP($AC107,'2017 Seattle Tracts'!$C$2:$Z$399,AP$1,FALSE)*AA107</f>
        <v>34.152121061346278</v>
      </c>
      <c r="AQ107">
        <f>VLOOKUP($AC107,'2017 Seattle Tracts'!$C$2:$Z$399,AQ$1,FALSE)*AA107</f>
        <v>0</v>
      </c>
      <c r="AR107">
        <f>VLOOKUP($AC107,'2017 Seattle Tracts'!$C$2:$Z$399,AR$1,FALSE)*AA107</f>
        <v>23.732829890088091</v>
      </c>
      <c r="AS107">
        <f>VLOOKUP($AC107,'2017 Seattle Tracts'!$C$2:$Z$399,AS$1,FALSE)*AA107</f>
        <v>37.046368608917994</v>
      </c>
      <c r="AT107">
        <f>VLOOKUP($AC107,'2017 Seattle Tracts'!$C$2:$Z$399,AT$1,FALSE)*AA107</f>
        <v>0</v>
      </c>
      <c r="AU107">
        <f>VLOOKUP($AC107,'2017 Seattle Tracts'!$C$2:$Z$399,AU$1,FALSE)*AA107</f>
        <v>0</v>
      </c>
      <c r="AV107">
        <f>VLOOKUP($AC107,'2017 Seattle Tracts'!$C$2:$Z$399,AV$1,FALSE)*AA107</f>
        <v>12.445264454558389</v>
      </c>
      <c r="AW107">
        <f>VLOOKUP($AC107,'2017 Seattle Tracts'!$C$2:$Z$399,AW$1,FALSE)*AA107</f>
        <v>0</v>
      </c>
      <c r="AX107">
        <f>VLOOKUP($AC107,'2017 Seattle Tracts'!$C$2:$Z$399,AX$1,FALSE)*AA107</f>
        <v>99.272690881709934</v>
      </c>
      <c r="AY107">
        <f>VLOOKUP($AC107,'2017 Seattle Tracts'!$C$2:$Z$399,AY$1,FALSE)*AA107</f>
        <v>1.4471237737858591</v>
      </c>
    </row>
    <row r="108" spans="1:54" x14ac:dyDescent="0.25">
      <c r="A108" t="s">
        <v>2917</v>
      </c>
      <c r="B108" t="s">
        <v>2918</v>
      </c>
      <c r="C108" t="s">
        <v>3002</v>
      </c>
      <c r="D108" t="s">
        <v>2815</v>
      </c>
      <c r="E108" t="s">
        <v>2816</v>
      </c>
      <c r="F108" t="s">
        <v>2817</v>
      </c>
      <c r="G108" t="s">
        <v>2920</v>
      </c>
      <c r="H108" t="s">
        <v>2921</v>
      </c>
      <c r="I108">
        <v>3109902</v>
      </c>
      <c r="J108">
        <v>971211</v>
      </c>
      <c r="K108" t="s">
        <v>3003</v>
      </c>
      <c r="L108" t="s">
        <v>3004</v>
      </c>
      <c r="M108">
        <v>3100958</v>
      </c>
      <c r="N108">
        <v>73</v>
      </c>
      <c r="O108">
        <v>28162.436000000002</v>
      </c>
      <c r="P108" t="s">
        <v>170</v>
      </c>
      <c r="Q108">
        <v>19</v>
      </c>
      <c r="R108">
        <v>9</v>
      </c>
      <c r="S108">
        <v>95</v>
      </c>
      <c r="T108">
        <v>26197314</v>
      </c>
      <c r="U108">
        <v>75</v>
      </c>
      <c r="V108">
        <v>193</v>
      </c>
      <c r="W108">
        <v>28162.435138616551</v>
      </c>
      <c r="X108">
        <v>26197314.057339299</v>
      </c>
      <c r="Y108">
        <v>1826.588</v>
      </c>
      <c r="Z108">
        <f>VLOOKUP($AC108,'2017 Seattle Tracts'!$C$2:$Z$399,24,FALSE)</f>
        <v>3100957.5520000001</v>
      </c>
      <c r="AA108">
        <f t="shared" si="3"/>
        <v>5.8903998825199008E-4</v>
      </c>
      <c r="AB108" t="s">
        <v>172</v>
      </c>
      <c r="AC108" t="str">
        <f t="shared" si="2"/>
        <v>Census Tract 116, King County, Washington</v>
      </c>
      <c r="AD108">
        <f>VLOOKUP($AC108,'2017 Seattle Tracts'!$C$2:$Z$399,AD$1,FALSE)*AA108</f>
        <v>4.0637868789504799</v>
      </c>
      <c r="AE108">
        <f>VLOOKUP($AC108,'2017 Seattle Tracts'!$C$2:$Z$399,AE$1,FALSE)*AA108</f>
        <v>3.8246366437201718</v>
      </c>
      <c r="AF108">
        <f>VLOOKUP($AC108,'2017 Seattle Tracts'!$C$2:$Z$399,AF$1,FALSE)*AA108</f>
        <v>0.23915023523030798</v>
      </c>
      <c r="AG108">
        <f>VLOOKUP($AC108,'2017 Seattle Tracts'!$C$2:$Z$399,AG$1,FALSE)*AA108</f>
        <v>4.0637868789504799</v>
      </c>
      <c r="AH108">
        <f>VLOOKUP($AC108,'2017 Seattle Tracts'!$C$2:$Z$399,AH$1,FALSE)*AA108</f>
        <v>3.8246366437201718</v>
      </c>
      <c r="AI108">
        <f>VLOOKUP($AC108,'2017 Seattle Tracts'!$C$2:$Z$399,AI$1,FALSE)*AA108</f>
        <v>0.23915023523030798</v>
      </c>
      <c r="AJ108">
        <f>VLOOKUP($AC108,'2017 Seattle Tracts'!$C$2:$Z$399,AJ$1,FALSE)*AA108</f>
        <v>3.3651854528836194</v>
      </c>
      <c r="AK108">
        <f>VLOOKUP($AC108,'2017 Seattle Tracts'!$C$2:$Z$399,AK$1,FALSE)*AA108</f>
        <v>0.13194495736844578</v>
      </c>
      <c r="AL108">
        <f>VLOOKUP($AC108,'2017 Seattle Tracts'!$C$2:$Z$399,AL$1,FALSE)*AA108</f>
        <v>0.10308199794409827</v>
      </c>
      <c r="AM108">
        <f>VLOOKUP($AC108,'2017 Seattle Tracts'!$C$2:$Z$399,AM$1,FALSE)*AA108</f>
        <v>2.0027359600567663E-2</v>
      </c>
      <c r="AN108">
        <f>VLOOKUP($AC108,'2017 Seattle Tracts'!$C$2:$Z$399,AN$1,FALSE)*AA108</f>
        <v>1.1191759776787812E-2</v>
      </c>
      <c r="AO108">
        <f>VLOOKUP($AC108,'2017 Seattle Tracts'!$C$2:$Z$399,AO$1,FALSE)*AA108</f>
        <v>8.8355998237798512E-3</v>
      </c>
      <c r="AP108">
        <f>VLOOKUP($AC108,'2017 Seattle Tracts'!$C$2:$Z$399,AP$1,FALSE)*AA108</f>
        <v>6.9506718613734836E-2</v>
      </c>
      <c r="AQ108">
        <f>VLOOKUP($AC108,'2017 Seattle Tracts'!$C$2:$Z$399,AQ$1,FALSE)*AA108</f>
        <v>0</v>
      </c>
      <c r="AR108">
        <f>VLOOKUP($AC108,'2017 Seattle Tracts'!$C$2:$Z$399,AR$1,FALSE)*AA108</f>
        <v>4.8301279036663189E-2</v>
      </c>
      <c r="AS108">
        <f>VLOOKUP($AC108,'2017 Seattle Tracts'!$C$2:$Z$399,AS$1,FALSE)*AA108</f>
        <v>7.5397118496254731E-2</v>
      </c>
      <c r="AT108">
        <f>VLOOKUP($AC108,'2017 Seattle Tracts'!$C$2:$Z$399,AT$1,FALSE)*AA108</f>
        <v>0</v>
      </c>
      <c r="AU108">
        <f>VLOOKUP($AC108,'2017 Seattle Tracts'!$C$2:$Z$399,AU$1,FALSE)*AA108</f>
        <v>0</v>
      </c>
      <c r="AV108">
        <f>VLOOKUP($AC108,'2017 Seattle Tracts'!$C$2:$Z$399,AV$1,FALSE)*AA108</f>
        <v>2.5328719494835575E-2</v>
      </c>
      <c r="AW108">
        <f>VLOOKUP($AC108,'2017 Seattle Tracts'!$C$2:$Z$399,AW$1,FALSE)*AA108</f>
        <v>0</v>
      </c>
      <c r="AX108">
        <f>VLOOKUP($AC108,'2017 Seattle Tracts'!$C$2:$Z$399,AX$1,FALSE)*AA108</f>
        <v>0.2020407159704326</v>
      </c>
      <c r="AY108">
        <f>VLOOKUP($AC108,'2017 Seattle Tracts'!$C$2:$Z$399,AY$1,FALSE)*AA108</f>
        <v>2.9451999412599505E-3</v>
      </c>
    </row>
    <row r="109" spans="1:54" x14ac:dyDescent="0.25">
      <c r="A109" t="s">
        <v>2917</v>
      </c>
      <c r="B109" t="s">
        <v>2918</v>
      </c>
      <c r="C109" t="s">
        <v>3002</v>
      </c>
      <c r="D109" t="s">
        <v>2815</v>
      </c>
      <c r="E109" t="s">
        <v>2816</v>
      </c>
      <c r="F109" t="s">
        <v>2817</v>
      </c>
      <c r="G109" t="s">
        <v>2920</v>
      </c>
      <c r="H109" t="s">
        <v>2921</v>
      </c>
      <c r="I109">
        <v>3109902</v>
      </c>
      <c r="J109">
        <v>971211</v>
      </c>
      <c r="K109" t="s">
        <v>3003</v>
      </c>
      <c r="L109" t="s">
        <v>3004</v>
      </c>
      <c r="M109">
        <v>3100958</v>
      </c>
      <c r="N109">
        <v>78</v>
      </c>
      <c r="O109">
        <v>42276.531000000003</v>
      </c>
      <c r="P109" t="s">
        <v>170</v>
      </c>
      <c r="Q109">
        <v>19</v>
      </c>
      <c r="R109">
        <v>9</v>
      </c>
      <c r="S109">
        <v>23</v>
      </c>
      <c r="T109">
        <v>33881864</v>
      </c>
      <c r="U109">
        <v>80</v>
      </c>
      <c r="V109">
        <v>189</v>
      </c>
      <c r="W109">
        <v>42276.53178777737</v>
      </c>
      <c r="X109">
        <v>33881863.870656453</v>
      </c>
      <c r="Y109">
        <v>2199038.08</v>
      </c>
      <c r="Z109">
        <f>VLOOKUP($AC109,'2017 Seattle Tracts'!$C$2:$Z$399,24,FALSE)</f>
        <v>3100957.5520000001</v>
      </c>
      <c r="AA109">
        <f t="shared" si="3"/>
        <v>0.70914807543292679</v>
      </c>
      <c r="AB109" t="s">
        <v>177</v>
      </c>
      <c r="AC109" t="str">
        <f t="shared" si="2"/>
        <v>Census Tract 116, King County, Washington</v>
      </c>
      <c r="AD109">
        <f>VLOOKUP($AC109,'2017 Seattle Tracts'!$C$2:$Z$399,AD$1,FALSE)*AA109</f>
        <v>4892.4125724117621</v>
      </c>
      <c r="AE109">
        <f>VLOOKUP($AC109,'2017 Seattle Tracts'!$C$2:$Z$399,AE$1,FALSE)*AA109</f>
        <v>4604.4984537859937</v>
      </c>
      <c r="AF109">
        <f>VLOOKUP($AC109,'2017 Seattle Tracts'!$C$2:$Z$399,AF$1,FALSE)*AA109</f>
        <v>287.91411862576825</v>
      </c>
      <c r="AG109">
        <f>VLOOKUP($AC109,'2017 Seattle Tracts'!$C$2:$Z$399,AG$1,FALSE)*AA109</f>
        <v>4892.4125724117621</v>
      </c>
      <c r="AH109">
        <f>VLOOKUP($AC109,'2017 Seattle Tracts'!$C$2:$Z$399,AH$1,FALSE)*AA109</f>
        <v>4604.4984537859937</v>
      </c>
      <c r="AI109">
        <f>VLOOKUP($AC109,'2017 Seattle Tracts'!$C$2:$Z$399,AI$1,FALSE)*AA109</f>
        <v>287.91411862576825</v>
      </c>
      <c r="AJ109">
        <f>VLOOKUP($AC109,'2017 Seattle Tracts'!$C$2:$Z$399,AJ$1,FALSE)*AA109</f>
        <v>4051.3629549483107</v>
      </c>
      <c r="AK109">
        <f>VLOOKUP($AC109,'2017 Seattle Tracts'!$C$2:$Z$399,AK$1,FALSE)*AA109</f>
        <v>158.84916889697561</v>
      </c>
      <c r="AL109">
        <f>VLOOKUP($AC109,'2017 Seattle Tracts'!$C$2:$Z$399,AL$1,FALSE)*AA109</f>
        <v>124.10091320076219</v>
      </c>
      <c r="AM109">
        <f>VLOOKUP($AC109,'2017 Seattle Tracts'!$C$2:$Z$399,AM$1,FALSE)*AA109</f>
        <v>24.11103456471951</v>
      </c>
      <c r="AN109">
        <f>VLOOKUP($AC109,'2017 Seattle Tracts'!$C$2:$Z$399,AN$1,FALSE)*AA109</f>
        <v>13.47381343322561</v>
      </c>
      <c r="AO109">
        <f>VLOOKUP($AC109,'2017 Seattle Tracts'!$C$2:$Z$399,AO$1,FALSE)*AA109</f>
        <v>10.637221131493902</v>
      </c>
      <c r="AP109">
        <f>VLOOKUP($AC109,'2017 Seattle Tracts'!$C$2:$Z$399,AP$1,FALSE)*AA109</f>
        <v>83.679472901085362</v>
      </c>
      <c r="AQ109">
        <f>VLOOKUP($AC109,'2017 Seattle Tracts'!$C$2:$Z$399,AQ$1,FALSE)*AA109</f>
        <v>0</v>
      </c>
      <c r="AR109">
        <f>VLOOKUP($AC109,'2017 Seattle Tracts'!$C$2:$Z$399,AR$1,FALSE)*AA109</f>
        <v>58.150142185499995</v>
      </c>
      <c r="AS109">
        <f>VLOOKUP($AC109,'2017 Seattle Tracts'!$C$2:$Z$399,AS$1,FALSE)*AA109</f>
        <v>90.77095365541463</v>
      </c>
      <c r="AT109">
        <f>VLOOKUP($AC109,'2017 Seattle Tracts'!$C$2:$Z$399,AT$1,FALSE)*AA109</f>
        <v>0</v>
      </c>
      <c r="AU109">
        <f>VLOOKUP($AC109,'2017 Seattle Tracts'!$C$2:$Z$399,AU$1,FALSE)*AA109</f>
        <v>0</v>
      </c>
      <c r="AV109">
        <f>VLOOKUP($AC109,'2017 Seattle Tracts'!$C$2:$Z$399,AV$1,FALSE)*AA109</f>
        <v>30.493367243615854</v>
      </c>
      <c r="AW109">
        <f>VLOOKUP($AC109,'2017 Seattle Tracts'!$C$2:$Z$399,AW$1,FALSE)*AA109</f>
        <v>0</v>
      </c>
      <c r="AX109">
        <f>VLOOKUP($AC109,'2017 Seattle Tracts'!$C$2:$Z$399,AX$1,FALSE)*AA109</f>
        <v>243.23778987349388</v>
      </c>
      <c r="AY109">
        <f>VLOOKUP($AC109,'2017 Seattle Tracts'!$C$2:$Z$399,AY$1,FALSE)*AA109</f>
        <v>3.5457403771646341</v>
      </c>
    </row>
    <row r="110" spans="1:54" x14ac:dyDescent="0.25">
      <c r="A110" t="s">
        <v>2917</v>
      </c>
      <c r="B110" t="s">
        <v>2918</v>
      </c>
      <c r="C110" t="s">
        <v>3002</v>
      </c>
      <c r="D110" t="s">
        <v>2815</v>
      </c>
      <c r="E110" t="s">
        <v>2816</v>
      </c>
      <c r="F110" t="s">
        <v>2817</v>
      </c>
      <c r="G110" t="s">
        <v>2920</v>
      </c>
      <c r="H110" t="s">
        <v>2921</v>
      </c>
      <c r="I110">
        <v>3109902</v>
      </c>
      <c r="J110">
        <v>971211</v>
      </c>
      <c r="K110" t="s">
        <v>3003</v>
      </c>
      <c r="L110" t="s">
        <v>3004</v>
      </c>
      <c r="M110">
        <v>3100958</v>
      </c>
      <c r="N110">
        <v>94</v>
      </c>
      <c r="O110">
        <v>22360.046999999999</v>
      </c>
      <c r="P110" t="s">
        <v>191</v>
      </c>
      <c r="Q110">
        <v>20</v>
      </c>
      <c r="R110">
        <v>10</v>
      </c>
      <c r="S110">
        <v>0</v>
      </c>
      <c r="T110">
        <v>18781060</v>
      </c>
      <c r="U110">
        <v>96</v>
      </c>
      <c r="V110">
        <v>191</v>
      </c>
      <c r="W110">
        <v>22360.047228914489</v>
      </c>
      <c r="X110">
        <v>18781059.844160609</v>
      </c>
      <c r="Y110">
        <v>1338.598</v>
      </c>
      <c r="Z110">
        <f>VLOOKUP($AC110,'2017 Seattle Tracts'!$C$2:$Z$399,24,FALSE)</f>
        <v>3100957.5520000001</v>
      </c>
      <c r="AA110">
        <f t="shared" si="3"/>
        <v>4.3167246811768028E-4</v>
      </c>
      <c r="AB110" t="s">
        <v>196</v>
      </c>
      <c r="AC110" t="str">
        <f t="shared" si="2"/>
        <v>Census Tract 116, King County, Washington</v>
      </c>
      <c r="AD110">
        <f>VLOOKUP($AC110,'2017 Seattle Tracts'!$C$2:$Z$399,AD$1,FALSE)*AA110</f>
        <v>2.978108357543876</v>
      </c>
      <c r="AE110">
        <f>VLOOKUP($AC110,'2017 Seattle Tracts'!$C$2:$Z$399,AE$1,FALSE)*AA110</f>
        <v>2.8028493354880979</v>
      </c>
      <c r="AF110">
        <f>VLOOKUP($AC110,'2017 Seattle Tracts'!$C$2:$Z$399,AF$1,FALSE)*AA110</f>
        <v>0.1752590220557782</v>
      </c>
      <c r="AG110">
        <f>VLOOKUP($AC110,'2017 Seattle Tracts'!$C$2:$Z$399,AG$1,FALSE)*AA110</f>
        <v>2.978108357543876</v>
      </c>
      <c r="AH110">
        <f>VLOOKUP($AC110,'2017 Seattle Tracts'!$C$2:$Z$399,AH$1,FALSE)*AA110</f>
        <v>2.8028493354880979</v>
      </c>
      <c r="AI110">
        <f>VLOOKUP($AC110,'2017 Seattle Tracts'!$C$2:$Z$399,AI$1,FALSE)*AA110</f>
        <v>0.1752590220557782</v>
      </c>
      <c r="AJ110">
        <f>VLOOKUP($AC110,'2017 Seattle Tracts'!$C$2:$Z$399,AJ$1,FALSE)*AA110</f>
        <v>2.4661448103563073</v>
      </c>
      <c r="AK110">
        <f>VLOOKUP($AC110,'2017 Seattle Tracts'!$C$2:$Z$399,AK$1,FALSE)*AA110</f>
        <v>9.6694632858360385E-2</v>
      </c>
      <c r="AL110">
        <f>VLOOKUP($AC110,'2017 Seattle Tracts'!$C$2:$Z$399,AL$1,FALSE)*AA110</f>
        <v>7.5542681920594046E-2</v>
      </c>
      <c r="AM110">
        <f>VLOOKUP($AC110,'2017 Seattle Tracts'!$C$2:$Z$399,AM$1,FALSE)*AA110</f>
        <v>1.4676863916001129E-2</v>
      </c>
      <c r="AN110">
        <f>VLOOKUP($AC110,'2017 Seattle Tracts'!$C$2:$Z$399,AN$1,FALSE)*AA110</f>
        <v>8.2017768942359258E-3</v>
      </c>
      <c r="AO110">
        <f>VLOOKUP($AC110,'2017 Seattle Tracts'!$C$2:$Z$399,AO$1,FALSE)*AA110</f>
        <v>6.4750870217652043E-3</v>
      </c>
      <c r="AP110">
        <f>VLOOKUP($AC110,'2017 Seattle Tracts'!$C$2:$Z$399,AP$1,FALSE)*AA110</f>
        <v>5.0937351237886272E-2</v>
      </c>
      <c r="AQ110">
        <f>VLOOKUP($AC110,'2017 Seattle Tracts'!$C$2:$Z$399,AQ$1,FALSE)*AA110</f>
        <v>0</v>
      </c>
      <c r="AR110">
        <f>VLOOKUP($AC110,'2017 Seattle Tracts'!$C$2:$Z$399,AR$1,FALSE)*AA110</f>
        <v>3.5397142385649782E-2</v>
      </c>
      <c r="AS110">
        <f>VLOOKUP($AC110,'2017 Seattle Tracts'!$C$2:$Z$399,AS$1,FALSE)*AA110</f>
        <v>5.5254075919063075E-2</v>
      </c>
      <c r="AT110">
        <f>VLOOKUP($AC110,'2017 Seattle Tracts'!$C$2:$Z$399,AT$1,FALSE)*AA110</f>
        <v>0</v>
      </c>
      <c r="AU110">
        <f>VLOOKUP($AC110,'2017 Seattle Tracts'!$C$2:$Z$399,AU$1,FALSE)*AA110</f>
        <v>0</v>
      </c>
      <c r="AV110">
        <f>VLOOKUP($AC110,'2017 Seattle Tracts'!$C$2:$Z$399,AV$1,FALSE)*AA110</f>
        <v>1.8561916129060253E-2</v>
      </c>
      <c r="AW110">
        <f>VLOOKUP($AC110,'2017 Seattle Tracts'!$C$2:$Z$399,AW$1,FALSE)*AA110</f>
        <v>0</v>
      </c>
      <c r="AX110">
        <f>VLOOKUP($AC110,'2017 Seattle Tracts'!$C$2:$Z$399,AX$1,FALSE)*AA110</f>
        <v>0.14806365656436432</v>
      </c>
      <c r="AY110">
        <f>VLOOKUP($AC110,'2017 Seattle Tracts'!$C$2:$Z$399,AY$1,FALSE)*AA110</f>
        <v>2.1583623405884013E-3</v>
      </c>
    </row>
    <row r="111" spans="1:54" x14ac:dyDescent="0.25">
      <c r="A111" t="s">
        <v>2917</v>
      </c>
      <c r="B111" t="s">
        <v>2918</v>
      </c>
      <c r="C111" t="s">
        <v>3005</v>
      </c>
      <c r="D111" t="s">
        <v>2812</v>
      </c>
      <c r="E111" t="s">
        <v>2813</v>
      </c>
      <c r="F111" t="s">
        <v>2814</v>
      </c>
      <c r="G111" t="s">
        <v>2920</v>
      </c>
      <c r="H111" t="s">
        <v>2921</v>
      </c>
      <c r="I111">
        <v>3515612</v>
      </c>
      <c r="J111">
        <v>0</v>
      </c>
      <c r="K111" t="s">
        <v>3006</v>
      </c>
      <c r="L111" t="s">
        <v>3007</v>
      </c>
      <c r="M111">
        <v>3515613</v>
      </c>
      <c r="N111">
        <v>68</v>
      </c>
      <c r="O111">
        <v>45963.663999999997</v>
      </c>
      <c r="P111" t="s">
        <v>122</v>
      </c>
      <c r="Q111">
        <v>18</v>
      </c>
      <c r="R111">
        <v>12</v>
      </c>
      <c r="S111">
        <v>81</v>
      </c>
      <c r="T111">
        <v>51305072</v>
      </c>
      <c r="U111">
        <v>70</v>
      </c>
      <c r="V111">
        <v>177</v>
      </c>
      <c r="W111">
        <v>45963.665676960663</v>
      </c>
      <c r="X111">
        <v>51305072.646258257</v>
      </c>
      <c r="Y111">
        <v>70511.701000000001</v>
      </c>
      <c r="Z111">
        <f>VLOOKUP($AC111,'2017 Seattle Tracts'!$C$2:$Z$399,24,FALSE)</f>
        <v>3515613.3509999998</v>
      </c>
      <c r="AA111">
        <f t="shared" si="3"/>
        <v>2.0056728075612547E-2</v>
      </c>
      <c r="AB111" t="s">
        <v>166</v>
      </c>
      <c r="AC111" t="str">
        <f t="shared" si="2"/>
        <v>Census Tract 117, King County, Washington</v>
      </c>
      <c r="AD111">
        <f>VLOOKUP($AC111,'2017 Seattle Tracts'!$C$2:$Z$399,AD$1,FALSE)*AA111</f>
        <v>113.90215874140365</v>
      </c>
      <c r="AE111">
        <f>VLOOKUP($AC111,'2017 Seattle Tracts'!$C$2:$Z$399,AE$1,FALSE)*AA111</f>
        <v>65.906408456462827</v>
      </c>
      <c r="AF111">
        <f>VLOOKUP($AC111,'2017 Seattle Tracts'!$C$2:$Z$399,AF$1,FALSE)*AA111</f>
        <v>47.995750284940826</v>
      </c>
      <c r="AG111">
        <f>VLOOKUP($AC111,'2017 Seattle Tracts'!$C$2:$Z$399,AG$1,FALSE)*AA111</f>
        <v>113.90215874140365</v>
      </c>
      <c r="AH111">
        <f>VLOOKUP($AC111,'2017 Seattle Tracts'!$C$2:$Z$399,AH$1,FALSE)*AA111</f>
        <v>65.906408456462827</v>
      </c>
      <c r="AI111">
        <f>VLOOKUP($AC111,'2017 Seattle Tracts'!$C$2:$Z$399,AI$1,FALSE)*AA111</f>
        <v>47.995750284940826</v>
      </c>
      <c r="AJ111">
        <f>VLOOKUP($AC111,'2017 Seattle Tracts'!$C$2:$Z$399,AJ$1,FALSE)*AA111</f>
        <v>13.036873249148156</v>
      </c>
      <c r="AK111">
        <f>VLOOKUP($AC111,'2017 Seattle Tracts'!$C$2:$Z$399,AK$1,FALSE)*AA111</f>
        <v>0.12034036845367528</v>
      </c>
      <c r="AL111">
        <f>VLOOKUP($AC111,'2017 Seattle Tracts'!$C$2:$Z$399,AL$1,FALSE)*AA111</f>
        <v>2.6675448340564687</v>
      </c>
      <c r="AM111">
        <f>VLOOKUP($AC111,'2017 Seattle Tracts'!$C$2:$Z$399,AM$1,FALSE)*AA111</f>
        <v>2.6876015621320812</v>
      </c>
      <c r="AN111">
        <f>VLOOKUP($AC111,'2017 Seattle Tracts'!$C$2:$Z$399,AN$1,FALSE)*AA111</f>
        <v>20.357578996746735</v>
      </c>
      <c r="AO111">
        <f>VLOOKUP($AC111,'2017 Seattle Tracts'!$C$2:$Z$399,AO$1,FALSE)*AA111</f>
        <v>9.0656410901768716</v>
      </c>
      <c r="AP111">
        <f>VLOOKUP($AC111,'2017 Seattle Tracts'!$C$2:$Z$399,AP$1,FALSE)*AA111</f>
        <v>0.5415316580415388</v>
      </c>
      <c r="AQ111">
        <f>VLOOKUP($AC111,'2017 Seattle Tracts'!$C$2:$Z$399,AQ$1,FALSE)*AA111</f>
        <v>0</v>
      </c>
      <c r="AR111">
        <f>VLOOKUP($AC111,'2017 Seattle Tracts'!$C$2:$Z$399,AR$1,FALSE)*AA111</f>
        <v>11.913696476913852</v>
      </c>
      <c r="AS111">
        <f>VLOOKUP($AC111,'2017 Seattle Tracts'!$C$2:$Z$399,AS$1,FALSE)*AA111</f>
        <v>31.489063078711698</v>
      </c>
      <c r="AT111">
        <f>VLOOKUP($AC111,'2017 Seattle Tracts'!$C$2:$Z$399,AT$1,FALSE)*AA111</f>
        <v>2.0658429917880925</v>
      </c>
      <c r="AU111">
        <f>VLOOKUP($AC111,'2017 Seattle Tracts'!$C$2:$Z$399,AU$1,FALSE)*AA111</f>
        <v>2.4469208252247308</v>
      </c>
      <c r="AV111">
        <f>VLOOKUP($AC111,'2017 Seattle Tracts'!$C$2:$Z$399,AV$1,FALSE)*AA111</f>
        <v>1.4841978775953284</v>
      </c>
      <c r="AW111">
        <f>VLOOKUP($AC111,'2017 Seattle Tracts'!$C$2:$Z$399,AW$1,FALSE)*AA111</f>
        <v>0.68192875457082658</v>
      </c>
      <c r="AX111">
        <f>VLOOKUP($AC111,'2017 Seattle Tracts'!$C$2:$Z$399,AX$1,FALSE)*AA111</f>
        <v>13.839142372172658</v>
      </c>
      <c r="AY111">
        <f>VLOOKUP($AC111,'2017 Seattle Tracts'!$C$2:$Z$399,AY$1,FALSE)*AA111</f>
        <v>1.5042546056709409</v>
      </c>
    </row>
    <row r="112" spans="1:54" x14ac:dyDescent="0.25">
      <c r="A112" t="s">
        <v>2917</v>
      </c>
      <c r="B112" t="s">
        <v>2918</v>
      </c>
      <c r="C112" t="s">
        <v>3005</v>
      </c>
      <c r="D112" t="s">
        <v>2812</v>
      </c>
      <c r="E112" t="s">
        <v>2813</v>
      </c>
      <c r="F112" t="s">
        <v>2814</v>
      </c>
      <c r="G112" t="s">
        <v>2920</v>
      </c>
      <c r="H112" t="s">
        <v>2921</v>
      </c>
      <c r="I112">
        <v>3515612</v>
      </c>
      <c r="J112">
        <v>0</v>
      </c>
      <c r="K112" t="s">
        <v>3006</v>
      </c>
      <c r="L112" t="s">
        <v>3007</v>
      </c>
      <c r="M112">
        <v>3515613</v>
      </c>
      <c r="N112">
        <v>81</v>
      </c>
      <c r="O112">
        <v>38996.714999999997</v>
      </c>
      <c r="P112" t="s">
        <v>179</v>
      </c>
      <c r="Q112">
        <v>17</v>
      </c>
      <c r="R112">
        <v>5</v>
      </c>
      <c r="S112">
        <v>23</v>
      </c>
      <c r="T112">
        <v>38448828</v>
      </c>
      <c r="U112">
        <v>83</v>
      </c>
      <c r="V112">
        <v>183</v>
      </c>
      <c r="W112">
        <v>38996.715107084907</v>
      </c>
      <c r="X112">
        <v>38448826.89896398</v>
      </c>
      <c r="Y112">
        <v>2335337.9759999998</v>
      </c>
      <c r="Z112">
        <f>VLOOKUP($AC112,'2017 Seattle Tracts'!$C$2:$Z$399,24,FALSE)</f>
        <v>3515613.3509999998</v>
      </c>
      <c r="AA112">
        <f t="shared" si="3"/>
        <v>0.66427611424780941</v>
      </c>
      <c r="AB112" t="s">
        <v>181</v>
      </c>
      <c r="AC112" t="str">
        <f t="shared" si="2"/>
        <v>Census Tract 117, King County, Washington</v>
      </c>
      <c r="AD112">
        <f>VLOOKUP($AC112,'2017 Seattle Tracts'!$C$2:$Z$399,AD$1,FALSE)*AA112</f>
        <v>3772.4240528133096</v>
      </c>
      <c r="AE112">
        <f>VLOOKUP($AC112,'2017 Seattle Tracts'!$C$2:$Z$399,AE$1,FALSE)*AA112</f>
        <v>2182.8113114183016</v>
      </c>
      <c r="AF112">
        <f>VLOOKUP($AC112,'2017 Seattle Tracts'!$C$2:$Z$399,AF$1,FALSE)*AA112</f>
        <v>1589.612741395008</v>
      </c>
      <c r="AG112">
        <f>VLOOKUP($AC112,'2017 Seattle Tracts'!$C$2:$Z$399,AG$1,FALSE)*AA112</f>
        <v>3772.4240528133096</v>
      </c>
      <c r="AH112">
        <f>VLOOKUP($AC112,'2017 Seattle Tracts'!$C$2:$Z$399,AH$1,FALSE)*AA112</f>
        <v>2182.8113114183016</v>
      </c>
      <c r="AI112">
        <f>VLOOKUP($AC112,'2017 Seattle Tracts'!$C$2:$Z$399,AI$1,FALSE)*AA112</f>
        <v>1589.612741395008</v>
      </c>
      <c r="AJ112">
        <f>VLOOKUP($AC112,'2017 Seattle Tracts'!$C$2:$Z$399,AJ$1,FALSE)*AA112</f>
        <v>431.77947426107613</v>
      </c>
      <c r="AK112">
        <f>VLOOKUP($AC112,'2017 Seattle Tracts'!$C$2:$Z$399,AK$1,FALSE)*AA112</f>
        <v>3.9856566854868563</v>
      </c>
      <c r="AL112">
        <f>VLOOKUP($AC112,'2017 Seattle Tracts'!$C$2:$Z$399,AL$1,FALSE)*AA112</f>
        <v>88.348723194958652</v>
      </c>
      <c r="AM112">
        <f>VLOOKUP($AC112,'2017 Seattle Tracts'!$C$2:$Z$399,AM$1,FALSE)*AA112</f>
        <v>89.012999309206464</v>
      </c>
      <c r="AN112">
        <f>VLOOKUP($AC112,'2017 Seattle Tracts'!$C$2:$Z$399,AN$1,FALSE)*AA112</f>
        <v>674.2402559615266</v>
      </c>
      <c r="AO112">
        <f>VLOOKUP($AC112,'2017 Seattle Tracts'!$C$2:$Z$399,AO$1,FALSE)*AA112</f>
        <v>300.25280364000986</v>
      </c>
      <c r="AP112">
        <f>VLOOKUP($AC112,'2017 Seattle Tracts'!$C$2:$Z$399,AP$1,FALSE)*AA112</f>
        <v>17.935455084690854</v>
      </c>
      <c r="AQ112">
        <f>VLOOKUP($AC112,'2017 Seattle Tracts'!$C$2:$Z$399,AQ$1,FALSE)*AA112</f>
        <v>0</v>
      </c>
      <c r="AR112">
        <f>VLOOKUP($AC112,'2017 Seattle Tracts'!$C$2:$Z$399,AR$1,FALSE)*AA112</f>
        <v>394.58001186319876</v>
      </c>
      <c r="AS112">
        <f>VLOOKUP($AC112,'2017 Seattle Tracts'!$C$2:$Z$399,AS$1,FALSE)*AA112</f>
        <v>1042.9134993690607</v>
      </c>
      <c r="AT112">
        <f>VLOOKUP($AC112,'2017 Seattle Tracts'!$C$2:$Z$399,AT$1,FALSE)*AA112</f>
        <v>68.420439767524371</v>
      </c>
      <c r="AU112">
        <f>VLOOKUP($AC112,'2017 Seattle Tracts'!$C$2:$Z$399,AU$1,FALSE)*AA112</f>
        <v>81.041685938232746</v>
      </c>
      <c r="AV112">
        <f>VLOOKUP($AC112,'2017 Seattle Tracts'!$C$2:$Z$399,AV$1,FALSE)*AA112</f>
        <v>49.156432454337896</v>
      </c>
      <c r="AW112">
        <f>VLOOKUP($AC112,'2017 Seattle Tracts'!$C$2:$Z$399,AW$1,FALSE)*AA112</f>
        <v>22.585387884425518</v>
      </c>
      <c r="AX112">
        <f>VLOOKUP($AC112,'2017 Seattle Tracts'!$C$2:$Z$399,AX$1,FALSE)*AA112</f>
        <v>458.35051883098851</v>
      </c>
      <c r="AY112">
        <f>VLOOKUP($AC112,'2017 Seattle Tracts'!$C$2:$Z$399,AY$1,FALSE)*AA112</f>
        <v>49.820708568585708</v>
      </c>
    </row>
    <row r="113" spans="1:51" x14ac:dyDescent="0.25">
      <c r="A113" t="s">
        <v>2917</v>
      </c>
      <c r="B113" t="s">
        <v>2918</v>
      </c>
      <c r="C113" t="s">
        <v>3005</v>
      </c>
      <c r="D113" t="s">
        <v>2812</v>
      </c>
      <c r="E113" t="s">
        <v>2813</v>
      </c>
      <c r="F113" t="s">
        <v>2814</v>
      </c>
      <c r="G113" t="s">
        <v>2920</v>
      </c>
      <c r="H113" t="s">
        <v>2921</v>
      </c>
      <c r="I113">
        <v>3515612</v>
      </c>
      <c r="J113">
        <v>0</v>
      </c>
      <c r="K113" t="s">
        <v>3006</v>
      </c>
      <c r="L113" t="s">
        <v>3007</v>
      </c>
      <c r="M113">
        <v>3515613</v>
      </c>
      <c r="N113">
        <v>82</v>
      </c>
      <c r="O113">
        <v>15848.361999999999</v>
      </c>
      <c r="P113" t="s">
        <v>179</v>
      </c>
      <c r="Q113">
        <v>17</v>
      </c>
      <c r="R113">
        <v>5</v>
      </c>
      <c r="S113">
        <v>24</v>
      </c>
      <c r="T113">
        <v>8444236</v>
      </c>
      <c r="U113">
        <v>84</v>
      </c>
      <c r="V113">
        <v>186</v>
      </c>
      <c r="W113">
        <v>15848.362418511269</v>
      </c>
      <c r="X113">
        <v>8444235.9786088634</v>
      </c>
      <c r="Y113">
        <v>12.818</v>
      </c>
      <c r="Z113">
        <f>VLOOKUP($AC113,'2017 Seattle Tracts'!$C$2:$Z$399,24,FALSE)</f>
        <v>3515613.3509999998</v>
      </c>
      <c r="AA113">
        <f t="shared" si="3"/>
        <v>3.6460209699550661E-6</v>
      </c>
      <c r="AB113" t="s">
        <v>182</v>
      </c>
      <c r="AC113" t="str">
        <f t="shared" si="2"/>
        <v>Census Tract 117, King County, Washington</v>
      </c>
      <c r="AD113">
        <f>VLOOKUP($AC113,'2017 Seattle Tracts'!$C$2:$Z$399,AD$1,FALSE)*AA113</f>
        <v>2.0705753088374822E-2</v>
      </c>
      <c r="AE113">
        <f>VLOOKUP($AC113,'2017 Seattle Tracts'!$C$2:$Z$399,AE$1,FALSE)*AA113</f>
        <v>1.1980824907272347E-2</v>
      </c>
      <c r="AF113">
        <f>VLOOKUP($AC113,'2017 Seattle Tracts'!$C$2:$Z$399,AF$1,FALSE)*AA113</f>
        <v>8.7249281811024731E-3</v>
      </c>
      <c r="AG113">
        <f>VLOOKUP($AC113,'2017 Seattle Tracts'!$C$2:$Z$399,AG$1,FALSE)*AA113</f>
        <v>2.0705753088374822E-2</v>
      </c>
      <c r="AH113">
        <f>VLOOKUP($AC113,'2017 Seattle Tracts'!$C$2:$Z$399,AH$1,FALSE)*AA113</f>
        <v>1.1980824907272347E-2</v>
      </c>
      <c r="AI113">
        <f>VLOOKUP($AC113,'2017 Seattle Tracts'!$C$2:$Z$399,AI$1,FALSE)*AA113</f>
        <v>8.7249281811024731E-3</v>
      </c>
      <c r="AJ113">
        <f>VLOOKUP($AC113,'2017 Seattle Tracts'!$C$2:$Z$399,AJ$1,FALSE)*AA113</f>
        <v>2.3699136304707932E-3</v>
      </c>
      <c r="AK113">
        <f>VLOOKUP($AC113,'2017 Seattle Tracts'!$C$2:$Z$399,AK$1,FALSE)*AA113</f>
        <v>2.1876125819730396E-5</v>
      </c>
      <c r="AL113">
        <f>VLOOKUP($AC113,'2017 Seattle Tracts'!$C$2:$Z$399,AL$1,FALSE)*AA113</f>
        <v>4.849207890040238E-4</v>
      </c>
      <c r="AM113">
        <f>VLOOKUP($AC113,'2017 Seattle Tracts'!$C$2:$Z$399,AM$1,FALSE)*AA113</f>
        <v>4.885668099739789E-4</v>
      </c>
      <c r="AN113">
        <f>VLOOKUP($AC113,'2017 Seattle Tracts'!$C$2:$Z$399,AN$1,FALSE)*AA113</f>
        <v>3.700711284504392E-3</v>
      </c>
      <c r="AO113">
        <f>VLOOKUP($AC113,'2017 Seattle Tracts'!$C$2:$Z$399,AO$1,FALSE)*AA113</f>
        <v>1.6480014784196898E-3</v>
      </c>
      <c r="AP113">
        <f>VLOOKUP($AC113,'2017 Seattle Tracts'!$C$2:$Z$399,AP$1,FALSE)*AA113</f>
        <v>9.844256618878679E-5</v>
      </c>
      <c r="AQ113">
        <f>VLOOKUP($AC113,'2017 Seattle Tracts'!$C$2:$Z$399,AQ$1,FALSE)*AA113</f>
        <v>0</v>
      </c>
      <c r="AR113">
        <f>VLOOKUP($AC113,'2017 Seattle Tracts'!$C$2:$Z$399,AR$1,FALSE)*AA113</f>
        <v>2.1657364561533093E-3</v>
      </c>
      <c r="AS113">
        <f>VLOOKUP($AC113,'2017 Seattle Tracts'!$C$2:$Z$399,AS$1,FALSE)*AA113</f>
        <v>5.7242529228294535E-3</v>
      </c>
      <c r="AT113">
        <f>VLOOKUP($AC113,'2017 Seattle Tracts'!$C$2:$Z$399,AT$1,FALSE)*AA113</f>
        <v>3.7554015990537182E-4</v>
      </c>
      <c r="AU113">
        <f>VLOOKUP($AC113,'2017 Seattle Tracts'!$C$2:$Z$399,AU$1,FALSE)*AA113</f>
        <v>4.4481455833451808E-4</v>
      </c>
      <c r="AV113">
        <f>VLOOKUP($AC113,'2017 Seattle Tracts'!$C$2:$Z$399,AV$1,FALSE)*AA113</f>
        <v>2.6980555177667488E-4</v>
      </c>
      <c r="AW113">
        <f>VLOOKUP($AC113,'2017 Seattle Tracts'!$C$2:$Z$399,AW$1,FALSE)*AA113</f>
        <v>1.2396471297847225E-4</v>
      </c>
      <c r="AX113">
        <f>VLOOKUP($AC113,'2017 Seattle Tracts'!$C$2:$Z$399,AX$1,FALSE)*AA113</f>
        <v>2.5157544692689954E-3</v>
      </c>
      <c r="AY113">
        <f>VLOOKUP($AC113,'2017 Seattle Tracts'!$C$2:$Z$399,AY$1,FALSE)*AA113</f>
        <v>2.7345157274662998E-4</v>
      </c>
    </row>
    <row r="114" spans="1:51" x14ac:dyDescent="0.25">
      <c r="A114" t="s">
        <v>2917</v>
      </c>
      <c r="B114" t="s">
        <v>2918</v>
      </c>
      <c r="C114" t="s">
        <v>3005</v>
      </c>
      <c r="D114" t="s">
        <v>2812</v>
      </c>
      <c r="E114" t="s">
        <v>2813</v>
      </c>
      <c r="F114" t="s">
        <v>2814</v>
      </c>
      <c r="G114" t="s">
        <v>2920</v>
      </c>
      <c r="H114" t="s">
        <v>2921</v>
      </c>
      <c r="I114">
        <v>3515612</v>
      </c>
      <c r="J114">
        <v>0</v>
      </c>
      <c r="K114" t="s">
        <v>3006</v>
      </c>
      <c r="L114" t="s">
        <v>3007</v>
      </c>
      <c r="M114">
        <v>3515613</v>
      </c>
      <c r="N114">
        <v>84</v>
      </c>
      <c r="O114">
        <v>20847.651999999998</v>
      </c>
      <c r="P114" t="s">
        <v>184</v>
      </c>
      <c r="Q114">
        <v>15</v>
      </c>
      <c r="R114">
        <v>4</v>
      </c>
      <c r="S114">
        <v>9</v>
      </c>
      <c r="T114">
        <v>19601602</v>
      </c>
      <c r="U114">
        <v>86</v>
      </c>
      <c r="V114">
        <v>192</v>
      </c>
      <c r="W114">
        <v>20847.653192299731</v>
      </c>
      <c r="X114">
        <v>19601601.215348601</v>
      </c>
      <c r="Y114">
        <v>341994.37400000001</v>
      </c>
      <c r="Z114">
        <f>VLOOKUP($AC114,'2017 Seattle Tracts'!$C$2:$Z$399,24,FALSE)</f>
        <v>3515613.3509999998</v>
      </c>
      <c r="AA114">
        <f t="shared" si="3"/>
        <v>9.7278722047952543E-2</v>
      </c>
      <c r="AB114" t="s">
        <v>185</v>
      </c>
      <c r="AC114" t="str">
        <f t="shared" si="2"/>
        <v>Census Tract 117, King County, Washington</v>
      </c>
      <c r="AD114">
        <f>VLOOKUP($AC114,'2017 Seattle Tracts'!$C$2:$Z$399,AD$1,FALSE)*AA114</f>
        <v>552.44586251032251</v>
      </c>
      <c r="AE114">
        <f>VLOOKUP($AC114,'2017 Seattle Tracts'!$C$2:$Z$399,AE$1,FALSE)*AA114</f>
        <v>319.65788064957206</v>
      </c>
      <c r="AF114">
        <f>VLOOKUP($AC114,'2017 Seattle Tracts'!$C$2:$Z$399,AF$1,FALSE)*AA114</f>
        <v>232.78798186075045</v>
      </c>
      <c r="AG114">
        <f>VLOOKUP($AC114,'2017 Seattle Tracts'!$C$2:$Z$399,AG$1,FALSE)*AA114</f>
        <v>552.44586251032251</v>
      </c>
      <c r="AH114">
        <f>VLOOKUP($AC114,'2017 Seattle Tracts'!$C$2:$Z$399,AH$1,FALSE)*AA114</f>
        <v>319.65788064957206</v>
      </c>
      <c r="AI114">
        <f>VLOOKUP($AC114,'2017 Seattle Tracts'!$C$2:$Z$399,AI$1,FALSE)*AA114</f>
        <v>232.78798186075045</v>
      </c>
      <c r="AJ114">
        <f>VLOOKUP($AC114,'2017 Seattle Tracts'!$C$2:$Z$399,AJ$1,FALSE)*AA114</f>
        <v>63.231169331169156</v>
      </c>
      <c r="AK114">
        <f>VLOOKUP($AC114,'2017 Seattle Tracts'!$C$2:$Z$399,AK$1,FALSE)*AA114</f>
        <v>0.58367233228771531</v>
      </c>
      <c r="AL114">
        <f>VLOOKUP($AC114,'2017 Seattle Tracts'!$C$2:$Z$399,AL$1,FALSE)*AA114</f>
        <v>12.938070032377688</v>
      </c>
      <c r="AM114">
        <f>VLOOKUP($AC114,'2017 Seattle Tracts'!$C$2:$Z$399,AM$1,FALSE)*AA114</f>
        <v>13.035348754425641</v>
      </c>
      <c r="AN114">
        <f>VLOOKUP($AC114,'2017 Seattle Tracts'!$C$2:$Z$399,AN$1,FALSE)*AA114</f>
        <v>98.737902878671832</v>
      </c>
      <c r="AO114">
        <f>VLOOKUP($AC114,'2017 Seattle Tracts'!$C$2:$Z$399,AO$1,FALSE)*AA114</f>
        <v>43.969982365674547</v>
      </c>
      <c r="AP114">
        <f>VLOOKUP($AC114,'2017 Seattle Tracts'!$C$2:$Z$399,AP$1,FALSE)*AA114</f>
        <v>2.6265254952947186</v>
      </c>
      <c r="AQ114">
        <f>VLOOKUP($AC114,'2017 Seattle Tracts'!$C$2:$Z$399,AQ$1,FALSE)*AA114</f>
        <v>0</v>
      </c>
      <c r="AR114">
        <f>VLOOKUP($AC114,'2017 Seattle Tracts'!$C$2:$Z$399,AR$1,FALSE)*AA114</f>
        <v>57.783560896483813</v>
      </c>
      <c r="AS114">
        <f>VLOOKUP($AC114,'2017 Seattle Tracts'!$C$2:$Z$399,AS$1,FALSE)*AA114</f>
        <v>152.72759361528549</v>
      </c>
      <c r="AT114">
        <f>VLOOKUP($AC114,'2017 Seattle Tracts'!$C$2:$Z$399,AT$1,FALSE)*AA114</f>
        <v>10.019708370939112</v>
      </c>
      <c r="AU114">
        <f>VLOOKUP($AC114,'2017 Seattle Tracts'!$C$2:$Z$399,AU$1,FALSE)*AA114</f>
        <v>11.86800408985021</v>
      </c>
      <c r="AV114">
        <f>VLOOKUP($AC114,'2017 Seattle Tracts'!$C$2:$Z$399,AV$1,FALSE)*AA114</f>
        <v>7.1986254315484883</v>
      </c>
      <c r="AW114">
        <f>VLOOKUP($AC114,'2017 Seattle Tracts'!$C$2:$Z$399,AW$1,FALSE)*AA114</f>
        <v>3.3074765496303864</v>
      </c>
      <c r="AX114">
        <f>VLOOKUP($AC114,'2017 Seattle Tracts'!$C$2:$Z$399,AX$1,FALSE)*AA114</f>
        <v>67.122318213087254</v>
      </c>
      <c r="AY114">
        <f>VLOOKUP($AC114,'2017 Seattle Tracts'!$C$2:$Z$399,AY$1,FALSE)*AA114</f>
        <v>7.2959041535964406</v>
      </c>
    </row>
    <row r="115" spans="1:51" x14ac:dyDescent="0.25">
      <c r="A115" t="s">
        <v>2917</v>
      </c>
      <c r="B115" t="s">
        <v>2918</v>
      </c>
      <c r="C115" t="s">
        <v>3005</v>
      </c>
      <c r="D115" t="s">
        <v>2812</v>
      </c>
      <c r="E115" t="s">
        <v>2813</v>
      </c>
      <c r="F115" t="s">
        <v>2814</v>
      </c>
      <c r="G115" t="s">
        <v>2920</v>
      </c>
      <c r="H115" t="s">
        <v>2921</v>
      </c>
      <c r="I115">
        <v>3515612</v>
      </c>
      <c r="J115">
        <v>0</v>
      </c>
      <c r="K115" t="s">
        <v>3006</v>
      </c>
      <c r="L115" t="s">
        <v>3007</v>
      </c>
      <c r="M115">
        <v>3515613</v>
      </c>
      <c r="N115">
        <v>85</v>
      </c>
      <c r="O115">
        <v>34965.612999999998</v>
      </c>
      <c r="P115" t="s">
        <v>184</v>
      </c>
      <c r="Q115">
        <v>15</v>
      </c>
      <c r="R115">
        <v>4</v>
      </c>
      <c r="S115">
        <v>81</v>
      </c>
      <c r="T115">
        <v>33128236</v>
      </c>
      <c r="U115">
        <v>87</v>
      </c>
      <c r="V115">
        <v>194</v>
      </c>
      <c r="W115">
        <v>34965.613210047493</v>
      </c>
      <c r="X115">
        <v>33128236.141302869</v>
      </c>
      <c r="Y115">
        <v>758548.47999999998</v>
      </c>
      <c r="Z115">
        <f>VLOOKUP($AC115,'2017 Seattle Tracts'!$C$2:$Z$399,24,FALSE)</f>
        <v>3515613.3509999998</v>
      </c>
      <c r="AA115">
        <f t="shared" si="3"/>
        <v>0.2157656159157077</v>
      </c>
      <c r="AB115" t="s">
        <v>186</v>
      </c>
      <c r="AC115" t="str">
        <f t="shared" si="2"/>
        <v>Census Tract 117, King County, Washington</v>
      </c>
      <c r="AD115">
        <f>VLOOKUP($AC115,'2017 Seattle Tracts'!$C$2:$Z$399,AD$1,FALSE)*AA115</f>
        <v>1225.3329327853039</v>
      </c>
      <c r="AE115">
        <f>VLOOKUP($AC115,'2017 Seattle Tracts'!$C$2:$Z$399,AE$1,FALSE)*AA115</f>
        <v>709.00581389901549</v>
      </c>
      <c r="AF115">
        <f>VLOOKUP($AC115,'2017 Seattle Tracts'!$C$2:$Z$399,AF$1,FALSE)*AA115</f>
        <v>516.32711888628853</v>
      </c>
      <c r="AG115">
        <f>VLOOKUP($AC115,'2017 Seattle Tracts'!$C$2:$Z$399,AG$1,FALSE)*AA115</f>
        <v>1225.3329327853039</v>
      </c>
      <c r="AH115">
        <f>VLOOKUP($AC115,'2017 Seattle Tracts'!$C$2:$Z$399,AH$1,FALSE)*AA115</f>
        <v>709.00581389901549</v>
      </c>
      <c r="AI115">
        <f>VLOOKUP($AC115,'2017 Seattle Tracts'!$C$2:$Z$399,AI$1,FALSE)*AA115</f>
        <v>516.32711888628853</v>
      </c>
      <c r="AJ115">
        <f>VLOOKUP($AC115,'2017 Seattle Tracts'!$C$2:$Z$399,AJ$1,FALSE)*AA115</f>
        <v>140.24765034520999</v>
      </c>
      <c r="AK115">
        <f>VLOOKUP($AC115,'2017 Seattle Tracts'!$C$2:$Z$399,AK$1,FALSE)*AA115</f>
        <v>1.2945936954942461</v>
      </c>
      <c r="AL115">
        <f>VLOOKUP($AC115,'2017 Seattle Tracts'!$C$2:$Z$399,AL$1,FALSE)*AA115</f>
        <v>28.696826916789124</v>
      </c>
      <c r="AM115">
        <f>VLOOKUP($AC115,'2017 Seattle Tracts'!$C$2:$Z$399,AM$1,FALSE)*AA115</f>
        <v>28.912592532704831</v>
      </c>
      <c r="AN115">
        <f>VLOOKUP($AC115,'2017 Seattle Tracts'!$C$2:$Z$399,AN$1,FALSE)*AA115</f>
        <v>219.00210015444333</v>
      </c>
      <c r="AO115">
        <f>VLOOKUP($AC115,'2017 Seattle Tracts'!$C$2:$Z$399,AO$1,FALSE)*AA115</f>
        <v>97.526058393899874</v>
      </c>
      <c r="AP115">
        <f>VLOOKUP($AC115,'2017 Seattle Tracts'!$C$2:$Z$399,AP$1,FALSE)*AA115</f>
        <v>5.8256716297241082</v>
      </c>
      <c r="AQ115">
        <f>VLOOKUP($AC115,'2017 Seattle Tracts'!$C$2:$Z$399,AQ$1,FALSE)*AA115</f>
        <v>0</v>
      </c>
      <c r="AR115">
        <f>VLOOKUP($AC115,'2017 Seattle Tracts'!$C$2:$Z$399,AR$1,FALSE)*AA115</f>
        <v>128.16477585393037</v>
      </c>
      <c r="AS115">
        <f>VLOOKUP($AC115,'2017 Seattle Tracts'!$C$2:$Z$399,AS$1,FALSE)*AA115</f>
        <v>338.75201698766108</v>
      </c>
      <c r="AT115">
        <f>VLOOKUP($AC115,'2017 Seattle Tracts'!$C$2:$Z$399,AT$1,FALSE)*AA115</f>
        <v>22.223858439317894</v>
      </c>
      <c r="AU115">
        <f>VLOOKUP($AC115,'2017 Seattle Tracts'!$C$2:$Z$399,AU$1,FALSE)*AA115</f>
        <v>26.323405141716339</v>
      </c>
      <c r="AV115">
        <f>VLOOKUP($AC115,'2017 Seattle Tracts'!$C$2:$Z$399,AV$1,FALSE)*AA115</f>
        <v>15.966655577762369</v>
      </c>
      <c r="AW115">
        <f>VLOOKUP($AC115,'2017 Seattle Tracts'!$C$2:$Z$399,AW$1,FALSE)*AA115</f>
        <v>7.3360309411340614</v>
      </c>
      <c r="AX115">
        <f>VLOOKUP($AC115,'2017 Seattle Tracts'!$C$2:$Z$399,AX$1,FALSE)*AA115</f>
        <v>148.8782749818383</v>
      </c>
      <c r="AY115">
        <f>VLOOKUP($AC115,'2017 Seattle Tracts'!$C$2:$Z$399,AY$1,FALSE)*AA115</f>
        <v>16.182421193678078</v>
      </c>
    </row>
    <row r="116" spans="1:51" x14ac:dyDescent="0.25">
      <c r="A116" t="s">
        <v>2917</v>
      </c>
      <c r="B116" t="s">
        <v>2918</v>
      </c>
      <c r="C116" t="s">
        <v>3008</v>
      </c>
      <c r="D116" t="s">
        <v>2560</v>
      </c>
      <c r="E116" t="s">
        <v>2561</v>
      </c>
      <c r="F116" t="s">
        <v>2562</v>
      </c>
      <c r="G116" t="s">
        <v>2920</v>
      </c>
      <c r="H116" t="s">
        <v>2921</v>
      </c>
      <c r="I116">
        <v>229060</v>
      </c>
      <c r="J116">
        <v>0</v>
      </c>
      <c r="K116" t="s">
        <v>3009</v>
      </c>
      <c r="L116" t="s">
        <v>3010</v>
      </c>
      <c r="M116">
        <v>229061</v>
      </c>
      <c r="N116">
        <v>59</v>
      </c>
      <c r="O116">
        <v>7326.5820000000003</v>
      </c>
      <c r="P116" t="s">
        <v>156</v>
      </c>
      <c r="Q116">
        <v>13</v>
      </c>
      <c r="R116">
        <v>11</v>
      </c>
      <c r="S116">
        <v>0</v>
      </c>
      <c r="T116">
        <v>2343359.25</v>
      </c>
      <c r="U116">
        <v>61</v>
      </c>
      <c r="V116">
        <v>201</v>
      </c>
      <c r="W116">
        <v>7326.5817302462356</v>
      </c>
      <c r="X116">
        <v>2343359.3260636888</v>
      </c>
      <c r="Y116">
        <v>52722.483999999997</v>
      </c>
      <c r="Z116">
        <f>VLOOKUP($AC116,'2017 Seattle Tracts'!$C$2:$Z$399,24,FALSE)</f>
        <v>229060.647</v>
      </c>
      <c r="AA116">
        <f t="shared" si="3"/>
        <v>0.23016823138546361</v>
      </c>
      <c r="AB116" t="s">
        <v>155</v>
      </c>
      <c r="AC116" t="str">
        <f t="shared" si="2"/>
        <v>Census Tract 80.02, King County, Washington</v>
      </c>
      <c r="AD116">
        <f>VLOOKUP($AC116,'2017 Seattle Tracts'!$C$2:$Z$399,AD$1,FALSE)*AA116</f>
        <v>861.74985830717571</v>
      </c>
      <c r="AE116">
        <f>VLOOKUP($AC116,'2017 Seattle Tracts'!$C$2:$Z$399,AE$1,FALSE)*AA116</f>
        <v>699.94159164319478</v>
      </c>
      <c r="AF116">
        <f>VLOOKUP($AC116,'2017 Seattle Tracts'!$C$2:$Z$399,AF$1,FALSE)*AA116</f>
        <v>161.8082666639809</v>
      </c>
      <c r="AG116">
        <f>VLOOKUP($AC116,'2017 Seattle Tracts'!$C$2:$Z$399,AG$1,FALSE)*AA116</f>
        <v>861.74985830717571</v>
      </c>
      <c r="AH116">
        <f>VLOOKUP($AC116,'2017 Seattle Tracts'!$C$2:$Z$399,AH$1,FALSE)*AA116</f>
        <v>699.94159164319478</v>
      </c>
      <c r="AI116">
        <f>VLOOKUP($AC116,'2017 Seattle Tracts'!$C$2:$Z$399,AI$1,FALSE)*AA116</f>
        <v>161.8082666639809</v>
      </c>
      <c r="AJ116">
        <f>VLOOKUP($AC116,'2017 Seattle Tracts'!$C$2:$Z$399,AJ$1,FALSE)*AA116</f>
        <v>537.90315674782846</v>
      </c>
      <c r="AK116">
        <f>VLOOKUP($AC116,'2017 Seattle Tracts'!$C$2:$Z$399,AK$1,FALSE)*AA116</f>
        <v>24.397832526859141</v>
      </c>
      <c r="AL116">
        <f>VLOOKUP($AC116,'2017 Seattle Tracts'!$C$2:$Z$399,AL$1,FALSE)*AA116</f>
        <v>31.993384162579442</v>
      </c>
      <c r="AM116">
        <f>VLOOKUP($AC116,'2017 Seattle Tracts'!$C$2:$Z$399,AM$1,FALSE)*AA116</f>
        <v>8.5162245612621525</v>
      </c>
      <c r="AN116">
        <f>VLOOKUP($AC116,'2017 Seattle Tracts'!$C$2:$Z$399,AN$1,FALSE)*AA116</f>
        <v>40.509608723841595</v>
      </c>
      <c r="AO116">
        <f>VLOOKUP($AC116,'2017 Seattle Tracts'!$C$2:$Z$399,AO$1,FALSE)*AA116</f>
        <v>14.730766808669671</v>
      </c>
      <c r="AP116">
        <f>VLOOKUP($AC116,'2017 Seattle Tracts'!$C$2:$Z$399,AP$1,FALSE)*AA116</f>
        <v>7.595551635720299</v>
      </c>
      <c r="AQ116">
        <f>VLOOKUP($AC116,'2017 Seattle Tracts'!$C$2:$Z$399,AQ$1,FALSE)*AA116</f>
        <v>4.6033646277092721</v>
      </c>
      <c r="AR116">
        <f>VLOOKUP($AC116,'2017 Seattle Tracts'!$C$2:$Z$399,AR$1,FALSE)*AA116</f>
        <v>27.159851303484707</v>
      </c>
      <c r="AS116">
        <f>VLOOKUP($AC116,'2017 Seattle Tracts'!$C$2:$Z$399,AS$1,FALSE)*AA116</f>
        <v>105.41704997454234</v>
      </c>
      <c r="AT116">
        <f>VLOOKUP($AC116,'2017 Seattle Tracts'!$C$2:$Z$399,AT$1,FALSE)*AA116</f>
        <v>0</v>
      </c>
      <c r="AU116">
        <f>VLOOKUP($AC116,'2017 Seattle Tracts'!$C$2:$Z$399,AU$1,FALSE)*AA116</f>
        <v>0</v>
      </c>
      <c r="AV116">
        <f>VLOOKUP($AC116,'2017 Seattle Tracts'!$C$2:$Z$399,AV$1,FALSE)*AA116</f>
        <v>3.4525234707819541</v>
      </c>
      <c r="AW116">
        <f>VLOOKUP($AC116,'2017 Seattle Tracts'!$C$2:$Z$399,AW$1,FALSE)*AA116</f>
        <v>4.1430281649383449</v>
      </c>
      <c r="AX116">
        <f>VLOOKUP($AC116,'2017 Seattle Tracts'!$C$2:$Z$399,AX$1,FALSE)*AA116</f>
        <v>51.327515598958385</v>
      </c>
      <c r="AY116">
        <f>VLOOKUP($AC116,'2017 Seattle Tracts'!$C$2:$Z$399,AY$1,FALSE)*AA116</f>
        <v>0</v>
      </c>
    </row>
    <row r="117" spans="1:51" x14ac:dyDescent="0.25">
      <c r="A117" t="s">
        <v>2917</v>
      </c>
      <c r="B117" t="s">
        <v>2918</v>
      </c>
      <c r="C117" t="s">
        <v>3008</v>
      </c>
      <c r="D117" t="s">
        <v>2560</v>
      </c>
      <c r="E117" t="s">
        <v>2561</v>
      </c>
      <c r="F117" t="s">
        <v>2562</v>
      </c>
      <c r="G117" t="s">
        <v>2920</v>
      </c>
      <c r="H117" t="s">
        <v>2921</v>
      </c>
      <c r="I117">
        <v>229060</v>
      </c>
      <c r="J117">
        <v>0</v>
      </c>
      <c r="K117" t="s">
        <v>3009</v>
      </c>
      <c r="L117" t="s">
        <v>3010</v>
      </c>
      <c r="M117">
        <v>229061</v>
      </c>
      <c r="N117">
        <v>60</v>
      </c>
      <c r="O117">
        <v>21967.599999999999</v>
      </c>
      <c r="P117" t="s">
        <v>156</v>
      </c>
      <c r="Q117">
        <v>13</v>
      </c>
      <c r="R117">
        <v>11</v>
      </c>
      <c r="S117">
        <v>81</v>
      </c>
      <c r="T117">
        <v>14974037</v>
      </c>
      <c r="U117">
        <v>62</v>
      </c>
      <c r="V117">
        <v>156</v>
      </c>
      <c r="W117">
        <v>21967.599459922661</v>
      </c>
      <c r="X117">
        <v>14974037.0994289</v>
      </c>
      <c r="Y117">
        <v>176240.89199999999</v>
      </c>
      <c r="Z117">
        <f>VLOOKUP($AC117,'2017 Seattle Tracts'!$C$2:$Z$399,24,FALSE)</f>
        <v>229060.647</v>
      </c>
      <c r="AA117">
        <f t="shared" si="3"/>
        <v>0.76940711688463881</v>
      </c>
      <c r="AB117" t="s">
        <v>157</v>
      </c>
      <c r="AC117" t="str">
        <f t="shared" si="2"/>
        <v>Census Tract 80.02, King County, Washington</v>
      </c>
      <c r="AD117">
        <f>VLOOKUP($AC117,'2017 Seattle Tracts'!$C$2:$Z$399,AD$1,FALSE)*AA117</f>
        <v>2880.6602456160876</v>
      </c>
      <c r="AE117">
        <f>VLOOKUP($AC117,'2017 Seattle Tracts'!$C$2:$Z$399,AE$1,FALSE)*AA117</f>
        <v>2339.7670424461867</v>
      </c>
      <c r="AF117">
        <f>VLOOKUP($AC117,'2017 Seattle Tracts'!$C$2:$Z$399,AF$1,FALSE)*AA117</f>
        <v>540.89320316990108</v>
      </c>
      <c r="AG117">
        <f>VLOOKUP($AC117,'2017 Seattle Tracts'!$C$2:$Z$399,AG$1,FALSE)*AA117</f>
        <v>2880.6602456160876</v>
      </c>
      <c r="AH117">
        <f>VLOOKUP($AC117,'2017 Seattle Tracts'!$C$2:$Z$399,AH$1,FALSE)*AA117</f>
        <v>2339.7670424461867</v>
      </c>
      <c r="AI117">
        <f>VLOOKUP($AC117,'2017 Seattle Tracts'!$C$2:$Z$399,AI$1,FALSE)*AA117</f>
        <v>540.89320316990108</v>
      </c>
      <c r="AJ117">
        <f>VLOOKUP($AC117,'2017 Seattle Tracts'!$C$2:$Z$399,AJ$1,FALSE)*AA117</f>
        <v>1798.1044321594009</v>
      </c>
      <c r="AK117">
        <f>VLOOKUP($AC117,'2017 Seattle Tracts'!$C$2:$Z$399,AK$1,FALSE)*AA117</f>
        <v>81.557154389771711</v>
      </c>
      <c r="AL117">
        <f>VLOOKUP($AC117,'2017 Seattle Tracts'!$C$2:$Z$399,AL$1,FALSE)*AA117</f>
        <v>106.9475892469648</v>
      </c>
      <c r="AM117">
        <f>VLOOKUP($AC117,'2017 Seattle Tracts'!$C$2:$Z$399,AM$1,FALSE)*AA117</f>
        <v>28.468063324731634</v>
      </c>
      <c r="AN117">
        <f>VLOOKUP($AC117,'2017 Seattle Tracts'!$C$2:$Z$399,AN$1,FALSE)*AA117</f>
        <v>135.41565257169643</v>
      </c>
      <c r="AO117">
        <f>VLOOKUP($AC117,'2017 Seattle Tracts'!$C$2:$Z$399,AO$1,FALSE)*AA117</f>
        <v>49.242055480616884</v>
      </c>
      <c r="AP117">
        <f>VLOOKUP($AC117,'2017 Seattle Tracts'!$C$2:$Z$399,AP$1,FALSE)*AA117</f>
        <v>25.390434857193082</v>
      </c>
      <c r="AQ117">
        <f>VLOOKUP($AC117,'2017 Seattle Tracts'!$C$2:$Z$399,AQ$1,FALSE)*AA117</f>
        <v>15.388142337692777</v>
      </c>
      <c r="AR117">
        <f>VLOOKUP($AC117,'2017 Seattle Tracts'!$C$2:$Z$399,AR$1,FALSE)*AA117</f>
        <v>90.790039792387375</v>
      </c>
      <c r="AS117">
        <f>VLOOKUP($AC117,'2017 Seattle Tracts'!$C$2:$Z$399,AS$1,FALSE)*AA117</f>
        <v>352.38845953316456</v>
      </c>
      <c r="AT117">
        <f>VLOOKUP($AC117,'2017 Seattle Tracts'!$C$2:$Z$399,AT$1,FALSE)*AA117</f>
        <v>0</v>
      </c>
      <c r="AU117">
        <f>VLOOKUP($AC117,'2017 Seattle Tracts'!$C$2:$Z$399,AU$1,FALSE)*AA117</f>
        <v>0</v>
      </c>
      <c r="AV117">
        <f>VLOOKUP($AC117,'2017 Seattle Tracts'!$C$2:$Z$399,AV$1,FALSE)*AA117</f>
        <v>11.541106753269583</v>
      </c>
      <c r="AW117">
        <f>VLOOKUP($AC117,'2017 Seattle Tracts'!$C$2:$Z$399,AW$1,FALSE)*AA117</f>
        <v>13.849328103923499</v>
      </c>
      <c r="AX117">
        <f>VLOOKUP($AC117,'2017 Seattle Tracts'!$C$2:$Z$399,AX$1,FALSE)*AA117</f>
        <v>171.57778706527446</v>
      </c>
      <c r="AY117">
        <f>VLOOKUP($AC117,'2017 Seattle Tracts'!$C$2:$Z$399,AY$1,FALSE)*AA117</f>
        <v>0</v>
      </c>
    </row>
    <row r="118" spans="1:51" x14ac:dyDescent="0.25">
      <c r="A118" t="s">
        <v>2917</v>
      </c>
      <c r="B118" t="s">
        <v>2918</v>
      </c>
      <c r="C118" t="s">
        <v>3008</v>
      </c>
      <c r="D118" t="s">
        <v>2560</v>
      </c>
      <c r="E118" t="s">
        <v>2561</v>
      </c>
      <c r="F118" t="s">
        <v>2562</v>
      </c>
      <c r="G118" t="s">
        <v>2920</v>
      </c>
      <c r="H118" t="s">
        <v>2921</v>
      </c>
      <c r="I118">
        <v>229060</v>
      </c>
      <c r="J118">
        <v>0</v>
      </c>
      <c r="K118" t="s">
        <v>3009</v>
      </c>
      <c r="L118" t="s">
        <v>3010</v>
      </c>
      <c r="M118">
        <v>229061</v>
      </c>
      <c r="N118">
        <v>62</v>
      </c>
      <c r="O118">
        <v>18209.463</v>
      </c>
      <c r="P118" t="s">
        <v>156</v>
      </c>
      <c r="Q118">
        <v>13</v>
      </c>
      <c r="R118">
        <v>11</v>
      </c>
      <c r="S118">
        <v>95</v>
      </c>
      <c r="T118">
        <v>9477399</v>
      </c>
      <c r="U118">
        <v>64</v>
      </c>
      <c r="V118">
        <v>159</v>
      </c>
      <c r="W118">
        <v>18209.462862458811</v>
      </c>
      <c r="X118">
        <v>9477398.6185622383</v>
      </c>
      <c r="Y118">
        <v>97.263000000000005</v>
      </c>
      <c r="Z118">
        <f>VLOOKUP($AC118,'2017 Seattle Tracts'!$C$2:$Z$399,24,FALSE)</f>
        <v>229060.647</v>
      </c>
      <c r="AA118">
        <f t="shared" si="3"/>
        <v>4.2461680464911985E-4</v>
      </c>
      <c r="AB118" t="s">
        <v>159</v>
      </c>
      <c r="AC118" t="str">
        <f t="shared" si="2"/>
        <v>Census Tract 80.02, King County, Washington</v>
      </c>
      <c r="AD118">
        <f>VLOOKUP($AC118,'2017 Seattle Tracts'!$C$2:$Z$399,AD$1,FALSE)*AA118</f>
        <v>1.5897653166063048</v>
      </c>
      <c r="AE118">
        <f>VLOOKUP($AC118,'2017 Seattle Tracts'!$C$2:$Z$399,AE$1,FALSE)*AA118</f>
        <v>1.2912597029379735</v>
      </c>
      <c r="AF118">
        <f>VLOOKUP($AC118,'2017 Seattle Tracts'!$C$2:$Z$399,AF$1,FALSE)*AA118</f>
        <v>0.29850561366833128</v>
      </c>
      <c r="AG118">
        <f>VLOOKUP($AC118,'2017 Seattle Tracts'!$C$2:$Z$399,AG$1,FALSE)*AA118</f>
        <v>1.5897653166063048</v>
      </c>
      <c r="AH118">
        <f>VLOOKUP($AC118,'2017 Seattle Tracts'!$C$2:$Z$399,AH$1,FALSE)*AA118</f>
        <v>1.2912597029379735</v>
      </c>
      <c r="AI118">
        <f>VLOOKUP($AC118,'2017 Seattle Tracts'!$C$2:$Z$399,AI$1,FALSE)*AA118</f>
        <v>0.29850561366833128</v>
      </c>
      <c r="AJ118">
        <f>VLOOKUP($AC118,'2017 Seattle Tracts'!$C$2:$Z$399,AJ$1,FALSE)*AA118</f>
        <v>0.99232947246499315</v>
      </c>
      <c r="AK118">
        <f>VLOOKUP($AC118,'2017 Seattle Tracts'!$C$2:$Z$399,AK$1,FALSE)*AA118</f>
        <v>4.5009381292806704E-2</v>
      </c>
      <c r="AL118">
        <f>VLOOKUP($AC118,'2017 Seattle Tracts'!$C$2:$Z$399,AL$1,FALSE)*AA118</f>
        <v>5.9021735846227656E-2</v>
      </c>
      <c r="AM118">
        <f>VLOOKUP($AC118,'2017 Seattle Tracts'!$C$2:$Z$399,AM$1,FALSE)*AA118</f>
        <v>1.5710821772017436E-2</v>
      </c>
      <c r="AN118">
        <f>VLOOKUP($AC118,'2017 Seattle Tracts'!$C$2:$Z$399,AN$1,FALSE)*AA118</f>
        <v>7.4732557618245099E-2</v>
      </c>
      <c r="AO118">
        <f>VLOOKUP($AC118,'2017 Seattle Tracts'!$C$2:$Z$399,AO$1,FALSE)*AA118</f>
        <v>2.717547549754367E-2</v>
      </c>
      <c r="AP118">
        <f>VLOOKUP($AC118,'2017 Seattle Tracts'!$C$2:$Z$399,AP$1,FALSE)*AA118</f>
        <v>1.4012354553420954E-2</v>
      </c>
      <c r="AQ118">
        <f>VLOOKUP($AC118,'2017 Seattle Tracts'!$C$2:$Z$399,AQ$1,FALSE)*AA118</f>
        <v>8.4923360929823975E-3</v>
      </c>
      <c r="AR118">
        <f>VLOOKUP($AC118,'2017 Seattle Tracts'!$C$2:$Z$399,AR$1,FALSE)*AA118</f>
        <v>5.010478294859614E-2</v>
      </c>
      <c r="AS118">
        <f>VLOOKUP($AC118,'2017 Seattle Tracts'!$C$2:$Z$399,AS$1,FALSE)*AA118</f>
        <v>0.19447449652929688</v>
      </c>
      <c r="AT118">
        <f>VLOOKUP($AC118,'2017 Seattle Tracts'!$C$2:$Z$399,AT$1,FALSE)*AA118</f>
        <v>0</v>
      </c>
      <c r="AU118">
        <f>VLOOKUP($AC118,'2017 Seattle Tracts'!$C$2:$Z$399,AU$1,FALSE)*AA118</f>
        <v>0</v>
      </c>
      <c r="AV118">
        <f>VLOOKUP($AC118,'2017 Seattle Tracts'!$C$2:$Z$399,AV$1,FALSE)*AA118</f>
        <v>6.3692520697367977E-3</v>
      </c>
      <c r="AW118">
        <f>VLOOKUP($AC118,'2017 Seattle Tracts'!$C$2:$Z$399,AW$1,FALSE)*AA118</f>
        <v>7.6431024836841575E-3</v>
      </c>
      <c r="AX118">
        <f>VLOOKUP($AC118,'2017 Seattle Tracts'!$C$2:$Z$399,AX$1,FALSE)*AA118</f>
        <v>9.4689547436753729E-2</v>
      </c>
      <c r="AY118">
        <f>VLOOKUP($AC118,'2017 Seattle Tracts'!$C$2:$Z$399,AY$1,FALSE)*AA118</f>
        <v>0</v>
      </c>
    </row>
    <row r="119" spans="1:51" x14ac:dyDescent="0.25">
      <c r="A119" t="s">
        <v>2917</v>
      </c>
      <c r="B119" t="s">
        <v>2918</v>
      </c>
      <c r="C119" t="s">
        <v>3011</v>
      </c>
      <c r="D119" t="s">
        <v>2863</v>
      </c>
      <c r="E119" t="s">
        <v>2864</v>
      </c>
      <c r="F119" t="s">
        <v>2865</v>
      </c>
      <c r="G119" t="s">
        <v>2920</v>
      </c>
      <c r="H119" t="s">
        <v>2921</v>
      </c>
      <c r="I119">
        <v>1717927</v>
      </c>
      <c r="J119">
        <v>0</v>
      </c>
      <c r="K119" t="s">
        <v>3012</v>
      </c>
      <c r="L119" t="s">
        <v>3013</v>
      </c>
      <c r="M119">
        <v>1717922</v>
      </c>
      <c r="N119">
        <v>71</v>
      </c>
      <c r="O119">
        <v>23122.263999999999</v>
      </c>
      <c r="P119" t="s">
        <v>170</v>
      </c>
      <c r="Q119">
        <v>19</v>
      </c>
      <c r="R119">
        <v>9</v>
      </c>
      <c r="S119">
        <v>19</v>
      </c>
      <c r="T119">
        <v>18463062</v>
      </c>
      <c r="U119">
        <v>73</v>
      </c>
      <c r="V119">
        <v>178</v>
      </c>
      <c r="W119">
        <v>23122.264003256802</v>
      </c>
      <c r="X119">
        <v>18463061.7979086</v>
      </c>
      <c r="Y119">
        <v>526605.58900000004</v>
      </c>
      <c r="Z119">
        <f>VLOOKUP($AC119,'2017 Seattle Tracts'!$C$2:$Z$399,24,FALSE)</f>
        <v>1717922.3259999999</v>
      </c>
      <c r="AA119">
        <f t="shared" si="3"/>
        <v>0.30653632066482617</v>
      </c>
      <c r="AB119" t="s">
        <v>169</v>
      </c>
      <c r="AC119" t="str">
        <f t="shared" si="2"/>
        <v>Census Tract 105, King County, Washington</v>
      </c>
      <c r="AD119">
        <f>VLOOKUP($AC119,'2017 Seattle Tracts'!$C$2:$Z$399,AD$1,FALSE)*AA119</f>
        <v>2289.2132427249217</v>
      </c>
      <c r="AE119">
        <f>VLOOKUP($AC119,'2017 Seattle Tracts'!$C$2:$Z$399,AE$1,FALSE)*AA119</f>
        <v>1991.5664753593755</v>
      </c>
      <c r="AF119">
        <f>VLOOKUP($AC119,'2017 Seattle Tracts'!$C$2:$Z$399,AF$1,FALSE)*AA119</f>
        <v>297.64676736554622</v>
      </c>
      <c r="AG119">
        <f>VLOOKUP($AC119,'2017 Seattle Tracts'!$C$2:$Z$399,AG$1,FALSE)*AA119</f>
        <v>2289.2132427249217</v>
      </c>
      <c r="AH119">
        <f>VLOOKUP($AC119,'2017 Seattle Tracts'!$C$2:$Z$399,AH$1,FALSE)*AA119</f>
        <v>1991.5664753593755</v>
      </c>
      <c r="AI119">
        <f>VLOOKUP($AC119,'2017 Seattle Tracts'!$C$2:$Z$399,AI$1,FALSE)*AA119</f>
        <v>297.64676736554622</v>
      </c>
      <c r="AJ119">
        <f>VLOOKUP($AC119,'2017 Seattle Tracts'!$C$2:$Z$399,AJ$1,FALSE)*AA119</f>
        <v>1653.1503773454076</v>
      </c>
      <c r="AK119">
        <f>VLOOKUP($AC119,'2017 Seattle Tracts'!$C$2:$Z$399,AK$1,FALSE)*AA119</f>
        <v>141.9263164678145</v>
      </c>
      <c r="AL119">
        <f>VLOOKUP($AC119,'2017 Seattle Tracts'!$C$2:$Z$399,AL$1,FALSE)*AA119</f>
        <v>64.066091018948669</v>
      </c>
      <c r="AM119">
        <f>VLOOKUP($AC119,'2017 Seattle Tracts'!$C$2:$Z$399,AM$1,FALSE)*AA119</f>
        <v>0</v>
      </c>
      <c r="AN119">
        <f>VLOOKUP($AC119,'2017 Seattle Tracts'!$C$2:$Z$399,AN$1,FALSE)*AA119</f>
        <v>26.362123577175051</v>
      </c>
      <c r="AO119">
        <f>VLOOKUP($AC119,'2017 Seattle Tracts'!$C$2:$Z$399,AO$1,FALSE)*AA119</f>
        <v>23.603296691191616</v>
      </c>
      <c r="AP119">
        <f>VLOOKUP($AC119,'2017 Seattle Tracts'!$C$2:$Z$399,AP$1,FALSE)*AA119</f>
        <v>5.2111174513020444</v>
      </c>
      <c r="AQ119">
        <f>VLOOKUP($AC119,'2017 Seattle Tracts'!$C$2:$Z$399,AQ$1,FALSE)*AA119</f>
        <v>0</v>
      </c>
      <c r="AR119">
        <f>VLOOKUP($AC119,'2017 Seattle Tracts'!$C$2:$Z$399,AR$1,FALSE)*AA119</f>
        <v>91.654359878783026</v>
      </c>
      <c r="AS119">
        <f>VLOOKUP($AC119,'2017 Seattle Tracts'!$C$2:$Z$399,AS$1,FALSE)*AA119</f>
        <v>113.72497496665051</v>
      </c>
      <c r="AT119">
        <f>VLOOKUP($AC119,'2017 Seattle Tracts'!$C$2:$Z$399,AT$1,FALSE)*AA119</f>
        <v>0</v>
      </c>
      <c r="AU119">
        <f>VLOOKUP($AC119,'2017 Seattle Tracts'!$C$2:$Z$399,AU$1,FALSE)*AA119</f>
        <v>0</v>
      </c>
      <c r="AV119">
        <f>VLOOKUP($AC119,'2017 Seattle Tracts'!$C$2:$Z$399,AV$1,FALSE)*AA119</f>
        <v>0</v>
      </c>
      <c r="AW119">
        <f>VLOOKUP($AC119,'2017 Seattle Tracts'!$C$2:$Z$399,AW$1,FALSE)*AA119</f>
        <v>8.276480657950307</v>
      </c>
      <c r="AX119">
        <f>VLOOKUP($AC119,'2017 Seattle Tracts'!$C$2:$Z$399,AX$1,FALSE)*AA119</f>
        <v>151.12240608775929</v>
      </c>
      <c r="AY119">
        <f>VLOOKUP($AC119,'2017 Seattle Tracts'!$C$2:$Z$399,AY$1,FALSE)*AA119</f>
        <v>10.115698581939263</v>
      </c>
    </row>
    <row r="120" spans="1:51" x14ac:dyDescent="0.25">
      <c r="A120" t="s">
        <v>2917</v>
      </c>
      <c r="B120" t="s">
        <v>2918</v>
      </c>
      <c r="C120" t="s">
        <v>3011</v>
      </c>
      <c r="D120" t="s">
        <v>2863</v>
      </c>
      <c r="E120" t="s">
        <v>2864</v>
      </c>
      <c r="F120" t="s">
        <v>2865</v>
      </c>
      <c r="G120" t="s">
        <v>2920</v>
      </c>
      <c r="H120" t="s">
        <v>2921</v>
      </c>
      <c r="I120">
        <v>1717927</v>
      </c>
      <c r="J120">
        <v>0</v>
      </c>
      <c r="K120" t="s">
        <v>3012</v>
      </c>
      <c r="L120" t="s">
        <v>3013</v>
      </c>
      <c r="M120">
        <v>1717922</v>
      </c>
      <c r="N120">
        <v>74</v>
      </c>
      <c r="O120">
        <v>45568.137000000002</v>
      </c>
      <c r="P120" t="s">
        <v>170</v>
      </c>
      <c r="Q120">
        <v>19</v>
      </c>
      <c r="R120">
        <v>9</v>
      </c>
      <c r="S120">
        <v>81</v>
      </c>
      <c r="T120">
        <v>24583470</v>
      </c>
      <c r="U120">
        <v>76</v>
      </c>
      <c r="V120">
        <v>168</v>
      </c>
      <c r="W120">
        <v>45568.137853690583</v>
      </c>
      <c r="X120">
        <v>24583469.184015442</v>
      </c>
      <c r="Y120">
        <v>3.3439999999999999</v>
      </c>
      <c r="Z120">
        <f>VLOOKUP($AC120,'2017 Seattle Tracts'!$C$2:$Z$399,24,FALSE)</f>
        <v>1717922.3259999999</v>
      </c>
      <c r="AA120">
        <f t="shared" si="3"/>
        <v>1.9465373663232783E-6</v>
      </c>
      <c r="AB120" t="s">
        <v>173</v>
      </c>
      <c r="AC120" t="str">
        <f t="shared" si="2"/>
        <v>Census Tract 105, King County, Washington</v>
      </c>
      <c r="AD120">
        <f>VLOOKUP($AC120,'2017 Seattle Tracts'!$C$2:$Z$399,AD$1,FALSE)*AA120</f>
        <v>1.4536741051702242E-2</v>
      </c>
      <c r="AE120">
        <f>VLOOKUP($AC120,'2017 Seattle Tracts'!$C$2:$Z$399,AE$1,FALSE)*AA120</f>
        <v>1.2646653269002339E-2</v>
      </c>
      <c r="AF120">
        <f>VLOOKUP($AC120,'2017 Seattle Tracts'!$C$2:$Z$399,AF$1,FALSE)*AA120</f>
        <v>1.8900877826999033E-3</v>
      </c>
      <c r="AG120">
        <f>VLOOKUP($AC120,'2017 Seattle Tracts'!$C$2:$Z$399,AG$1,FALSE)*AA120</f>
        <v>1.4536741051702242E-2</v>
      </c>
      <c r="AH120">
        <f>VLOOKUP($AC120,'2017 Seattle Tracts'!$C$2:$Z$399,AH$1,FALSE)*AA120</f>
        <v>1.2646653269002339E-2</v>
      </c>
      <c r="AI120">
        <f>VLOOKUP($AC120,'2017 Seattle Tracts'!$C$2:$Z$399,AI$1,FALSE)*AA120</f>
        <v>1.8900877826999033E-3</v>
      </c>
      <c r="AJ120">
        <f>VLOOKUP($AC120,'2017 Seattle Tracts'!$C$2:$Z$399,AJ$1,FALSE)*AA120</f>
        <v>1.049767601658144E-2</v>
      </c>
      <c r="AK120">
        <f>VLOOKUP($AC120,'2017 Seattle Tracts'!$C$2:$Z$399,AK$1,FALSE)*AA120</f>
        <v>9.0124680060767789E-4</v>
      </c>
      <c r="AL120">
        <f>VLOOKUP($AC120,'2017 Seattle Tracts'!$C$2:$Z$399,AL$1,FALSE)*AA120</f>
        <v>4.0682630956156518E-4</v>
      </c>
      <c r="AM120">
        <f>VLOOKUP($AC120,'2017 Seattle Tracts'!$C$2:$Z$399,AM$1,FALSE)*AA120</f>
        <v>0</v>
      </c>
      <c r="AN120">
        <f>VLOOKUP($AC120,'2017 Seattle Tracts'!$C$2:$Z$399,AN$1,FALSE)*AA120</f>
        <v>1.6740221350380194E-4</v>
      </c>
      <c r="AO120">
        <f>VLOOKUP($AC120,'2017 Seattle Tracts'!$C$2:$Z$399,AO$1,FALSE)*AA120</f>
        <v>1.4988337720689242E-4</v>
      </c>
      <c r="AP120">
        <f>VLOOKUP($AC120,'2017 Seattle Tracts'!$C$2:$Z$399,AP$1,FALSE)*AA120</f>
        <v>3.3091135227495731E-5</v>
      </c>
      <c r="AQ120">
        <f>VLOOKUP($AC120,'2017 Seattle Tracts'!$C$2:$Z$399,AQ$1,FALSE)*AA120</f>
        <v>0</v>
      </c>
      <c r="AR120">
        <f>VLOOKUP($AC120,'2017 Seattle Tracts'!$C$2:$Z$399,AR$1,FALSE)*AA120</f>
        <v>5.8201467253066023E-4</v>
      </c>
      <c r="AS120">
        <f>VLOOKUP($AC120,'2017 Seattle Tracts'!$C$2:$Z$399,AS$1,FALSE)*AA120</f>
        <v>7.2216536290593629E-4</v>
      </c>
      <c r="AT120">
        <f>VLOOKUP($AC120,'2017 Seattle Tracts'!$C$2:$Z$399,AT$1,FALSE)*AA120</f>
        <v>0</v>
      </c>
      <c r="AU120">
        <f>VLOOKUP($AC120,'2017 Seattle Tracts'!$C$2:$Z$399,AU$1,FALSE)*AA120</f>
        <v>0</v>
      </c>
      <c r="AV120">
        <f>VLOOKUP($AC120,'2017 Seattle Tracts'!$C$2:$Z$399,AV$1,FALSE)*AA120</f>
        <v>0</v>
      </c>
      <c r="AW120">
        <f>VLOOKUP($AC120,'2017 Seattle Tracts'!$C$2:$Z$399,AW$1,FALSE)*AA120</f>
        <v>5.2556508890728517E-5</v>
      </c>
      <c r="AX120">
        <f>VLOOKUP($AC120,'2017 Seattle Tracts'!$C$2:$Z$399,AX$1,FALSE)*AA120</f>
        <v>9.5964292159737624E-4</v>
      </c>
      <c r="AY120">
        <f>VLOOKUP($AC120,'2017 Seattle Tracts'!$C$2:$Z$399,AY$1,FALSE)*AA120</f>
        <v>6.4235733088668191E-5</v>
      </c>
    </row>
    <row r="121" spans="1:51" x14ac:dyDescent="0.25">
      <c r="A121" t="s">
        <v>2917</v>
      </c>
      <c r="B121" t="s">
        <v>2918</v>
      </c>
      <c r="C121" t="s">
        <v>3011</v>
      </c>
      <c r="D121" t="s">
        <v>2863</v>
      </c>
      <c r="E121" t="s">
        <v>2864</v>
      </c>
      <c r="F121" t="s">
        <v>2865</v>
      </c>
      <c r="G121" t="s">
        <v>2920</v>
      </c>
      <c r="H121" t="s">
        <v>2921</v>
      </c>
      <c r="I121">
        <v>1717927</v>
      </c>
      <c r="J121">
        <v>0</v>
      </c>
      <c r="K121" t="s">
        <v>3012</v>
      </c>
      <c r="L121" t="s">
        <v>3013</v>
      </c>
      <c r="M121">
        <v>1717922</v>
      </c>
      <c r="N121">
        <v>76</v>
      </c>
      <c r="O121">
        <v>24955.713</v>
      </c>
      <c r="P121" t="s">
        <v>170</v>
      </c>
      <c r="Q121">
        <v>19</v>
      </c>
      <c r="R121">
        <v>9</v>
      </c>
      <c r="S121">
        <v>9</v>
      </c>
      <c r="T121">
        <v>16153900</v>
      </c>
      <c r="U121">
        <v>78</v>
      </c>
      <c r="V121">
        <v>176</v>
      </c>
      <c r="W121">
        <v>24955.712841425851</v>
      </c>
      <c r="X121">
        <v>16153900.097700959</v>
      </c>
      <c r="Y121">
        <v>812750.83799999999</v>
      </c>
      <c r="Z121">
        <f>VLOOKUP($AC121,'2017 Seattle Tracts'!$C$2:$Z$399,24,FALSE)</f>
        <v>1717922.3259999999</v>
      </c>
      <c r="AA121">
        <f t="shared" si="3"/>
        <v>0.47310103937725995</v>
      </c>
      <c r="AB121" t="s">
        <v>175</v>
      </c>
      <c r="AC121" t="str">
        <f t="shared" si="2"/>
        <v>Census Tract 105, King County, Washington</v>
      </c>
      <c r="AD121">
        <f>VLOOKUP($AC121,'2017 Seattle Tracts'!$C$2:$Z$399,AD$1,FALSE)*AA121</f>
        <v>3533.1185620693773</v>
      </c>
      <c r="AE121">
        <f>VLOOKUP($AC121,'2017 Seattle Tracts'!$C$2:$Z$399,AE$1,FALSE)*AA121</f>
        <v>3073.7374528340579</v>
      </c>
      <c r="AF121">
        <f>VLOOKUP($AC121,'2017 Seattle Tracts'!$C$2:$Z$399,AF$1,FALSE)*AA121</f>
        <v>459.3811092353194</v>
      </c>
      <c r="AG121">
        <f>VLOOKUP($AC121,'2017 Seattle Tracts'!$C$2:$Z$399,AG$1,FALSE)*AA121</f>
        <v>3533.1185620693773</v>
      </c>
      <c r="AH121">
        <f>VLOOKUP($AC121,'2017 Seattle Tracts'!$C$2:$Z$399,AH$1,FALSE)*AA121</f>
        <v>3073.7374528340579</v>
      </c>
      <c r="AI121">
        <f>VLOOKUP($AC121,'2017 Seattle Tracts'!$C$2:$Z$399,AI$1,FALSE)*AA121</f>
        <v>459.3811092353194</v>
      </c>
      <c r="AJ121">
        <f>VLOOKUP($AC121,'2017 Seattle Tracts'!$C$2:$Z$399,AJ$1,FALSE)*AA121</f>
        <v>2551.4339053615627</v>
      </c>
      <c r="AK121">
        <f>VLOOKUP($AC121,'2017 Seattle Tracts'!$C$2:$Z$399,AK$1,FALSE)*AA121</f>
        <v>219.04578123167136</v>
      </c>
      <c r="AL121">
        <f>VLOOKUP($AC121,'2017 Seattle Tracts'!$C$2:$Z$399,AL$1,FALSE)*AA121</f>
        <v>98.878117229847334</v>
      </c>
      <c r="AM121">
        <f>VLOOKUP($AC121,'2017 Seattle Tracts'!$C$2:$Z$399,AM$1,FALSE)*AA121</f>
        <v>0</v>
      </c>
      <c r="AN121">
        <f>VLOOKUP($AC121,'2017 Seattle Tracts'!$C$2:$Z$399,AN$1,FALSE)*AA121</f>
        <v>40.686689386444357</v>
      </c>
      <c r="AO121">
        <f>VLOOKUP($AC121,'2017 Seattle Tracts'!$C$2:$Z$399,AO$1,FALSE)*AA121</f>
        <v>36.428780032049019</v>
      </c>
      <c r="AP121">
        <f>VLOOKUP($AC121,'2017 Seattle Tracts'!$C$2:$Z$399,AP$1,FALSE)*AA121</f>
        <v>8.0427176694134186</v>
      </c>
      <c r="AQ121">
        <f>VLOOKUP($AC121,'2017 Seattle Tracts'!$C$2:$Z$399,AQ$1,FALSE)*AA121</f>
        <v>0</v>
      </c>
      <c r="AR121">
        <f>VLOOKUP($AC121,'2017 Seattle Tracts'!$C$2:$Z$399,AR$1,FALSE)*AA121</f>
        <v>141.45721077380071</v>
      </c>
      <c r="AS121">
        <f>VLOOKUP($AC121,'2017 Seattle Tracts'!$C$2:$Z$399,AS$1,FALSE)*AA121</f>
        <v>175.52048560896344</v>
      </c>
      <c r="AT121">
        <f>VLOOKUP($AC121,'2017 Seattle Tracts'!$C$2:$Z$399,AT$1,FALSE)*AA121</f>
        <v>0</v>
      </c>
      <c r="AU121">
        <f>VLOOKUP($AC121,'2017 Seattle Tracts'!$C$2:$Z$399,AU$1,FALSE)*AA121</f>
        <v>0</v>
      </c>
      <c r="AV121">
        <f>VLOOKUP($AC121,'2017 Seattle Tracts'!$C$2:$Z$399,AV$1,FALSE)*AA121</f>
        <v>0</v>
      </c>
      <c r="AW121">
        <f>VLOOKUP($AC121,'2017 Seattle Tracts'!$C$2:$Z$399,AW$1,FALSE)*AA121</f>
        <v>12.773728063186018</v>
      </c>
      <c r="AX121">
        <f>VLOOKUP($AC121,'2017 Seattle Tracts'!$C$2:$Z$399,AX$1,FALSE)*AA121</f>
        <v>233.23881241298915</v>
      </c>
      <c r="AY121">
        <f>VLOOKUP($AC121,'2017 Seattle Tracts'!$C$2:$Z$399,AY$1,FALSE)*AA121</f>
        <v>15.612334299449579</v>
      </c>
    </row>
    <row r="122" spans="1:51" x14ac:dyDescent="0.25">
      <c r="A122" t="s">
        <v>2917</v>
      </c>
      <c r="B122" t="s">
        <v>2918</v>
      </c>
      <c r="C122" t="s">
        <v>3011</v>
      </c>
      <c r="D122" t="s">
        <v>2863</v>
      </c>
      <c r="E122" t="s">
        <v>2864</v>
      </c>
      <c r="F122" t="s">
        <v>2865</v>
      </c>
      <c r="G122" t="s">
        <v>2920</v>
      </c>
      <c r="H122" t="s">
        <v>2921</v>
      </c>
      <c r="I122">
        <v>1717927</v>
      </c>
      <c r="J122">
        <v>0</v>
      </c>
      <c r="K122" t="s">
        <v>3012</v>
      </c>
      <c r="L122" t="s">
        <v>3013</v>
      </c>
      <c r="M122">
        <v>1717922</v>
      </c>
      <c r="N122">
        <v>77</v>
      </c>
      <c r="O122">
        <v>19870.868999999999</v>
      </c>
      <c r="P122" t="s">
        <v>170</v>
      </c>
      <c r="Q122">
        <v>19</v>
      </c>
      <c r="R122">
        <v>9</v>
      </c>
      <c r="S122">
        <v>95</v>
      </c>
      <c r="T122">
        <v>21164976</v>
      </c>
      <c r="U122">
        <v>79</v>
      </c>
      <c r="V122">
        <v>175</v>
      </c>
      <c r="W122">
        <v>19870.86960892408</v>
      </c>
      <c r="X122">
        <v>21164976.581290629</v>
      </c>
      <c r="Y122">
        <v>376519.19799999997</v>
      </c>
      <c r="Z122">
        <f>VLOOKUP($AC122,'2017 Seattle Tracts'!$C$2:$Z$399,24,FALSE)</f>
        <v>1717922.3259999999</v>
      </c>
      <c r="AA122">
        <f t="shared" si="3"/>
        <v>0.21917125838668447</v>
      </c>
      <c r="AB122" t="s">
        <v>176</v>
      </c>
      <c r="AC122" t="str">
        <f t="shared" si="2"/>
        <v>Census Tract 105, King County, Washington</v>
      </c>
      <c r="AD122">
        <f>VLOOKUP($AC122,'2017 Seattle Tracts'!$C$2:$Z$399,AD$1,FALSE)*AA122</f>
        <v>1636.7709576317595</v>
      </c>
      <c r="AE122">
        <f>VLOOKUP($AC122,'2017 Seattle Tracts'!$C$2:$Z$399,AE$1,FALSE)*AA122</f>
        <v>1423.9556657382891</v>
      </c>
      <c r="AF122">
        <f>VLOOKUP($AC122,'2017 Seattle Tracts'!$C$2:$Z$399,AF$1,FALSE)*AA122</f>
        <v>212.81529189347063</v>
      </c>
      <c r="AG122">
        <f>VLOOKUP($AC122,'2017 Seattle Tracts'!$C$2:$Z$399,AG$1,FALSE)*AA122</f>
        <v>1636.7709576317595</v>
      </c>
      <c r="AH122">
        <f>VLOOKUP($AC122,'2017 Seattle Tracts'!$C$2:$Z$399,AH$1,FALSE)*AA122</f>
        <v>1423.9556657382891</v>
      </c>
      <c r="AI122">
        <f>VLOOKUP($AC122,'2017 Seattle Tracts'!$C$2:$Z$399,AI$1,FALSE)*AA122</f>
        <v>212.81529189347063</v>
      </c>
      <c r="AJ122">
        <f>VLOOKUP($AC122,'2017 Seattle Tracts'!$C$2:$Z$399,AJ$1,FALSE)*AA122</f>
        <v>1181.9905964793893</v>
      </c>
      <c r="AK122">
        <f>VLOOKUP($AC122,'2017 Seattle Tracts'!$C$2:$Z$399,AK$1,FALSE)*AA122</f>
        <v>101.47629263303492</v>
      </c>
      <c r="AL122">
        <f>VLOOKUP($AC122,'2017 Seattle Tracts'!$C$2:$Z$399,AL$1,FALSE)*AA122</f>
        <v>45.806793002817052</v>
      </c>
      <c r="AM122">
        <f>VLOOKUP($AC122,'2017 Seattle Tracts'!$C$2:$Z$399,AM$1,FALSE)*AA122</f>
        <v>0</v>
      </c>
      <c r="AN122">
        <f>VLOOKUP($AC122,'2017 Seattle Tracts'!$C$2:$Z$399,AN$1,FALSE)*AA122</f>
        <v>18.848728221254863</v>
      </c>
      <c r="AO122">
        <f>VLOOKUP($AC122,'2017 Seattle Tracts'!$C$2:$Z$399,AO$1,FALSE)*AA122</f>
        <v>16.876186895774705</v>
      </c>
      <c r="AP122">
        <f>VLOOKUP($AC122,'2017 Seattle Tracts'!$C$2:$Z$399,AP$1,FALSE)*AA122</f>
        <v>3.7259113925736358</v>
      </c>
      <c r="AQ122">
        <f>VLOOKUP($AC122,'2017 Seattle Tracts'!$C$2:$Z$399,AQ$1,FALSE)*AA122</f>
        <v>0</v>
      </c>
      <c r="AR122">
        <f>VLOOKUP($AC122,'2017 Seattle Tracts'!$C$2:$Z$399,AR$1,FALSE)*AA122</f>
        <v>65.532206257618654</v>
      </c>
      <c r="AS122">
        <f>VLOOKUP($AC122,'2017 Seattle Tracts'!$C$2:$Z$399,AS$1,FALSE)*AA122</f>
        <v>81.312536861459932</v>
      </c>
      <c r="AT122">
        <f>VLOOKUP($AC122,'2017 Seattle Tracts'!$C$2:$Z$399,AT$1,FALSE)*AA122</f>
        <v>0</v>
      </c>
      <c r="AU122">
        <f>VLOOKUP($AC122,'2017 Seattle Tracts'!$C$2:$Z$399,AU$1,FALSE)*AA122</f>
        <v>0</v>
      </c>
      <c r="AV122">
        <f>VLOOKUP($AC122,'2017 Seattle Tracts'!$C$2:$Z$399,AV$1,FALSE)*AA122</f>
        <v>0</v>
      </c>
      <c r="AW122">
        <f>VLOOKUP($AC122,'2017 Seattle Tracts'!$C$2:$Z$399,AW$1,FALSE)*AA122</f>
        <v>5.9176239764404803</v>
      </c>
      <c r="AX122">
        <f>VLOOKUP($AC122,'2017 Seattle Tracts'!$C$2:$Z$399,AX$1,FALSE)*AA122</f>
        <v>108.05143038463544</v>
      </c>
      <c r="AY122">
        <f>VLOOKUP($AC122,'2017 Seattle Tracts'!$C$2:$Z$399,AY$1,FALSE)*AA122</f>
        <v>7.2326515267605878</v>
      </c>
    </row>
    <row r="123" spans="1:51" x14ac:dyDescent="0.25">
      <c r="A123" t="s">
        <v>2917</v>
      </c>
      <c r="B123" t="s">
        <v>2918</v>
      </c>
      <c r="C123" t="s">
        <v>3011</v>
      </c>
      <c r="D123" t="s">
        <v>2863</v>
      </c>
      <c r="E123" t="s">
        <v>2864</v>
      </c>
      <c r="F123" t="s">
        <v>2865</v>
      </c>
      <c r="G123" t="s">
        <v>2920</v>
      </c>
      <c r="H123" t="s">
        <v>2921</v>
      </c>
      <c r="I123">
        <v>1717927</v>
      </c>
      <c r="J123">
        <v>0</v>
      </c>
      <c r="K123" t="s">
        <v>3012</v>
      </c>
      <c r="L123" t="s">
        <v>3013</v>
      </c>
      <c r="M123">
        <v>1717922</v>
      </c>
      <c r="N123">
        <v>90</v>
      </c>
      <c r="O123">
        <v>23549.932000000001</v>
      </c>
      <c r="P123" t="s">
        <v>191</v>
      </c>
      <c r="Q123">
        <v>20</v>
      </c>
      <c r="R123">
        <v>10</v>
      </c>
      <c r="S123">
        <v>23</v>
      </c>
      <c r="T123">
        <v>29454656</v>
      </c>
      <c r="U123">
        <v>92</v>
      </c>
      <c r="V123">
        <v>174</v>
      </c>
      <c r="W123">
        <v>23549.93136663039</v>
      </c>
      <c r="X123">
        <v>29454656.567178611</v>
      </c>
      <c r="Y123">
        <v>1797.259</v>
      </c>
      <c r="Z123">
        <f>VLOOKUP($AC123,'2017 Seattle Tracts'!$C$2:$Z$399,24,FALSE)</f>
        <v>1717922.3259999999</v>
      </c>
      <c r="AA123">
        <f t="shared" si="3"/>
        <v>1.0461817585110075E-3</v>
      </c>
      <c r="AB123" t="s">
        <v>192</v>
      </c>
      <c r="AC123" t="str">
        <f t="shared" si="2"/>
        <v>Census Tract 105, King County, Washington</v>
      </c>
      <c r="AD123">
        <f>VLOOKUP($AC123,'2017 Seattle Tracts'!$C$2:$Z$399,AD$1,FALSE)*AA123</f>
        <v>7.8128853725602037</v>
      </c>
      <c r="AE123">
        <f>VLOOKUP($AC123,'2017 Seattle Tracts'!$C$2:$Z$399,AE$1,FALSE)*AA123</f>
        <v>6.7970428850460154</v>
      </c>
      <c r="AF123">
        <f>VLOOKUP($AC123,'2017 Seattle Tracts'!$C$2:$Z$399,AF$1,FALSE)*AA123</f>
        <v>1.0158424875141883</v>
      </c>
      <c r="AG123">
        <f>VLOOKUP($AC123,'2017 Seattle Tracts'!$C$2:$Z$399,AG$1,FALSE)*AA123</f>
        <v>7.8128853725602037</v>
      </c>
      <c r="AH123">
        <f>VLOOKUP($AC123,'2017 Seattle Tracts'!$C$2:$Z$399,AH$1,FALSE)*AA123</f>
        <v>6.7970428850460154</v>
      </c>
      <c r="AI123">
        <f>VLOOKUP($AC123,'2017 Seattle Tracts'!$C$2:$Z$399,AI$1,FALSE)*AA123</f>
        <v>1.0158424875141883</v>
      </c>
      <c r="AJ123">
        <f>VLOOKUP($AC123,'2017 Seattle Tracts'!$C$2:$Z$399,AJ$1,FALSE)*AA123</f>
        <v>5.6420582236498635</v>
      </c>
      <c r="AK123">
        <f>VLOOKUP($AC123,'2017 Seattle Tracts'!$C$2:$Z$399,AK$1,FALSE)*AA123</f>
        <v>0.48438215419059644</v>
      </c>
      <c r="AL123">
        <f>VLOOKUP($AC123,'2017 Seattle Tracts'!$C$2:$Z$399,AL$1,FALSE)*AA123</f>
        <v>0.21865198752880055</v>
      </c>
      <c r="AM123">
        <f>VLOOKUP($AC123,'2017 Seattle Tracts'!$C$2:$Z$399,AM$1,FALSE)*AA123</f>
        <v>0</v>
      </c>
      <c r="AN123">
        <f>VLOOKUP($AC123,'2017 Seattle Tracts'!$C$2:$Z$399,AN$1,FALSE)*AA123</f>
        <v>8.9971631231946639E-2</v>
      </c>
      <c r="AO123">
        <f>VLOOKUP($AC123,'2017 Seattle Tracts'!$C$2:$Z$399,AO$1,FALSE)*AA123</f>
        <v>8.055599540534758E-2</v>
      </c>
      <c r="AP123">
        <f>VLOOKUP($AC123,'2017 Seattle Tracts'!$C$2:$Z$399,AP$1,FALSE)*AA123</f>
        <v>1.7785089894687127E-2</v>
      </c>
      <c r="AQ123">
        <f>VLOOKUP($AC123,'2017 Seattle Tracts'!$C$2:$Z$399,AQ$1,FALSE)*AA123</f>
        <v>0</v>
      </c>
      <c r="AR123">
        <f>VLOOKUP($AC123,'2017 Seattle Tracts'!$C$2:$Z$399,AR$1,FALSE)*AA123</f>
        <v>0.31280834579479122</v>
      </c>
      <c r="AS123">
        <f>VLOOKUP($AC123,'2017 Seattle Tracts'!$C$2:$Z$399,AS$1,FALSE)*AA123</f>
        <v>0.38813343240758374</v>
      </c>
      <c r="AT123">
        <f>VLOOKUP($AC123,'2017 Seattle Tracts'!$C$2:$Z$399,AT$1,FALSE)*AA123</f>
        <v>0</v>
      </c>
      <c r="AU123">
        <f>VLOOKUP($AC123,'2017 Seattle Tracts'!$C$2:$Z$399,AU$1,FALSE)*AA123</f>
        <v>0</v>
      </c>
      <c r="AV123">
        <f>VLOOKUP($AC123,'2017 Seattle Tracts'!$C$2:$Z$399,AV$1,FALSE)*AA123</f>
        <v>0</v>
      </c>
      <c r="AW123">
        <f>VLOOKUP($AC123,'2017 Seattle Tracts'!$C$2:$Z$399,AW$1,FALSE)*AA123</f>
        <v>2.82469074797972E-2</v>
      </c>
      <c r="AX123">
        <f>VLOOKUP($AC123,'2017 Seattle Tracts'!$C$2:$Z$399,AX$1,FALSE)*AA123</f>
        <v>0.51576760694592672</v>
      </c>
      <c r="AY123">
        <f>VLOOKUP($AC123,'2017 Seattle Tracts'!$C$2:$Z$399,AY$1,FALSE)*AA123</f>
        <v>3.4523998030863243E-2</v>
      </c>
    </row>
    <row r="124" spans="1:51" x14ac:dyDescent="0.25">
      <c r="A124" t="s">
        <v>2917</v>
      </c>
      <c r="B124" t="s">
        <v>2918</v>
      </c>
      <c r="C124" t="s">
        <v>3011</v>
      </c>
      <c r="D124" t="s">
        <v>2863</v>
      </c>
      <c r="E124" t="s">
        <v>2864</v>
      </c>
      <c r="F124" t="s">
        <v>2865</v>
      </c>
      <c r="G124" t="s">
        <v>2920</v>
      </c>
      <c r="H124" t="s">
        <v>2921</v>
      </c>
      <c r="I124">
        <v>1717927</v>
      </c>
      <c r="J124">
        <v>0</v>
      </c>
      <c r="K124" t="s">
        <v>3012</v>
      </c>
      <c r="L124" t="s">
        <v>3013</v>
      </c>
      <c r="M124">
        <v>1717922</v>
      </c>
      <c r="N124">
        <v>92</v>
      </c>
      <c r="O124">
        <v>23180.396000000001</v>
      </c>
      <c r="P124" t="s">
        <v>191</v>
      </c>
      <c r="Q124">
        <v>20</v>
      </c>
      <c r="R124">
        <v>10</v>
      </c>
      <c r="S124">
        <v>95</v>
      </c>
      <c r="T124">
        <v>23343008</v>
      </c>
      <c r="U124">
        <v>94</v>
      </c>
      <c r="V124">
        <v>182</v>
      </c>
      <c r="W124">
        <v>23180.396359671431</v>
      </c>
      <c r="X124">
        <v>23343008.336782061</v>
      </c>
      <c r="Y124">
        <v>246.09700000000001</v>
      </c>
      <c r="Z124">
        <f>VLOOKUP($AC124,'2017 Seattle Tracts'!$C$2:$Z$399,24,FALSE)</f>
        <v>1717922.3259999999</v>
      </c>
      <c r="AA124">
        <f t="shared" si="3"/>
        <v>1.4325269325360639E-4</v>
      </c>
      <c r="AB124" t="s">
        <v>194</v>
      </c>
      <c r="AC124" t="str">
        <f t="shared" si="2"/>
        <v>Census Tract 105, King County, Washington</v>
      </c>
      <c r="AD124">
        <f>VLOOKUP($AC124,'2017 Seattle Tracts'!$C$2:$Z$399,AD$1,FALSE)*AA124</f>
        <v>1.0698111132179327</v>
      </c>
      <c r="AE124">
        <f>VLOOKUP($AC124,'2017 Seattle Tracts'!$C$2:$Z$399,AE$1,FALSE)*AA124</f>
        <v>0.93071274806868076</v>
      </c>
      <c r="AF124">
        <f>VLOOKUP($AC124,'2017 Seattle Tracts'!$C$2:$Z$399,AF$1,FALSE)*AA124</f>
        <v>0.13909836514925181</v>
      </c>
      <c r="AG124">
        <f>VLOOKUP($AC124,'2017 Seattle Tracts'!$C$2:$Z$399,AG$1,FALSE)*AA124</f>
        <v>1.0698111132179327</v>
      </c>
      <c r="AH124">
        <f>VLOOKUP($AC124,'2017 Seattle Tracts'!$C$2:$Z$399,AH$1,FALSE)*AA124</f>
        <v>0.93071274806868076</v>
      </c>
      <c r="AI124">
        <f>VLOOKUP($AC124,'2017 Seattle Tracts'!$C$2:$Z$399,AI$1,FALSE)*AA124</f>
        <v>0.13909836514925181</v>
      </c>
      <c r="AJ124">
        <f>VLOOKUP($AC124,'2017 Seattle Tracts'!$C$2:$Z$399,AJ$1,FALSE)*AA124</f>
        <v>0.77256177471669929</v>
      </c>
      <c r="AK124">
        <f>VLOOKUP($AC124,'2017 Seattle Tracts'!$C$2:$Z$399,AK$1,FALSE)*AA124</f>
        <v>6.6325996976419763E-2</v>
      </c>
      <c r="AL124">
        <f>VLOOKUP($AC124,'2017 Seattle Tracts'!$C$2:$Z$399,AL$1,FALSE)*AA124</f>
        <v>2.9939812890003737E-2</v>
      </c>
      <c r="AM124">
        <f>VLOOKUP($AC124,'2017 Seattle Tracts'!$C$2:$Z$399,AM$1,FALSE)*AA124</f>
        <v>0</v>
      </c>
      <c r="AN124">
        <f>VLOOKUP($AC124,'2017 Seattle Tracts'!$C$2:$Z$399,AN$1,FALSE)*AA124</f>
        <v>1.231973161981015E-2</v>
      </c>
      <c r="AO124">
        <f>VLOOKUP($AC124,'2017 Seattle Tracts'!$C$2:$Z$399,AO$1,FALSE)*AA124</f>
        <v>1.1030457380527693E-2</v>
      </c>
      <c r="AP124">
        <f>VLOOKUP($AC124,'2017 Seattle Tracts'!$C$2:$Z$399,AP$1,FALSE)*AA124</f>
        <v>2.4352957853113087E-3</v>
      </c>
      <c r="AQ124">
        <f>VLOOKUP($AC124,'2017 Seattle Tracts'!$C$2:$Z$399,AQ$1,FALSE)*AA124</f>
        <v>0</v>
      </c>
      <c r="AR124">
        <f>VLOOKUP($AC124,'2017 Seattle Tracts'!$C$2:$Z$399,AR$1,FALSE)*AA124</f>
        <v>4.2832555282828311E-2</v>
      </c>
      <c r="AS124">
        <f>VLOOKUP($AC124,'2017 Seattle Tracts'!$C$2:$Z$399,AS$1,FALSE)*AA124</f>
        <v>5.3146749197087971E-2</v>
      </c>
      <c r="AT124">
        <f>VLOOKUP($AC124,'2017 Seattle Tracts'!$C$2:$Z$399,AT$1,FALSE)*AA124</f>
        <v>0</v>
      </c>
      <c r="AU124">
        <f>VLOOKUP($AC124,'2017 Seattle Tracts'!$C$2:$Z$399,AU$1,FALSE)*AA124</f>
        <v>0</v>
      </c>
      <c r="AV124">
        <f>VLOOKUP($AC124,'2017 Seattle Tracts'!$C$2:$Z$399,AV$1,FALSE)*AA124</f>
        <v>0</v>
      </c>
      <c r="AW124">
        <f>VLOOKUP($AC124,'2017 Seattle Tracts'!$C$2:$Z$399,AW$1,FALSE)*AA124</f>
        <v>3.8678227178473726E-3</v>
      </c>
      <c r="AX124">
        <f>VLOOKUP($AC124,'2017 Seattle Tracts'!$C$2:$Z$399,AX$1,FALSE)*AA124</f>
        <v>7.0623577774027946E-2</v>
      </c>
      <c r="AY124">
        <f>VLOOKUP($AC124,'2017 Seattle Tracts'!$C$2:$Z$399,AY$1,FALSE)*AA124</f>
        <v>4.727338877369011E-3</v>
      </c>
    </row>
    <row r="125" spans="1:51" x14ac:dyDescent="0.25">
      <c r="A125" t="s">
        <v>2917</v>
      </c>
      <c r="B125" t="s">
        <v>2918</v>
      </c>
      <c r="C125" t="s">
        <v>3014</v>
      </c>
      <c r="D125" t="s">
        <v>2632</v>
      </c>
      <c r="E125" t="s">
        <v>2633</v>
      </c>
      <c r="F125" t="s">
        <v>2634</v>
      </c>
      <c r="G125" t="s">
        <v>2920</v>
      </c>
      <c r="H125" t="s">
        <v>2921</v>
      </c>
      <c r="I125">
        <v>1351872</v>
      </c>
      <c r="J125">
        <v>147639</v>
      </c>
      <c r="K125" t="s">
        <v>3015</v>
      </c>
      <c r="L125" t="s">
        <v>3016</v>
      </c>
      <c r="M125">
        <v>1295264</v>
      </c>
      <c r="N125">
        <v>43</v>
      </c>
      <c r="O125">
        <v>21488.398000000001</v>
      </c>
      <c r="P125" t="s">
        <v>136</v>
      </c>
      <c r="Q125">
        <v>10</v>
      </c>
      <c r="R125">
        <v>7</v>
      </c>
      <c r="S125">
        <v>23</v>
      </c>
      <c r="T125">
        <v>19354700</v>
      </c>
      <c r="U125">
        <v>45</v>
      </c>
      <c r="V125">
        <v>145</v>
      </c>
      <c r="W125">
        <v>21488.397378299011</v>
      </c>
      <c r="X125">
        <v>19354699.596078452</v>
      </c>
      <c r="Y125">
        <v>502487.76699999999</v>
      </c>
      <c r="Z125">
        <f>VLOOKUP($AC125,'2017 Seattle Tracts'!$C$2:$Z$399,24,FALSE)</f>
        <v>1295263.9210000001</v>
      </c>
      <c r="AA125">
        <f t="shared" si="3"/>
        <v>0.38794237904199291</v>
      </c>
      <c r="AB125" t="s">
        <v>135</v>
      </c>
      <c r="AC125" t="str">
        <f t="shared" si="2"/>
        <v>Census Tract 60, King County, Washington</v>
      </c>
      <c r="AD125">
        <f>VLOOKUP($AC125,'2017 Seattle Tracts'!$C$2:$Z$399,AD$1,FALSE)*AA125</f>
        <v>2244.2466627579288</v>
      </c>
      <c r="AE125">
        <f>VLOOKUP($AC125,'2017 Seattle Tracts'!$C$2:$Z$399,AE$1,FALSE)*AA125</f>
        <v>1896.6502911363034</v>
      </c>
      <c r="AF125">
        <f>VLOOKUP($AC125,'2017 Seattle Tracts'!$C$2:$Z$399,AF$1,FALSE)*AA125</f>
        <v>347.59637162162562</v>
      </c>
      <c r="AG125">
        <f>VLOOKUP($AC125,'2017 Seattle Tracts'!$C$2:$Z$399,AG$1,FALSE)*AA125</f>
        <v>2244.2466627579288</v>
      </c>
      <c r="AH125">
        <f>VLOOKUP($AC125,'2017 Seattle Tracts'!$C$2:$Z$399,AH$1,FALSE)*AA125</f>
        <v>1896.6502911363034</v>
      </c>
      <c r="AI125">
        <f>VLOOKUP($AC125,'2017 Seattle Tracts'!$C$2:$Z$399,AI$1,FALSE)*AA125</f>
        <v>347.59637162162562</v>
      </c>
      <c r="AJ125">
        <f>VLOOKUP($AC125,'2017 Seattle Tracts'!$C$2:$Z$399,AJ$1,FALSE)*AA125</f>
        <v>1549.8298042727617</v>
      </c>
      <c r="AK125">
        <f>VLOOKUP($AC125,'2017 Seattle Tracts'!$C$2:$Z$399,AK$1,FALSE)*AA125</f>
        <v>244.01575641741354</v>
      </c>
      <c r="AL125">
        <f>VLOOKUP($AC125,'2017 Seattle Tracts'!$C$2:$Z$399,AL$1,FALSE)*AA125</f>
        <v>29.483620807191461</v>
      </c>
      <c r="AM125">
        <f>VLOOKUP($AC125,'2017 Seattle Tracts'!$C$2:$Z$399,AM$1,FALSE)*AA125</f>
        <v>13.965925645511746</v>
      </c>
      <c r="AN125">
        <f>VLOOKUP($AC125,'2017 Seattle Tracts'!$C$2:$Z$399,AN$1,FALSE)*AA125</f>
        <v>12.414156129343773</v>
      </c>
      <c r="AO125">
        <f>VLOOKUP($AC125,'2017 Seattle Tracts'!$C$2:$Z$399,AO$1,FALSE)*AA125</f>
        <v>0</v>
      </c>
      <c r="AP125">
        <f>VLOOKUP($AC125,'2017 Seattle Tracts'!$C$2:$Z$399,AP$1,FALSE)*AA125</f>
        <v>66.726089195222784</v>
      </c>
      <c r="AQ125">
        <f>VLOOKUP($AC125,'2017 Seattle Tracts'!$C$2:$Z$399,AQ$1,FALSE)*AA125</f>
        <v>0</v>
      </c>
      <c r="AR125">
        <f>VLOOKUP($AC125,'2017 Seattle Tracts'!$C$2:$Z$399,AR$1,FALSE)*AA125</f>
        <v>67.501973953306774</v>
      </c>
      <c r="AS125">
        <f>VLOOKUP($AC125,'2017 Seattle Tracts'!$C$2:$Z$399,AS$1,FALSE)*AA125</f>
        <v>62.846665404802849</v>
      </c>
      <c r="AT125">
        <f>VLOOKUP($AC125,'2017 Seattle Tracts'!$C$2:$Z$399,AT$1,FALSE)*AA125</f>
        <v>0.38794237904199291</v>
      </c>
      <c r="AU125">
        <f>VLOOKUP($AC125,'2017 Seattle Tracts'!$C$2:$Z$399,AU$1,FALSE)*AA125</f>
        <v>0</v>
      </c>
      <c r="AV125">
        <f>VLOOKUP($AC125,'2017 Seattle Tracts'!$C$2:$Z$399,AV$1,FALSE)*AA125</f>
        <v>12.802098508385766</v>
      </c>
      <c r="AW125">
        <f>VLOOKUP($AC125,'2017 Seattle Tracts'!$C$2:$Z$399,AW$1,FALSE)*AA125</f>
        <v>6.5950204437138797</v>
      </c>
      <c r="AX125">
        <f>VLOOKUP($AC125,'2017 Seattle Tracts'!$C$2:$Z$399,AX$1,FALSE)*AA125</f>
        <v>157.50460589104912</v>
      </c>
      <c r="AY125">
        <f>VLOOKUP($AC125,'2017 Seattle Tracts'!$C$2:$Z$399,AY$1,FALSE)*AA125</f>
        <v>20.173003710183632</v>
      </c>
    </row>
    <row r="126" spans="1:51" x14ac:dyDescent="0.25">
      <c r="A126" t="s">
        <v>2917</v>
      </c>
      <c r="B126" t="s">
        <v>2918</v>
      </c>
      <c r="C126" t="s">
        <v>3014</v>
      </c>
      <c r="D126" t="s">
        <v>2632</v>
      </c>
      <c r="E126" t="s">
        <v>2633</v>
      </c>
      <c r="F126" t="s">
        <v>2634</v>
      </c>
      <c r="G126" t="s">
        <v>2920</v>
      </c>
      <c r="H126" t="s">
        <v>2921</v>
      </c>
      <c r="I126">
        <v>1351872</v>
      </c>
      <c r="J126">
        <v>147639</v>
      </c>
      <c r="K126" t="s">
        <v>3015</v>
      </c>
      <c r="L126" t="s">
        <v>3016</v>
      </c>
      <c r="M126">
        <v>1295264</v>
      </c>
      <c r="N126">
        <v>44</v>
      </c>
      <c r="O126">
        <v>20631.705000000002</v>
      </c>
      <c r="P126" t="s">
        <v>136</v>
      </c>
      <c r="Q126">
        <v>10</v>
      </c>
      <c r="R126">
        <v>7</v>
      </c>
      <c r="S126">
        <v>94</v>
      </c>
      <c r="T126">
        <v>17974986</v>
      </c>
      <c r="U126">
        <v>46</v>
      </c>
      <c r="V126">
        <v>148</v>
      </c>
      <c r="W126">
        <v>20631.70572929232</v>
      </c>
      <c r="X126">
        <v>17974985.95263635</v>
      </c>
      <c r="Y126">
        <v>13.778</v>
      </c>
      <c r="Z126">
        <f>VLOOKUP($AC126,'2017 Seattle Tracts'!$C$2:$Z$399,24,FALSE)</f>
        <v>1295263.9210000001</v>
      </c>
      <c r="AA126">
        <f t="shared" si="3"/>
        <v>1.0637214375092595E-5</v>
      </c>
      <c r="AB126" t="s">
        <v>137</v>
      </c>
      <c r="AC126" t="str">
        <f t="shared" si="2"/>
        <v>Census Tract 60, King County, Washington</v>
      </c>
      <c r="AD126">
        <f>VLOOKUP($AC126,'2017 Seattle Tracts'!$C$2:$Z$399,AD$1,FALSE)*AA126</f>
        <v>6.1536285159910664E-2</v>
      </c>
      <c r="AE126">
        <f>VLOOKUP($AC126,'2017 Seattle Tracts'!$C$2:$Z$399,AE$1,FALSE)*AA126</f>
        <v>5.2005341079827697E-2</v>
      </c>
      <c r="AF126">
        <f>VLOOKUP($AC126,'2017 Seattle Tracts'!$C$2:$Z$399,AF$1,FALSE)*AA126</f>
        <v>9.5309440800829641E-3</v>
      </c>
      <c r="AG126">
        <f>VLOOKUP($AC126,'2017 Seattle Tracts'!$C$2:$Z$399,AG$1,FALSE)*AA126</f>
        <v>6.1536285159910664E-2</v>
      </c>
      <c r="AH126">
        <f>VLOOKUP($AC126,'2017 Seattle Tracts'!$C$2:$Z$399,AH$1,FALSE)*AA126</f>
        <v>5.2005341079827697E-2</v>
      </c>
      <c r="AI126">
        <f>VLOOKUP($AC126,'2017 Seattle Tracts'!$C$2:$Z$399,AI$1,FALSE)*AA126</f>
        <v>9.5309440800829641E-3</v>
      </c>
      <c r="AJ126">
        <f>VLOOKUP($AC126,'2017 Seattle Tracts'!$C$2:$Z$399,AJ$1,FALSE)*AA126</f>
        <v>4.2495671428494919E-2</v>
      </c>
      <c r="AK126">
        <f>VLOOKUP($AC126,'2017 Seattle Tracts'!$C$2:$Z$399,AK$1,FALSE)*AA126</f>
        <v>6.6908078419332419E-3</v>
      </c>
      <c r="AL126">
        <f>VLOOKUP($AC126,'2017 Seattle Tracts'!$C$2:$Z$399,AL$1,FALSE)*AA126</f>
        <v>8.0842829250703718E-4</v>
      </c>
      <c r="AM126">
        <f>VLOOKUP($AC126,'2017 Seattle Tracts'!$C$2:$Z$399,AM$1,FALSE)*AA126</f>
        <v>3.8293971750333344E-4</v>
      </c>
      <c r="AN126">
        <f>VLOOKUP($AC126,'2017 Seattle Tracts'!$C$2:$Z$399,AN$1,FALSE)*AA126</f>
        <v>3.4039086000296303E-4</v>
      </c>
      <c r="AO126">
        <f>VLOOKUP($AC126,'2017 Seattle Tracts'!$C$2:$Z$399,AO$1,FALSE)*AA126</f>
        <v>0</v>
      </c>
      <c r="AP126">
        <f>VLOOKUP($AC126,'2017 Seattle Tracts'!$C$2:$Z$399,AP$1,FALSE)*AA126</f>
        <v>1.8296008725159263E-3</v>
      </c>
      <c r="AQ126">
        <f>VLOOKUP($AC126,'2017 Seattle Tracts'!$C$2:$Z$399,AQ$1,FALSE)*AA126</f>
        <v>0</v>
      </c>
      <c r="AR126">
        <f>VLOOKUP($AC126,'2017 Seattle Tracts'!$C$2:$Z$399,AR$1,FALSE)*AA126</f>
        <v>1.8508753012661115E-3</v>
      </c>
      <c r="AS126">
        <f>VLOOKUP($AC126,'2017 Seattle Tracts'!$C$2:$Z$399,AS$1,FALSE)*AA126</f>
        <v>1.7232287287650004E-3</v>
      </c>
      <c r="AT126">
        <f>VLOOKUP($AC126,'2017 Seattle Tracts'!$C$2:$Z$399,AT$1,FALSE)*AA126</f>
        <v>1.0637214375092595E-5</v>
      </c>
      <c r="AU126">
        <f>VLOOKUP($AC126,'2017 Seattle Tracts'!$C$2:$Z$399,AU$1,FALSE)*AA126</f>
        <v>0</v>
      </c>
      <c r="AV126">
        <f>VLOOKUP($AC126,'2017 Seattle Tracts'!$C$2:$Z$399,AV$1,FALSE)*AA126</f>
        <v>3.5102807437805561E-4</v>
      </c>
      <c r="AW126">
        <f>VLOOKUP($AC126,'2017 Seattle Tracts'!$C$2:$Z$399,AW$1,FALSE)*AA126</f>
        <v>1.8083264437657412E-4</v>
      </c>
      <c r="AX126">
        <f>VLOOKUP($AC126,'2017 Seattle Tracts'!$C$2:$Z$399,AX$1,FALSE)*AA126</f>
        <v>4.3187090362875932E-3</v>
      </c>
      <c r="AY126">
        <f>VLOOKUP($AC126,'2017 Seattle Tracts'!$C$2:$Z$399,AY$1,FALSE)*AA126</f>
        <v>5.5313514750481496E-4</v>
      </c>
    </row>
    <row r="127" spans="1:51" x14ac:dyDescent="0.25">
      <c r="A127" t="s">
        <v>2917</v>
      </c>
      <c r="B127" t="s">
        <v>2918</v>
      </c>
      <c r="C127" t="s">
        <v>3014</v>
      </c>
      <c r="D127" t="s">
        <v>2632</v>
      </c>
      <c r="E127" t="s">
        <v>2633</v>
      </c>
      <c r="F127" t="s">
        <v>2634</v>
      </c>
      <c r="G127" t="s">
        <v>2920</v>
      </c>
      <c r="H127" t="s">
        <v>2921</v>
      </c>
      <c r="I127">
        <v>1351872</v>
      </c>
      <c r="J127">
        <v>147639</v>
      </c>
      <c r="K127" t="s">
        <v>3015</v>
      </c>
      <c r="L127" t="s">
        <v>3016</v>
      </c>
      <c r="M127">
        <v>1295264</v>
      </c>
      <c r="N127">
        <v>46</v>
      </c>
      <c r="O127">
        <v>26753.555</v>
      </c>
      <c r="P127" t="s">
        <v>136</v>
      </c>
      <c r="Q127">
        <v>10</v>
      </c>
      <c r="R127">
        <v>7</v>
      </c>
      <c r="S127">
        <v>19</v>
      </c>
      <c r="T127">
        <v>29604288</v>
      </c>
      <c r="U127">
        <v>48</v>
      </c>
      <c r="V127">
        <v>140</v>
      </c>
      <c r="W127">
        <v>26753.55428174289</v>
      </c>
      <c r="X127">
        <v>29604288.332963161</v>
      </c>
      <c r="Y127">
        <v>791788.87899999996</v>
      </c>
      <c r="Z127">
        <f>VLOOKUP($AC127,'2017 Seattle Tracts'!$C$2:$Z$399,24,FALSE)</f>
        <v>1295263.9210000001</v>
      </c>
      <c r="AA127">
        <f t="shared" si="3"/>
        <v>0.6112954017809008</v>
      </c>
      <c r="AB127" t="s">
        <v>139</v>
      </c>
      <c r="AC127" t="str">
        <f t="shared" si="2"/>
        <v>Census Tract 60, King County, Washington</v>
      </c>
      <c r="AD127">
        <f>VLOOKUP($AC127,'2017 Seattle Tracts'!$C$2:$Z$399,AD$1,FALSE)*AA127</f>
        <v>3536.3438993025111</v>
      </c>
      <c r="AE127">
        <f>VLOOKUP($AC127,'2017 Seattle Tracts'!$C$2:$Z$399,AE$1,FALSE)*AA127</f>
        <v>2988.623219306824</v>
      </c>
      <c r="AF127">
        <f>VLOOKUP($AC127,'2017 Seattle Tracts'!$C$2:$Z$399,AF$1,FALSE)*AA127</f>
        <v>547.72067999568708</v>
      </c>
      <c r="AG127">
        <f>VLOOKUP($AC127,'2017 Seattle Tracts'!$C$2:$Z$399,AG$1,FALSE)*AA127</f>
        <v>3536.3438993025111</v>
      </c>
      <c r="AH127">
        <f>VLOOKUP($AC127,'2017 Seattle Tracts'!$C$2:$Z$399,AH$1,FALSE)*AA127</f>
        <v>2988.623219306824</v>
      </c>
      <c r="AI127">
        <f>VLOOKUP($AC127,'2017 Seattle Tracts'!$C$2:$Z$399,AI$1,FALSE)*AA127</f>
        <v>547.72067999568708</v>
      </c>
      <c r="AJ127">
        <f>VLOOKUP($AC127,'2017 Seattle Tracts'!$C$2:$Z$399,AJ$1,FALSE)*AA127</f>
        <v>2442.1251301146985</v>
      </c>
      <c r="AK127">
        <f>VLOOKUP($AC127,'2017 Seattle Tracts'!$C$2:$Z$399,AK$1,FALSE)*AA127</f>
        <v>384.50480772018659</v>
      </c>
      <c r="AL127">
        <f>VLOOKUP($AC127,'2017 Seattle Tracts'!$C$2:$Z$399,AL$1,FALSE)*AA127</f>
        <v>46.458450535348462</v>
      </c>
      <c r="AM127">
        <f>VLOOKUP($AC127,'2017 Seattle Tracts'!$C$2:$Z$399,AM$1,FALSE)*AA127</f>
        <v>22.00663446411243</v>
      </c>
      <c r="AN127">
        <f>VLOOKUP($AC127,'2017 Seattle Tracts'!$C$2:$Z$399,AN$1,FALSE)*AA127</f>
        <v>19.561452856988826</v>
      </c>
      <c r="AO127">
        <f>VLOOKUP($AC127,'2017 Seattle Tracts'!$C$2:$Z$399,AO$1,FALSE)*AA127</f>
        <v>0</v>
      </c>
      <c r="AP127">
        <f>VLOOKUP($AC127,'2017 Seattle Tracts'!$C$2:$Z$399,AP$1,FALSE)*AA127</f>
        <v>105.14280910631494</v>
      </c>
      <c r="AQ127">
        <f>VLOOKUP($AC127,'2017 Seattle Tracts'!$C$2:$Z$399,AQ$1,FALSE)*AA127</f>
        <v>0</v>
      </c>
      <c r="AR127">
        <f>VLOOKUP($AC127,'2017 Seattle Tracts'!$C$2:$Z$399,AR$1,FALSE)*AA127</f>
        <v>106.36539990987674</v>
      </c>
      <c r="AS127">
        <f>VLOOKUP($AC127,'2017 Seattle Tracts'!$C$2:$Z$399,AS$1,FALSE)*AA127</f>
        <v>99.029855088505926</v>
      </c>
      <c r="AT127">
        <f>VLOOKUP($AC127,'2017 Seattle Tracts'!$C$2:$Z$399,AT$1,FALSE)*AA127</f>
        <v>0.6112954017809008</v>
      </c>
      <c r="AU127">
        <f>VLOOKUP($AC127,'2017 Seattle Tracts'!$C$2:$Z$399,AU$1,FALSE)*AA127</f>
        <v>0</v>
      </c>
      <c r="AV127">
        <f>VLOOKUP($AC127,'2017 Seattle Tracts'!$C$2:$Z$399,AV$1,FALSE)*AA127</f>
        <v>20.172748258769726</v>
      </c>
      <c r="AW127">
        <f>VLOOKUP($AC127,'2017 Seattle Tracts'!$C$2:$Z$399,AW$1,FALSE)*AA127</f>
        <v>10.392021830275313</v>
      </c>
      <c r="AX127">
        <f>VLOOKUP($AC127,'2017 Seattle Tracts'!$C$2:$Z$399,AX$1,FALSE)*AA127</f>
        <v>248.18593312304571</v>
      </c>
      <c r="AY127">
        <f>VLOOKUP($AC127,'2017 Seattle Tracts'!$C$2:$Z$399,AY$1,FALSE)*AA127</f>
        <v>31.787360892606841</v>
      </c>
    </row>
    <row r="128" spans="1:51" x14ac:dyDescent="0.25">
      <c r="A128" t="s">
        <v>2917</v>
      </c>
      <c r="B128" t="s">
        <v>2918</v>
      </c>
      <c r="C128" t="s">
        <v>3014</v>
      </c>
      <c r="D128" t="s">
        <v>2632</v>
      </c>
      <c r="E128" t="s">
        <v>2633</v>
      </c>
      <c r="F128" t="s">
        <v>2634</v>
      </c>
      <c r="G128" t="s">
        <v>2920</v>
      </c>
      <c r="H128" t="s">
        <v>2921</v>
      </c>
      <c r="I128">
        <v>1351872</v>
      </c>
      <c r="J128">
        <v>147639</v>
      </c>
      <c r="K128" t="s">
        <v>3015</v>
      </c>
      <c r="L128" t="s">
        <v>3016</v>
      </c>
      <c r="M128">
        <v>1295264</v>
      </c>
      <c r="N128">
        <v>47</v>
      </c>
      <c r="O128">
        <v>11017.323</v>
      </c>
      <c r="P128" t="s">
        <v>141</v>
      </c>
      <c r="Q128">
        <v>12</v>
      </c>
      <c r="R128">
        <v>10</v>
      </c>
      <c r="S128">
        <v>0</v>
      </c>
      <c r="T128">
        <v>3645184</v>
      </c>
      <c r="U128">
        <v>49</v>
      </c>
      <c r="V128">
        <v>202</v>
      </c>
      <c r="W128">
        <v>11017.323173961489</v>
      </c>
      <c r="X128">
        <v>3645184.079040701</v>
      </c>
      <c r="Y128">
        <v>91.465000000000003</v>
      </c>
      <c r="Z128">
        <f>VLOOKUP($AC128,'2017 Seattle Tracts'!$C$2:$Z$399,24,FALSE)</f>
        <v>1295263.9210000001</v>
      </c>
      <c r="AA128">
        <f t="shared" si="3"/>
        <v>7.0614952302064461E-5</v>
      </c>
      <c r="AB128" t="s">
        <v>140</v>
      </c>
      <c r="AC128" t="str">
        <f t="shared" si="2"/>
        <v>Census Tract 60, King County, Washington</v>
      </c>
      <c r="AD128">
        <f>VLOOKUP($AC128,'2017 Seattle Tracts'!$C$2:$Z$399,AD$1,FALSE)*AA128</f>
        <v>0.40850749906744288</v>
      </c>
      <c r="AE128">
        <f>VLOOKUP($AC128,'2017 Seattle Tracts'!$C$2:$Z$399,AE$1,FALSE)*AA128</f>
        <v>0.34523650180479315</v>
      </c>
      <c r="AF128">
        <f>VLOOKUP($AC128,'2017 Seattle Tracts'!$C$2:$Z$399,AF$1,FALSE)*AA128</f>
        <v>6.3270997262649759E-2</v>
      </c>
      <c r="AG128">
        <f>VLOOKUP($AC128,'2017 Seattle Tracts'!$C$2:$Z$399,AG$1,FALSE)*AA128</f>
        <v>0.40850749906744288</v>
      </c>
      <c r="AH128">
        <f>VLOOKUP($AC128,'2017 Seattle Tracts'!$C$2:$Z$399,AH$1,FALSE)*AA128</f>
        <v>0.34523650180479315</v>
      </c>
      <c r="AI128">
        <f>VLOOKUP($AC128,'2017 Seattle Tracts'!$C$2:$Z$399,AI$1,FALSE)*AA128</f>
        <v>6.3270997262649759E-2</v>
      </c>
      <c r="AJ128">
        <f>VLOOKUP($AC128,'2017 Seattle Tracts'!$C$2:$Z$399,AJ$1,FALSE)*AA128</f>
        <v>0.2821067344467475</v>
      </c>
      <c r="AK128">
        <f>VLOOKUP($AC128,'2017 Seattle Tracts'!$C$2:$Z$399,AK$1,FALSE)*AA128</f>
        <v>4.4416804997998549E-2</v>
      </c>
      <c r="AL128">
        <f>VLOOKUP($AC128,'2017 Seattle Tracts'!$C$2:$Z$399,AL$1,FALSE)*AA128</f>
        <v>5.3667363749568993E-3</v>
      </c>
      <c r="AM128">
        <f>VLOOKUP($AC128,'2017 Seattle Tracts'!$C$2:$Z$399,AM$1,FALSE)*AA128</f>
        <v>2.5421382828743205E-3</v>
      </c>
      <c r="AN128">
        <f>VLOOKUP($AC128,'2017 Seattle Tracts'!$C$2:$Z$399,AN$1,FALSE)*AA128</f>
        <v>2.2596784736660627E-3</v>
      </c>
      <c r="AO128">
        <f>VLOOKUP($AC128,'2017 Seattle Tracts'!$C$2:$Z$399,AO$1,FALSE)*AA128</f>
        <v>0</v>
      </c>
      <c r="AP128">
        <f>VLOOKUP($AC128,'2017 Seattle Tracts'!$C$2:$Z$399,AP$1,FALSE)*AA128</f>
        <v>1.2145771795955088E-2</v>
      </c>
      <c r="AQ128">
        <f>VLOOKUP($AC128,'2017 Seattle Tracts'!$C$2:$Z$399,AQ$1,FALSE)*AA128</f>
        <v>0</v>
      </c>
      <c r="AR128">
        <f>VLOOKUP($AC128,'2017 Seattle Tracts'!$C$2:$Z$399,AR$1,FALSE)*AA128</f>
        <v>1.2287001700559215E-2</v>
      </c>
      <c r="AS128">
        <f>VLOOKUP($AC128,'2017 Seattle Tracts'!$C$2:$Z$399,AS$1,FALSE)*AA128</f>
        <v>1.1439622272934442E-2</v>
      </c>
      <c r="AT128">
        <f>VLOOKUP($AC128,'2017 Seattle Tracts'!$C$2:$Z$399,AT$1,FALSE)*AA128</f>
        <v>7.0614952302064461E-5</v>
      </c>
      <c r="AU128">
        <f>VLOOKUP($AC128,'2017 Seattle Tracts'!$C$2:$Z$399,AU$1,FALSE)*AA128</f>
        <v>0</v>
      </c>
      <c r="AV128">
        <f>VLOOKUP($AC128,'2017 Seattle Tracts'!$C$2:$Z$399,AV$1,FALSE)*AA128</f>
        <v>2.3302934259681273E-3</v>
      </c>
      <c r="AW128">
        <f>VLOOKUP($AC128,'2017 Seattle Tracts'!$C$2:$Z$399,AW$1,FALSE)*AA128</f>
        <v>1.2004541891350959E-3</v>
      </c>
      <c r="AX128">
        <f>VLOOKUP($AC128,'2017 Seattle Tracts'!$C$2:$Z$399,AX$1,FALSE)*AA128</f>
        <v>2.866967063463817E-2</v>
      </c>
      <c r="AY128">
        <f>VLOOKUP($AC128,'2017 Seattle Tracts'!$C$2:$Z$399,AY$1,FALSE)*AA128</f>
        <v>3.6719775197073521E-3</v>
      </c>
    </row>
    <row r="129" spans="1:51" x14ac:dyDescent="0.25">
      <c r="A129" t="s">
        <v>2917</v>
      </c>
      <c r="B129" t="s">
        <v>2918</v>
      </c>
      <c r="C129" t="s">
        <v>3017</v>
      </c>
      <c r="D129" t="s">
        <v>2614</v>
      </c>
      <c r="E129" t="s">
        <v>2615</v>
      </c>
      <c r="F129" t="s">
        <v>2616</v>
      </c>
      <c r="G129" t="s">
        <v>2920</v>
      </c>
      <c r="H129" t="s">
        <v>2921</v>
      </c>
      <c r="I129">
        <v>1099864</v>
      </c>
      <c r="J129">
        <v>838446</v>
      </c>
      <c r="K129" t="s">
        <v>3018</v>
      </c>
      <c r="L129" t="s">
        <v>3019</v>
      </c>
      <c r="M129">
        <v>1015325</v>
      </c>
      <c r="N129">
        <v>48</v>
      </c>
      <c r="O129">
        <v>16672.511999999999</v>
      </c>
      <c r="P129" t="s">
        <v>141</v>
      </c>
      <c r="Q129">
        <v>12</v>
      </c>
      <c r="R129">
        <v>10</v>
      </c>
      <c r="S129">
        <v>94</v>
      </c>
      <c r="T129">
        <v>7426908</v>
      </c>
      <c r="U129">
        <v>50</v>
      </c>
      <c r="V129">
        <v>142</v>
      </c>
      <c r="W129">
        <v>16672.51178374033</v>
      </c>
      <c r="X129">
        <v>7426907.9614261454</v>
      </c>
      <c r="Y129">
        <v>228719.53</v>
      </c>
      <c r="Z129">
        <f>VLOOKUP($AC129,'2017 Seattle Tracts'!$C$2:$Z$399,24,FALSE)</f>
        <v>1015325.2709999999</v>
      </c>
      <c r="AA129">
        <f t="shared" si="3"/>
        <v>0.22526724837128576</v>
      </c>
      <c r="AB129" t="s">
        <v>142</v>
      </c>
      <c r="AC129" t="str">
        <f t="shared" si="2"/>
        <v>Census Tract 66, King County, Washington</v>
      </c>
      <c r="AD129">
        <f>VLOOKUP($AC129,'2017 Seattle Tracts'!$C$2:$Z$399,AD$1,FALSE)*AA129</f>
        <v>921.79358033530127</v>
      </c>
      <c r="AE129">
        <f>VLOOKUP($AC129,'2017 Seattle Tracts'!$C$2:$Z$399,AE$1,FALSE)*AA129</f>
        <v>787.08376580927245</v>
      </c>
      <c r="AF129">
        <f>VLOOKUP($AC129,'2017 Seattle Tracts'!$C$2:$Z$399,AF$1,FALSE)*AA129</f>
        <v>134.70981452602888</v>
      </c>
      <c r="AG129">
        <f>VLOOKUP($AC129,'2017 Seattle Tracts'!$C$2:$Z$399,AG$1,FALSE)*AA129</f>
        <v>921.79358033530127</v>
      </c>
      <c r="AH129">
        <f>VLOOKUP($AC129,'2017 Seattle Tracts'!$C$2:$Z$399,AH$1,FALSE)*AA129</f>
        <v>787.08376580927245</v>
      </c>
      <c r="AI129">
        <f>VLOOKUP($AC129,'2017 Seattle Tracts'!$C$2:$Z$399,AI$1,FALSE)*AA129</f>
        <v>134.70981452602888</v>
      </c>
      <c r="AJ129">
        <f>VLOOKUP($AC129,'2017 Seattle Tracts'!$C$2:$Z$399,AJ$1,FALSE)*AA129</f>
        <v>629.84722644611497</v>
      </c>
      <c r="AK129">
        <f>VLOOKUP($AC129,'2017 Seattle Tracts'!$C$2:$Z$399,AK$1,FALSE)*AA129</f>
        <v>52.487268870509581</v>
      </c>
      <c r="AL129">
        <f>VLOOKUP($AC129,'2017 Seattle Tracts'!$C$2:$Z$399,AL$1,FALSE)*AA129</f>
        <v>19.147716111559291</v>
      </c>
      <c r="AM129">
        <f>VLOOKUP($AC129,'2017 Seattle Tracts'!$C$2:$Z$399,AM$1,FALSE)*AA129</f>
        <v>2.4779397320841432</v>
      </c>
      <c r="AN129">
        <f>VLOOKUP($AC129,'2017 Seattle Tracts'!$C$2:$Z$399,AN$1,FALSE)*AA129</f>
        <v>16.44450913110386</v>
      </c>
      <c r="AO129">
        <f>VLOOKUP($AC129,'2017 Seattle Tracts'!$C$2:$Z$399,AO$1,FALSE)*AA129</f>
        <v>1.3516034902277145</v>
      </c>
      <c r="AP129">
        <f>VLOOKUP($AC129,'2017 Seattle Tracts'!$C$2:$Z$399,AP$1,FALSE)*AA129</f>
        <v>0.67580174511385727</v>
      </c>
      <c r="AQ129">
        <f>VLOOKUP($AC129,'2017 Seattle Tracts'!$C$2:$Z$399,AQ$1,FALSE)*AA129</f>
        <v>0</v>
      </c>
      <c r="AR129">
        <f>VLOOKUP($AC129,'2017 Seattle Tracts'!$C$2:$Z$399,AR$1,FALSE)*AA129</f>
        <v>46.405053164484869</v>
      </c>
      <c r="AS129">
        <f>VLOOKUP($AC129,'2017 Seattle Tracts'!$C$2:$Z$399,AS$1,FALSE)*AA129</f>
        <v>67.580174511385721</v>
      </c>
      <c r="AT129">
        <f>VLOOKUP($AC129,'2017 Seattle Tracts'!$C$2:$Z$399,AT$1,FALSE)*AA129</f>
        <v>0</v>
      </c>
      <c r="AU129">
        <f>VLOOKUP($AC129,'2017 Seattle Tracts'!$C$2:$Z$399,AU$1,FALSE)*AA129</f>
        <v>0</v>
      </c>
      <c r="AV129">
        <f>VLOOKUP($AC129,'2017 Seattle Tracts'!$C$2:$Z$399,AV$1,FALSE)*AA129</f>
        <v>1.3516034902277145</v>
      </c>
      <c r="AW129">
        <f>VLOOKUP($AC129,'2017 Seattle Tracts'!$C$2:$Z$399,AW$1,FALSE)*AA129</f>
        <v>0.45053449674257151</v>
      </c>
      <c r="AX129">
        <f>VLOOKUP($AC129,'2017 Seattle Tracts'!$C$2:$Z$399,AX$1,FALSE)*AA129</f>
        <v>73.21185572066787</v>
      </c>
      <c r="AY129">
        <f>VLOOKUP($AC129,'2017 Seattle Tracts'!$C$2:$Z$399,AY$1,FALSE)*AA129</f>
        <v>10.362293425079145</v>
      </c>
    </row>
    <row r="130" spans="1:51" x14ac:dyDescent="0.25">
      <c r="A130" t="s">
        <v>2917</v>
      </c>
      <c r="B130" t="s">
        <v>2918</v>
      </c>
      <c r="C130" t="s">
        <v>3017</v>
      </c>
      <c r="D130" t="s">
        <v>2614</v>
      </c>
      <c r="E130" t="s">
        <v>2615</v>
      </c>
      <c r="F130" t="s">
        <v>2616</v>
      </c>
      <c r="G130" t="s">
        <v>2920</v>
      </c>
      <c r="H130" t="s">
        <v>2921</v>
      </c>
      <c r="I130">
        <v>1099864</v>
      </c>
      <c r="J130">
        <v>838446</v>
      </c>
      <c r="K130" t="s">
        <v>3018</v>
      </c>
      <c r="L130" t="s">
        <v>3019</v>
      </c>
      <c r="M130">
        <v>1015325</v>
      </c>
      <c r="N130">
        <v>49</v>
      </c>
      <c r="O130">
        <v>29323.546999999999</v>
      </c>
      <c r="P130" t="s">
        <v>141</v>
      </c>
      <c r="Q130">
        <v>12</v>
      </c>
      <c r="R130">
        <v>10</v>
      </c>
      <c r="S130">
        <v>95</v>
      </c>
      <c r="T130">
        <v>16107105</v>
      </c>
      <c r="U130">
        <v>51</v>
      </c>
      <c r="V130">
        <v>200</v>
      </c>
      <c r="W130">
        <v>29323.546284384702</v>
      </c>
      <c r="X130">
        <v>16107105.41912676</v>
      </c>
      <c r="Y130">
        <v>403370.29800000001</v>
      </c>
      <c r="Z130">
        <f>VLOOKUP($AC130,'2017 Seattle Tracts'!$C$2:$Z$399,24,FALSE)</f>
        <v>1015325.2709999999</v>
      </c>
      <c r="AA130">
        <f t="shared" si="3"/>
        <v>0.39728184604596534</v>
      </c>
      <c r="AB130" t="s">
        <v>143</v>
      </c>
      <c r="AC130" t="str">
        <f t="shared" si="2"/>
        <v>Census Tract 66, King County, Washington</v>
      </c>
      <c r="AD130">
        <f>VLOOKUP($AC130,'2017 Seattle Tracts'!$C$2:$Z$399,AD$1,FALSE)*AA130</f>
        <v>1625.6773140200901</v>
      </c>
      <c r="AE130">
        <f>VLOOKUP($AC130,'2017 Seattle Tracts'!$C$2:$Z$399,AE$1,FALSE)*AA130</f>
        <v>1388.102770084603</v>
      </c>
      <c r="AF130">
        <f>VLOOKUP($AC130,'2017 Seattle Tracts'!$C$2:$Z$399,AF$1,FALSE)*AA130</f>
        <v>237.57454393548727</v>
      </c>
      <c r="AG130">
        <f>VLOOKUP($AC130,'2017 Seattle Tracts'!$C$2:$Z$399,AG$1,FALSE)*AA130</f>
        <v>1625.6773140200901</v>
      </c>
      <c r="AH130">
        <f>VLOOKUP($AC130,'2017 Seattle Tracts'!$C$2:$Z$399,AH$1,FALSE)*AA130</f>
        <v>1388.102770084603</v>
      </c>
      <c r="AI130">
        <f>VLOOKUP($AC130,'2017 Seattle Tracts'!$C$2:$Z$399,AI$1,FALSE)*AA130</f>
        <v>237.57454393548727</v>
      </c>
      <c r="AJ130">
        <f>VLOOKUP($AC130,'2017 Seattle Tracts'!$C$2:$Z$399,AJ$1,FALSE)*AA130</f>
        <v>1110.800041544519</v>
      </c>
      <c r="AK130">
        <f>VLOOKUP($AC130,'2017 Seattle Tracts'!$C$2:$Z$399,AK$1,FALSE)*AA130</f>
        <v>92.56667012870993</v>
      </c>
      <c r="AL130">
        <f>VLOOKUP($AC130,'2017 Seattle Tracts'!$C$2:$Z$399,AL$1,FALSE)*AA130</f>
        <v>33.768956913907054</v>
      </c>
      <c r="AM130">
        <f>VLOOKUP($AC130,'2017 Seattle Tracts'!$C$2:$Z$399,AM$1,FALSE)*AA130</f>
        <v>4.370100306505619</v>
      </c>
      <c r="AN130">
        <f>VLOOKUP($AC130,'2017 Seattle Tracts'!$C$2:$Z$399,AN$1,FALSE)*AA130</f>
        <v>29.001574761355471</v>
      </c>
      <c r="AO130">
        <f>VLOOKUP($AC130,'2017 Seattle Tracts'!$C$2:$Z$399,AO$1,FALSE)*AA130</f>
        <v>2.3836910762757921</v>
      </c>
      <c r="AP130">
        <f>VLOOKUP($AC130,'2017 Seattle Tracts'!$C$2:$Z$399,AP$1,FALSE)*AA130</f>
        <v>1.1918455381378961</v>
      </c>
      <c r="AQ130">
        <f>VLOOKUP($AC130,'2017 Seattle Tracts'!$C$2:$Z$399,AQ$1,FALSE)*AA130</f>
        <v>0</v>
      </c>
      <c r="AR130">
        <f>VLOOKUP($AC130,'2017 Seattle Tracts'!$C$2:$Z$399,AR$1,FALSE)*AA130</f>
        <v>81.840060285468866</v>
      </c>
      <c r="AS130">
        <f>VLOOKUP($AC130,'2017 Seattle Tracts'!$C$2:$Z$399,AS$1,FALSE)*AA130</f>
        <v>119.18455381378961</v>
      </c>
      <c r="AT130">
        <f>VLOOKUP($AC130,'2017 Seattle Tracts'!$C$2:$Z$399,AT$1,FALSE)*AA130</f>
        <v>0</v>
      </c>
      <c r="AU130">
        <f>VLOOKUP($AC130,'2017 Seattle Tracts'!$C$2:$Z$399,AU$1,FALSE)*AA130</f>
        <v>0</v>
      </c>
      <c r="AV130">
        <f>VLOOKUP($AC130,'2017 Seattle Tracts'!$C$2:$Z$399,AV$1,FALSE)*AA130</f>
        <v>2.3836910762757921</v>
      </c>
      <c r="AW130">
        <f>VLOOKUP($AC130,'2017 Seattle Tracts'!$C$2:$Z$399,AW$1,FALSE)*AA130</f>
        <v>0.79456369209193067</v>
      </c>
      <c r="AX130">
        <f>VLOOKUP($AC130,'2017 Seattle Tracts'!$C$2:$Z$399,AX$1,FALSE)*AA130</f>
        <v>129.11659996493873</v>
      </c>
      <c r="AY130">
        <f>VLOOKUP($AC130,'2017 Seattle Tracts'!$C$2:$Z$399,AY$1,FALSE)*AA130</f>
        <v>18.274964918114406</v>
      </c>
    </row>
    <row r="131" spans="1:51" x14ac:dyDescent="0.25">
      <c r="A131" t="s">
        <v>2917</v>
      </c>
      <c r="B131" t="s">
        <v>2918</v>
      </c>
      <c r="C131" t="s">
        <v>3017</v>
      </c>
      <c r="D131" t="s">
        <v>2614</v>
      </c>
      <c r="E131" t="s">
        <v>2615</v>
      </c>
      <c r="F131" t="s">
        <v>2616</v>
      </c>
      <c r="G131" t="s">
        <v>2920</v>
      </c>
      <c r="H131" t="s">
        <v>2921</v>
      </c>
      <c r="I131">
        <v>1099864</v>
      </c>
      <c r="J131">
        <v>838446</v>
      </c>
      <c r="K131" t="s">
        <v>3018</v>
      </c>
      <c r="L131" t="s">
        <v>3019</v>
      </c>
      <c r="M131">
        <v>1015325</v>
      </c>
      <c r="N131">
        <v>98</v>
      </c>
      <c r="O131">
        <v>34138.93</v>
      </c>
      <c r="P131" t="s">
        <v>201</v>
      </c>
      <c r="Q131">
        <v>11</v>
      </c>
      <c r="R131">
        <v>3</v>
      </c>
      <c r="S131">
        <v>9</v>
      </c>
      <c r="T131">
        <v>19763186</v>
      </c>
      <c r="U131">
        <v>100</v>
      </c>
      <c r="V131">
        <v>146</v>
      </c>
      <c r="W131">
        <v>34138.92787921233</v>
      </c>
      <c r="X131">
        <v>19763186.566329598</v>
      </c>
      <c r="Y131">
        <v>136.869</v>
      </c>
      <c r="Z131">
        <f>VLOOKUP($AC131,'2017 Seattle Tracts'!$C$2:$Z$399,24,FALSE)</f>
        <v>1015325.2709999999</v>
      </c>
      <c r="AA131">
        <f t="shared" si="3"/>
        <v>1.3480310587088697E-4</v>
      </c>
      <c r="AB131" t="s">
        <v>202</v>
      </c>
      <c r="AC131" t="str">
        <f t="shared" ref="AC131:AC194" si="4">_xlfn.CONCAT(F131, ", King County, Washington")</f>
        <v>Census Tract 66, King County, Washington</v>
      </c>
      <c r="AD131">
        <f>VLOOKUP($AC131,'2017 Seattle Tracts'!$C$2:$Z$399,AD$1,FALSE)*AA131</f>
        <v>0.5516143092236695</v>
      </c>
      <c r="AE131">
        <f>VLOOKUP($AC131,'2017 Seattle Tracts'!$C$2:$Z$399,AE$1,FALSE)*AA131</f>
        <v>0.47100205191287908</v>
      </c>
      <c r="AF131">
        <f>VLOOKUP($AC131,'2017 Seattle Tracts'!$C$2:$Z$399,AF$1,FALSE)*AA131</f>
        <v>8.0612257310790414E-2</v>
      </c>
      <c r="AG131">
        <f>VLOOKUP($AC131,'2017 Seattle Tracts'!$C$2:$Z$399,AG$1,FALSE)*AA131</f>
        <v>0.5516143092236695</v>
      </c>
      <c r="AH131">
        <f>VLOOKUP($AC131,'2017 Seattle Tracts'!$C$2:$Z$399,AH$1,FALSE)*AA131</f>
        <v>0.47100205191287908</v>
      </c>
      <c r="AI131">
        <f>VLOOKUP($AC131,'2017 Seattle Tracts'!$C$2:$Z$399,AI$1,FALSE)*AA131</f>
        <v>8.0612257310790414E-2</v>
      </c>
      <c r="AJ131">
        <f>VLOOKUP($AC131,'2017 Seattle Tracts'!$C$2:$Z$399,AJ$1,FALSE)*AA131</f>
        <v>0.37690948401499996</v>
      </c>
      <c r="AK131">
        <f>VLOOKUP($AC131,'2017 Seattle Tracts'!$C$2:$Z$399,AK$1,FALSE)*AA131</f>
        <v>3.1409123667916664E-2</v>
      </c>
      <c r="AL131">
        <f>VLOOKUP($AC131,'2017 Seattle Tracts'!$C$2:$Z$399,AL$1,FALSE)*AA131</f>
        <v>1.1458263999025392E-2</v>
      </c>
      <c r="AM131">
        <f>VLOOKUP($AC131,'2017 Seattle Tracts'!$C$2:$Z$399,AM$1,FALSE)*AA131</f>
        <v>1.4828341645797567E-3</v>
      </c>
      <c r="AN131">
        <f>VLOOKUP($AC131,'2017 Seattle Tracts'!$C$2:$Z$399,AN$1,FALSE)*AA131</f>
        <v>9.840626728574749E-3</v>
      </c>
      <c r="AO131">
        <f>VLOOKUP($AC131,'2017 Seattle Tracts'!$C$2:$Z$399,AO$1,FALSE)*AA131</f>
        <v>8.0881863522532177E-4</v>
      </c>
      <c r="AP131">
        <f>VLOOKUP($AC131,'2017 Seattle Tracts'!$C$2:$Z$399,AP$1,FALSE)*AA131</f>
        <v>4.0440931761266089E-4</v>
      </c>
      <c r="AQ131">
        <f>VLOOKUP($AC131,'2017 Seattle Tracts'!$C$2:$Z$399,AQ$1,FALSE)*AA131</f>
        <v>0</v>
      </c>
      <c r="AR131">
        <f>VLOOKUP($AC131,'2017 Seattle Tracts'!$C$2:$Z$399,AR$1,FALSE)*AA131</f>
        <v>2.7769439809402715E-2</v>
      </c>
      <c r="AS131">
        <f>VLOOKUP($AC131,'2017 Seattle Tracts'!$C$2:$Z$399,AS$1,FALSE)*AA131</f>
        <v>4.0440931761266091E-2</v>
      </c>
      <c r="AT131">
        <f>VLOOKUP($AC131,'2017 Seattle Tracts'!$C$2:$Z$399,AT$1,FALSE)*AA131</f>
        <v>0</v>
      </c>
      <c r="AU131">
        <f>VLOOKUP($AC131,'2017 Seattle Tracts'!$C$2:$Z$399,AU$1,FALSE)*AA131</f>
        <v>0</v>
      </c>
      <c r="AV131">
        <f>VLOOKUP($AC131,'2017 Seattle Tracts'!$C$2:$Z$399,AV$1,FALSE)*AA131</f>
        <v>8.0881863522532177E-4</v>
      </c>
      <c r="AW131">
        <f>VLOOKUP($AC131,'2017 Seattle Tracts'!$C$2:$Z$399,AW$1,FALSE)*AA131</f>
        <v>2.6960621174177394E-4</v>
      </c>
      <c r="AX131">
        <f>VLOOKUP($AC131,'2017 Seattle Tracts'!$C$2:$Z$399,AX$1,FALSE)*AA131</f>
        <v>4.3811009408038268E-2</v>
      </c>
      <c r="AY131">
        <f>VLOOKUP($AC131,'2017 Seattle Tracts'!$C$2:$Z$399,AY$1,FALSE)*AA131</f>
        <v>6.2009428700608004E-3</v>
      </c>
    </row>
    <row r="132" spans="1:51" x14ac:dyDescent="0.25">
      <c r="A132" t="s">
        <v>2917</v>
      </c>
      <c r="B132" t="s">
        <v>2918</v>
      </c>
      <c r="C132" t="s">
        <v>3017</v>
      </c>
      <c r="D132" t="s">
        <v>2614</v>
      </c>
      <c r="E132" t="s">
        <v>2615</v>
      </c>
      <c r="F132" t="s">
        <v>2616</v>
      </c>
      <c r="G132" t="s">
        <v>2920</v>
      </c>
      <c r="H132" t="s">
        <v>2921</v>
      </c>
      <c r="I132">
        <v>1099864</v>
      </c>
      <c r="J132">
        <v>838446</v>
      </c>
      <c r="K132" t="s">
        <v>3018</v>
      </c>
      <c r="L132" t="s">
        <v>3019</v>
      </c>
      <c r="M132">
        <v>1015325</v>
      </c>
      <c r="N132">
        <v>100</v>
      </c>
      <c r="O132">
        <v>26851.947</v>
      </c>
      <c r="P132" t="s">
        <v>201</v>
      </c>
      <c r="Q132">
        <v>11</v>
      </c>
      <c r="R132">
        <v>3</v>
      </c>
      <c r="S132">
        <v>0</v>
      </c>
      <c r="T132">
        <v>30239240</v>
      </c>
      <c r="U132">
        <v>102</v>
      </c>
      <c r="V132">
        <v>151</v>
      </c>
      <c r="W132">
        <v>26851.9474418256</v>
      </c>
      <c r="X132">
        <v>30239240.52129779</v>
      </c>
      <c r="Y132">
        <v>378586.446</v>
      </c>
      <c r="Z132">
        <f>VLOOKUP($AC132,'2017 Seattle Tracts'!$C$2:$Z$399,24,FALSE)</f>
        <v>1015325.2709999999</v>
      </c>
      <c r="AA132">
        <f t="shared" ref="AA132:AA195" si="5">Y132/Z132</f>
        <v>0.37287208032075075</v>
      </c>
      <c r="AB132" t="s">
        <v>204</v>
      </c>
      <c r="AC132" t="str">
        <f t="shared" si="4"/>
        <v>Census Tract 66, King County, Washington</v>
      </c>
      <c r="AD132">
        <f>VLOOKUP($AC132,'2017 Seattle Tracts'!$C$2:$Z$399,AD$1,FALSE)*AA132</f>
        <v>1525.7925526725121</v>
      </c>
      <c r="AE132">
        <f>VLOOKUP($AC132,'2017 Seattle Tracts'!$C$2:$Z$399,AE$1,FALSE)*AA132</f>
        <v>1302.815048640703</v>
      </c>
      <c r="AF132">
        <f>VLOOKUP($AC132,'2017 Seattle Tracts'!$C$2:$Z$399,AF$1,FALSE)*AA132</f>
        <v>222.97750403180896</v>
      </c>
      <c r="AG132">
        <f>VLOOKUP($AC132,'2017 Seattle Tracts'!$C$2:$Z$399,AG$1,FALSE)*AA132</f>
        <v>1525.7925526725121</v>
      </c>
      <c r="AH132">
        <f>VLOOKUP($AC132,'2017 Seattle Tracts'!$C$2:$Z$399,AH$1,FALSE)*AA132</f>
        <v>1302.815048640703</v>
      </c>
      <c r="AI132">
        <f>VLOOKUP($AC132,'2017 Seattle Tracts'!$C$2:$Z$399,AI$1,FALSE)*AA132</f>
        <v>222.97750403180896</v>
      </c>
      <c r="AJ132">
        <f>VLOOKUP($AC132,'2017 Seattle Tracts'!$C$2:$Z$399,AJ$1,FALSE)*AA132</f>
        <v>1042.5503365768191</v>
      </c>
      <c r="AK132">
        <f>VLOOKUP($AC132,'2017 Seattle Tracts'!$C$2:$Z$399,AK$1,FALSE)*AA132</f>
        <v>86.879194714734922</v>
      </c>
      <c r="AL132">
        <f>VLOOKUP($AC132,'2017 Seattle Tracts'!$C$2:$Z$399,AL$1,FALSE)*AA132</f>
        <v>31.694126827263815</v>
      </c>
      <c r="AM132">
        <f>VLOOKUP($AC132,'2017 Seattle Tracts'!$C$2:$Z$399,AM$1,FALSE)*AA132</f>
        <v>4.1015928835282587</v>
      </c>
      <c r="AN132">
        <f>VLOOKUP($AC132,'2017 Seattle Tracts'!$C$2:$Z$399,AN$1,FALSE)*AA132</f>
        <v>27.219661863414807</v>
      </c>
      <c r="AO132">
        <f>VLOOKUP($AC132,'2017 Seattle Tracts'!$C$2:$Z$399,AO$1,FALSE)*AA132</f>
        <v>2.2372324819245044</v>
      </c>
      <c r="AP132">
        <f>VLOOKUP($AC132,'2017 Seattle Tracts'!$C$2:$Z$399,AP$1,FALSE)*AA132</f>
        <v>1.1186162409622522</v>
      </c>
      <c r="AQ132">
        <f>VLOOKUP($AC132,'2017 Seattle Tracts'!$C$2:$Z$399,AQ$1,FALSE)*AA132</f>
        <v>0</v>
      </c>
      <c r="AR132">
        <f>VLOOKUP($AC132,'2017 Seattle Tracts'!$C$2:$Z$399,AR$1,FALSE)*AA132</f>
        <v>76.81164854607465</v>
      </c>
      <c r="AS132">
        <f>VLOOKUP($AC132,'2017 Seattle Tracts'!$C$2:$Z$399,AS$1,FALSE)*AA132</f>
        <v>111.86162409622523</v>
      </c>
      <c r="AT132">
        <f>VLOOKUP($AC132,'2017 Seattle Tracts'!$C$2:$Z$399,AT$1,FALSE)*AA132</f>
        <v>0</v>
      </c>
      <c r="AU132">
        <f>VLOOKUP($AC132,'2017 Seattle Tracts'!$C$2:$Z$399,AU$1,FALSE)*AA132</f>
        <v>0</v>
      </c>
      <c r="AV132">
        <f>VLOOKUP($AC132,'2017 Seattle Tracts'!$C$2:$Z$399,AV$1,FALSE)*AA132</f>
        <v>2.2372324819245044</v>
      </c>
      <c r="AW132">
        <f>VLOOKUP($AC132,'2017 Seattle Tracts'!$C$2:$Z$399,AW$1,FALSE)*AA132</f>
        <v>0.74574416064150151</v>
      </c>
      <c r="AX132">
        <f>VLOOKUP($AC132,'2017 Seattle Tracts'!$C$2:$Z$399,AX$1,FALSE)*AA132</f>
        <v>121.18342610424399</v>
      </c>
      <c r="AY132">
        <f>VLOOKUP($AC132,'2017 Seattle Tracts'!$C$2:$Z$399,AY$1,FALSE)*AA132</f>
        <v>17.152115694754535</v>
      </c>
    </row>
    <row r="133" spans="1:51" x14ac:dyDescent="0.25">
      <c r="A133" t="s">
        <v>2917</v>
      </c>
      <c r="B133" t="s">
        <v>2918</v>
      </c>
      <c r="C133" t="s">
        <v>3020</v>
      </c>
      <c r="D133" t="s">
        <v>2611</v>
      </c>
      <c r="E133" t="s">
        <v>2612</v>
      </c>
      <c r="F133" t="s">
        <v>2613</v>
      </c>
      <c r="G133" t="s">
        <v>2920</v>
      </c>
      <c r="H133" t="s">
        <v>2921</v>
      </c>
      <c r="I133">
        <v>1278219</v>
      </c>
      <c r="J133">
        <v>102394</v>
      </c>
      <c r="K133" t="s">
        <v>3021</v>
      </c>
      <c r="L133" t="s">
        <v>3022</v>
      </c>
      <c r="M133">
        <v>1214170</v>
      </c>
      <c r="N133">
        <v>43</v>
      </c>
      <c r="O133">
        <v>21488.398000000001</v>
      </c>
      <c r="P133" t="s">
        <v>136</v>
      </c>
      <c r="Q133">
        <v>10</v>
      </c>
      <c r="R133">
        <v>7</v>
      </c>
      <c r="S133">
        <v>23</v>
      </c>
      <c r="T133">
        <v>19354700</v>
      </c>
      <c r="U133">
        <v>45</v>
      </c>
      <c r="V133">
        <v>145</v>
      </c>
      <c r="W133">
        <v>21488.397378299011</v>
      </c>
      <c r="X133">
        <v>19354699.596078452</v>
      </c>
      <c r="Y133">
        <v>687257.06200000003</v>
      </c>
      <c r="Z133">
        <f>VLOOKUP($AC133,'2017 Seattle Tracts'!$C$2:$Z$399,24,FALSE)</f>
        <v>1214170.183</v>
      </c>
      <c r="AA133">
        <f t="shared" si="5"/>
        <v>0.56603025804991303</v>
      </c>
      <c r="AB133" t="s">
        <v>135</v>
      </c>
      <c r="AC133" t="str">
        <f t="shared" si="4"/>
        <v>Census Tract 67, King County, Washington</v>
      </c>
      <c r="AD133">
        <f>VLOOKUP($AC133,'2017 Seattle Tracts'!$C$2:$Z$399,AD$1,FALSE)*AA133</f>
        <v>4917.6708819376445</v>
      </c>
      <c r="AE133">
        <f>VLOOKUP($AC133,'2017 Seattle Tracts'!$C$2:$Z$399,AE$1,FALSE)*AA133</f>
        <v>3459.5769372010686</v>
      </c>
      <c r="AF133">
        <f>VLOOKUP($AC133,'2017 Seattle Tracts'!$C$2:$Z$399,AF$1,FALSE)*AA133</f>
        <v>1458.0939447365758</v>
      </c>
      <c r="AG133">
        <f>VLOOKUP($AC133,'2017 Seattle Tracts'!$C$2:$Z$399,AG$1,FALSE)*AA133</f>
        <v>4917.6708819376445</v>
      </c>
      <c r="AH133">
        <f>VLOOKUP($AC133,'2017 Seattle Tracts'!$C$2:$Z$399,AH$1,FALSE)*AA133</f>
        <v>3459.5769372010686</v>
      </c>
      <c r="AI133">
        <f>VLOOKUP($AC133,'2017 Seattle Tracts'!$C$2:$Z$399,AI$1,FALSE)*AA133</f>
        <v>1458.0939447365758</v>
      </c>
      <c r="AJ133">
        <f>VLOOKUP($AC133,'2017 Seattle Tracts'!$C$2:$Z$399,AJ$1,FALSE)*AA133</f>
        <v>2968.2626732137437</v>
      </c>
      <c r="AK133">
        <f>VLOOKUP($AC133,'2017 Seattle Tracts'!$C$2:$Z$399,AK$1,FALSE)*AA133</f>
        <v>408.10781605398728</v>
      </c>
      <c r="AL133">
        <f>VLOOKUP($AC133,'2017 Seattle Tracts'!$C$2:$Z$399,AL$1,FALSE)*AA133</f>
        <v>52.074783740591997</v>
      </c>
      <c r="AM133">
        <f>VLOOKUP($AC133,'2017 Seattle Tracts'!$C$2:$Z$399,AM$1,FALSE)*AA133</f>
        <v>15.848847225397565</v>
      </c>
      <c r="AN133">
        <f>VLOOKUP($AC133,'2017 Seattle Tracts'!$C$2:$Z$399,AN$1,FALSE)*AA133</f>
        <v>43.018299611793388</v>
      </c>
      <c r="AO133">
        <f>VLOOKUP($AC133,'2017 Seattle Tracts'!$C$2:$Z$399,AO$1,FALSE)*AA133</f>
        <v>0</v>
      </c>
      <c r="AP133">
        <f>VLOOKUP($AC133,'2017 Seattle Tracts'!$C$2:$Z$399,AP$1,FALSE)*AA133</f>
        <v>10.754574902948347</v>
      </c>
      <c r="AQ133">
        <f>VLOOKUP($AC133,'2017 Seattle Tracts'!$C$2:$Z$399,AQ$1,FALSE)*AA133</f>
        <v>0</v>
      </c>
      <c r="AR133">
        <f>VLOOKUP($AC133,'2017 Seattle Tracts'!$C$2:$Z$399,AR$1,FALSE)*AA133</f>
        <v>174.90334973742313</v>
      </c>
      <c r="AS133">
        <f>VLOOKUP($AC133,'2017 Seattle Tracts'!$C$2:$Z$399,AS$1,FALSE)*AA133</f>
        <v>932.81786526625672</v>
      </c>
      <c r="AT133">
        <f>VLOOKUP($AC133,'2017 Seattle Tracts'!$C$2:$Z$399,AT$1,FALSE)*AA133</f>
        <v>0</v>
      </c>
      <c r="AU133">
        <f>VLOOKUP($AC133,'2017 Seattle Tracts'!$C$2:$Z$399,AU$1,FALSE)*AA133</f>
        <v>0</v>
      </c>
      <c r="AV133">
        <f>VLOOKUP($AC133,'2017 Seattle Tracts'!$C$2:$Z$399,AV$1,FALSE)*AA133</f>
        <v>0</v>
      </c>
      <c r="AW133">
        <f>VLOOKUP($AC133,'2017 Seattle Tracts'!$C$2:$Z$399,AW$1,FALSE)*AA133</f>
        <v>0</v>
      </c>
      <c r="AX133">
        <f>VLOOKUP($AC133,'2017 Seattle Tracts'!$C$2:$Z$399,AX$1,FALSE)*AA133</f>
        <v>210.56325599456764</v>
      </c>
      <c r="AY133">
        <f>VLOOKUP($AC133,'2017 Seattle Tracts'!$C$2:$Z$399,AY$1,FALSE)*AA133</f>
        <v>101.31941619093443</v>
      </c>
    </row>
    <row r="134" spans="1:51" x14ac:dyDescent="0.25">
      <c r="A134" t="s">
        <v>2917</v>
      </c>
      <c r="B134" t="s">
        <v>2918</v>
      </c>
      <c r="C134" t="s">
        <v>3020</v>
      </c>
      <c r="D134" t="s">
        <v>2611</v>
      </c>
      <c r="E134" t="s">
        <v>2612</v>
      </c>
      <c r="F134" t="s">
        <v>2613</v>
      </c>
      <c r="G134" t="s">
        <v>2920</v>
      </c>
      <c r="H134" t="s">
        <v>2921</v>
      </c>
      <c r="I134">
        <v>1278219</v>
      </c>
      <c r="J134">
        <v>102394</v>
      </c>
      <c r="K134" t="s">
        <v>3021</v>
      </c>
      <c r="L134" t="s">
        <v>3022</v>
      </c>
      <c r="M134">
        <v>1214170</v>
      </c>
      <c r="N134">
        <v>45</v>
      </c>
      <c r="O134">
        <v>20496.728999999999</v>
      </c>
      <c r="P134" t="s">
        <v>136</v>
      </c>
      <c r="Q134">
        <v>10</v>
      </c>
      <c r="R134">
        <v>7</v>
      </c>
      <c r="S134">
        <v>9</v>
      </c>
      <c r="T134">
        <v>17515624</v>
      </c>
      <c r="U134">
        <v>47</v>
      </c>
      <c r="V134">
        <v>152</v>
      </c>
      <c r="W134">
        <v>20496.72892223937</v>
      </c>
      <c r="X134">
        <v>17515624.457026299</v>
      </c>
      <c r="Y134">
        <v>136103.255</v>
      </c>
      <c r="Z134">
        <f>VLOOKUP($AC134,'2017 Seattle Tracts'!$C$2:$Z$399,24,FALSE)</f>
        <v>1214170.183</v>
      </c>
      <c r="AA134">
        <f t="shared" si="5"/>
        <v>0.11209569869662991</v>
      </c>
      <c r="AB134" t="s">
        <v>138</v>
      </c>
      <c r="AC134" t="str">
        <f t="shared" si="4"/>
        <v>Census Tract 67, King County, Washington</v>
      </c>
      <c r="AD134">
        <f>VLOOKUP($AC134,'2017 Seattle Tracts'!$C$2:$Z$399,AD$1,FALSE)*AA134</f>
        <v>973.88743027632074</v>
      </c>
      <c r="AE134">
        <f>VLOOKUP($AC134,'2017 Seattle Tracts'!$C$2:$Z$399,AE$1,FALSE)*AA134</f>
        <v>685.12891043380205</v>
      </c>
      <c r="AF134">
        <f>VLOOKUP($AC134,'2017 Seattle Tracts'!$C$2:$Z$399,AF$1,FALSE)*AA134</f>
        <v>288.75851984251864</v>
      </c>
      <c r="AG134">
        <f>VLOOKUP($AC134,'2017 Seattle Tracts'!$C$2:$Z$399,AG$1,FALSE)*AA134</f>
        <v>973.88743027632074</v>
      </c>
      <c r="AH134">
        <f>VLOOKUP($AC134,'2017 Seattle Tracts'!$C$2:$Z$399,AH$1,FALSE)*AA134</f>
        <v>685.12891043380205</v>
      </c>
      <c r="AI134">
        <f>VLOOKUP($AC134,'2017 Seattle Tracts'!$C$2:$Z$399,AI$1,FALSE)*AA134</f>
        <v>288.75851984251864</v>
      </c>
      <c r="AJ134">
        <f>VLOOKUP($AC134,'2017 Seattle Tracts'!$C$2:$Z$399,AJ$1,FALSE)*AA134</f>
        <v>587.82984396512722</v>
      </c>
      <c r="AK134">
        <f>VLOOKUP($AC134,'2017 Seattle Tracts'!$C$2:$Z$399,AK$1,FALSE)*AA134</f>
        <v>80.820998760270172</v>
      </c>
      <c r="AL134">
        <f>VLOOKUP($AC134,'2017 Seattle Tracts'!$C$2:$Z$399,AL$1,FALSE)*AA134</f>
        <v>10.312804280089953</v>
      </c>
      <c r="AM134">
        <f>VLOOKUP($AC134,'2017 Seattle Tracts'!$C$2:$Z$399,AM$1,FALSE)*AA134</f>
        <v>3.1386795635056375</v>
      </c>
      <c r="AN134">
        <f>VLOOKUP($AC134,'2017 Seattle Tracts'!$C$2:$Z$399,AN$1,FALSE)*AA134</f>
        <v>8.5192731009438738</v>
      </c>
      <c r="AO134">
        <f>VLOOKUP($AC134,'2017 Seattle Tracts'!$C$2:$Z$399,AO$1,FALSE)*AA134</f>
        <v>0</v>
      </c>
      <c r="AP134">
        <f>VLOOKUP($AC134,'2017 Seattle Tracts'!$C$2:$Z$399,AP$1,FALSE)*AA134</f>
        <v>2.1298182752359684</v>
      </c>
      <c r="AQ134">
        <f>VLOOKUP($AC134,'2017 Seattle Tracts'!$C$2:$Z$399,AQ$1,FALSE)*AA134</f>
        <v>0</v>
      </c>
      <c r="AR134">
        <f>VLOOKUP($AC134,'2017 Seattle Tracts'!$C$2:$Z$399,AR$1,FALSE)*AA134</f>
        <v>34.637570897258641</v>
      </c>
      <c r="AS134">
        <f>VLOOKUP($AC134,'2017 Seattle Tracts'!$C$2:$Z$399,AS$1,FALSE)*AA134</f>
        <v>184.73371145204609</v>
      </c>
      <c r="AT134">
        <f>VLOOKUP($AC134,'2017 Seattle Tracts'!$C$2:$Z$399,AT$1,FALSE)*AA134</f>
        <v>0</v>
      </c>
      <c r="AU134">
        <f>VLOOKUP($AC134,'2017 Seattle Tracts'!$C$2:$Z$399,AU$1,FALSE)*AA134</f>
        <v>0</v>
      </c>
      <c r="AV134">
        <f>VLOOKUP($AC134,'2017 Seattle Tracts'!$C$2:$Z$399,AV$1,FALSE)*AA134</f>
        <v>0</v>
      </c>
      <c r="AW134">
        <f>VLOOKUP($AC134,'2017 Seattle Tracts'!$C$2:$Z$399,AW$1,FALSE)*AA134</f>
        <v>0</v>
      </c>
      <c r="AX134">
        <f>VLOOKUP($AC134,'2017 Seattle Tracts'!$C$2:$Z$399,AX$1,FALSE)*AA134</f>
        <v>41.699599915146329</v>
      </c>
      <c r="AY134">
        <f>VLOOKUP($AC134,'2017 Seattle Tracts'!$C$2:$Z$399,AY$1,FALSE)*AA134</f>
        <v>20.065130066696753</v>
      </c>
    </row>
    <row r="135" spans="1:51" x14ac:dyDescent="0.25">
      <c r="A135" t="s">
        <v>2917</v>
      </c>
      <c r="B135" t="s">
        <v>2918</v>
      </c>
      <c r="C135" t="s">
        <v>3020</v>
      </c>
      <c r="D135" t="s">
        <v>2611</v>
      </c>
      <c r="E135" t="s">
        <v>2612</v>
      </c>
      <c r="F135" t="s">
        <v>2613</v>
      </c>
      <c r="G135" t="s">
        <v>2920</v>
      </c>
      <c r="H135" t="s">
        <v>2921</v>
      </c>
      <c r="I135">
        <v>1278219</v>
      </c>
      <c r="J135">
        <v>102394</v>
      </c>
      <c r="K135" t="s">
        <v>3021</v>
      </c>
      <c r="L135" t="s">
        <v>3022</v>
      </c>
      <c r="M135">
        <v>1214170</v>
      </c>
      <c r="N135">
        <v>47</v>
      </c>
      <c r="O135">
        <v>11017.323</v>
      </c>
      <c r="P135" t="s">
        <v>141</v>
      </c>
      <c r="Q135">
        <v>12</v>
      </c>
      <c r="R135">
        <v>10</v>
      </c>
      <c r="S135">
        <v>0</v>
      </c>
      <c r="T135">
        <v>3645184</v>
      </c>
      <c r="U135">
        <v>49</v>
      </c>
      <c r="V135">
        <v>202</v>
      </c>
      <c r="W135">
        <v>11017.323173961489</v>
      </c>
      <c r="X135">
        <v>3645184.079040701</v>
      </c>
      <c r="Y135">
        <v>319186.10399999999</v>
      </c>
      <c r="Z135">
        <f>VLOOKUP($AC135,'2017 Seattle Tracts'!$C$2:$Z$399,24,FALSE)</f>
        <v>1214170.183</v>
      </c>
      <c r="AA135">
        <f t="shared" si="5"/>
        <v>0.26288415616610478</v>
      </c>
      <c r="AB135" t="s">
        <v>140</v>
      </c>
      <c r="AC135" t="str">
        <f t="shared" si="4"/>
        <v>Census Tract 67, King County, Washington</v>
      </c>
      <c r="AD135">
        <f>VLOOKUP($AC135,'2017 Seattle Tracts'!$C$2:$Z$399,AD$1,FALSE)*AA135</f>
        <v>2283.9375487711181</v>
      </c>
      <c r="AE135">
        <f>VLOOKUP($AC135,'2017 Seattle Tracts'!$C$2:$Z$399,AE$1,FALSE)*AA135</f>
        <v>1606.7479624872324</v>
      </c>
      <c r="AF135">
        <f>VLOOKUP($AC135,'2017 Seattle Tracts'!$C$2:$Z$399,AF$1,FALSE)*AA135</f>
        <v>677.18958628388589</v>
      </c>
      <c r="AG135">
        <f>VLOOKUP($AC135,'2017 Seattle Tracts'!$C$2:$Z$399,AG$1,FALSE)*AA135</f>
        <v>2283.9375487711181</v>
      </c>
      <c r="AH135">
        <f>VLOOKUP($AC135,'2017 Seattle Tracts'!$C$2:$Z$399,AH$1,FALSE)*AA135</f>
        <v>1606.7479624872324</v>
      </c>
      <c r="AI135">
        <f>VLOOKUP($AC135,'2017 Seattle Tracts'!$C$2:$Z$399,AI$1,FALSE)*AA135</f>
        <v>677.18958628388589</v>
      </c>
      <c r="AJ135">
        <f>VLOOKUP($AC135,'2017 Seattle Tracts'!$C$2:$Z$399,AJ$1,FALSE)*AA135</f>
        <v>1378.5645149350535</v>
      </c>
      <c r="AK135">
        <f>VLOOKUP($AC135,'2017 Seattle Tracts'!$C$2:$Z$399,AK$1,FALSE)*AA135</f>
        <v>189.53947659576156</v>
      </c>
      <c r="AL135">
        <f>VLOOKUP($AC135,'2017 Seattle Tracts'!$C$2:$Z$399,AL$1,FALSE)*AA135</f>
        <v>24.185342367281638</v>
      </c>
      <c r="AM135">
        <f>VLOOKUP($AC135,'2017 Seattle Tracts'!$C$2:$Z$399,AM$1,FALSE)*AA135</f>
        <v>7.3607563726509335</v>
      </c>
      <c r="AN135">
        <f>VLOOKUP($AC135,'2017 Seattle Tracts'!$C$2:$Z$399,AN$1,FALSE)*AA135</f>
        <v>19.979195868623965</v>
      </c>
      <c r="AO135">
        <f>VLOOKUP($AC135,'2017 Seattle Tracts'!$C$2:$Z$399,AO$1,FALSE)*AA135</f>
        <v>0</v>
      </c>
      <c r="AP135">
        <f>VLOOKUP($AC135,'2017 Seattle Tracts'!$C$2:$Z$399,AP$1,FALSE)*AA135</f>
        <v>4.9947989671559911</v>
      </c>
      <c r="AQ135">
        <f>VLOOKUP($AC135,'2017 Seattle Tracts'!$C$2:$Z$399,AQ$1,FALSE)*AA135</f>
        <v>0</v>
      </c>
      <c r="AR135">
        <f>VLOOKUP($AC135,'2017 Seattle Tracts'!$C$2:$Z$399,AR$1,FALSE)*AA135</f>
        <v>81.231204255326375</v>
      </c>
      <c r="AS135">
        <f>VLOOKUP($AC135,'2017 Seattle Tracts'!$C$2:$Z$399,AS$1,FALSE)*AA135</f>
        <v>433.23308936174067</v>
      </c>
      <c r="AT135">
        <f>VLOOKUP($AC135,'2017 Seattle Tracts'!$C$2:$Z$399,AT$1,FALSE)*AA135</f>
        <v>0</v>
      </c>
      <c r="AU135">
        <f>VLOOKUP($AC135,'2017 Seattle Tracts'!$C$2:$Z$399,AU$1,FALSE)*AA135</f>
        <v>0</v>
      </c>
      <c r="AV135">
        <f>VLOOKUP($AC135,'2017 Seattle Tracts'!$C$2:$Z$399,AV$1,FALSE)*AA135</f>
        <v>0</v>
      </c>
      <c r="AW135">
        <f>VLOOKUP($AC135,'2017 Seattle Tracts'!$C$2:$Z$399,AW$1,FALSE)*AA135</f>
        <v>0</v>
      </c>
      <c r="AX135">
        <f>VLOOKUP($AC135,'2017 Seattle Tracts'!$C$2:$Z$399,AX$1,FALSE)*AA135</f>
        <v>97.792906093790975</v>
      </c>
      <c r="AY135">
        <f>VLOOKUP($AC135,'2017 Seattle Tracts'!$C$2:$Z$399,AY$1,FALSE)*AA135</f>
        <v>47.056263953732753</v>
      </c>
    </row>
    <row r="136" spans="1:51" x14ac:dyDescent="0.25">
      <c r="A136" t="s">
        <v>2917</v>
      </c>
      <c r="B136" t="s">
        <v>2918</v>
      </c>
      <c r="C136" t="s">
        <v>3020</v>
      </c>
      <c r="D136" t="s">
        <v>2611</v>
      </c>
      <c r="E136" t="s">
        <v>2612</v>
      </c>
      <c r="F136" t="s">
        <v>2613</v>
      </c>
      <c r="G136" t="s">
        <v>2920</v>
      </c>
      <c r="H136" t="s">
        <v>2921</v>
      </c>
      <c r="I136">
        <v>1278219</v>
      </c>
      <c r="J136">
        <v>102394</v>
      </c>
      <c r="K136" t="s">
        <v>3021</v>
      </c>
      <c r="L136" t="s">
        <v>3022</v>
      </c>
      <c r="M136">
        <v>1214170</v>
      </c>
      <c r="N136">
        <v>49</v>
      </c>
      <c r="O136">
        <v>29323.546999999999</v>
      </c>
      <c r="P136" t="s">
        <v>141</v>
      </c>
      <c r="Q136">
        <v>12</v>
      </c>
      <c r="R136">
        <v>10</v>
      </c>
      <c r="S136">
        <v>95</v>
      </c>
      <c r="T136">
        <v>16107105</v>
      </c>
      <c r="U136">
        <v>51</v>
      </c>
      <c r="V136">
        <v>200</v>
      </c>
      <c r="W136">
        <v>29323.546284384702</v>
      </c>
      <c r="X136">
        <v>16107105.41912676</v>
      </c>
      <c r="Y136">
        <v>71136.894</v>
      </c>
      <c r="Z136">
        <f>VLOOKUP($AC136,'2017 Seattle Tracts'!$C$2:$Z$399,24,FALSE)</f>
        <v>1214170.183</v>
      </c>
      <c r="AA136">
        <f t="shared" si="5"/>
        <v>5.8588898818313348E-2</v>
      </c>
      <c r="AB136" t="s">
        <v>143</v>
      </c>
      <c r="AC136" t="str">
        <f t="shared" si="4"/>
        <v>Census Tract 67, King County, Washington</v>
      </c>
      <c r="AD136">
        <f>VLOOKUP($AC136,'2017 Seattle Tracts'!$C$2:$Z$399,AD$1,FALSE)*AA136</f>
        <v>509.02035293350639</v>
      </c>
      <c r="AE136">
        <f>VLOOKUP($AC136,'2017 Seattle Tracts'!$C$2:$Z$399,AE$1,FALSE)*AA136</f>
        <v>358.09534957753118</v>
      </c>
      <c r="AF136">
        <f>VLOOKUP($AC136,'2017 Seattle Tracts'!$C$2:$Z$399,AF$1,FALSE)*AA136</f>
        <v>150.92500335597518</v>
      </c>
      <c r="AG136">
        <f>VLOOKUP($AC136,'2017 Seattle Tracts'!$C$2:$Z$399,AG$1,FALSE)*AA136</f>
        <v>509.02035293350639</v>
      </c>
      <c r="AH136">
        <f>VLOOKUP($AC136,'2017 Seattle Tracts'!$C$2:$Z$399,AH$1,FALSE)*AA136</f>
        <v>358.09534957753118</v>
      </c>
      <c r="AI136">
        <f>VLOOKUP($AC136,'2017 Seattle Tracts'!$C$2:$Z$399,AI$1,FALSE)*AA136</f>
        <v>150.92500335597518</v>
      </c>
      <c r="AJ136">
        <f>VLOOKUP($AC136,'2017 Seattle Tracts'!$C$2:$Z$399,AJ$1,FALSE)*AA136</f>
        <v>307.24018540323522</v>
      </c>
      <c r="AK136">
        <f>VLOOKUP($AC136,'2017 Seattle Tracts'!$C$2:$Z$399,AK$1,FALSE)*AA136</f>
        <v>42.242596048003925</v>
      </c>
      <c r="AL136">
        <f>VLOOKUP($AC136,'2017 Seattle Tracts'!$C$2:$Z$399,AL$1,FALSE)*AA136</f>
        <v>5.3901786912848282</v>
      </c>
      <c r="AM136">
        <f>VLOOKUP($AC136,'2017 Seattle Tracts'!$C$2:$Z$399,AM$1,FALSE)*AA136</f>
        <v>1.6404891669127737</v>
      </c>
      <c r="AN136">
        <f>VLOOKUP($AC136,'2017 Seattle Tracts'!$C$2:$Z$399,AN$1,FALSE)*AA136</f>
        <v>4.4527563101918144</v>
      </c>
      <c r="AO136">
        <f>VLOOKUP($AC136,'2017 Seattle Tracts'!$C$2:$Z$399,AO$1,FALSE)*AA136</f>
        <v>0</v>
      </c>
      <c r="AP136">
        <f>VLOOKUP($AC136,'2017 Seattle Tracts'!$C$2:$Z$399,AP$1,FALSE)*AA136</f>
        <v>1.1131890775479536</v>
      </c>
      <c r="AQ136">
        <f>VLOOKUP($AC136,'2017 Seattle Tracts'!$C$2:$Z$399,AQ$1,FALSE)*AA136</f>
        <v>0</v>
      </c>
      <c r="AR136">
        <f>VLOOKUP($AC136,'2017 Seattle Tracts'!$C$2:$Z$399,AR$1,FALSE)*AA136</f>
        <v>18.103969734858826</v>
      </c>
      <c r="AS136">
        <f>VLOOKUP($AC136,'2017 Seattle Tracts'!$C$2:$Z$399,AS$1,FALSE)*AA136</f>
        <v>96.554505252580398</v>
      </c>
      <c r="AT136">
        <f>VLOOKUP($AC136,'2017 Seattle Tracts'!$C$2:$Z$399,AT$1,FALSE)*AA136</f>
        <v>0</v>
      </c>
      <c r="AU136">
        <f>VLOOKUP($AC136,'2017 Seattle Tracts'!$C$2:$Z$399,AU$1,FALSE)*AA136</f>
        <v>0</v>
      </c>
      <c r="AV136">
        <f>VLOOKUP($AC136,'2017 Seattle Tracts'!$C$2:$Z$399,AV$1,FALSE)*AA136</f>
        <v>0</v>
      </c>
      <c r="AW136">
        <f>VLOOKUP($AC136,'2017 Seattle Tracts'!$C$2:$Z$399,AW$1,FALSE)*AA136</f>
        <v>0</v>
      </c>
      <c r="AX136">
        <f>VLOOKUP($AC136,'2017 Seattle Tracts'!$C$2:$Z$399,AX$1,FALSE)*AA136</f>
        <v>21.795070360412566</v>
      </c>
      <c r="AY136">
        <f>VLOOKUP($AC136,'2017 Seattle Tracts'!$C$2:$Z$399,AY$1,FALSE)*AA136</f>
        <v>10.48741288847809</v>
      </c>
    </row>
    <row r="137" spans="1:51" x14ac:dyDescent="0.25">
      <c r="A137" t="s">
        <v>2917</v>
      </c>
      <c r="B137" t="s">
        <v>2918</v>
      </c>
      <c r="C137" t="s">
        <v>3023</v>
      </c>
      <c r="D137" t="s">
        <v>2608</v>
      </c>
      <c r="E137" t="s">
        <v>2609</v>
      </c>
      <c r="F137" t="s">
        <v>2610</v>
      </c>
      <c r="G137" t="s">
        <v>2920</v>
      </c>
      <c r="H137" t="s">
        <v>2921</v>
      </c>
      <c r="I137">
        <v>718104</v>
      </c>
      <c r="J137">
        <v>0</v>
      </c>
      <c r="K137" t="s">
        <v>3024</v>
      </c>
      <c r="L137" t="s">
        <v>3025</v>
      </c>
      <c r="M137">
        <v>718105</v>
      </c>
      <c r="N137">
        <v>43</v>
      </c>
      <c r="O137">
        <v>21488.398000000001</v>
      </c>
      <c r="P137" t="s">
        <v>136</v>
      </c>
      <c r="Q137">
        <v>10</v>
      </c>
      <c r="R137">
        <v>7</v>
      </c>
      <c r="S137">
        <v>23</v>
      </c>
      <c r="T137">
        <v>19354700</v>
      </c>
      <c r="U137">
        <v>45</v>
      </c>
      <c r="V137">
        <v>145</v>
      </c>
      <c r="W137">
        <v>21488.397378299011</v>
      </c>
      <c r="X137">
        <v>19354699.596078452</v>
      </c>
      <c r="Y137">
        <v>391864.00300000003</v>
      </c>
      <c r="Z137">
        <f>VLOOKUP($AC137,'2017 Seattle Tracts'!$C$2:$Z$399,24,FALSE)</f>
        <v>718104.83799999999</v>
      </c>
      <c r="AA137">
        <f t="shared" si="5"/>
        <v>0.54569191330249756</v>
      </c>
      <c r="AB137" t="s">
        <v>135</v>
      </c>
      <c r="AC137" t="str">
        <f t="shared" si="4"/>
        <v>Census Tract 68, King County, Washington</v>
      </c>
      <c r="AD137">
        <f>VLOOKUP($AC137,'2017 Seattle Tracts'!$C$2:$Z$399,AD$1,FALSE)*AA137</f>
        <v>1805.1488492046619</v>
      </c>
      <c r="AE137">
        <f>VLOOKUP($AC137,'2017 Seattle Tracts'!$C$2:$Z$399,AE$1,FALSE)*AA137</f>
        <v>1541.033963166253</v>
      </c>
      <c r="AF137">
        <f>VLOOKUP($AC137,'2017 Seattle Tracts'!$C$2:$Z$399,AF$1,FALSE)*AA137</f>
        <v>264.11488603840883</v>
      </c>
      <c r="AG137">
        <f>VLOOKUP($AC137,'2017 Seattle Tracts'!$C$2:$Z$399,AG$1,FALSE)*AA137</f>
        <v>1805.1488492046619</v>
      </c>
      <c r="AH137">
        <f>VLOOKUP($AC137,'2017 Seattle Tracts'!$C$2:$Z$399,AH$1,FALSE)*AA137</f>
        <v>1541.033963166253</v>
      </c>
      <c r="AI137">
        <f>VLOOKUP($AC137,'2017 Seattle Tracts'!$C$2:$Z$399,AI$1,FALSE)*AA137</f>
        <v>264.11488603840883</v>
      </c>
      <c r="AJ137">
        <f>VLOOKUP($AC137,'2017 Seattle Tracts'!$C$2:$Z$399,AJ$1,FALSE)*AA137</f>
        <v>1350.5874854236815</v>
      </c>
      <c r="AK137">
        <f>VLOOKUP($AC137,'2017 Seattle Tracts'!$C$2:$Z$399,AK$1,FALSE)*AA137</f>
        <v>178.98694756321919</v>
      </c>
      <c r="AL137">
        <f>VLOOKUP($AC137,'2017 Seattle Tracts'!$C$2:$Z$399,AL$1,FALSE)*AA137</f>
        <v>14.187989745864936</v>
      </c>
      <c r="AM137">
        <f>VLOOKUP($AC137,'2017 Seattle Tracts'!$C$2:$Z$399,AM$1,FALSE)*AA137</f>
        <v>6.5483029596299707</v>
      </c>
      <c r="AN137">
        <f>VLOOKUP($AC137,'2017 Seattle Tracts'!$C$2:$Z$399,AN$1,FALSE)*AA137</f>
        <v>0</v>
      </c>
      <c r="AO137">
        <f>VLOOKUP($AC137,'2017 Seattle Tracts'!$C$2:$Z$399,AO$1,FALSE)*AA137</f>
        <v>0</v>
      </c>
      <c r="AP137">
        <f>VLOOKUP($AC137,'2017 Seattle Tracts'!$C$2:$Z$399,AP$1,FALSE)*AA137</f>
        <v>0</v>
      </c>
      <c r="AQ137">
        <f>VLOOKUP($AC137,'2017 Seattle Tracts'!$C$2:$Z$399,AQ$1,FALSE)*AA137</f>
        <v>0</v>
      </c>
      <c r="AR137">
        <f>VLOOKUP($AC137,'2017 Seattle Tracts'!$C$2:$Z$399,AR$1,FALSE)*AA137</f>
        <v>78.579635515559644</v>
      </c>
      <c r="AS137">
        <f>VLOOKUP($AC137,'2017 Seattle Tracts'!$C$2:$Z$399,AS$1,FALSE)*AA137</f>
        <v>66.028721509602207</v>
      </c>
      <c r="AT137">
        <f>VLOOKUP($AC137,'2017 Seattle Tracts'!$C$2:$Z$399,AT$1,FALSE)*AA137</f>
        <v>0</v>
      </c>
      <c r="AU137">
        <f>VLOOKUP($AC137,'2017 Seattle Tracts'!$C$2:$Z$399,AU$1,FALSE)*AA137</f>
        <v>0</v>
      </c>
      <c r="AV137">
        <f>VLOOKUP($AC137,'2017 Seattle Tracts'!$C$2:$Z$399,AV$1,FALSE)*AA137</f>
        <v>22.919060358704897</v>
      </c>
      <c r="AW137">
        <f>VLOOKUP($AC137,'2017 Seattle Tracts'!$C$2:$Z$399,AW$1,FALSE)*AA137</f>
        <v>6.5483029596299707</v>
      </c>
      <c r="AX137">
        <f>VLOOKUP($AC137,'2017 Seattle Tracts'!$C$2:$Z$399,AX$1,FALSE)*AA137</f>
        <v>74.759792122442164</v>
      </c>
      <c r="AY137">
        <f>VLOOKUP($AC137,'2017 Seattle Tracts'!$C$2:$Z$399,AY$1,FALSE)*AA137</f>
        <v>6.0026110463274733</v>
      </c>
    </row>
    <row r="138" spans="1:51" x14ac:dyDescent="0.25">
      <c r="A138" t="s">
        <v>2917</v>
      </c>
      <c r="B138" t="s">
        <v>2918</v>
      </c>
      <c r="C138" t="s">
        <v>3023</v>
      </c>
      <c r="D138" t="s">
        <v>2608</v>
      </c>
      <c r="E138" t="s">
        <v>2609</v>
      </c>
      <c r="F138" t="s">
        <v>2610</v>
      </c>
      <c r="G138" t="s">
        <v>2920</v>
      </c>
      <c r="H138" t="s">
        <v>2921</v>
      </c>
      <c r="I138">
        <v>718104</v>
      </c>
      <c r="J138">
        <v>0</v>
      </c>
      <c r="K138" t="s">
        <v>3024</v>
      </c>
      <c r="L138" t="s">
        <v>3025</v>
      </c>
      <c r="M138">
        <v>718105</v>
      </c>
      <c r="N138">
        <v>44</v>
      </c>
      <c r="O138">
        <v>20631.705000000002</v>
      </c>
      <c r="P138" t="s">
        <v>136</v>
      </c>
      <c r="Q138">
        <v>10</v>
      </c>
      <c r="R138">
        <v>7</v>
      </c>
      <c r="S138">
        <v>94</v>
      </c>
      <c r="T138">
        <v>17974986</v>
      </c>
      <c r="U138">
        <v>46</v>
      </c>
      <c r="V138">
        <v>148</v>
      </c>
      <c r="W138">
        <v>20631.70572929232</v>
      </c>
      <c r="X138">
        <v>17974985.95263635</v>
      </c>
      <c r="Y138">
        <v>326084.77500000002</v>
      </c>
      <c r="Z138">
        <f>VLOOKUP($AC138,'2017 Seattle Tracts'!$C$2:$Z$399,24,FALSE)</f>
        <v>718104.83799999999</v>
      </c>
      <c r="AA138">
        <f t="shared" si="5"/>
        <v>0.45409076466909981</v>
      </c>
      <c r="AB138" t="s">
        <v>137</v>
      </c>
      <c r="AC138" t="str">
        <f t="shared" si="4"/>
        <v>Census Tract 68, King County, Washington</v>
      </c>
      <c r="AD138">
        <f>VLOOKUP($AC138,'2017 Seattle Tracts'!$C$2:$Z$399,AD$1,FALSE)*AA138</f>
        <v>1502.1322495253821</v>
      </c>
      <c r="AE138">
        <f>VLOOKUP($AC138,'2017 Seattle Tracts'!$C$2:$Z$399,AE$1,FALSE)*AA138</f>
        <v>1282.3523194255379</v>
      </c>
      <c r="AF138">
        <f>VLOOKUP($AC138,'2017 Seattle Tracts'!$C$2:$Z$399,AF$1,FALSE)*AA138</f>
        <v>219.77993009984431</v>
      </c>
      <c r="AG138">
        <f>VLOOKUP($AC138,'2017 Seattle Tracts'!$C$2:$Z$399,AG$1,FALSE)*AA138</f>
        <v>1502.1322495253821</v>
      </c>
      <c r="AH138">
        <f>VLOOKUP($AC138,'2017 Seattle Tracts'!$C$2:$Z$399,AH$1,FALSE)*AA138</f>
        <v>1282.3523194255379</v>
      </c>
      <c r="AI138">
        <f>VLOOKUP($AC138,'2017 Seattle Tracts'!$C$2:$Z$399,AI$1,FALSE)*AA138</f>
        <v>219.77993009984431</v>
      </c>
      <c r="AJ138">
        <f>VLOOKUP($AC138,'2017 Seattle Tracts'!$C$2:$Z$399,AJ$1,FALSE)*AA138</f>
        <v>1123.8746425560221</v>
      </c>
      <c r="AK138">
        <f>VLOOKUP($AC138,'2017 Seattle Tracts'!$C$2:$Z$399,AK$1,FALSE)*AA138</f>
        <v>148.94177081146475</v>
      </c>
      <c r="AL138">
        <f>VLOOKUP($AC138,'2017 Seattle Tracts'!$C$2:$Z$399,AL$1,FALSE)*AA138</f>
        <v>11.806359881396595</v>
      </c>
      <c r="AM138">
        <f>VLOOKUP($AC138,'2017 Seattle Tracts'!$C$2:$Z$399,AM$1,FALSE)*AA138</f>
        <v>5.4490891760291973</v>
      </c>
      <c r="AN138">
        <f>VLOOKUP($AC138,'2017 Seattle Tracts'!$C$2:$Z$399,AN$1,FALSE)*AA138</f>
        <v>0</v>
      </c>
      <c r="AO138">
        <f>VLOOKUP($AC138,'2017 Seattle Tracts'!$C$2:$Z$399,AO$1,FALSE)*AA138</f>
        <v>0</v>
      </c>
      <c r="AP138">
        <f>VLOOKUP($AC138,'2017 Seattle Tracts'!$C$2:$Z$399,AP$1,FALSE)*AA138</f>
        <v>0</v>
      </c>
      <c r="AQ138">
        <f>VLOOKUP($AC138,'2017 Seattle Tracts'!$C$2:$Z$399,AQ$1,FALSE)*AA138</f>
        <v>0</v>
      </c>
      <c r="AR138">
        <f>VLOOKUP($AC138,'2017 Seattle Tracts'!$C$2:$Z$399,AR$1,FALSE)*AA138</f>
        <v>65.389070112350367</v>
      </c>
      <c r="AS138">
        <f>VLOOKUP($AC138,'2017 Seattle Tracts'!$C$2:$Z$399,AS$1,FALSE)*AA138</f>
        <v>54.944982524961077</v>
      </c>
      <c r="AT138">
        <f>VLOOKUP($AC138,'2017 Seattle Tracts'!$C$2:$Z$399,AT$1,FALSE)*AA138</f>
        <v>0</v>
      </c>
      <c r="AU138">
        <f>VLOOKUP($AC138,'2017 Seattle Tracts'!$C$2:$Z$399,AU$1,FALSE)*AA138</f>
        <v>0</v>
      </c>
      <c r="AV138">
        <f>VLOOKUP($AC138,'2017 Seattle Tracts'!$C$2:$Z$399,AV$1,FALSE)*AA138</f>
        <v>19.071812116102191</v>
      </c>
      <c r="AW138">
        <f>VLOOKUP($AC138,'2017 Seattle Tracts'!$C$2:$Z$399,AW$1,FALSE)*AA138</f>
        <v>5.4490891760291973</v>
      </c>
      <c r="AX138">
        <f>VLOOKUP($AC138,'2017 Seattle Tracts'!$C$2:$Z$399,AX$1,FALSE)*AA138</f>
        <v>62.210434759666676</v>
      </c>
      <c r="AY138">
        <f>VLOOKUP($AC138,'2017 Seattle Tracts'!$C$2:$Z$399,AY$1,FALSE)*AA138</f>
        <v>4.9949984113600978</v>
      </c>
    </row>
    <row r="139" spans="1:51" x14ac:dyDescent="0.25">
      <c r="A139" t="s">
        <v>2917</v>
      </c>
      <c r="B139" t="s">
        <v>2918</v>
      </c>
      <c r="C139" t="s">
        <v>3023</v>
      </c>
      <c r="D139" t="s">
        <v>2608</v>
      </c>
      <c r="E139" t="s">
        <v>2609</v>
      </c>
      <c r="F139" t="s">
        <v>2610</v>
      </c>
      <c r="G139" t="s">
        <v>2920</v>
      </c>
      <c r="H139" t="s">
        <v>2921</v>
      </c>
      <c r="I139">
        <v>718104</v>
      </c>
      <c r="J139">
        <v>0</v>
      </c>
      <c r="K139" t="s">
        <v>3024</v>
      </c>
      <c r="L139" t="s">
        <v>3025</v>
      </c>
      <c r="M139">
        <v>718105</v>
      </c>
      <c r="N139">
        <v>45</v>
      </c>
      <c r="O139">
        <v>20496.728999999999</v>
      </c>
      <c r="P139" t="s">
        <v>136</v>
      </c>
      <c r="Q139">
        <v>10</v>
      </c>
      <c r="R139">
        <v>7</v>
      </c>
      <c r="S139">
        <v>9</v>
      </c>
      <c r="T139">
        <v>17515624</v>
      </c>
      <c r="U139">
        <v>47</v>
      </c>
      <c r="V139">
        <v>152</v>
      </c>
      <c r="W139">
        <v>20496.72892223937</v>
      </c>
      <c r="X139">
        <v>17515624.457026299</v>
      </c>
      <c r="Y139">
        <v>125.152</v>
      </c>
      <c r="Z139">
        <f>VLOOKUP($AC139,'2017 Seattle Tracts'!$C$2:$Z$399,24,FALSE)</f>
        <v>718104.83799999999</v>
      </c>
      <c r="AA139">
        <f t="shared" si="5"/>
        <v>1.7428095923787662E-4</v>
      </c>
      <c r="AB139" t="s">
        <v>138</v>
      </c>
      <c r="AC139" t="str">
        <f t="shared" si="4"/>
        <v>Census Tract 68, King County, Washington</v>
      </c>
      <c r="AD139">
        <f>VLOOKUP($AC139,'2017 Seattle Tracts'!$C$2:$Z$399,AD$1,FALSE)*AA139</f>
        <v>0.57652141315889582</v>
      </c>
      <c r="AE139">
        <f>VLOOKUP($AC139,'2017 Seattle Tracts'!$C$2:$Z$399,AE$1,FALSE)*AA139</f>
        <v>0.4921694288877636</v>
      </c>
      <c r="AF139">
        <f>VLOOKUP($AC139,'2017 Seattle Tracts'!$C$2:$Z$399,AF$1,FALSE)*AA139</f>
        <v>8.4351984271132288E-2</v>
      </c>
      <c r="AG139">
        <f>VLOOKUP($AC139,'2017 Seattle Tracts'!$C$2:$Z$399,AG$1,FALSE)*AA139</f>
        <v>0.57652141315889582</v>
      </c>
      <c r="AH139">
        <f>VLOOKUP($AC139,'2017 Seattle Tracts'!$C$2:$Z$399,AH$1,FALSE)*AA139</f>
        <v>0.4921694288877636</v>
      </c>
      <c r="AI139">
        <f>VLOOKUP($AC139,'2017 Seattle Tracts'!$C$2:$Z$399,AI$1,FALSE)*AA139</f>
        <v>8.4351984271132288E-2</v>
      </c>
      <c r="AJ139">
        <f>VLOOKUP($AC139,'2017 Seattle Tracts'!$C$2:$Z$399,AJ$1,FALSE)*AA139</f>
        <v>0.43134537411374463</v>
      </c>
      <c r="AK139">
        <f>VLOOKUP($AC139,'2017 Seattle Tracts'!$C$2:$Z$399,AK$1,FALSE)*AA139</f>
        <v>5.7164154630023535E-2</v>
      </c>
      <c r="AL139">
        <f>VLOOKUP($AC139,'2017 Seattle Tracts'!$C$2:$Z$399,AL$1,FALSE)*AA139</f>
        <v>4.5313049401847919E-3</v>
      </c>
      <c r="AM139">
        <f>VLOOKUP($AC139,'2017 Seattle Tracts'!$C$2:$Z$399,AM$1,FALSE)*AA139</f>
        <v>2.0913715108545196E-3</v>
      </c>
      <c r="AN139">
        <f>VLOOKUP($AC139,'2017 Seattle Tracts'!$C$2:$Z$399,AN$1,FALSE)*AA139</f>
        <v>0</v>
      </c>
      <c r="AO139">
        <f>VLOOKUP($AC139,'2017 Seattle Tracts'!$C$2:$Z$399,AO$1,FALSE)*AA139</f>
        <v>0</v>
      </c>
      <c r="AP139">
        <f>VLOOKUP($AC139,'2017 Seattle Tracts'!$C$2:$Z$399,AP$1,FALSE)*AA139</f>
        <v>0</v>
      </c>
      <c r="AQ139">
        <f>VLOOKUP($AC139,'2017 Seattle Tracts'!$C$2:$Z$399,AQ$1,FALSE)*AA139</f>
        <v>0</v>
      </c>
      <c r="AR139">
        <f>VLOOKUP($AC139,'2017 Seattle Tracts'!$C$2:$Z$399,AR$1,FALSE)*AA139</f>
        <v>2.5096458130254233E-2</v>
      </c>
      <c r="AS139">
        <f>VLOOKUP($AC139,'2017 Seattle Tracts'!$C$2:$Z$399,AS$1,FALSE)*AA139</f>
        <v>2.1087996067783072E-2</v>
      </c>
      <c r="AT139">
        <f>VLOOKUP($AC139,'2017 Seattle Tracts'!$C$2:$Z$399,AT$1,FALSE)*AA139</f>
        <v>0</v>
      </c>
      <c r="AU139">
        <f>VLOOKUP($AC139,'2017 Seattle Tracts'!$C$2:$Z$399,AU$1,FALSE)*AA139</f>
        <v>0</v>
      </c>
      <c r="AV139">
        <f>VLOOKUP($AC139,'2017 Seattle Tracts'!$C$2:$Z$399,AV$1,FALSE)*AA139</f>
        <v>7.3198002879908183E-3</v>
      </c>
      <c r="AW139">
        <f>VLOOKUP($AC139,'2017 Seattle Tracts'!$C$2:$Z$399,AW$1,FALSE)*AA139</f>
        <v>2.0913715108545196E-3</v>
      </c>
      <c r="AX139">
        <f>VLOOKUP($AC139,'2017 Seattle Tracts'!$C$2:$Z$399,AX$1,FALSE)*AA139</f>
        <v>2.3876491415589098E-2</v>
      </c>
      <c r="AY139">
        <f>VLOOKUP($AC139,'2017 Seattle Tracts'!$C$2:$Z$399,AY$1,FALSE)*AA139</f>
        <v>1.9170905516166428E-3</v>
      </c>
    </row>
    <row r="140" spans="1:51" x14ac:dyDescent="0.25">
      <c r="A140" t="s">
        <v>2917</v>
      </c>
      <c r="B140" t="s">
        <v>2918</v>
      </c>
      <c r="C140" t="s">
        <v>3023</v>
      </c>
      <c r="D140" t="s">
        <v>2608</v>
      </c>
      <c r="E140" t="s">
        <v>2609</v>
      </c>
      <c r="F140" t="s">
        <v>2610</v>
      </c>
      <c r="G140" t="s">
        <v>2920</v>
      </c>
      <c r="H140" t="s">
        <v>2921</v>
      </c>
      <c r="I140">
        <v>718104</v>
      </c>
      <c r="J140">
        <v>0</v>
      </c>
      <c r="K140" t="s">
        <v>3024</v>
      </c>
      <c r="L140" t="s">
        <v>3025</v>
      </c>
      <c r="M140">
        <v>718105</v>
      </c>
      <c r="N140">
        <v>46</v>
      </c>
      <c r="O140">
        <v>26753.555</v>
      </c>
      <c r="P140" t="s">
        <v>136</v>
      </c>
      <c r="Q140">
        <v>10</v>
      </c>
      <c r="R140">
        <v>7</v>
      </c>
      <c r="S140">
        <v>19</v>
      </c>
      <c r="T140">
        <v>29604288</v>
      </c>
      <c r="U140">
        <v>48</v>
      </c>
      <c r="V140">
        <v>140</v>
      </c>
      <c r="W140">
        <v>26753.55428174289</v>
      </c>
      <c r="X140">
        <v>29604288.332963161</v>
      </c>
      <c r="Y140">
        <v>30.907</v>
      </c>
      <c r="Z140">
        <f>VLOOKUP($AC140,'2017 Seattle Tracts'!$C$2:$Z$399,24,FALSE)</f>
        <v>718104.83799999999</v>
      </c>
      <c r="AA140">
        <f t="shared" si="5"/>
        <v>4.3039676610561984E-5</v>
      </c>
      <c r="AB140" t="s">
        <v>139</v>
      </c>
      <c r="AC140" t="str">
        <f t="shared" si="4"/>
        <v>Census Tract 68, King County, Washington</v>
      </c>
      <c r="AD140">
        <f>VLOOKUP($AC140,'2017 Seattle Tracts'!$C$2:$Z$399,AD$1,FALSE)*AA140</f>
        <v>0.14237525022773903</v>
      </c>
      <c r="AE140">
        <f>VLOOKUP($AC140,'2017 Seattle Tracts'!$C$2:$Z$399,AE$1,FALSE)*AA140</f>
        <v>0.12154404674822704</v>
      </c>
      <c r="AF140">
        <f>VLOOKUP($AC140,'2017 Seattle Tracts'!$C$2:$Z$399,AF$1,FALSE)*AA140</f>
        <v>2.0831203479511999E-2</v>
      </c>
      <c r="AG140">
        <f>VLOOKUP($AC140,'2017 Seattle Tracts'!$C$2:$Z$399,AG$1,FALSE)*AA140</f>
        <v>0.14237525022773903</v>
      </c>
      <c r="AH140">
        <f>VLOOKUP($AC140,'2017 Seattle Tracts'!$C$2:$Z$399,AH$1,FALSE)*AA140</f>
        <v>0.12154404674822704</v>
      </c>
      <c r="AI140">
        <f>VLOOKUP($AC140,'2017 Seattle Tracts'!$C$2:$Z$399,AI$1,FALSE)*AA140</f>
        <v>2.0831203479511999E-2</v>
      </c>
      <c r="AJ140">
        <f>VLOOKUP($AC140,'2017 Seattle Tracts'!$C$2:$Z$399,AJ$1,FALSE)*AA140</f>
        <v>0.10652319961114091</v>
      </c>
      <c r="AK140">
        <f>VLOOKUP($AC140,'2017 Seattle Tracts'!$C$2:$Z$399,AK$1,FALSE)*AA140</f>
        <v>1.4117013928264331E-2</v>
      </c>
      <c r="AL140">
        <f>VLOOKUP($AC140,'2017 Seattle Tracts'!$C$2:$Z$399,AL$1,FALSE)*AA140</f>
        <v>1.1190315918746115E-3</v>
      </c>
      <c r="AM140">
        <f>VLOOKUP($AC140,'2017 Seattle Tracts'!$C$2:$Z$399,AM$1,FALSE)*AA140</f>
        <v>5.1647611932674378E-4</v>
      </c>
      <c r="AN140">
        <f>VLOOKUP($AC140,'2017 Seattle Tracts'!$C$2:$Z$399,AN$1,FALSE)*AA140</f>
        <v>0</v>
      </c>
      <c r="AO140">
        <f>VLOOKUP($AC140,'2017 Seattle Tracts'!$C$2:$Z$399,AO$1,FALSE)*AA140</f>
        <v>0</v>
      </c>
      <c r="AP140">
        <f>VLOOKUP($AC140,'2017 Seattle Tracts'!$C$2:$Z$399,AP$1,FALSE)*AA140</f>
        <v>0</v>
      </c>
      <c r="AQ140">
        <f>VLOOKUP($AC140,'2017 Seattle Tracts'!$C$2:$Z$399,AQ$1,FALSE)*AA140</f>
        <v>0</v>
      </c>
      <c r="AR140">
        <f>VLOOKUP($AC140,'2017 Seattle Tracts'!$C$2:$Z$399,AR$1,FALSE)*AA140</f>
        <v>6.1977134319209258E-3</v>
      </c>
      <c r="AS140">
        <f>VLOOKUP($AC140,'2017 Seattle Tracts'!$C$2:$Z$399,AS$1,FALSE)*AA140</f>
        <v>5.2078008698779998E-3</v>
      </c>
      <c r="AT140">
        <f>VLOOKUP($AC140,'2017 Seattle Tracts'!$C$2:$Z$399,AT$1,FALSE)*AA140</f>
        <v>0</v>
      </c>
      <c r="AU140">
        <f>VLOOKUP($AC140,'2017 Seattle Tracts'!$C$2:$Z$399,AU$1,FALSE)*AA140</f>
        <v>0</v>
      </c>
      <c r="AV140">
        <f>VLOOKUP($AC140,'2017 Seattle Tracts'!$C$2:$Z$399,AV$1,FALSE)*AA140</f>
        <v>1.8076664176436034E-3</v>
      </c>
      <c r="AW140">
        <f>VLOOKUP($AC140,'2017 Seattle Tracts'!$C$2:$Z$399,AW$1,FALSE)*AA140</f>
        <v>5.1647611932674378E-4</v>
      </c>
      <c r="AX140">
        <f>VLOOKUP($AC140,'2017 Seattle Tracts'!$C$2:$Z$399,AX$1,FALSE)*AA140</f>
        <v>5.8964356956469916E-3</v>
      </c>
      <c r="AY140">
        <f>VLOOKUP($AC140,'2017 Seattle Tracts'!$C$2:$Z$399,AY$1,FALSE)*AA140</f>
        <v>4.7343644271618184E-4</v>
      </c>
    </row>
    <row r="141" spans="1:51" x14ac:dyDescent="0.25">
      <c r="A141" t="s">
        <v>2917</v>
      </c>
      <c r="B141" t="s">
        <v>2918</v>
      </c>
      <c r="C141" t="s">
        <v>3026</v>
      </c>
      <c r="D141" t="s">
        <v>2605</v>
      </c>
      <c r="E141" t="s">
        <v>2606</v>
      </c>
      <c r="F141" t="s">
        <v>2607</v>
      </c>
      <c r="G141" t="s">
        <v>2920</v>
      </c>
      <c r="H141" t="s">
        <v>2921</v>
      </c>
      <c r="I141">
        <v>902888</v>
      </c>
      <c r="J141">
        <v>0</v>
      </c>
      <c r="K141" t="s">
        <v>3027</v>
      </c>
      <c r="L141" t="s">
        <v>3028</v>
      </c>
      <c r="M141">
        <v>902889</v>
      </c>
      <c r="N141">
        <v>44</v>
      </c>
      <c r="O141">
        <v>20631.705000000002</v>
      </c>
      <c r="P141" t="s">
        <v>136</v>
      </c>
      <c r="Q141">
        <v>10</v>
      </c>
      <c r="R141">
        <v>7</v>
      </c>
      <c r="S141">
        <v>94</v>
      </c>
      <c r="T141">
        <v>17974986</v>
      </c>
      <c r="U141">
        <v>46</v>
      </c>
      <c r="V141">
        <v>148</v>
      </c>
      <c r="W141">
        <v>20631.70572929232</v>
      </c>
      <c r="X141">
        <v>17974985.95263635</v>
      </c>
      <c r="Y141">
        <v>872935.95700000005</v>
      </c>
      <c r="Z141">
        <f>VLOOKUP($AC141,'2017 Seattle Tracts'!$C$2:$Z$399,24,FALSE)</f>
        <v>902888.83</v>
      </c>
      <c r="AA141">
        <f t="shared" si="5"/>
        <v>0.96682551383430015</v>
      </c>
      <c r="AB141" t="s">
        <v>137</v>
      </c>
      <c r="AC141" t="str">
        <f t="shared" si="4"/>
        <v>Census Tract 69, King County, Washington</v>
      </c>
      <c r="AD141">
        <f>VLOOKUP($AC141,'2017 Seattle Tracts'!$C$2:$Z$399,AD$1,FALSE)*AA141</f>
        <v>4799.3218506734656</v>
      </c>
      <c r="AE141">
        <f>VLOOKUP($AC141,'2017 Seattle Tracts'!$C$2:$Z$399,AE$1,FALSE)*AA141</f>
        <v>4358.4494163650252</v>
      </c>
      <c r="AF141">
        <f>VLOOKUP($AC141,'2017 Seattle Tracts'!$C$2:$Z$399,AF$1,FALSE)*AA141</f>
        <v>440.87243430844086</v>
      </c>
      <c r="AG141">
        <f>VLOOKUP($AC141,'2017 Seattle Tracts'!$C$2:$Z$399,AG$1,FALSE)*AA141</f>
        <v>4799.3218506734656</v>
      </c>
      <c r="AH141">
        <f>VLOOKUP($AC141,'2017 Seattle Tracts'!$C$2:$Z$399,AH$1,FALSE)*AA141</f>
        <v>4358.4494163650252</v>
      </c>
      <c r="AI141">
        <f>VLOOKUP($AC141,'2017 Seattle Tracts'!$C$2:$Z$399,AI$1,FALSE)*AA141</f>
        <v>440.87243430844086</v>
      </c>
      <c r="AJ141">
        <f>VLOOKUP($AC141,'2017 Seattle Tracts'!$C$2:$Z$399,AJ$1,FALSE)*AA141</f>
        <v>3849.8991960881831</v>
      </c>
      <c r="AK141">
        <f>VLOOKUP($AC141,'2017 Seattle Tracts'!$C$2:$Z$399,AK$1,FALSE)*AA141</f>
        <v>325.82019816215916</v>
      </c>
      <c r="AL141">
        <f>VLOOKUP($AC141,'2017 Seattle Tracts'!$C$2:$Z$399,AL$1,FALSE)*AA141</f>
        <v>110.21810857711021</v>
      </c>
      <c r="AM141">
        <f>VLOOKUP($AC141,'2017 Seattle Tracts'!$C$2:$Z$399,AM$1,FALSE)*AA141</f>
        <v>0</v>
      </c>
      <c r="AN141">
        <f>VLOOKUP($AC141,'2017 Seattle Tracts'!$C$2:$Z$399,AN$1,FALSE)*AA141</f>
        <v>37.706195039537704</v>
      </c>
      <c r="AO141">
        <f>VLOOKUP($AC141,'2017 Seattle Tracts'!$C$2:$Z$399,AO$1,FALSE)*AA141</f>
        <v>0</v>
      </c>
      <c r="AP141">
        <f>VLOOKUP($AC141,'2017 Seattle Tracts'!$C$2:$Z$399,AP$1,FALSE)*AA141</f>
        <v>5.8009530830058011</v>
      </c>
      <c r="AQ141">
        <f>VLOOKUP($AC141,'2017 Seattle Tracts'!$C$2:$Z$399,AQ$1,FALSE)*AA141</f>
        <v>0</v>
      </c>
      <c r="AR141">
        <f>VLOOKUP($AC141,'2017 Seattle Tracts'!$C$2:$Z$399,AR$1,FALSE)*AA141</f>
        <v>142.12335053364211</v>
      </c>
      <c r="AS141">
        <f>VLOOKUP($AC141,'2017 Seattle Tracts'!$C$2:$Z$399,AS$1,FALSE)*AA141</f>
        <v>115.05223614628171</v>
      </c>
      <c r="AT141">
        <f>VLOOKUP($AC141,'2017 Seattle Tracts'!$C$2:$Z$399,AT$1,FALSE)*AA141</f>
        <v>0</v>
      </c>
      <c r="AU141">
        <f>VLOOKUP($AC141,'2017 Seattle Tracts'!$C$2:$Z$399,AU$1,FALSE)*AA141</f>
        <v>0</v>
      </c>
      <c r="AV141">
        <f>VLOOKUP($AC141,'2017 Seattle Tracts'!$C$2:$Z$399,AV$1,FALSE)*AA141</f>
        <v>0</v>
      </c>
      <c r="AW141">
        <f>VLOOKUP($AC141,'2017 Seattle Tracts'!$C$2:$Z$399,AW$1,FALSE)*AA141</f>
        <v>0</v>
      </c>
      <c r="AX141">
        <f>VLOOKUP($AC141,'2017 Seattle Tracts'!$C$2:$Z$399,AX$1,FALSE)*AA141</f>
        <v>212.70161304354605</v>
      </c>
      <c r="AY141">
        <f>VLOOKUP($AC141,'2017 Seattle Tracts'!$C$2:$Z$399,AY$1,FALSE)*AA141</f>
        <v>0</v>
      </c>
    </row>
    <row r="142" spans="1:51" x14ac:dyDescent="0.25">
      <c r="A142" t="s">
        <v>2917</v>
      </c>
      <c r="B142" t="s">
        <v>2918</v>
      </c>
      <c r="C142" t="s">
        <v>3026</v>
      </c>
      <c r="D142" t="s">
        <v>2605</v>
      </c>
      <c r="E142" t="s">
        <v>2606</v>
      </c>
      <c r="F142" t="s">
        <v>2607</v>
      </c>
      <c r="G142" t="s">
        <v>2920</v>
      </c>
      <c r="H142" t="s">
        <v>2921</v>
      </c>
      <c r="I142">
        <v>902888</v>
      </c>
      <c r="J142">
        <v>0</v>
      </c>
      <c r="K142" t="s">
        <v>3027</v>
      </c>
      <c r="L142" t="s">
        <v>3028</v>
      </c>
      <c r="M142">
        <v>902889</v>
      </c>
      <c r="N142">
        <v>45</v>
      </c>
      <c r="O142">
        <v>20496.728999999999</v>
      </c>
      <c r="P142" t="s">
        <v>136</v>
      </c>
      <c r="Q142">
        <v>10</v>
      </c>
      <c r="R142">
        <v>7</v>
      </c>
      <c r="S142">
        <v>9</v>
      </c>
      <c r="T142">
        <v>17515624</v>
      </c>
      <c r="U142">
        <v>47</v>
      </c>
      <c r="V142">
        <v>152</v>
      </c>
      <c r="W142">
        <v>20496.72892223937</v>
      </c>
      <c r="X142">
        <v>17515624.457026299</v>
      </c>
      <c r="Y142">
        <v>29869.484</v>
      </c>
      <c r="Z142">
        <f>VLOOKUP($AC142,'2017 Seattle Tracts'!$C$2:$Z$399,24,FALSE)</f>
        <v>902888.83</v>
      </c>
      <c r="AA142">
        <f t="shared" si="5"/>
        <v>3.3082128172966768E-2</v>
      </c>
      <c r="AB142" t="s">
        <v>138</v>
      </c>
      <c r="AC142" t="str">
        <f t="shared" si="4"/>
        <v>Census Tract 69, King County, Washington</v>
      </c>
      <c r="AD142">
        <f>VLOOKUP($AC142,'2017 Seattle Tracts'!$C$2:$Z$399,AD$1,FALSE)*AA142</f>
        <v>164.21968425060703</v>
      </c>
      <c r="AE142">
        <f>VLOOKUP($AC142,'2017 Seattle Tracts'!$C$2:$Z$399,AE$1,FALSE)*AA142</f>
        <v>149.13423380373419</v>
      </c>
      <c r="AF142">
        <f>VLOOKUP($AC142,'2017 Seattle Tracts'!$C$2:$Z$399,AF$1,FALSE)*AA142</f>
        <v>15.085450446872846</v>
      </c>
      <c r="AG142">
        <f>VLOOKUP($AC142,'2017 Seattle Tracts'!$C$2:$Z$399,AG$1,FALSE)*AA142</f>
        <v>164.21968425060703</v>
      </c>
      <c r="AH142">
        <f>VLOOKUP($AC142,'2017 Seattle Tracts'!$C$2:$Z$399,AH$1,FALSE)*AA142</f>
        <v>149.13423380373419</v>
      </c>
      <c r="AI142">
        <f>VLOOKUP($AC142,'2017 Seattle Tracts'!$C$2:$Z$399,AI$1,FALSE)*AA142</f>
        <v>15.085450446872846</v>
      </c>
      <c r="AJ142">
        <f>VLOOKUP($AC142,'2017 Seattle Tracts'!$C$2:$Z$399,AJ$1,FALSE)*AA142</f>
        <v>131.73303438475367</v>
      </c>
      <c r="AK142">
        <f>VLOOKUP($AC142,'2017 Seattle Tracts'!$C$2:$Z$399,AK$1,FALSE)*AA142</f>
        <v>11.148677194289801</v>
      </c>
      <c r="AL142">
        <f>VLOOKUP($AC142,'2017 Seattle Tracts'!$C$2:$Z$399,AL$1,FALSE)*AA142</f>
        <v>3.7713626117182115</v>
      </c>
      <c r="AM142">
        <f>VLOOKUP($AC142,'2017 Seattle Tracts'!$C$2:$Z$399,AM$1,FALSE)*AA142</f>
        <v>0</v>
      </c>
      <c r="AN142">
        <f>VLOOKUP($AC142,'2017 Seattle Tracts'!$C$2:$Z$399,AN$1,FALSE)*AA142</f>
        <v>1.290202998745704</v>
      </c>
      <c r="AO142">
        <f>VLOOKUP($AC142,'2017 Seattle Tracts'!$C$2:$Z$399,AO$1,FALSE)*AA142</f>
        <v>0</v>
      </c>
      <c r="AP142">
        <f>VLOOKUP($AC142,'2017 Seattle Tracts'!$C$2:$Z$399,AP$1,FALSE)*AA142</f>
        <v>0.19849276903780061</v>
      </c>
      <c r="AQ142">
        <f>VLOOKUP($AC142,'2017 Seattle Tracts'!$C$2:$Z$399,AQ$1,FALSE)*AA142</f>
        <v>0</v>
      </c>
      <c r="AR142">
        <f>VLOOKUP($AC142,'2017 Seattle Tracts'!$C$2:$Z$399,AR$1,FALSE)*AA142</f>
        <v>4.8630728414261153</v>
      </c>
      <c r="AS142">
        <f>VLOOKUP($AC142,'2017 Seattle Tracts'!$C$2:$Z$399,AS$1,FALSE)*AA142</f>
        <v>3.9367732525830452</v>
      </c>
      <c r="AT142">
        <f>VLOOKUP($AC142,'2017 Seattle Tracts'!$C$2:$Z$399,AT$1,FALSE)*AA142</f>
        <v>0</v>
      </c>
      <c r="AU142">
        <f>VLOOKUP($AC142,'2017 Seattle Tracts'!$C$2:$Z$399,AU$1,FALSE)*AA142</f>
        <v>0</v>
      </c>
      <c r="AV142">
        <f>VLOOKUP($AC142,'2017 Seattle Tracts'!$C$2:$Z$399,AV$1,FALSE)*AA142</f>
        <v>0</v>
      </c>
      <c r="AW142">
        <f>VLOOKUP($AC142,'2017 Seattle Tracts'!$C$2:$Z$399,AW$1,FALSE)*AA142</f>
        <v>0</v>
      </c>
      <c r="AX142">
        <f>VLOOKUP($AC142,'2017 Seattle Tracts'!$C$2:$Z$399,AX$1,FALSE)*AA142</f>
        <v>7.2780681980526891</v>
      </c>
      <c r="AY142">
        <f>VLOOKUP($AC142,'2017 Seattle Tracts'!$C$2:$Z$399,AY$1,FALSE)*AA142</f>
        <v>0</v>
      </c>
    </row>
    <row r="143" spans="1:51" x14ac:dyDescent="0.25">
      <c r="A143" t="s">
        <v>2917</v>
      </c>
      <c r="B143" t="s">
        <v>2918</v>
      </c>
      <c r="C143" t="s">
        <v>3026</v>
      </c>
      <c r="D143" t="s">
        <v>2605</v>
      </c>
      <c r="E143" t="s">
        <v>2606</v>
      </c>
      <c r="F143" t="s">
        <v>2607</v>
      </c>
      <c r="G143" t="s">
        <v>2920</v>
      </c>
      <c r="H143" t="s">
        <v>2921</v>
      </c>
      <c r="I143">
        <v>902888</v>
      </c>
      <c r="J143">
        <v>0</v>
      </c>
      <c r="K143" t="s">
        <v>3027</v>
      </c>
      <c r="L143" t="s">
        <v>3028</v>
      </c>
      <c r="M143">
        <v>902889</v>
      </c>
      <c r="N143">
        <v>46</v>
      </c>
      <c r="O143">
        <v>26753.555</v>
      </c>
      <c r="P143" t="s">
        <v>136</v>
      </c>
      <c r="Q143">
        <v>10</v>
      </c>
      <c r="R143">
        <v>7</v>
      </c>
      <c r="S143">
        <v>19</v>
      </c>
      <c r="T143">
        <v>29604288</v>
      </c>
      <c r="U143">
        <v>48</v>
      </c>
      <c r="V143">
        <v>140</v>
      </c>
      <c r="W143">
        <v>26753.55428174289</v>
      </c>
      <c r="X143">
        <v>29604288.332963161</v>
      </c>
      <c r="Y143">
        <v>83.405000000000001</v>
      </c>
      <c r="Z143">
        <f>VLOOKUP($AC143,'2017 Seattle Tracts'!$C$2:$Z$399,24,FALSE)</f>
        <v>902888.83</v>
      </c>
      <c r="AA143">
        <f t="shared" si="5"/>
        <v>9.2375713630215152E-5</v>
      </c>
      <c r="AB143" t="s">
        <v>139</v>
      </c>
      <c r="AC143" t="str">
        <f t="shared" si="4"/>
        <v>Census Tract 69, King County, Washington</v>
      </c>
      <c r="AD143">
        <f>VLOOKUP($AC143,'2017 Seattle Tracts'!$C$2:$Z$399,AD$1,FALSE)*AA143</f>
        <v>0.45855304246038803</v>
      </c>
      <c r="AE143">
        <f>VLOOKUP($AC143,'2017 Seattle Tracts'!$C$2:$Z$399,AE$1,FALSE)*AA143</f>
        <v>0.41642971704500992</v>
      </c>
      <c r="AF143">
        <f>VLOOKUP($AC143,'2017 Seattle Tracts'!$C$2:$Z$399,AF$1,FALSE)*AA143</f>
        <v>4.212332541537811E-2</v>
      </c>
      <c r="AG143">
        <f>VLOOKUP($AC143,'2017 Seattle Tracts'!$C$2:$Z$399,AG$1,FALSE)*AA143</f>
        <v>0.45855304246038803</v>
      </c>
      <c r="AH143">
        <f>VLOOKUP($AC143,'2017 Seattle Tracts'!$C$2:$Z$399,AH$1,FALSE)*AA143</f>
        <v>0.41642971704500992</v>
      </c>
      <c r="AI143">
        <f>VLOOKUP($AC143,'2017 Seattle Tracts'!$C$2:$Z$399,AI$1,FALSE)*AA143</f>
        <v>4.212332541537811E-2</v>
      </c>
      <c r="AJ143">
        <f>VLOOKUP($AC143,'2017 Seattle Tracts'!$C$2:$Z$399,AJ$1,FALSE)*AA143</f>
        <v>0.36784009167551673</v>
      </c>
      <c r="AK143">
        <f>VLOOKUP($AC143,'2017 Seattle Tracts'!$C$2:$Z$399,AK$1,FALSE)*AA143</f>
        <v>3.1130615493382505E-2</v>
      </c>
      <c r="AL143">
        <f>VLOOKUP($AC143,'2017 Seattle Tracts'!$C$2:$Z$399,AL$1,FALSE)*AA143</f>
        <v>1.0530831353844528E-2</v>
      </c>
      <c r="AM143">
        <f>VLOOKUP($AC143,'2017 Seattle Tracts'!$C$2:$Z$399,AM$1,FALSE)*AA143</f>
        <v>0</v>
      </c>
      <c r="AN143">
        <f>VLOOKUP($AC143,'2017 Seattle Tracts'!$C$2:$Z$399,AN$1,FALSE)*AA143</f>
        <v>3.6026528315783908E-3</v>
      </c>
      <c r="AO143">
        <f>VLOOKUP($AC143,'2017 Seattle Tracts'!$C$2:$Z$399,AO$1,FALSE)*AA143</f>
        <v>0</v>
      </c>
      <c r="AP143">
        <f>VLOOKUP($AC143,'2017 Seattle Tracts'!$C$2:$Z$399,AP$1,FALSE)*AA143</f>
        <v>5.5425428178129091E-4</v>
      </c>
      <c r="AQ143">
        <f>VLOOKUP($AC143,'2017 Seattle Tracts'!$C$2:$Z$399,AQ$1,FALSE)*AA143</f>
        <v>0</v>
      </c>
      <c r="AR143">
        <f>VLOOKUP($AC143,'2017 Seattle Tracts'!$C$2:$Z$399,AR$1,FALSE)*AA143</f>
        <v>1.3579229903641627E-2</v>
      </c>
      <c r="AS143">
        <f>VLOOKUP($AC143,'2017 Seattle Tracts'!$C$2:$Z$399,AS$1,FALSE)*AA143</f>
        <v>1.0992709921995603E-2</v>
      </c>
      <c r="AT143">
        <f>VLOOKUP($AC143,'2017 Seattle Tracts'!$C$2:$Z$399,AT$1,FALSE)*AA143</f>
        <v>0</v>
      </c>
      <c r="AU143">
        <f>VLOOKUP($AC143,'2017 Seattle Tracts'!$C$2:$Z$399,AU$1,FALSE)*AA143</f>
        <v>0</v>
      </c>
      <c r="AV143">
        <f>VLOOKUP($AC143,'2017 Seattle Tracts'!$C$2:$Z$399,AV$1,FALSE)*AA143</f>
        <v>0</v>
      </c>
      <c r="AW143">
        <f>VLOOKUP($AC143,'2017 Seattle Tracts'!$C$2:$Z$399,AW$1,FALSE)*AA143</f>
        <v>0</v>
      </c>
      <c r="AX143">
        <f>VLOOKUP($AC143,'2017 Seattle Tracts'!$C$2:$Z$399,AX$1,FALSE)*AA143</f>
        <v>2.0322656998647333E-2</v>
      </c>
      <c r="AY143">
        <f>VLOOKUP($AC143,'2017 Seattle Tracts'!$C$2:$Z$399,AY$1,FALSE)*AA143</f>
        <v>0</v>
      </c>
    </row>
    <row r="144" spans="1:51" x14ac:dyDescent="0.25">
      <c r="A144" t="s">
        <v>2917</v>
      </c>
      <c r="B144" t="s">
        <v>2918</v>
      </c>
      <c r="C144" t="s">
        <v>3029</v>
      </c>
      <c r="D144" t="s">
        <v>2707</v>
      </c>
      <c r="E144" t="s">
        <v>2708</v>
      </c>
      <c r="F144" t="s">
        <v>2709</v>
      </c>
      <c r="G144" t="s">
        <v>2920</v>
      </c>
      <c r="H144" t="s">
        <v>2921</v>
      </c>
      <c r="I144">
        <v>1798937</v>
      </c>
      <c r="J144">
        <v>0</v>
      </c>
      <c r="K144" t="s">
        <v>3030</v>
      </c>
      <c r="L144" t="s">
        <v>3031</v>
      </c>
      <c r="M144">
        <v>1798934</v>
      </c>
      <c r="N144">
        <v>110</v>
      </c>
      <c r="O144">
        <v>34640.309000000001</v>
      </c>
      <c r="P144" t="s">
        <v>122</v>
      </c>
      <c r="Q144">
        <v>1</v>
      </c>
      <c r="R144">
        <v>2</v>
      </c>
      <c r="S144">
        <v>95</v>
      </c>
      <c r="T144">
        <v>48113448</v>
      </c>
      <c r="U144">
        <v>112</v>
      </c>
      <c r="V144">
        <v>100</v>
      </c>
      <c r="W144">
        <v>34640.309665739042</v>
      </c>
      <c r="X144">
        <v>48113449.730149508</v>
      </c>
      <c r="Y144">
        <v>572103.40300000005</v>
      </c>
      <c r="Z144">
        <f>VLOOKUP($AC144,'2017 Seattle Tracts'!$C$2:$Z$399,24,FALSE)</f>
        <v>1798933.85</v>
      </c>
      <c r="AA144">
        <f t="shared" si="5"/>
        <v>0.31802359102865291</v>
      </c>
      <c r="AB144" t="s">
        <v>212</v>
      </c>
      <c r="AC144" t="str">
        <f t="shared" si="4"/>
        <v>Census Tract 4.02, King County, Washington</v>
      </c>
      <c r="AD144">
        <f>VLOOKUP($AC144,'2017 Seattle Tracts'!$C$2:$Z$399,AD$1,FALSE)*AA144</f>
        <v>1685.5250324518604</v>
      </c>
      <c r="AE144">
        <f>VLOOKUP($AC144,'2017 Seattle Tracts'!$C$2:$Z$399,AE$1,FALSE)*AA144</f>
        <v>1483.2620285576372</v>
      </c>
      <c r="AF144">
        <f>VLOOKUP($AC144,'2017 Seattle Tracts'!$C$2:$Z$399,AF$1,FALSE)*AA144</f>
        <v>202.26300389422326</v>
      </c>
      <c r="AG144">
        <f>VLOOKUP($AC144,'2017 Seattle Tracts'!$C$2:$Z$399,AG$1,FALSE)*AA144</f>
        <v>1685.5250324518604</v>
      </c>
      <c r="AH144">
        <f>VLOOKUP($AC144,'2017 Seattle Tracts'!$C$2:$Z$399,AH$1,FALSE)*AA144</f>
        <v>1483.2620285576372</v>
      </c>
      <c r="AI144">
        <f>VLOOKUP($AC144,'2017 Seattle Tracts'!$C$2:$Z$399,AI$1,FALSE)*AA144</f>
        <v>202.26300389422326</v>
      </c>
      <c r="AJ144">
        <f>VLOOKUP($AC144,'2017 Seattle Tracts'!$C$2:$Z$399,AJ$1,FALSE)*AA144</f>
        <v>1262.8716799747806</v>
      </c>
      <c r="AK144">
        <f>VLOOKUP($AC144,'2017 Seattle Tracts'!$C$2:$Z$399,AK$1,FALSE)*AA144</f>
        <v>54.064010474870997</v>
      </c>
      <c r="AL144">
        <f>VLOOKUP($AC144,'2017 Seattle Tracts'!$C$2:$Z$399,AL$1,FALSE)*AA144</f>
        <v>22.897698554063009</v>
      </c>
      <c r="AM144">
        <f>VLOOKUP($AC144,'2017 Seattle Tracts'!$C$2:$Z$399,AM$1,FALSE)*AA144</f>
        <v>29.258170374636066</v>
      </c>
      <c r="AN144">
        <f>VLOOKUP($AC144,'2017 Seattle Tracts'!$C$2:$Z$399,AN$1,FALSE)*AA144</f>
        <v>56.926222794128869</v>
      </c>
      <c r="AO144">
        <f>VLOOKUP($AC144,'2017 Seattle Tracts'!$C$2:$Z$399,AO$1,FALSE)*AA144</f>
        <v>0</v>
      </c>
      <c r="AP144">
        <f>VLOOKUP($AC144,'2017 Seattle Tracts'!$C$2:$Z$399,AP$1,FALSE)*AA144</f>
        <v>4.7703538654297937</v>
      </c>
      <c r="AQ144">
        <f>VLOOKUP($AC144,'2017 Seattle Tracts'!$C$2:$Z$399,AQ$1,FALSE)*AA144</f>
        <v>0</v>
      </c>
      <c r="AR144">
        <f>VLOOKUP($AC144,'2017 Seattle Tracts'!$C$2:$Z$399,AR$1,FALSE)*AA144</f>
        <v>67.739024889103064</v>
      </c>
      <c r="AS144">
        <f>VLOOKUP($AC144,'2017 Seattle Tracts'!$C$2:$Z$399,AS$1,FALSE)*AA144</f>
        <v>62.014600250587314</v>
      </c>
      <c r="AT144">
        <f>VLOOKUP($AC144,'2017 Seattle Tracts'!$C$2:$Z$399,AT$1,FALSE)*AA144</f>
        <v>12.402920050117464</v>
      </c>
      <c r="AU144">
        <f>VLOOKUP($AC144,'2017 Seattle Tracts'!$C$2:$Z$399,AU$1,FALSE)*AA144</f>
        <v>1.9081415461719176</v>
      </c>
      <c r="AV144">
        <f>VLOOKUP($AC144,'2017 Seattle Tracts'!$C$2:$Z$399,AV$1,FALSE)*AA144</f>
        <v>0</v>
      </c>
      <c r="AW144">
        <f>VLOOKUP($AC144,'2017 Seattle Tracts'!$C$2:$Z$399,AW$1,FALSE)*AA144</f>
        <v>24.805840100234928</v>
      </c>
      <c r="AX144">
        <f>VLOOKUP($AC144,'2017 Seattle Tracts'!$C$2:$Z$399,AX$1,FALSE)*AA144</f>
        <v>55.654128430014261</v>
      </c>
      <c r="AY144">
        <f>VLOOKUP($AC144,'2017 Seattle Tracts'!$C$2:$Z$399,AY$1,FALSE)*AA144</f>
        <v>30.212241147722025</v>
      </c>
    </row>
    <row r="145" spans="1:51" x14ac:dyDescent="0.25">
      <c r="A145" t="s">
        <v>2917</v>
      </c>
      <c r="B145" t="s">
        <v>2918</v>
      </c>
      <c r="C145" t="s">
        <v>3029</v>
      </c>
      <c r="D145" t="s">
        <v>2707</v>
      </c>
      <c r="E145" t="s">
        <v>2708</v>
      </c>
      <c r="F145" t="s">
        <v>2709</v>
      </c>
      <c r="G145" t="s">
        <v>2920</v>
      </c>
      <c r="H145" t="s">
        <v>2921</v>
      </c>
      <c r="I145">
        <v>1798937</v>
      </c>
      <c r="J145">
        <v>0</v>
      </c>
      <c r="K145" t="s">
        <v>3030</v>
      </c>
      <c r="L145" t="s">
        <v>3031</v>
      </c>
      <c r="M145">
        <v>1798934</v>
      </c>
      <c r="N145">
        <v>111</v>
      </c>
      <c r="O145">
        <v>26446.203000000001</v>
      </c>
      <c r="P145" t="s">
        <v>122</v>
      </c>
      <c r="Q145">
        <v>1</v>
      </c>
      <c r="R145">
        <v>2</v>
      </c>
      <c r="S145">
        <v>23</v>
      </c>
      <c r="T145">
        <v>27690336</v>
      </c>
      <c r="U145">
        <v>113</v>
      </c>
      <c r="V145">
        <v>101</v>
      </c>
      <c r="W145">
        <v>26446.20305409377</v>
      </c>
      <c r="X145">
        <v>27690336.443909489</v>
      </c>
      <c r="Y145">
        <v>1226417.932</v>
      </c>
      <c r="Z145">
        <f>VLOOKUP($AC145,'2017 Seattle Tracts'!$C$2:$Z$399,24,FALSE)</f>
        <v>1798933.85</v>
      </c>
      <c r="AA145">
        <f t="shared" si="5"/>
        <v>0.68174709814927326</v>
      </c>
      <c r="AB145" t="s">
        <v>213</v>
      </c>
      <c r="AC145" t="str">
        <f t="shared" si="4"/>
        <v>Census Tract 4.02, King County, Washington</v>
      </c>
      <c r="AD145">
        <f>VLOOKUP($AC145,'2017 Seattle Tracts'!$C$2:$Z$399,AD$1,FALSE)*AA145</f>
        <v>3613.2596201911483</v>
      </c>
      <c r="AE145">
        <f>VLOOKUP($AC145,'2017 Seattle Tracts'!$C$2:$Z$399,AE$1,FALSE)*AA145</f>
        <v>3179.6684657682104</v>
      </c>
      <c r="AF145">
        <f>VLOOKUP($AC145,'2017 Seattle Tracts'!$C$2:$Z$399,AF$1,FALSE)*AA145</f>
        <v>433.59115442293779</v>
      </c>
      <c r="AG145">
        <f>VLOOKUP($AC145,'2017 Seattle Tracts'!$C$2:$Z$399,AG$1,FALSE)*AA145</f>
        <v>3613.2596201911483</v>
      </c>
      <c r="AH145">
        <f>VLOOKUP($AC145,'2017 Seattle Tracts'!$C$2:$Z$399,AH$1,FALSE)*AA145</f>
        <v>3179.6684657682104</v>
      </c>
      <c r="AI145">
        <f>VLOOKUP($AC145,'2017 Seattle Tracts'!$C$2:$Z$399,AI$1,FALSE)*AA145</f>
        <v>433.59115442293779</v>
      </c>
      <c r="AJ145">
        <f>VLOOKUP($AC145,'2017 Seattle Tracts'!$C$2:$Z$399,AJ$1,FALSE)*AA145</f>
        <v>2707.2177267507641</v>
      </c>
      <c r="AK145">
        <f>VLOOKUP($AC145,'2017 Seattle Tracts'!$C$2:$Z$399,AK$1,FALSE)*AA145</f>
        <v>115.89700668537645</v>
      </c>
      <c r="AL145">
        <f>VLOOKUP($AC145,'2017 Seattle Tracts'!$C$2:$Z$399,AL$1,FALSE)*AA145</f>
        <v>49.085791066747674</v>
      </c>
      <c r="AM145">
        <f>VLOOKUP($AC145,'2017 Seattle Tracts'!$C$2:$Z$399,AM$1,FALSE)*AA145</f>
        <v>62.72073302973314</v>
      </c>
      <c r="AN145">
        <f>VLOOKUP($AC145,'2017 Seattle Tracts'!$C$2:$Z$399,AN$1,FALSE)*AA145</f>
        <v>122.03273056871991</v>
      </c>
      <c r="AO145">
        <f>VLOOKUP($AC145,'2017 Seattle Tracts'!$C$2:$Z$399,AO$1,FALSE)*AA145</f>
        <v>0</v>
      </c>
      <c r="AP145">
        <f>VLOOKUP($AC145,'2017 Seattle Tracts'!$C$2:$Z$399,AP$1,FALSE)*AA145</f>
        <v>10.226206472239099</v>
      </c>
      <c r="AQ145">
        <f>VLOOKUP($AC145,'2017 Seattle Tracts'!$C$2:$Z$399,AQ$1,FALSE)*AA145</f>
        <v>0</v>
      </c>
      <c r="AR145">
        <f>VLOOKUP($AC145,'2017 Seattle Tracts'!$C$2:$Z$399,AR$1,FALSE)*AA145</f>
        <v>145.21213190579522</v>
      </c>
      <c r="AS145">
        <f>VLOOKUP($AC145,'2017 Seattle Tracts'!$C$2:$Z$399,AS$1,FALSE)*AA145</f>
        <v>132.94068413910827</v>
      </c>
      <c r="AT145">
        <f>VLOOKUP($AC145,'2017 Seattle Tracts'!$C$2:$Z$399,AT$1,FALSE)*AA145</f>
        <v>26.588136827821657</v>
      </c>
      <c r="AU145">
        <f>VLOOKUP($AC145,'2017 Seattle Tracts'!$C$2:$Z$399,AU$1,FALSE)*AA145</f>
        <v>4.0904825888956395</v>
      </c>
      <c r="AV145">
        <f>VLOOKUP($AC145,'2017 Seattle Tracts'!$C$2:$Z$399,AV$1,FALSE)*AA145</f>
        <v>0</v>
      </c>
      <c r="AW145">
        <f>VLOOKUP($AC145,'2017 Seattle Tracts'!$C$2:$Z$399,AW$1,FALSE)*AA145</f>
        <v>53.176273655643314</v>
      </c>
      <c r="AX145">
        <f>VLOOKUP($AC145,'2017 Seattle Tracts'!$C$2:$Z$399,AX$1,FALSE)*AA145</f>
        <v>119.30574217612282</v>
      </c>
      <c r="AY145">
        <f>VLOOKUP($AC145,'2017 Seattle Tracts'!$C$2:$Z$399,AY$1,FALSE)*AA145</f>
        <v>64.765974324180959</v>
      </c>
    </row>
    <row r="146" spans="1:51" x14ac:dyDescent="0.25">
      <c r="A146" t="s">
        <v>2917</v>
      </c>
      <c r="B146" t="s">
        <v>2918</v>
      </c>
      <c r="C146" t="s">
        <v>3029</v>
      </c>
      <c r="D146" t="s">
        <v>2707</v>
      </c>
      <c r="E146" t="s">
        <v>2708</v>
      </c>
      <c r="F146" t="s">
        <v>2709</v>
      </c>
      <c r="G146" t="s">
        <v>2920</v>
      </c>
      <c r="H146" t="s">
        <v>2921</v>
      </c>
      <c r="I146">
        <v>1798937</v>
      </c>
      <c r="J146">
        <v>0</v>
      </c>
      <c r="K146" t="s">
        <v>3030</v>
      </c>
      <c r="L146" t="s">
        <v>3031</v>
      </c>
      <c r="M146">
        <v>1798934</v>
      </c>
      <c r="N146">
        <v>112</v>
      </c>
      <c r="O146">
        <v>29413.553</v>
      </c>
      <c r="P146" t="s">
        <v>215</v>
      </c>
      <c r="Q146">
        <v>2</v>
      </c>
      <c r="R146">
        <v>10</v>
      </c>
      <c r="S146">
        <v>95</v>
      </c>
      <c r="T146">
        <v>47203080</v>
      </c>
      <c r="U146">
        <v>114</v>
      </c>
      <c r="V146">
        <v>102</v>
      </c>
      <c r="W146">
        <v>29413.553448415088</v>
      </c>
      <c r="X146">
        <v>47203081.07955838</v>
      </c>
      <c r="Y146">
        <v>412.51600000000002</v>
      </c>
      <c r="Z146">
        <f>VLOOKUP($AC146,'2017 Seattle Tracts'!$C$2:$Z$399,24,FALSE)</f>
        <v>1798933.85</v>
      </c>
      <c r="AA146">
        <f t="shared" si="5"/>
        <v>2.2931137795867258E-4</v>
      </c>
      <c r="AB146" t="s">
        <v>214</v>
      </c>
      <c r="AC146" t="str">
        <f t="shared" si="4"/>
        <v>Census Tract 4.02, King County, Washington</v>
      </c>
      <c r="AD146">
        <f>VLOOKUP($AC146,'2017 Seattle Tracts'!$C$2:$Z$399,AD$1,FALSE)*AA146</f>
        <v>1.2153503031809647</v>
      </c>
      <c r="AE146">
        <f>VLOOKUP($AC146,'2017 Seattle Tracts'!$C$2:$Z$399,AE$1,FALSE)*AA146</f>
        <v>1.0695082667992488</v>
      </c>
      <c r="AF146">
        <f>VLOOKUP($AC146,'2017 Seattle Tracts'!$C$2:$Z$399,AF$1,FALSE)*AA146</f>
        <v>0.14584203638171575</v>
      </c>
      <c r="AG146">
        <f>VLOOKUP($AC146,'2017 Seattle Tracts'!$C$2:$Z$399,AG$1,FALSE)*AA146</f>
        <v>1.2153503031809647</v>
      </c>
      <c r="AH146">
        <f>VLOOKUP($AC146,'2017 Seattle Tracts'!$C$2:$Z$399,AH$1,FALSE)*AA146</f>
        <v>1.0695082667992488</v>
      </c>
      <c r="AI146">
        <f>VLOOKUP($AC146,'2017 Seattle Tracts'!$C$2:$Z$399,AI$1,FALSE)*AA146</f>
        <v>0.14584203638171575</v>
      </c>
      <c r="AJ146">
        <f>VLOOKUP($AC146,'2017 Seattle Tracts'!$C$2:$Z$399,AJ$1,FALSE)*AA146</f>
        <v>0.91059548187388883</v>
      </c>
      <c r="AK146">
        <f>VLOOKUP($AC146,'2017 Seattle Tracts'!$C$2:$Z$399,AK$1,FALSE)*AA146</f>
        <v>3.898293425297434E-2</v>
      </c>
      <c r="AL146">
        <f>VLOOKUP($AC146,'2017 Seattle Tracts'!$C$2:$Z$399,AL$1,FALSE)*AA146</f>
        <v>1.6510419213024426E-2</v>
      </c>
      <c r="AM146">
        <f>VLOOKUP($AC146,'2017 Seattle Tracts'!$C$2:$Z$399,AM$1,FALSE)*AA146</f>
        <v>2.1096646772197879E-2</v>
      </c>
      <c r="AN146">
        <f>VLOOKUP($AC146,'2017 Seattle Tracts'!$C$2:$Z$399,AN$1,FALSE)*AA146</f>
        <v>4.1046736654602393E-2</v>
      </c>
      <c r="AO146">
        <f>VLOOKUP($AC146,'2017 Seattle Tracts'!$C$2:$Z$399,AO$1,FALSE)*AA146</f>
        <v>0</v>
      </c>
      <c r="AP146">
        <f>VLOOKUP($AC146,'2017 Seattle Tracts'!$C$2:$Z$399,AP$1,FALSE)*AA146</f>
        <v>3.4396706693800888E-3</v>
      </c>
      <c r="AQ146">
        <f>VLOOKUP($AC146,'2017 Seattle Tracts'!$C$2:$Z$399,AQ$1,FALSE)*AA146</f>
        <v>0</v>
      </c>
      <c r="AR146">
        <f>VLOOKUP($AC146,'2017 Seattle Tracts'!$C$2:$Z$399,AR$1,FALSE)*AA146</f>
        <v>4.884332350519726E-2</v>
      </c>
      <c r="AS146">
        <f>VLOOKUP($AC146,'2017 Seattle Tracts'!$C$2:$Z$399,AS$1,FALSE)*AA146</f>
        <v>4.4715718701941153E-2</v>
      </c>
      <c r="AT146">
        <f>VLOOKUP($AC146,'2017 Seattle Tracts'!$C$2:$Z$399,AT$1,FALSE)*AA146</f>
        <v>8.9431437403882305E-3</v>
      </c>
      <c r="AU146">
        <f>VLOOKUP($AC146,'2017 Seattle Tracts'!$C$2:$Z$399,AU$1,FALSE)*AA146</f>
        <v>1.3758682677520355E-3</v>
      </c>
      <c r="AV146">
        <f>VLOOKUP($AC146,'2017 Seattle Tracts'!$C$2:$Z$399,AV$1,FALSE)*AA146</f>
        <v>0</v>
      </c>
      <c r="AW146">
        <f>VLOOKUP($AC146,'2017 Seattle Tracts'!$C$2:$Z$399,AW$1,FALSE)*AA146</f>
        <v>1.7886287480776461E-2</v>
      </c>
      <c r="AX146">
        <f>VLOOKUP($AC146,'2017 Seattle Tracts'!$C$2:$Z$399,AX$1,FALSE)*AA146</f>
        <v>4.0129491142767704E-2</v>
      </c>
      <c r="AY146">
        <f>VLOOKUP($AC146,'2017 Seattle Tracts'!$C$2:$Z$399,AY$1,FALSE)*AA146</f>
        <v>2.1784580906073894E-2</v>
      </c>
    </row>
    <row r="147" spans="1:51" x14ac:dyDescent="0.25">
      <c r="A147" t="s">
        <v>2917</v>
      </c>
      <c r="B147" t="s">
        <v>2918</v>
      </c>
      <c r="C147" t="s">
        <v>3032</v>
      </c>
      <c r="D147" t="s">
        <v>2671</v>
      </c>
      <c r="E147" t="s">
        <v>2672</v>
      </c>
      <c r="F147" t="s">
        <v>2673</v>
      </c>
      <c r="G147" t="s">
        <v>2920</v>
      </c>
      <c r="H147" t="s">
        <v>2921</v>
      </c>
      <c r="I147">
        <v>2895569</v>
      </c>
      <c r="J147">
        <v>953717</v>
      </c>
      <c r="K147" t="s">
        <v>3033</v>
      </c>
      <c r="L147" t="s">
        <v>3034</v>
      </c>
      <c r="M147">
        <v>2791882</v>
      </c>
      <c r="N147">
        <v>110</v>
      </c>
      <c r="O147">
        <v>34640.309000000001</v>
      </c>
      <c r="P147" t="s">
        <v>122</v>
      </c>
      <c r="Q147">
        <v>1</v>
      </c>
      <c r="R147">
        <v>2</v>
      </c>
      <c r="S147">
        <v>95</v>
      </c>
      <c r="T147">
        <v>48113448</v>
      </c>
      <c r="U147">
        <v>112</v>
      </c>
      <c r="V147">
        <v>100</v>
      </c>
      <c r="W147">
        <v>34640.309665739042</v>
      </c>
      <c r="X147">
        <v>48113449.730149508</v>
      </c>
      <c r="Y147">
        <v>2791384.0389999999</v>
      </c>
      <c r="Z147">
        <f>VLOOKUP($AC147,'2017 Seattle Tracts'!$C$2:$Z$399,24,FALSE)</f>
        <v>2791881.8909999998</v>
      </c>
      <c r="AA147">
        <f t="shared" si="5"/>
        <v>0.99982167870295491</v>
      </c>
      <c r="AB147" t="s">
        <v>212</v>
      </c>
      <c r="AC147" t="str">
        <f t="shared" si="4"/>
        <v>Census Tract 5, King County, Washington</v>
      </c>
      <c r="AD147">
        <f>VLOOKUP($AC147,'2017 Seattle Tracts'!$C$2:$Z$399,AD$1,FALSE)*AA147</f>
        <v>3051.4557634014182</v>
      </c>
      <c r="AE147">
        <f>VLOOKUP($AC147,'2017 Seattle Tracts'!$C$2:$Z$399,AE$1,FALSE)*AA147</f>
        <v>2724.5140744655523</v>
      </c>
      <c r="AF147">
        <f>VLOOKUP($AC147,'2017 Seattle Tracts'!$C$2:$Z$399,AF$1,FALSE)*AA147</f>
        <v>326.94168893586624</v>
      </c>
      <c r="AG147">
        <f>VLOOKUP($AC147,'2017 Seattle Tracts'!$C$2:$Z$399,AG$1,FALSE)*AA147</f>
        <v>3051.4557634014182</v>
      </c>
      <c r="AH147">
        <f>VLOOKUP($AC147,'2017 Seattle Tracts'!$C$2:$Z$399,AH$1,FALSE)*AA147</f>
        <v>2724.5140744655523</v>
      </c>
      <c r="AI147">
        <f>VLOOKUP($AC147,'2017 Seattle Tracts'!$C$2:$Z$399,AI$1,FALSE)*AA147</f>
        <v>326.94168893586624</v>
      </c>
      <c r="AJ147">
        <f>VLOOKUP($AC147,'2017 Seattle Tracts'!$C$2:$Z$399,AJ$1,FALSE)*AA147</f>
        <v>2351.5805883093499</v>
      </c>
      <c r="AK147">
        <f>VLOOKUP($AC147,'2017 Seattle Tracts'!$C$2:$Z$399,AK$1,FALSE)*AA147</f>
        <v>94.98305947678071</v>
      </c>
      <c r="AL147">
        <f>VLOOKUP($AC147,'2017 Seattle Tracts'!$C$2:$Z$399,AL$1,FALSE)*AA147</f>
        <v>79.985734296236387</v>
      </c>
      <c r="AM147">
        <f>VLOOKUP($AC147,'2017 Seattle Tracts'!$C$2:$Z$399,AM$1,FALSE)*AA147</f>
        <v>22.995898610167963</v>
      </c>
      <c r="AN147">
        <f>VLOOKUP($AC147,'2017 Seattle Tracts'!$C$2:$Z$399,AN$1,FALSE)*AA147</f>
        <v>21.996076931465009</v>
      </c>
      <c r="AO147">
        <f>VLOOKUP($AC147,'2017 Seattle Tracts'!$C$2:$Z$399,AO$1,FALSE)*AA147</f>
        <v>17.996790216653189</v>
      </c>
      <c r="AP147">
        <f>VLOOKUP($AC147,'2017 Seattle Tracts'!$C$2:$Z$399,AP$1,FALSE)*AA147</f>
        <v>0</v>
      </c>
      <c r="AQ147">
        <f>VLOOKUP($AC147,'2017 Seattle Tracts'!$C$2:$Z$399,AQ$1,FALSE)*AA147</f>
        <v>0</v>
      </c>
      <c r="AR147">
        <f>VLOOKUP($AC147,'2017 Seattle Tracts'!$C$2:$Z$399,AR$1,FALSE)*AA147</f>
        <v>151.97289516284914</v>
      </c>
      <c r="AS147">
        <f>VLOOKUP($AC147,'2017 Seattle Tracts'!$C$2:$Z$399,AS$1,FALSE)*AA147</f>
        <v>158.97164691376983</v>
      </c>
      <c r="AT147">
        <f>VLOOKUP($AC147,'2017 Seattle Tracts'!$C$2:$Z$399,AT$1,FALSE)*AA147</f>
        <v>0</v>
      </c>
      <c r="AU147">
        <f>VLOOKUP($AC147,'2017 Seattle Tracts'!$C$2:$Z$399,AU$1,FALSE)*AA147</f>
        <v>0</v>
      </c>
      <c r="AV147">
        <f>VLOOKUP($AC147,'2017 Seattle Tracts'!$C$2:$Z$399,AV$1,FALSE)*AA147</f>
        <v>0</v>
      </c>
      <c r="AW147">
        <f>VLOOKUP($AC147,'2017 Seattle Tracts'!$C$2:$Z$399,AW$1,FALSE)*AA147</f>
        <v>0</v>
      </c>
      <c r="AX147">
        <f>VLOOKUP($AC147,'2017 Seattle Tracts'!$C$2:$Z$399,AX$1,FALSE)*AA147</f>
        <v>118.97877976565164</v>
      </c>
      <c r="AY147">
        <f>VLOOKUP($AC147,'2017 Seattle Tracts'!$C$2:$Z$399,AY$1,FALSE)*AA147</f>
        <v>31.994293718494557</v>
      </c>
    </row>
    <row r="148" spans="1:51" x14ac:dyDescent="0.25">
      <c r="A148" t="s">
        <v>2917</v>
      </c>
      <c r="B148" t="s">
        <v>2918</v>
      </c>
      <c r="C148" t="s">
        <v>3032</v>
      </c>
      <c r="D148" t="s">
        <v>2671</v>
      </c>
      <c r="E148" t="s">
        <v>2672</v>
      </c>
      <c r="F148" t="s">
        <v>2673</v>
      </c>
      <c r="G148" t="s">
        <v>2920</v>
      </c>
      <c r="H148" t="s">
        <v>2921</v>
      </c>
      <c r="I148">
        <v>2895569</v>
      </c>
      <c r="J148">
        <v>953717</v>
      </c>
      <c r="K148" t="s">
        <v>3033</v>
      </c>
      <c r="L148" t="s">
        <v>3034</v>
      </c>
      <c r="M148">
        <v>2791882</v>
      </c>
      <c r="N148">
        <v>114</v>
      </c>
      <c r="O148">
        <v>32947.805</v>
      </c>
      <c r="P148" t="s">
        <v>122</v>
      </c>
      <c r="Q148">
        <v>1</v>
      </c>
      <c r="R148">
        <v>2</v>
      </c>
      <c r="S148">
        <v>33</v>
      </c>
      <c r="T148">
        <v>31062266</v>
      </c>
      <c r="U148">
        <v>116</v>
      </c>
      <c r="V148">
        <v>109</v>
      </c>
      <c r="W148">
        <v>32947.805911989883</v>
      </c>
      <c r="X148">
        <v>31062264.991369769</v>
      </c>
      <c r="Y148">
        <v>487.73700000000002</v>
      </c>
      <c r="Z148">
        <f>VLOOKUP($AC148,'2017 Seattle Tracts'!$C$2:$Z$399,24,FALSE)</f>
        <v>2791881.8909999998</v>
      </c>
      <c r="AA148">
        <f t="shared" si="5"/>
        <v>1.7469829277960672E-4</v>
      </c>
      <c r="AB148" t="s">
        <v>217</v>
      </c>
      <c r="AC148" t="str">
        <f t="shared" si="4"/>
        <v>Census Tract 5, King County, Washington</v>
      </c>
      <c r="AD148">
        <f>VLOOKUP($AC148,'2017 Seattle Tracts'!$C$2:$Z$399,AD$1,FALSE)*AA148</f>
        <v>0.53317918956335975</v>
      </c>
      <c r="AE148">
        <f>VLOOKUP($AC148,'2017 Seattle Tracts'!$C$2:$Z$399,AE$1,FALSE)*AA148</f>
        <v>0.4760528478244283</v>
      </c>
      <c r="AF148">
        <f>VLOOKUP($AC148,'2017 Seattle Tracts'!$C$2:$Z$399,AF$1,FALSE)*AA148</f>
        <v>5.7126341738931399E-2</v>
      </c>
      <c r="AG148">
        <f>VLOOKUP($AC148,'2017 Seattle Tracts'!$C$2:$Z$399,AG$1,FALSE)*AA148</f>
        <v>0.53317918956335975</v>
      </c>
      <c r="AH148">
        <f>VLOOKUP($AC148,'2017 Seattle Tracts'!$C$2:$Z$399,AH$1,FALSE)*AA148</f>
        <v>0.4760528478244283</v>
      </c>
      <c r="AI148">
        <f>VLOOKUP($AC148,'2017 Seattle Tracts'!$C$2:$Z$399,AI$1,FALSE)*AA148</f>
        <v>5.7126341738931399E-2</v>
      </c>
      <c r="AJ148">
        <f>VLOOKUP($AC148,'2017 Seattle Tracts'!$C$2:$Z$399,AJ$1,FALSE)*AA148</f>
        <v>0.410890384617635</v>
      </c>
      <c r="AK148">
        <f>VLOOKUP($AC148,'2017 Seattle Tracts'!$C$2:$Z$399,AK$1,FALSE)*AA148</f>
        <v>1.6596337814062639E-2</v>
      </c>
      <c r="AL148">
        <f>VLOOKUP($AC148,'2017 Seattle Tracts'!$C$2:$Z$399,AL$1,FALSE)*AA148</f>
        <v>1.3975863422368538E-2</v>
      </c>
      <c r="AM148">
        <f>VLOOKUP($AC148,'2017 Seattle Tracts'!$C$2:$Z$399,AM$1,FALSE)*AA148</f>
        <v>4.0180607339309546E-3</v>
      </c>
      <c r="AN148">
        <f>VLOOKUP($AC148,'2017 Seattle Tracts'!$C$2:$Z$399,AN$1,FALSE)*AA148</f>
        <v>3.843362441151348E-3</v>
      </c>
      <c r="AO148">
        <f>VLOOKUP($AC148,'2017 Seattle Tracts'!$C$2:$Z$399,AO$1,FALSE)*AA148</f>
        <v>3.1445692700329212E-3</v>
      </c>
      <c r="AP148">
        <f>VLOOKUP($AC148,'2017 Seattle Tracts'!$C$2:$Z$399,AP$1,FALSE)*AA148</f>
        <v>0</v>
      </c>
      <c r="AQ148">
        <f>VLOOKUP($AC148,'2017 Seattle Tracts'!$C$2:$Z$399,AQ$1,FALSE)*AA148</f>
        <v>0</v>
      </c>
      <c r="AR148">
        <f>VLOOKUP($AC148,'2017 Seattle Tracts'!$C$2:$Z$399,AR$1,FALSE)*AA148</f>
        <v>2.6554140502500222E-2</v>
      </c>
      <c r="AS148">
        <f>VLOOKUP($AC148,'2017 Seattle Tracts'!$C$2:$Z$399,AS$1,FALSE)*AA148</f>
        <v>2.7777028551957468E-2</v>
      </c>
      <c r="AT148">
        <f>VLOOKUP($AC148,'2017 Seattle Tracts'!$C$2:$Z$399,AT$1,FALSE)*AA148</f>
        <v>0</v>
      </c>
      <c r="AU148">
        <f>VLOOKUP($AC148,'2017 Seattle Tracts'!$C$2:$Z$399,AU$1,FALSE)*AA148</f>
        <v>0</v>
      </c>
      <c r="AV148">
        <f>VLOOKUP($AC148,'2017 Seattle Tracts'!$C$2:$Z$399,AV$1,FALSE)*AA148</f>
        <v>0</v>
      </c>
      <c r="AW148">
        <f>VLOOKUP($AC148,'2017 Seattle Tracts'!$C$2:$Z$399,AW$1,FALSE)*AA148</f>
        <v>0</v>
      </c>
      <c r="AX148">
        <f>VLOOKUP($AC148,'2017 Seattle Tracts'!$C$2:$Z$399,AX$1,FALSE)*AA148</f>
        <v>2.0789096840773201E-2</v>
      </c>
      <c r="AY148">
        <f>VLOOKUP($AC148,'2017 Seattle Tracts'!$C$2:$Z$399,AY$1,FALSE)*AA148</f>
        <v>5.5903453689474152E-3</v>
      </c>
    </row>
    <row r="149" spans="1:51" x14ac:dyDescent="0.25">
      <c r="A149" t="s">
        <v>2917</v>
      </c>
      <c r="B149" t="s">
        <v>2918</v>
      </c>
      <c r="C149" t="s">
        <v>3035</v>
      </c>
      <c r="D149" t="s">
        <v>2845</v>
      </c>
      <c r="E149" t="s">
        <v>2846</v>
      </c>
      <c r="F149" t="s">
        <v>2847</v>
      </c>
      <c r="G149" t="s">
        <v>2920</v>
      </c>
      <c r="H149" t="s">
        <v>2921</v>
      </c>
      <c r="I149">
        <v>1060416</v>
      </c>
      <c r="J149">
        <v>0</v>
      </c>
      <c r="K149" t="s">
        <v>3036</v>
      </c>
      <c r="L149" t="s">
        <v>3037</v>
      </c>
      <c r="M149">
        <v>1060421</v>
      </c>
      <c r="N149">
        <v>102</v>
      </c>
      <c r="O149">
        <v>20753.002</v>
      </c>
      <c r="P149" t="s">
        <v>207</v>
      </c>
      <c r="Q149">
        <v>3</v>
      </c>
      <c r="R149">
        <v>3</v>
      </c>
      <c r="S149">
        <v>95</v>
      </c>
      <c r="T149">
        <v>21512732</v>
      </c>
      <c r="U149">
        <v>104</v>
      </c>
      <c r="V149">
        <v>106</v>
      </c>
      <c r="W149">
        <v>20753.0018992847</v>
      </c>
      <c r="X149">
        <v>21512731.489181329</v>
      </c>
      <c r="Y149">
        <v>1059920.683</v>
      </c>
      <c r="Z149">
        <f>VLOOKUP($AC149,'2017 Seattle Tracts'!$C$2:$Z$399,24,FALSE)</f>
        <v>1060421.014</v>
      </c>
      <c r="AA149">
        <f t="shared" si="5"/>
        <v>0.99952817702271601</v>
      </c>
      <c r="AB149" t="s">
        <v>206</v>
      </c>
      <c r="AC149" t="str">
        <f t="shared" si="4"/>
        <v>Census Tract 11, King County, Washington</v>
      </c>
      <c r="AD149">
        <f>VLOOKUP($AC149,'2017 Seattle Tracts'!$C$2:$Z$399,AD$1,FALSE)*AA149</f>
        <v>2789.6831420704002</v>
      </c>
      <c r="AE149">
        <f>VLOOKUP($AC149,'2017 Seattle Tracts'!$C$2:$Z$399,AE$1,FALSE)*AA149</f>
        <v>2248.9383983011112</v>
      </c>
      <c r="AF149">
        <f>VLOOKUP($AC149,'2017 Seattle Tracts'!$C$2:$Z$399,AF$1,FALSE)*AA149</f>
        <v>540.74474376928936</v>
      </c>
      <c r="AG149">
        <f>VLOOKUP($AC149,'2017 Seattle Tracts'!$C$2:$Z$399,AG$1,FALSE)*AA149</f>
        <v>2789.6831420704002</v>
      </c>
      <c r="AH149">
        <f>VLOOKUP($AC149,'2017 Seattle Tracts'!$C$2:$Z$399,AH$1,FALSE)*AA149</f>
        <v>2248.9383983011112</v>
      </c>
      <c r="AI149">
        <f>VLOOKUP($AC149,'2017 Seattle Tracts'!$C$2:$Z$399,AI$1,FALSE)*AA149</f>
        <v>540.74474376928936</v>
      </c>
      <c r="AJ149">
        <f>VLOOKUP($AC149,'2017 Seattle Tracts'!$C$2:$Z$399,AJ$1,FALSE)*AA149</f>
        <v>1865.1195783243882</v>
      </c>
      <c r="AK149">
        <f>VLOOKUP($AC149,'2017 Seattle Tracts'!$C$2:$Z$399,AK$1,FALSE)*AA149</f>
        <v>152.92781108447554</v>
      </c>
      <c r="AL149">
        <f>VLOOKUP($AC149,'2017 Seattle Tracts'!$C$2:$Z$399,AL$1,FALSE)*AA149</f>
        <v>68.967444214567408</v>
      </c>
      <c r="AM149">
        <f>VLOOKUP($AC149,'2017 Seattle Tracts'!$C$2:$Z$399,AM$1,FALSE)*AA149</f>
        <v>19.990563540454321</v>
      </c>
      <c r="AN149">
        <f>VLOOKUP($AC149,'2017 Seattle Tracts'!$C$2:$Z$399,AN$1,FALSE)*AA149</f>
        <v>7.9962254161817281</v>
      </c>
      <c r="AO149">
        <f>VLOOKUP($AC149,'2017 Seattle Tracts'!$C$2:$Z$399,AO$1,FALSE)*AA149</f>
        <v>0</v>
      </c>
      <c r="AP149">
        <f>VLOOKUP($AC149,'2017 Seattle Tracts'!$C$2:$Z$399,AP$1,FALSE)*AA149</f>
        <v>0</v>
      </c>
      <c r="AQ149">
        <f>VLOOKUP($AC149,'2017 Seattle Tracts'!$C$2:$Z$399,AQ$1,FALSE)*AA149</f>
        <v>0</v>
      </c>
      <c r="AR149">
        <f>VLOOKUP($AC149,'2017 Seattle Tracts'!$C$2:$Z$399,AR$1,FALSE)*AA149</f>
        <v>110.94762764952148</v>
      </c>
      <c r="AS149">
        <f>VLOOKUP($AC149,'2017 Seattle Tracts'!$C$2:$Z$399,AS$1,FALSE)*AA149</f>
        <v>316.85043211620098</v>
      </c>
      <c r="AT149">
        <f>VLOOKUP($AC149,'2017 Seattle Tracts'!$C$2:$Z$399,AT$1,FALSE)*AA149</f>
        <v>0</v>
      </c>
      <c r="AU149">
        <f>VLOOKUP($AC149,'2017 Seattle Tracts'!$C$2:$Z$399,AU$1,FALSE)*AA149</f>
        <v>0</v>
      </c>
      <c r="AV149">
        <f>VLOOKUP($AC149,'2017 Seattle Tracts'!$C$2:$Z$399,AV$1,FALSE)*AA149</f>
        <v>47.977352497090365</v>
      </c>
      <c r="AW149">
        <f>VLOOKUP($AC149,'2017 Seattle Tracts'!$C$2:$Z$399,AW$1,FALSE)*AA149</f>
        <v>50.975937028158519</v>
      </c>
      <c r="AX149">
        <f>VLOOKUP($AC149,'2017 Seattle Tracts'!$C$2:$Z$399,AX$1,FALSE)*AA149</f>
        <v>147.93017019936198</v>
      </c>
      <c r="AY149">
        <f>VLOOKUP($AC149,'2017 Seattle Tracts'!$C$2:$Z$399,AY$1,FALSE)*AA149</f>
        <v>0</v>
      </c>
    </row>
    <row r="150" spans="1:51" x14ac:dyDescent="0.25">
      <c r="A150" t="s">
        <v>2917</v>
      </c>
      <c r="B150" t="s">
        <v>2918</v>
      </c>
      <c r="C150" t="s">
        <v>3035</v>
      </c>
      <c r="D150" t="s">
        <v>2845</v>
      </c>
      <c r="E150" t="s">
        <v>2846</v>
      </c>
      <c r="F150" t="s">
        <v>2847</v>
      </c>
      <c r="G150" t="s">
        <v>2920</v>
      </c>
      <c r="H150" t="s">
        <v>2921</v>
      </c>
      <c r="I150">
        <v>1060416</v>
      </c>
      <c r="J150">
        <v>0</v>
      </c>
      <c r="K150" t="s">
        <v>3036</v>
      </c>
      <c r="L150" t="s">
        <v>3037</v>
      </c>
      <c r="M150">
        <v>1060421</v>
      </c>
      <c r="N150">
        <v>104</v>
      </c>
      <c r="O150">
        <v>18770.280999999999</v>
      </c>
      <c r="P150" t="s">
        <v>207</v>
      </c>
      <c r="Q150">
        <v>3</v>
      </c>
      <c r="R150">
        <v>3</v>
      </c>
      <c r="S150">
        <v>24</v>
      </c>
      <c r="T150">
        <v>17034848</v>
      </c>
      <c r="U150">
        <v>106</v>
      </c>
      <c r="V150">
        <v>108</v>
      </c>
      <c r="W150">
        <v>18770.28203242151</v>
      </c>
      <c r="X150">
        <v>17034848.779124379</v>
      </c>
      <c r="Y150">
        <v>238.066</v>
      </c>
      <c r="Z150">
        <f>VLOOKUP($AC150,'2017 Seattle Tracts'!$C$2:$Z$399,24,FALSE)</f>
        <v>1060421.014</v>
      </c>
      <c r="AA150">
        <f t="shared" si="5"/>
        <v>2.2450139789477995E-4</v>
      </c>
      <c r="AB150" t="s">
        <v>209</v>
      </c>
      <c r="AC150" t="str">
        <f t="shared" si="4"/>
        <v>Census Tract 11, King County, Washington</v>
      </c>
      <c r="AD150">
        <f>VLOOKUP($AC150,'2017 Seattle Tracts'!$C$2:$Z$399,AD$1,FALSE)*AA150</f>
        <v>0.62658340152433079</v>
      </c>
      <c r="AE150">
        <f>VLOOKUP($AC150,'2017 Seattle Tracts'!$C$2:$Z$399,AE$1,FALSE)*AA150</f>
        <v>0.50512814526325489</v>
      </c>
      <c r="AF150">
        <f>VLOOKUP($AC150,'2017 Seattle Tracts'!$C$2:$Z$399,AF$1,FALSE)*AA150</f>
        <v>0.12145525626107595</v>
      </c>
      <c r="AG150">
        <f>VLOOKUP($AC150,'2017 Seattle Tracts'!$C$2:$Z$399,AG$1,FALSE)*AA150</f>
        <v>0.62658340152433079</v>
      </c>
      <c r="AH150">
        <f>VLOOKUP($AC150,'2017 Seattle Tracts'!$C$2:$Z$399,AH$1,FALSE)*AA150</f>
        <v>0.50512814526325489</v>
      </c>
      <c r="AI150">
        <f>VLOOKUP($AC150,'2017 Seattle Tracts'!$C$2:$Z$399,AI$1,FALSE)*AA150</f>
        <v>0.12145525626107595</v>
      </c>
      <c r="AJ150">
        <f>VLOOKUP($AC150,'2017 Seattle Tracts'!$C$2:$Z$399,AJ$1,FALSE)*AA150</f>
        <v>0.41891960847165938</v>
      </c>
      <c r="AK150">
        <f>VLOOKUP($AC150,'2017 Seattle Tracts'!$C$2:$Z$399,AK$1,FALSE)*AA150</f>
        <v>3.4348713877901331E-2</v>
      </c>
      <c r="AL150">
        <f>VLOOKUP($AC150,'2017 Seattle Tracts'!$C$2:$Z$399,AL$1,FALSE)*AA150</f>
        <v>1.5490596454739816E-2</v>
      </c>
      <c r="AM150">
        <f>VLOOKUP($AC150,'2017 Seattle Tracts'!$C$2:$Z$399,AM$1,FALSE)*AA150</f>
        <v>4.4900279578955985E-3</v>
      </c>
      <c r="AN150">
        <f>VLOOKUP($AC150,'2017 Seattle Tracts'!$C$2:$Z$399,AN$1,FALSE)*AA150</f>
        <v>1.7960111831582396E-3</v>
      </c>
      <c r="AO150">
        <f>VLOOKUP($AC150,'2017 Seattle Tracts'!$C$2:$Z$399,AO$1,FALSE)*AA150</f>
        <v>0</v>
      </c>
      <c r="AP150">
        <f>VLOOKUP($AC150,'2017 Seattle Tracts'!$C$2:$Z$399,AP$1,FALSE)*AA150</f>
        <v>0</v>
      </c>
      <c r="AQ150">
        <f>VLOOKUP($AC150,'2017 Seattle Tracts'!$C$2:$Z$399,AQ$1,FALSE)*AA150</f>
        <v>0</v>
      </c>
      <c r="AR150">
        <f>VLOOKUP($AC150,'2017 Seattle Tracts'!$C$2:$Z$399,AR$1,FALSE)*AA150</f>
        <v>2.4919655166320574E-2</v>
      </c>
      <c r="AS150">
        <f>VLOOKUP($AC150,'2017 Seattle Tracts'!$C$2:$Z$399,AS$1,FALSE)*AA150</f>
        <v>7.1166943132645238E-2</v>
      </c>
      <c r="AT150">
        <f>VLOOKUP($AC150,'2017 Seattle Tracts'!$C$2:$Z$399,AT$1,FALSE)*AA150</f>
        <v>0</v>
      </c>
      <c r="AU150">
        <f>VLOOKUP($AC150,'2017 Seattle Tracts'!$C$2:$Z$399,AU$1,FALSE)*AA150</f>
        <v>0</v>
      </c>
      <c r="AV150">
        <f>VLOOKUP($AC150,'2017 Seattle Tracts'!$C$2:$Z$399,AV$1,FALSE)*AA150</f>
        <v>1.0776067098949437E-2</v>
      </c>
      <c r="AW150">
        <f>VLOOKUP($AC150,'2017 Seattle Tracts'!$C$2:$Z$399,AW$1,FALSE)*AA150</f>
        <v>1.1449571292633777E-2</v>
      </c>
      <c r="AX150">
        <f>VLOOKUP($AC150,'2017 Seattle Tracts'!$C$2:$Z$399,AX$1,FALSE)*AA150</f>
        <v>3.322620688842743E-2</v>
      </c>
      <c r="AY150">
        <f>VLOOKUP($AC150,'2017 Seattle Tracts'!$C$2:$Z$399,AY$1,FALSE)*AA150</f>
        <v>0</v>
      </c>
    </row>
    <row r="151" spans="1:51" x14ac:dyDescent="0.25">
      <c r="A151" t="s">
        <v>2917</v>
      </c>
      <c r="B151" t="s">
        <v>2918</v>
      </c>
      <c r="C151" t="s">
        <v>3035</v>
      </c>
      <c r="D151" t="s">
        <v>2845</v>
      </c>
      <c r="E151" t="s">
        <v>2846</v>
      </c>
      <c r="F151" t="s">
        <v>2847</v>
      </c>
      <c r="G151" t="s">
        <v>2920</v>
      </c>
      <c r="H151" t="s">
        <v>2921</v>
      </c>
      <c r="I151">
        <v>1060416</v>
      </c>
      <c r="J151">
        <v>0</v>
      </c>
      <c r="K151" t="s">
        <v>3036</v>
      </c>
      <c r="L151" t="s">
        <v>3037</v>
      </c>
      <c r="M151">
        <v>1060421</v>
      </c>
      <c r="N151">
        <v>113</v>
      </c>
      <c r="O151">
        <v>26171.271000000001</v>
      </c>
      <c r="P151" t="s">
        <v>215</v>
      </c>
      <c r="Q151">
        <v>2</v>
      </c>
      <c r="R151">
        <v>10</v>
      </c>
      <c r="S151">
        <v>81</v>
      </c>
      <c r="T151">
        <v>29438850</v>
      </c>
      <c r="U151">
        <v>115</v>
      </c>
      <c r="V151">
        <v>103</v>
      </c>
      <c r="W151">
        <v>26171.27176081029</v>
      </c>
      <c r="X151">
        <v>29438850.877074279</v>
      </c>
      <c r="Y151">
        <v>40.351999999999997</v>
      </c>
      <c r="Z151">
        <f>VLOOKUP($AC151,'2017 Seattle Tracts'!$C$2:$Z$399,24,FALSE)</f>
        <v>1060421.014</v>
      </c>
      <c r="AA151">
        <f t="shared" si="5"/>
        <v>3.8052810598112119E-5</v>
      </c>
      <c r="AB151" t="s">
        <v>216</v>
      </c>
      <c r="AC151" t="str">
        <f t="shared" si="4"/>
        <v>Census Tract 11, King County, Washington</v>
      </c>
      <c r="AD151">
        <f>VLOOKUP($AC151,'2017 Seattle Tracts'!$C$2:$Z$399,AD$1,FALSE)*AA151</f>
        <v>0.10620539437933092</v>
      </c>
      <c r="AE151">
        <f>VLOOKUP($AC151,'2017 Seattle Tracts'!$C$2:$Z$399,AE$1,FALSE)*AA151</f>
        <v>8.561882384575227E-2</v>
      </c>
      <c r="AF151">
        <f>VLOOKUP($AC151,'2017 Seattle Tracts'!$C$2:$Z$399,AF$1,FALSE)*AA151</f>
        <v>2.0586570533578655E-2</v>
      </c>
      <c r="AG151">
        <f>VLOOKUP($AC151,'2017 Seattle Tracts'!$C$2:$Z$399,AG$1,FALSE)*AA151</f>
        <v>0.10620539437933092</v>
      </c>
      <c r="AH151">
        <f>VLOOKUP($AC151,'2017 Seattle Tracts'!$C$2:$Z$399,AH$1,FALSE)*AA151</f>
        <v>8.561882384575227E-2</v>
      </c>
      <c r="AI151">
        <f>VLOOKUP($AC151,'2017 Seattle Tracts'!$C$2:$Z$399,AI$1,FALSE)*AA151</f>
        <v>2.0586570533578655E-2</v>
      </c>
      <c r="AJ151">
        <f>VLOOKUP($AC151,'2017 Seattle Tracts'!$C$2:$Z$399,AJ$1,FALSE)*AA151</f>
        <v>7.1006544576077218E-2</v>
      </c>
      <c r="AK151">
        <f>VLOOKUP($AC151,'2017 Seattle Tracts'!$C$2:$Z$399,AK$1,FALSE)*AA151</f>
        <v>5.8220800215111543E-3</v>
      </c>
      <c r="AL151">
        <f>VLOOKUP($AC151,'2017 Seattle Tracts'!$C$2:$Z$399,AL$1,FALSE)*AA151</f>
        <v>2.6256439312697362E-3</v>
      </c>
      <c r="AM151">
        <f>VLOOKUP($AC151,'2017 Seattle Tracts'!$C$2:$Z$399,AM$1,FALSE)*AA151</f>
        <v>7.6105621196224243E-4</v>
      </c>
      <c r="AN151">
        <f>VLOOKUP($AC151,'2017 Seattle Tracts'!$C$2:$Z$399,AN$1,FALSE)*AA151</f>
        <v>3.0442248478489695E-4</v>
      </c>
      <c r="AO151">
        <f>VLOOKUP($AC151,'2017 Seattle Tracts'!$C$2:$Z$399,AO$1,FALSE)*AA151</f>
        <v>0</v>
      </c>
      <c r="AP151">
        <f>VLOOKUP($AC151,'2017 Seattle Tracts'!$C$2:$Z$399,AP$1,FALSE)*AA151</f>
        <v>0</v>
      </c>
      <c r="AQ151">
        <f>VLOOKUP($AC151,'2017 Seattle Tracts'!$C$2:$Z$399,AQ$1,FALSE)*AA151</f>
        <v>0</v>
      </c>
      <c r="AR151">
        <f>VLOOKUP($AC151,'2017 Seattle Tracts'!$C$2:$Z$399,AR$1,FALSE)*AA151</f>
        <v>4.2238619763904448E-3</v>
      </c>
      <c r="AS151">
        <f>VLOOKUP($AC151,'2017 Seattle Tracts'!$C$2:$Z$399,AS$1,FALSE)*AA151</f>
        <v>1.2062740959601541E-2</v>
      </c>
      <c r="AT151">
        <f>VLOOKUP($AC151,'2017 Seattle Tracts'!$C$2:$Z$399,AT$1,FALSE)*AA151</f>
        <v>0</v>
      </c>
      <c r="AU151">
        <f>VLOOKUP($AC151,'2017 Seattle Tracts'!$C$2:$Z$399,AU$1,FALSE)*AA151</f>
        <v>0</v>
      </c>
      <c r="AV151">
        <f>VLOOKUP($AC151,'2017 Seattle Tracts'!$C$2:$Z$399,AV$1,FALSE)*AA151</f>
        <v>1.8265349087093817E-3</v>
      </c>
      <c r="AW151">
        <f>VLOOKUP($AC151,'2017 Seattle Tracts'!$C$2:$Z$399,AW$1,FALSE)*AA151</f>
        <v>1.9406933405037182E-3</v>
      </c>
      <c r="AX151">
        <f>VLOOKUP($AC151,'2017 Seattle Tracts'!$C$2:$Z$399,AX$1,FALSE)*AA151</f>
        <v>5.6318159685205937E-3</v>
      </c>
      <c r="AY151">
        <f>VLOOKUP($AC151,'2017 Seattle Tracts'!$C$2:$Z$399,AY$1,FALSE)*AA151</f>
        <v>0</v>
      </c>
    </row>
    <row r="152" spans="1:51" x14ac:dyDescent="0.25">
      <c r="A152" t="s">
        <v>2917</v>
      </c>
      <c r="B152" t="s">
        <v>2918</v>
      </c>
      <c r="C152" t="s">
        <v>3035</v>
      </c>
      <c r="D152" t="s">
        <v>2845</v>
      </c>
      <c r="E152" t="s">
        <v>2846</v>
      </c>
      <c r="F152" t="s">
        <v>2847</v>
      </c>
      <c r="G152" t="s">
        <v>2920</v>
      </c>
      <c r="H152" t="s">
        <v>2921</v>
      </c>
      <c r="I152">
        <v>1060416</v>
      </c>
      <c r="J152">
        <v>0</v>
      </c>
      <c r="K152" t="s">
        <v>3036</v>
      </c>
      <c r="L152" t="s">
        <v>3037</v>
      </c>
      <c r="M152">
        <v>1060421</v>
      </c>
      <c r="N152">
        <v>116</v>
      </c>
      <c r="O152">
        <v>25503.057000000001</v>
      </c>
      <c r="P152" t="s">
        <v>215</v>
      </c>
      <c r="Q152">
        <v>2</v>
      </c>
      <c r="R152">
        <v>10</v>
      </c>
      <c r="S152">
        <v>94</v>
      </c>
      <c r="T152">
        <v>34380472</v>
      </c>
      <c r="U152">
        <v>118</v>
      </c>
      <c r="V152">
        <v>112</v>
      </c>
      <c r="W152">
        <v>25503.057408269069</v>
      </c>
      <c r="X152">
        <v>34380470.782561153</v>
      </c>
      <c r="Y152">
        <v>221.90700000000001</v>
      </c>
      <c r="Z152">
        <f>VLOOKUP($AC152,'2017 Seattle Tracts'!$C$2:$Z$399,24,FALSE)</f>
        <v>1060421.014</v>
      </c>
      <c r="AA152">
        <f t="shared" si="5"/>
        <v>2.092631106610643E-4</v>
      </c>
      <c r="AB152" t="s">
        <v>219</v>
      </c>
      <c r="AC152" t="str">
        <f t="shared" si="4"/>
        <v>Census Tract 11, King County, Washington</v>
      </c>
      <c r="AD152">
        <f>VLOOKUP($AC152,'2017 Seattle Tracts'!$C$2:$Z$399,AD$1,FALSE)*AA152</f>
        <v>0.58405334185503044</v>
      </c>
      <c r="AE152">
        <f>VLOOKUP($AC152,'2017 Seattle Tracts'!$C$2:$Z$399,AE$1,FALSE)*AA152</f>
        <v>0.47084199898739471</v>
      </c>
      <c r="AF152">
        <f>VLOOKUP($AC152,'2017 Seattle Tracts'!$C$2:$Z$399,AF$1,FALSE)*AA152</f>
        <v>0.11321134286763579</v>
      </c>
      <c r="AG152">
        <f>VLOOKUP($AC152,'2017 Seattle Tracts'!$C$2:$Z$399,AG$1,FALSE)*AA152</f>
        <v>0.58405334185503044</v>
      </c>
      <c r="AH152">
        <f>VLOOKUP($AC152,'2017 Seattle Tracts'!$C$2:$Z$399,AH$1,FALSE)*AA152</f>
        <v>0.47084199898739471</v>
      </c>
      <c r="AI152">
        <f>VLOOKUP($AC152,'2017 Seattle Tracts'!$C$2:$Z$399,AI$1,FALSE)*AA152</f>
        <v>0.11321134286763579</v>
      </c>
      <c r="AJ152">
        <f>VLOOKUP($AC152,'2017 Seattle Tracts'!$C$2:$Z$399,AJ$1,FALSE)*AA152</f>
        <v>0.39048496449354597</v>
      </c>
      <c r="AK152">
        <f>VLOOKUP($AC152,'2017 Seattle Tracts'!$C$2:$Z$399,AK$1,FALSE)*AA152</f>
        <v>3.2017255931142838E-2</v>
      </c>
      <c r="AL152">
        <f>VLOOKUP($AC152,'2017 Seattle Tracts'!$C$2:$Z$399,AL$1,FALSE)*AA152</f>
        <v>1.4439154635613436E-2</v>
      </c>
      <c r="AM152">
        <f>VLOOKUP($AC152,'2017 Seattle Tracts'!$C$2:$Z$399,AM$1,FALSE)*AA152</f>
        <v>4.1852622132212865E-3</v>
      </c>
      <c r="AN152">
        <f>VLOOKUP($AC152,'2017 Seattle Tracts'!$C$2:$Z$399,AN$1,FALSE)*AA152</f>
        <v>1.6741048852885144E-3</v>
      </c>
      <c r="AO152">
        <f>VLOOKUP($AC152,'2017 Seattle Tracts'!$C$2:$Z$399,AO$1,FALSE)*AA152</f>
        <v>0</v>
      </c>
      <c r="AP152">
        <f>VLOOKUP($AC152,'2017 Seattle Tracts'!$C$2:$Z$399,AP$1,FALSE)*AA152</f>
        <v>0</v>
      </c>
      <c r="AQ152">
        <f>VLOOKUP($AC152,'2017 Seattle Tracts'!$C$2:$Z$399,AQ$1,FALSE)*AA152</f>
        <v>0</v>
      </c>
      <c r="AR152">
        <f>VLOOKUP($AC152,'2017 Seattle Tracts'!$C$2:$Z$399,AR$1,FALSE)*AA152</f>
        <v>2.3228205283378139E-2</v>
      </c>
      <c r="AS152">
        <f>VLOOKUP($AC152,'2017 Seattle Tracts'!$C$2:$Z$399,AS$1,FALSE)*AA152</f>
        <v>6.6336406079557389E-2</v>
      </c>
      <c r="AT152">
        <f>VLOOKUP($AC152,'2017 Seattle Tracts'!$C$2:$Z$399,AT$1,FALSE)*AA152</f>
        <v>0</v>
      </c>
      <c r="AU152">
        <f>VLOOKUP($AC152,'2017 Seattle Tracts'!$C$2:$Z$399,AU$1,FALSE)*AA152</f>
        <v>0</v>
      </c>
      <c r="AV152">
        <f>VLOOKUP($AC152,'2017 Seattle Tracts'!$C$2:$Z$399,AV$1,FALSE)*AA152</f>
        <v>1.0044629311731086E-2</v>
      </c>
      <c r="AW152">
        <f>VLOOKUP($AC152,'2017 Seattle Tracts'!$C$2:$Z$399,AW$1,FALSE)*AA152</f>
        <v>1.0672418643714279E-2</v>
      </c>
      <c r="AX152">
        <f>VLOOKUP($AC152,'2017 Seattle Tracts'!$C$2:$Z$399,AX$1,FALSE)*AA152</f>
        <v>3.0970940377837517E-2</v>
      </c>
      <c r="AY152">
        <f>VLOOKUP($AC152,'2017 Seattle Tracts'!$C$2:$Z$399,AY$1,FALSE)*AA152</f>
        <v>0</v>
      </c>
    </row>
    <row r="153" spans="1:51" x14ac:dyDescent="0.25">
      <c r="A153" t="s">
        <v>2917</v>
      </c>
      <c r="B153" t="s">
        <v>2918</v>
      </c>
      <c r="C153" t="s">
        <v>3038</v>
      </c>
      <c r="D153" t="s">
        <v>2803</v>
      </c>
      <c r="E153" t="s">
        <v>2804</v>
      </c>
      <c r="F153" t="s">
        <v>2805</v>
      </c>
      <c r="G153" t="s">
        <v>2920</v>
      </c>
      <c r="H153" t="s">
        <v>2921</v>
      </c>
      <c r="I153">
        <v>1834059</v>
      </c>
      <c r="J153">
        <v>0</v>
      </c>
      <c r="K153" t="s">
        <v>3039</v>
      </c>
      <c r="L153" t="s">
        <v>3040</v>
      </c>
      <c r="M153">
        <v>1834057</v>
      </c>
      <c r="N153">
        <v>102</v>
      </c>
      <c r="O153">
        <v>20753.002</v>
      </c>
      <c r="P153" t="s">
        <v>207</v>
      </c>
      <c r="Q153">
        <v>3</v>
      </c>
      <c r="R153">
        <v>3</v>
      </c>
      <c r="S153">
        <v>95</v>
      </c>
      <c r="T153">
        <v>21512732</v>
      </c>
      <c r="U153">
        <v>104</v>
      </c>
      <c r="V153">
        <v>106</v>
      </c>
      <c r="W153">
        <v>20753.0018992847</v>
      </c>
      <c r="X153">
        <v>21512731.489181329</v>
      </c>
      <c r="Y153">
        <v>87.921000000000006</v>
      </c>
      <c r="Z153">
        <f>VLOOKUP($AC153,'2017 Seattle Tracts'!$C$2:$Z$399,24,FALSE)</f>
        <v>1834057.2039999999</v>
      </c>
      <c r="AA153">
        <f t="shared" si="5"/>
        <v>4.7937981328089486E-5</v>
      </c>
      <c r="AB153" t="s">
        <v>206</v>
      </c>
      <c r="AC153" t="str">
        <f t="shared" si="4"/>
        <v>Census Tract 12, King County, Washington</v>
      </c>
      <c r="AD153">
        <f>VLOOKUP($AC153,'2017 Seattle Tracts'!$C$2:$Z$399,AD$1,FALSE)*AA153</f>
        <v>0.33671638084850053</v>
      </c>
      <c r="AE153">
        <f>VLOOKUP($AC153,'2017 Seattle Tracts'!$C$2:$Z$399,AE$1,FALSE)*AA153</f>
        <v>0.22995849643084526</v>
      </c>
      <c r="AF153">
        <f>VLOOKUP($AC153,'2017 Seattle Tracts'!$C$2:$Z$399,AF$1,FALSE)*AA153</f>
        <v>0.10675788441765528</v>
      </c>
      <c r="AG153">
        <f>VLOOKUP($AC153,'2017 Seattle Tracts'!$C$2:$Z$399,AG$1,FALSE)*AA153</f>
        <v>0.33671638084850053</v>
      </c>
      <c r="AH153">
        <f>VLOOKUP($AC153,'2017 Seattle Tracts'!$C$2:$Z$399,AH$1,FALSE)*AA153</f>
        <v>0.22995849643084526</v>
      </c>
      <c r="AI153">
        <f>VLOOKUP($AC153,'2017 Seattle Tracts'!$C$2:$Z$399,AI$1,FALSE)*AA153</f>
        <v>0.10675788441765528</v>
      </c>
      <c r="AJ153">
        <f>VLOOKUP($AC153,'2017 Seattle Tracts'!$C$2:$Z$399,AJ$1,FALSE)*AA153</f>
        <v>0.15388092006316725</v>
      </c>
      <c r="AK153">
        <f>VLOOKUP($AC153,'2017 Seattle Tracts'!$C$2:$Z$399,AK$1,FALSE)*AA153</f>
        <v>4.5876648130981641E-2</v>
      </c>
      <c r="AL153">
        <f>VLOOKUP($AC153,'2017 Seattle Tracts'!$C$2:$Z$399,AL$1,FALSE)*AA153</f>
        <v>1.208037129467855E-2</v>
      </c>
      <c r="AM153">
        <f>VLOOKUP($AC153,'2017 Seattle Tracts'!$C$2:$Z$399,AM$1,FALSE)*AA153</f>
        <v>6.711317385932528E-4</v>
      </c>
      <c r="AN153">
        <f>VLOOKUP($AC153,'2017 Seattle Tracts'!$C$2:$Z$399,AN$1,FALSE)*AA153</f>
        <v>9.443782321633629E-3</v>
      </c>
      <c r="AO153">
        <f>VLOOKUP($AC153,'2017 Seattle Tracts'!$C$2:$Z$399,AO$1,FALSE)*AA153</f>
        <v>1.1313363593429118E-2</v>
      </c>
      <c r="AP153">
        <f>VLOOKUP($AC153,'2017 Seattle Tracts'!$C$2:$Z$399,AP$1,FALSE)*AA153</f>
        <v>7.6700770124943178E-4</v>
      </c>
      <c r="AQ153">
        <f>VLOOKUP($AC153,'2017 Seattle Tracts'!$C$2:$Z$399,AQ$1,FALSE)*AA153</f>
        <v>1.3422634771865056E-3</v>
      </c>
      <c r="AR153">
        <f>VLOOKUP($AC153,'2017 Seattle Tracts'!$C$2:$Z$399,AR$1,FALSE)*AA153</f>
        <v>2.3968990664044742E-2</v>
      </c>
      <c r="AS153">
        <f>VLOOKUP($AC153,'2017 Seattle Tracts'!$C$2:$Z$399,AS$1,FALSE)*AA153</f>
        <v>3.6145237921379469E-2</v>
      </c>
      <c r="AT153">
        <f>VLOOKUP($AC153,'2017 Seattle Tracts'!$C$2:$Z$399,AT$1,FALSE)*AA153</f>
        <v>0</v>
      </c>
      <c r="AU153">
        <f>VLOOKUP($AC153,'2017 Seattle Tracts'!$C$2:$Z$399,AU$1,FALSE)*AA153</f>
        <v>0</v>
      </c>
      <c r="AV153">
        <f>VLOOKUP($AC153,'2017 Seattle Tracts'!$C$2:$Z$399,AV$1,FALSE)*AA153</f>
        <v>9.3479063589774498E-3</v>
      </c>
      <c r="AW153">
        <f>VLOOKUP($AC153,'2017 Seattle Tracts'!$C$2:$Z$399,AW$1,FALSE)*AA153</f>
        <v>5.6566817967145591E-3</v>
      </c>
      <c r="AX153">
        <f>VLOOKUP($AC153,'2017 Seattle Tracts'!$C$2:$Z$399,AX$1,FALSE)*AA153</f>
        <v>2.0469518027094211E-2</v>
      </c>
      <c r="AY153">
        <f>VLOOKUP($AC153,'2017 Seattle Tracts'!$C$2:$Z$399,AY$1,FALSE)*AA153</f>
        <v>5.7525577593707383E-3</v>
      </c>
    </row>
    <row r="154" spans="1:51" x14ac:dyDescent="0.25">
      <c r="A154" t="s">
        <v>2917</v>
      </c>
      <c r="B154" t="s">
        <v>2918</v>
      </c>
      <c r="C154" t="s">
        <v>3038</v>
      </c>
      <c r="D154" t="s">
        <v>2803</v>
      </c>
      <c r="E154" t="s">
        <v>2804</v>
      </c>
      <c r="F154" t="s">
        <v>2805</v>
      </c>
      <c r="G154" t="s">
        <v>2920</v>
      </c>
      <c r="H154" t="s">
        <v>2921</v>
      </c>
      <c r="I154">
        <v>1834059</v>
      </c>
      <c r="J154">
        <v>0</v>
      </c>
      <c r="K154" t="s">
        <v>3039</v>
      </c>
      <c r="L154" t="s">
        <v>3040</v>
      </c>
      <c r="M154">
        <v>1834057</v>
      </c>
      <c r="N154">
        <v>112</v>
      </c>
      <c r="O154">
        <v>29413.553</v>
      </c>
      <c r="P154" t="s">
        <v>215</v>
      </c>
      <c r="Q154">
        <v>2</v>
      </c>
      <c r="R154">
        <v>10</v>
      </c>
      <c r="S154">
        <v>95</v>
      </c>
      <c r="T154">
        <v>47203080</v>
      </c>
      <c r="U154">
        <v>114</v>
      </c>
      <c r="V154">
        <v>102</v>
      </c>
      <c r="W154">
        <v>29413.553448415088</v>
      </c>
      <c r="X154">
        <v>47203081.07955838</v>
      </c>
      <c r="Y154">
        <v>139247.342</v>
      </c>
      <c r="Z154">
        <f>VLOOKUP($AC154,'2017 Seattle Tracts'!$C$2:$Z$399,24,FALSE)</f>
        <v>1834057.2039999999</v>
      </c>
      <c r="AA154">
        <f t="shared" si="5"/>
        <v>7.5923118262782391E-2</v>
      </c>
      <c r="AB154" t="s">
        <v>214</v>
      </c>
      <c r="AC154" t="str">
        <f t="shared" si="4"/>
        <v>Census Tract 12, King County, Washington</v>
      </c>
      <c r="AD154">
        <f>VLOOKUP($AC154,'2017 Seattle Tracts'!$C$2:$Z$399,AD$1,FALSE)*AA154</f>
        <v>533.28398267778357</v>
      </c>
      <c r="AE154">
        <f>VLOOKUP($AC154,'2017 Seattle Tracts'!$C$2:$Z$399,AE$1,FALSE)*AA154</f>
        <v>364.20319830656712</v>
      </c>
      <c r="AF154">
        <f>VLOOKUP($AC154,'2017 Seattle Tracts'!$C$2:$Z$399,AF$1,FALSE)*AA154</f>
        <v>169.0807843712164</v>
      </c>
      <c r="AG154">
        <f>VLOOKUP($AC154,'2017 Seattle Tracts'!$C$2:$Z$399,AG$1,FALSE)*AA154</f>
        <v>533.28398267778357</v>
      </c>
      <c r="AH154">
        <f>VLOOKUP($AC154,'2017 Seattle Tracts'!$C$2:$Z$399,AH$1,FALSE)*AA154</f>
        <v>364.20319830656712</v>
      </c>
      <c r="AI154">
        <f>VLOOKUP($AC154,'2017 Seattle Tracts'!$C$2:$Z$399,AI$1,FALSE)*AA154</f>
        <v>169.0807843712164</v>
      </c>
      <c r="AJ154">
        <f>VLOOKUP($AC154,'2017 Seattle Tracts'!$C$2:$Z$399,AJ$1,FALSE)*AA154</f>
        <v>243.71320962353147</v>
      </c>
      <c r="AK154">
        <f>VLOOKUP($AC154,'2017 Seattle Tracts'!$C$2:$Z$399,AK$1,FALSE)*AA154</f>
        <v>72.658424177482743</v>
      </c>
      <c r="AL154">
        <f>VLOOKUP($AC154,'2017 Seattle Tracts'!$C$2:$Z$399,AL$1,FALSE)*AA154</f>
        <v>19.132625802221163</v>
      </c>
      <c r="AM154">
        <f>VLOOKUP($AC154,'2017 Seattle Tracts'!$C$2:$Z$399,AM$1,FALSE)*AA154</f>
        <v>1.0629236556789534</v>
      </c>
      <c r="AN154">
        <f>VLOOKUP($AC154,'2017 Seattle Tracts'!$C$2:$Z$399,AN$1,FALSE)*AA154</f>
        <v>14.956854297768132</v>
      </c>
      <c r="AO154">
        <f>VLOOKUP($AC154,'2017 Seattle Tracts'!$C$2:$Z$399,AO$1,FALSE)*AA154</f>
        <v>17.917855910016645</v>
      </c>
      <c r="AP154">
        <f>VLOOKUP($AC154,'2017 Seattle Tracts'!$C$2:$Z$399,AP$1,FALSE)*AA154</f>
        <v>1.2147698922045183</v>
      </c>
      <c r="AQ154">
        <f>VLOOKUP($AC154,'2017 Seattle Tracts'!$C$2:$Z$399,AQ$1,FALSE)*AA154</f>
        <v>2.1258473113579068</v>
      </c>
      <c r="AR154">
        <f>VLOOKUP($AC154,'2017 Seattle Tracts'!$C$2:$Z$399,AR$1,FALSE)*AA154</f>
        <v>37.961559131391198</v>
      </c>
      <c r="AS154">
        <f>VLOOKUP($AC154,'2017 Seattle Tracts'!$C$2:$Z$399,AS$1,FALSE)*AA154</f>
        <v>57.246031170137925</v>
      </c>
      <c r="AT154">
        <f>VLOOKUP($AC154,'2017 Seattle Tracts'!$C$2:$Z$399,AT$1,FALSE)*AA154</f>
        <v>0</v>
      </c>
      <c r="AU154">
        <f>VLOOKUP($AC154,'2017 Seattle Tracts'!$C$2:$Z$399,AU$1,FALSE)*AA154</f>
        <v>0</v>
      </c>
      <c r="AV154">
        <f>VLOOKUP($AC154,'2017 Seattle Tracts'!$C$2:$Z$399,AV$1,FALSE)*AA154</f>
        <v>14.805008061242566</v>
      </c>
      <c r="AW154">
        <f>VLOOKUP($AC154,'2017 Seattle Tracts'!$C$2:$Z$399,AW$1,FALSE)*AA154</f>
        <v>8.9589279550083223</v>
      </c>
      <c r="AX154">
        <f>VLOOKUP($AC154,'2017 Seattle Tracts'!$C$2:$Z$399,AX$1,FALSE)*AA154</f>
        <v>32.41917149820808</v>
      </c>
      <c r="AY154">
        <f>VLOOKUP($AC154,'2017 Seattle Tracts'!$C$2:$Z$399,AY$1,FALSE)*AA154</f>
        <v>9.1107741915338867</v>
      </c>
    </row>
    <row r="155" spans="1:51" x14ac:dyDescent="0.25">
      <c r="A155" t="s">
        <v>2917</v>
      </c>
      <c r="B155" t="s">
        <v>2918</v>
      </c>
      <c r="C155" t="s">
        <v>3038</v>
      </c>
      <c r="D155" t="s">
        <v>2803</v>
      </c>
      <c r="E155" t="s">
        <v>2804</v>
      </c>
      <c r="F155" t="s">
        <v>2805</v>
      </c>
      <c r="G155" t="s">
        <v>2920</v>
      </c>
      <c r="H155" t="s">
        <v>2921</v>
      </c>
      <c r="I155">
        <v>1834059</v>
      </c>
      <c r="J155">
        <v>0</v>
      </c>
      <c r="K155" t="s">
        <v>3039</v>
      </c>
      <c r="L155" t="s">
        <v>3040</v>
      </c>
      <c r="M155">
        <v>1834057</v>
      </c>
      <c r="N155">
        <v>113</v>
      </c>
      <c r="O155">
        <v>26171.271000000001</v>
      </c>
      <c r="P155" t="s">
        <v>215</v>
      </c>
      <c r="Q155">
        <v>2</v>
      </c>
      <c r="R155">
        <v>10</v>
      </c>
      <c r="S155">
        <v>81</v>
      </c>
      <c r="T155">
        <v>29438850</v>
      </c>
      <c r="U155">
        <v>115</v>
      </c>
      <c r="V155">
        <v>103</v>
      </c>
      <c r="W155">
        <v>26171.27176081029</v>
      </c>
      <c r="X155">
        <v>29438850.877074279</v>
      </c>
      <c r="Y155">
        <v>520746.96899999998</v>
      </c>
      <c r="Z155">
        <f>VLOOKUP($AC155,'2017 Seattle Tracts'!$C$2:$Z$399,24,FALSE)</f>
        <v>1834057.2039999999</v>
      </c>
      <c r="AA155">
        <f t="shared" si="5"/>
        <v>0.28393169409562213</v>
      </c>
      <c r="AB155" t="s">
        <v>216</v>
      </c>
      <c r="AC155" t="str">
        <f t="shared" si="4"/>
        <v>Census Tract 12, King County, Washington</v>
      </c>
      <c r="AD155">
        <f>VLOOKUP($AC155,'2017 Seattle Tracts'!$C$2:$Z$399,AD$1,FALSE)*AA155</f>
        <v>1994.3362193276498</v>
      </c>
      <c r="AE155">
        <f>VLOOKUP($AC155,'2017 Seattle Tracts'!$C$2:$Z$399,AE$1,FALSE)*AA155</f>
        <v>1362.0203365766993</v>
      </c>
      <c r="AF155">
        <f>VLOOKUP($AC155,'2017 Seattle Tracts'!$C$2:$Z$399,AF$1,FALSE)*AA155</f>
        <v>632.31588275095044</v>
      </c>
      <c r="AG155">
        <f>VLOOKUP($AC155,'2017 Seattle Tracts'!$C$2:$Z$399,AG$1,FALSE)*AA155</f>
        <v>1994.3362193276498</v>
      </c>
      <c r="AH155">
        <f>VLOOKUP($AC155,'2017 Seattle Tracts'!$C$2:$Z$399,AH$1,FALSE)*AA155</f>
        <v>1362.0203365766993</v>
      </c>
      <c r="AI155">
        <f>VLOOKUP($AC155,'2017 Seattle Tracts'!$C$2:$Z$399,AI$1,FALSE)*AA155</f>
        <v>632.31588275095044</v>
      </c>
      <c r="AJ155">
        <f>VLOOKUP($AC155,'2017 Seattle Tracts'!$C$2:$Z$399,AJ$1,FALSE)*AA155</f>
        <v>911.42073804694701</v>
      </c>
      <c r="AK155">
        <f>VLOOKUP($AC155,'2017 Seattle Tracts'!$C$2:$Z$399,AK$1,FALSE)*AA155</f>
        <v>271.72263124951036</v>
      </c>
      <c r="AL155">
        <f>VLOOKUP($AC155,'2017 Seattle Tracts'!$C$2:$Z$399,AL$1,FALSE)*AA155</f>
        <v>71.550786912096783</v>
      </c>
      <c r="AM155">
        <f>VLOOKUP($AC155,'2017 Seattle Tracts'!$C$2:$Z$399,AM$1,FALSE)*AA155</f>
        <v>3.9750437173387096</v>
      </c>
      <c r="AN155">
        <f>VLOOKUP($AC155,'2017 Seattle Tracts'!$C$2:$Z$399,AN$1,FALSE)*AA155</f>
        <v>55.934543736837561</v>
      </c>
      <c r="AO155">
        <f>VLOOKUP($AC155,'2017 Seattle Tracts'!$C$2:$Z$399,AO$1,FALSE)*AA155</f>
        <v>67.00787980656682</v>
      </c>
      <c r="AP155">
        <f>VLOOKUP($AC155,'2017 Seattle Tracts'!$C$2:$Z$399,AP$1,FALSE)*AA155</f>
        <v>4.5429071055299541</v>
      </c>
      <c r="AQ155">
        <f>VLOOKUP($AC155,'2017 Seattle Tracts'!$C$2:$Z$399,AQ$1,FALSE)*AA155</f>
        <v>7.9500874346774193</v>
      </c>
      <c r="AR155">
        <f>VLOOKUP($AC155,'2017 Seattle Tracts'!$C$2:$Z$399,AR$1,FALSE)*AA155</f>
        <v>141.96584704781105</v>
      </c>
      <c r="AS155">
        <f>VLOOKUP($AC155,'2017 Seattle Tracts'!$C$2:$Z$399,AS$1,FALSE)*AA155</f>
        <v>214.08449734809909</v>
      </c>
      <c r="AT155">
        <f>VLOOKUP($AC155,'2017 Seattle Tracts'!$C$2:$Z$399,AT$1,FALSE)*AA155</f>
        <v>0</v>
      </c>
      <c r="AU155">
        <f>VLOOKUP($AC155,'2017 Seattle Tracts'!$C$2:$Z$399,AU$1,FALSE)*AA155</f>
        <v>0</v>
      </c>
      <c r="AV155">
        <f>VLOOKUP($AC155,'2017 Seattle Tracts'!$C$2:$Z$399,AV$1,FALSE)*AA155</f>
        <v>55.366680348646319</v>
      </c>
      <c r="AW155">
        <f>VLOOKUP($AC155,'2017 Seattle Tracts'!$C$2:$Z$399,AW$1,FALSE)*AA155</f>
        <v>33.50393990328341</v>
      </c>
      <c r="AX155">
        <f>VLOOKUP($AC155,'2017 Seattle Tracts'!$C$2:$Z$399,AX$1,FALSE)*AA155</f>
        <v>121.23883337883065</v>
      </c>
      <c r="AY155">
        <f>VLOOKUP($AC155,'2017 Seattle Tracts'!$C$2:$Z$399,AY$1,FALSE)*AA155</f>
        <v>34.071803291474659</v>
      </c>
    </row>
    <row r="156" spans="1:51" x14ac:dyDescent="0.25">
      <c r="A156" t="s">
        <v>2917</v>
      </c>
      <c r="B156" t="s">
        <v>2918</v>
      </c>
      <c r="C156" t="s">
        <v>3038</v>
      </c>
      <c r="D156" t="s">
        <v>2803</v>
      </c>
      <c r="E156" t="s">
        <v>2804</v>
      </c>
      <c r="F156" t="s">
        <v>2805</v>
      </c>
      <c r="G156" t="s">
        <v>2920</v>
      </c>
      <c r="H156" t="s">
        <v>2921</v>
      </c>
      <c r="I156">
        <v>1834059</v>
      </c>
      <c r="J156">
        <v>0</v>
      </c>
      <c r="K156" t="s">
        <v>3039</v>
      </c>
      <c r="L156" t="s">
        <v>3040</v>
      </c>
      <c r="M156">
        <v>1834057</v>
      </c>
      <c r="N156">
        <v>115</v>
      </c>
      <c r="O156">
        <v>20132.898000000001</v>
      </c>
      <c r="P156" t="s">
        <v>215</v>
      </c>
      <c r="Q156">
        <v>2</v>
      </c>
      <c r="R156">
        <v>10</v>
      </c>
      <c r="S156">
        <v>9</v>
      </c>
      <c r="T156">
        <v>21704706</v>
      </c>
      <c r="U156">
        <v>117</v>
      </c>
      <c r="V156">
        <v>110</v>
      </c>
      <c r="W156">
        <v>20132.89824583329</v>
      </c>
      <c r="X156">
        <v>21704706.261455789</v>
      </c>
      <c r="Y156">
        <v>193904.94399999999</v>
      </c>
      <c r="Z156">
        <f>VLOOKUP($AC156,'2017 Seattle Tracts'!$C$2:$Z$399,24,FALSE)</f>
        <v>1834057.2039999999</v>
      </c>
      <c r="AA156">
        <f t="shared" si="5"/>
        <v>0.10572458894799008</v>
      </c>
      <c r="AB156" t="s">
        <v>218</v>
      </c>
      <c r="AC156" t="str">
        <f t="shared" si="4"/>
        <v>Census Tract 12, King County, Washington</v>
      </c>
      <c r="AD156">
        <f>VLOOKUP($AC156,'2017 Seattle Tracts'!$C$2:$Z$399,AD$1,FALSE)*AA156</f>
        <v>742.60951277068239</v>
      </c>
      <c r="AE156">
        <f>VLOOKUP($AC156,'2017 Seattle Tracts'!$C$2:$Z$399,AE$1,FALSE)*AA156</f>
        <v>507.16085318350844</v>
      </c>
      <c r="AF156">
        <f>VLOOKUP($AC156,'2017 Seattle Tracts'!$C$2:$Z$399,AF$1,FALSE)*AA156</f>
        <v>235.44865958717392</v>
      </c>
      <c r="AG156">
        <f>VLOOKUP($AC156,'2017 Seattle Tracts'!$C$2:$Z$399,AG$1,FALSE)*AA156</f>
        <v>742.60951277068239</v>
      </c>
      <c r="AH156">
        <f>VLOOKUP($AC156,'2017 Seattle Tracts'!$C$2:$Z$399,AH$1,FALSE)*AA156</f>
        <v>507.16085318350844</v>
      </c>
      <c r="AI156">
        <f>VLOOKUP($AC156,'2017 Seattle Tracts'!$C$2:$Z$399,AI$1,FALSE)*AA156</f>
        <v>235.44865958717392</v>
      </c>
      <c r="AJ156">
        <f>VLOOKUP($AC156,'2017 Seattle Tracts'!$C$2:$Z$399,AJ$1,FALSE)*AA156</f>
        <v>339.37593052304817</v>
      </c>
      <c r="AK156">
        <f>VLOOKUP($AC156,'2017 Seattle Tracts'!$C$2:$Z$399,AK$1,FALSE)*AA156</f>
        <v>101.17843162322652</v>
      </c>
      <c r="AL156">
        <f>VLOOKUP($AC156,'2017 Seattle Tracts'!$C$2:$Z$399,AL$1,FALSE)*AA156</f>
        <v>26.6425964148935</v>
      </c>
      <c r="AM156">
        <f>VLOOKUP($AC156,'2017 Seattle Tracts'!$C$2:$Z$399,AM$1,FALSE)*AA156</f>
        <v>1.4801442452718612</v>
      </c>
      <c r="AN156">
        <f>VLOOKUP($AC156,'2017 Seattle Tracts'!$C$2:$Z$399,AN$1,FALSE)*AA156</f>
        <v>20.827744022754047</v>
      </c>
      <c r="AO156">
        <f>VLOOKUP($AC156,'2017 Seattle Tracts'!$C$2:$Z$399,AO$1,FALSE)*AA156</f>
        <v>24.951002991725659</v>
      </c>
      <c r="AP156">
        <f>VLOOKUP($AC156,'2017 Seattle Tracts'!$C$2:$Z$399,AP$1,FALSE)*AA156</f>
        <v>1.6915934231678413</v>
      </c>
      <c r="AQ156">
        <f>VLOOKUP($AC156,'2017 Seattle Tracts'!$C$2:$Z$399,AQ$1,FALSE)*AA156</f>
        <v>2.9602884905437223</v>
      </c>
      <c r="AR156">
        <f>VLOOKUP($AC156,'2017 Seattle Tracts'!$C$2:$Z$399,AR$1,FALSE)*AA156</f>
        <v>52.862294473995043</v>
      </c>
      <c r="AS156">
        <f>VLOOKUP($AC156,'2017 Seattle Tracts'!$C$2:$Z$399,AS$1,FALSE)*AA156</f>
        <v>79.716340066784525</v>
      </c>
      <c r="AT156">
        <f>VLOOKUP($AC156,'2017 Seattle Tracts'!$C$2:$Z$399,AT$1,FALSE)*AA156</f>
        <v>0</v>
      </c>
      <c r="AU156">
        <f>VLOOKUP($AC156,'2017 Seattle Tracts'!$C$2:$Z$399,AU$1,FALSE)*AA156</f>
        <v>0</v>
      </c>
      <c r="AV156">
        <f>VLOOKUP($AC156,'2017 Seattle Tracts'!$C$2:$Z$399,AV$1,FALSE)*AA156</f>
        <v>20.616294844858068</v>
      </c>
      <c r="AW156">
        <f>VLOOKUP($AC156,'2017 Seattle Tracts'!$C$2:$Z$399,AW$1,FALSE)*AA156</f>
        <v>12.475501495862829</v>
      </c>
      <c r="AX156">
        <f>VLOOKUP($AC156,'2017 Seattle Tracts'!$C$2:$Z$399,AX$1,FALSE)*AA156</f>
        <v>45.144399480791769</v>
      </c>
      <c r="AY156">
        <f>VLOOKUP($AC156,'2017 Seattle Tracts'!$C$2:$Z$399,AY$1,FALSE)*AA156</f>
        <v>12.68695067375881</v>
      </c>
    </row>
    <row r="157" spans="1:51" x14ac:dyDescent="0.25">
      <c r="A157" t="s">
        <v>2917</v>
      </c>
      <c r="B157" t="s">
        <v>2918</v>
      </c>
      <c r="C157" t="s">
        <v>3038</v>
      </c>
      <c r="D157" t="s">
        <v>2803</v>
      </c>
      <c r="E157" t="s">
        <v>2804</v>
      </c>
      <c r="F157" t="s">
        <v>2805</v>
      </c>
      <c r="G157" t="s">
        <v>2920</v>
      </c>
      <c r="H157" t="s">
        <v>2921</v>
      </c>
      <c r="I157">
        <v>1834059</v>
      </c>
      <c r="J157">
        <v>0</v>
      </c>
      <c r="K157" t="s">
        <v>3039</v>
      </c>
      <c r="L157" t="s">
        <v>3040</v>
      </c>
      <c r="M157">
        <v>1834057</v>
      </c>
      <c r="N157">
        <v>116</v>
      </c>
      <c r="O157">
        <v>25503.057000000001</v>
      </c>
      <c r="P157" t="s">
        <v>215</v>
      </c>
      <c r="Q157">
        <v>2</v>
      </c>
      <c r="R157">
        <v>10</v>
      </c>
      <c r="S157">
        <v>94</v>
      </c>
      <c r="T157">
        <v>34380472</v>
      </c>
      <c r="U157">
        <v>118</v>
      </c>
      <c r="V157">
        <v>112</v>
      </c>
      <c r="W157">
        <v>25503.057408269069</v>
      </c>
      <c r="X157">
        <v>34380470.782561153</v>
      </c>
      <c r="Y157">
        <v>980070.02800000005</v>
      </c>
      <c r="Z157">
        <f>VLOOKUP($AC157,'2017 Seattle Tracts'!$C$2:$Z$399,24,FALSE)</f>
        <v>1834057.2039999999</v>
      </c>
      <c r="AA157">
        <f t="shared" si="5"/>
        <v>0.5343726607122774</v>
      </c>
      <c r="AB157" t="s">
        <v>219</v>
      </c>
      <c r="AC157" t="str">
        <f t="shared" si="4"/>
        <v>Census Tract 12, King County, Washington</v>
      </c>
      <c r="AD157">
        <f>VLOOKUP($AC157,'2017 Seattle Tracts'!$C$2:$Z$399,AD$1,FALSE)*AA157</f>
        <v>3753.4335688430365</v>
      </c>
      <c r="AE157">
        <f>VLOOKUP($AC157,'2017 Seattle Tracts'!$C$2:$Z$399,AE$1,FALSE)*AA157</f>
        <v>2563.3856534367947</v>
      </c>
      <c r="AF157">
        <f>VLOOKUP($AC157,'2017 Seattle Tracts'!$C$2:$Z$399,AF$1,FALSE)*AA157</f>
        <v>1190.0479154062418</v>
      </c>
      <c r="AG157">
        <f>VLOOKUP($AC157,'2017 Seattle Tracts'!$C$2:$Z$399,AG$1,FALSE)*AA157</f>
        <v>3753.4335688430365</v>
      </c>
      <c r="AH157">
        <f>VLOOKUP($AC157,'2017 Seattle Tracts'!$C$2:$Z$399,AH$1,FALSE)*AA157</f>
        <v>2563.3856534367947</v>
      </c>
      <c r="AI157">
        <f>VLOOKUP($AC157,'2017 Seattle Tracts'!$C$2:$Z$399,AI$1,FALSE)*AA157</f>
        <v>1190.0479154062418</v>
      </c>
      <c r="AJ157">
        <f>VLOOKUP($AC157,'2017 Seattle Tracts'!$C$2:$Z$399,AJ$1,FALSE)*AA157</f>
        <v>1715.3362408864105</v>
      </c>
      <c r="AK157">
        <f>VLOOKUP($AC157,'2017 Seattle Tracts'!$C$2:$Z$399,AK$1,FALSE)*AA157</f>
        <v>511.39463630164948</v>
      </c>
      <c r="AL157">
        <f>VLOOKUP($AC157,'2017 Seattle Tracts'!$C$2:$Z$399,AL$1,FALSE)*AA157</f>
        <v>134.6619104994939</v>
      </c>
      <c r="AM157">
        <f>VLOOKUP($AC157,'2017 Seattle Tracts'!$C$2:$Z$399,AM$1,FALSE)*AA157</f>
        <v>7.4812172499718841</v>
      </c>
      <c r="AN157">
        <f>VLOOKUP($AC157,'2017 Seattle Tracts'!$C$2:$Z$399,AN$1,FALSE)*AA157</f>
        <v>105.27141416031864</v>
      </c>
      <c r="AO157">
        <f>VLOOKUP($AC157,'2017 Seattle Tracts'!$C$2:$Z$399,AO$1,FALSE)*AA157</f>
        <v>126.11194792809746</v>
      </c>
      <c r="AP157">
        <f>VLOOKUP($AC157,'2017 Seattle Tracts'!$C$2:$Z$399,AP$1,FALSE)*AA157</f>
        <v>8.5499625713964384</v>
      </c>
      <c r="AQ157">
        <f>VLOOKUP($AC157,'2017 Seattle Tracts'!$C$2:$Z$399,AQ$1,FALSE)*AA157</f>
        <v>14.962434499943768</v>
      </c>
      <c r="AR157">
        <f>VLOOKUP($AC157,'2017 Seattle Tracts'!$C$2:$Z$399,AR$1,FALSE)*AA157</f>
        <v>267.18633035613868</v>
      </c>
      <c r="AS157">
        <f>VLOOKUP($AC157,'2017 Seattle Tracts'!$C$2:$Z$399,AS$1,FALSE)*AA157</f>
        <v>402.91698617705714</v>
      </c>
      <c r="AT157">
        <f>VLOOKUP($AC157,'2017 Seattle Tracts'!$C$2:$Z$399,AT$1,FALSE)*AA157</f>
        <v>0</v>
      </c>
      <c r="AU157">
        <f>VLOOKUP($AC157,'2017 Seattle Tracts'!$C$2:$Z$399,AU$1,FALSE)*AA157</f>
        <v>0</v>
      </c>
      <c r="AV157">
        <f>VLOOKUP($AC157,'2017 Seattle Tracts'!$C$2:$Z$399,AV$1,FALSE)*AA157</f>
        <v>104.2026688388941</v>
      </c>
      <c r="AW157">
        <f>VLOOKUP($AC157,'2017 Seattle Tracts'!$C$2:$Z$399,AW$1,FALSE)*AA157</f>
        <v>63.055973964048732</v>
      </c>
      <c r="AX157">
        <f>VLOOKUP($AC157,'2017 Seattle Tracts'!$C$2:$Z$399,AX$1,FALSE)*AA157</f>
        <v>228.17712612414246</v>
      </c>
      <c r="AY157">
        <f>VLOOKUP($AC157,'2017 Seattle Tracts'!$C$2:$Z$399,AY$1,FALSE)*AA157</f>
        <v>64.12471928547329</v>
      </c>
    </row>
    <row r="158" spans="1:51" x14ac:dyDescent="0.25">
      <c r="A158" t="s">
        <v>2917</v>
      </c>
      <c r="B158" t="s">
        <v>2918</v>
      </c>
      <c r="C158" t="s">
        <v>3041</v>
      </c>
      <c r="D158" t="s">
        <v>2794</v>
      </c>
      <c r="E158" t="s">
        <v>2795</v>
      </c>
      <c r="F158" t="s">
        <v>2796</v>
      </c>
      <c r="G158" t="s">
        <v>2920</v>
      </c>
      <c r="H158" t="s">
        <v>2921</v>
      </c>
      <c r="I158">
        <v>1183904</v>
      </c>
      <c r="J158">
        <v>0</v>
      </c>
      <c r="K158" t="s">
        <v>3042</v>
      </c>
      <c r="L158" t="s">
        <v>3043</v>
      </c>
      <c r="M158">
        <v>1183907</v>
      </c>
      <c r="N158">
        <v>111</v>
      </c>
      <c r="O158">
        <v>26446.203000000001</v>
      </c>
      <c r="P158" t="s">
        <v>122</v>
      </c>
      <c r="Q158">
        <v>1</v>
      </c>
      <c r="R158">
        <v>2</v>
      </c>
      <c r="S158">
        <v>23</v>
      </c>
      <c r="T158">
        <v>27690336</v>
      </c>
      <c r="U158">
        <v>113</v>
      </c>
      <c r="V158">
        <v>101</v>
      </c>
      <c r="W158">
        <v>26446.20305409377</v>
      </c>
      <c r="X158">
        <v>27690336.443909489</v>
      </c>
      <c r="Y158">
        <v>65869.400999999998</v>
      </c>
      <c r="Z158">
        <f>VLOOKUP($AC158,'2017 Seattle Tracts'!$C$2:$Z$399,24,FALSE)</f>
        <v>1183907.3570000001</v>
      </c>
      <c r="AA158">
        <f t="shared" si="5"/>
        <v>5.5637293417038873E-2</v>
      </c>
      <c r="AB158" t="s">
        <v>213</v>
      </c>
      <c r="AC158" t="str">
        <f t="shared" si="4"/>
        <v>Census Tract 13, King County, Washington</v>
      </c>
      <c r="AD158">
        <f>VLOOKUP($AC158,'2017 Seattle Tracts'!$C$2:$Z$399,AD$1,FALSE)*AA158</f>
        <v>248.58742698732968</v>
      </c>
      <c r="AE158">
        <f>VLOOKUP($AC158,'2017 Seattle Tracts'!$C$2:$Z$399,AE$1,FALSE)*AA158</f>
        <v>188.16532633642547</v>
      </c>
      <c r="AF158">
        <f>VLOOKUP($AC158,'2017 Seattle Tracts'!$C$2:$Z$399,AF$1,FALSE)*AA158</f>
        <v>60.422100650904213</v>
      </c>
      <c r="AG158">
        <f>VLOOKUP($AC158,'2017 Seattle Tracts'!$C$2:$Z$399,AG$1,FALSE)*AA158</f>
        <v>248.58742698732968</v>
      </c>
      <c r="AH158">
        <f>VLOOKUP($AC158,'2017 Seattle Tracts'!$C$2:$Z$399,AH$1,FALSE)*AA158</f>
        <v>188.16532633642547</v>
      </c>
      <c r="AI158">
        <f>VLOOKUP($AC158,'2017 Seattle Tracts'!$C$2:$Z$399,AI$1,FALSE)*AA158</f>
        <v>60.422100650904213</v>
      </c>
      <c r="AJ158">
        <f>VLOOKUP($AC158,'2017 Seattle Tracts'!$C$2:$Z$399,AJ$1,FALSE)*AA158</f>
        <v>130.41381576953913</v>
      </c>
      <c r="AK158">
        <f>VLOOKUP($AC158,'2017 Seattle Tracts'!$C$2:$Z$399,AK$1,FALSE)*AA158</f>
        <v>7.9561329586365588</v>
      </c>
      <c r="AL158">
        <f>VLOOKUP($AC158,'2017 Seattle Tracts'!$C$2:$Z$399,AL$1,FALSE)*AA158</f>
        <v>12.073292671497436</v>
      </c>
      <c r="AM158">
        <f>VLOOKUP($AC158,'2017 Seattle Tracts'!$C$2:$Z$399,AM$1,FALSE)*AA158</f>
        <v>4.5622580601971876</v>
      </c>
      <c r="AN158">
        <f>VLOOKUP($AC158,'2017 Seattle Tracts'!$C$2:$Z$399,AN$1,FALSE)*AA158</f>
        <v>4.3953461799460714</v>
      </c>
      <c r="AO158">
        <f>VLOOKUP($AC158,'2017 Seattle Tracts'!$C$2:$Z$399,AO$1,FALSE)*AA158</f>
        <v>5.2299055812016544</v>
      </c>
      <c r="AP158">
        <f>VLOOKUP($AC158,'2017 Seattle Tracts'!$C$2:$Z$399,AP$1,FALSE)*AA158</f>
        <v>0</v>
      </c>
      <c r="AQ158">
        <f>VLOOKUP($AC158,'2017 Seattle Tracts'!$C$2:$Z$399,AQ$1,FALSE)*AA158</f>
        <v>0</v>
      </c>
      <c r="AR158">
        <f>VLOOKUP($AC158,'2017 Seattle Tracts'!$C$2:$Z$399,AR$1,FALSE)*AA158</f>
        <v>20.697073151138461</v>
      </c>
      <c r="AS158">
        <f>VLOOKUP($AC158,'2017 Seattle Tracts'!$C$2:$Z$399,AS$1,FALSE)*AA158</f>
        <v>37.110074709164927</v>
      </c>
      <c r="AT158">
        <f>VLOOKUP($AC158,'2017 Seattle Tracts'!$C$2:$Z$399,AT$1,FALSE)*AA158</f>
        <v>0</v>
      </c>
      <c r="AU158">
        <f>VLOOKUP($AC158,'2017 Seattle Tracts'!$C$2:$Z$399,AU$1,FALSE)*AA158</f>
        <v>0</v>
      </c>
      <c r="AV158">
        <f>VLOOKUP($AC158,'2017 Seattle Tracts'!$C$2:$Z$399,AV$1,FALSE)*AA158</f>
        <v>5.3411801680357316</v>
      </c>
      <c r="AW158">
        <f>VLOOKUP($AC158,'2017 Seattle Tracts'!$C$2:$Z$399,AW$1,FALSE)*AA158</f>
        <v>4.6735326470312657</v>
      </c>
      <c r="AX158">
        <f>VLOOKUP($AC158,'2017 Seattle Tracts'!$C$2:$Z$399,AX$1,FALSE)*AA158</f>
        <v>15.244618396268651</v>
      </c>
      <c r="AY158">
        <f>VLOOKUP($AC158,'2017 Seattle Tracts'!$C$2:$Z$399,AY$1,FALSE)*AA158</f>
        <v>0.89019669467262197</v>
      </c>
    </row>
    <row r="159" spans="1:51" x14ac:dyDescent="0.25">
      <c r="A159" t="s">
        <v>2917</v>
      </c>
      <c r="B159" t="s">
        <v>2918</v>
      </c>
      <c r="C159" t="s">
        <v>3041</v>
      </c>
      <c r="D159" t="s">
        <v>2794</v>
      </c>
      <c r="E159" t="s">
        <v>2795</v>
      </c>
      <c r="F159" t="s">
        <v>2796</v>
      </c>
      <c r="G159" t="s">
        <v>2920</v>
      </c>
      <c r="H159" t="s">
        <v>2921</v>
      </c>
      <c r="I159">
        <v>1183904</v>
      </c>
      <c r="J159">
        <v>0</v>
      </c>
      <c r="K159" t="s">
        <v>3042</v>
      </c>
      <c r="L159" t="s">
        <v>3043</v>
      </c>
      <c r="M159">
        <v>1183907</v>
      </c>
      <c r="N159">
        <v>112</v>
      </c>
      <c r="O159">
        <v>29413.553</v>
      </c>
      <c r="P159" t="s">
        <v>215</v>
      </c>
      <c r="Q159">
        <v>2</v>
      </c>
      <c r="R159">
        <v>10</v>
      </c>
      <c r="S159">
        <v>95</v>
      </c>
      <c r="T159">
        <v>47203080</v>
      </c>
      <c r="U159">
        <v>114</v>
      </c>
      <c r="V159">
        <v>102</v>
      </c>
      <c r="W159">
        <v>29413.553448415088</v>
      </c>
      <c r="X159">
        <v>47203081.07955838</v>
      </c>
      <c r="Y159">
        <v>114261.10799999999</v>
      </c>
      <c r="Z159">
        <f>VLOOKUP($AC159,'2017 Seattle Tracts'!$C$2:$Z$399,24,FALSE)</f>
        <v>1183907.3570000001</v>
      </c>
      <c r="AA159">
        <f t="shared" si="5"/>
        <v>9.6511865835123778E-2</v>
      </c>
      <c r="AB159" t="s">
        <v>214</v>
      </c>
      <c r="AC159" t="str">
        <f t="shared" si="4"/>
        <v>Census Tract 13, King County, Washington</v>
      </c>
      <c r="AD159">
        <f>VLOOKUP($AC159,'2017 Seattle Tracts'!$C$2:$Z$399,AD$1,FALSE)*AA159</f>
        <v>431.21501655133306</v>
      </c>
      <c r="AE159">
        <f>VLOOKUP($AC159,'2017 Seattle Tracts'!$C$2:$Z$399,AE$1,FALSE)*AA159</f>
        <v>326.4031302543886</v>
      </c>
      <c r="AF159">
        <f>VLOOKUP($AC159,'2017 Seattle Tracts'!$C$2:$Z$399,AF$1,FALSE)*AA159</f>
        <v>104.81188629694442</v>
      </c>
      <c r="AG159">
        <f>VLOOKUP($AC159,'2017 Seattle Tracts'!$C$2:$Z$399,AG$1,FALSE)*AA159</f>
        <v>431.21501655133306</v>
      </c>
      <c r="AH159">
        <f>VLOOKUP($AC159,'2017 Seattle Tracts'!$C$2:$Z$399,AH$1,FALSE)*AA159</f>
        <v>326.4031302543886</v>
      </c>
      <c r="AI159">
        <f>VLOOKUP($AC159,'2017 Seattle Tracts'!$C$2:$Z$399,AI$1,FALSE)*AA159</f>
        <v>104.81188629694442</v>
      </c>
      <c r="AJ159">
        <f>VLOOKUP($AC159,'2017 Seattle Tracts'!$C$2:$Z$399,AJ$1,FALSE)*AA159</f>
        <v>226.22381351753015</v>
      </c>
      <c r="AK159">
        <f>VLOOKUP($AC159,'2017 Seattle Tracts'!$C$2:$Z$399,AK$1,FALSE)*AA159</f>
        <v>13.801196814422701</v>
      </c>
      <c r="AL159">
        <f>VLOOKUP($AC159,'2017 Seattle Tracts'!$C$2:$Z$399,AL$1,FALSE)*AA159</f>
        <v>20.943074886221861</v>
      </c>
      <c r="AM159">
        <f>VLOOKUP($AC159,'2017 Seattle Tracts'!$C$2:$Z$399,AM$1,FALSE)*AA159</f>
        <v>7.9139729984801495</v>
      </c>
      <c r="AN159">
        <f>VLOOKUP($AC159,'2017 Seattle Tracts'!$C$2:$Z$399,AN$1,FALSE)*AA159</f>
        <v>7.6244374009747782</v>
      </c>
      <c r="AO159">
        <f>VLOOKUP($AC159,'2017 Seattle Tracts'!$C$2:$Z$399,AO$1,FALSE)*AA159</f>
        <v>9.0721153885016346</v>
      </c>
      <c r="AP159">
        <f>VLOOKUP($AC159,'2017 Seattle Tracts'!$C$2:$Z$399,AP$1,FALSE)*AA159</f>
        <v>0</v>
      </c>
      <c r="AQ159">
        <f>VLOOKUP($AC159,'2017 Seattle Tracts'!$C$2:$Z$399,AQ$1,FALSE)*AA159</f>
        <v>0</v>
      </c>
      <c r="AR159">
        <f>VLOOKUP($AC159,'2017 Seattle Tracts'!$C$2:$Z$399,AR$1,FALSE)*AA159</f>
        <v>35.902414090666042</v>
      </c>
      <c r="AS159">
        <f>VLOOKUP($AC159,'2017 Seattle Tracts'!$C$2:$Z$399,AS$1,FALSE)*AA159</f>
        <v>64.373414512027566</v>
      </c>
      <c r="AT159">
        <f>VLOOKUP($AC159,'2017 Seattle Tracts'!$C$2:$Z$399,AT$1,FALSE)*AA159</f>
        <v>0</v>
      </c>
      <c r="AU159">
        <f>VLOOKUP($AC159,'2017 Seattle Tracts'!$C$2:$Z$399,AU$1,FALSE)*AA159</f>
        <v>0</v>
      </c>
      <c r="AV159">
        <f>VLOOKUP($AC159,'2017 Seattle Tracts'!$C$2:$Z$399,AV$1,FALSE)*AA159</f>
        <v>9.2651391201718827</v>
      </c>
      <c r="AW159">
        <f>VLOOKUP($AC159,'2017 Seattle Tracts'!$C$2:$Z$399,AW$1,FALSE)*AA159</f>
        <v>8.1069967301503976</v>
      </c>
      <c r="AX159">
        <f>VLOOKUP($AC159,'2017 Seattle Tracts'!$C$2:$Z$399,AX$1,FALSE)*AA159</f>
        <v>26.444251238823917</v>
      </c>
      <c r="AY159">
        <f>VLOOKUP($AC159,'2017 Seattle Tracts'!$C$2:$Z$399,AY$1,FALSE)*AA159</f>
        <v>1.5441898533619804</v>
      </c>
    </row>
    <row r="160" spans="1:51" x14ac:dyDescent="0.25">
      <c r="A160" t="s">
        <v>2917</v>
      </c>
      <c r="B160" t="s">
        <v>2918</v>
      </c>
      <c r="C160" t="s">
        <v>3041</v>
      </c>
      <c r="D160" t="s">
        <v>2794</v>
      </c>
      <c r="E160" t="s">
        <v>2795</v>
      </c>
      <c r="F160" t="s">
        <v>2796</v>
      </c>
      <c r="G160" t="s">
        <v>2920</v>
      </c>
      <c r="H160" t="s">
        <v>2921</v>
      </c>
      <c r="I160">
        <v>1183904</v>
      </c>
      <c r="J160">
        <v>0</v>
      </c>
      <c r="K160" t="s">
        <v>3042</v>
      </c>
      <c r="L160" t="s">
        <v>3043</v>
      </c>
      <c r="M160">
        <v>1183907</v>
      </c>
      <c r="N160">
        <v>115</v>
      </c>
      <c r="O160">
        <v>20132.898000000001</v>
      </c>
      <c r="P160" t="s">
        <v>215</v>
      </c>
      <c r="Q160">
        <v>2</v>
      </c>
      <c r="R160">
        <v>10</v>
      </c>
      <c r="S160">
        <v>9</v>
      </c>
      <c r="T160">
        <v>21704706</v>
      </c>
      <c r="U160">
        <v>117</v>
      </c>
      <c r="V160">
        <v>110</v>
      </c>
      <c r="W160">
        <v>20132.89824583329</v>
      </c>
      <c r="X160">
        <v>21704706.261455789</v>
      </c>
      <c r="Y160">
        <v>678165.63699999999</v>
      </c>
      <c r="Z160">
        <f>VLOOKUP($AC160,'2017 Seattle Tracts'!$C$2:$Z$399,24,FALSE)</f>
        <v>1183907.3570000001</v>
      </c>
      <c r="AA160">
        <f t="shared" si="5"/>
        <v>0.57281985198441498</v>
      </c>
      <c r="AB160" t="s">
        <v>218</v>
      </c>
      <c r="AC160" t="str">
        <f t="shared" si="4"/>
        <v>Census Tract 13, King County, Washington</v>
      </c>
      <c r="AD160">
        <f>VLOOKUP($AC160,'2017 Seattle Tracts'!$C$2:$Z$399,AD$1,FALSE)*AA160</f>
        <v>2559.3590986663662</v>
      </c>
      <c r="AE160">
        <f>VLOOKUP($AC160,'2017 Seattle Tracts'!$C$2:$Z$399,AE$1,FALSE)*AA160</f>
        <v>1937.2767394112914</v>
      </c>
      <c r="AF160">
        <f>VLOOKUP($AC160,'2017 Seattle Tracts'!$C$2:$Z$399,AF$1,FALSE)*AA160</f>
        <v>622.08235925507472</v>
      </c>
      <c r="AG160">
        <f>VLOOKUP($AC160,'2017 Seattle Tracts'!$C$2:$Z$399,AG$1,FALSE)*AA160</f>
        <v>2559.3590986663662</v>
      </c>
      <c r="AH160">
        <f>VLOOKUP($AC160,'2017 Seattle Tracts'!$C$2:$Z$399,AH$1,FALSE)*AA160</f>
        <v>1937.2767394112914</v>
      </c>
      <c r="AI160">
        <f>VLOOKUP($AC160,'2017 Seattle Tracts'!$C$2:$Z$399,AI$1,FALSE)*AA160</f>
        <v>622.08235925507472</v>
      </c>
      <c r="AJ160">
        <f>VLOOKUP($AC160,'2017 Seattle Tracts'!$C$2:$Z$399,AJ$1,FALSE)*AA160</f>
        <v>1342.6897330514687</v>
      </c>
      <c r="AK160">
        <f>VLOOKUP($AC160,'2017 Seattle Tracts'!$C$2:$Z$399,AK$1,FALSE)*AA160</f>
        <v>81.913238833771345</v>
      </c>
      <c r="AL160">
        <f>VLOOKUP($AC160,'2017 Seattle Tracts'!$C$2:$Z$399,AL$1,FALSE)*AA160</f>
        <v>124.30190788061805</v>
      </c>
      <c r="AM160">
        <f>VLOOKUP($AC160,'2017 Seattle Tracts'!$C$2:$Z$399,AM$1,FALSE)*AA160</f>
        <v>46.971227862722031</v>
      </c>
      <c r="AN160">
        <f>VLOOKUP($AC160,'2017 Seattle Tracts'!$C$2:$Z$399,AN$1,FALSE)*AA160</f>
        <v>45.252768306768786</v>
      </c>
      <c r="AO160">
        <f>VLOOKUP($AC160,'2017 Seattle Tracts'!$C$2:$Z$399,AO$1,FALSE)*AA160</f>
        <v>53.845066086535006</v>
      </c>
      <c r="AP160">
        <f>VLOOKUP($AC160,'2017 Seattle Tracts'!$C$2:$Z$399,AP$1,FALSE)*AA160</f>
        <v>0</v>
      </c>
      <c r="AQ160">
        <f>VLOOKUP($AC160,'2017 Seattle Tracts'!$C$2:$Z$399,AQ$1,FALSE)*AA160</f>
        <v>0</v>
      </c>
      <c r="AR160">
        <f>VLOOKUP($AC160,'2017 Seattle Tracts'!$C$2:$Z$399,AR$1,FALSE)*AA160</f>
        <v>213.08898493820237</v>
      </c>
      <c r="AS160">
        <f>VLOOKUP($AC160,'2017 Seattle Tracts'!$C$2:$Z$399,AS$1,FALSE)*AA160</f>
        <v>382.0708412736048</v>
      </c>
      <c r="AT160">
        <f>VLOOKUP($AC160,'2017 Seattle Tracts'!$C$2:$Z$399,AT$1,FALSE)*AA160</f>
        <v>0</v>
      </c>
      <c r="AU160">
        <f>VLOOKUP($AC160,'2017 Seattle Tracts'!$C$2:$Z$399,AU$1,FALSE)*AA160</f>
        <v>0</v>
      </c>
      <c r="AV160">
        <f>VLOOKUP($AC160,'2017 Seattle Tracts'!$C$2:$Z$399,AV$1,FALSE)*AA160</f>
        <v>54.990705790503839</v>
      </c>
      <c r="AW160">
        <f>VLOOKUP($AC160,'2017 Seattle Tracts'!$C$2:$Z$399,AW$1,FALSE)*AA160</f>
        <v>48.116867566690857</v>
      </c>
      <c r="AX160">
        <f>VLOOKUP($AC160,'2017 Seattle Tracts'!$C$2:$Z$399,AX$1,FALSE)*AA160</f>
        <v>156.95263944372971</v>
      </c>
      <c r="AY160">
        <f>VLOOKUP($AC160,'2017 Seattle Tracts'!$C$2:$Z$399,AY$1,FALSE)*AA160</f>
        <v>9.1651176317506398</v>
      </c>
    </row>
    <row r="161" spans="1:51" x14ac:dyDescent="0.25">
      <c r="A161" t="s">
        <v>2917</v>
      </c>
      <c r="B161" t="s">
        <v>2918</v>
      </c>
      <c r="C161" t="s">
        <v>3041</v>
      </c>
      <c r="D161" t="s">
        <v>2794</v>
      </c>
      <c r="E161" t="s">
        <v>2795</v>
      </c>
      <c r="F161" t="s">
        <v>2796</v>
      </c>
      <c r="G161" t="s">
        <v>2920</v>
      </c>
      <c r="H161" t="s">
        <v>2921</v>
      </c>
      <c r="I161">
        <v>1183904</v>
      </c>
      <c r="J161">
        <v>0</v>
      </c>
      <c r="K161" t="s">
        <v>3042</v>
      </c>
      <c r="L161" t="s">
        <v>3043</v>
      </c>
      <c r="M161">
        <v>1183907</v>
      </c>
      <c r="N161">
        <v>118</v>
      </c>
      <c r="O161">
        <v>26501.526999999998</v>
      </c>
      <c r="P161" t="s">
        <v>122</v>
      </c>
      <c r="Q161">
        <v>1</v>
      </c>
      <c r="R161">
        <v>2</v>
      </c>
      <c r="S161">
        <v>19</v>
      </c>
      <c r="T161">
        <v>42044564</v>
      </c>
      <c r="U161">
        <v>120</v>
      </c>
      <c r="V161">
        <v>115</v>
      </c>
      <c r="W161">
        <v>26501.526591104928</v>
      </c>
      <c r="X161">
        <v>42044563.673184253</v>
      </c>
      <c r="Y161">
        <v>325611.21100000001</v>
      </c>
      <c r="Z161">
        <f>VLOOKUP($AC161,'2017 Seattle Tracts'!$C$2:$Z$399,24,FALSE)</f>
        <v>1183907.3570000001</v>
      </c>
      <c r="AA161">
        <f t="shared" si="5"/>
        <v>0.2750309887634223</v>
      </c>
      <c r="AB161" t="s">
        <v>221</v>
      </c>
      <c r="AC161" t="str">
        <f t="shared" si="4"/>
        <v>Census Tract 13, King County, Washington</v>
      </c>
      <c r="AD161">
        <f>VLOOKUP($AC161,'2017 Seattle Tracts'!$C$2:$Z$399,AD$1,FALSE)*AA161</f>
        <v>1228.8384577949707</v>
      </c>
      <c r="AE161">
        <f>VLOOKUP($AC161,'2017 Seattle Tracts'!$C$2:$Z$399,AE$1,FALSE)*AA161</f>
        <v>930.15480399789419</v>
      </c>
      <c r="AF161">
        <f>VLOOKUP($AC161,'2017 Seattle Tracts'!$C$2:$Z$399,AF$1,FALSE)*AA161</f>
        <v>298.6836537970766</v>
      </c>
      <c r="AG161">
        <f>VLOOKUP($AC161,'2017 Seattle Tracts'!$C$2:$Z$399,AG$1,FALSE)*AA161</f>
        <v>1228.8384577949707</v>
      </c>
      <c r="AH161">
        <f>VLOOKUP($AC161,'2017 Seattle Tracts'!$C$2:$Z$399,AH$1,FALSE)*AA161</f>
        <v>930.15480399789419</v>
      </c>
      <c r="AI161">
        <f>VLOOKUP($AC161,'2017 Seattle Tracts'!$C$2:$Z$399,AI$1,FALSE)*AA161</f>
        <v>298.6836537970766</v>
      </c>
      <c r="AJ161">
        <f>VLOOKUP($AC161,'2017 Seattle Tracts'!$C$2:$Z$399,AJ$1,FALSE)*AA161</f>
        <v>644.67263766146186</v>
      </c>
      <c r="AK161">
        <f>VLOOKUP($AC161,'2017 Seattle Tracts'!$C$2:$Z$399,AK$1,FALSE)*AA161</f>
        <v>39.329431393169386</v>
      </c>
      <c r="AL161">
        <f>VLOOKUP($AC161,'2017 Seattle Tracts'!$C$2:$Z$399,AL$1,FALSE)*AA161</f>
        <v>59.681724561662641</v>
      </c>
      <c r="AM161">
        <f>VLOOKUP($AC161,'2017 Seattle Tracts'!$C$2:$Z$399,AM$1,FALSE)*AA161</f>
        <v>22.55254107860063</v>
      </c>
      <c r="AN161">
        <f>VLOOKUP($AC161,'2017 Seattle Tracts'!$C$2:$Z$399,AN$1,FALSE)*AA161</f>
        <v>21.727448112310363</v>
      </c>
      <c r="AO161">
        <f>VLOOKUP($AC161,'2017 Seattle Tracts'!$C$2:$Z$399,AO$1,FALSE)*AA161</f>
        <v>25.852912943761698</v>
      </c>
      <c r="AP161">
        <f>VLOOKUP($AC161,'2017 Seattle Tracts'!$C$2:$Z$399,AP$1,FALSE)*AA161</f>
        <v>0</v>
      </c>
      <c r="AQ161">
        <f>VLOOKUP($AC161,'2017 Seattle Tracts'!$C$2:$Z$399,AQ$1,FALSE)*AA161</f>
        <v>0</v>
      </c>
      <c r="AR161">
        <f>VLOOKUP($AC161,'2017 Seattle Tracts'!$C$2:$Z$399,AR$1,FALSE)*AA161</f>
        <v>102.3115278199931</v>
      </c>
      <c r="AS161">
        <f>VLOOKUP($AC161,'2017 Seattle Tracts'!$C$2:$Z$399,AS$1,FALSE)*AA161</f>
        <v>183.44566950520269</v>
      </c>
      <c r="AT161">
        <f>VLOOKUP($AC161,'2017 Seattle Tracts'!$C$2:$Z$399,AT$1,FALSE)*AA161</f>
        <v>0</v>
      </c>
      <c r="AU161">
        <f>VLOOKUP($AC161,'2017 Seattle Tracts'!$C$2:$Z$399,AU$1,FALSE)*AA161</f>
        <v>0</v>
      </c>
      <c r="AV161">
        <f>VLOOKUP($AC161,'2017 Seattle Tracts'!$C$2:$Z$399,AV$1,FALSE)*AA161</f>
        <v>26.402974921288539</v>
      </c>
      <c r="AW161">
        <f>VLOOKUP($AC161,'2017 Seattle Tracts'!$C$2:$Z$399,AW$1,FALSE)*AA161</f>
        <v>23.102603056127474</v>
      </c>
      <c r="AX161">
        <f>VLOOKUP($AC161,'2017 Seattle Tracts'!$C$2:$Z$399,AX$1,FALSE)*AA161</f>
        <v>75.358490921177705</v>
      </c>
      <c r="AY161">
        <f>VLOOKUP($AC161,'2017 Seattle Tracts'!$C$2:$Z$399,AY$1,FALSE)*AA161</f>
        <v>4.4004958202147568</v>
      </c>
    </row>
    <row r="162" spans="1:51" x14ac:dyDescent="0.25">
      <c r="A162" t="s">
        <v>2917</v>
      </c>
      <c r="B162" t="s">
        <v>2918</v>
      </c>
      <c r="C162" t="s">
        <v>3044</v>
      </c>
      <c r="D162" t="s">
        <v>2788</v>
      </c>
      <c r="E162" t="s">
        <v>2789</v>
      </c>
      <c r="F162" t="s">
        <v>2790</v>
      </c>
      <c r="G162" t="s">
        <v>2920</v>
      </c>
      <c r="H162" t="s">
        <v>2921</v>
      </c>
      <c r="I162">
        <v>1170486</v>
      </c>
      <c r="J162">
        <v>398486</v>
      </c>
      <c r="K162" t="s">
        <v>3045</v>
      </c>
      <c r="L162" t="s">
        <v>3046</v>
      </c>
      <c r="M162">
        <v>1143987</v>
      </c>
      <c r="N162">
        <v>27</v>
      </c>
      <c r="O162">
        <v>18831.009999999998</v>
      </c>
      <c r="P162" t="s">
        <v>117</v>
      </c>
      <c r="Q162">
        <v>7</v>
      </c>
      <c r="R162">
        <v>11</v>
      </c>
      <c r="S162">
        <v>23</v>
      </c>
      <c r="T162">
        <v>21320656</v>
      </c>
      <c r="U162">
        <v>29</v>
      </c>
      <c r="V162">
        <v>120</v>
      </c>
      <c r="W162">
        <v>18831.00959636999</v>
      </c>
      <c r="X162">
        <v>21320655.545531079</v>
      </c>
      <c r="Y162">
        <v>175.18100000000001</v>
      </c>
      <c r="Z162">
        <f>VLOOKUP($AC162,'2017 Seattle Tracts'!$C$2:$Z$399,24,FALSE)</f>
        <v>1143987.2290000001</v>
      </c>
      <c r="AA162">
        <f t="shared" si="5"/>
        <v>1.5313195423792621E-4</v>
      </c>
      <c r="AB162" t="s">
        <v>116</v>
      </c>
      <c r="AC162" t="str">
        <f t="shared" si="4"/>
        <v>Census Tract 15, King County, Washington</v>
      </c>
      <c r="AD162">
        <f>VLOOKUP($AC162,'2017 Seattle Tracts'!$C$2:$Z$399,AD$1,FALSE)*AA162</f>
        <v>0.39018021939823599</v>
      </c>
      <c r="AE162">
        <f>VLOOKUP($AC162,'2017 Seattle Tracts'!$C$2:$Z$399,AE$1,FALSE)*AA162</f>
        <v>0.35159096693027858</v>
      </c>
      <c r="AF162">
        <f>VLOOKUP($AC162,'2017 Seattle Tracts'!$C$2:$Z$399,AF$1,FALSE)*AA162</f>
        <v>3.8589252467957406E-2</v>
      </c>
      <c r="AG162">
        <f>VLOOKUP($AC162,'2017 Seattle Tracts'!$C$2:$Z$399,AG$1,FALSE)*AA162</f>
        <v>0.39018021939823599</v>
      </c>
      <c r="AH162">
        <f>VLOOKUP($AC162,'2017 Seattle Tracts'!$C$2:$Z$399,AH$1,FALSE)*AA162</f>
        <v>0.35159096693027858</v>
      </c>
      <c r="AI162">
        <f>VLOOKUP($AC162,'2017 Seattle Tracts'!$C$2:$Z$399,AI$1,FALSE)*AA162</f>
        <v>3.8589252467957406E-2</v>
      </c>
      <c r="AJ162">
        <f>VLOOKUP($AC162,'2017 Seattle Tracts'!$C$2:$Z$399,AJ$1,FALSE)*AA162</f>
        <v>0.32295529148778634</v>
      </c>
      <c r="AK162">
        <f>VLOOKUP($AC162,'2017 Seattle Tracts'!$C$2:$Z$399,AK$1,FALSE)*AA162</f>
        <v>2.4501112678068194E-2</v>
      </c>
      <c r="AL162">
        <f>VLOOKUP($AC162,'2017 Seattle Tracts'!$C$2:$Z$399,AL$1,FALSE)*AA162</f>
        <v>6.278410123754974E-3</v>
      </c>
      <c r="AM162">
        <f>VLOOKUP($AC162,'2017 Seattle Tracts'!$C$2:$Z$399,AM$1,FALSE)*AA162</f>
        <v>0</v>
      </c>
      <c r="AN162">
        <f>VLOOKUP($AC162,'2017 Seattle Tracts'!$C$2:$Z$399,AN$1,FALSE)*AA162</f>
        <v>0</v>
      </c>
      <c r="AO162">
        <f>VLOOKUP($AC162,'2017 Seattle Tracts'!$C$2:$Z$399,AO$1,FALSE)*AA162</f>
        <v>0</v>
      </c>
      <c r="AP162">
        <f>VLOOKUP($AC162,'2017 Seattle Tracts'!$C$2:$Z$399,AP$1,FALSE)*AA162</f>
        <v>1.0719236796654834E-3</v>
      </c>
      <c r="AQ162">
        <f>VLOOKUP($AC162,'2017 Seattle Tracts'!$C$2:$Z$399,AQ$1,FALSE)*AA162</f>
        <v>0</v>
      </c>
      <c r="AR162">
        <f>VLOOKUP($AC162,'2017 Seattle Tracts'!$C$2:$Z$399,AR$1,FALSE)*AA162</f>
        <v>9.1879172542755731E-3</v>
      </c>
      <c r="AS162">
        <f>VLOOKUP($AC162,'2017 Seattle Tracts'!$C$2:$Z$399,AS$1,FALSE)*AA162</f>
        <v>1.4088139789889211E-2</v>
      </c>
      <c r="AT162">
        <f>VLOOKUP($AC162,'2017 Seattle Tracts'!$C$2:$Z$399,AT$1,FALSE)*AA162</f>
        <v>0</v>
      </c>
      <c r="AU162">
        <f>VLOOKUP($AC162,'2017 Seattle Tracts'!$C$2:$Z$399,AU$1,FALSE)*AA162</f>
        <v>0</v>
      </c>
      <c r="AV162">
        <f>VLOOKUP($AC162,'2017 Seattle Tracts'!$C$2:$Z$399,AV$1,FALSE)*AA162</f>
        <v>0</v>
      </c>
      <c r="AW162">
        <f>VLOOKUP($AC162,'2017 Seattle Tracts'!$C$2:$Z$399,AW$1,FALSE)*AA162</f>
        <v>0</v>
      </c>
      <c r="AX162">
        <f>VLOOKUP($AC162,'2017 Seattle Tracts'!$C$2:$Z$399,AX$1,FALSE)*AA162</f>
        <v>1.209742438479617E-2</v>
      </c>
      <c r="AY162">
        <f>VLOOKUP($AC162,'2017 Seattle Tracts'!$C$2:$Z$399,AY$1,FALSE)*AA162</f>
        <v>0</v>
      </c>
    </row>
    <row r="163" spans="1:51" x14ac:dyDescent="0.25">
      <c r="A163" t="s">
        <v>2917</v>
      </c>
      <c r="B163" t="s">
        <v>2918</v>
      </c>
      <c r="C163" t="s">
        <v>3044</v>
      </c>
      <c r="D163" t="s">
        <v>2788</v>
      </c>
      <c r="E163" t="s">
        <v>2789</v>
      </c>
      <c r="F163" t="s">
        <v>2790</v>
      </c>
      <c r="G163" t="s">
        <v>2920</v>
      </c>
      <c r="H163" t="s">
        <v>2921</v>
      </c>
      <c r="I163">
        <v>1170486</v>
      </c>
      <c r="J163">
        <v>398486</v>
      </c>
      <c r="K163" t="s">
        <v>3045</v>
      </c>
      <c r="L163" t="s">
        <v>3046</v>
      </c>
      <c r="M163">
        <v>1143987</v>
      </c>
      <c r="N163">
        <v>114</v>
      </c>
      <c r="O163">
        <v>32947.805</v>
      </c>
      <c r="P163" t="s">
        <v>122</v>
      </c>
      <c r="Q163">
        <v>1</v>
      </c>
      <c r="R163">
        <v>2</v>
      </c>
      <c r="S163">
        <v>33</v>
      </c>
      <c r="T163">
        <v>31062266</v>
      </c>
      <c r="U163">
        <v>116</v>
      </c>
      <c r="V163">
        <v>109</v>
      </c>
      <c r="W163">
        <v>32947.805911989883</v>
      </c>
      <c r="X163">
        <v>31062264.991369769</v>
      </c>
      <c r="Y163">
        <v>1066557.845</v>
      </c>
      <c r="Z163">
        <f>VLOOKUP($AC163,'2017 Seattle Tracts'!$C$2:$Z$399,24,FALSE)</f>
        <v>1143987.2290000001</v>
      </c>
      <c r="AA163">
        <f t="shared" si="5"/>
        <v>0.9323162164426575</v>
      </c>
      <c r="AB163" t="s">
        <v>217</v>
      </c>
      <c r="AC163" t="str">
        <f t="shared" si="4"/>
        <v>Census Tract 15, King County, Washington</v>
      </c>
      <c r="AD163">
        <f>VLOOKUP($AC163,'2017 Seattle Tracts'!$C$2:$Z$399,AD$1,FALSE)*AA163</f>
        <v>2375.5417194958914</v>
      </c>
      <c r="AE163">
        <f>VLOOKUP($AC163,'2017 Seattle Tracts'!$C$2:$Z$399,AE$1,FALSE)*AA163</f>
        <v>2140.5980329523418</v>
      </c>
      <c r="AF163">
        <f>VLOOKUP($AC163,'2017 Seattle Tracts'!$C$2:$Z$399,AF$1,FALSE)*AA163</f>
        <v>234.94368654354969</v>
      </c>
      <c r="AG163">
        <f>VLOOKUP($AC163,'2017 Seattle Tracts'!$C$2:$Z$399,AG$1,FALSE)*AA163</f>
        <v>2375.5417194958914</v>
      </c>
      <c r="AH163">
        <f>VLOOKUP($AC163,'2017 Seattle Tracts'!$C$2:$Z$399,AH$1,FALSE)*AA163</f>
        <v>2140.5980329523418</v>
      </c>
      <c r="AI163">
        <f>VLOOKUP($AC163,'2017 Seattle Tracts'!$C$2:$Z$399,AI$1,FALSE)*AA163</f>
        <v>234.94368654354969</v>
      </c>
      <c r="AJ163">
        <f>VLOOKUP($AC163,'2017 Seattle Tracts'!$C$2:$Z$399,AJ$1,FALSE)*AA163</f>
        <v>1966.2549004775647</v>
      </c>
      <c r="AK163">
        <f>VLOOKUP($AC163,'2017 Seattle Tracts'!$C$2:$Z$399,AK$1,FALSE)*AA163</f>
        <v>149.17059463082521</v>
      </c>
      <c r="AL163">
        <f>VLOOKUP($AC163,'2017 Seattle Tracts'!$C$2:$Z$399,AL$1,FALSE)*AA163</f>
        <v>38.224964874148959</v>
      </c>
      <c r="AM163">
        <f>VLOOKUP($AC163,'2017 Seattle Tracts'!$C$2:$Z$399,AM$1,FALSE)*AA163</f>
        <v>0</v>
      </c>
      <c r="AN163">
        <f>VLOOKUP($AC163,'2017 Seattle Tracts'!$C$2:$Z$399,AN$1,FALSE)*AA163</f>
        <v>0</v>
      </c>
      <c r="AO163">
        <f>VLOOKUP($AC163,'2017 Seattle Tracts'!$C$2:$Z$399,AO$1,FALSE)*AA163</f>
        <v>0</v>
      </c>
      <c r="AP163">
        <f>VLOOKUP($AC163,'2017 Seattle Tracts'!$C$2:$Z$399,AP$1,FALSE)*AA163</f>
        <v>6.5262135150986023</v>
      </c>
      <c r="AQ163">
        <f>VLOOKUP($AC163,'2017 Seattle Tracts'!$C$2:$Z$399,AQ$1,FALSE)*AA163</f>
        <v>0</v>
      </c>
      <c r="AR163">
        <f>VLOOKUP($AC163,'2017 Seattle Tracts'!$C$2:$Z$399,AR$1,FALSE)*AA163</f>
        <v>55.938972986559449</v>
      </c>
      <c r="AS163">
        <f>VLOOKUP($AC163,'2017 Seattle Tracts'!$C$2:$Z$399,AS$1,FALSE)*AA163</f>
        <v>85.773091912724496</v>
      </c>
      <c r="AT163">
        <f>VLOOKUP($AC163,'2017 Seattle Tracts'!$C$2:$Z$399,AT$1,FALSE)*AA163</f>
        <v>0</v>
      </c>
      <c r="AU163">
        <f>VLOOKUP($AC163,'2017 Seattle Tracts'!$C$2:$Z$399,AU$1,FALSE)*AA163</f>
        <v>0</v>
      </c>
      <c r="AV163">
        <f>VLOOKUP($AC163,'2017 Seattle Tracts'!$C$2:$Z$399,AV$1,FALSE)*AA163</f>
        <v>0</v>
      </c>
      <c r="AW163">
        <f>VLOOKUP($AC163,'2017 Seattle Tracts'!$C$2:$Z$399,AW$1,FALSE)*AA163</f>
        <v>0</v>
      </c>
      <c r="AX163">
        <f>VLOOKUP($AC163,'2017 Seattle Tracts'!$C$2:$Z$399,AX$1,FALSE)*AA163</f>
        <v>73.652981098969946</v>
      </c>
      <c r="AY163">
        <f>VLOOKUP($AC163,'2017 Seattle Tracts'!$C$2:$Z$399,AY$1,FALSE)*AA163</f>
        <v>0</v>
      </c>
    </row>
    <row r="164" spans="1:51" x14ac:dyDescent="0.25">
      <c r="A164" t="s">
        <v>2917</v>
      </c>
      <c r="B164" t="s">
        <v>2918</v>
      </c>
      <c r="C164" t="s">
        <v>3044</v>
      </c>
      <c r="D164" t="s">
        <v>2788</v>
      </c>
      <c r="E164" t="s">
        <v>2789</v>
      </c>
      <c r="F164" t="s">
        <v>2790</v>
      </c>
      <c r="G164" t="s">
        <v>2920</v>
      </c>
      <c r="H164" t="s">
        <v>2921</v>
      </c>
      <c r="I164">
        <v>1170486</v>
      </c>
      <c r="J164">
        <v>398486</v>
      </c>
      <c r="K164" t="s">
        <v>3045</v>
      </c>
      <c r="L164" t="s">
        <v>3046</v>
      </c>
      <c r="M164">
        <v>1143987</v>
      </c>
      <c r="N164">
        <v>119</v>
      </c>
      <c r="O164">
        <v>29416.73</v>
      </c>
      <c r="P164" t="s">
        <v>117</v>
      </c>
      <c r="Q164">
        <v>7</v>
      </c>
      <c r="R164">
        <v>11</v>
      </c>
      <c r="S164">
        <v>81</v>
      </c>
      <c r="T164">
        <v>24335620</v>
      </c>
      <c r="U164">
        <v>121</v>
      </c>
      <c r="V164">
        <v>116</v>
      </c>
      <c r="W164">
        <v>29416.730063357121</v>
      </c>
      <c r="X164">
        <v>24335620.469402239</v>
      </c>
      <c r="Y164">
        <v>77234.255999999994</v>
      </c>
      <c r="Z164">
        <f>VLOOKUP($AC164,'2017 Seattle Tracts'!$C$2:$Z$399,24,FALSE)</f>
        <v>1143987.2290000001</v>
      </c>
      <c r="AA164">
        <f t="shared" si="5"/>
        <v>6.7513215219642972E-2</v>
      </c>
      <c r="AB164" t="s">
        <v>222</v>
      </c>
      <c r="AC164" t="str">
        <f t="shared" si="4"/>
        <v>Census Tract 15, King County, Washington</v>
      </c>
      <c r="AD164">
        <f>VLOOKUP($AC164,'2017 Seattle Tracts'!$C$2:$Z$399,AD$1,FALSE)*AA164</f>
        <v>172.02367237965029</v>
      </c>
      <c r="AE164">
        <f>VLOOKUP($AC164,'2017 Seattle Tracts'!$C$2:$Z$399,AE$1,FALSE)*AA164</f>
        <v>155.01034214430027</v>
      </c>
      <c r="AF164">
        <f>VLOOKUP($AC164,'2017 Seattle Tracts'!$C$2:$Z$399,AF$1,FALSE)*AA164</f>
        <v>17.013330235350029</v>
      </c>
      <c r="AG164">
        <f>VLOOKUP($AC164,'2017 Seattle Tracts'!$C$2:$Z$399,AG$1,FALSE)*AA164</f>
        <v>172.02367237965029</v>
      </c>
      <c r="AH164">
        <f>VLOOKUP($AC164,'2017 Seattle Tracts'!$C$2:$Z$399,AH$1,FALSE)*AA164</f>
        <v>155.01034214430027</v>
      </c>
      <c r="AI164">
        <f>VLOOKUP($AC164,'2017 Seattle Tracts'!$C$2:$Z$399,AI$1,FALSE)*AA164</f>
        <v>17.013330235350029</v>
      </c>
      <c r="AJ164">
        <f>VLOOKUP($AC164,'2017 Seattle Tracts'!$C$2:$Z$399,AJ$1,FALSE)*AA164</f>
        <v>142.38537089822702</v>
      </c>
      <c r="AK164">
        <f>VLOOKUP($AC164,'2017 Seattle Tracts'!$C$2:$Z$399,AK$1,FALSE)*AA164</f>
        <v>10.802114435142876</v>
      </c>
      <c r="AL164">
        <f>VLOOKUP($AC164,'2017 Seattle Tracts'!$C$2:$Z$399,AL$1,FALSE)*AA164</f>
        <v>2.7680418240053619</v>
      </c>
      <c r="AM164">
        <f>VLOOKUP($AC164,'2017 Seattle Tracts'!$C$2:$Z$399,AM$1,FALSE)*AA164</f>
        <v>0</v>
      </c>
      <c r="AN164">
        <f>VLOOKUP($AC164,'2017 Seattle Tracts'!$C$2:$Z$399,AN$1,FALSE)*AA164</f>
        <v>0</v>
      </c>
      <c r="AO164">
        <f>VLOOKUP($AC164,'2017 Seattle Tracts'!$C$2:$Z$399,AO$1,FALSE)*AA164</f>
        <v>0</v>
      </c>
      <c r="AP164">
        <f>VLOOKUP($AC164,'2017 Seattle Tracts'!$C$2:$Z$399,AP$1,FALSE)*AA164</f>
        <v>0.47259250653750079</v>
      </c>
      <c r="AQ164">
        <f>VLOOKUP($AC164,'2017 Seattle Tracts'!$C$2:$Z$399,AQ$1,FALSE)*AA164</f>
        <v>0</v>
      </c>
      <c r="AR164">
        <f>VLOOKUP($AC164,'2017 Seattle Tracts'!$C$2:$Z$399,AR$1,FALSE)*AA164</f>
        <v>4.0507929131785785</v>
      </c>
      <c r="AS164">
        <f>VLOOKUP($AC164,'2017 Seattle Tracts'!$C$2:$Z$399,AS$1,FALSE)*AA164</f>
        <v>6.2112158002071531</v>
      </c>
      <c r="AT164">
        <f>VLOOKUP($AC164,'2017 Seattle Tracts'!$C$2:$Z$399,AT$1,FALSE)*AA164</f>
        <v>0</v>
      </c>
      <c r="AU164">
        <f>VLOOKUP($AC164,'2017 Seattle Tracts'!$C$2:$Z$399,AU$1,FALSE)*AA164</f>
        <v>0</v>
      </c>
      <c r="AV164">
        <f>VLOOKUP($AC164,'2017 Seattle Tracts'!$C$2:$Z$399,AV$1,FALSE)*AA164</f>
        <v>0</v>
      </c>
      <c r="AW164">
        <f>VLOOKUP($AC164,'2017 Seattle Tracts'!$C$2:$Z$399,AW$1,FALSE)*AA164</f>
        <v>0</v>
      </c>
      <c r="AX164">
        <f>VLOOKUP($AC164,'2017 Seattle Tracts'!$C$2:$Z$399,AX$1,FALSE)*AA164</f>
        <v>5.333544002351795</v>
      </c>
      <c r="AY164">
        <f>VLOOKUP($AC164,'2017 Seattle Tracts'!$C$2:$Z$399,AY$1,FALSE)*AA164</f>
        <v>0</v>
      </c>
    </row>
    <row r="165" spans="1:51" x14ac:dyDescent="0.25">
      <c r="A165" t="s">
        <v>2917</v>
      </c>
      <c r="B165" t="s">
        <v>2918</v>
      </c>
      <c r="C165" t="s">
        <v>3047</v>
      </c>
      <c r="D165" t="s">
        <v>2722</v>
      </c>
      <c r="E165" t="s">
        <v>2723</v>
      </c>
      <c r="F165" t="s">
        <v>2724</v>
      </c>
      <c r="G165" t="s">
        <v>2920</v>
      </c>
      <c r="H165" t="s">
        <v>2921</v>
      </c>
      <c r="I165">
        <v>1284759</v>
      </c>
      <c r="J165">
        <v>0</v>
      </c>
      <c r="K165" t="s">
        <v>3048</v>
      </c>
      <c r="L165" t="s">
        <v>3049</v>
      </c>
      <c r="M165">
        <v>1284761</v>
      </c>
      <c r="N165">
        <v>31</v>
      </c>
      <c r="O165">
        <v>27120.785</v>
      </c>
      <c r="P165" t="s">
        <v>122</v>
      </c>
      <c r="Q165">
        <v>6</v>
      </c>
      <c r="R165">
        <v>9</v>
      </c>
      <c r="S165">
        <v>95</v>
      </c>
      <c r="T165">
        <v>32123118</v>
      </c>
      <c r="U165">
        <v>33</v>
      </c>
      <c r="V165">
        <v>126</v>
      </c>
      <c r="W165">
        <v>27120.785937968081</v>
      </c>
      <c r="X165">
        <v>32123117.878249042</v>
      </c>
      <c r="Y165">
        <v>1281759.048</v>
      </c>
      <c r="Z165">
        <f>VLOOKUP($AC165,'2017 Seattle Tracts'!$C$2:$Z$399,24,FALSE)</f>
        <v>1284761.325</v>
      </c>
      <c r="AA165">
        <f t="shared" si="5"/>
        <v>0.99766316362301766</v>
      </c>
      <c r="AB165" t="s">
        <v>121</v>
      </c>
      <c r="AC165" t="str">
        <f t="shared" si="4"/>
        <v>Census Tract 35, King County, Washington</v>
      </c>
      <c r="AD165">
        <f>VLOOKUP($AC165,'2017 Seattle Tracts'!$C$2:$Z$399,AD$1,FALSE)*AA165</f>
        <v>4041.5334758368444</v>
      </c>
      <c r="AE165">
        <f>VLOOKUP($AC165,'2017 Seattle Tracts'!$C$2:$Z$399,AE$1,FALSE)*AA165</f>
        <v>3588.5943995519947</v>
      </c>
      <c r="AF165">
        <f>VLOOKUP($AC165,'2017 Seattle Tracts'!$C$2:$Z$399,AF$1,FALSE)*AA165</f>
        <v>452.93907628484999</v>
      </c>
      <c r="AG165">
        <f>VLOOKUP($AC165,'2017 Seattle Tracts'!$C$2:$Z$399,AG$1,FALSE)*AA165</f>
        <v>4041.5334758368444</v>
      </c>
      <c r="AH165">
        <f>VLOOKUP($AC165,'2017 Seattle Tracts'!$C$2:$Z$399,AH$1,FALSE)*AA165</f>
        <v>3588.5943995519947</v>
      </c>
      <c r="AI165">
        <f>VLOOKUP($AC165,'2017 Seattle Tracts'!$C$2:$Z$399,AI$1,FALSE)*AA165</f>
        <v>452.93907628484999</v>
      </c>
      <c r="AJ165">
        <f>VLOOKUP($AC165,'2017 Seattle Tracts'!$C$2:$Z$399,AJ$1,FALSE)*AA165</f>
        <v>3078.7885229406324</v>
      </c>
      <c r="AK165">
        <f>VLOOKUP($AC165,'2017 Seattle Tracts'!$C$2:$Z$399,AK$1,FALSE)*AA165</f>
        <v>327.2335176683498</v>
      </c>
      <c r="AL165">
        <f>VLOOKUP($AC165,'2017 Seattle Tracts'!$C$2:$Z$399,AL$1,FALSE)*AA165</f>
        <v>76.820063598972354</v>
      </c>
      <c r="AM165">
        <f>VLOOKUP($AC165,'2017 Seattle Tracts'!$C$2:$Z$399,AM$1,FALSE)*AA165</f>
        <v>9.9766316362301772</v>
      </c>
      <c r="AN165">
        <f>VLOOKUP($AC165,'2017 Seattle Tracts'!$C$2:$Z$399,AN$1,FALSE)*AA165</f>
        <v>26.936905417821478</v>
      </c>
      <c r="AO165">
        <f>VLOOKUP($AC165,'2017 Seattle Tracts'!$C$2:$Z$399,AO$1,FALSE)*AA165</f>
        <v>11.971957963476212</v>
      </c>
      <c r="AP165">
        <f>VLOOKUP($AC165,'2017 Seattle Tracts'!$C$2:$Z$399,AP$1,FALSE)*AA165</f>
        <v>0.99766316362301766</v>
      </c>
      <c r="AQ165">
        <f>VLOOKUP($AC165,'2017 Seattle Tracts'!$C$2:$Z$399,AQ$1,FALSE)*AA165</f>
        <v>0</v>
      </c>
      <c r="AR165">
        <f>VLOOKUP($AC165,'2017 Seattle Tracts'!$C$2:$Z$399,AR$1,FALSE)*AA165</f>
        <v>203.5232853790956</v>
      </c>
      <c r="AS165">
        <f>VLOOKUP($AC165,'2017 Seattle Tracts'!$C$2:$Z$399,AS$1,FALSE)*AA165</f>
        <v>103.75696901679383</v>
      </c>
      <c r="AT165">
        <f>VLOOKUP($AC165,'2017 Seattle Tracts'!$C$2:$Z$399,AT$1,FALSE)*AA165</f>
        <v>10.974294799853194</v>
      </c>
      <c r="AU165">
        <f>VLOOKUP($AC165,'2017 Seattle Tracts'!$C$2:$Z$399,AU$1,FALSE)*AA165</f>
        <v>0</v>
      </c>
      <c r="AV165">
        <f>VLOOKUP($AC165,'2017 Seattle Tracts'!$C$2:$Z$399,AV$1,FALSE)*AA165</f>
        <v>7.9813053089841413</v>
      </c>
      <c r="AW165">
        <f>VLOOKUP($AC165,'2017 Seattle Tracts'!$C$2:$Z$399,AW$1,FALSE)*AA165</f>
        <v>0</v>
      </c>
      <c r="AX165">
        <f>VLOOKUP($AC165,'2017 Seattle Tracts'!$C$2:$Z$399,AX$1,FALSE)*AA165</f>
        <v>182.57235894301223</v>
      </c>
      <c r="AY165">
        <f>VLOOKUP($AC165,'2017 Seattle Tracts'!$C$2:$Z$399,AY$1,FALSE)*AA165</f>
        <v>0</v>
      </c>
    </row>
    <row r="166" spans="1:51" x14ac:dyDescent="0.25">
      <c r="A166" t="s">
        <v>2917</v>
      </c>
      <c r="B166" t="s">
        <v>2918</v>
      </c>
      <c r="C166" t="s">
        <v>3047</v>
      </c>
      <c r="D166" t="s">
        <v>2722</v>
      </c>
      <c r="E166" t="s">
        <v>2723</v>
      </c>
      <c r="F166" t="s">
        <v>2724</v>
      </c>
      <c r="G166" t="s">
        <v>2920</v>
      </c>
      <c r="H166" t="s">
        <v>2921</v>
      </c>
      <c r="I166">
        <v>1284759</v>
      </c>
      <c r="J166">
        <v>0</v>
      </c>
      <c r="K166" t="s">
        <v>3048</v>
      </c>
      <c r="L166" t="s">
        <v>3049</v>
      </c>
      <c r="M166">
        <v>1284761</v>
      </c>
      <c r="N166">
        <v>32</v>
      </c>
      <c r="O166">
        <v>33040.245999999999</v>
      </c>
      <c r="P166" t="s">
        <v>122</v>
      </c>
      <c r="Q166">
        <v>6</v>
      </c>
      <c r="R166">
        <v>9</v>
      </c>
      <c r="S166">
        <v>19</v>
      </c>
      <c r="T166">
        <v>42068344</v>
      </c>
      <c r="U166">
        <v>34</v>
      </c>
      <c r="V166">
        <v>133</v>
      </c>
      <c r="W166">
        <v>33040.246986119782</v>
      </c>
      <c r="X166">
        <v>42068342.613789164</v>
      </c>
      <c r="Y166">
        <v>8.5730000000000004</v>
      </c>
      <c r="Z166">
        <f>VLOOKUP($AC166,'2017 Seattle Tracts'!$C$2:$Z$399,24,FALSE)</f>
        <v>1284761.325</v>
      </c>
      <c r="AA166">
        <f t="shared" si="5"/>
        <v>6.6728347383900276E-6</v>
      </c>
      <c r="AB166" t="s">
        <v>123</v>
      </c>
      <c r="AC166" t="str">
        <f t="shared" si="4"/>
        <v>Census Tract 35, King County, Washington</v>
      </c>
      <c r="AD166">
        <f>VLOOKUP($AC166,'2017 Seattle Tracts'!$C$2:$Z$399,AD$1,FALSE)*AA166</f>
        <v>2.7031653525218E-2</v>
      </c>
      <c r="AE166">
        <f>VLOOKUP($AC166,'2017 Seattle Tracts'!$C$2:$Z$399,AE$1,FALSE)*AA166</f>
        <v>2.4002186553988929E-2</v>
      </c>
      <c r="AF166">
        <f>VLOOKUP($AC166,'2017 Seattle Tracts'!$C$2:$Z$399,AF$1,FALSE)*AA166</f>
        <v>3.0294669712290726E-3</v>
      </c>
      <c r="AG166">
        <f>VLOOKUP($AC166,'2017 Seattle Tracts'!$C$2:$Z$399,AG$1,FALSE)*AA166</f>
        <v>2.7031653525218E-2</v>
      </c>
      <c r="AH166">
        <f>VLOOKUP($AC166,'2017 Seattle Tracts'!$C$2:$Z$399,AH$1,FALSE)*AA166</f>
        <v>2.4002186553988929E-2</v>
      </c>
      <c r="AI166">
        <f>VLOOKUP($AC166,'2017 Seattle Tracts'!$C$2:$Z$399,AI$1,FALSE)*AA166</f>
        <v>3.0294669712290726E-3</v>
      </c>
      <c r="AJ166">
        <f>VLOOKUP($AC166,'2017 Seattle Tracts'!$C$2:$Z$399,AJ$1,FALSE)*AA166</f>
        <v>2.0592368002671627E-2</v>
      </c>
      <c r="AK166">
        <f>VLOOKUP($AC166,'2017 Seattle Tracts'!$C$2:$Z$399,AK$1,FALSE)*AA166</f>
        <v>2.188689794191929E-3</v>
      </c>
      <c r="AL166">
        <f>VLOOKUP($AC166,'2017 Seattle Tracts'!$C$2:$Z$399,AL$1,FALSE)*AA166</f>
        <v>5.1380827485603218E-4</v>
      </c>
      <c r="AM166">
        <f>VLOOKUP($AC166,'2017 Seattle Tracts'!$C$2:$Z$399,AM$1,FALSE)*AA166</f>
        <v>6.672834738390028E-5</v>
      </c>
      <c r="AN166">
        <f>VLOOKUP($AC166,'2017 Seattle Tracts'!$C$2:$Z$399,AN$1,FALSE)*AA166</f>
        <v>1.8016653793653074E-4</v>
      </c>
      <c r="AO166">
        <f>VLOOKUP($AC166,'2017 Seattle Tracts'!$C$2:$Z$399,AO$1,FALSE)*AA166</f>
        <v>8.0074016860680325E-5</v>
      </c>
      <c r="AP166">
        <f>VLOOKUP($AC166,'2017 Seattle Tracts'!$C$2:$Z$399,AP$1,FALSE)*AA166</f>
        <v>6.6728347383900276E-6</v>
      </c>
      <c r="AQ166">
        <f>VLOOKUP($AC166,'2017 Seattle Tracts'!$C$2:$Z$399,AQ$1,FALSE)*AA166</f>
        <v>0</v>
      </c>
      <c r="AR166">
        <f>VLOOKUP($AC166,'2017 Seattle Tracts'!$C$2:$Z$399,AR$1,FALSE)*AA166</f>
        <v>1.3612582866315657E-3</v>
      </c>
      <c r="AS166">
        <f>VLOOKUP($AC166,'2017 Seattle Tracts'!$C$2:$Z$399,AS$1,FALSE)*AA166</f>
        <v>6.9397481279256283E-4</v>
      </c>
      <c r="AT166">
        <f>VLOOKUP($AC166,'2017 Seattle Tracts'!$C$2:$Z$399,AT$1,FALSE)*AA166</f>
        <v>7.3401182122290309E-5</v>
      </c>
      <c r="AU166">
        <f>VLOOKUP($AC166,'2017 Seattle Tracts'!$C$2:$Z$399,AU$1,FALSE)*AA166</f>
        <v>0</v>
      </c>
      <c r="AV166">
        <f>VLOOKUP($AC166,'2017 Seattle Tracts'!$C$2:$Z$399,AV$1,FALSE)*AA166</f>
        <v>5.3382677907120221E-5</v>
      </c>
      <c r="AW166">
        <f>VLOOKUP($AC166,'2017 Seattle Tracts'!$C$2:$Z$399,AW$1,FALSE)*AA166</f>
        <v>0</v>
      </c>
      <c r="AX166">
        <f>VLOOKUP($AC166,'2017 Seattle Tracts'!$C$2:$Z$399,AX$1,FALSE)*AA166</f>
        <v>1.2211287571253751E-3</v>
      </c>
      <c r="AY166">
        <f>VLOOKUP($AC166,'2017 Seattle Tracts'!$C$2:$Z$399,AY$1,FALSE)*AA166</f>
        <v>0</v>
      </c>
    </row>
    <row r="167" spans="1:51" x14ac:dyDescent="0.25">
      <c r="A167" t="s">
        <v>2917</v>
      </c>
      <c r="B167" t="s">
        <v>2918</v>
      </c>
      <c r="C167" t="s">
        <v>3047</v>
      </c>
      <c r="D167" t="s">
        <v>2722</v>
      </c>
      <c r="E167" t="s">
        <v>2723</v>
      </c>
      <c r="F167" t="s">
        <v>2724</v>
      </c>
      <c r="G167" t="s">
        <v>2920</v>
      </c>
      <c r="H167" t="s">
        <v>2921</v>
      </c>
      <c r="I167">
        <v>1284759</v>
      </c>
      <c r="J167">
        <v>0</v>
      </c>
      <c r="K167" t="s">
        <v>3048</v>
      </c>
      <c r="L167" t="s">
        <v>3049</v>
      </c>
      <c r="M167">
        <v>1284761</v>
      </c>
      <c r="N167">
        <v>33</v>
      </c>
      <c r="O167">
        <v>25999.285</v>
      </c>
      <c r="P167" t="s">
        <v>122</v>
      </c>
      <c r="Q167">
        <v>6</v>
      </c>
      <c r="R167">
        <v>9</v>
      </c>
      <c r="S167">
        <v>94</v>
      </c>
      <c r="T167">
        <v>26503756</v>
      </c>
      <c r="U167">
        <v>35</v>
      </c>
      <c r="V167">
        <v>137</v>
      </c>
      <c r="W167">
        <v>25999.284935718741</v>
      </c>
      <c r="X167">
        <v>26503756.57148983</v>
      </c>
      <c r="Y167">
        <v>466.11900000000003</v>
      </c>
      <c r="Z167">
        <f>VLOOKUP($AC167,'2017 Seattle Tracts'!$C$2:$Z$399,24,FALSE)</f>
        <v>1284761.325</v>
      </c>
      <c r="AA167">
        <f t="shared" si="5"/>
        <v>3.6280590871615788E-4</v>
      </c>
      <c r="AB167" t="s">
        <v>124</v>
      </c>
      <c r="AC167" t="str">
        <f t="shared" si="4"/>
        <v>Census Tract 35, King County, Washington</v>
      </c>
      <c r="AD167">
        <f>VLOOKUP($AC167,'2017 Seattle Tracts'!$C$2:$Z$399,AD$1,FALSE)*AA167</f>
        <v>1.4697267362091555</v>
      </c>
      <c r="AE167">
        <f>VLOOKUP($AC167,'2017 Seattle Tracts'!$C$2:$Z$399,AE$1,FALSE)*AA167</f>
        <v>1.3050128536520198</v>
      </c>
      <c r="AF167">
        <f>VLOOKUP($AC167,'2017 Seattle Tracts'!$C$2:$Z$399,AF$1,FALSE)*AA167</f>
        <v>0.16471388255713568</v>
      </c>
      <c r="AG167">
        <f>VLOOKUP($AC167,'2017 Seattle Tracts'!$C$2:$Z$399,AG$1,FALSE)*AA167</f>
        <v>1.4697267362091555</v>
      </c>
      <c r="AH167">
        <f>VLOOKUP($AC167,'2017 Seattle Tracts'!$C$2:$Z$399,AH$1,FALSE)*AA167</f>
        <v>1.3050128536520198</v>
      </c>
      <c r="AI167">
        <f>VLOOKUP($AC167,'2017 Seattle Tracts'!$C$2:$Z$399,AI$1,FALSE)*AA167</f>
        <v>0.16471388255713568</v>
      </c>
      <c r="AJ167">
        <f>VLOOKUP($AC167,'2017 Seattle Tracts'!$C$2:$Z$399,AJ$1,FALSE)*AA167</f>
        <v>1.1196190342980632</v>
      </c>
      <c r="AK167">
        <f>VLOOKUP($AC167,'2017 Seattle Tracts'!$C$2:$Z$399,AK$1,FALSE)*AA167</f>
        <v>0.11900033805889978</v>
      </c>
      <c r="AL167">
        <f>VLOOKUP($AC167,'2017 Seattle Tracts'!$C$2:$Z$399,AL$1,FALSE)*AA167</f>
        <v>2.7936054971144157E-2</v>
      </c>
      <c r="AM167">
        <f>VLOOKUP($AC167,'2017 Seattle Tracts'!$C$2:$Z$399,AM$1,FALSE)*AA167</f>
        <v>3.6280590871615786E-3</v>
      </c>
      <c r="AN167">
        <f>VLOOKUP($AC167,'2017 Seattle Tracts'!$C$2:$Z$399,AN$1,FALSE)*AA167</f>
        <v>9.7957595353362625E-3</v>
      </c>
      <c r="AO167">
        <f>VLOOKUP($AC167,'2017 Seattle Tracts'!$C$2:$Z$399,AO$1,FALSE)*AA167</f>
        <v>4.353670904593895E-3</v>
      </c>
      <c r="AP167">
        <f>VLOOKUP($AC167,'2017 Seattle Tracts'!$C$2:$Z$399,AP$1,FALSE)*AA167</f>
        <v>3.6280590871615788E-4</v>
      </c>
      <c r="AQ167">
        <f>VLOOKUP($AC167,'2017 Seattle Tracts'!$C$2:$Z$399,AQ$1,FALSE)*AA167</f>
        <v>0</v>
      </c>
      <c r="AR167">
        <f>VLOOKUP($AC167,'2017 Seattle Tracts'!$C$2:$Z$399,AR$1,FALSE)*AA167</f>
        <v>7.401240537809621E-2</v>
      </c>
      <c r="AS167">
        <f>VLOOKUP($AC167,'2017 Seattle Tracts'!$C$2:$Z$399,AS$1,FALSE)*AA167</f>
        <v>3.7731814506480423E-2</v>
      </c>
      <c r="AT167">
        <f>VLOOKUP($AC167,'2017 Seattle Tracts'!$C$2:$Z$399,AT$1,FALSE)*AA167</f>
        <v>3.9908649958777364E-3</v>
      </c>
      <c r="AU167">
        <f>VLOOKUP($AC167,'2017 Seattle Tracts'!$C$2:$Z$399,AU$1,FALSE)*AA167</f>
        <v>0</v>
      </c>
      <c r="AV167">
        <f>VLOOKUP($AC167,'2017 Seattle Tracts'!$C$2:$Z$399,AV$1,FALSE)*AA167</f>
        <v>2.9024472697292631E-3</v>
      </c>
      <c r="AW167">
        <f>VLOOKUP($AC167,'2017 Seattle Tracts'!$C$2:$Z$399,AW$1,FALSE)*AA167</f>
        <v>0</v>
      </c>
      <c r="AX167">
        <f>VLOOKUP($AC167,'2017 Seattle Tracts'!$C$2:$Z$399,AX$1,FALSE)*AA167</f>
        <v>6.6393481295056886E-2</v>
      </c>
      <c r="AY167">
        <f>VLOOKUP($AC167,'2017 Seattle Tracts'!$C$2:$Z$399,AY$1,FALSE)*AA167</f>
        <v>0</v>
      </c>
    </row>
    <row r="168" spans="1:51" x14ac:dyDescent="0.25">
      <c r="A168" t="s">
        <v>2917</v>
      </c>
      <c r="B168" t="s">
        <v>2918</v>
      </c>
      <c r="C168" t="s">
        <v>3047</v>
      </c>
      <c r="D168" t="s">
        <v>2722</v>
      </c>
      <c r="E168" t="s">
        <v>2723</v>
      </c>
      <c r="F168" t="s">
        <v>2724</v>
      </c>
      <c r="G168" t="s">
        <v>2920</v>
      </c>
      <c r="H168" t="s">
        <v>2921</v>
      </c>
      <c r="I168">
        <v>1284759</v>
      </c>
      <c r="J168">
        <v>0</v>
      </c>
      <c r="K168" t="s">
        <v>3048</v>
      </c>
      <c r="L168" t="s">
        <v>3049</v>
      </c>
      <c r="M168">
        <v>1284761</v>
      </c>
      <c r="N168">
        <v>34</v>
      </c>
      <c r="O168">
        <v>25387.706999999999</v>
      </c>
      <c r="P168" t="s">
        <v>122</v>
      </c>
      <c r="Q168">
        <v>6</v>
      </c>
      <c r="R168">
        <v>9</v>
      </c>
      <c r="S168">
        <v>24</v>
      </c>
      <c r="T168">
        <v>37314628</v>
      </c>
      <c r="U168">
        <v>36</v>
      </c>
      <c r="V168">
        <v>123</v>
      </c>
      <c r="W168">
        <v>25387.707496248549</v>
      </c>
      <c r="X168">
        <v>37314629.789188273</v>
      </c>
      <c r="Y168">
        <v>2527.5819999999999</v>
      </c>
      <c r="Z168">
        <f>VLOOKUP($AC168,'2017 Seattle Tracts'!$C$2:$Z$399,24,FALSE)</f>
        <v>1284761.325</v>
      </c>
      <c r="AA168">
        <f t="shared" si="5"/>
        <v>1.9673552984637048E-3</v>
      </c>
      <c r="AB168" t="s">
        <v>125</v>
      </c>
      <c r="AC168" t="str">
        <f t="shared" si="4"/>
        <v>Census Tract 35, King County, Washington</v>
      </c>
      <c r="AD168">
        <f>VLOOKUP($AC168,'2017 Seattle Tracts'!$C$2:$Z$399,AD$1,FALSE)*AA168</f>
        <v>7.9697563140764682</v>
      </c>
      <c r="AE168">
        <f>VLOOKUP($AC168,'2017 Seattle Tracts'!$C$2:$Z$399,AE$1,FALSE)*AA168</f>
        <v>7.0765770085739463</v>
      </c>
      <c r="AF168">
        <f>VLOOKUP($AC168,'2017 Seattle Tracts'!$C$2:$Z$399,AF$1,FALSE)*AA168</f>
        <v>0.893179305502522</v>
      </c>
      <c r="AG168">
        <f>VLOOKUP($AC168,'2017 Seattle Tracts'!$C$2:$Z$399,AG$1,FALSE)*AA168</f>
        <v>7.9697563140764682</v>
      </c>
      <c r="AH168">
        <f>VLOOKUP($AC168,'2017 Seattle Tracts'!$C$2:$Z$399,AH$1,FALSE)*AA168</f>
        <v>7.0765770085739463</v>
      </c>
      <c r="AI168">
        <f>VLOOKUP($AC168,'2017 Seattle Tracts'!$C$2:$Z$399,AI$1,FALSE)*AA168</f>
        <v>0.893179305502522</v>
      </c>
      <c r="AJ168">
        <f>VLOOKUP($AC168,'2017 Seattle Tracts'!$C$2:$Z$399,AJ$1,FALSE)*AA168</f>
        <v>6.0712584510589931</v>
      </c>
      <c r="AK168">
        <f>VLOOKUP($AC168,'2017 Seattle Tracts'!$C$2:$Z$399,AK$1,FALSE)*AA168</f>
        <v>0.6452925378960952</v>
      </c>
      <c r="AL168">
        <f>VLOOKUP($AC168,'2017 Seattle Tracts'!$C$2:$Z$399,AL$1,FALSE)*AA168</f>
        <v>0.15148635798170526</v>
      </c>
      <c r="AM168">
        <f>VLOOKUP($AC168,'2017 Seattle Tracts'!$C$2:$Z$399,AM$1,FALSE)*AA168</f>
        <v>1.9673552984637049E-2</v>
      </c>
      <c r="AN168">
        <f>VLOOKUP($AC168,'2017 Seattle Tracts'!$C$2:$Z$399,AN$1,FALSE)*AA168</f>
        <v>5.3118593058520028E-2</v>
      </c>
      <c r="AO168">
        <f>VLOOKUP($AC168,'2017 Seattle Tracts'!$C$2:$Z$399,AO$1,FALSE)*AA168</f>
        <v>2.3608263581564457E-2</v>
      </c>
      <c r="AP168">
        <f>VLOOKUP($AC168,'2017 Seattle Tracts'!$C$2:$Z$399,AP$1,FALSE)*AA168</f>
        <v>1.9673552984637048E-3</v>
      </c>
      <c r="AQ168">
        <f>VLOOKUP($AC168,'2017 Seattle Tracts'!$C$2:$Z$399,AQ$1,FALSE)*AA168</f>
        <v>0</v>
      </c>
      <c r="AR168">
        <f>VLOOKUP($AC168,'2017 Seattle Tracts'!$C$2:$Z$399,AR$1,FALSE)*AA168</f>
        <v>0.4013404808865958</v>
      </c>
      <c r="AS168">
        <f>VLOOKUP($AC168,'2017 Seattle Tracts'!$C$2:$Z$399,AS$1,FALSE)*AA168</f>
        <v>0.2046049510402253</v>
      </c>
      <c r="AT168">
        <f>VLOOKUP($AC168,'2017 Seattle Tracts'!$C$2:$Z$399,AT$1,FALSE)*AA168</f>
        <v>2.1640908283100752E-2</v>
      </c>
      <c r="AU168">
        <f>VLOOKUP($AC168,'2017 Seattle Tracts'!$C$2:$Z$399,AU$1,FALSE)*AA168</f>
        <v>0</v>
      </c>
      <c r="AV168">
        <f>VLOOKUP($AC168,'2017 Seattle Tracts'!$C$2:$Z$399,AV$1,FALSE)*AA168</f>
        <v>1.5738842387709638E-2</v>
      </c>
      <c r="AW168">
        <f>VLOOKUP($AC168,'2017 Seattle Tracts'!$C$2:$Z$399,AW$1,FALSE)*AA168</f>
        <v>0</v>
      </c>
      <c r="AX168">
        <f>VLOOKUP($AC168,'2017 Seattle Tracts'!$C$2:$Z$399,AX$1,FALSE)*AA168</f>
        <v>0.360026019618858</v>
      </c>
      <c r="AY168">
        <f>VLOOKUP($AC168,'2017 Seattle Tracts'!$C$2:$Z$399,AY$1,FALSE)*AA168</f>
        <v>0</v>
      </c>
    </row>
    <row r="169" spans="1:51" x14ac:dyDescent="0.25">
      <c r="A169" t="s">
        <v>2917</v>
      </c>
      <c r="B169" t="s">
        <v>2918</v>
      </c>
      <c r="C169" t="s">
        <v>3050</v>
      </c>
      <c r="D169" t="s">
        <v>2704</v>
      </c>
      <c r="E169" t="s">
        <v>2705</v>
      </c>
      <c r="F169" t="s">
        <v>2706</v>
      </c>
      <c r="G169" t="s">
        <v>2920</v>
      </c>
      <c r="H169" t="s">
        <v>2921</v>
      </c>
      <c r="I169">
        <v>2605311</v>
      </c>
      <c r="J169">
        <v>3516386</v>
      </c>
      <c r="K169" t="s">
        <v>3051</v>
      </c>
      <c r="L169" t="s">
        <v>3052</v>
      </c>
      <c r="M169">
        <v>2470184</v>
      </c>
      <c r="N169">
        <v>35</v>
      </c>
      <c r="O169">
        <v>22657.039000000001</v>
      </c>
      <c r="P169" t="s">
        <v>122</v>
      </c>
      <c r="Q169">
        <v>4</v>
      </c>
      <c r="R169">
        <v>5</v>
      </c>
      <c r="S169">
        <v>94</v>
      </c>
      <c r="T169">
        <v>25612980</v>
      </c>
      <c r="U169">
        <v>37</v>
      </c>
      <c r="V169">
        <v>119</v>
      </c>
      <c r="W169">
        <v>22657.0394732799</v>
      </c>
      <c r="X169">
        <v>25612979.943988901</v>
      </c>
      <c r="Y169">
        <v>704172.22400000005</v>
      </c>
      <c r="Z169">
        <f>VLOOKUP($AC169,'2017 Seattle Tracts'!$C$2:$Z$399,24,FALSE)</f>
        <v>2470184.176</v>
      </c>
      <c r="AA169">
        <f t="shared" si="5"/>
        <v>0.28506871303024656</v>
      </c>
      <c r="AB169" t="s">
        <v>126</v>
      </c>
      <c r="AC169" t="str">
        <f t="shared" si="4"/>
        <v>Census Tract 40, King County, Washington</v>
      </c>
      <c r="AD169">
        <f>VLOOKUP($AC169,'2017 Seattle Tracts'!$C$2:$Z$399,AD$1,FALSE)*AA169</f>
        <v>911.64974427072843</v>
      </c>
      <c r="AE169">
        <f>VLOOKUP($AC169,'2017 Seattle Tracts'!$C$2:$Z$399,AE$1,FALSE)*AA169</f>
        <v>765.69456319924222</v>
      </c>
      <c r="AF169">
        <f>VLOOKUP($AC169,'2017 Seattle Tracts'!$C$2:$Z$399,AF$1,FALSE)*AA169</f>
        <v>145.95518107148624</v>
      </c>
      <c r="AG169">
        <f>VLOOKUP($AC169,'2017 Seattle Tracts'!$C$2:$Z$399,AG$1,FALSE)*AA169</f>
        <v>911.64974427072843</v>
      </c>
      <c r="AH169">
        <f>VLOOKUP($AC169,'2017 Seattle Tracts'!$C$2:$Z$399,AH$1,FALSE)*AA169</f>
        <v>765.69456319924222</v>
      </c>
      <c r="AI169">
        <f>VLOOKUP($AC169,'2017 Seattle Tracts'!$C$2:$Z$399,AI$1,FALSE)*AA169</f>
        <v>145.95518107148624</v>
      </c>
      <c r="AJ169">
        <f>VLOOKUP($AC169,'2017 Seattle Tracts'!$C$2:$Z$399,AJ$1,FALSE)*AA169</f>
        <v>586.10127399018688</v>
      </c>
      <c r="AK169">
        <f>VLOOKUP($AC169,'2017 Seattle Tracts'!$C$2:$Z$399,AK$1,FALSE)*AA169</f>
        <v>45.040856658778957</v>
      </c>
      <c r="AL169">
        <f>VLOOKUP($AC169,'2017 Seattle Tracts'!$C$2:$Z$399,AL$1,FALSE)*AA169</f>
        <v>11.402748521209862</v>
      </c>
      <c r="AM169">
        <f>VLOOKUP($AC169,'2017 Seattle Tracts'!$C$2:$Z$399,AM$1,FALSE)*AA169</f>
        <v>2.2805497042419725</v>
      </c>
      <c r="AN169">
        <f>VLOOKUP($AC169,'2017 Seattle Tracts'!$C$2:$Z$399,AN$1,FALSE)*AA169</f>
        <v>89.796644604527671</v>
      </c>
      <c r="AO169">
        <f>VLOOKUP($AC169,'2017 Seattle Tracts'!$C$2:$Z$399,AO$1,FALSE)*AA169</f>
        <v>19.954809912117259</v>
      </c>
      <c r="AP169">
        <f>VLOOKUP($AC169,'2017 Seattle Tracts'!$C$2:$Z$399,AP$1,FALSE)*AA169</f>
        <v>0</v>
      </c>
      <c r="AQ169">
        <f>VLOOKUP($AC169,'2017 Seattle Tracts'!$C$2:$Z$399,AQ$1,FALSE)*AA169</f>
        <v>0</v>
      </c>
      <c r="AR169">
        <f>VLOOKUP($AC169,'2017 Seattle Tracts'!$C$2:$Z$399,AR$1,FALSE)*AA169</f>
        <v>15.393710503633313</v>
      </c>
      <c r="AS169">
        <f>VLOOKUP($AC169,'2017 Seattle Tracts'!$C$2:$Z$399,AS$1,FALSE)*AA169</f>
        <v>69.271697266349918</v>
      </c>
      <c r="AT169">
        <f>VLOOKUP($AC169,'2017 Seattle Tracts'!$C$2:$Z$399,AT$1,FALSE)*AA169</f>
        <v>0</v>
      </c>
      <c r="AU169">
        <f>VLOOKUP($AC169,'2017 Seattle Tracts'!$C$2:$Z$399,AU$1,FALSE)*AA169</f>
        <v>0</v>
      </c>
      <c r="AV169">
        <f>VLOOKUP($AC169,'2017 Seattle Tracts'!$C$2:$Z$399,AV$1,FALSE)*AA169</f>
        <v>7.4117865387864104</v>
      </c>
      <c r="AW169">
        <f>VLOOKUP($AC169,'2017 Seattle Tracts'!$C$2:$Z$399,AW$1,FALSE)*AA169</f>
        <v>0</v>
      </c>
      <c r="AX169">
        <f>VLOOKUP($AC169,'2017 Seattle Tracts'!$C$2:$Z$399,AX$1,FALSE)*AA169</f>
        <v>55.588399040898075</v>
      </c>
      <c r="AY169">
        <f>VLOOKUP($AC169,'2017 Seattle Tracts'!$C$2:$Z$399,AY$1,FALSE)*AA169</f>
        <v>9.407267529998137</v>
      </c>
    </row>
    <row r="170" spans="1:51" x14ac:dyDescent="0.25">
      <c r="A170" t="s">
        <v>2917</v>
      </c>
      <c r="B170" t="s">
        <v>2918</v>
      </c>
      <c r="C170" t="s">
        <v>3050</v>
      </c>
      <c r="D170" t="s">
        <v>2704</v>
      </c>
      <c r="E170" t="s">
        <v>2705</v>
      </c>
      <c r="F170" t="s">
        <v>2706</v>
      </c>
      <c r="G170" t="s">
        <v>2920</v>
      </c>
      <c r="H170" t="s">
        <v>2921</v>
      </c>
      <c r="I170">
        <v>2605311</v>
      </c>
      <c r="J170">
        <v>3516386</v>
      </c>
      <c r="K170" t="s">
        <v>3051</v>
      </c>
      <c r="L170" t="s">
        <v>3052</v>
      </c>
      <c r="M170">
        <v>2470184</v>
      </c>
      <c r="N170">
        <v>37</v>
      </c>
      <c r="O170">
        <v>21396.695</v>
      </c>
      <c r="P170" t="s">
        <v>122</v>
      </c>
      <c r="Q170">
        <v>4</v>
      </c>
      <c r="R170">
        <v>5</v>
      </c>
      <c r="S170">
        <v>19</v>
      </c>
      <c r="T170">
        <v>19249858</v>
      </c>
      <c r="U170">
        <v>39</v>
      </c>
      <c r="V170">
        <v>196</v>
      </c>
      <c r="W170">
        <v>21396.695800864782</v>
      </c>
      <c r="X170">
        <v>19249857.13974366</v>
      </c>
      <c r="Y170">
        <v>1762394.6370000001</v>
      </c>
      <c r="Z170">
        <f>VLOOKUP($AC170,'2017 Seattle Tracts'!$C$2:$Z$399,24,FALSE)</f>
        <v>2470184.176</v>
      </c>
      <c r="AA170">
        <f t="shared" si="5"/>
        <v>0.71346689616232084</v>
      </c>
      <c r="AB170" t="s">
        <v>128</v>
      </c>
      <c r="AC170" t="str">
        <f t="shared" si="4"/>
        <v>Census Tract 40, King County, Washington</v>
      </c>
      <c r="AD170">
        <f>VLOOKUP($AC170,'2017 Seattle Tracts'!$C$2:$Z$399,AD$1,FALSE)*AA170</f>
        <v>2281.667133927102</v>
      </c>
      <c r="AE170">
        <f>VLOOKUP($AC170,'2017 Seattle Tracts'!$C$2:$Z$399,AE$1,FALSE)*AA170</f>
        <v>1916.3720830919938</v>
      </c>
      <c r="AF170">
        <f>VLOOKUP($AC170,'2017 Seattle Tracts'!$C$2:$Z$399,AF$1,FALSE)*AA170</f>
        <v>365.29505083510827</v>
      </c>
      <c r="AG170">
        <f>VLOOKUP($AC170,'2017 Seattle Tracts'!$C$2:$Z$399,AG$1,FALSE)*AA170</f>
        <v>2281.667133927102</v>
      </c>
      <c r="AH170">
        <f>VLOOKUP($AC170,'2017 Seattle Tracts'!$C$2:$Z$399,AH$1,FALSE)*AA170</f>
        <v>1916.3720830919938</v>
      </c>
      <c r="AI170">
        <f>VLOOKUP($AC170,'2017 Seattle Tracts'!$C$2:$Z$399,AI$1,FALSE)*AA170</f>
        <v>365.29505083510827</v>
      </c>
      <c r="AJ170">
        <f>VLOOKUP($AC170,'2017 Seattle Tracts'!$C$2:$Z$399,AJ$1,FALSE)*AA170</f>
        <v>1466.8879385097316</v>
      </c>
      <c r="AK170">
        <f>VLOOKUP($AC170,'2017 Seattle Tracts'!$C$2:$Z$399,AK$1,FALSE)*AA170</f>
        <v>112.7277695936467</v>
      </c>
      <c r="AL170">
        <f>VLOOKUP($AC170,'2017 Seattle Tracts'!$C$2:$Z$399,AL$1,FALSE)*AA170</f>
        <v>28.538675846492833</v>
      </c>
      <c r="AM170">
        <f>VLOOKUP($AC170,'2017 Seattle Tracts'!$C$2:$Z$399,AM$1,FALSE)*AA170</f>
        <v>5.7077351692985667</v>
      </c>
      <c r="AN170">
        <f>VLOOKUP($AC170,'2017 Seattle Tracts'!$C$2:$Z$399,AN$1,FALSE)*AA170</f>
        <v>224.74207229113105</v>
      </c>
      <c r="AO170">
        <f>VLOOKUP($AC170,'2017 Seattle Tracts'!$C$2:$Z$399,AO$1,FALSE)*AA170</f>
        <v>49.94268273136246</v>
      </c>
      <c r="AP170">
        <f>VLOOKUP($AC170,'2017 Seattle Tracts'!$C$2:$Z$399,AP$1,FALSE)*AA170</f>
        <v>0</v>
      </c>
      <c r="AQ170">
        <f>VLOOKUP($AC170,'2017 Seattle Tracts'!$C$2:$Z$399,AQ$1,FALSE)*AA170</f>
        <v>0</v>
      </c>
      <c r="AR170">
        <f>VLOOKUP($AC170,'2017 Seattle Tracts'!$C$2:$Z$399,AR$1,FALSE)*AA170</f>
        <v>38.527212392765328</v>
      </c>
      <c r="AS170">
        <f>VLOOKUP($AC170,'2017 Seattle Tracts'!$C$2:$Z$399,AS$1,FALSE)*AA170</f>
        <v>173.37245576744397</v>
      </c>
      <c r="AT170">
        <f>VLOOKUP($AC170,'2017 Seattle Tracts'!$C$2:$Z$399,AT$1,FALSE)*AA170</f>
        <v>0</v>
      </c>
      <c r="AU170">
        <f>VLOOKUP($AC170,'2017 Seattle Tracts'!$C$2:$Z$399,AU$1,FALSE)*AA170</f>
        <v>0</v>
      </c>
      <c r="AV170">
        <f>VLOOKUP($AC170,'2017 Seattle Tracts'!$C$2:$Z$399,AV$1,FALSE)*AA170</f>
        <v>18.550139300220341</v>
      </c>
      <c r="AW170">
        <f>VLOOKUP($AC170,'2017 Seattle Tracts'!$C$2:$Z$399,AW$1,FALSE)*AA170</f>
        <v>0</v>
      </c>
      <c r="AX170">
        <f>VLOOKUP($AC170,'2017 Seattle Tracts'!$C$2:$Z$399,AX$1,FALSE)*AA170</f>
        <v>139.12604475165256</v>
      </c>
      <c r="AY170">
        <f>VLOOKUP($AC170,'2017 Seattle Tracts'!$C$2:$Z$399,AY$1,FALSE)*AA170</f>
        <v>23.544407573356587</v>
      </c>
    </row>
    <row r="171" spans="1:51" x14ac:dyDescent="0.25">
      <c r="A171" t="s">
        <v>2917</v>
      </c>
      <c r="B171" t="s">
        <v>2918</v>
      </c>
      <c r="C171" t="s">
        <v>3050</v>
      </c>
      <c r="D171" t="s">
        <v>2704</v>
      </c>
      <c r="E171" t="s">
        <v>2705</v>
      </c>
      <c r="F171" t="s">
        <v>2706</v>
      </c>
      <c r="G171" t="s">
        <v>2920</v>
      </c>
      <c r="H171" t="s">
        <v>2921</v>
      </c>
      <c r="I171">
        <v>2605311</v>
      </c>
      <c r="J171">
        <v>3516386</v>
      </c>
      <c r="K171" t="s">
        <v>3051</v>
      </c>
      <c r="L171" t="s">
        <v>3052</v>
      </c>
      <c r="M171">
        <v>2470184</v>
      </c>
      <c r="N171">
        <v>39</v>
      </c>
      <c r="O171">
        <v>33332.828000000001</v>
      </c>
      <c r="P171" t="s">
        <v>122</v>
      </c>
      <c r="Q171">
        <v>4</v>
      </c>
      <c r="R171">
        <v>5</v>
      </c>
      <c r="S171">
        <v>23</v>
      </c>
      <c r="T171">
        <v>22363966</v>
      </c>
      <c r="U171">
        <v>41</v>
      </c>
      <c r="V171">
        <v>131</v>
      </c>
      <c r="W171">
        <v>33332.829196830411</v>
      </c>
      <c r="X171">
        <v>22363966.623789791</v>
      </c>
      <c r="Y171">
        <v>2102.5410000000002</v>
      </c>
      <c r="Z171">
        <f>VLOOKUP($AC171,'2017 Seattle Tracts'!$C$2:$Z$399,24,FALSE)</f>
        <v>2470184.176</v>
      </c>
      <c r="AA171">
        <f t="shared" si="5"/>
        <v>8.511677066139542E-4</v>
      </c>
      <c r="AB171" t="s">
        <v>130</v>
      </c>
      <c r="AC171" t="str">
        <f t="shared" si="4"/>
        <v>Census Tract 40, King County, Washington</v>
      </c>
      <c r="AD171">
        <f>VLOOKUP($AC171,'2017 Seattle Tracts'!$C$2:$Z$399,AD$1,FALSE)*AA171</f>
        <v>2.7220343257514257</v>
      </c>
      <c r="AE171">
        <f>VLOOKUP($AC171,'2017 Seattle Tracts'!$C$2:$Z$399,AE$1,FALSE)*AA171</f>
        <v>2.2862364599650808</v>
      </c>
      <c r="AF171">
        <f>VLOOKUP($AC171,'2017 Seattle Tracts'!$C$2:$Z$399,AF$1,FALSE)*AA171</f>
        <v>0.43579786578634455</v>
      </c>
      <c r="AG171">
        <f>VLOOKUP($AC171,'2017 Seattle Tracts'!$C$2:$Z$399,AG$1,FALSE)*AA171</f>
        <v>2.7220343257514257</v>
      </c>
      <c r="AH171">
        <f>VLOOKUP($AC171,'2017 Seattle Tracts'!$C$2:$Z$399,AH$1,FALSE)*AA171</f>
        <v>2.2862364599650808</v>
      </c>
      <c r="AI171">
        <f>VLOOKUP($AC171,'2017 Seattle Tracts'!$C$2:$Z$399,AI$1,FALSE)*AA171</f>
        <v>0.43579786578634455</v>
      </c>
      <c r="AJ171">
        <f>VLOOKUP($AC171,'2017 Seattle Tracts'!$C$2:$Z$399,AJ$1,FALSE)*AA171</f>
        <v>1.7500008047982898</v>
      </c>
      <c r="AK171">
        <f>VLOOKUP($AC171,'2017 Seattle Tracts'!$C$2:$Z$399,AK$1,FALSE)*AA171</f>
        <v>0.13448449764500475</v>
      </c>
      <c r="AL171">
        <f>VLOOKUP($AC171,'2017 Seattle Tracts'!$C$2:$Z$399,AL$1,FALSE)*AA171</f>
        <v>3.4046708264558169E-2</v>
      </c>
      <c r="AM171">
        <f>VLOOKUP($AC171,'2017 Seattle Tracts'!$C$2:$Z$399,AM$1,FALSE)*AA171</f>
        <v>6.8093416529116336E-3</v>
      </c>
      <c r="AN171">
        <f>VLOOKUP($AC171,'2017 Seattle Tracts'!$C$2:$Z$399,AN$1,FALSE)*AA171</f>
        <v>0.26811782758339558</v>
      </c>
      <c r="AO171">
        <f>VLOOKUP($AC171,'2017 Seattle Tracts'!$C$2:$Z$399,AO$1,FALSE)*AA171</f>
        <v>5.9581739462976797E-2</v>
      </c>
      <c r="AP171">
        <f>VLOOKUP($AC171,'2017 Seattle Tracts'!$C$2:$Z$399,AP$1,FALSE)*AA171</f>
        <v>0</v>
      </c>
      <c r="AQ171">
        <f>VLOOKUP($AC171,'2017 Seattle Tracts'!$C$2:$Z$399,AQ$1,FALSE)*AA171</f>
        <v>0</v>
      </c>
      <c r="AR171">
        <f>VLOOKUP($AC171,'2017 Seattle Tracts'!$C$2:$Z$399,AR$1,FALSE)*AA171</f>
        <v>4.5963056157153528E-2</v>
      </c>
      <c r="AS171">
        <f>VLOOKUP($AC171,'2017 Seattle Tracts'!$C$2:$Z$399,AS$1,FALSE)*AA171</f>
        <v>0.20683375270719087</v>
      </c>
      <c r="AT171">
        <f>VLOOKUP($AC171,'2017 Seattle Tracts'!$C$2:$Z$399,AT$1,FALSE)*AA171</f>
        <v>0</v>
      </c>
      <c r="AU171">
        <f>VLOOKUP($AC171,'2017 Seattle Tracts'!$C$2:$Z$399,AU$1,FALSE)*AA171</f>
        <v>0</v>
      </c>
      <c r="AV171">
        <f>VLOOKUP($AC171,'2017 Seattle Tracts'!$C$2:$Z$399,AV$1,FALSE)*AA171</f>
        <v>2.2130360371962809E-2</v>
      </c>
      <c r="AW171">
        <f>VLOOKUP($AC171,'2017 Seattle Tracts'!$C$2:$Z$399,AW$1,FALSE)*AA171</f>
        <v>0</v>
      </c>
      <c r="AX171">
        <f>VLOOKUP($AC171,'2017 Seattle Tracts'!$C$2:$Z$399,AX$1,FALSE)*AA171</f>
        <v>0.16597770278972107</v>
      </c>
      <c r="AY171">
        <f>VLOOKUP($AC171,'2017 Seattle Tracts'!$C$2:$Z$399,AY$1,FALSE)*AA171</f>
        <v>2.8088534318260489E-2</v>
      </c>
    </row>
    <row r="172" spans="1:51" x14ac:dyDescent="0.25">
      <c r="A172" t="s">
        <v>2917</v>
      </c>
      <c r="B172" t="s">
        <v>2918</v>
      </c>
      <c r="C172" t="s">
        <v>3053</v>
      </c>
      <c r="D172" t="s">
        <v>2701</v>
      </c>
      <c r="E172" t="s">
        <v>2702</v>
      </c>
      <c r="F172" t="s">
        <v>2703</v>
      </c>
      <c r="G172" t="s">
        <v>2920</v>
      </c>
      <c r="H172" t="s">
        <v>2921</v>
      </c>
      <c r="I172">
        <v>3262543</v>
      </c>
      <c r="J172">
        <v>5317813</v>
      </c>
      <c r="K172" t="s">
        <v>3054</v>
      </c>
      <c r="L172" t="s">
        <v>3055</v>
      </c>
      <c r="M172">
        <v>3203617</v>
      </c>
      <c r="N172">
        <v>35</v>
      </c>
      <c r="O172">
        <v>22657.039000000001</v>
      </c>
      <c r="P172" t="s">
        <v>122</v>
      </c>
      <c r="Q172">
        <v>4</v>
      </c>
      <c r="R172">
        <v>5</v>
      </c>
      <c r="S172">
        <v>94</v>
      </c>
      <c r="T172">
        <v>25612980</v>
      </c>
      <c r="U172">
        <v>37</v>
      </c>
      <c r="V172">
        <v>119</v>
      </c>
      <c r="W172">
        <v>22657.0394732799</v>
      </c>
      <c r="X172">
        <v>25612979.943988901</v>
      </c>
      <c r="Y172">
        <v>0.91500000000000004</v>
      </c>
      <c r="Z172">
        <f>VLOOKUP($AC172,'2017 Seattle Tracts'!$C$2:$Z$399,24,FALSE)</f>
        <v>3203616.6949999998</v>
      </c>
      <c r="AA172">
        <f t="shared" si="5"/>
        <v>2.8561469336455684E-7</v>
      </c>
      <c r="AB172" t="s">
        <v>126</v>
      </c>
      <c r="AC172" t="str">
        <f t="shared" si="4"/>
        <v>Census Tract 41, King County, Washington</v>
      </c>
      <c r="AD172">
        <f>VLOOKUP($AC172,'2017 Seattle Tracts'!$C$2:$Z$399,AD$1,FALSE)*AA172</f>
        <v>2.2620683714472904E-3</v>
      </c>
      <c r="AE172">
        <f>VLOOKUP($AC172,'2017 Seattle Tracts'!$C$2:$Z$399,AE$1,FALSE)*AA172</f>
        <v>1.8796302970321486E-3</v>
      </c>
      <c r="AF172">
        <f>VLOOKUP($AC172,'2017 Seattle Tracts'!$C$2:$Z$399,AF$1,FALSE)*AA172</f>
        <v>3.8243807441514161E-4</v>
      </c>
      <c r="AG172">
        <f>VLOOKUP($AC172,'2017 Seattle Tracts'!$C$2:$Z$399,AG$1,FALSE)*AA172</f>
        <v>2.2620683714472904E-3</v>
      </c>
      <c r="AH172">
        <f>VLOOKUP($AC172,'2017 Seattle Tracts'!$C$2:$Z$399,AH$1,FALSE)*AA172</f>
        <v>1.8796302970321486E-3</v>
      </c>
      <c r="AI172">
        <f>VLOOKUP($AC172,'2017 Seattle Tracts'!$C$2:$Z$399,AI$1,FALSE)*AA172</f>
        <v>3.8243807441514161E-4</v>
      </c>
      <c r="AJ172">
        <f>VLOOKUP($AC172,'2017 Seattle Tracts'!$C$2:$Z$399,AJ$1,FALSE)*AA172</f>
        <v>1.6856979202376145E-3</v>
      </c>
      <c r="AK172">
        <f>VLOOKUP($AC172,'2017 Seattle Tracts'!$C$2:$Z$399,AK$1,FALSE)*AA172</f>
        <v>1.6422844868462018E-4</v>
      </c>
      <c r="AL172">
        <f>VLOOKUP($AC172,'2017 Seattle Tracts'!$C$2:$Z$399,AL$1,FALSE)*AA172</f>
        <v>1.1995817121311387E-5</v>
      </c>
      <c r="AM172">
        <f>VLOOKUP($AC172,'2017 Seattle Tracts'!$C$2:$Z$399,AM$1,FALSE)*AA172</f>
        <v>1.3995119974863285E-5</v>
      </c>
      <c r="AN172">
        <f>VLOOKUP($AC172,'2017 Seattle Tracts'!$C$2:$Z$399,AN$1,FALSE)*AA172</f>
        <v>1.999302853551898E-6</v>
      </c>
      <c r="AO172">
        <f>VLOOKUP($AC172,'2017 Seattle Tracts'!$C$2:$Z$399,AO$1,FALSE)*AA172</f>
        <v>2.8561469336455684E-7</v>
      </c>
      <c r="AP172">
        <f>VLOOKUP($AC172,'2017 Seattle Tracts'!$C$2:$Z$399,AP$1,FALSE)*AA172</f>
        <v>0</v>
      </c>
      <c r="AQ172">
        <f>VLOOKUP($AC172,'2017 Seattle Tracts'!$C$2:$Z$399,AQ$1,FALSE)*AA172</f>
        <v>0</v>
      </c>
      <c r="AR172">
        <f>VLOOKUP($AC172,'2017 Seattle Tracts'!$C$2:$Z$399,AR$1,FALSE)*AA172</f>
        <v>7.4545434968149334E-5</v>
      </c>
      <c r="AS172">
        <f>VLOOKUP($AC172,'2017 Seattle Tracts'!$C$2:$Z$399,AS$1,FALSE)*AA172</f>
        <v>2.0364327636892903E-4</v>
      </c>
      <c r="AT172">
        <f>VLOOKUP($AC172,'2017 Seattle Tracts'!$C$2:$Z$399,AT$1,FALSE)*AA172</f>
        <v>4.5698350938329095E-6</v>
      </c>
      <c r="AU172">
        <f>VLOOKUP($AC172,'2017 Seattle Tracts'!$C$2:$Z$399,AU$1,FALSE)*AA172</f>
        <v>0</v>
      </c>
      <c r="AV172">
        <f>VLOOKUP($AC172,'2017 Seattle Tracts'!$C$2:$Z$399,AV$1,FALSE)*AA172</f>
        <v>0</v>
      </c>
      <c r="AW172">
        <f>VLOOKUP($AC172,'2017 Seattle Tracts'!$C$2:$Z$399,AW$1,FALSE)*AA172</f>
        <v>2.8561469336455684E-7</v>
      </c>
      <c r="AX172">
        <f>VLOOKUP($AC172,'2017 Seattle Tracts'!$C$2:$Z$399,AX$1,FALSE)*AA172</f>
        <v>1.0082198675768857E-4</v>
      </c>
      <c r="AY172">
        <f>VLOOKUP($AC172,'2017 Seattle Tracts'!$C$2:$Z$399,AY$1,FALSE)*AA172</f>
        <v>0</v>
      </c>
    </row>
    <row r="173" spans="1:51" x14ac:dyDescent="0.25">
      <c r="A173" t="s">
        <v>2917</v>
      </c>
      <c r="B173" t="s">
        <v>2918</v>
      </c>
      <c r="C173" t="s">
        <v>3053</v>
      </c>
      <c r="D173" t="s">
        <v>2701</v>
      </c>
      <c r="E173" t="s">
        <v>2702</v>
      </c>
      <c r="F173" t="s">
        <v>2703</v>
      </c>
      <c r="G173" t="s">
        <v>2920</v>
      </c>
      <c r="H173" t="s">
        <v>2921</v>
      </c>
      <c r="I173">
        <v>3262543</v>
      </c>
      <c r="J173">
        <v>5317813</v>
      </c>
      <c r="K173" t="s">
        <v>3054</v>
      </c>
      <c r="L173" t="s">
        <v>3055</v>
      </c>
      <c r="M173">
        <v>3203617</v>
      </c>
      <c r="N173">
        <v>37</v>
      </c>
      <c r="O173">
        <v>21396.695</v>
      </c>
      <c r="P173" t="s">
        <v>122</v>
      </c>
      <c r="Q173">
        <v>4</v>
      </c>
      <c r="R173">
        <v>5</v>
      </c>
      <c r="S173">
        <v>19</v>
      </c>
      <c r="T173">
        <v>19249858</v>
      </c>
      <c r="U173">
        <v>39</v>
      </c>
      <c r="V173">
        <v>196</v>
      </c>
      <c r="W173">
        <v>21396.695800864782</v>
      </c>
      <c r="X173">
        <v>19249857.13974366</v>
      </c>
      <c r="Y173">
        <v>12165.539000000001</v>
      </c>
      <c r="Z173">
        <f>VLOOKUP($AC173,'2017 Seattle Tracts'!$C$2:$Z$399,24,FALSE)</f>
        <v>3203616.6949999998</v>
      </c>
      <c r="AA173">
        <f t="shared" si="5"/>
        <v>3.7974390066661833E-3</v>
      </c>
      <c r="AB173" t="s">
        <v>128</v>
      </c>
      <c r="AC173" t="str">
        <f t="shared" si="4"/>
        <v>Census Tract 41, King County, Washington</v>
      </c>
      <c r="AD173">
        <f>VLOOKUP($AC173,'2017 Seattle Tracts'!$C$2:$Z$399,AD$1,FALSE)*AA173</f>
        <v>30.075716932796173</v>
      </c>
      <c r="AE173">
        <f>VLOOKUP($AC173,'2017 Seattle Tracts'!$C$2:$Z$399,AE$1,FALSE)*AA173</f>
        <v>24.990946102870154</v>
      </c>
      <c r="AF173">
        <f>VLOOKUP($AC173,'2017 Seattle Tracts'!$C$2:$Z$399,AF$1,FALSE)*AA173</f>
        <v>5.0847708299260193</v>
      </c>
      <c r="AG173">
        <f>VLOOKUP($AC173,'2017 Seattle Tracts'!$C$2:$Z$399,AG$1,FALSE)*AA173</f>
        <v>30.075716932796173</v>
      </c>
      <c r="AH173">
        <f>VLOOKUP($AC173,'2017 Seattle Tracts'!$C$2:$Z$399,AH$1,FALSE)*AA173</f>
        <v>24.990946102870154</v>
      </c>
      <c r="AI173">
        <f>VLOOKUP($AC173,'2017 Seattle Tracts'!$C$2:$Z$399,AI$1,FALSE)*AA173</f>
        <v>5.0847708299260193</v>
      </c>
      <c r="AJ173">
        <f>VLOOKUP($AC173,'2017 Seattle Tracts'!$C$2:$Z$399,AJ$1,FALSE)*AA173</f>
        <v>22.412485017343815</v>
      </c>
      <c r="AK173">
        <f>VLOOKUP($AC173,'2017 Seattle Tracts'!$C$2:$Z$399,AK$1,FALSE)*AA173</f>
        <v>2.1835274288330555</v>
      </c>
      <c r="AL173">
        <f>VLOOKUP($AC173,'2017 Seattle Tracts'!$C$2:$Z$399,AL$1,FALSE)*AA173</f>
        <v>0.15949243827997969</v>
      </c>
      <c r="AM173">
        <f>VLOOKUP($AC173,'2017 Seattle Tracts'!$C$2:$Z$399,AM$1,FALSE)*AA173</f>
        <v>0.18607451132664299</v>
      </c>
      <c r="AN173">
        <f>VLOOKUP($AC173,'2017 Seattle Tracts'!$C$2:$Z$399,AN$1,FALSE)*AA173</f>
        <v>2.6582073046663282E-2</v>
      </c>
      <c r="AO173">
        <f>VLOOKUP($AC173,'2017 Seattle Tracts'!$C$2:$Z$399,AO$1,FALSE)*AA173</f>
        <v>3.7974390066661833E-3</v>
      </c>
      <c r="AP173">
        <f>VLOOKUP($AC173,'2017 Seattle Tracts'!$C$2:$Z$399,AP$1,FALSE)*AA173</f>
        <v>0</v>
      </c>
      <c r="AQ173">
        <f>VLOOKUP($AC173,'2017 Seattle Tracts'!$C$2:$Z$399,AQ$1,FALSE)*AA173</f>
        <v>0</v>
      </c>
      <c r="AR173">
        <f>VLOOKUP($AC173,'2017 Seattle Tracts'!$C$2:$Z$399,AR$1,FALSE)*AA173</f>
        <v>0.99113158073987384</v>
      </c>
      <c r="AS173">
        <f>VLOOKUP($AC173,'2017 Seattle Tracts'!$C$2:$Z$399,AS$1,FALSE)*AA173</f>
        <v>2.7075740117529885</v>
      </c>
      <c r="AT173">
        <f>VLOOKUP($AC173,'2017 Seattle Tracts'!$C$2:$Z$399,AT$1,FALSE)*AA173</f>
        <v>6.0759024106658933E-2</v>
      </c>
      <c r="AU173">
        <f>VLOOKUP($AC173,'2017 Seattle Tracts'!$C$2:$Z$399,AU$1,FALSE)*AA173</f>
        <v>0</v>
      </c>
      <c r="AV173">
        <f>VLOOKUP($AC173,'2017 Seattle Tracts'!$C$2:$Z$399,AV$1,FALSE)*AA173</f>
        <v>0</v>
      </c>
      <c r="AW173">
        <f>VLOOKUP($AC173,'2017 Seattle Tracts'!$C$2:$Z$399,AW$1,FALSE)*AA173</f>
        <v>3.7974390066661833E-3</v>
      </c>
      <c r="AX173">
        <f>VLOOKUP($AC173,'2017 Seattle Tracts'!$C$2:$Z$399,AX$1,FALSE)*AA173</f>
        <v>1.3404959693531626</v>
      </c>
      <c r="AY173">
        <f>VLOOKUP($AC173,'2017 Seattle Tracts'!$C$2:$Z$399,AY$1,FALSE)*AA173</f>
        <v>0</v>
      </c>
    </row>
    <row r="174" spans="1:51" x14ac:dyDescent="0.25">
      <c r="A174" t="s">
        <v>2917</v>
      </c>
      <c r="B174" t="s">
        <v>2918</v>
      </c>
      <c r="C174" t="s">
        <v>3053</v>
      </c>
      <c r="D174" t="s">
        <v>2701</v>
      </c>
      <c r="E174" t="s">
        <v>2702</v>
      </c>
      <c r="F174" t="s">
        <v>2703</v>
      </c>
      <c r="G174" t="s">
        <v>2920</v>
      </c>
      <c r="H174" t="s">
        <v>2921</v>
      </c>
      <c r="I174">
        <v>3262543</v>
      </c>
      <c r="J174">
        <v>5317813</v>
      </c>
      <c r="K174" t="s">
        <v>3054</v>
      </c>
      <c r="L174" t="s">
        <v>3055</v>
      </c>
      <c r="M174">
        <v>3203617</v>
      </c>
      <c r="N174">
        <v>38</v>
      </c>
      <c r="O174">
        <v>20928.002</v>
      </c>
      <c r="P174" t="s">
        <v>122</v>
      </c>
      <c r="Q174">
        <v>4</v>
      </c>
      <c r="R174">
        <v>5</v>
      </c>
      <c r="S174">
        <v>24</v>
      </c>
      <c r="T174">
        <v>15485078</v>
      </c>
      <c r="U174">
        <v>40</v>
      </c>
      <c r="V174">
        <v>128</v>
      </c>
      <c r="W174">
        <v>20928.00172430617</v>
      </c>
      <c r="X174">
        <v>15485078.03322144</v>
      </c>
      <c r="Y174">
        <v>635.36599999999999</v>
      </c>
      <c r="Z174">
        <f>VLOOKUP($AC174,'2017 Seattle Tracts'!$C$2:$Z$399,24,FALSE)</f>
        <v>3203616.6949999998</v>
      </c>
      <c r="AA174">
        <f t="shared" si="5"/>
        <v>1.9832772160028965E-4</v>
      </c>
      <c r="AB174" t="s">
        <v>129</v>
      </c>
      <c r="AC174" t="str">
        <f t="shared" si="4"/>
        <v>Census Tract 41, King County, Washington</v>
      </c>
      <c r="AD174">
        <f>VLOOKUP($AC174,'2017 Seattle Tracts'!$C$2:$Z$399,AD$1,FALSE)*AA174</f>
        <v>1.570755555074294</v>
      </c>
      <c r="AE174">
        <f>VLOOKUP($AC174,'2017 Seattle Tracts'!$C$2:$Z$399,AE$1,FALSE)*AA174</f>
        <v>1.3051947358515061</v>
      </c>
      <c r="AF174">
        <f>VLOOKUP($AC174,'2017 Seattle Tracts'!$C$2:$Z$399,AF$1,FALSE)*AA174</f>
        <v>0.26556081922278785</v>
      </c>
      <c r="AG174">
        <f>VLOOKUP($AC174,'2017 Seattle Tracts'!$C$2:$Z$399,AG$1,FALSE)*AA174</f>
        <v>1.570755555074294</v>
      </c>
      <c r="AH174">
        <f>VLOOKUP($AC174,'2017 Seattle Tracts'!$C$2:$Z$399,AH$1,FALSE)*AA174</f>
        <v>1.3051947358515061</v>
      </c>
      <c r="AI174">
        <f>VLOOKUP($AC174,'2017 Seattle Tracts'!$C$2:$Z$399,AI$1,FALSE)*AA174</f>
        <v>0.26556081922278785</v>
      </c>
      <c r="AJ174">
        <f>VLOOKUP($AC174,'2017 Seattle Tracts'!$C$2:$Z$399,AJ$1,FALSE)*AA174</f>
        <v>1.1705302128849095</v>
      </c>
      <c r="AK174">
        <f>VLOOKUP($AC174,'2017 Seattle Tracts'!$C$2:$Z$399,AK$1,FALSE)*AA174</f>
        <v>0.11403843992016655</v>
      </c>
      <c r="AL174">
        <f>VLOOKUP($AC174,'2017 Seattle Tracts'!$C$2:$Z$399,AL$1,FALSE)*AA174</f>
        <v>8.3297643072121653E-3</v>
      </c>
      <c r="AM174">
        <f>VLOOKUP($AC174,'2017 Seattle Tracts'!$C$2:$Z$399,AM$1,FALSE)*AA174</f>
        <v>9.7180583584141923E-3</v>
      </c>
      <c r="AN174">
        <f>VLOOKUP($AC174,'2017 Seattle Tracts'!$C$2:$Z$399,AN$1,FALSE)*AA174</f>
        <v>1.3882940512020276E-3</v>
      </c>
      <c r="AO174">
        <f>VLOOKUP($AC174,'2017 Seattle Tracts'!$C$2:$Z$399,AO$1,FALSE)*AA174</f>
        <v>1.9832772160028965E-4</v>
      </c>
      <c r="AP174">
        <f>VLOOKUP($AC174,'2017 Seattle Tracts'!$C$2:$Z$399,AP$1,FALSE)*AA174</f>
        <v>0</v>
      </c>
      <c r="AQ174">
        <f>VLOOKUP($AC174,'2017 Seattle Tracts'!$C$2:$Z$399,AQ$1,FALSE)*AA174</f>
        <v>0</v>
      </c>
      <c r="AR174">
        <f>VLOOKUP($AC174,'2017 Seattle Tracts'!$C$2:$Z$399,AR$1,FALSE)*AA174</f>
        <v>5.1763535337675602E-2</v>
      </c>
      <c r="AS174">
        <f>VLOOKUP($AC174,'2017 Seattle Tracts'!$C$2:$Z$399,AS$1,FALSE)*AA174</f>
        <v>0.14140766550100653</v>
      </c>
      <c r="AT174">
        <f>VLOOKUP($AC174,'2017 Seattle Tracts'!$C$2:$Z$399,AT$1,FALSE)*AA174</f>
        <v>3.1732435456046345E-3</v>
      </c>
      <c r="AU174">
        <f>VLOOKUP($AC174,'2017 Seattle Tracts'!$C$2:$Z$399,AU$1,FALSE)*AA174</f>
        <v>0</v>
      </c>
      <c r="AV174">
        <f>VLOOKUP($AC174,'2017 Seattle Tracts'!$C$2:$Z$399,AV$1,FALSE)*AA174</f>
        <v>0</v>
      </c>
      <c r="AW174">
        <f>VLOOKUP($AC174,'2017 Seattle Tracts'!$C$2:$Z$399,AW$1,FALSE)*AA174</f>
        <v>1.9832772160028965E-4</v>
      </c>
      <c r="AX174">
        <f>VLOOKUP($AC174,'2017 Seattle Tracts'!$C$2:$Z$399,AX$1,FALSE)*AA174</f>
        <v>7.0009685724902251E-2</v>
      </c>
      <c r="AY174">
        <f>VLOOKUP($AC174,'2017 Seattle Tracts'!$C$2:$Z$399,AY$1,FALSE)*AA174</f>
        <v>0</v>
      </c>
    </row>
    <row r="175" spans="1:51" x14ac:dyDescent="0.25">
      <c r="A175" t="s">
        <v>2917</v>
      </c>
      <c r="B175" t="s">
        <v>2918</v>
      </c>
      <c r="C175" t="s">
        <v>3053</v>
      </c>
      <c r="D175" t="s">
        <v>2701</v>
      </c>
      <c r="E175" t="s">
        <v>2702</v>
      </c>
      <c r="F175" t="s">
        <v>2703</v>
      </c>
      <c r="G175" t="s">
        <v>2920</v>
      </c>
      <c r="H175" t="s">
        <v>2921</v>
      </c>
      <c r="I175">
        <v>3262543</v>
      </c>
      <c r="J175">
        <v>5317813</v>
      </c>
      <c r="K175" t="s">
        <v>3054</v>
      </c>
      <c r="L175" t="s">
        <v>3055</v>
      </c>
      <c r="M175">
        <v>3203617</v>
      </c>
      <c r="N175">
        <v>39</v>
      </c>
      <c r="O175">
        <v>33332.828000000001</v>
      </c>
      <c r="P175" t="s">
        <v>122</v>
      </c>
      <c r="Q175">
        <v>4</v>
      </c>
      <c r="R175">
        <v>5</v>
      </c>
      <c r="S175">
        <v>23</v>
      </c>
      <c r="T175">
        <v>22363966</v>
      </c>
      <c r="U175">
        <v>41</v>
      </c>
      <c r="V175">
        <v>131</v>
      </c>
      <c r="W175">
        <v>33332.829196830411</v>
      </c>
      <c r="X175">
        <v>22363966.623789791</v>
      </c>
      <c r="Y175">
        <v>1381065.8640000001</v>
      </c>
      <c r="Z175">
        <f>VLOOKUP($AC175,'2017 Seattle Tracts'!$C$2:$Z$399,24,FALSE)</f>
        <v>3203616.6949999998</v>
      </c>
      <c r="AA175">
        <f t="shared" si="5"/>
        <v>0.43109585056023692</v>
      </c>
      <c r="AB175" t="s">
        <v>130</v>
      </c>
      <c r="AC175" t="str">
        <f t="shared" si="4"/>
        <v>Census Tract 41, King County, Washington</v>
      </c>
      <c r="AD175">
        <f>VLOOKUP($AC175,'2017 Seattle Tracts'!$C$2:$Z$399,AD$1,FALSE)*AA175</f>
        <v>3414.2791364370764</v>
      </c>
      <c r="AE175">
        <f>VLOOKUP($AC175,'2017 Seattle Tracts'!$C$2:$Z$399,AE$1,FALSE)*AA175</f>
        <v>2837.0417925369193</v>
      </c>
      <c r="AF175">
        <f>VLOOKUP($AC175,'2017 Seattle Tracts'!$C$2:$Z$399,AF$1,FALSE)*AA175</f>
        <v>577.23734390015727</v>
      </c>
      <c r="AG175">
        <f>VLOOKUP($AC175,'2017 Seattle Tracts'!$C$2:$Z$399,AG$1,FALSE)*AA175</f>
        <v>3414.2791364370764</v>
      </c>
      <c r="AH175">
        <f>VLOOKUP($AC175,'2017 Seattle Tracts'!$C$2:$Z$399,AH$1,FALSE)*AA175</f>
        <v>2837.0417925369193</v>
      </c>
      <c r="AI175">
        <f>VLOOKUP($AC175,'2017 Seattle Tracts'!$C$2:$Z$399,AI$1,FALSE)*AA175</f>
        <v>577.23734390015727</v>
      </c>
      <c r="AJ175">
        <f>VLOOKUP($AC175,'2017 Seattle Tracts'!$C$2:$Z$399,AJ$1,FALSE)*AA175</f>
        <v>2544.3277100065184</v>
      </c>
      <c r="AK175">
        <f>VLOOKUP($AC175,'2017 Seattle Tracts'!$C$2:$Z$399,AK$1,FALSE)*AA175</f>
        <v>247.88011407213622</v>
      </c>
      <c r="AL175">
        <f>VLOOKUP($AC175,'2017 Seattle Tracts'!$C$2:$Z$399,AL$1,FALSE)*AA175</f>
        <v>18.10602572352995</v>
      </c>
      <c r="AM175">
        <f>VLOOKUP($AC175,'2017 Seattle Tracts'!$C$2:$Z$399,AM$1,FALSE)*AA175</f>
        <v>21.123696677451608</v>
      </c>
      <c r="AN175">
        <f>VLOOKUP($AC175,'2017 Seattle Tracts'!$C$2:$Z$399,AN$1,FALSE)*AA175</f>
        <v>3.0176709539216584</v>
      </c>
      <c r="AO175">
        <f>VLOOKUP($AC175,'2017 Seattle Tracts'!$C$2:$Z$399,AO$1,FALSE)*AA175</f>
        <v>0.43109585056023692</v>
      </c>
      <c r="AP175">
        <f>VLOOKUP($AC175,'2017 Seattle Tracts'!$C$2:$Z$399,AP$1,FALSE)*AA175</f>
        <v>0</v>
      </c>
      <c r="AQ175">
        <f>VLOOKUP($AC175,'2017 Seattle Tracts'!$C$2:$Z$399,AQ$1,FALSE)*AA175</f>
        <v>0</v>
      </c>
      <c r="AR175">
        <f>VLOOKUP($AC175,'2017 Seattle Tracts'!$C$2:$Z$399,AR$1,FALSE)*AA175</f>
        <v>112.51601699622184</v>
      </c>
      <c r="AS175">
        <f>VLOOKUP($AC175,'2017 Seattle Tracts'!$C$2:$Z$399,AS$1,FALSE)*AA175</f>
        <v>307.37134144944895</v>
      </c>
      <c r="AT175">
        <f>VLOOKUP($AC175,'2017 Seattle Tracts'!$C$2:$Z$399,AT$1,FALSE)*AA175</f>
        <v>6.8975336089637906</v>
      </c>
      <c r="AU175">
        <f>VLOOKUP($AC175,'2017 Seattle Tracts'!$C$2:$Z$399,AU$1,FALSE)*AA175</f>
        <v>0</v>
      </c>
      <c r="AV175">
        <f>VLOOKUP($AC175,'2017 Seattle Tracts'!$C$2:$Z$399,AV$1,FALSE)*AA175</f>
        <v>0</v>
      </c>
      <c r="AW175">
        <f>VLOOKUP($AC175,'2017 Seattle Tracts'!$C$2:$Z$399,AW$1,FALSE)*AA175</f>
        <v>0.43109585056023692</v>
      </c>
      <c r="AX175">
        <f>VLOOKUP($AC175,'2017 Seattle Tracts'!$C$2:$Z$399,AX$1,FALSE)*AA175</f>
        <v>152.17683524776362</v>
      </c>
      <c r="AY175">
        <f>VLOOKUP($AC175,'2017 Seattle Tracts'!$C$2:$Z$399,AY$1,FALSE)*AA175</f>
        <v>0</v>
      </c>
    </row>
    <row r="176" spans="1:51" x14ac:dyDescent="0.25">
      <c r="A176" t="s">
        <v>2917</v>
      </c>
      <c r="B176" t="s">
        <v>2918</v>
      </c>
      <c r="C176" t="s">
        <v>3053</v>
      </c>
      <c r="D176" t="s">
        <v>2701</v>
      </c>
      <c r="E176" t="s">
        <v>2702</v>
      </c>
      <c r="F176" t="s">
        <v>2703</v>
      </c>
      <c r="G176" t="s">
        <v>2920</v>
      </c>
      <c r="H176" t="s">
        <v>2921</v>
      </c>
      <c r="I176">
        <v>3262543</v>
      </c>
      <c r="J176">
        <v>5317813</v>
      </c>
      <c r="K176" t="s">
        <v>3054</v>
      </c>
      <c r="L176" t="s">
        <v>3055</v>
      </c>
      <c r="M176">
        <v>3203617</v>
      </c>
      <c r="N176">
        <v>40</v>
      </c>
      <c r="O176">
        <v>26489.241999999998</v>
      </c>
      <c r="P176" t="s">
        <v>122</v>
      </c>
      <c r="Q176">
        <v>4</v>
      </c>
      <c r="R176">
        <v>5</v>
      </c>
      <c r="S176">
        <v>95</v>
      </c>
      <c r="T176">
        <v>19051776</v>
      </c>
      <c r="U176">
        <v>42</v>
      </c>
      <c r="V176">
        <v>136</v>
      </c>
      <c r="W176">
        <v>26489.242232173649</v>
      </c>
      <c r="X176">
        <v>19051776.818690982</v>
      </c>
      <c r="Y176">
        <v>1755331.946</v>
      </c>
      <c r="Z176">
        <f>VLOOKUP($AC176,'2017 Seattle Tracts'!$C$2:$Z$399,24,FALSE)</f>
        <v>3203616.6949999998</v>
      </c>
      <c r="AA176">
        <f t="shared" si="5"/>
        <v>0.54792196230579326</v>
      </c>
      <c r="AB176" t="s">
        <v>131</v>
      </c>
      <c r="AC176" t="str">
        <f t="shared" si="4"/>
        <v>Census Tract 41, King County, Washington</v>
      </c>
      <c r="AD176">
        <f>VLOOKUP($AC176,'2017 Seattle Tracts'!$C$2:$Z$399,AD$1,FALSE)*AA176</f>
        <v>4339.5419414618827</v>
      </c>
      <c r="AE176">
        <f>VLOOKUP($AC176,'2017 Seattle Tracts'!$C$2:$Z$399,AE$1,FALSE)*AA176</f>
        <v>3605.8744339344253</v>
      </c>
      <c r="AF176">
        <f>VLOOKUP($AC176,'2017 Seattle Tracts'!$C$2:$Z$399,AF$1,FALSE)*AA176</f>
        <v>733.66750752745713</v>
      </c>
      <c r="AG176">
        <f>VLOOKUP($AC176,'2017 Seattle Tracts'!$C$2:$Z$399,AG$1,FALSE)*AA176</f>
        <v>4339.5419414618827</v>
      </c>
      <c r="AH176">
        <f>VLOOKUP($AC176,'2017 Seattle Tracts'!$C$2:$Z$399,AH$1,FALSE)*AA176</f>
        <v>3605.8744339344253</v>
      </c>
      <c r="AI176">
        <f>VLOOKUP($AC176,'2017 Seattle Tracts'!$C$2:$Z$399,AI$1,FALSE)*AA176</f>
        <v>733.66750752745713</v>
      </c>
      <c r="AJ176">
        <f>VLOOKUP($AC176,'2017 Seattle Tracts'!$C$2:$Z$399,AJ$1,FALSE)*AA176</f>
        <v>3233.8354215287918</v>
      </c>
      <c r="AK176">
        <f>VLOOKUP($AC176,'2017 Seattle Tracts'!$C$2:$Z$399,AK$1,FALSE)*AA176</f>
        <v>315.05512832583111</v>
      </c>
      <c r="AL176">
        <f>VLOOKUP($AC176,'2017 Seattle Tracts'!$C$2:$Z$399,AL$1,FALSE)*AA176</f>
        <v>23.012722416843317</v>
      </c>
      <c r="AM176">
        <f>VLOOKUP($AC176,'2017 Seattle Tracts'!$C$2:$Z$399,AM$1,FALSE)*AA176</f>
        <v>26.848176152983871</v>
      </c>
      <c r="AN176">
        <f>VLOOKUP($AC176,'2017 Seattle Tracts'!$C$2:$Z$399,AN$1,FALSE)*AA176</f>
        <v>3.8354537361405527</v>
      </c>
      <c r="AO176">
        <f>VLOOKUP($AC176,'2017 Seattle Tracts'!$C$2:$Z$399,AO$1,FALSE)*AA176</f>
        <v>0.54792196230579326</v>
      </c>
      <c r="AP176">
        <f>VLOOKUP($AC176,'2017 Seattle Tracts'!$C$2:$Z$399,AP$1,FALSE)*AA176</f>
        <v>0</v>
      </c>
      <c r="AQ176">
        <f>VLOOKUP($AC176,'2017 Seattle Tracts'!$C$2:$Z$399,AQ$1,FALSE)*AA176</f>
        <v>0</v>
      </c>
      <c r="AR176">
        <f>VLOOKUP($AC176,'2017 Seattle Tracts'!$C$2:$Z$399,AR$1,FALSE)*AA176</f>
        <v>143.00763216181204</v>
      </c>
      <c r="AS176">
        <f>VLOOKUP($AC176,'2017 Seattle Tracts'!$C$2:$Z$399,AS$1,FALSE)*AA176</f>
        <v>390.66835912403059</v>
      </c>
      <c r="AT176">
        <f>VLOOKUP($AC176,'2017 Seattle Tracts'!$C$2:$Z$399,AT$1,FALSE)*AA176</f>
        <v>8.7667513968926922</v>
      </c>
      <c r="AU176">
        <f>VLOOKUP($AC176,'2017 Seattle Tracts'!$C$2:$Z$399,AU$1,FALSE)*AA176</f>
        <v>0</v>
      </c>
      <c r="AV176">
        <f>VLOOKUP($AC176,'2017 Seattle Tracts'!$C$2:$Z$399,AV$1,FALSE)*AA176</f>
        <v>0</v>
      </c>
      <c r="AW176">
        <f>VLOOKUP($AC176,'2017 Seattle Tracts'!$C$2:$Z$399,AW$1,FALSE)*AA176</f>
        <v>0.54792196230579326</v>
      </c>
      <c r="AX176">
        <f>VLOOKUP($AC176,'2017 Seattle Tracts'!$C$2:$Z$399,AX$1,FALSE)*AA176</f>
        <v>193.41645269394502</v>
      </c>
      <c r="AY176">
        <f>VLOOKUP($AC176,'2017 Seattle Tracts'!$C$2:$Z$399,AY$1,FALSE)*AA176</f>
        <v>0</v>
      </c>
    </row>
    <row r="177" spans="1:51" x14ac:dyDescent="0.25">
      <c r="A177" t="s">
        <v>2917</v>
      </c>
      <c r="B177" t="s">
        <v>2918</v>
      </c>
      <c r="C177" t="s">
        <v>3053</v>
      </c>
      <c r="D177" t="s">
        <v>2701</v>
      </c>
      <c r="E177" t="s">
        <v>2702</v>
      </c>
      <c r="F177" t="s">
        <v>2703</v>
      </c>
      <c r="G177" t="s">
        <v>2920</v>
      </c>
      <c r="H177" t="s">
        <v>2921</v>
      </c>
      <c r="I177">
        <v>3262543</v>
      </c>
      <c r="J177">
        <v>5317813</v>
      </c>
      <c r="K177" t="s">
        <v>3054</v>
      </c>
      <c r="L177" t="s">
        <v>3055</v>
      </c>
      <c r="M177">
        <v>3203617</v>
      </c>
      <c r="N177">
        <v>42</v>
      </c>
      <c r="O177">
        <v>41446.940999999999</v>
      </c>
      <c r="P177" t="s">
        <v>134</v>
      </c>
      <c r="Q177">
        <v>5</v>
      </c>
      <c r="R177">
        <v>12</v>
      </c>
      <c r="S177">
        <v>33</v>
      </c>
      <c r="T177">
        <v>49348388</v>
      </c>
      <c r="U177">
        <v>44</v>
      </c>
      <c r="V177">
        <v>139</v>
      </c>
      <c r="W177">
        <v>41446.941321259314</v>
      </c>
      <c r="X177">
        <v>49348387.058142804</v>
      </c>
      <c r="Y177">
        <v>34228.453000000001</v>
      </c>
      <c r="Z177">
        <f>VLOOKUP($AC177,'2017 Seattle Tracts'!$C$2:$Z$399,24,FALSE)</f>
        <v>3203616.6949999998</v>
      </c>
      <c r="AA177">
        <f t="shared" si="5"/>
        <v>1.0684315964959723E-2</v>
      </c>
      <c r="AB177" t="s">
        <v>133</v>
      </c>
      <c r="AC177" t="str">
        <f t="shared" si="4"/>
        <v>Census Tract 41, King County, Washington</v>
      </c>
      <c r="AD177">
        <f>VLOOKUP($AC177,'2017 Seattle Tracts'!$C$2:$Z$399,AD$1,FALSE)*AA177</f>
        <v>84.619782442481011</v>
      </c>
      <c r="AE177">
        <f>VLOOKUP($AC177,'2017 Seattle Tracts'!$C$2:$Z$399,AE$1,FALSE)*AA177</f>
        <v>70.313483365399932</v>
      </c>
      <c r="AF177">
        <f>VLOOKUP($AC177,'2017 Seattle Tracts'!$C$2:$Z$399,AF$1,FALSE)*AA177</f>
        <v>14.30629907708107</v>
      </c>
      <c r="AG177">
        <f>VLOOKUP($AC177,'2017 Seattle Tracts'!$C$2:$Z$399,AG$1,FALSE)*AA177</f>
        <v>84.619782442481011</v>
      </c>
      <c r="AH177">
        <f>VLOOKUP($AC177,'2017 Seattle Tracts'!$C$2:$Z$399,AH$1,FALSE)*AA177</f>
        <v>70.313483365399932</v>
      </c>
      <c r="AI177">
        <f>VLOOKUP($AC177,'2017 Seattle Tracts'!$C$2:$Z$399,AI$1,FALSE)*AA177</f>
        <v>14.30629907708107</v>
      </c>
      <c r="AJ177">
        <f>VLOOKUP($AC177,'2017 Seattle Tracts'!$C$2:$Z$399,AJ$1,FALSE)*AA177</f>
        <v>63.058832825192283</v>
      </c>
      <c r="AK177">
        <f>VLOOKUP($AC177,'2017 Seattle Tracts'!$C$2:$Z$399,AK$1,FALSE)*AA177</f>
        <v>6.143481679851841</v>
      </c>
      <c r="AL177">
        <f>VLOOKUP($AC177,'2017 Seattle Tracts'!$C$2:$Z$399,AL$1,FALSE)*AA177</f>
        <v>0.44874127052830837</v>
      </c>
      <c r="AM177">
        <f>VLOOKUP($AC177,'2017 Seattle Tracts'!$C$2:$Z$399,AM$1,FALSE)*AA177</f>
        <v>0.52353148228302637</v>
      </c>
      <c r="AN177">
        <f>VLOOKUP($AC177,'2017 Seattle Tracts'!$C$2:$Z$399,AN$1,FALSE)*AA177</f>
        <v>7.4790211754718061E-2</v>
      </c>
      <c r="AO177">
        <f>VLOOKUP($AC177,'2017 Seattle Tracts'!$C$2:$Z$399,AO$1,FALSE)*AA177</f>
        <v>1.0684315964959723E-2</v>
      </c>
      <c r="AP177">
        <f>VLOOKUP($AC177,'2017 Seattle Tracts'!$C$2:$Z$399,AP$1,FALSE)*AA177</f>
        <v>0</v>
      </c>
      <c r="AQ177">
        <f>VLOOKUP($AC177,'2017 Seattle Tracts'!$C$2:$Z$399,AQ$1,FALSE)*AA177</f>
        <v>0</v>
      </c>
      <c r="AR177">
        <f>VLOOKUP($AC177,'2017 Seattle Tracts'!$C$2:$Z$399,AR$1,FALSE)*AA177</f>
        <v>2.7886064668544877</v>
      </c>
      <c r="AS177">
        <f>VLOOKUP($AC177,'2017 Seattle Tracts'!$C$2:$Z$399,AS$1,FALSE)*AA177</f>
        <v>7.6179172830162827</v>
      </c>
      <c r="AT177">
        <f>VLOOKUP($AC177,'2017 Seattle Tracts'!$C$2:$Z$399,AT$1,FALSE)*AA177</f>
        <v>0.17094905543935557</v>
      </c>
      <c r="AU177">
        <f>VLOOKUP($AC177,'2017 Seattle Tracts'!$C$2:$Z$399,AU$1,FALSE)*AA177</f>
        <v>0</v>
      </c>
      <c r="AV177">
        <f>VLOOKUP($AC177,'2017 Seattle Tracts'!$C$2:$Z$399,AV$1,FALSE)*AA177</f>
        <v>0</v>
      </c>
      <c r="AW177">
        <f>VLOOKUP($AC177,'2017 Seattle Tracts'!$C$2:$Z$399,AW$1,FALSE)*AA177</f>
        <v>1.0684315964959723E-2</v>
      </c>
      <c r="AX177">
        <f>VLOOKUP($AC177,'2017 Seattle Tracts'!$C$2:$Z$399,AX$1,FALSE)*AA177</f>
        <v>3.7715635356307824</v>
      </c>
      <c r="AY177">
        <f>VLOOKUP($AC177,'2017 Seattle Tracts'!$C$2:$Z$399,AY$1,FALSE)*AA177</f>
        <v>0</v>
      </c>
    </row>
    <row r="178" spans="1:51" x14ac:dyDescent="0.25">
      <c r="A178" t="s">
        <v>2917</v>
      </c>
      <c r="B178" t="s">
        <v>2918</v>
      </c>
      <c r="C178" t="s">
        <v>3056</v>
      </c>
      <c r="D178" t="s">
        <v>2698</v>
      </c>
      <c r="E178" t="s">
        <v>2699</v>
      </c>
      <c r="F178" t="s">
        <v>2700</v>
      </c>
      <c r="G178" t="s">
        <v>2920</v>
      </c>
      <c r="H178" t="s">
        <v>2921</v>
      </c>
      <c r="I178">
        <v>2464093</v>
      </c>
      <c r="J178">
        <v>0</v>
      </c>
      <c r="K178" t="s">
        <v>3057</v>
      </c>
      <c r="L178" t="s">
        <v>3058</v>
      </c>
      <c r="M178">
        <v>2464086</v>
      </c>
      <c r="N178">
        <v>35</v>
      </c>
      <c r="O178">
        <v>22657.039000000001</v>
      </c>
      <c r="P178" t="s">
        <v>122</v>
      </c>
      <c r="Q178">
        <v>4</v>
      </c>
      <c r="R178">
        <v>5</v>
      </c>
      <c r="S178">
        <v>94</v>
      </c>
      <c r="T178">
        <v>25612980</v>
      </c>
      <c r="U178">
        <v>37</v>
      </c>
      <c r="V178">
        <v>119</v>
      </c>
      <c r="W178">
        <v>22657.0394732799</v>
      </c>
      <c r="X178">
        <v>25612979.943988901</v>
      </c>
      <c r="Y178">
        <v>338.33</v>
      </c>
      <c r="Z178">
        <f>VLOOKUP($AC178,'2017 Seattle Tracts'!$C$2:$Z$399,24,FALSE)</f>
        <v>2464086.1869999999</v>
      </c>
      <c r="AA178">
        <f t="shared" si="5"/>
        <v>1.3730445054436726E-4</v>
      </c>
      <c r="AB178" t="s">
        <v>126</v>
      </c>
      <c r="AC178" t="str">
        <f t="shared" si="4"/>
        <v>Census Tract 42, King County, Washington</v>
      </c>
      <c r="AD178">
        <f>VLOOKUP($AC178,'2017 Seattle Tracts'!$C$2:$Z$399,AD$1,FALSE)*AA178</f>
        <v>1.1613210427042584</v>
      </c>
      <c r="AE178">
        <f>VLOOKUP($AC178,'2017 Seattle Tracts'!$C$2:$Z$399,AE$1,FALSE)*AA178</f>
        <v>0.96703524518397865</v>
      </c>
      <c r="AF178">
        <f>VLOOKUP($AC178,'2017 Seattle Tracts'!$C$2:$Z$399,AF$1,FALSE)*AA178</f>
        <v>0.19428579752027966</v>
      </c>
      <c r="AG178">
        <f>VLOOKUP($AC178,'2017 Seattle Tracts'!$C$2:$Z$399,AG$1,FALSE)*AA178</f>
        <v>1.1613210427042584</v>
      </c>
      <c r="AH178">
        <f>VLOOKUP($AC178,'2017 Seattle Tracts'!$C$2:$Z$399,AH$1,FALSE)*AA178</f>
        <v>0.96703524518397865</v>
      </c>
      <c r="AI178">
        <f>VLOOKUP($AC178,'2017 Seattle Tracts'!$C$2:$Z$399,AI$1,FALSE)*AA178</f>
        <v>0.19428579752027966</v>
      </c>
      <c r="AJ178">
        <f>VLOOKUP($AC178,'2017 Seattle Tracts'!$C$2:$Z$399,AJ$1,FALSE)*AA178</f>
        <v>0.85760359810011788</v>
      </c>
      <c r="AK178">
        <f>VLOOKUP($AC178,'2017 Seattle Tracts'!$C$2:$Z$399,AK$1,FALSE)*AA178</f>
        <v>6.1787002744965271E-2</v>
      </c>
      <c r="AL178">
        <f>VLOOKUP($AC178,'2017 Seattle Tracts'!$C$2:$Z$399,AL$1,FALSE)*AA178</f>
        <v>3.8857159504055938E-2</v>
      </c>
      <c r="AM178">
        <f>VLOOKUP($AC178,'2017 Seattle Tracts'!$C$2:$Z$399,AM$1,FALSE)*AA178</f>
        <v>6.5906136261296286E-3</v>
      </c>
      <c r="AN178">
        <f>VLOOKUP($AC178,'2017 Seattle Tracts'!$C$2:$Z$399,AN$1,FALSE)*AA178</f>
        <v>1.3455836153347991E-2</v>
      </c>
      <c r="AO178">
        <f>VLOOKUP($AC178,'2017 Seattle Tracts'!$C$2:$Z$399,AO$1,FALSE)*AA178</f>
        <v>7.5517447799401992E-3</v>
      </c>
      <c r="AP178">
        <f>VLOOKUP($AC178,'2017 Seattle Tracts'!$C$2:$Z$399,AP$1,FALSE)*AA178</f>
        <v>1.3730445054436726E-4</v>
      </c>
      <c r="AQ178">
        <f>VLOOKUP($AC178,'2017 Seattle Tracts'!$C$2:$Z$399,AQ$1,FALSE)*AA178</f>
        <v>0</v>
      </c>
      <c r="AR178">
        <f>VLOOKUP($AC178,'2017 Seattle Tracts'!$C$2:$Z$399,AR$1,FALSE)*AA178</f>
        <v>2.4852105548530474E-2</v>
      </c>
      <c r="AS178">
        <f>VLOOKUP($AC178,'2017 Seattle Tracts'!$C$2:$Z$399,AS$1,FALSE)*AA178</f>
        <v>8.8561370601116879E-2</v>
      </c>
      <c r="AT178">
        <f>VLOOKUP($AC178,'2017 Seattle Tracts'!$C$2:$Z$399,AT$1,FALSE)*AA178</f>
        <v>0</v>
      </c>
      <c r="AU178">
        <f>VLOOKUP($AC178,'2017 Seattle Tracts'!$C$2:$Z$399,AU$1,FALSE)*AA178</f>
        <v>1.2220096098448686E-2</v>
      </c>
      <c r="AV178">
        <f>VLOOKUP($AC178,'2017 Seattle Tracts'!$C$2:$Z$399,AV$1,FALSE)*AA178</f>
        <v>4.8056557690528542E-3</v>
      </c>
      <c r="AW178">
        <f>VLOOKUP($AC178,'2017 Seattle Tracts'!$C$2:$Z$399,AW$1,FALSE)*AA178</f>
        <v>2.746089010887345E-3</v>
      </c>
      <c r="AX178">
        <f>VLOOKUP($AC178,'2017 Seattle Tracts'!$C$2:$Z$399,AX$1,FALSE)*AA178</f>
        <v>2.7323585658329087E-2</v>
      </c>
      <c r="AY178">
        <f>VLOOKUP($AC178,'2017 Seattle Tracts'!$C$2:$Z$399,AY$1,FALSE)*AA178</f>
        <v>1.4828880658791664E-2</v>
      </c>
    </row>
    <row r="179" spans="1:51" x14ac:dyDescent="0.25">
      <c r="A179" t="s">
        <v>2917</v>
      </c>
      <c r="B179" t="s">
        <v>2918</v>
      </c>
      <c r="C179" t="s">
        <v>3056</v>
      </c>
      <c r="D179" t="s">
        <v>2698</v>
      </c>
      <c r="E179" t="s">
        <v>2699</v>
      </c>
      <c r="F179" t="s">
        <v>2700</v>
      </c>
      <c r="G179" t="s">
        <v>2920</v>
      </c>
      <c r="H179" t="s">
        <v>2921</v>
      </c>
      <c r="I179">
        <v>2464093</v>
      </c>
      <c r="J179">
        <v>0</v>
      </c>
      <c r="K179" t="s">
        <v>3057</v>
      </c>
      <c r="L179" t="s">
        <v>3058</v>
      </c>
      <c r="M179">
        <v>2464086</v>
      </c>
      <c r="N179">
        <v>36</v>
      </c>
      <c r="O179">
        <v>30993.599999999999</v>
      </c>
      <c r="P179" t="s">
        <v>122</v>
      </c>
      <c r="Q179">
        <v>4</v>
      </c>
      <c r="R179">
        <v>5</v>
      </c>
      <c r="S179">
        <v>81</v>
      </c>
      <c r="T179">
        <v>37020968</v>
      </c>
      <c r="U179">
        <v>38</v>
      </c>
      <c r="V179">
        <v>125</v>
      </c>
      <c r="W179">
        <v>30993.600213945359</v>
      </c>
      <c r="X179">
        <v>37020968.872468568</v>
      </c>
      <c r="Y179">
        <v>653802.69999999995</v>
      </c>
      <c r="Z179">
        <f>VLOOKUP($AC179,'2017 Seattle Tracts'!$C$2:$Z$399,24,FALSE)</f>
        <v>2464086.1869999999</v>
      </c>
      <c r="AA179">
        <f t="shared" si="5"/>
        <v>0.26533272393203022</v>
      </c>
      <c r="AB179" t="s">
        <v>127</v>
      </c>
      <c r="AC179" t="str">
        <f t="shared" si="4"/>
        <v>Census Tract 42, King County, Washington</v>
      </c>
      <c r="AD179">
        <f>VLOOKUP($AC179,'2017 Seattle Tracts'!$C$2:$Z$399,AD$1,FALSE)*AA179</f>
        <v>2244.1841790171115</v>
      </c>
      <c r="AE179">
        <f>VLOOKUP($AC179,'2017 Seattle Tracts'!$C$2:$Z$399,AE$1,FALSE)*AA179</f>
        <v>1868.7383746532889</v>
      </c>
      <c r="AF179">
        <f>VLOOKUP($AC179,'2017 Seattle Tracts'!$C$2:$Z$399,AF$1,FALSE)*AA179</f>
        <v>375.44580436382279</v>
      </c>
      <c r="AG179">
        <f>VLOOKUP($AC179,'2017 Seattle Tracts'!$C$2:$Z$399,AG$1,FALSE)*AA179</f>
        <v>2244.1841790171115</v>
      </c>
      <c r="AH179">
        <f>VLOOKUP($AC179,'2017 Seattle Tracts'!$C$2:$Z$399,AH$1,FALSE)*AA179</f>
        <v>1868.7383746532889</v>
      </c>
      <c r="AI179">
        <f>VLOOKUP($AC179,'2017 Seattle Tracts'!$C$2:$Z$399,AI$1,FALSE)*AA179</f>
        <v>375.44580436382279</v>
      </c>
      <c r="AJ179">
        <f>VLOOKUP($AC179,'2017 Seattle Tracts'!$C$2:$Z$399,AJ$1,FALSE)*AA179</f>
        <v>1657.2681936794609</v>
      </c>
      <c r="AK179">
        <f>VLOOKUP($AC179,'2017 Seattle Tracts'!$C$2:$Z$399,AK$1,FALSE)*AA179</f>
        <v>119.39972576941361</v>
      </c>
      <c r="AL179">
        <f>VLOOKUP($AC179,'2017 Seattle Tracts'!$C$2:$Z$399,AL$1,FALSE)*AA179</f>
        <v>75.089160872764552</v>
      </c>
      <c r="AM179">
        <f>VLOOKUP($AC179,'2017 Seattle Tracts'!$C$2:$Z$399,AM$1,FALSE)*AA179</f>
        <v>12.735970748737451</v>
      </c>
      <c r="AN179">
        <f>VLOOKUP($AC179,'2017 Seattle Tracts'!$C$2:$Z$399,AN$1,FALSE)*AA179</f>
        <v>26.002606945338961</v>
      </c>
      <c r="AO179">
        <f>VLOOKUP($AC179,'2017 Seattle Tracts'!$C$2:$Z$399,AO$1,FALSE)*AA179</f>
        <v>14.593299816261663</v>
      </c>
      <c r="AP179">
        <f>VLOOKUP($AC179,'2017 Seattle Tracts'!$C$2:$Z$399,AP$1,FALSE)*AA179</f>
        <v>0.26533272393203022</v>
      </c>
      <c r="AQ179">
        <f>VLOOKUP($AC179,'2017 Seattle Tracts'!$C$2:$Z$399,AQ$1,FALSE)*AA179</f>
        <v>0</v>
      </c>
      <c r="AR179">
        <f>VLOOKUP($AC179,'2017 Seattle Tracts'!$C$2:$Z$399,AR$1,FALSE)*AA179</f>
        <v>48.025223031697472</v>
      </c>
      <c r="AS179">
        <f>VLOOKUP($AC179,'2017 Seattle Tracts'!$C$2:$Z$399,AS$1,FALSE)*AA179</f>
        <v>171.13960693615948</v>
      </c>
      <c r="AT179">
        <f>VLOOKUP($AC179,'2017 Seattle Tracts'!$C$2:$Z$399,AT$1,FALSE)*AA179</f>
        <v>0</v>
      </c>
      <c r="AU179">
        <f>VLOOKUP($AC179,'2017 Seattle Tracts'!$C$2:$Z$399,AU$1,FALSE)*AA179</f>
        <v>23.614612429950689</v>
      </c>
      <c r="AV179">
        <f>VLOOKUP($AC179,'2017 Seattle Tracts'!$C$2:$Z$399,AV$1,FALSE)*AA179</f>
        <v>9.2866453376210583</v>
      </c>
      <c r="AW179">
        <f>VLOOKUP($AC179,'2017 Seattle Tracts'!$C$2:$Z$399,AW$1,FALSE)*AA179</f>
        <v>5.3066544786406045</v>
      </c>
      <c r="AX179">
        <f>VLOOKUP($AC179,'2017 Seattle Tracts'!$C$2:$Z$399,AX$1,FALSE)*AA179</f>
        <v>52.801212062474015</v>
      </c>
      <c r="AY179">
        <f>VLOOKUP($AC179,'2017 Seattle Tracts'!$C$2:$Z$399,AY$1,FALSE)*AA179</f>
        <v>28.655934184659266</v>
      </c>
    </row>
    <row r="180" spans="1:51" x14ac:dyDescent="0.25">
      <c r="A180" t="s">
        <v>2917</v>
      </c>
      <c r="B180" t="s">
        <v>2918</v>
      </c>
      <c r="C180" t="s">
        <v>3056</v>
      </c>
      <c r="D180" t="s">
        <v>2698</v>
      </c>
      <c r="E180" t="s">
        <v>2699</v>
      </c>
      <c r="F180" t="s">
        <v>2700</v>
      </c>
      <c r="G180" t="s">
        <v>2920</v>
      </c>
      <c r="H180" t="s">
        <v>2921</v>
      </c>
      <c r="I180">
        <v>2464093</v>
      </c>
      <c r="J180">
        <v>0</v>
      </c>
      <c r="K180" t="s">
        <v>3057</v>
      </c>
      <c r="L180" t="s">
        <v>3058</v>
      </c>
      <c r="M180">
        <v>2464086</v>
      </c>
      <c r="N180">
        <v>37</v>
      </c>
      <c r="O180">
        <v>21396.695</v>
      </c>
      <c r="P180" t="s">
        <v>122</v>
      </c>
      <c r="Q180">
        <v>4</v>
      </c>
      <c r="R180">
        <v>5</v>
      </c>
      <c r="S180">
        <v>19</v>
      </c>
      <c r="T180">
        <v>19249858</v>
      </c>
      <c r="U180">
        <v>39</v>
      </c>
      <c r="V180">
        <v>196</v>
      </c>
      <c r="W180">
        <v>21396.695800864782</v>
      </c>
      <c r="X180">
        <v>19249857.13974366</v>
      </c>
      <c r="Y180">
        <v>0.78900000000000003</v>
      </c>
      <c r="Z180">
        <f>VLOOKUP($AC180,'2017 Seattle Tracts'!$C$2:$Z$399,24,FALSE)</f>
        <v>2464086.1869999999</v>
      </c>
      <c r="AA180">
        <f t="shared" si="5"/>
        <v>3.2019983885409447E-7</v>
      </c>
      <c r="AB180" t="s">
        <v>128</v>
      </c>
      <c r="AC180" t="str">
        <f t="shared" si="4"/>
        <v>Census Tract 42, King County, Washington</v>
      </c>
      <c r="AD180">
        <f>VLOOKUP($AC180,'2017 Seattle Tracts'!$C$2:$Z$399,AD$1,FALSE)*AA180</f>
        <v>2.7082502370279309E-3</v>
      </c>
      <c r="AE180">
        <f>VLOOKUP($AC180,'2017 Seattle Tracts'!$C$2:$Z$399,AE$1,FALSE)*AA180</f>
        <v>2.2551674650493872E-3</v>
      </c>
      <c r="AF180">
        <f>VLOOKUP($AC180,'2017 Seattle Tracts'!$C$2:$Z$399,AF$1,FALSE)*AA180</f>
        <v>4.5308277197854369E-4</v>
      </c>
      <c r="AG180">
        <f>VLOOKUP($AC180,'2017 Seattle Tracts'!$C$2:$Z$399,AG$1,FALSE)*AA180</f>
        <v>2.7082502370279309E-3</v>
      </c>
      <c r="AH180">
        <f>VLOOKUP($AC180,'2017 Seattle Tracts'!$C$2:$Z$399,AH$1,FALSE)*AA180</f>
        <v>2.2551674650493872E-3</v>
      </c>
      <c r="AI180">
        <f>VLOOKUP($AC180,'2017 Seattle Tracts'!$C$2:$Z$399,AI$1,FALSE)*AA180</f>
        <v>4.5308277197854369E-4</v>
      </c>
      <c r="AJ180">
        <f>VLOOKUP($AC180,'2017 Seattle Tracts'!$C$2:$Z$399,AJ$1,FALSE)*AA180</f>
        <v>1.9999681934826739E-3</v>
      </c>
      <c r="AK180">
        <f>VLOOKUP($AC180,'2017 Seattle Tracts'!$C$2:$Z$399,AK$1,FALSE)*AA180</f>
        <v>1.440899274843425E-4</v>
      </c>
      <c r="AL180">
        <f>VLOOKUP($AC180,'2017 Seattle Tracts'!$C$2:$Z$399,AL$1,FALSE)*AA180</f>
        <v>9.0616554395708731E-5</v>
      </c>
      <c r="AM180">
        <f>VLOOKUP($AC180,'2017 Seattle Tracts'!$C$2:$Z$399,AM$1,FALSE)*AA180</f>
        <v>1.5369592264996535E-5</v>
      </c>
      <c r="AN180">
        <f>VLOOKUP($AC180,'2017 Seattle Tracts'!$C$2:$Z$399,AN$1,FALSE)*AA180</f>
        <v>3.1379584207701257E-5</v>
      </c>
      <c r="AO180">
        <f>VLOOKUP($AC180,'2017 Seattle Tracts'!$C$2:$Z$399,AO$1,FALSE)*AA180</f>
        <v>1.7610991136975195E-5</v>
      </c>
      <c r="AP180">
        <f>VLOOKUP($AC180,'2017 Seattle Tracts'!$C$2:$Z$399,AP$1,FALSE)*AA180</f>
        <v>3.2019983885409447E-7</v>
      </c>
      <c r="AQ180">
        <f>VLOOKUP($AC180,'2017 Seattle Tracts'!$C$2:$Z$399,AQ$1,FALSE)*AA180</f>
        <v>0</v>
      </c>
      <c r="AR180">
        <f>VLOOKUP($AC180,'2017 Seattle Tracts'!$C$2:$Z$399,AR$1,FALSE)*AA180</f>
        <v>5.79561708325911E-5</v>
      </c>
      <c r="AS180">
        <f>VLOOKUP($AC180,'2017 Seattle Tracts'!$C$2:$Z$399,AS$1,FALSE)*AA180</f>
        <v>2.0652889606089092E-4</v>
      </c>
      <c r="AT180">
        <f>VLOOKUP($AC180,'2017 Seattle Tracts'!$C$2:$Z$399,AT$1,FALSE)*AA180</f>
        <v>0</v>
      </c>
      <c r="AU180">
        <f>VLOOKUP($AC180,'2017 Seattle Tracts'!$C$2:$Z$399,AU$1,FALSE)*AA180</f>
        <v>2.8497785658014407E-5</v>
      </c>
      <c r="AV180">
        <f>VLOOKUP($AC180,'2017 Seattle Tracts'!$C$2:$Z$399,AV$1,FALSE)*AA180</f>
        <v>1.1206994359893306E-5</v>
      </c>
      <c r="AW180">
        <f>VLOOKUP($AC180,'2017 Seattle Tracts'!$C$2:$Z$399,AW$1,FALSE)*AA180</f>
        <v>6.4039967770818891E-6</v>
      </c>
      <c r="AX180">
        <f>VLOOKUP($AC180,'2017 Seattle Tracts'!$C$2:$Z$399,AX$1,FALSE)*AA180</f>
        <v>6.3719767931964794E-5</v>
      </c>
      <c r="AY180">
        <f>VLOOKUP($AC180,'2017 Seattle Tracts'!$C$2:$Z$399,AY$1,FALSE)*AA180</f>
        <v>3.4581582596242204E-5</v>
      </c>
    </row>
    <row r="181" spans="1:51" x14ac:dyDescent="0.25">
      <c r="A181" t="s">
        <v>2917</v>
      </c>
      <c r="B181" t="s">
        <v>2918</v>
      </c>
      <c r="C181" t="s">
        <v>3056</v>
      </c>
      <c r="D181" t="s">
        <v>2698</v>
      </c>
      <c r="E181" t="s">
        <v>2699</v>
      </c>
      <c r="F181" t="s">
        <v>2700</v>
      </c>
      <c r="G181" t="s">
        <v>2920</v>
      </c>
      <c r="H181" t="s">
        <v>2921</v>
      </c>
      <c r="I181">
        <v>2464093</v>
      </c>
      <c r="J181">
        <v>0</v>
      </c>
      <c r="K181" t="s">
        <v>3057</v>
      </c>
      <c r="L181" t="s">
        <v>3058</v>
      </c>
      <c r="M181">
        <v>2464086</v>
      </c>
      <c r="N181">
        <v>38</v>
      </c>
      <c r="O181">
        <v>20928.002</v>
      </c>
      <c r="P181" t="s">
        <v>122</v>
      </c>
      <c r="Q181">
        <v>4</v>
      </c>
      <c r="R181">
        <v>5</v>
      </c>
      <c r="S181">
        <v>24</v>
      </c>
      <c r="T181">
        <v>15485078</v>
      </c>
      <c r="U181">
        <v>40</v>
      </c>
      <c r="V181">
        <v>128</v>
      </c>
      <c r="W181">
        <v>20928.00172430617</v>
      </c>
      <c r="X181">
        <v>15485078.03322144</v>
      </c>
      <c r="Y181">
        <v>1111575.4240000001</v>
      </c>
      <c r="Z181">
        <f>VLOOKUP($AC181,'2017 Seattle Tracts'!$C$2:$Z$399,24,FALSE)</f>
        <v>2464086.1869999999</v>
      </c>
      <c r="AA181">
        <f t="shared" si="5"/>
        <v>0.45111061044229628</v>
      </c>
      <c r="AB181" t="s">
        <v>129</v>
      </c>
      <c r="AC181" t="str">
        <f t="shared" si="4"/>
        <v>Census Tract 42, King County, Washington</v>
      </c>
      <c r="AD181">
        <f>VLOOKUP($AC181,'2017 Seattle Tracts'!$C$2:$Z$399,AD$1,FALSE)*AA181</f>
        <v>3815.4935431209419</v>
      </c>
      <c r="AE181">
        <f>VLOOKUP($AC181,'2017 Seattle Tracts'!$C$2:$Z$399,AE$1,FALSE)*AA181</f>
        <v>3177.1720293450926</v>
      </c>
      <c r="AF181">
        <f>VLOOKUP($AC181,'2017 Seattle Tracts'!$C$2:$Z$399,AF$1,FALSE)*AA181</f>
        <v>638.32151377584921</v>
      </c>
      <c r="AG181">
        <f>VLOOKUP($AC181,'2017 Seattle Tracts'!$C$2:$Z$399,AG$1,FALSE)*AA181</f>
        <v>3815.4935431209419</v>
      </c>
      <c r="AH181">
        <f>VLOOKUP($AC181,'2017 Seattle Tracts'!$C$2:$Z$399,AH$1,FALSE)*AA181</f>
        <v>3177.1720293450926</v>
      </c>
      <c r="AI181">
        <f>VLOOKUP($AC181,'2017 Seattle Tracts'!$C$2:$Z$399,AI$1,FALSE)*AA181</f>
        <v>638.32151377584921</v>
      </c>
      <c r="AJ181">
        <f>VLOOKUP($AC181,'2017 Seattle Tracts'!$C$2:$Z$399,AJ$1,FALSE)*AA181</f>
        <v>2817.6368728225825</v>
      </c>
      <c r="AK181">
        <f>VLOOKUP($AC181,'2017 Seattle Tracts'!$C$2:$Z$399,AK$1,FALSE)*AA181</f>
        <v>202.99977469903334</v>
      </c>
      <c r="AL181">
        <f>VLOOKUP($AC181,'2017 Seattle Tracts'!$C$2:$Z$399,AL$1,FALSE)*AA181</f>
        <v>127.66430275516984</v>
      </c>
      <c r="AM181">
        <f>VLOOKUP($AC181,'2017 Seattle Tracts'!$C$2:$Z$399,AM$1,FALSE)*AA181</f>
        <v>21.653309301230223</v>
      </c>
      <c r="AN181">
        <f>VLOOKUP($AC181,'2017 Seattle Tracts'!$C$2:$Z$399,AN$1,FALSE)*AA181</f>
        <v>44.208839823345038</v>
      </c>
      <c r="AO181">
        <f>VLOOKUP($AC181,'2017 Seattle Tracts'!$C$2:$Z$399,AO$1,FALSE)*AA181</f>
        <v>24.811083574326297</v>
      </c>
      <c r="AP181">
        <f>VLOOKUP($AC181,'2017 Seattle Tracts'!$C$2:$Z$399,AP$1,FALSE)*AA181</f>
        <v>0.45111061044229628</v>
      </c>
      <c r="AQ181">
        <f>VLOOKUP($AC181,'2017 Seattle Tracts'!$C$2:$Z$399,AQ$1,FALSE)*AA181</f>
        <v>0</v>
      </c>
      <c r="AR181">
        <f>VLOOKUP($AC181,'2017 Seattle Tracts'!$C$2:$Z$399,AR$1,FALSE)*AA181</f>
        <v>81.651020490055629</v>
      </c>
      <c r="AS181">
        <f>VLOOKUP($AC181,'2017 Seattle Tracts'!$C$2:$Z$399,AS$1,FALSE)*AA181</f>
        <v>290.9663437352811</v>
      </c>
      <c r="AT181">
        <f>VLOOKUP($AC181,'2017 Seattle Tracts'!$C$2:$Z$399,AT$1,FALSE)*AA181</f>
        <v>0</v>
      </c>
      <c r="AU181">
        <f>VLOOKUP($AC181,'2017 Seattle Tracts'!$C$2:$Z$399,AU$1,FALSE)*AA181</f>
        <v>40.148844329364366</v>
      </c>
      <c r="AV181">
        <f>VLOOKUP($AC181,'2017 Seattle Tracts'!$C$2:$Z$399,AV$1,FALSE)*AA181</f>
        <v>15.78887136548037</v>
      </c>
      <c r="AW181">
        <f>VLOOKUP($AC181,'2017 Seattle Tracts'!$C$2:$Z$399,AW$1,FALSE)*AA181</f>
        <v>9.0222122088459251</v>
      </c>
      <c r="AX181">
        <f>VLOOKUP($AC181,'2017 Seattle Tracts'!$C$2:$Z$399,AX$1,FALSE)*AA181</f>
        <v>89.771011478016959</v>
      </c>
      <c r="AY181">
        <f>VLOOKUP($AC181,'2017 Seattle Tracts'!$C$2:$Z$399,AY$1,FALSE)*AA181</f>
        <v>48.719945927767995</v>
      </c>
    </row>
    <row r="182" spans="1:51" x14ac:dyDescent="0.25">
      <c r="A182" t="s">
        <v>2917</v>
      </c>
      <c r="B182" t="s">
        <v>2918</v>
      </c>
      <c r="C182" t="s">
        <v>3056</v>
      </c>
      <c r="D182" t="s">
        <v>2698</v>
      </c>
      <c r="E182" t="s">
        <v>2699</v>
      </c>
      <c r="F182" t="s">
        <v>2700</v>
      </c>
      <c r="G182" t="s">
        <v>2920</v>
      </c>
      <c r="H182" t="s">
        <v>2921</v>
      </c>
      <c r="I182">
        <v>2464093</v>
      </c>
      <c r="J182">
        <v>0</v>
      </c>
      <c r="K182" t="s">
        <v>3057</v>
      </c>
      <c r="L182" t="s">
        <v>3058</v>
      </c>
      <c r="M182">
        <v>2464086</v>
      </c>
      <c r="N182">
        <v>39</v>
      </c>
      <c r="O182">
        <v>33332.828000000001</v>
      </c>
      <c r="P182" t="s">
        <v>122</v>
      </c>
      <c r="Q182">
        <v>4</v>
      </c>
      <c r="R182">
        <v>5</v>
      </c>
      <c r="S182">
        <v>23</v>
      </c>
      <c r="T182">
        <v>22363966</v>
      </c>
      <c r="U182">
        <v>41</v>
      </c>
      <c r="V182">
        <v>131</v>
      </c>
      <c r="W182">
        <v>33332.829196830411</v>
      </c>
      <c r="X182">
        <v>22363966.623789791</v>
      </c>
      <c r="Y182">
        <v>692496.72600000002</v>
      </c>
      <c r="Z182">
        <f>VLOOKUP($AC182,'2017 Seattle Tracts'!$C$2:$Z$399,24,FALSE)</f>
        <v>2464086.1869999999</v>
      </c>
      <c r="AA182">
        <f t="shared" si="5"/>
        <v>0.28103591897615715</v>
      </c>
      <c r="AB182" t="s">
        <v>130</v>
      </c>
      <c r="AC182" t="str">
        <f t="shared" si="4"/>
        <v>Census Tract 42, King County, Washington</v>
      </c>
      <c r="AD182">
        <f>VLOOKUP($AC182,'2017 Seattle Tracts'!$C$2:$Z$399,AD$1,FALSE)*AA182</f>
        <v>2377.0018027003371</v>
      </c>
      <c r="AE182">
        <f>VLOOKUP($AC182,'2017 Seattle Tracts'!$C$2:$Z$399,AE$1,FALSE)*AA182</f>
        <v>1979.3359773490747</v>
      </c>
      <c r="AF182">
        <f>VLOOKUP($AC182,'2017 Seattle Tracts'!$C$2:$Z$399,AF$1,FALSE)*AA182</f>
        <v>397.66582535126236</v>
      </c>
      <c r="AG182">
        <f>VLOOKUP($AC182,'2017 Seattle Tracts'!$C$2:$Z$399,AG$1,FALSE)*AA182</f>
        <v>2377.0018027003371</v>
      </c>
      <c r="AH182">
        <f>VLOOKUP($AC182,'2017 Seattle Tracts'!$C$2:$Z$399,AH$1,FALSE)*AA182</f>
        <v>1979.3359773490747</v>
      </c>
      <c r="AI182">
        <f>VLOOKUP($AC182,'2017 Seattle Tracts'!$C$2:$Z$399,AI$1,FALSE)*AA182</f>
        <v>397.66582535126236</v>
      </c>
      <c r="AJ182">
        <f>VLOOKUP($AC182,'2017 Seattle Tracts'!$C$2:$Z$399,AJ$1,FALSE)*AA182</f>
        <v>1755.3503499250776</v>
      </c>
      <c r="AK182">
        <f>VLOOKUP($AC182,'2017 Seattle Tracts'!$C$2:$Z$399,AK$1,FALSE)*AA182</f>
        <v>126.46616353927072</v>
      </c>
      <c r="AL182">
        <f>VLOOKUP($AC182,'2017 Seattle Tracts'!$C$2:$Z$399,AL$1,FALSE)*AA182</f>
        <v>79.53316507025248</v>
      </c>
      <c r="AM182">
        <f>VLOOKUP($AC182,'2017 Seattle Tracts'!$C$2:$Z$399,AM$1,FALSE)*AA182</f>
        <v>13.489724110855544</v>
      </c>
      <c r="AN182">
        <f>VLOOKUP($AC182,'2017 Seattle Tracts'!$C$2:$Z$399,AN$1,FALSE)*AA182</f>
        <v>27.541520059663402</v>
      </c>
      <c r="AO182">
        <f>VLOOKUP($AC182,'2017 Seattle Tracts'!$C$2:$Z$399,AO$1,FALSE)*AA182</f>
        <v>15.456975543688642</v>
      </c>
      <c r="AP182">
        <f>VLOOKUP($AC182,'2017 Seattle Tracts'!$C$2:$Z$399,AP$1,FALSE)*AA182</f>
        <v>0.28103591897615715</v>
      </c>
      <c r="AQ182">
        <f>VLOOKUP($AC182,'2017 Seattle Tracts'!$C$2:$Z$399,AQ$1,FALSE)*AA182</f>
        <v>0</v>
      </c>
      <c r="AR182">
        <f>VLOOKUP($AC182,'2017 Seattle Tracts'!$C$2:$Z$399,AR$1,FALSE)*AA182</f>
        <v>50.867501334684441</v>
      </c>
      <c r="AS182">
        <f>VLOOKUP($AC182,'2017 Seattle Tracts'!$C$2:$Z$399,AS$1,FALSE)*AA182</f>
        <v>181.26816773962136</v>
      </c>
      <c r="AT182">
        <f>VLOOKUP($AC182,'2017 Seattle Tracts'!$C$2:$Z$399,AT$1,FALSE)*AA182</f>
        <v>0</v>
      </c>
      <c r="AU182">
        <f>VLOOKUP($AC182,'2017 Seattle Tracts'!$C$2:$Z$399,AU$1,FALSE)*AA182</f>
        <v>25.012196788877986</v>
      </c>
      <c r="AV182">
        <f>VLOOKUP($AC182,'2017 Seattle Tracts'!$C$2:$Z$399,AV$1,FALSE)*AA182</f>
        <v>9.8362571641655006</v>
      </c>
      <c r="AW182">
        <f>VLOOKUP($AC182,'2017 Seattle Tracts'!$C$2:$Z$399,AW$1,FALSE)*AA182</f>
        <v>5.6207183795231428</v>
      </c>
      <c r="AX182">
        <f>VLOOKUP($AC182,'2017 Seattle Tracts'!$C$2:$Z$399,AX$1,FALSE)*AA182</f>
        <v>55.926147876255271</v>
      </c>
      <c r="AY182">
        <f>VLOOKUP($AC182,'2017 Seattle Tracts'!$C$2:$Z$399,AY$1,FALSE)*AA182</f>
        <v>30.351879249424972</v>
      </c>
    </row>
    <row r="183" spans="1:51" x14ac:dyDescent="0.25">
      <c r="A183" t="s">
        <v>2917</v>
      </c>
      <c r="B183" t="s">
        <v>2918</v>
      </c>
      <c r="C183" t="s">
        <v>3056</v>
      </c>
      <c r="D183" t="s">
        <v>2698</v>
      </c>
      <c r="E183" t="s">
        <v>2699</v>
      </c>
      <c r="F183" t="s">
        <v>2700</v>
      </c>
      <c r="G183" t="s">
        <v>2920</v>
      </c>
      <c r="H183" t="s">
        <v>2921</v>
      </c>
      <c r="I183">
        <v>2464093</v>
      </c>
      <c r="J183">
        <v>0</v>
      </c>
      <c r="K183" t="s">
        <v>3057</v>
      </c>
      <c r="L183" t="s">
        <v>3058</v>
      </c>
      <c r="M183">
        <v>2464086</v>
      </c>
      <c r="N183">
        <v>40</v>
      </c>
      <c r="O183">
        <v>26489.241999999998</v>
      </c>
      <c r="P183" t="s">
        <v>122</v>
      </c>
      <c r="Q183">
        <v>4</v>
      </c>
      <c r="R183">
        <v>5</v>
      </c>
      <c r="S183">
        <v>95</v>
      </c>
      <c r="T183">
        <v>19051776</v>
      </c>
      <c r="U183">
        <v>42</v>
      </c>
      <c r="V183">
        <v>136</v>
      </c>
      <c r="W183">
        <v>26489.242232173649</v>
      </c>
      <c r="X183">
        <v>19051776.818690982</v>
      </c>
      <c r="Y183">
        <v>5343.1729999999998</v>
      </c>
      <c r="Z183">
        <f>VLOOKUP($AC183,'2017 Seattle Tracts'!$C$2:$Z$399,24,FALSE)</f>
        <v>2464086.1869999999</v>
      </c>
      <c r="AA183">
        <f t="shared" si="5"/>
        <v>2.1684196876673614E-3</v>
      </c>
      <c r="AB183" t="s">
        <v>131</v>
      </c>
      <c r="AC183" t="str">
        <f t="shared" si="4"/>
        <v>Census Tract 42, King County, Washington</v>
      </c>
      <c r="AD183">
        <f>VLOOKUP($AC183,'2017 Seattle Tracts'!$C$2:$Z$399,AD$1,FALSE)*AA183</f>
        <v>18.340493718290542</v>
      </c>
      <c r="AE183">
        <f>VLOOKUP($AC183,'2017 Seattle Tracts'!$C$2:$Z$399,AE$1,FALSE)*AA183</f>
        <v>15.272179860241227</v>
      </c>
      <c r="AF183">
        <f>VLOOKUP($AC183,'2017 Seattle Tracts'!$C$2:$Z$399,AF$1,FALSE)*AA183</f>
        <v>3.0683138580493163</v>
      </c>
      <c r="AG183">
        <f>VLOOKUP($AC183,'2017 Seattle Tracts'!$C$2:$Z$399,AG$1,FALSE)*AA183</f>
        <v>18.340493718290542</v>
      </c>
      <c r="AH183">
        <f>VLOOKUP($AC183,'2017 Seattle Tracts'!$C$2:$Z$399,AH$1,FALSE)*AA183</f>
        <v>15.272179860241227</v>
      </c>
      <c r="AI183">
        <f>VLOOKUP($AC183,'2017 Seattle Tracts'!$C$2:$Z$399,AI$1,FALSE)*AA183</f>
        <v>3.0683138580493163</v>
      </c>
      <c r="AJ183">
        <f>VLOOKUP($AC183,'2017 Seattle Tracts'!$C$2:$Z$399,AJ$1,FALSE)*AA183</f>
        <v>13.54394936917034</v>
      </c>
      <c r="AK183">
        <f>VLOOKUP($AC183,'2017 Seattle Tracts'!$C$2:$Z$399,AK$1,FALSE)*AA183</f>
        <v>0.97578885945031268</v>
      </c>
      <c r="AL183">
        <f>VLOOKUP($AC183,'2017 Seattle Tracts'!$C$2:$Z$399,AL$1,FALSE)*AA183</f>
        <v>0.61366277160986327</v>
      </c>
      <c r="AM183">
        <f>VLOOKUP($AC183,'2017 Seattle Tracts'!$C$2:$Z$399,AM$1,FALSE)*AA183</f>
        <v>0.10408414500803334</v>
      </c>
      <c r="AN183">
        <f>VLOOKUP($AC183,'2017 Seattle Tracts'!$C$2:$Z$399,AN$1,FALSE)*AA183</f>
        <v>0.21250512939140143</v>
      </c>
      <c r="AO183">
        <f>VLOOKUP($AC183,'2017 Seattle Tracts'!$C$2:$Z$399,AO$1,FALSE)*AA183</f>
        <v>0.11926308282170488</v>
      </c>
      <c r="AP183">
        <f>VLOOKUP($AC183,'2017 Seattle Tracts'!$C$2:$Z$399,AP$1,FALSE)*AA183</f>
        <v>2.1684196876673614E-3</v>
      </c>
      <c r="AQ183">
        <f>VLOOKUP($AC183,'2017 Seattle Tracts'!$C$2:$Z$399,AQ$1,FALSE)*AA183</f>
        <v>0</v>
      </c>
      <c r="AR183">
        <f>VLOOKUP($AC183,'2017 Seattle Tracts'!$C$2:$Z$399,AR$1,FALSE)*AA183</f>
        <v>0.39248396346779241</v>
      </c>
      <c r="AS183">
        <f>VLOOKUP($AC183,'2017 Seattle Tracts'!$C$2:$Z$399,AS$1,FALSE)*AA183</f>
        <v>1.3986306985454482</v>
      </c>
      <c r="AT183">
        <f>VLOOKUP($AC183,'2017 Seattle Tracts'!$C$2:$Z$399,AT$1,FALSE)*AA183</f>
        <v>0</v>
      </c>
      <c r="AU183">
        <f>VLOOKUP($AC183,'2017 Seattle Tracts'!$C$2:$Z$399,AU$1,FALSE)*AA183</f>
        <v>0.19298935220239516</v>
      </c>
      <c r="AV183">
        <f>VLOOKUP($AC183,'2017 Seattle Tracts'!$C$2:$Z$399,AV$1,FALSE)*AA183</f>
        <v>7.5894689068357654E-2</v>
      </c>
      <c r="AW183">
        <f>VLOOKUP($AC183,'2017 Seattle Tracts'!$C$2:$Z$399,AW$1,FALSE)*AA183</f>
        <v>4.336839375334723E-2</v>
      </c>
      <c r="AX183">
        <f>VLOOKUP($AC183,'2017 Seattle Tracts'!$C$2:$Z$399,AX$1,FALSE)*AA183</f>
        <v>0.43151551784580494</v>
      </c>
      <c r="AY183">
        <f>VLOOKUP($AC183,'2017 Seattle Tracts'!$C$2:$Z$399,AY$1,FALSE)*AA183</f>
        <v>0.23418932626807504</v>
      </c>
    </row>
    <row r="184" spans="1:51" x14ac:dyDescent="0.25">
      <c r="A184" t="s">
        <v>2917</v>
      </c>
      <c r="B184" t="s">
        <v>2918</v>
      </c>
      <c r="C184" t="s">
        <v>3056</v>
      </c>
      <c r="D184" t="s">
        <v>2698</v>
      </c>
      <c r="E184" t="s">
        <v>2699</v>
      </c>
      <c r="F184" t="s">
        <v>2700</v>
      </c>
      <c r="G184" t="s">
        <v>2920</v>
      </c>
      <c r="H184" t="s">
        <v>2921</v>
      </c>
      <c r="I184">
        <v>2464093</v>
      </c>
      <c r="J184">
        <v>0</v>
      </c>
      <c r="K184" t="s">
        <v>3057</v>
      </c>
      <c r="L184" t="s">
        <v>3058</v>
      </c>
      <c r="M184">
        <v>2464086</v>
      </c>
      <c r="N184">
        <v>42</v>
      </c>
      <c r="O184">
        <v>41446.940999999999</v>
      </c>
      <c r="P184" t="s">
        <v>134</v>
      </c>
      <c r="Q184">
        <v>5</v>
      </c>
      <c r="R184">
        <v>12</v>
      </c>
      <c r="S184">
        <v>33</v>
      </c>
      <c r="T184">
        <v>49348388</v>
      </c>
      <c r="U184">
        <v>44</v>
      </c>
      <c r="V184">
        <v>139</v>
      </c>
      <c r="W184">
        <v>41446.941321259314</v>
      </c>
      <c r="X184">
        <v>49348387.058142804</v>
      </c>
      <c r="Y184">
        <v>529.096</v>
      </c>
      <c r="Z184">
        <f>VLOOKUP($AC184,'2017 Seattle Tracts'!$C$2:$Z$399,24,FALSE)</f>
        <v>2464086.1869999999</v>
      </c>
      <c r="AA184">
        <f t="shared" si="5"/>
        <v>2.1472300879384786E-4</v>
      </c>
      <c r="AB184" t="s">
        <v>133</v>
      </c>
      <c r="AC184" t="str">
        <f t="shared" si="4"/>
        <v>Census Tract 42, King County, Washington</v>
      </c>
      <c r="AD184">
        <f>VLOOKUP($AC184,'2017 Seattle Tracts'!$C$2:$Z$399,AD$1,FALSE)*AA184</f>
        <v>1.8161272083783653</v>
      </c>
      <c r="AE184">
        <f>VLOOKUP($AC184,'2017 Seattle Tracts'!$C$2:$Z$399,AE$1,FALSE)*AA184</f>
        <v>1.5122941509350705</v>
      </c>
      <c r="AF184">
        <f>VLOOKUP($AC184,'2017 Seattle Tracts'!$C$2:$Z$399,AF$1,FALSE)*AA184</f>
        <v>0.30383305744329475</v>
      </c>
      <c r="AG184">
        <f>VLOOKUP($AC184,'2017 Seattle Tracts'!$C$2:$Z$399,AG$1,FALSE)*AA184</f>
        <v>1.8161272083783653</v>
      </c>
      <c r="AH184">
        <f>VLOOKUP($AC184,'2017 Seattle Tracts'!$C$2:$Z$399,AH$1,FALSE)*AA184</f>
        <v>1.5122941509350705</v>
      </c>
      <c r="AI184">
        <f>VLOOKUP($AC184,'2017 Seattle Tracts'!$C$2:$Z$399,AI$1,FALSE)*AA184</f>
        <v>0.30383305744329475</v>
      </c>
      <c r="AJ184">
        <f>VLOOKUP($AC184,'2017 Seattle Tracts'!$C$2:$Z$399,AJ$1,FALSE)*AA184</f>
        <v>1.3411599129263738</v>
      </c>
      <c r="AK184">
        <f>VLOOKUP($AC184,'2017 Seattle Tracts'!$C$2:$Z$399,AK$1,FALSE)*AA184</f>
        <v>9.6625353957231541E-2</v>
      </c>
      <c r="AL184">
        <f>VLOOKUP($AC184,'2017 Seattle Tracts'!$C$2:$Z$399,AL$1,FALSE)*AA184</f>
        <v>6.0766611488658945E-2</v>
      </c>
      <c r="AM184">
        <f>VLOOKUP($AC184,'2017 Seattle Tracts'!$C$2:$Z$399,AM$1,FALSE)*AA184</f>
        <v>1.0306704422104698E-2</v>
      </c>
      <c r="AN184">
        <f>VLOOKUP($AC184,'2017 Seattle Tracts'!$C$2:$Z$399,AN$1,FALSE)*AA184</f>
        <v>2.1042854861797092E-2</v>
      </c>
      <c r="AO184">
        <f>VLOOKUP($AC184,'2017 Seattle Tracts'!$C$2:$Z$399,AO$1,FALSE)*AA184</f>
        <v>1.1809765483661633E-2</v>
      </c>
      <c r="AP184">
        <f>VLOOKUP($AC184,'2017 Seattle Tracts'!$C$2:$Z$399,AP$1,FALSE)*AA184</f>
        <v>2.1472300879384786E-4</v>
      </c>
      <c r="AQ184">
        <f>VLOOKUP($AC184,'2017 Seattle Tracts'!$C$2:$Z$399,AQ$1,FALSE)*AA184</f>
        <v>0</v>
      </c>
      <c r="AR184">
        <f>VLOOKUP($AC184,'2017 Seattle Tracts'!$C$2:$Z$399,AR$1,FALSE)*AA184</f>
        <v>3.8864864591686463E-2</v>
      </c>
      <c r="AS184">
        <f>VLOOKUP($AC184,'2017 Seattle Tracts'!$C$2:$Z$399,AS$1,FALSE)*AA184</f>
        <v>0.13849634067203187</v>
      </c>
      <c r="AT184">
        <f>VLOOKUP($AC184,'2017 Seattle Tracts'!$C$2:$Z$399,AT$1,FALSE)*AA184</f>
        <v>0</v>
      </c>
      <c r="AU184">
        <f>VLOOKUP($AC184,'2017 Seattle Tracts'!$C$2:$Z$399,AU$1,FALSE)*AA184</f>
        <v>1.911034778265246E-2</v>
      </c>
      <c r="AV184">
        <f>VLOOKUP($AC184,'2017 Seattle Tracts'!$C$2:$Z$399,AV$1,FALSE)*AA184</f>
        <v>7.5153053077846753E-3</v>
      </c>
      <c r="AW184">
        <f>VLOOKUP($AC184,'2017 Seattle Tracts'!$C$2:$Z$399,AW$1,FALSE)*AA184</f>
        <v>4.294460175876957E-3</v>
      </c>
      <c r="AX184">
        <f>VLOOKUP($AC184,'2017 Seattle Tracts'!$C$2:$Z$399,AX$1,FALSE)*AA184</f>
        <v>4.2729878749975726E-2</v>
      </c>
      <c r="AY184">
        <f>VLOOKUP($AC184,'2017 Seattle Tracts'!$C$2:$Z$399,AY$1,FALSE)*AA184</f>
        <v>2.3190084949735568E-2</v>
      </c>
    </row>
    <row r="185" spans="1:51" x14ac:dyDescent="0.25">
      <c r="A185" t="s">
        <v>2917</v>
      </c>
      <c r="B185" t="s">
        <v>2918</v>
      </c>
      <c r="C185" t="s">
        <v>3059</v>
      </c>
      <c r="D185" t="s">
        <v>2725</v>
      </c>
      <c r="E185" t="s">
        <v>2726</v>
      </c>
      <c r="F185" t="s">
        <v>2727</v>
      </c>
      <c r="G185" t="s">
        <v>2920</v>
      </c>
      <c r="H185" t="s">
        <v>2921</v>
      </c>
      <c r="I185">
        <v>787147</v>
      </c>
      <c r="J185">
        <v>0</v>
      </c>
      <c r="K185" t="s">
        <v>3060</v>
      </c>
      <c r="L185" t="s">
        <v>3061</v>
      </c>
      <c r="M185">
        <v>787152</v>
      </c>
      <c r="N185">
        <v>29</v>
      </c>
      <c r="O185">
        <v>15934.439</v>
      </c>
      <c r="P185" t="s">
        <v>117</v>
      </c>
      <c r="Q185">
        <v>7</v>
      </c>
      <c r="R185">
        <v>11</v>
      </c>
      <c r="S185">
        <v>24</v>
      </c>
      <c r="T185">
        <v>14195687</v>
      </c>
      <c r="U185">
        <v>31</v>
      </c>
      <c r="V185">
        <v>121</v>
      </c>
      <c r="W185">
        <v>15934.4392663199</v>
      </c>
      <c r="X185">
        <v>14195687.491917299</v>
      </c>
      <c r="Y185">
        <v>4.5060000000000002</v>
      </c>
      <c r="Z185">
        <f>VLOOKUP($AC185,'2017 Seattle Tracts'!$C$2:$Z$399,24,FALSE)</f>
        <v>787151.99899999995</v>
      </c>
      <c r="AA185">
        <f t="shared" si="5"/>
        <v>5.7244344240050654E-6</v>
      </c>
      <c r="AB185" t="s">
        <v>119</v>
      </c>
      <c r="AC185" t="str">
        <f t="shared" si="4"/>
        <v>Census Tract 34, King County, Washington</v>
      </c>
      <c r="AD185">
        <f>VLOOKUP($AC185,'2017 Seattle Tracts'!$C$2:$Z$399,AD$1,FALSE)*AA185</f>
        <v>2.0957154426282546E-2</v>
      </c>
      <c r="AE185">
        <f>VLOOKUP($AC185,'2017 Seattle Tracts'!$C$2:$Z$399,AE$1,FALSE)*AA185</f>
        <v>1.9291344008897069E-2</v>
      </c>
      <c r="AF185">
        <f>VLOOKUP($AC185,'2017 Seattle Tracts'!$C$2:$Z$399,AF$1,FALSE)*AA185</f>
        <v>1.665810417385474E-3</v>
      </c>
      <c r="AG185">
        <f>VLOOKUP($AC185,'2017 Seattle Tracts'!$C$2:$Z$399,AG$1,FALSE)*AA185</f>
        <v>2.0957154426282546E-2</v>
      </c>
      <c r="AH185">
        <f>VLOOKUP($AC185,'2017 Seattle Tracts'!$C$2:$Z$399,AH$1,FALSE)*AA185</f>
        <v>1.9291344008897069E-2</v>
      </c>
      <c r="AI185">
        <f>VLOOKUP($AC185,'2017 Seattle Tracts'!$C$2:$Z$399,AI$1,FALSE)*AA185</f>
        <v>1.665810417385474E-3</v>
      </c>
      <c r="AJ185">
        <f>VLOOKUP($AC185,'2017 Seattle Tracts'!$C$2:$Z$399,AJ$1,FALSE)*AA185</f>
        <v>1.6938601460630989E-2</v>
      </c>
      <c r="AK185">
        <f>VLOOKUP($AC185,'2017 Seattle Tracts'!$C$2:$Z$399,AK$1,FALSE)*AA185</f>
        <v>8.1859412263272436E-4</v>
      </c>
      <c r="AL185">
        <f>VLOOKUP($AC185,'2017 Seattle Tracts'!$C$2:$Z$399,AL$1,FALSE)*AA185</f>
        <v>2.6332398350423301E-4</v>
      </c>
      <c r="AM185">
        <f>VLOOKUP($AC185,'2017 Seattle Tracts'!$C$2:$Z$399,AM$1,FALSE)*AA185</f>
        <v>5.1519909816045588E-5</v>
      </c>
      <c r="AN185">
        <f>VLOOKUP($AC185,'2017 Seattle Tracts'!$C$2:$Z$399,AN$1,FALSE)*AA185</f>
        <v>2.8622172120025329E-4</v>
      </c>
      <c r="AO185">
        <f>VLOOKUP($AC185,'2017 Seattle Tracts'!$C$2:$Z$399,AO$1,FALSE)*AA185</f>
        <v>0</v>
      </c>
      <c r="AP185">
        <f>VLOOKUP($AC185,'2017 Seattle Tracts'!$C$2:$Z$399,AP$1,FALSE)*AA185</f>
        <v>9.7315385208086118E-5</v>
      </c>
      <c r="AQ185">
        <f>VLOOKUP($AC185,'2017 Seattle Tracts'!$C$2:$Z$399,AQ$1,FALSE)*AA185</f>
        <v>0</v>
      </c>
      <c r="AR185">
        <f>VLOOKUP($AC185,'2017 Seattle Tracts'!$C$2:$Z$399,AR$1,FALSE)*AA185</f>
        <v>6.98380999728618E-4</v>
      </c>
      <c r="AS185">
        <f>VLOOKUP($AC185,'2017 Seattle Tracts'!$C$2:$Z$399,AS$1,FALSE)*AA185</f>
        <v>6.2968778664055714E-4</v>
      </c>
      <c r="AT185">
        <f>VLOOKUP($AC185,'2017 Seattle Tracts'!$C$2:$Z$399,AT$1,FALSE)*AA185</f>
        <v>0</v>
      </c>
      <c r="AU185">
        <f>VLOOKUP($AC185,'2017 Seattle Tracts'!$C$2:$Z$399,AU$1,FALSE)*AA185</f>
        <v>0</v>
      </c>
      <c r="AV185">
        <f>VLOOKUP($AC185,'2017 Seattle Tracts'!$C$2:$Z$399,AV$1,FALSE)*AA185</f>
        <v>1.316619917521165E-4</v>
      </c>
      <c r="AW185">
        <f>VLOOKUP($AC185,'2017 Seattle Tracts'!$C$2:$Z$399,AW$1,FALSE)*AA185</f>
        <v>0</v>
      </c>
      <c r="AX185">
        <f>VLOOKUP($AC185,'2017 Seattle Tracts'!$C$2:$Z$399,AX$1,FALSE)*AA185</f>
        <v>8.7583846687277502E-4</v>
      </c>
      <c r="AY185">
        <f>VLOOKUP($AC185,'2017 Seattle Tracts'!$C$2:$Z$399,AY$1,FALSE)*AA185</f>
        <v>1.6600859829614691E-4</v>
      </c>
    </row>
    <row r="186" spans="1:51" x14ac:dyDescent="0.25">
      <c r="A186" t="s">
        <v>2917</v>
      </c>
      <c r="B186" t="s">
        <v>2918</v>
      </c>
      <c r="C186" t="s">
        <v>3059</v>
      </c>
      <c r="D186" t="s">
        <v>2725</v>
      </c>
      <c r="E186" t="s">
        <v>2726</v>
      </c>
      <c r="F186" t="s">
        <v>2727</v>
      </c>
      <c r="G186" t="s">
        <v>2920</v>
      </c>
      <c r="H186" t="s">
        <v>2921</v>
      </c>
      <c r="I186">
        <v>787147</v>
      </c>
      <c r="J186">
        <v>0</v>
      </c>
      <c r="K186" t="s">
        <v>3060</v>
      </c>
      <c r="L186" t="s">
        <v>3061</v>
      </c>
      <c r="M186">
        <v>787152</v>
      </c>
      <c r="N186">
        <v>30</v>
      </c>
      <c r="O186">
        <v>21789.65</v>
      </c>
      <c r="P186" t="s">
        <v>117</v>
      </c>
      <c r="Q186">
        <v>7</v>
      </c>
      <c r="R186">
        <v>11</v>
      </c>
      <c r="S186">
        <v>9</v>
      </c>
      <c r="T186">
        <v>22199366</v>
      </c>
      <c r="U186">
        <v>32</v>
      </c>
      <c r="V186">
        <v>130</v>
      </c>
      <c r="W186">
        <v>21789.651087349259</v>
      </c>
      <c r="X186">
        <v>22199366.873256031</v>
      </c>
      <c r="Y186">
        <v>326838.59100000001</v>
      </c>
      <c r="Z186">
        <f>VLOOKUP($AC186,'2017 Seattle Tracts'!$C$2:$Z$399,24,FALSE)</f>
        <v>787151.99899999995</v>
      </c>
      <c r="AA186">
        <f t="shared" si="5"/>
        <v>0.41521661815661609</v>
      </c>
      <c r="AB186" t="s">
        <v>120</v>
      </c>
      <c r="AC186" t="str">
        <f t="shared" si="4"/>
        <v>Census Tract 34, King County, Washington</v>
      </c>
      <c r="AD186">
        <f>VLOOKUP($AC186,'2017 Seattle Tracts'!$C$2:$Z$399,AD$1,FALSE)*AA186</f>
        <v>1520.1080390713714</v>
      </c>
      <c r="AE186">
        <f>VLOOKUP($AC186,'2017 Seattle Tracts'!$C$2:$Z$399,AE$1,FALSE)*AA186</f>
        <v>1399.2800031877962</v>
      </c>
      <c r="AF186">
        <f>VLOOKUP($AC186,'2017 Seattle Tracts'!$C$2:$Z$399,AF$1,FALSE)*AA186</f>
        <v>120.82803588357528</v>
      </c>
      <c r="AG186">
        <f>VLOOKUP($AC186,'2017 Seattle Tracts'!$C$2:$Z$399,AG$1,FALSE)*AA186</f>
        <v>1520.1080390713714</v>
      </c>
      <c r="AH186">
        <f>VLOOKUP($AC186,'2017 Seattle Tracts'!$C$2:$Z$399,AH$1,FALSE)*AA186</f>
        <v>1399.2800031877962</v>
      </c>
      <c r="AI186">
        <f>VLOOKUP($AC186,'2017 Seattle Tracts'!$C$2:$Z$399,AI$1,FALSE)*AA186</f>
        <v>120.82803588357528</v>
      </c>
      <c r="AJ186">
        <f>VLOOKUP($AC186,'2017 Seattle Tracts'!$C$2:$Z$399,AJ$1,FALSE)*AA186</f>
        <v>1228.625973125427</v>
      </c>
      <c r="AK186">
        <f>VLOOKUP($AC186,'2017 Seattle Tracts'!$C$2:$Z$399,AK$1,FALSE)*AA186</f>
        <v>59.375976396396098</v>
      </c>
      <c r="AL186">
        <f>VLOOKUP($AC186,'2017 Seattle Tracts'!$C$2:$Z$399,AL$1,FALSE)*AA186</f>
        <v>19.099964435204342</v>
      </c>
      <c r="AM186">
        <f>VLOOKUP($AC186,'2017 Seattle Tracts'!$C$2:$Z$399,AM$1,FALSE)*AA186</f>
        <v>3.7369495634095449</v>
      </c>
      <c r="AN186">
        <f>VLOOKUP($AC186,'2017 Seattle Tracts'!$C$2:$Z$399,AN$1,FALSE)*AA186</f>
        <v>20.760830907830805</v>
      </c>
      <c r="AO186">
        <f>VLOOKUP($AC186,'2017 Seattle Tracts'!$C$2:$Z$399,AO$1,FALSE)*AA186</f>
        <v>0</v>
      </c>
      <c r="AP186">
        <f>VLOOKUP($AC186,'2017 Seattle Tracts'!$C$2:$Z$399,AP$1,FALSE)*AA186</f>
        <v>7.0586825086624732</v>
      </c>
      <c r="AQ186">
        <f>VLOOKUP($AC186,'2017 Seattle Tracts'!$C$2:$Z$399,AQ$1,FALSE)*AA186</f>
        <v>0</v>
      </c>
      <c r="AR186">
        <f>VLOOKUP($AC186,'2017 Seattle Tracts'!$C$2:$Z$399,AR$1,FALSE)*AA186</f>
        <v>50.65642741510716</v>
      </c>
      <c r="AS186">
        <f>VLOOKUP($AC186,'2017 Seattle Tracts'!$C$2:$Z$399,AS$1,FALSE)*AA186</f>
        <v>45.673827997227768</v>
      </c>
      <c r="AT186">
        <f>VLOOKUP($AC186,'2017 Seattle Tracts'!$C$2:$Z$399,AT$1,FALSE)*AA186</f>
        <v>0</v>
      </c>
      <c r="AU186">
        <f>VLOOKUP($AC186,'2017 Seattle Tracts'!$C$2:$Z$399,AU$1,FALSE)*AA186</f>
        <v>0</v>
      </c>
      <c r="AV186">
        <f>VLOOKUP($AC186,'2017 Seattle Tracts'!$C$2:$Z$399,AV$1,FALSE)*AA186</f>
        <v>9.5499822176021709</v>
      </c>
      <c r="AW186">
        <f>VLOOKUP($AC186,'2017 Seattle Tracts'!$C$2:$Z$399,AW$1,FALSE)*AA186</f>
        <v>0</v>
      </c>
      <c r="AX186">
        <f>VLOOKUP($AC186,'2017 Seattle Tracts'!$C$2:$Z$399,AX$1,FALSE)*AA186</f>
        <v>63.528142577962264</v>
      </c>
      <c r="AY186">
        <f>VLOOKUP($AC186,'2017 Seattle Tracts'!$C$2:$Z$399,AY$1,FALSE)*AA186</f>
        <v>12.041281926541867</v>
      </c>
    </row>
    <row r="187" spans="1:51" x14ac:dyDescent="0.25">
      <c r="A187" t="s">
        <v>2917</v>
      </c>
      <c r="B187" t="s">
        <v>2918</v>
      </c>
      <c r="C187" t="s">
        <v>3059</v>
      </c>
      <c r="D187" t="s">
        <v>2725</v>
      </c>
      <c r="E187" t="s">
        <v>2726</v>
      </c>
      <c r="F187" t="s">
        <v>2727</v>
      </c>
      <c r="G187" t="s">
        <v>2920</v>
      </c>
      <c r="H187" t="s">
        <v>2921</v>
      </c>
      <c r="I187">
        <v>787147</v>
      </c>
      <c r="J187">
        <v>0</v>
      </c>
      <c r="K187" t="s">
        <v>3060</v>
      </c>
      <c r="L187" t="s">
        <v>3061</v>
      </c>
      <c r="M187">
        <v>787152</v>
      </c>
      <c r="N187">
        <v>31</v>
      </c>
      <c r="O187">
        <v>27120.785</v>
      </c>
      <c r="P187" t="s">
        <v>122</v>
      </c>
      <c r="Q187">
        <v>6</v>
      </c>
      <c r="R187">
        <v>9</v>
      </c>
      <c r="S187">
        <v>95</v>
      </c>
      <c r="T187">
        <v>32123118</v>
      </c>
      <c r="U187">
        <v>33</v>
      </c>
      <c r="V187">
        <v>126</v>
      </c>
      <c r="W187">
        <v>27120.785937968081</v>
      </c>
      <c r="X187">
        <v>32123117.878249042</v>
      </c>
      <c r="Y187">
        <v>460308.90100000001</v>
      </c>
      <c r="Z187">
        <f>VLOOKUP($AC187,'2017 Seattle Tracts'!$C$2:$Z$399,24,FALSE)</f>
        <v>787151.99899999995</v>
      </c>
      <c r="AA187">
        <f t="shared" si="5"/>
        <v>0.58477765613855737</v>
      </c>
      <c r="AB187" t="s">
        <v>121</v>
      </c>
      <c r="AC187" t="str">
        <f t="shared" si="4"/>
        <v>Census Tract 34, King County, Washington</v>
      </c>
      <c r="AD187">
        <f>VLOOKUP($AC187,'2017 Seattle Tracts'!$C$2:$Z$399,AD$1,FALSE)*AA187</f>
        <v>2140.8709991232586</v>
      </c>
      <c r="AE187">
        <f>VLOOKUP($AC187,'2017 Seattle Tracts'!$C$2:$Z$399,AE$1,FALSE)*AA187</f>
        <v>1970.7007011869384</v>
      </c>
      <c r="AF187">
        <f>VLOOKUP($AC187,'2017 Seattle Tracts'!$C$2:$Z$399,AF$1,FALSE)*AA187</f>
        <v>170.1702979363202</v>
      </c>
      <c r="AG187">
        <f>VLOOKUP($AC187,'2017 Seattle Tracts'!$C$2:$Z$399,AG$1,FALSE)*AA187</f>
        <v>2140.8709991232586</v>
      </c>
      <c r="AH187">
        <f>VLOOKUP($AC187,'2017 Seattle Tracts'!$C$2:$Z$399,AH$1,FALSE)*AA187</f>
        <v>1970.7007011869384</v>
      </c>
      <c r="AI187">
        <f>VLOOKUP($AC187,'2017 Seattle Tracts'!$C$2:$Z$399,AI$1,FALSE)*AA187</f>
        <v>170.1702979363202</v>
      </c>
      <c r="AJ187">
        <f>VLOOKUP($AC187,'2017 Seattle Tracts'!$C$2:$Z$399,AJ$1,FALSE)*AA187</f>
        <v>1730.3570845139911</v>
      </c>
      <c r="AK187">
        <f>VLOOKUP($AC187,'2017 Seattle Tracts'!$C$2:$Z$399,AK$1,FALSE)*AA187</f>
        <v>83.623204827813709</v>
      </c>
      <c r="AL187">
        <f>VLOOKUP($AC187,'2017 Seattle Tracts'!$C$2:$Z$399,AL$1,FALSE)*AA187</f>
        <v>26.899772182373638</v>
      </c>
      <c r="AM187">
        <f>VLOOKUP($AC187,'2017 Seattle Tracts'!$C$2:$Z$399,AM$1,FALSE)*AA187</f>
        <v>5.2629989052470165</v>
      </c>
      <c r="AN187">
        <f>VLOOKUP($AC187,'2017 Seattle Tracts'!$C$2:$Z$399,AN$1,FALSE)*AA187</f>
        <v>29.238882806927869</v>
      </c>
      <c r="AO187">
        <f>VLOOKUP($AC187,'2017 Seattle Tracts'!$C$2:$Z$399,AO$1,FALSE)*AA187</f>
        <v>0</v>
      </c>
      <c r="AP187">
        <f>VLOOKUP($AC187,'2017 Seattle Tracts'!$C$2:$Z$399,AP$1,FALSE)*AA187</f>
        <v>9.9412201543554755</v>
      </c>
      <c r="AQ187">
        <f>VLOOKUP($AC187,'2017 Seattle Tracts'!$C$2:$Z$399,AQ$1,FALSE)*AA187</f>
        <v>0</v>
      </c>
      <c r="AR187">
        <f>VLOOKUP($AC187,'2017 Seattle Tracts'!$C$2:$Z$399,AR$1,FALSE)*AA187</f>
        <v>71.342874048903994</v>
      </c>
      <c r="AS187">
        <f>VLOOKUP($AC187,'2017 Seattle Tracts'!$C$2:$Z$399,AS$1,FALSE)*AA187</f>
        <v>64.32554217524131</v>
      </c>
      <c r="AT187">
        <f>VLOOKUP($AC187,'2017 Seattle Tracts'!$C$2:$Z$399,AT$1,FALSE)*AA187</f>
        <v>0</v>
      </c>
      <c r="AU187">
        <f>VLOOKUP($AC187,'2017 Seattle Tracts'!$C$2:$Z$399,AU$1,FALSE)*AA187</f>
        <v>0</v>
      </c>
      <c r="AV187">
        <f>VLOOKUP($AC187,'2017 Seattle Tracts'!$C$2:$Z$399,AV$1,FALSE)*AA187</f>
        <v>13.449886091186819</v>
      </c>
      <c r="AW187">
        <f>VLOOKUP($AC187,'2017 Seattle Tracts'!$C$2:$Z$399,AW$1,FALSE)*AA187</f>
        <v>0</v>
      </c>
      <c r="AX187">
        <f>VLOOKUP($AC187,'2017 Seattle Tracts'!$C$2:$Z$399,AX$1,FALSE)*AA187</f>
        <v>89.470981389199281</v>
      </c>
      <c r="AY187">
        <f>VLOOKUP($AC187,'2017 Seattle Tracts'!$C$2:$Z$399,AY$1,FALSE)*AA187</f>
        <v>16.958552028018165</v>
      </c>
    </row>
    <row r="188" spans="1:51" x14ac:dyDescent="0.25">
      <c r="A188" t="s">
        <v>2917</v>
      </c>
      <c r="B188" t="s">
        <v>2918</v>
      </c>
      <c r="C188" t="s">
        <v>3062</v>
      </c>
      <c r="D188" t="s">
        <v>2686</v>
      </c>
      <c r="E188" t="s">
        <v>2687</v>
      </c>
      <c r="F188" t="s">
        <v>2688</v>
      </c>
      <c r="G188" t="s">
        <v>2920</v>
      </c>
      <c r="H188" t="s">
        <v>2921</v>
      </c>
      <c r="I188">
        <v>670997</v>
      </c>
      <c r="J188">
        <v>0</v>
      </c>
      <c r="K188" t="s">
        <v>3063</v>
      </c>
      <c r="L188" t="s">
        <v>3064</v>
      </c>
      <c r="M188">
        <v>670997</v>
      </c>
      <c r="N188">
        <v>32</v>
      </c>
      <c r="O188">
        <v>33040.245999999999</v>
      </c>
      <c r="P188" t="s">
        <v>122</v>
      </c>
      <c r="Q188">
        <v>6</v>
      </c>
      <c r="R188">
        <v>9</v>
      </c>
      <c r="S188">
        <v>19</v>
      </c>
      <c r="T188">
        <v>42068344</v>
      </c>
      <c r="U188">
        <v>34</v>
      </c>
      <c r="V188">
        <v>133</v>
      </c>
      <c r="W188">
        <v>33040.246986119782</v>
      </c>
      <c r="X188">
        <v>42068342.613789164</v>
      </c>
      <c r="Y188">
        <v>394813.88699999999</v>
      </c>
      <c r="Z188">
        <f>VLOOKUP($AC188,'2017 Seattle Tracts'!$C$2:$Z$399,24,FALSE)</f>
        <v>670996.55099999998</v>
      </c>
      <c r="AA188">
        <f t="shared" si="5"/>
        <v>0.5883992792684265</v>
      </c>
      <c r="AB188" t="s">
        <v>123</v>
      </c>
      <c r="AC188" t="str">
        <f t="shared" si="4"/>
        <v>Census Tract 45, King County, Washington</v>
      </c>
      <c r="AD188">
        <f>VLOOKUP($AC188,'2017 Seattle Tracts'!$C$2:$Z$399,AD$1,FALSE)*AA188</f>
        <v>1857.5765246504225</v>
      </c>
      <c r="AE188">
        <f>VLOOKUP($AC188,'2017 Seattle Tracts'!$C$2:$Z$399,AE$1,FALSE)*AA188</f>
        <v>1659.2859675369627</v>
      </c>
      <c r="AF188">
        <f>VLOOKUP($AC188,'2017 Seattle Tracts'!$C$2:$Z$399,AF$1,FALSE)*AA188</f>
        <v>198.29055711345973</v>
      </c>
      <c r="AG188">
        <f>VLOOKUP($AC188,'2017 Seattle Tracts'!$C$2:$Z$399,AG$1,FALSE)*AA188</f>
        <v>1857.5765246504225</v>
      </c>
      <c r="AH188">
        <f>VLOOKUP($AC188,'2017 Seattle Tracts'!$C$2:$Z$399,AH$1,FALSE)*AA188</f>
        <v>1659.2859675369627</v>
      </c>
      <c r="AI188">
        <f>VLOOKUP($AC188,'2017 Seattle Tracts'!$C$2:$Z$399,AI$1,FALSE)*AA188</f>
        <v>198.29055711345973</v>
      </c>
      <c r="AJ188">
        <f>VLOOKUP($AC188,'2017 Seattle Tracts'!$C$2:$Z$399,AJ$1,FALSE)*AA188</f>
        <v>1386.8571012356813</v>
      </c>
      <c r="AK188">
        <f>VLOOKUP($AC188,'2017 Seattle Tracts'!$C$2:$Z$399,AK$1,FALSE)*AA188</f>
        <v>82.375899097579705</v>
      </c>
      <c r="AL188">
        <f>VLOOKUP($AC188,'2017 Seattle Tracts'!$C$2:$Z$399,AL$1,FALSE)*AA188</f>
        <v>25.301169008542338</v>
      </c>
      <c r="AM188">
        <f>VLOOKUP($AC188,'2017 Seattle Tracts'!$C$2:$Z$399,AM$1,FALSE)*AA188</f>
        <v>0</v>
      </c>
      <c r="AN188">
        <f>VLOOKUP($AC188,'2017 Seattle Tracts'!$C$2:$Z$399,AN$1,FALSE)*AA188</f>
        <v>17.06357909878437</v>
      </c>
      <c r="AO188">
        <f>VLOOKUP($AC188,'2017 Seattle Tracts'!$C$2:$Z$399,AO$1,FALSE)*AA188</f>
        <v>2.9419963963421325</v>
      </c>
      <c r="AP188">
        <f>VLOOKUP($AC188,'2017 Seattle Tracts'!$C$2:$Z$399,AP$1,FALSE)*AA188</f>
        <v>9.414388468294824</v>
      </c>
      <c r="AQ188">
        <f>VLOOKUP($AC188,'2017 Seattle Tracts'!$C$2:$Z$399,AQ$1,FALSE)*AA188</f>
        <v>0</v>
      </c>
      <c r="AR188">
        <f>VLOOKUP($AC188,'2017 Seattle Tracts'!$C$2:$Z$399,AR$1,FALSE)*AA188</f>
        <v>121.21025152929586</v>
      </c>
      <c r="AS188">
        <f>VLOOKUP($AC188,'2017 Seattle Tracts'!$C$2:$Z$399,AS$1,FALSE)*AA188</f>
        <v>97.085881079290374</v>
      </c>
      <c r="AT188">
        <f>VLOOKUP($AC188,'2017 Seattle Tracts'!$C$2:$Z$399,AT$1,FALSE)*AA188</f>
        <v>0</v>
      </c>
      <c r="AU188">
        <f>VLOOKUP($AC188,'2017 Seattle Tracts'!$C$2:$Z$399,AU$1,FALSE)*AA188</f>
        <v>0</v>
      </c>
      <c r="AV188">
        <f>VLOOKUP($AC188,'2017 Seattle Tracts'!$C$2:$Z$399,AV$1,FALSE)*AA188</f>
        <v>0</v>
      </c>
      <c r="AW188">
        <f>VLOOKUP($AC188,'2017 Seattle Tracts'!$C$2:$Z$399,AW$1,FALSE)*AA188</f>
        <v>0</v>
      </c>
      <c r="AX188">
        <f>VLOOKUP($AC188,'2017 Seattle Tracts'!$C$2:$Z$399,AX$1,FALSE)*AA188</f>
        <v>99.439478196364078</v>
      </c>
      <c r="AY188">
        <f>VLOOKUP($AC188,'2017 Seattle Tracts'!$C$2:$Z$399,AY$1,FALSE)*AA188</f>
        <v>15.886780540247516</v>
      </c>
    </row>
    <row r="189" spans="1:51" x14ac:dyDescent="0.25">
      <c r="A189" t="s">
        <v>2917</v>
      </c>
      <c r="B189" t="s">
        <v>2918</v>
      </c>
      <c r="C189" t="s">
        <v>3062</v>
      </c>
      <c r="D189" t="s">
        <v>2686</v>
      </c>
      <c r="E189" t="s">
        <v>2687</v>
      </c>
      <c r="F189" t="s">
        <v>2688</v>
      </c>
      <c r="G189" t="s">
        <v>2920</v>
      </c>
      <c r="H189" t="s">
        <v>2921</v>
      </c>
      <c r="I189">
        <v>670997</v>
      </c>
      <c r="J189">
        <v>0</v>
      </c>
      <c r="K189" t="s">
        <v>3063</v>
      </c>
      <c r="L189" t="s">
        <v>3064</v>
      </c>
      <c r="M189">
        <v>670997</v>
      </c>
      <c r="N189">
        <v>34</v>
      </c>
      <c r="O189">
        <v>25387.706999999999</v>
      </c>
      <c r="P189" t="s">
        <v>122</v>
      </c>
      <c r="Q189">
        <v>6</v>
      </c>
      <c r="R189">
        <v>9</v>
      </c>
      <c r="S189">
        <v>24</v>
      </c>
      <c r="T189">
        <v>37314628</v>
      </c>
      <c r="U189">
        <v>36</v>
      </c>
      <c r="V189">
        <v>123</v>
      </c>
      <c r="W189">
        <v>25387.707496248549</v>
      </c>
      <c r="X189">
        <v>37314629.789188273</v>
      </c>
      <c r="Y189">
        <v>390.209</v>
      </c>
      <c r="Z189">
        <f>VLOOKUP($AC189,'2017 Seattle Tracts'!$C$2:$Z$399,24,FALSE)</f>
        <v>670996.55099999998</v>
      </c>
      <c r="AA189">
        <f t="shared" si="5"/>
        <v>5.8153652119144797E-4</v>
      </c>
      <c r="AB189" t="s">
        <v>125</v>
      </c>
      <c r="AC189" t="str">
        <f t="shared" si="4"/>
        <v>Census Tract 45, King County, Washington</v>
      </c>
      <c r="AD189">
        <f>VLOOKUP($AC189,'2017 Seattle Tracts'!$C$2:$Z$399,AD$1,FALSE)*AA189</f>
        <v>1.8359107974014013</v>
      </c>
      <c r="AE189">
        <f>VLOOKUP($AC189,'2017 Seattle Tracts'!$C$2:$Z$399,AE$1,FALSE)*AA189</f>
        <v>1.6399329897598833</v>
      </c>
      <c r="AF189">
        <f>VLOOKUP($AC189,'2017 Seattle Tracts'!$C$2:$Z$399,AF$1,FALSE)*AA189</f>
        <v>0.19597780764151795</v>
      </c>
      <c r="AG189">
        <f>VLOOKUP($AC189,'2017 Seattle Tracts'!$C$2:$Z$399,AG$1,FALSE)*AA189</f>
        <v>1.8359107974014013</v>
      </c>
      <c r="AH189">
        <f>VLOOKUP($AC189,'2017 Seattle Tracts'!$C$2:$Z$399,AH$1,FALSE)*AA189</f>
        <v>1.6399329897598833</v>
      </c>
      <c r="AI189">
        <f>VLOOKUP($AC189,'2017 Seattle Tracts'!$C$2:$Z$399,AI$1,FALSE)*AA189</f>
        <v>0.19597780764151795</v>
      </c>
      <c r="AJ189">
        <f>VLOOKUP($AC189,'2017 Seattle Tracts'!$C$2:$Z$399,AJ$1,FALSE)*AA189</f>
        <v>1.3706815804482428</v>
      </c>
      <c r="AK189">
        <f>VLOOKUP($AC189,'2017 Seattle Tracts'!$C$2:$Z$399,AK$1,FALSE)*AA189</f>
        <v>8.1415112966802719E-2</v>
      </c>
      <c r="AL189">
        <f>VLOOKUP($AC189,'2017 Seattle Tracts'!$C$2:$Z$399,AL$1,FALSE)*AA189</f>
        <v>2.5006070411232262E-2</v>
      </c>
      <c r="AM189">
        <f>VLOOKUP($AC189,'2017 Seattle Tracts'!$C$2:$Z$399,AM$1,FALSE)*AA189</f>
        <v>0</v>
      </c>
      <c r="AN189">
        <f>VLOOKUP($AC189,'2017 Seattle Tracts'!$C$2:$Z$399,AN$1,FALSE)*AA189</f>
        <v>1.6864559114551991E-2</v>
      </c>
      <c r="AO189">
        <f>VLOOKUP($AC189,'2017 Seattle Tracts'!$C$2:$Z$399,AO$1,FALSE)*AA189</f>
        <v>2.9076826059572401E-3</v>
      </c>
      <c r="AP189">
        <f>VLOOKUP($AC189,'2017 Seattle Tracts'!$C$2:$Z$399,AP$1,FALSE)*AA189</f>
        <v>9.3045843390631676E-3</v>
      </c>
      <c r="AQ189">
        <f>VLOOKUP($AC189,'2017 Seattle Tracts'!$C$2:$Z$399,AQ$1,FALSE)*AA189</f>
        <v>0</v>
      </c>
      <c r="AR189">
        <f>VLOOKUP($AC189,'2017 Seattle Tracts'!$C$2:$Z$399,AR$1,FALSE)*AA189</f>
        <v>0.11979652336543828</v>
      </c>
      <c r="AS189">
        <f>VLOOKUP($AC189,'2017 Seattle Tracts'!$C$2:$Z$399,AS$1,FALSE)*AA189</f>
        <v>9.595352599658892E-2</v>
      </c>
      <c r="AT189">
        <f>VLOOKUP($AC189,'2017 Seattle Tracts'!$C$2:$Z$399,AT$1,FALSE)*AA189</f>
        <v>0</v>
      </c>
      <c r="AU189">
        <f>VLOOKUP($AC189,'2017 Seattle Tracts'!$C$2:$Z$399,AU$1,FALSE)*AA189</f>
        <v>0</v>
      </c>
      <c r="AV189">
        <f>VLOOKUP($AC189,'2017 Seattle Tracts'!$C$2:$Z$399,AV$1,FALSE)*AA189</f>
        <v>0</v>
      </c>
      <c r="AW189">
        <f>VLOOKUP($AC189,'2017 Seattle Tracts'!$C$2:$Z$399,AW$1,FALSE)*AA189</f>
        <v>0</v>
      </c>
      <c r="AX189">
        <f>VLOOKUP($AC189,'2017 Seattle Tracts'!$C$2:$Z$399,AX$1,FALSE)*AA189</f>
        <v>9.8279672081354713E-2</v>
      </c>
      <c r="AY189">
        <f>VLOOKUP($AC189,'2017 Seattle Tracts'!$C$2:$Z$399,AY$1,FALSE)*AA189</f>
        <v>1.5701486072169094E-2</v>
      </c>
    </row>
    <row r="190" spans="1:51" x14ac:dyDescent="0.25">
      <c r="A190" t="s">
        <v>2917</v>
      </c>
      <c r="B190" t="s">
        <v>2918</v>
      </c>
      <c r="C190" t="s">
        <v>3062</v>
      </c>
      <c r="D190" t="s">
        <v>2686</v>
      </c>
      <c r="E190" t="s">
        <v>2687</v>
      </c>
      <c r="F190" t="s">
        <v>2688</v>
      </c>
      <c r="G190" t="s">
        <v>2920</v>
      </c>
      <c r="H190" t="s">
        <v>2921</v>
      </c>
      <c r="I190">
        <v>670997</v>
      </c>
      <c r="J190">
        <v>0</v>
      </c>
      <c r="K190" t="s">
        <v>3063</v>
      </c>
      <c r="L190" t="s">
        <v>3064</v>
      </c>
      <c r="M190">
        <v>670997</v>
      </c>
      <c r="N190">
        <v>41</v>
      </c>
      <c r="O190">
        <v>22865.453000000001</v>
      </c>
      <c r="P190" t="s">
        <v>122</v>
      </c>
      <c r="Q190">
        <v>4</v>
      </c>
      <c r="R190">
        <v>5</v>
      </c>
      <c r="S190">
        <v>95</v>
      </c>
      <c r="T190">
        <v>21491312</v>
      </c>
      <c r="U190">
        <v>43</v>
      </c>
      <c r="V190">
        <v>124</v>
      </c>
      <c r="W190">
        <v>22865.452635921651</v>
      </c>
      <c r="X190">
        <v>21491312.22830575</v>
      </c>
      <c r="Y190">
        <v>0.77200000000000002</v>
      </c>
      <c r="Z190">
        <f>VLOOKUP($AC190,'2017 Seattle Tracts'!$C$2:$Z$399,24,FALSE)</f>
        <v>670996.55099999998</v>
      </c>
      <c r="AA190">
        <f t="shared" si="5"/>
        <v>1.1505275233523518E-6</v>
      </c>
      <c r="AB190" t="s">
        <v>132</v>
      </c>
      <c r="AC190" t="str">
        <f t="shared" si="4"/>
        <v>Census Tract 45, King County, Washington</v>
      </c>
      <c r="AD190">
        <f>VLOOKUP($AC190,'2017 Seattle Tracts'!$C$2:$Z$399,AD$1,FALSE)*AA190</f>
        <v>3.6322153912233747E-3</v>
      </c>
      <c r="AE190">
        <f>VLOOKUP($AC190,'2017 Seattle Tracts'!$C$2:$Z$399,AE$1,FALSE)*AA190</f>
        <v>3.2444876158536319E-3</v>
      </c>
      <c r="AF190">
        <f>VLOOKUP($AC190,'2017 Seattle Tracts'!$C$2:$Z$399,AF$1,FALSE)*AA190</f>
        <v>3.8772777536974257E-4</v>
      </c>
      <c r="AG190">
        <f>VLOOKUP($AC190,'2017 Seattle Tracts'!$C$2:$Z$399,AG$1,FALSE)*AA190</f>
        <v>3.6322153912233747E-3</v>
      </c>
      <c r="AH190">
        <f>VLOOKUP($AC190,'2017 Seattle Tracts'!$C$2:$Z$399,AH$1,FALSE)*AA190</f>
        <v>3.2444876158536319E-3</v>
      </c>
      <c r="AI190">
        <f>VLOOKUP($AC190,'2017 Seattle Tracts'!$C$2:$Z$399,AI$1,FALSE)*AA190</f>
        <v>3.8772777536974257E-4</v>
      </c>
      <c r="AJ190">
        <f>VLOOKUP($AC190,'2017 Seattle Tracts'!$C$2:$Z$399,AJ$1,FALSE)*AA190</f>
        <v>2.711793372541493E-3</v>
      </c>
      <c r="AK190">
        <f>VLOOKUP($AC190,'2017 Seattle Tracts'!$C$2:$Z$399,AK$1,FALSE)*AA190</f>
        <v>1.6107385326932924E-4</v>
      </c>
      <c r="AL190">
        <f>VLOOKUP($AC190,'2017 Seattle Tracts'!$C$2:$Z$399,AL$1,FALSE)*AA190</f>
        <v>4.9472683504151129E-5</v>
      </c>
      <c r="AM190">
        <f>VLOOKUP($AC190,'2017 Seattle Tracts'!$C$2:$Z$399,AM$1,FALSE)*AA190</f>
        <v>0</v>
      </c>
      <c r="AN190">
        <f>VLOOKUP($AC190,'2017 Seattle Tracts'!$C$2:$Z$399,AN$1,FALSE)*AA190</f>
        <v>3.3365298177218203E-5</v>
      </c>
      <c r="AO190">
        <f>VLOOKUP($AC190,'2017 Seattle Tracts'!$C$2:$Z$399,AO$1,FALSE)*AA190</f>
        <v>5.7526376167617586E-6</v>
      </c>
      <c r="AP190">
        <f>VLOOKUP($AC190,'2017 Seattle Tracts'!$C$2:$Z$399,AP$1,FALSE)*AA190</f>
        <v>1.8408440373637628E-5</v>
      </c>
      <c r="AQ190">
        <f>VLOOKUP($AC190,'2017 Seattle Tracts'!$C$2:$Z$399,AQ$1,FALSE)*AA190</f>
        <v>0</v>
      </c>
      <c r="AR190">
        <f>VLOOKUP($AC190,'2017 Seattle Tracts'!$C$2:$Z$399,AR$1,FALSE)*AA190</f>
        <v>2.3700866981058447E-4</v>
      </c>
      <c r="AS190">
        <f>VLOOKUP($AC190,'2017 Seattle Tracts'!$C$2:$Z$399,AS$1,FALSE)*AA190</f>
        <v>1.8983704135313803E-4</v>
      </c>
      <c r="AT190">
        <f>VLOOKUP($AC190,'2017 Seattle Tracts'!$C$2:$Z$399,AT$1,FALSE)*AA190</f>
        <v>0</v>
      </c>
      <c r="AU190">
        <f>VLOOKUP($AC190,'2017 Seattle Tracts'!$C$2:$Z$399,AU$1,FALSE)*AA190</f>
        <v>0</v>
      </c>
      <c r="AV190">
        <f>VLOOKUP($AC190,'2017 Seattle Tracts'!$C$2:$Z$399,AV$1,FALSE)*AA190</f>
        <v>0</v>
      </c>
      <c r="AW190">
        <f>VLOOKUP($AC190,'2017 Seattle Tracts'!$C$2:$Z$399,AW$1,FALSE)*AA190</f>
        <v>0</v>
      </c>
      <c r="AX190">
        <f>VLOOKUP($AC190,'2017 Seattle Tracts'!$C$2:$Z$399,AX$1,FALSE)*AA190</f>
        <v>1.9443915144654744E-4</v>
      </c>
      <c r="AY190">
        <f>VLOOKUP($AC190,'2017 Seattle Tracts'!$C$2:$Z$399,AY$1,FALSE)*AA190</f>
        <v>3.1064243130513497E-5</v>
      </c>
    </row>
    <row r="191" spans="1:51" x14ac:dyDescent="0.25">
      <c r="A191" t="s">
        <v>2917</v>
      </c>
      <c r="B191" t="s">
        <v>2918</v>
      </c>
      <c r="C191" t="s">
        <v>3062</v>
      </c>
      <c r="D191" t="s">
        <v>2686</v>
      </c>
      <c r="E191" t="s">
        <v>2687</v>
      </c>
      <c r="F191" t="s">
        <v>2688</v>
      </c>
      <c r="G191" t="s">
        <v>2920</v>
      </c>
      <c r="H191" t="s">
        <v>2921</v>
      </c>
      <c r="I191">
        <v>670997</v>
      </c>
      <c r="J191">
        <v>0</v>
      </c>
      <c r="K191" t="s">
        <v>3063</v>
      </c>
      <c r="L191" t="s">
        <v>3064</v>
      </c>
      <c r="M191">
        <v>670997</v>
      </c>
      <c r="N191">
        <v>42</v>
      </c>
      <c r="O191">
        <v>41446.940999999999</v>
      </c>
      <c r="P191" t="s">
        <v>134</v>
      </c>
      <c r="Q191">
        <v>5</v>
      </c>
      <c r="R191">
        <v>12</v>
      </c>
      <c r="S191">
        <v>33</v>
      </c>
      <c r="T191">
        <v>49348388</v>
      </c>
      <c r="U191">
        <v>44</v>
      </c>
      <c r="V191">
        <v>139</v>
      </c>
      <c r="W191">
        <v>41446.941321259314</v>
      </c>
      <c r="X191">
        <v>49348387.058142804</v>
      </c>
      <c r="Y191">
        <v>275791.67200000002</v>
      </c>
      <c r="Z191">
        <f>VLOOKUP($AC191,'2017 Seattle Tracts'!$C$2:$Z$399,24,FALSE)</f>
        <v>670996.55099999998</v>
      </c>
      <c r="AA191">
        <f t="shared" si="5"/>
        <v>0.41101801728933185</v>
      </c>
      <c r="AB191" t="s">
        <v>133</v>
      </c>
      <c r="AC191" t="str">
        <f t="shared" si="4"/>
        <v>Census Tract 45, King County, Washington</v>
      </c>
      <c r="AD191">
        <f>VLOOKUP($AC191,'2017 Seattle Tracts'!$C$2:$Z$399,AD$1,FALSE)*AA191</f>
        <v>1297.5838805824208</v>
      </c>
      <c r="AE191">
        <f>VLOOKUP($AC191,'2017 Seattle Tracts'!$C$2:$Z$399,AE$1,FALSE)*AA191</f>
        <v>1159.0708087559158</v>
      </c>
      <c r="AF191">
        <f>VLOOKUP($AC191,'2017 Seattle Tracts'!$C$2:$Z$399,AF$1,FALSE)*AA191</f>
        <v>138.51307182650484</v>
      </c>
      <c r="AG191">
        <f>VLOOKUP($AC191,'2017 Seattle Tracts'!$C$2:$Z$399,AG$1,FALSE)*AA191</f>
        <v>1297.5838805824208</v>
      </c>
      <c r="AH191">
        <f>VLOOKUP($AC191,'2017 Seattle Tracts'!$C$2:$Z$399,AH$1,FALSE)*AA191</f>
        <v>1159.0708087559158</v>
      </c>
      <c r="AI191">
        <f>VLOOKUP($AC191,'2017 Seattle Tracts'!$C$2:$Z$399,AI$1,FALSE)*AA191</f>
        <v>138.51307182650484</v>
      </c>
      <c r="AJ191">
        <f>VLOOKUP($AC191,'2017 Seattle Tracts'!$C$2:$Z$399,AJ$1,FALSE)*AA191</f>
        <v>968.76946675095519</v>
      </c>
      <c r="AK191">
        <f>VLOOKUP($AC191,'2017 Seattle Tracts'!$C$2:$Z$399,AK$1,FALSE)*AA191</f>
        <v>57.542522420506458</v>
      </c>
      <c r="AL191">
        <f>VLOOKUP($AC191,'2017 Seattle Tracts'!$C$2:$Z$399,AL$1,FALSE)*AA191</f>
        <v>17.673774743441271</v>
      </c>
      <c r="AM191">
        <f>VLOOKUP($AC191,'2017 Seattle Tracts'!$C$2:$Z$399,AM$1,FALSE)*AA191</f>
        <v>0</v>
      </c>
      <c r="AN191">
        <f>VLOOKUP($AC191,'2017 Seattle Tracts'!$C$2:$Z$399,AN$1,FALSE)*AA191</f>
        <v>11.919522501390624</v>
      </c>
      <c r="AO191">
        <f>VLOOKUP($AC191,'2017 Seattle Tracts'!$C$2:$Z$399,AO$1,FALSE)*AA191</f>
        <v>2.0550900864466595</v>
      </c>
      <c r="AP191">
        <f>VLOOKUP($AC191,'2017 Seattle Tracts'!$C$2:$Z$399,AP$1,FALSE)*AA191</f>
        <v>6.5762882766293096</v>
      </c>
      <c r="AQ191">
        <f>VLOOKUP($AC191,'2017 Seattle Tracts'!$C$2:$Z$399,AQ$1,FALSE)*AA191</f>
        <v>0</v>
      </c>
      <c r="AR191">
        <f>VLOOKUP($AC191,'2017 Seattle Tracts'!$C$2:$Z$399,AR$1,FALSE)*AA191</f>
        <v>84.669711561602355</v>
      </c>
      <c r="AS191">
        <f>VLOOKUP($AC191,'2017 Seattle Tracts'!$C$2:$Z$399,AS$1,FALSE)*AA191</f>
        <v>67.817972852739757</v>
      </c>
      <c r="AT191">
        <f>VLOOKUP($AC191,'2017 Seattle Tracts'!$C$2:$Z$399,AT$1,FALSE)*AA191</f>
        <v>0</v>
      </c>
      <c r="AU191">
        <f>VLOOKUP($AC191,'2017 Seattle Tracts'!$C$2:$Z$399,AU$1,FALSE)*AA191</f>
        <v>0</v>
      </c>
      <c r="AV191">
        <f>VLOOKUP($AC191,'2017 Seattle Tracts'!$C$2:$Z$399,AV$1,FALSE)*AA191</f>
        <v>0</v>
      </c>
      <c r="AW191">
        <f>VLOOKUP($AC191,'2017 Seattle Tracts'!$C$2:$Z$399,AW$1,FALSE)*AA191</f>
        <v>0</v>
      </c>
      <c r="AX191">
        <f>VLOOKUP($AC191,'2017 Seattle Tracts'!$C$2:$Z$399,AX$1,FALSE)*AA191</f>
        <v>69.462044921897089</v>
      </c>
      <c r="AY191">
        <f>VLOOKUP($AC191,'2017 Seattle Tracts'!$C$2:$Z$399,AY$1,FALSE)*AA191</f>
        <v>11.09748646681196</v>
      </c>
    </row>
    <row r="192" spans="1:51" x14ac:dyDescent="0.25">
      <c r="A192" t="s">
        <v>2917</v>
      </c>
      <c r="B192" t="s">
        <v>2918</v>
      </c>
      <c r="C192" t="s">
        <v>3065</v>
      </c>
      <c r="D192" t="s">
        <v>2680</v>
      </c>
      <c r="E192" t="s">
        <v>2681</v>
      </c>
      <c r="F192" t="s">
        <v>2682</v>
      </c>
      <c r="G192" t="s">
        <v>2920</v>
      </c>
      <c r="H192" t="s">
        <v>2921</v>
      </c>
      <c r="I192">
        <v>1955447</v>
      </c>
      <c r="J192">
        <v>348553</v>
      </c>
      <c r="K192" t="s">
        <v>3066</v>
      </c>
      <c r="L192" t="s">
        <v>3067</v>
      </c>
      <c r="M192">
        <v>1985388</v>
      </c>
      <c r="N192">
        <v>28</v>
      </c>
      <c r="O192">
        <v>27347.493999999999</v>
      </c>
      <c r="P192" t="s">
        <v>117</v>
      </c>
      <c r="Q192">
        <v>7</v>
      </c>
      <c r="R192">
        <v>11</v>
      </c>
      <c r="S192">
        <v>33</v>
      </c>
      <c r="T192">
        <v>22431280</v>
      </c>
      <c r="U192">
        <v>30</v>
      </c>
      <c r="V192">
        <v>129</v>
      </c>
      <c r="W192">
        <v>27347.49435016256</v>
      </c>
      <c r="X192">
        <v>22431280.790773079</v>
      </c>
      <c r="Y192">
        <v>889232.125</v>
      </c>
      <c r="Z192">
        <f>VLOOKUP($AC192,'2017 Seattle Tracts'!$C$2:$Z$399,24,FALSE)</f>
        <v>1985387.925</v>
      </c>
      <c r="AA192">
        <f t="shared" si="5"/>
        <v>0.44788835159254831</v>
      </c>
      <c r="AB192" t="s">
        <v>118</v>
      </c>
      <c r="AC192" t="str">
        <f t="shared" si="4"/>
        <v>Census Tract 47, King County, Washington</v>
      </c>
      <c r="AD192">
        <f>VLOOKUP($AC192,'2017 Seattle Tracts'!$C$2:$Z$399,AD$1,FALSE)*AA192</f>
        <v>3873.7863529239503</v>
      </c>
      <c r="AE192">
        <f>VLOOKUP($AC192,'2017 Seattle Tracts'!$C$2:$Z$399,AE$1,FALSE)*AA192</f>
        <v>3337.6639960676698</v>
      </c>
      <c r="AF192">
        <f>VLOOKUP($AC192,'2017 Seattle Tracts'!$C$2:$Z$399,AF$1,FALSE)*AA192</f>
        <v>536.12235685628036</v>
      </c>
      <c r="AG192">
        <f>VLOOKUP($AC192,'2017 Seattle Tracts'!$C$2:$Z$399,AG$1,FALSE)*AA192</f>
        <v>3873.7863529239503</v>
      </c>
      <c r="AH192">
        <f>VLOOKUP($AC192,'2017 Seattle Tracts'!$C$2:$Z$399,AH$1,FALSE)*AA192</f>
        <v>3337.6639960676698</v>
      </c>
      <c r="AI192">
        <f>VLOOKUP($AC192,'2017 Seattle Tracts'!$C$2:$Z$399,AI$1,FALSE)*AA192</f>
        <v>536.12235685628036</v>
      </c>
      <c r="AJ192">
        <f>VLOOKUP($AC192,'2017 Seattle Tracts'!$C$2:$Z$399,AJ$1,FALSE)*AA192</f>
        <v>2743.3161535043582</v>
      </c>
      <c r="AK192">
        <f>VLOOKUP($AC192,'2017 Seattle Tracts'!$C$2:$Z$399,AK$1,FALSE)*AA192</f>
        <v>277.69077798737993</v>
      </c>
      <c r="AL192">
        <f>VLOOKUP($AC192,'2017 Seattle Tracts'!$C$2:$Z$399,AL$1,FALSE)*AA192</f>
        <v>38.070509885366604</v>
      </c>
      <c r="AM192">
        <f>VLOOKUP($AC192,'2017 Seattle Tracts'!$C$2:$Z$399,AM$1,FALSE)*AA192</f>
        <v>31.800072963070928</v>
      </c>
      <c r="AN192">
        <f>VLOOKUP($AC192,'2017 Seattle Tracts'!$C$2:$Z$399,AN$1,FALSE)*AA192</f>
        <v>38.070509885366604</v>
      </c>
      <c r="AO192">
        <f>VLOOKUP($AC192,'2017 Seattle Tracts'!$C$2:$Z$399,AO$1,FALSE)*AA192</f>
        <v>32.695849666256024</v>
      </c>
      <c r="AP192">
        <f>VLOOKUP($AC192,'2017 Seattle Tracts'!$C$2:$Z$399,AP$1,FALSE)*AA192</f>
        <v>0</v>
      </c>
      <c r="AQ192">
        <f>VLOOKUP($AC192,'2017 Seattle Tracts'!$C$2:$Z$399,AQ$1,FALSE)*AA192</f>
        <v>0</v>
      </c>
      <c r="AR192">
        <f>VLOOKUP($AC192,'2017 Seattle Tracts'!$C$2:$Z$399,AR$1,FALSE)*AA192</f>
        <v>199.75820481027654</v>
      </c>
      <c r="AS192">
        <f>VLOOKUP($AC192,'2017 Seattle Tracts'!$C$2:$Z$399,AS$1,FALSE)*AA192</f>
        <v>174.67645712109385</v>
      </c>
      <c r="AT192">
        <f>VLOOKUP($AC192,'2017 Seattle Tracts'!$C$2:$Z$399,AT$1,FALSE)*AA192</f>
        <v>0</v>
      </c>
      <c r="AU192">
        <f>VLOOKUP($AC192,'2017 Seattle Tracts'!$C$2:$Z$399,AU$1,FALSE)*AA192</f>
        <v>0</v>
      </c>
      <c r="AV192">
        <f>VLOOKUP($AC192,'2017 Seattle Tracts'!$C$2:$Z$399,AV$1,FALSE)*AA192</f>
        <v>30.008519556700737</v>
      </c>
      <c r="AW192">
        <f>VLOOKUP($AC192,'2017 Seattle Tracts'!$C$2:$Z$399,AW$1,FALSE)*AA192</f>
        <v>0</v>
      </c>
      <c r="AX192">
        <f>VLOOKUP($AC192,'2017 Seattle Tracts'!$C$2:$Z$399,AX$1,FALSE)*AA192</f>
        <v>288.44009842560109</v>
      </c>
      <c r="AY192">
        <f>VLOOKUP($AC192,'2017 Seattle Tracts'!$C$2:$Z$399,AY$1,FALSE)*AA192</f>
        <v>19.259199118479579</v>
      </c>
    </row>
    <row r="193" spans="1:51" x14ac:dyDescent="0.25">
      <c r="A193" t="s">
        <v>2917</v>
      </c>
      <c r="B193" t="s">
        <v>2918</v>
      </c>
      <c r="C193" t="s">
        <v>3065</v>
      </c>
      <c r="D193" t="s">
        <v>2680</v>
      </c>
      <c r="E193" t="s">
        <v>2681</v>
      </c>
      <c r="F193" t="s">
        <v>2682</v>
      </c>
      <c r="G193" t="s">
        <v>2920</v>
      </c>
      <c r="H193" t="s">
        <v>2921</v>
      </c>
      <c r="I193">
        <v>1955447</v>
      </c>
      <c r="J193">
        <v>348553</v>
      </c>
      <c r="K193" t="s">
        <v>3066</v>
      </c>
      <c r="L193" t="s">
        <v>3067</v>
      </c>
      <c r="M193">
        <v>1985388</v>
      </c>
      <c r="N193">
        <v>30</v>
      </c>
      <c r="O193">
        <v>21789.65</v>
      </c>
      <c r="P193" t="s">
        <v>117</v>
      </c>
      <c r="Q193">
        <v>7</v>
      </c>
      <c r="R193">
        <v>11</v>
      </c>
      <c r="S193">
        <v>9</v>
      </c>
      <c r="T193">
        <v>22199366</v>
      </c>
      <c r="U193">
        <v>32</v>
      </c>
      <c r="V193">
        <v>130</v>
      </c>
      <c r="W193">
        <v>21789.651087349259</v>
      </c>
      <c r="X193">
        <v>22199366.873256031</v>
      </c>
      <c r="Y193">
        <v>1092237.6240000001</v>
      </c>
      <c r="Z193">
        <f>VLOOKUP($AC193,'2017 Seattle Tracts'!$C$2:$Z$399,24,FALSE)</f>
        <v>1985387.925</v>
      </c>
      <c r="AA193">
        <f t="shared" si="5"/>
        <v>0.55013814189486421</v>
      </c>
      <c r="AB193" t="s">
        <v>120</v>
      </c>
      <c r="AC193" t="str">
        <f t="shared" si="4"/>
        <v>Census Tract 47, King County, Washington</v>
      </c>
      <c r="AD193">
        <f>VLOOKUP($AC193,'2017 Seattle Tracts'!$C$2:$Z$399,AD$1,FALSE)*AA193</f>
        <v>4758.1447892486804</v>
      </c>
      <c r="AE193">
        <f>VLOOKUP($AC193,'2017 Seattle Tracts'!$C$2:$Z$399,AE$1,FALSE)*AA193</f>
        <v>4099.6294334005279</v>
      </c>
      <c r="AF193">
        <f>VLOOKUP($AC193,'2017 Seattle Tracts'!$C$2:$Z$399,AF$1,FALSE)*AA193</f>
        <v>658.51535584815247</v>
      </c>
      <c r="AG193">
        <f>VLOOKUP($AC193,'2017 Seattle Tracts'!$C$2:$Z$399,AG$1,FALSE)*AA193</f>
        <v>4758.1447892486804</v>
      </c>
      <c r="AH193">
        <f>VLOOKUP($AC193,'2017 Seattle Tracts'!$C$2:$Z$399,AH$1,FALSE)*AA193</f>
        <v>4099.6294334005279</v>
      </c>
      <c r="AI193">
        <f>VLOOKUP($AC193,'2017 Seattle Tracts'!$C$2:$Z$399,AI$1,FALSE)*AA193</f>
        <v>658.51535584815247</v>
      </c>
      <c r="AJ193">
        <f>VLOOKUP($AC193,'2017 Seattle Tracts'!$C$2:$Z$399,AJ$1,FALSE)*AA193</f>
        <v>3369.5961191060433</v>
      </c>
      <c r="AK193">
        <f>VLOOKUP($AC193,'2017 Seattle Tracts'!$C$2:$Z$399,AK$1,FALSE)*AA193</f>
        <v>341.0856479748158</v>
      </c>
      <c r="AL193">
        <f>VLOOKUP($AC193,'2017 Seattle Tracts'!$C$2:$Z$399,AL$1,FALSE)*AA193</f>
        <v>46.761742061063458</v>
      </c>
      <c r="AM193">
        <f>VLOOKUP($AC193,'2017 Seattle Tracts'!$C$2:$Z$399,AM$1,FALSE)*AA193</f>
        <v>39.059808074535361</v>
      </c>
      <c r="AN193">
        <f>VLOOKUP($AC193,'2017 Seattle Tracts'!$C$2:$Z$399,AN$1,FALSE)*AA193</f>
        <v>46.761742061063458</v>
      </c>
      <c r="AO193">
        <f>VLOOKUP($AC193,'2017 Seattle Tracts'!$C$2:$Z$399,AO$1,FALSE)*AA193</f>
        <v>40.160084358325086</v>
      </c>
      <c r="AP193">
        <f>VLOOKUP($AC193,'2017 Seattle Tracts'!$C$2:$Z$399,AP$1,FALSE)*AA193</f>
        <v>0</v>
      </c>
      <c r="AQ193">
        <f>VLOOKUP($AC193,'2017 Seattle Tracts'!$C$2:$Z$399,AQ$1,FALSE)*AA193</f>
        <v>0</v>
      </c>
      <c r="AR193">
        <f>VLOOKUP($AC193,'2017 Seattle Tracts'!$C$2:$Z$399,AR$1,FALSE)*AA193</f>
        <v>245.36161128510943</v>
      </c>
      <c r="AS193">
        <f>VLOOKUP($AC193,'2017 Seattle Tracts'!$C$2:$Z$399,AS$1,FALSE)*AA193</f>
        <v>214.55387533899705</v>
      </c>
      <c r="AT193">
        <f>VLOOKUP($AC193,'2017 Seattle Tracts'!$C$2:$Z$399,AT$1,FALSE)*AA193</f>
        <v>0</v>
      </c>
      <c r="AU193">
        <f>VLOOKUP($AC193,'2017 Seattle Tracts'!$C$2:$Z$399,AU$1,FALSE)*AA193</f>
        <v>0</v>
      </c>
      <c r="AV193">
        <f>VLOOKUP($AC193,'2017 Seattle Tracts'!$C$2:$Z$399,AV$1,FALSE)*AA193</f>
        <v>36.859255506955904</v>
      </c>
      <c r="AW193">
        <f>VLOOKUP($AC193,'2017 Seattle Tracts'!$C$2:$Z$399,AW$1,FALSE)*AA193</f>
        <v>0</v>
      </c>
      <c r="AX193">
        <f>VLOOKUP($AC193,'2017 Seattle Tracts'!$C$2:$Z$399,AX$1,FALSE)*AA193</f>
        <v>354.28896338029256</v>
      </c>
      <c r="AY193">
        <f>VLOOKUP($AC193,'2017 Seattle Tracts'!$C$2:$Z$399,AY$1,FALSE)*AA193</f>
        <v>23.65594010147916</v>
      </c>
    </row>
    <row r="194" spans="1:51" x14ac:dyDescent="0.25">
      <c r="A194" t="s">
        <v>2917</v>
      </c>
      <c r="B194" t="s">
        <v>2918</v>
      </c>
      <c r="C194" t="s">
        <v>3065</v>
      </c>
      <c r="D194" t="s">
        <v>2680</v>
      </c>
      <c r="E194" t="s">
        <v>2681</v>
      </c>
      <c r="F194" t="s">
        <v>2682</v>
      </c>
      <c r="G194" t="s">
        <v>2920</v>
      </c>
      <c r="H194" t="s">
        <v>2921</v>
      </c>
      <c r="I194">
        <v>1955447</v>
      </c>
      <c r="J194">
        <v>348553</v>
      </c>
      <c r="K194" t="s">
        <v>3066</v>
      </c>
      <c r="L194" t="s">
        <v>3067</v>
      </c>
      <c r="M194">
        <v>1985388</v>
      </c>
      <c r="N194">
        <v>33</v>
      </c>
      <c r="O194">
        <v>25999.285</v>
      </c>
      <c r="P194" t="s">
        <v>122</v>
      </c>
      <c r="Q194">
        <v>6</v>
      </c>
      <c r="R194">
        <v>9</v>
      </c>
      <c r="S194">
        <v>94</v>
      </c>
      <c r="T194">
        <v>26503756</v>
      </c>
      <c r="U194">
        <v>35</v>
      </c>
      <c r="V194">
        <v>137</v>
      </c>
      <c r="W194">
        <v>25999.284935718741</v>
      </c>
      <c r="X194">
        <v>26503756.57148983</v>
      </c>
      <c r="Y194">
        <v>4.5419999999999998</v>
      </c>
      <c r="Z194">
        <f>VLOOKUP($AC194,'2017 Seattle Tracts'!$C$2:$Z$399,24,FALSE)</f>
        <v>1985387.925</v>
      </c>
      <c r="AA194">
        <f t="shared" si="5"/>
        <v>2.2877141251879024E-6</v>
      </c>
      <c r="AB194" t="s">
        <v>124</v>
      </c>
      <c r="AC194" t="str">
        <f t="shared" si="4"/>
        <v>Census Tract 47, King County, Washington</v>
      </c>
      <c r="AD194">
        <f>VLOOKUP($AC194,'2017 Seattle Tracts'!$C$2:$Z$399,AD$1,FALSE)*AA194</f>
        <v>1.9786439468750167E-2</v>
      </c>
      <c r="AE194">
        <f>VLOOKUP($AC194,'2017 Seattle Tracts'!$C$2:$Z$399,AE$1,FALSE)*AA194</f>
        <v>1.7048045660900249E-2</v>
      </c>
      <c r="AF194">
        <f>VLOOKUP($AC194,'2017 Seattle Tracts'!$C$2:$Z$399,AF$1,FALSE)*AA194</f>
        <v>2.7383938078499193E-3</v>
      </c>
      <c r="AG194">
        <f>VLOOKUP($AC194,'2017 Seattle Tracts'!$C$2:$Z$399,AG$1,FALSE)*AA194</f>
        <v>1.9786439468750167E-2</v>
      </c>
      <c r="AH194">
        <f>VLOOKUP($AC194,'2017 Seattle Tracts'!$C$2:$Z$399,AH$1,FALSE)*AA194</f>
        <v>1.7048045660900249E-2</v>
      </c>
      <c r="AI194">
        <f>VLOOKUP($AC194,'2017 Seattle Tracts'!$C$2:$Z$399,AI$1,FALSE)*AA194</f>
        <v>2.7383938078499193E-3</v>
      </c>
      <c r="AJ194">
        <f>VLOOKUP($AC194,'2017 Seattle Tracts'!$C$2:$Z$399,AJ$1,FALSE)*AA194</f>
        <v>1.4012249016775903E-2</v>
      </c>
      <c r="AK194">
        <f>VLOOKUP($AC194,'2017 Seattle Tracts'!$C$2:$Z$399,AK$1,FALSE)*AA194</f>
        <v>1.4183827576164994E-3</v>
      </c>
      <c r="AL194">
        <f>VLOOKUP($AC194,'2017 Seattle Tracts'!$C$2:$Z$399,AL$1,FALSE)*AA194</f>
        <v>1.9445570064097171E-4</v>
      </c>
      <c r="AM194">
        <f>VLOOKUP($AC194,'2017 Seattle Tracts'!$C$2:$Z$399,AM$1,FALSE)*AA194</f>
        <v>1.6242770288834107E-4</v>
      </c>
      <c r="AN194">
        <f>VLOOKUP($AC194,'2017 Seattle Tracts'!$C$2:$Z$399,AN$1,FALSE)*AA194</f>
        <v>1.9445570064097171E-4</v>
      </c>
      <c r="AO194">
        <f>VLOOKUP($AC194,'2017 Seattle Tracts'!$C$2:$Z$399,AO$1,FALSE)*AA194</f>
        <v>1.6700313113871687E-4</v>
      </c>
      <c r="AP194">
        <f>VLOOKUP($AC194,'2017 Seattle Tracts'!$C$2:$Z$399,AP$1,FALSE)*AA194</f>
        <v>0</v>
      </c>
      <c r="AQ194">
        <f>VLOOKUP($AC194,'2017 Seattle Tracts'!$C$2:$Z$399,AQ$1,FALSE)*AA194</f>
        <v>0</v>
      </c>
      <c r="AR194">
        <f>VLOOKUP($AC194,'2017 Seattle Tracts'!$C$2:$Z$399,AR$1,FALSE)*AA194</f>
        <v>1.0203204998338045E-3</v>
      </c>
      <c r="AS194">
        <f>VLOOKUP($AC194,'2017 Seattle Tracts'!$C$2:$Z$399,AS$1,FALSE)*AA194</f>
        <v>8.9220850882328192E-4</v>
      </c>
      <c r="AT194">
        <f>VLOOKUP($AC194,'2017 Seattle Tracts'!$C$2:$Z$399,AT$1,FALSE)*AA194</f>
        <v>0</v>
      </c>
      <c r="AU194">
        <f>VLOOKUP($AC194,'2017 Seattle Tracts'!$C$2:$Z$399,AU$1,FALSE)*AA194</f>
        <v>0</v>
      </c>
      <c r="AV194">
        <f>VLOOKUP($AC194,'2017 Seattle Tracts'!$C$2:$Z$399,AV$1,FALSE)*AA194</f>
        <v>1.5327684638758945E-4</v>
      </c>
      <c r="AW194">
        <f>VLOOKUP($AC194,'2017 Seattle Tracts'!$C$2:$Z$399,AW$1,FALSE)*AA194</f>
        <v>0</v>
      </c>
      <c r="AX194">
        <f>VLOOKUP($AC194,'2017 Seattle Tracts'!$C$2:$Z$399,AX$1,FALSE)*AA194</f>
        <v>1.4732878966210092E-3</v>
      </c>
      <c r="AY194">
        <f>VLOOKUP($AC194,'2017 Seattle Tracts'!$C$2:$Z$399,AY$1,FALSE)*AA194</f>
        <v>9.8371707383079803E-5</v>
      </c>
    </row>
    <row r="195" spans="1:51" x14ac:dyDescent="0.25">
      <c r="A195" t="s">
        <v>2917</v>
      </c>
      <c r="B195" t="s">
        <v>2918</v>
      </c>
      <c r="C195" t="s">
        <v>3068</v>
      </c>
      <c r="D195" t="s">
        <v>2677</v>
      </c>
      <c r="E195" t="s">
        <v>2678</v>
      </c>
      <c r="F195" t="s">
        <v>2679</v>
      </c>
      <c r="G195" t="s">
        <v>2920</v>
      </c>
      <c r="H195" t="s">
        <v>2921</v>
      </c>
      <c r="I195">
        <v>1318564</v>
      </c>
      <c r="J195">
        <v>41555</v>
      </c>
      <c r="K195" t="s">
        <v>3069</v>
      </c>
      <c r="L195" t="s">
        <v>3070</v>
      </c>
      <c r="M195">
        <v>1332369</v>
      </c>
      <c r="N195">
        <v>30</v>
      </c>
      <c r="O195">
        <v>21789.65</v>
      </c>
      <c r="P195" t="s">
        <v>117</v>
      </c>
      <c r="Q195">
        <v>7</v>
      </c>
      <c r="R195">
        <v>11</v>
      </c>
      <c r="S195">
        <v>9</v>
      </c>
      <c r="T195">
        <v>22199366</v>
      </c>
      <c r="U195">
        <v>32</v>
      </c>
      <c r="V195">
        <v>130</v>
      </c>
      <c r="W195">
        <v>21789.651087349259</v>
      </c>
      <c r="X195">
        <v>22199366.873256031</v>
      </c>
      <c r="Y195">
        <v>336826.538</v>
      </c>
      <c r="Z195">
        <f>VLOOKUP($AC195,'2017 Seattle Tracts'!$C$2:$Z$399,24,FALSE)</f>
        <v>1332369.4750000001</v>
      </c>
      <c r="AA195">
        <f t="shared" si="5"/>
        <v>0.25280265295780657</v>
      </c>
      <c r="AB195" t="s">
        <v>120</v>
      </c>
      <c r="AC195" t="str">
        <f t="shared" ref="AC195:AC258" si="6">_xlfn.CONCAT(F195, ", King County, Washington")</f>
        <v>Census Tract 48, King County, Washington</v>
      </c>
      <c r="AD195">
        <f>VLOOKUP($AC195,'2017 Seattle Tracts'!$C$2:$Z$399,AD$1,FALSE)*AA195</f>
        <v>1298.3944255912945</v>
      </c>
      <c r="AE195">
        <f>VLOOKUP($AC195,'2017 Seattle Tracts'!$C$2:$Z$399,AE$1,FALSE)*AA195</f>
        <v>1200.0541935907079</v>
      </c>
      <c r="AF195">
        <f>VLOOKUP($AC195,'2017 Seattle Tracts'!$C$2:$Z$399,AF$1,FALSE)*AA195</f>
        <v>98.340232000586752</v>
      </c>
      <c r="AG195">
        <f>VLOOKUP($AC195,'2017 Seattle Tracts'!$C$2:$Z$399,AG$1,FALSE)*AA195</f>
        <v>1298.3944255912945</v>
      </c>
      <c r="AH195">
        <f>VLOOKUP($AC195,'2017 Seattle Tracts'!$C$2:$Z$399,AH$1,FALSE)*AA195</f>
        <v>1200.0541935907079</v>
      </c>
      <c r="AI195">
        <f>VLOOKUP($AC195,'2017 Seattle Tracts'!$C$2:$Z$399,AI$1,FALSE)*AA195</f>
        <v>98.340232000586752</v>
      </c>
      <c r="AJ195">
        <f>VLOOKUP($AC195,'2017 Seattle Tracts'!$C$2:$Z$399,AJ$1,FALSE)*AA195</f>
        <v>1041.0413248802474</v>
      </c>
      <c r="AK195">
        <f>VLOOKUP($AC195,'2017 Seattle Tracts'!$C$2:$Z$399,AK$1,FALSE)*AA195</f>
        <v>46.010082838320798</v>
      </c>
      <c r="AL195">
        <f>VLOOKUP($AC195,'2017 Seattle Tracts'!$C$2:$Z$399,AL$1,FALSE)*AA195</f>
        <v>3.5392371414092922</v>
      </c>
      <c r="AM195">
        <f>VLOOKUP($AC195,'2017 Seattle Tracts'!$C$2:$Z$399,AM$1,FALSE)*AA195</f>
        <v>9.353698159438844</v>
      </c>
      <c r="AN195">
        <f>VLOOKUP($AC195,'2017 Seattle Tracts'!$C$2:$Z$399,AN$1,FALSE)*AA195</f>
        <v>0</v>
      </c>
      <c r="AO195">
        <f>VLOOKUP($AC195,'2017 Seattle Tracts'!$C$2:$Z$399,AO$1,FALSE)*AA195</f>
        <v>9.60650081239665</v>
      </c>
      <c r="AP195">
        <f>VLOOKUP($AC195,'2017 Seattle Tracts'!$C$2:$Z$399,AP$1,FALSE)*AA195</f>
        <v>2.7808291825358724</v>
      </c>
      <c r="AQ195">
        <f>VLOOKUP($AC195,'2017 Seattle Tracts'!$C$2:$Z$399,AQ$1,FALSE)*AA195</f>
        <v>4.0448424473249052</v>
      </c>
      <c r="AR195">
        <f>VLOOKUP($AC195,'2017 Seattle Tracts'!$C$2:$Z$399,AR$1,FALSE)*AA195</f>
        <v>53.846965080012801</v>
      </c>
      <c r="AS195">
        <f>VLOOKUP($AC195,'2017 Seattle Tracts'!$C$2:$Z$399,AS$1,FALSE)*AA195</f>
        <v>29.325107743105562</v>
      </c>
      <c r="AT195">
        <f>VLOOKUP($AC195,'2017 Seattle Tracts'!$C$2:$Z$399,AT$1,FALSE)*AA195</f>
        <v>0</v>
      </c>
      <c r="AU195">
        <f>VLOOKUP($AC195,'2017 Seattle Tracts'!$C$2:$Z$399,AU$1,FALSE)*AA195</f>
        <v>0</v>
      </c>
      <c r="AV195">
        <f>VLOOKUP($AC195,'2017 Seattle Tracts'!$C$2:$Z$399,AV$1,FALSE)*AA195</f>
        <v>18.707396318877688</v>
      </c>
      <c r="AW195">
        <f>VLOOKUP($AC195,'2017 Seattle Tracts'!$C$2:$Z$399,AW$1,FALSE)*AA195</f>
        <v>0</v>
      </c>
      <c r="AX195">
        <f>VLOOKUP($AC195,'2017 Seattle Tracts'!$C$2:$Z$399,AX$1,FALSE)*AA195</f>
        <v>80.138440987624691</v>
      </c>
      <c r="AY195">
        <f>VLOOKUP($AC195,'2017 Seattle Tracts'!$C$2:$Z$399,AY$1,FALSE)*AA195</f>
        <v>0</v>
      </c>
    </row>
    <row r="196" spans="1:51" x14ac:dyDescent="0.25">
      <c r="A196" t="s">
        <v>2917</v>
      </c>
      <c r="B196" t="s">
        <v>2918</v>
      </c>
      <c r="C196" t="s">
        <v>3068</v>
      </c>
      <c r="D196" t="s">
        <v>2677</v>
      </c>
      <c r="E196" t="s">
        <v>2678</v>
      </c>
      <c r="F196" t="s">
        <v>2679</v>
      </c>
      <c r="G196" t="s">
        <v>2920</v>
      </c>
      <c r="H196" t="s">
        <v>2921</v>
      </c>
      <c r="I196">
        <v>1318564</v>
      </c>
      <c r="J196">
        <v>41555</v>
      </c>
      <c r="K196" t="s">
        <v>3069</v>
      </c>
      <c r="L196" t="s">
        <v>3070</v>
      </c>
      <c r="M196">
        <v>1332369</v>
      </c>
      <c r="N196">
        <v>31</v>
      </c>
      <c r="O196">
        <v>27120.785</v>
      </c>
      <c r="P196" t="s">
        <v>122</v>
      </c>
      <c r="Q196">
        <v>6</v>
      </c>
      <c r="R196">
        <v>9</v>
      </c>
      <c r="S196">
        <v>95</v>
      </c>
      <c r="T196">
        <v>32123118</v>
      </c>
      <c r="U196">
        <v>33</v>
      </c>
      <c r="V196">
        <v>126</v>
      </c>
      <c r="W196">
        <v>27120.785937968081</v>
      </c>
      <c r="X196">
        <v>32123117.878249042</v>
      </c>
      <c r="Y196">
        <v>158003.79399999999</v>
      </c>
      <c r="Z196">
        <f>VLOOKUP($AC196,'2017 Seattle Tracts'!$C$2:$Z$399,24,FALSE)</f>
        <v>1332369.4750000001</v>
      </c>
      <c r="AA196">
        <f t="shared" ref="AA196:AA259" si="7">Y196/Z196</f>
        <v>0.11858857243783673</v>
      </c>
      <c r="AB196" t="s">
        <v>121</v>
      </c>
      <c r="AC196" t="str">
        <f t="shared" si="6"/>
        <v>Census Tract 48, King County, Washington</v>
      </c>
      <c r="AD196">
        <f>VLOOKUP($AC196,'2017 Seattle Tracts'!$C$2:$Z$399,AD$1,FALSE)*AA196</f>
        <v>609.07090804072948</v>
      </c>
      <c r="AE196">
        <f>VLOOKUP($AC196,'2017 Seattle Tracts'!$C$2:$Z$399,AE$1,FALSE)*AA196</f>
        <v>562.93995336241096</v>
      </c>
      <c r="AF196">
        <f>VLOOKUP($AC196,'2017 Seattle Tracts'!$C$2:$Z$399,AF$1,FALSE)*AA196</f>
        <v>46.130954678318489</v>
      </c>
      <c r="AG196">
        <f>VLOOKUP($AC196,'2017 Seattle Tracts'!$C$2:$Z$399,AG$1,FALSE)*AA196</f>
        <v>609.07090804072948</v>
      </c>
      <c r="AH196">
        <f>VLOOKUP($AC196,'2017 Seattle Tracts'!$C$2:$Z$399,AH$1,FALSE)*AA196</f>
        <v>562.93995336241096</v>
      </c>
      <c r="AI196">
        <f>VLOOKUP($AC196,'2017 Seattle Tracts'!$C$2:$Z$399,AI$1,FALSE)*AA196</f>
        <v>46.130954678318489</v>
      </c>
      <c r="AJ196">
        <f>VLOOKUP($AC196,'2017 Seattle Tracts'!$C$2:$Z$399,AJ$1,FALSE)*AA196</f>
        <v>488.34774129901166</v>
      </c>
      <c r="AK196">
        <f>VLOOKUP($AC196,'2017 Seattle Tracts'!$C$2:$Z$399,AK$1,FALSE)*AA196</f>
        <v>21.583120183686283</v>
      </c>
      <c r="AL196">
        <f>VLOOKUP($AC196,'2017 Seattle Tracts'!$C$2:$Z$399,AL$1,FALSE)*AA196</f>
        <v>1.6602400141297142</v>
      </c>
      <c r="AM196">
        <f>VLOOKUP($AC196,'2017 Seattle Tracts'!$C$2:$Z$399,AM$1,FALSE)*AA196</f>
        <v>4.3877771801999588</v>
      </c>
      <c r="AN196">
        <f>VLOOKUP($AC196,'2017 Seattle Tracts'!$C$2:$Z$399,AN$1,FALSE)*AA196</f>
        <v>0</v>
      </c>
      <c r="AO196">
        <f>VLOOKUP($AC196,'2017 Seattle Tracts'!$C$2:$Z$399,AO$1,FALSE)*AA196</f>
        <v>4.5063657526377954</v>
      </c>
      <c r="AP196">
        <f>VLOOKUP($AC196,'2017 Seattle Tracts'!$C$2:$Z$399,AP$1,FALSE)*AA196</f>
        <v>1.304474296816204</v>
      </c>
      <c r="AQ196">
        <f>VLOOKUP($AC196,'2017 Seattle Tracts'!$C$2:$Z$399,AQ$1,FALSE)*AA196</f>
        <v>1.8974171590053877</v>
      </c>
      <c r="AR196">
        <f>VLOOKUP($AC196,'2017 Seattle Tracts'!$C$2:$Z$399,AR$1,FALSE)*AA196</f>
        <v>25.259365929259221</v>
      </c>
      <c r="AS196">
        <f>VLOOKUP($AC196,'2017 Seattle Tracts'!$C$2:$Z$399,AS$1,FALSE)*AA196</f>
        <v>13.75627440278906</v>
      </c>
      <c r="AT196">
        <f>VLOOKUP($AC196,'2017 Seattle Tracts'!$C$2:$Z$399,AT$1,FALSE)*AA196</f>
        <v>0</v>
      </c>
      <c r="AU196">
        <f>VLOOKUP($AC196,'2017 Seattle Tracts'!$C$2:$Z$399,AU$1,FALSE)*AA196</f>
        <v>0</v>
      </c>
      <c r="AV196">
        <f>VLOOKUP($AC196,'2017 Seattle Tracts'!$C$2:$Z$399,AV$1,FALSE)*AA196</f>
        <v>8.7755543603999175</v>
      </c>
      <c r="AW196">
        <f>VLOOKUP($AC196,'2017 Seattle Tracts'!$C$2:$Z$399,AW$1,FALSE)*AA196</f>
        <v>0</v>
      </c>
      <c r="AX196">
        <f>VLOOKUP($AC196,'2017 Seattle Tracts'!$C$2:$Z$399,AX$1,FALSE)*AA196</f>
        <v>37.592577462794246</v>
      </c>
      <c r="AY196">
        <f>VLOOKUP($AC196,'2017 Seattle Tracts'!$C$2:$Z$399,AY$1,FALSE)*AA196</f>
        <v>0</v>
      </c>
    </row>
    <row r="197" spans="1:51" x14ac:dyDescent="0.25">
      <c r="A197" t="s">
        <v>2917</v>
      </c>
      <c r="B197" t="s">
        <v>2918</v>
      </c>
      <c r="C197" t="s">
        <v>3068</v>
      </c>
      <c r="D197" t="s">
        <v>2677</v>
      </c>
      <c r="E197" t="s">
        <v>2678</v>
      </c>
      <c r="F197" t="s">
        <v>2679</v>
      </c>
      <c r="G197" t="s">
        <v>2920</v>
      </c>
      <c r="H197" t="s">
        <v>2921</v>
      </c>
      <c r="I197">
        <v>1318564</v>
      </c>
      <c r="J197">
        <v>41555</v>
      </c>
      <c r="K197" t="s">
        <v>3069</v>
      </c>
      <c r="L197" t="s">
        <v>3070</v>
      </c>
      <c r="M197">
        <v>1332369</v>
      </c>
      <c r="N197">
        <v>33</v>
      </c>
      <c r="O197">
        <v>25999.285</v>
      </c>
      <c r="P197" t="s">
        <v>122</v>
      </c>
      <c r="Q197">
        <v>6</v>
      </c>
      <c r="R197">
        <v>9</v>
      </c>
      <c r="S197">
        <v>94</v>
      </c>
      <c r="T197">
        <v>26503756</v>
      </c>
      <c r="U197">
        <v>35</v>
      </c>
      <c r="V197">
        <v>137</v>
      </c>
      <c r="W197">
        <v>25999.284935718741</v>
      </c>
      <c r="X197">
        <v>26503756.57148983</v>
      </c>
      <c r="Y197">
        <v>836492.54</v>
      </c>
      <c r="Z197">
        <f>VLOOKUP($AC197,'2017 Seattle Tracts'!$C$2:$Z$399,24,FALSE)</f>
        <v>1332369.4750000001</v>
      </c>
      <c r="AA197">
        <f t="shared" si="7"/>
        <v>0.62782325450678755</v>
      </c>
      <c r="AB197" t="s">
        <v>124</v>
      </c>
      <c r="AC197" t="str">
        <f t="shared" si="6"/>
        <v>Census Tract 48, King County, Washington</v>
      </c>
      <c r="AD197">
        <f>VLOOKUP($AC197,'2017 Seattle Tracts'!$C$2:$Z$399,AD$1,FALSE)*AA197</f>
        <v>3224.5002351468611</v>
      </c>
      <c r="AE197">
        <f>VLOOKUP($AC197,'2017 Seattle Tracts'!$C$2:$Z$399,AE$1,FALSE)*AA197</f>
        <v>2980.2769891437206</v>
      </c>
      <c r="AF197">
        <f>VLOOKUP($AC197,'2017 Seattle Tracts'!$C$2:$Z$399,AF$1,FALSE)*AA197</f>
        <v>244.22324600314036</v>
      </c>
      <c r="AG197">
        <f>VLOOKUP($AC197,'2017 Seattle Tracts'!$C$2:$Z$399,AG$1,FALSE)*AA197</f>
        <v>3224.5002351468611</v>
      </c>
      <c r="AH197">
        <f>VLOOKUP($AC197,'2017 Seattle Tracts'!$C$2:$Z$399,AH$1,FALSE)*AA197</f>
        <v>2980.2769891437206</v>
      </c>
      <c r="AI197">
        <f>VLOOKUP($AC197,'2017 Seattle Tracts'!$C$2:$Z$399,AI$1,FALSE)*AA197</f>
        <v>244.22324600314036</v>
      </c>
      <c r="AJ197">
        <f>VLOOKUP($AC197,'2017 Seattle Tracts'!$C$2:$Z$399,AJ$1,FALSE)*AA197</f>
        <v>2585.3761620589512</v>
      </c>
      <c r="AK197">
        <f>VLOOKUP($AC197,'2017 Seattle Tracts'!$C$2:$Z$399,AK$1,FALSE)*AA197</f>
        <v>114.26383232023534</v>
      </c>
      <c r="AL197">
        <f>VLOOKUP($AC197,'2017 Seattle Tracts'!$C$2:$Z$399,AL$1,FALSE)*AA197</f>
        <v>8.789525563095026</v>
      </c>
      <c r="AM197">
        <f>VLOOKUP($AC197,'2017 Seattle Tracts'!$C$2:$Z$399,AM$1,FALSE)*AA197</f>
        <v>23.229460416751138</v>
      </c>
      <c r="AN197">
        <f>VLOOKUP($AC197,'2017 Seattle Tracts'!$C$2:$Z$399,AN$1,FALSE)*AA197</f>
        <v>0</v>
      </c>
      <c r="AO197">
        <f>VLOOKUP($AC197,'2017 Seattle Tracts'!$C$2:$Z$399,AO$1,FALSE)*AA197</f>
        <v>23.857283671257928</v>
      </c>
      <c r="AP197">
        <f>VLOOKUP($AC197,'2017 Seattle Tracts'!$C$2:$Z$399,AP$1,FALSE)*AA197</f>
        <v>6.9060557995746628</v>
      </c>
      <c r="AQ197">
        <f>VLOOKUP($AC197,'2017 Seattle Tracts'!$C$2:$Z$399,AQ$1,FALSE)*AA197</f>
        <v>10.045172072108601</v>
      </c>
      <c r="AR197">
        <f>VLOOKUP($AC197,'2017 Seattle Tracts'!$C$2:$Z$399,AR$1,FALSE)*AA197</f>
        <v>133.72635320994576</v>
      </c>
      <c r="AS197">
        <f>VLOOKUP($AC197,'2017 Seattle Tracts'!$C$2:$Z$399,AS$1,FALSE)*AA197</f>
        <v>72.827497522787354</v>
      </c>
      <c r="AT197">
        <f>VLOOKUP($AC197,'2017 Seattle Tracts'!$C$2:$Z$399,AT$1,FALSE)*AA197</f>
        <v>0</v>
      </c>
      <c r="AU197">
        <f>VLOOKUP($AC197,'2017 Seattle Tracts'!$C$2:$Z$399,AU$1,FALSE)*AA197</f>
        <v>0</v>
      </c>
      <c r="AV197">
        <f>VLOOKUP($AC197,'2017 Seattle Tracts'!$C$2:$Z$399,AV$1,FALSE)*AA197</f>
        <v>46.458920833502276</v>
      </c>
      <c r="AW197">
        <f>VLOOKUP($AC197,'2017 Seattle Tracts'!$C$2:$Z$399,AW$1,FALSE)*AA197</f>
        <v>0</v>
      </c>
      <c r="AX197">
        <f>VLOOKUP($AC197,'2017 Seattle Tracts'!$C$2:$Z$399,AX$1,FALSE)*AA197</f>
        <v>199.01997167865164</v>
      </c>
      <c r="AY197">
        <f>VLOOKUP($AC197,'2017 Seattle Tracts'!$C$2:$Z$399,AY$1,FALSE)*AA197</f>
        <v>0</v>
      </c>
    </row>
    <row r="198" spans="1:51" x14ac:dyDescent="0.25">
      <c r="A198" t="s">
        <v>2917</v>
      </c>
      <c r="B198" t="s">
        <v>2918</v>
      </c>
      <c r="C198" t="s">
        <v>3071</v>
      </c>
      <c r="D198" t="s">
        <v>2590</v>
      </c>
      <c r="E198" t="s">
        <v>2591</v>
      </c>
      <c r="F198" t="s">
        <v>2592</v>
      </c>
      <c r="G198" t="s">
        <v>2920</v>
      </c>
      <c r="H198" t="s">
        <v>2921</v>
      </c>
      <c r="I198">
        <v>926050</v>
      </c>
      <c r="J198">
        <v>0</v>
      </c>
      <c r="K198" t="s">
        <v>3072</v>
      </c>
      <c r="L198" t="s">
        <v>3073</v>
      </c>
      <c r="M198">
        <v>926047</v>
      </c>
      <c r="N198">
        <v>49</v>
      </c>
      <c r="O198">
        <v>29323.546999999999</v>
      </c>
      <c r="P198" t="s">
        <v>141</v>
      </c>
      <c r="Q198">
        <v>12</v>
      </c>
      <c r="R198">
        <v>10</v>
      </c>
      <c r="S198">
        <v>95</v>
      </c>
      <c r="T198">
        <v>16107105</v>
      </c>
      <c r="U198">
        <v>51</v>
      </c>
      <c r="V198">
        <v>200</v>
      </c>
      <c r="W198">
        <v>29323.546284384702</v>
      </c>
      <c r="X198">
        <v>16107105.41912676</v>
      </c>
      <c r="Y198">
        <v>564155.58600000001</v>
      </c>
      <c r="Z198">
        <f>VLOOKUP($AC198,'2017 Seattle Tracts'!$C$2:$Z$399,24,FALSE)</f>
        <v>926046.61100000003</v>
      </c>
      <c r="AA198">
        <f t="shared" si="7"/>
        <v>0.60920862870044024</v>
      </c>
      <c r="AB198" t="s">
        <v>143</v>
      </c>
      <c r="AC198" t="str">
        <f t="shared" si="6"/>
        <v>Census Tract 73, King County, Washington</v>
      </c>
      <c r="AD198">
        <f>VLOOKUP($AC198,'2017 Seattle Tracts'!$C$2:$Z$399,AD$1,FALSE)*AA198</f>
        <v>4028.6966615960114</v>
      </c>
      <c r="AE198">
        <f>VLOOKUP($AC198,'2017 Seattle Tracts'!$C$2:$Z$399,AE$1,FALSE)*AA198</f>
        <v>2879.7291878669812</v>
      </c>
      <c r="AF198">
        <f>VLOOKUP($AC198,'2017 Seattle Tracts'!$C$2:$Z$399,AF$1,FALSE)*AA198</f>
        <v>1148.9674737290302</v>
      </c>
      <c r="AG198">
        <f>VLOOKUP($AC198,'2017 Seattle Tracts'!$C$2:$Z$399,AG$1,FALSE)*AA198</f>
        <v>4028.6966615960114</v>
      </c>
      <c r="AH198">
        <f>VLOOKUP($AC198,'2017 Seattle Tracts'!$C$2:$Z$399,AH$1,FALSE)*AA198</f>
        <v>2879.7291878669812</v>
      </c>
      <c r="AI198">
        <f>VLOOKUP($AC198,'2017 Seattle Tracts'!$C$2:$Z$399,AI$1,FALSE)*AA198</f>
        <v>1148.9674737290302</v>
      </c>
      <c r="AJ198">
        <f>VLOOKUP($AC198,'2017 Seattle Tracts'!$C$2:$Z$399,AJ$1,FALSE)*AA198</f>
        <v>1999.4227193948448</v>
      </c>
      <c r="AK198">
        <f>VLOOKUP($AC198,'2017 Seattle Tracts'!$C$2:$Z$399,AK$1,FALSE)*AA198</f>
        <v>284.5004296031056</v>
      </c>
      <c r="AL198">
        <f>VLOOKUP($AC198,'2017 Seattle Tracts'!$C$2:$Z$399,AL$1,FALSE)*AA198</f>
        <v>160.83107797691622</v>
      </c>
      <c r="AM198">
        <f>VLOOKUP($AC198,'2017 Seattle Tracts'!$C$2:$Z$399,AM$1,FALSE)*AA198</f>
        <v>123.06014299748892</v>
      </c>
      <c r="AN198">
        <f>VLOOKUP($AC198,'2017 Seattle Tracts'!$C$2:$Z$399,AN$1,FALSE)*AA198</f>
        <v>268.66100525689416</v>
      </c>
      <c r="AO198">
        <f>VLOOKUP($AC198,'2017 Seattle Tracts'!$C$2:$Z$399,AO$1,FALSE)*AA198</f>
        <v>103.56546687907483</v>
      </c>
      <c r="AP198">
        <f>VLOOKUP($AC198,'2017 Seattle Tracts'!$C$2:$Z$399,AP$1,FALSE)*AA198</f>
        <v>4.8736690296035219</v>
      </c>
      <c r="AQ198">
        <f>VLOOKUP($AC198,'2017 Seattle Tracts'!$C$2:$Z$399,AQ$1,FALSE)*AA198</f>
        <v>0</v>
      </c>
      <c r="AR198">
        <f>VLOOKUP($AC198,'2017 Seattle Tracts'!$C$2:$Z$399,AR$1,FALSE)*AA198</f>
        <v>136.46273282889862</v>
      </c>
      <c r="AS198">
        <f>VLOOKUP($AC198,'2017 Seattle Tracts'!$C$2:$Z$399,AS$1,FALSE)*AA198</f>
        <v>533.05755011288522</v>
      </c>
      <c r="AT198">
        <f>VLOOKUP($AC198,'2017 Seattle Tracts'!$C$2:$Z$399,AT$1,FALSE)*AA198</f>
        <v>37.770934979427295</v>
      </c>
      <c r="AU198">
        <f>VLOOKUP($AC198,'2017 Seattle Tracts'!$C$2:$Z$399,AU$1,FALSE)*AA198</f>
        <v>0</v>
      </c>
      <c r="AV198">
        <f>VLOOKUP($AC198,'2017 Seattle Tracts'!$C$2:$Z$399,AV$1,FALSE)*AA198</f>
        <v>46.909064409933897</v>
      </c>
      <c r="AW198">
        <f>VLOOKUP($AC198,'2017 Seattle Tracts'!$C$2:$Z$399,AW$1,FALSE)*AA198</f>
        <v>68.840575043149741</v>
      </c>
      <c r="AX198">
        <f>VLOOKUP($AC198,'2017 Seattle Tracts'!$C$2:$Z$399,AX$1,FALSE)*AA198</f>
        <v>224.79798399046246</v>
      </c>
      <c r="AY198">
        <f>VLOOKUP($AC198,'2017 Seattle Tracts'!$C$2:$Z$399,AY$1,FALSE)*AA198</f>
        <v>35.943309093325972</v>
      </c>
    </row>
    <row r="199" spans="1:51" x14ac:dyDescent="0.25">
      <c r="A199" t="s">
        <v>2917</v>
      </c>
      <c r="B199" t="s">
        <v>2918</v>
      </c>
      <c r="C199" t="s">
        <v>3071</v>
      </c>
      <c r="D199" t="s">
        <v>2590</v>
      </c>
      <c r="E199" t="s">
        <v>2591</v>
      </c>
      <c r="F199" t="s">
        <v>2592</v>
      </c>
      <c r="G199" t="s">
        <v>2920</v>
      </c>
      <c r="H199" t="s">
        <v>2921</v>
      </c>
      <c r="I199">
        <v>926050</v>
      </c>
      <c r="J199">
        <v>0</v>
      </c>
      <c r="K199" t="s">
        <v>3072</v>
      </c>
      <c r="L199" t="s">
        <v>3073</v>
      </c>
      <c r="M199">
        <v>926047</v>
      </c>
      <c r="N199">
        <v>60</v>
      </c>
      <c r="O199">
        <v>21967.599999999999</v>
      </c>
      <c r="P199" t="s">
        <v>156</v>
      </c>
      <c r="Q199">
        <v>13</v>
      </c>
      <c r="R199">
        <v>11</v>
      </c>
      <c r="S199">
        <v>81</v>
      </c>
      <c r="T199">
        <v>14974037</v>
      </c>
      <c r="U199">
        <v>62</v>
      </c>
      <c r="V199">
        <v>156</v>
      </c>
      <c r="W199">
        <v>21967.599459922661</v>
      </c>
      <c r="X199">
        <v>14974037.0994289</v>
      </c>
      <c r="Y199">
        <v>313357.84100000001</v>
      </c>
      <c r="Z199">
        <f>VLOOKUP($AC199,'2017 Seattle Tracts'!$C$2:$Z$399,24,FALSE)</f>
        <v>926046.61100000003</v>
      </c>
      <c r="AA199">
        <f t="shared" si="7"/>
        <v>0.33838236356333906</v>
      </c>
      <c r="AB199" t="s">
        <v>157</v>
      </c>
      <c r="AC199" t="str">
        <f t="shared" si="6"/>
        <v>Census Tract 73, King County, Washington</v>
      </c>
      <c r="AD199">
        <f>VLOOKUP($AC199,'2017 Seattle Tracts'!$C$2:$Z$399,AD$1,FALSE)*AA199</f>
        <v>2237.7225702443611</v>
      </c>
      <c r="AE199">
        <f>VLOOKUP($AC199,'2017 Seattle Tracts'!$C$2:$Z$399,AE$1,FALSE)*AA199</f>
        <v>1599.5334325639037</v>
      </c>
      <c r="AF199">
        <f>VLOOKUP($AC199,'2017 Seattle Tracts'!$C$2:$Z$399,AF$1,FALSE)*AA199</f>
        <v>638.18913768045752</v>
      </c>
      <c r="AG199">
        <f>VLOOKUP($AC199,'2017 Seattle Tracts'!$C$2:$Z$399,AG$1,FALSE)*AA199</f>
        <v>2237.7225702443611</v>
      </c>
      <c r="AH199">
        <f>VLOOKUP($AC199,'2017 Seattle Tracts'!$C$2:$Z$399,AH$1,FALSE)*AA199</f>
        <v>1599.5334325639037</v>
      </c>
      <c r="AI199">
        <f>VLOOKUP($AC199,'2017 Seattle Tracts'!$C$2:$Z$399,AI$1,FALSE)*AA199</f>
        <v>638.18913768045752</v>
      </c>
      <c r="AJ199">
        <f>VLOOKUP($AC199,'2017 Seattle Tracts'!$C$2:$Z$399,AJ$1,FALSE)*AA199</f>
        <v>1110.5709172148788</v>
      </c>
      <c r="AK199">
        <f>VLOOKUP($AC199,'2017 Seattle Tracts'!$C$2:$Z$399,AK$1,FALSE)*AA199</f>
        <v>158.02456378407933</v>
      </c>
      <c r="AL199">
        <f>VLOOKUP($AC199,'2017 Seattle Tracts'!$C$2:$Z$399,AL$1,FALSE)*AA199</f>
        <v>89.33294398072151</v>
      </c>
      <c r="AM199">
        <f>VLOOKUP($AC199,'2017 Seattle Tracts'!$C$2:$Z$399,AM$1,FALSE)*AA199</f>
        <v>68.353237439794484</v>
      </c>
      <c r="AN199">
        <f>VLOOKUP($AC199,'2017 Seattle Tracts'!$C$2:$Z$399,AN$1,FALSE)*AA199</f>
        <v>149.22662233143254</v>
      </c>
      <c r="AO199">
        <f>VLOOKUP($AC199,'2017 Seattle Tracts'!$C$2:$Z$399,AO$1,FALSE)*AA199</f>
        <v>57.525001805767637</v>
      </c>
      <c r="AP199">
        <f>VLOOKUP($AC199,'2017 Seattle Tracts'!$C$2:$Z$399,AP$1,FALSE)*AA199</f>
        <v>2.7070589085067125</v>
      </c>
      <c r="AQ199">
        <f>VLOOKUP($AC199,'2017 Seattle Tracts'!$C$2:$Z$399,AQ$1,FALSE)*AA199</f>
        <v>0</v>
      </c>
      <c r="AR199">
        <f>VLOOKUP($AC199,'2017 Seattle Tracts'!$C$2:$Z$399,AR$1,FALSE)*AA199</f>
        <v>75.797649438187946</v>
      </c>
      <c r="AS199">
        <f>VLOOKUP($AC199,'2017 Seattle Tracts'!$C$2:$Z$399,AS$1,FALSE)*AA199</f>
        <v>296.08456811792166</v>
      </c>
      <c r="AT199">
        <f>VLOOKUP($AC199,'2017 Seattle Tracts'!$C$2:$Z$399,AT$1,FALSE)*AA199</f>
        <v>20.979706540927022</v>
      </c>
      <c r="AU199">
        <f>VLOOKUP($AC199,'2017 Seattle Tracts'!$C$2:$Z$399,AU$1,FALSE)*AA199</f>
        <v>0</v>
      </c>
      <c r="AV199">
        <f>VLOOKUP($AC199,'2017 Seattle Tracts'!$C$2:$Z$399,AV$1,FALSE)*AA199</f>
        <v>26.055441994377109</v>
      </c>
      <c r="AW199">
        <f>VLOOKUP($AC199,'2017 Seattle Tracts'!$C$2:$Z$399,AW$1,FALSE)*AA199</f>
        <v>38.237207082657314</v>
      </c>
      <c r="AX199">
        <f>VLOOKUP($AC199,'2017 Seattle Tracts'!$C$2:$Z$399,AX$1,FALSE)*AA199</f>
        <v>124.86309215487212</v>
      </c>
      <c r="AY199">
        <f>VLOOKUP($AC199,'2017 Seattle Tracts'!$C$2:$Z$399,AY$1,FALSE)*AA199</f>
        <v>19.964559450237005</v>
      </c>
    </row>
    <row r="200" spans="1:51" x14ac:dyDescent="0.25">
      <c r="A200" t="s">
        <v>2917</v>
      </c>
      <c r="B200" t="s">
        <v>2918</v>
      </c>
      <c r="C200" t="s">
        <v>3071</v>
      </c>
      <c r="D200" t="s">
        <v>2590</v>
      </c>
      <c r="E200" t="s">
        <v>2591</v>
      </c>
      <c r="F200" t="s">
        <v>2592</v>
      </c>
      <c r="G200" t="s">
        <v>2920</v>
      </c>
      <c r="H200" t="s">
        <v>2921</v>
      </c>
      <c r="I200">
        <v>926050</v>
      </c>
      <c r="J200">
        <v>0</v>
      </c>
      <c r="K200" t="s">
        <v>3072</v>
      </c>
      <c r="L200" t="s">
        <v>3073</v>
      </c>
      <c r="M200">
        <v>926047</v>
      </c>
      <c r="N200">
        <v>62</v>
      </c>
      <c r="O200">
        <v>18209.463</v>
      </c>
      <c r="P200" t="s">
        <v>156</v>
      </c>
      <c r="Q200">
        <v>13</v>
      </c>
      <c r="R200">
        <v>11</v>
      </c>
      <c r="S200">
        <v>95</v>
      </c>
      <c r="T200">
        <v>9477399</v>
      </c>
      <c r="U200">
        <v>64</v>
      </c>
      <c r="V200">
        <v>159</v>
      </c>
      <c r="W200">
        <v>18209.462862458811</v>
      </c>
      <c r="X200">
        <v>9477398.6185622383</v>
      </c>
      <c r="Y200">
        <v>275.35700000000003</v>
      </c>
      <c r="Z200">
        <f>VLOOKUP($AC200,'2017 Seattle Tracts'!$C$2:$Z$399,24,FALSE)</f>
        <v>926046.61100000003</v>
      </c>
      <c r="AA200">
        <f t="shared" si="7"/>
        <v>2.9734680385326741E-4</v>
      </c>
      <c r="AB200" t="s">
        <v>159</v>
      </c>
      <c r="AC200" t="str">
        <f t="shared" si="6"/>
        <v>Census Tract 73, King County, Washington</v>
      </c>
      <c r="AD200">
        <f>VLOOKUP($AC200,'2017 Seattle Tracts'!$C$2:$Z$399,AD$1,FALSE)*AA200</f>
        <v>1.9663544138816573</v>
      </c>
      <c r="AE200">
        <f>VLOOKUP($AC200,'2017 Seattle Tracts'!$C$2:$Z$399,AE$1,FALSE)*AA200</f>
        <v>1.4055583418143951</v>
      </c>
      <c r="AF200">
        <f>VLOOKUP($AC200,'2017 Seattle Tracts'!$C$2:$Z$399,AF$1,FALSE)*AA200</f>
        <v>0.56079607206726234</v>
      </c>
      <c r="AG200">
        <f>VLOOKUP($AC200,'2017 Seattle Tracts'!$C$2:$Z$399,AG$1,FALSE)*AA200</f>
        <v>1.9663544138816573</v>
      </c>
      <c r="AH200">
        <f>VLOOKUP($AC200,'2017 Seattle Tracts'!$C$2:$Z$399,AH$1,FALSE)*AA200</f>
        <v>1.4055583418143951</v>
      </c>
      <c r="AI200">
        <f>VLOOKUP($AC200,'2017 Seattle Tracts'!$C$2:$Z$399,AI$1,FALSE)*AA200</f>
        <v>0.56079607206726234</v>
      </c>
      <c r="AJ200">
        <f>VLOOKUP($AC200,'2017 Seattle Tracts'!$C$2:$Z$399,AJ$1,FALSE)*AA200</f>
        <v>0.97589221024642359</v>
      </c>
      <c r="AK200">
        <f>VLOOKUP($AC200,'2017 Seattle Tracts'!$C$2:$Z$399,AK$1,FALSE)*AA200</f>
        <v>0.13886095739947588</v>
      </c>
      <c r="AL200">
        <f>VLOOKUP($AC200,'2017 Seattle Tracts'!$C$2:$Z$399,AL$1,FALSE)*AA200</f>
        <v>7.8499556217262595E-2</v>
      </c>
      <c r="AM200">
        <f>VLOOKUP($AC200,'2017 Seattle Tracts'!$C$2:$Z$399,AM$1,FALSE)*AA200</f>
        <v>6.0064054378360016E-2</v>
      </c>
      <c r="AN200">
        <f>VLOOKUP($AC200,'2017 Seattle Tracts'!$C$2:$Z$399,AN$1,FALSE)*AA200</f>
        <v>0.13112994049929091</v>
      </c>
      <c r="AO200">
        <f>VLOOKUP($AC200,'2017 Seattle Tracts'!$C$2:$Z$399,AO$1,FALSE)*AA200</f>
        <v>5.054895665505546E-2</v>
      </c>
      <c r="AP200">
        <f>VLOOKUP($AC200,'2017 Seattle Tracts'!$C$2:$Z$399,AP$1,FALSE)*AA200</f>
        <v>2.3787744308261393E-3</v>
      </c>
      <c r="AQ200">
        <f>VLOOKUP($AC200,'2017 Seattle Tracts'!$C$2:$Z$399,AQ$1,FALSE)*AA200</f>
        <v>0</v>
      </c>
      <c r="AR200">
        <f>VLOOKUP($AC200,'2017 Seattle Tracts'!$C$2:$Z$399,AR$1,FALSE)*AA200</f>
        <v>6.6605684063131901E-2</v>
      </c>
      <c r="AS200">
        <f>VLOOKUP($AC200,'2017 Seattle Tracts'!$C$2:$Z$399,AS$1,FALSE)*AA200</f>
        <v>0.260178453371609</v>
      </c>
      <c r="AT200">
        <f>VLOOKUP($AC200,'2017 Seattle Tracts'!$C$2:$Z$399,AT$1,FALSE)*AA200</f>
        <v>1.8435501838902579E-2</v>
      </c>
      <c r="AU200">
        <f>VLOOKUP($AC200,'2017 Seattle Tracts'!$C$2:$Z$399,AU$1,FALSE)*AA200</f>
        <v>0</v>
      </c>
      <c r="AV200">
        <f>VLOOKUP($AC200,'2017 Seattle Tracts'!$C$2:$Z$399,AV$1,FALSE)*AA200</f>
        <v>2.2895703896701591E-2</v>
      </c>
      <c r="AW200">
        <f>VLOOKUP($AC200,'2017 Seattle Tracts'!$C$2:$Z$399,AW$1,FALSE)*AA200</f>
        <v>3.3600188835419216E-2</v>
      </c>
      <c r="AX200">
        <f>VLOOKUP($AC200,'2017 Seattle Tracts'!$C$2:$Z$399,AX$1,FALSE)*AA200</f>
        <v>0.10972097062185568</v>
      </c>
      <c r="AY200">
        <f>VLOOKUP($AC200,'2017 Seattle Tracts'!$C$2:$Z$399,AY$1,FALSE)*AA200</f>
        <v>1.7543461427342776E-2</v>
      </c>
    </row>
    <row r="201" spans="1:51" x14ac:dyDescent="0.25">
      <c r="A201" t="s">
        <v>2917</v>
      </c>
      <c r="B201" t="s">
        <v>2918</v>
      </c>
      <c r="C201" t="s">
        <v>3071</v>
      </c>
      <c r="D201" t="s">
        <v>2590</v>
      </c>
      <c r="E201" t="s">
        <v>2591</v>
      </c>
      <c r="F201" t="s">
        <v>2592</v>
      </c>
      <c r="G201" t="s">
        <v>2920</v>
      </c>
      <c r="H201" t="s">
        <v>2921</v>
      </c>
      <c r="I201">
        <v>926050</v>
      </c>
      <c r="J201">
        <v>0</v>
      </c>
      <c r="K201" t="s">
        <v>3072</v>
      </c>
      <c r="L201" t="s">
        <v>3073</v>
      </c>
      <c r="M201">
        <v>926047</v>
      </c>
      <c r="N201">
        <v>100</v>
      </c>
      <c r="O201">
        <v>26851.947</v>
      </c>
      <c r="P201" t="s">
        <v>201</v>
      </c>
      <c r="Q201">
        <v>11</v>
      </c>
      <c r="R201">
        <v>3</v>
      </c>
      <c r="S201">
        <v>0</v>
      </c>
      <c r="T201">
        <v>30239240</v>
      </c>
      <c r="U201">
        <v>102</v>
      </c>
      <c r="V201">
        <v>151</v>
      </c>
      <c r="W201">
        <v>26851.9474418256</v>
      </c>
      <c r="X201">
        <v>30239240.52129779</v>
      </c>
      <c r="Y201">
        <v>48257.82</v>
      </c>
      <c r="Z201">
        <f>VLOOKUP($AC201,'2017 Seattle Tracts'!$C$2:$Z$399,24,FALSE)</f>
        <v>926046.61100000003</v>
      </c>
      <c r="AA201">
        <f t="shared" si="7"/>
        <v>5.2111653373352711E-2</v>
      </c>
      <c r="AB201" t="s">
        <v>204</v>
      </c>
      <c r="AC201" t="str">
        <f t="shared" si="6"/>
        <v>Census Tract 73, King County, Washington</v>
      </c>
      <c r="AD201">
        <f>VLOOKUP($AC201,'2017 Seattle Tracts'!$C$2:$Z$399,AD$1,FALSE)*AA201</f>
        <v>344.61436375798149</v>
      </c>
      <c r="AE201">
        <f>VLOOKUP($AC201,'2017 Seattle Tracts'!$C$2:$Z$399,AE$1,FALSE)*AA201</f>
        <v>246.33178549583826</v>
      </c>
      <c r="AF201">
        <f>VLOOKUP($AC201,'2017 Seattle Tracts'!$C$2:$Z$399,AF$1,FALSE)*AA201</f>
        <v>98.282578262143218</v>
      </c>
      <c r="AG201">
        <f>VLOOKUP($AC201,'2017 Seattle Tracts'!$C$2:$Z$399,AG$1,FALSE)*AA201</f>
        <v>344.61436375798149</v>
      </c>
      <c r="AH201">
        <f>VLOOKUP($AC201,'2017 Seattle Tracts'!$C$2:$Z$399,AH$1,FALSE)*AA201</f>
        <v>246.33178549583826</v>
      </c>
      <c r="AI201">
        <f>VLOOKUP($AC201,'2017 Seattle Tracts'!$C$2:$Z$399,AI$1,FALSE)*AA201</f>
        <v>98.282578262143218</v>
      </c>
      <c r="AJ201">
        <f>VLOOKUP($AC201,'2017 Seattle Tracts'!$C$2:$Z$399,AJ$1,FALSE)*AA201</f>
        <v>171.0304463713436</v>
      </c>
      <c r="AK201">
        <f>VLOOKUP($AC201,'2017 Seattle Tracts'!$C$2:$Z$399,AK$1,FALSE)*AA201</f>
        <v>24.336142125355718</v>
      </c>
      <c r="AL201">
        <f>VLOOKUP($AC201,'2017 Seattle Tracts'!$C$2:$Z$399,AL$1,FALSE)*AA201</f>
        <v>13.757476490565116</v>
      </c>
      <c r="AM201">
        <f>VLOOKUP($AC201,'2017 Seattle Tracts'!$C$2:$Z$399,AM$1,FALSE)*AA201</f>
        <v>10.526553981417248</v>
      </c>
      <c r="AN201">
        <f>VLOOKUP($AC201,'2017 Seattle Tracts'!$C$2:$Z$399,AN$1,FALSE)*AA201</f>
        <v>22.981239137648544</v>
      </c>
      <c r="AO201">
        <f>VLOOKUP($AC201,'2017 Seattle Tracts'!$C$2:$Z$399,AO$1,FALSE)*AA201</f>
        <v>8.8589810734699608</v>
      </c>
      <c r="AP201">
        <f>VLOOKUP($AC201,'2017 Seattle Tracts'!$C$2:$Z$399,AP$1,FALSE)*AA201</f>
        <v>0.41689322698682169</v>
      </c>
      <c r="AQ201">
        <f>VLOOKUP($AC201,'2017 Seattle Tracts'!$C$2:$Z$399,AQ$1,FALSE)*AA201</f>
        <v>0</v>
      </c>
      <c r="AR201">
        <f>VLOOKUP($AC201,'2017 Seattle Tracts'!$C$2:$Z$399,AR$1,FALSE)*AA201</f>
        <v>11.673010355631007</v>
      </c>
      <c r="AS201">
        <f>VLOOKUP($AC201,'2017 Seattle Tracts'!$C$2:$Z$399,AS$1,FALSE)*AA201</f>
        <v>45.597696701683624</v>
      </c>
      <c r="AT201">
        <f>VLOOKUP($AC201,'2017 Seattle Tracts'!$C$2:$Z$399,AT$1,FALSE)*AA201</f>
        <v>3.2309225091478679</v>
      </c>
      <c r="AU201">
        <f>VLOOKUP($AC201,'2017 Seattle Tracts'!$C$2:$Z$399,AU$1,FALSE)*AA201</f>
        <v>0</v>
      </c>
      <c r="AV201">
        <f>VLOOKUP($AC201,'2017 Seattle Tracts'!$C$2:$Z$399,AV$1,FALSE)*AA201</f>
        <v>4.0125973097481591</v>
      </c>
      <c r="AW201">
        <f>VLOOKUP($AC201,'2017 Seattle Tracts'!$C$2:$Z$399,AW$1,FALSE)*AA201</f>
        <v>5.8886168311888563</v>
      </c>
      <c r="AX201">
        <f>VLOOKUP($AC201,'2017 Seattle Tracts'!$C$2:$Z$399,AX$1,FALSE)*AA201</f>
        <v>19.229200094767151</v>
      </c>
      <c r="AY201">
        <f>VLOOKUP($AC201,'2017 Seattle Tracts'!$C$2:$Z$399,AY$1,FALSE)*AA201</f>
        <v>3.0745875490278101</v>
      </c>
    </row>
    <row r="202" spans="1:51" x14ac:dyDescent="0.25">
      <c r="A202" t="s">
        <v>2917</v>
      </c>
      <c r="B202" t="s">
        <v>2918</v>
      </c>
      <c r="C202" t="s">
        <v>3074</v>
      </c>
      <c r="D202" t="s">
        <v>2581</v>
      </c>
      <c r="E202" t="s">
        <v>2582</v>
      </c>
      <c r="F202" t="s">
        <v>2583</v>
      </c>
      <c r="G202" t="s">
        <v>2920</v>
      </c>
      <c r="H202" t="s">
        <v>2921</v>
      </c>
      <c r="I202">
        <v>801542</v>
      </c>
      <c r="J202">
        <v>0</v>
      </c>
      <c r="K202" t="s">
        <v>3075</v>
      </c>
      <c r="L202" t="s">
        <v>3076</v>
      </c>
      <c r="M202">
        <v>787547</v>
      </c>
      <c r="N202">
        <v>55</v>
      </c>
      <c r="O202">
        <v>18241.548999999999</v>
      </c>
      <c r="P202" t="s">
        <v>149</v>
      </c>
      <c r="Q202">
        <v>14</v>
      </c>
      <c r="R202">
        <v>8</v>
      </c>
      <c r="S202">
        <v>94</v>
      </c>
      <c r="T202">
        <v>17933144</v>
      </c>
      <c r="U202">
        <v>57</v>
      </c>
      <c r="V202">
        <v>157</v>
      </c>
      <c r="W202">
        <v>18241.548785981169</v>
      </c>
      <c r="X202">
        <v>17933144.708401948</v>
      </c>
      <c r="Y202">
        <v>25144.455999999998</v>
      </c>
      <c r="Z202">
        <f>VLOOKUP($AC202,'2017 Seattle Tracts'!$C$2:$Z$399,24,FALSE)</f>
        <v>787547.19400000002</v>
      </c>
      <c r="AA202">
        <f t="shared" si="7"/>
        <v>3.1927554553638597E-2</v>
      </c>
      <c r="AB202" t="s">
        <v>151</v>
      </c>
      <c r="AC202" t="str">
        <f t="shared" si="6"/>
        <v>Census Tract 75, King County, Washington</v>
      </c>
      <c r="AD202">
        <f>VLOOKUP($AC202,'2017 Seattle Tracts'!$C$2:$Z$399,AD$1,FALSE)*AA202</f>
        <v>279.46188500799866</v>
      </c>
      <c r="AE202">
        <f>VLOOKUP($AC202,'2017 Seattle Tracts'!$C$2:$Z$399,AE$1,FALSE)*AA202</f>
        <v>242.45784928033152</v>
      </c>
      <c r="AF202">
        <f>VLOOKUP($AC202,'2017 Seattle Tracts'!$C$2:$Z$399,AF$1,FALSE)*AA202</f>
        <v>37.004035727667137</v>
      </c>
      <c r="AG202">
        <f>VLOOKUP($AC202,'2017 Seattle Tracts'!$C$2:$Z$399,AG$1,FALSE)*AA202</f>
        <v>279.46188500799866</v>
      </c>
      <c r="AH202">
        <f>VLOOKUP($AC202,'2017 Seattle Tracts'!$C$2:$Z$399,AH$1,FALSE)*AA202</f>
        <v>242.45784928033152</v>
      </c>
      <c r="AI202">
        <f>VLOOKUP($AC202,'2017 Seattle Tracts'!$C$2:$Z$399,AI$1,FALSE)*AA202</f>
        <v>37.004035727667137</v>
      </c>
      <c r="AJ202">
        <f>VLOOKUP($AC202,'2017 Seattle Tracts'!$C$2:$Z$399,AJ$1,FALSE)*AA202</f>
        <v>184.98825108378202</v>
      </c>
      <c r="AK202">
        <f>VLOOKUP($AC202,'2017 Seattle Tracts'!$C$2:$Z$399,AK$1,FALSE)*AA202</f>
        <v>17.847502995483975</v>
      </c>
      <c r="AL202">
        <f>VLOOKUP($AC202,'2017 Seattle Tracts'!$C$2:$Z$399,AL$1,FALSE)*AA202</f>
        <v>6.9602068926932139</v>
      </c>
      <c r="AM202">
        <f>VLOOKUP($AC202,'2017 Seattle Tracts'!$C$2:$Z$399,AM$1,FALSE)*AA202</f>
        <v>0.76626130928732628</v>
      </c>
      <c r="AN202">
        <f>VLOOKUP($AC202,'2017 Seattle Tracts'!$C$2:$Z$399,AN$1,FALSE)*AA202</f>
        <v>9.4824837024306632</v>
      </c>
      <c r="AO202">
        <f>VLOOKUP($AC202,'2017 Seattle Tracts'!$C$2:$Z$399,AO$1,FALSE)*AA202</f>
        <v>1.979508382325593</v>
      </c>
      <c r="AP202">
        <f>VLOOKUP($AC202,'2017 Seattle Tracts'!$C$2:$Z$399,AP$1,FALSE)*AA202</f>
        <v>2.4264941460765335</v>
      </c>
      <c r="AQ202">
        <f>VLOOKUP($AC202,'2017 Seattle Tracts'!$C$2:$Z$399,AQ$1,FALSE)*AA202</f>
        <v>0</v>
      </c>
      <c r="AR202">
        <f>VLOOKUP($AC202,'2017 Seattle Tracts'!$C$2:$Z$399,AR$1,FALSE)*AA202</f>
        <v>11.749340075739005</v>
      </c>
      <c r="AS202">
        <f>VLOOKUP($AC202,'2017 Seattle Tracts'!$C$2:$Z$399,AS$1,FALSE)*AA202</f>
        <v>8.5565846203751441</v>
      </c>
      <c r="AT202">
        <f>VLOOKUP($AC202,'2017 Seattle Tracts'!$C$2:$Z$399,AT$1,FALSE)*AA202</f>
        <v>0</v>
      </c>
      <c r="AU202">
        <f>VLOOKUP($AC202,'2017 Seattle Tracts'!$C$2:$Z$399,AU$1,FALSE)*AA202</f>
        <v>0</v>
      </c>
      <c r="AV202">
        <f>VLOOKUP($AC202,'2017 Seattle Tracts'!$C$2:$Z$399,AV$1,FALSE)*AA202</f>
        <v>3.2885381190247753</v>
      </c>
      <c r="AW202">
        <f>VLOOKUP($AC202,'2017 Seattle Tracts'!$C$2:$Z$399,AW$1,FALSE)*AA202</f>
        <v>4.4060025284021265</v>
      </c>
      <c r="AX202">
        <f>VLOOKUP($AC202,'2017 Seattle Tracts'!$C$2:$Z$399,AX$1,FALSE)*AA202</f>
        <v>23.562535260585285</v>
      </c>
      <c r="AY202">
        <f>VLOOKUP($AC202,'2017 Seattle Tracts'!$C$2:$Z$399,AY$1,FALSE)*AA202</f>
        <v>3.4481758917929684</v>
      </c>
    </row>
    <row r="203" spans="1:51" x14ac:dyDescent="0.25">
      <c r="A203" t="s">
        <v>2917</v>
      </c>
      <c r="B203" t="s">
        <v>2918</v>
      </c>
      <c r="C203" t="s">
        <v>3074</v>
      </c>
      <c r="D203" t="s">
        <v>2581</v>
      </c>
      <c r="E203" t="s">
        <v>2582</v>
      </c>
      <c r="F203" t="s">
        <v>2583</v>
      </c>
      <c r="G203" t="s">
        <v>2920</v>
      </c>
      <c r="H203" t="s">
        <v>2921</v>
      </c>
      <c r="I203">
        <v>801542</v>
      </c>
      <c r="J203">
        <v>0</v>
      </c>
      <c r="K203" t="s">
        <v>3075</v>
      </c>
      <c r="L203" t="s">
        <v>3076</v>
      </c>
      <c r="M203">
        <v>787547</v>
      </c>
      <c r="N203">
        <v>63</v>
      </c>
      <c r="O203">
        <v>13225.233</v>
      </c>
      <c r="P203" t="s">
        <v>156</v>
      </c>
      <c r="Q203">
        <v>13</v>
      </c>
      <c r="R203">
        <v>11</v>
      </c>
      <c r="S203">
        <v>33</v>
      </c>
      <c r="T203">
        <v>9517568</v>
      </c>
      <c r="U203">
        <v>65</v>
      </c>
      <c r="V203">
        <v>160</v>
      </c>
      <c r="W203">
        <v>13225.23351595422</v>
      </c>
      <c r="X203">
        <v>9517568.4736377206</v>
      </c>
      <c r="Y203">
        <v>43339.116999999998</v>
      </c>
      <c r="Z203">
        <f>VLOOKUP($AC203,'2017 Seattle Tracts'!$C$2:$Z$399,24,FALSE)</f>
        <v>787547.19400000002</v>
      </c>
      <c r="AA203">
        <f t="shared" si="7"/>
        <v>5.5030501448272567E-2</v>
      </c>
      <c r="AB203" t="s">
        <v>160</v>
      </c>
      <c r="AC203" t="str">
        <f t="shared" si="6"/>
        <v>Census Tract 75, King County, Washington</v>
      </c>
      <c r="AD203">
        <f>VLOOKUP($AC203,'2017 Seattle Tracts'!$C$2:$Z$399,AD$1,FALSE)*AA203</f>
        <v>481.68197917672978</v>
      </c>
      <c r="AE203">
        <f>VLOOKUP($AC203,'2017 Seattle Tracts'!$C$2:$Z$399,AE$1,FALSE)*AA203</f>
        <v>417.90162799818188</v>
      </c>
      <c r="AF203">
        <f>VLOOKUP($AC203,'2017 Seattle Tracts'!$C$2:$Z$399,AF$1,FALSE)*AA203</f>
        <v>63.780351178547903</v>
      </c>
      <c r="AG203">
        <f>VLOOKUP($AC203,'2017 Seattle Tracts'!$C$2:$Z$399,AG$1,FALSE)*AA203</f>
        <v>481.68197917672978</v>
      </c>
      <c r="AH203">
        <f>VLOOKUP($AC203,'2017 Seattle Tracts'!$C$2:$Z$399,AH$1,FALSE)*AA203</f>
        <v>417.90162799818188</v>
      </c>
      <c r="AI203">
        <f>VLOOKUP($AC203,'2017 Seattle Tracts'!$C$2:$Z$399,AI$1,FALSE)*AA203</f>
        <v>63.780351178547903</v>
      </c>
      <c r="AJ203">
        <f>VLOOKUP($AC203,'2017 Seattle Tracts'!$C$2:$Z$399,AJ$1,FALSE)*AA203</f>
        <v>318.84672539129127</v>
      </c>
      <c r="AK203">
        <f>VLOOKUP($AC203,'2017 Seattle Tracts'!$C$2:$Z$399,AK$1,FALSE)*AA203</f>
        <v>30.762050309584364</v>
      </c>
      <c r="AL203">
        <f>VLOOKUP($AC203,'2017 Seattle Tracts'!$C$2:$Z$399,AL$1,FALSE)*AA203</f>
        <v>11.99664931572342</v>
      </c>
      <c r="AM203">
        <f>VLOOKUP($AC203,'2017 Seattle Tracts'!$C$2:$Z$399,AM$1,FALSE)*AA203</f>
        <v>1.3207320347585416</v>
      </c>
      <c r="AN203">
        <f>VLOOKUP($AC203,'2017 Seattle Tracts'!$C$2:$Z$399,AN$1,FALSE)*AA203</f>
        <v>16.344058930136953</v>
      </c>
      <c r="AO203">
        <f>VLOOKUP($AC203,'2017 Seattle Tracts'!$C$2:$Z$399,AO$1,FALSE)*AA203</f>
        <v>3.4118910897928991</v>
      </c>
      <c r="AP203">
        <f>VLOOKUP($AC203,'2017 Seattle Tracts'!$C$2:$Z$399,AP$1,FALSE)*AA203</f>
        <v>4.1823181100687155</v>
      </c>
      <c r="AQ203">
        <f>VLOOKUP($AC203,'2017 Seattle Tracts'!$C$2:$Z$399,AQ$1,FALSE)*AA203</f>
        <v>0</v>
      </c>
      <c r="AR203">
        <f>VLOOKUP($AC203,'2017 Seattle Tracts'!$C$2:$Z$399,AR$1,FALSE)*AA203</f>
        <v>20.251224532964304</v>
      </c>
      <c r="AS203">
        <f>VLOOKUP($AC203,'2017 Seattle Tracts'!$C$2:$Z$399,AS$1,FALSE)*AA203</f>
        <v>14.748174388137048</v>
      </c>
      <c r="AT203">
        <f>VLOOKUP($AC203,'2017 Seattle Tracts'!$C$2:$Z$399,AT$1,FALSE)*AA203</f>
        <v>0</v>
      </c>
      <c r="AU203">
        <f>VLOOKUP($AC203,'2017 Seattle Tracts'!$C$2:$Z$399,AU$1,FALSE)*AA203</f>
        <v>0</v>
      </c>
      <c r="AV203">
        <f>VLOOKUP($AC203,'2017 Seattle Tracts'!$C$2:$Z$399,AV$1,FALSE)*AA203</f>
        <v>5.6681416491720746</v>
      </c>
      <c r="AW203">
        <f>VLOOKUP($AC203,'2017 Seattle Tracts'!$C$2:$Z$399,AW$1,FALSE)*AA203</f>
        <v>7.5942091998616146</v>
      </c>
      <c r="AX203">
        <f>VLOOKUP($AC203,'2017 Seattle Tracts'!$C$2:$Z$399,AX$1,FALSE)*AA203</f>
        <v>40.612510068825152</v>
      </c>
      <c r="AY203">
        <f>VLOOKUP($AC203,'2017 Seattle Tracts'!$C$2:$Z$399,AY$1,FALSE)*AA203</f>
        <v>5.9432941564134376</v>
      </c>
    </row>
    <row r="204" spans="1:51" x14ac:dyDescent="0.25">
      <c r="A204" t="s">
        <v>2917</v>
      </c>
      <c r="B204" t="s">
        <v>2918</v>
      </c>
      <c r="C204" t="s">
        <v>3074</v>
      </c>
      <c r="D204" t="s">
        <v>2581</v>
      </c>
      <c r="E204" t="s">
        <v>2582</v>
      </c>
      <c r="F204" t="s">
        <v>2583</v>
      </c>
      <c r="G204" t="s">
        <v>2920</v>
      </c>
      <c r="H204" t="s">
        <v>2921</v>
      </c>
      <c r="I204">
        <v>801542</v>
      </c>
      <c r="J204">
        <v>0</v>
      </c>
      <c r="K204" t="s">
        <v>3075</v>
      </c>
      <c r="L204" t="s">
        <v>3076</v>
      </c>
      <c r="M204">
        <v>787547</v>
      </c>
      <c r="N204">
        <v>100</v>
      </c>
      <c r="O204">
        <v>26851.947</v>
      </c>
      <c r="P204" t="s">
        <v>201</v>
      </c>
      <c r="Q204">
        <v>11</v>
      </c>
      <c r="R204">
        <v>3</v>
      </c>
      <c r="S204">
        <v>0</v>
      </c>
      <c r="T204">
        <v>30239240</v>
      </c>
      <c r="U204">
        <v>102</v>
      </c>
      <c r="V204">
        <v>151</v>
      </c>
      <c r="W204">
        <v>26851.9474418256</v>
      </c>
      <c r="X204">
        <v>30239240.52129779</v>
      </c>
      <c r="Y204">
        <v>719024.55500000005</v>
      </c>
      <c r="Z204">
        <f>VLOOKUP($AC204,'2017 Seattle Tracts'!$C$2:$Z$399,24,FALSE)</f>
        <v>787547.19400000002</v>
      </c>
      <c r="AA204">
        <f t="shared" si="7"/>
        <v>0.91299233935179258</v>
      </c>
      <c r="AB204" t="s">
        <v>204</v>
      </c>
      <c r="AC204" t="str">
        <f t="shared" si="6"/>
        <v>Census Tract 75, King County, Washington</v>
      </c>
      <c r="AD204">
        <f>VLOOKUP($AC204,'2017 Seattle Tracts'!$C$2:$Z$399,AD$1,FALSE)*AA204</f>
        <v>7991.4219463462405</v>
      </c>
      <c r="AE204">
        <f>VLOOKUP($AC204,'2017 Seattle Tracts'!$C$2:$Z$399,AE$1,FALSE)*AA204</f>
        <v>6933.263825037513</v>
      </c>
      <c r="AF204">
        <f>VLOOKUP($AC204,'2017 Seattle Tracts'!$C$2:$Z$399,AF$1,FALSE)*AA204</f>
        <v>1058.1581213087277</v>
      </c>
      <c r="AG204">
        <f>VLOOKUP($AC204,'2017 Seattle Tracts'!$C$2:$Z$399,AG$1,FALSE)*AA204</f>
        <v>7991.4219463462405</v>
      </c>
      <c r="AH204">
        <f>VLOOKUP($AC204,'2017 Seattle Tracts'!$C$2:$Z$399,AH$1,FALSE)*AA204</f>
        <v>6933.263825037513</v>
      </c>
      <c r="AI204">
        <f>VLOOKUP($AC204,'2017 Seattle Tracts'!$C$2:$Z$399,AI$1,FALSE)*AA204</f>
        <v>1058.1581213087277</v>
      </c>
      <c r="AJ204">
        <f>VLOOKUP($AC204,'2017 Seattle Tracts'!$C$2:$Z$399,AJ$1,FALSE)*AA204</f>
        <v>5289.8776142042861</v>
      </c>
      <c r="AK204">
        <f>VLOOKUP($AC204,'2017 Seattle Tracts'!$C$2:$Z$399,AK$1,FALSE)*AA204</f>
        <v>510.36271769765204</v>
      </c>
      <c r="AL204">
        <f>VLOOKUP($AC204,'2017 Seattle Tracts'!$C$2:$Z$399,AL$1,FALSE)*AA204</f>
        <v>199.0323299786908</v>
      </c>
      <c r="AM204">
        <f>VLOOKUP($AC204,'2017 Seattle Tracts'!$C$2:$Z$399,AM$1,FALSE)*AA204</f>
        <v>21.911816144443023</v>
      </c>
      <c r="AN204">
        <f>VLOOKUP($AC204,'2017 Seattle Tracts'!$C$2:$Z$399,AN$1,FALSE)*AA204</f>
        <v>271.15872478748241</v>
      </c>
      <c r="AO204">
        <f>VLOOKUP($AC204,'2017 Seattle Tracts'!$C$2:$Z$399,AO$1,FALSE)*AA204</f>
        <v>56.605525039811141</v>
      </c>
      <c r="AP204">
        <f>VLOOKUP($AC204,'2017 Seattle Tracts'!$C$2:$Z$399,AP$1,FALSE)*AA204</f>
        <v>69.387417790736237</v>
      </c>
      <c r="AQ204">
        <f>VLOOKUP($AC204,'2017 Seattle Tracts'!$C$2:$Z$399,AQ$1,FALSE)*AA204</f>
        <v>0</v>
      </c>
      <c r="AR204">
        <f>VLOOKUP($AC204,'2017 Seattle Tracts'!$C$2:$Z$399,AR$1,FALSE)*AA204</f>
        <v>335.98118088145969</v>
      </c>
      <c r="AS204">
        <f>VLOOKUP($AC204,'2017 Seattle Tracts'!$C$2:$Z$399,AS$1,FALSE)*AA204</f>
        <v>244.68194694628042</v>
      </c>
      <c r="AT204">
        <f>VLOOKUP($AC204,'2017 Seattle Tracts'!$C$2:$Z$399,AT$1,FALSE)*AA204</f>
        <v>0</v>
      </c>
      <c r="AU204">
        <f>VLOOKUP($AC204,'2017 Seattle Tracts'!$C$2:$Z$399,AU$1,FALSE)*AA204</f>
        <v>0</v>
      </c>
      <c r="AV204">
        <f>VLOOKUP($AC204,'2017 Seattle Tracts'!$C$2:$Z$399,AV$1,FALSE)*AA204</f>
        <v>94.038210953234639</v>
      </c>
      <c r="AW204">
        <f>VLOOKUP($AC204,'2017 Seattle Tracts'!$C$2:$Z$399,AW$1,FALSE)*AA204</f>
        <v>125.99294283054738</v>
      </c>
      <c r="AX204">
        <f>VLOOKUP($AC204,'2017 Seattle Tracts'!$C$2:$Z$399,AX$1,FALSE)*AA204</f>
        <v>673.78834644162293</v>
      </c>
      <c r="AY204">
        <f>VLOOKUP($AC204,'2017 Seattle Tracts'!$C$2:$Z$399,AY$1,FALSE)*AA204</f>
        <v>98.603172649993596</v>
      </c>
    </row>
    <row r="205" spans="1:51" x14ac:dyDescent="0.25">
      <c r="A205" t="s">
        <v>2917</v>
      </c>
      <c r="B205" t="s">
        <v>2918</v>
      </c>
      <c r="C205" t="s">
        <v>3074</v>
      </c>
      <c r="D205" t="s">
        <v>2581</v>
      </c>
      <c r="E205" t="s">
        <v>2582</v>
      </c>
      <c r="F205" t="s">
        <v>2583</v>
      </c>
      <c r="G205" t="s">
        <v>2920</v>
      </c>
      <c r="H205" t="s">
        <v>2921</v>
      </c>
      <c r="I205">
        <v>801542</v>
      </c>
      <c r="J205">
        <v>0</v>
      </c>
      <c r="K205" t="s">
        <v>3075</v>
      </c>
      <c r="L205" t="s">
        <v>3076</v>
      </c>
      <c r="M205">
        <v>787547</v>
      </c>
      <c r="N205">
        <v>101</v>
      </c>
      <c r="O205">
        <v>25522.346000000001</v>
      </c>
      <c r="P205" t="s">
        <v>201</v>
      </c>
      <c r="Q205">
        <v>11</v>
      </c>
      <c r="R205">
        <v>3</v>
      </c>
      <c r="S205">
        <v>23</v>
      </c>
      <c r="T205">
        <v>26039592</v>
      </c>
      <c r="U205">
        <v>103</v>
      </c>
      <c r="V205">
        <v>149</v>
      </c>
      <c r="W205">
        <v>25522.345636876809</v>
      </c>
      <c r="X205">
        <v>26039592.07912118</v>
      </c>
      <c r="Y205">
        <v>39.066000000000003</v>
      </c>
      <c r="Z205">
        <f>VLOOKUP($AC205,'2017 Seattle Tracts'!$C$2:$Z$399,24,FALSE)</f>
        <v>787547.19400000002</v>
      </c>
      <c r="AA205">
        <f t="shared" si="7"/>
        <v>4.9604646296282789E-5</v>
      </c>
      <c r="AB205" t="s">
        <v>205</v>
      </c>
      <c r="AC205" t="str">
        <f t="shared" si="6"/>
        <v>Census Tract 75, King County, Washington</v>
      </c>
      <c r="AD205">
        <f>VLOOKUP($AC205,'2017 Seattle Tracts'!$C$2:$Z$399,AD$1,FALSE)*AA205</f>
        <v>0.43418946903136324</v>
      </c>
      <c r="AE205">
        <f>VLOOKUP($AC205,'2017 Seattle Tracts'!$C$2:$Z$399,AE$1,FALSE)*AA205</f>
        <v>0.37669768397397152</v>
      </c>
      <c r="AF205">
        <f>VLOOKUP($AC205,'2017 Seattle Tracts'!$C$2:$Z$399,AF$1,FALSE)*AA205</f>
        <v>5.7491785057391755E-2</v>
      </c>
      <c r="AG205">
        <f>VLOOKUP($AC205,'2017 Seattle Tracts'!$C$2:$Z$399,AG$1,FALSE)*AA205</f>
        <v>0.43418946903136324</v>
      </c>
      <c r="AH205">
        <f>VLOOKUP($AC205,'2017 Seattle Tracts'!$C$2:$Z$399,AH$1,FALSE)*AA205</f>
        <v>0.37669768397397152</v>
      </c>
      <c r="AI205">
        <f>VLOOKUP($AC205,'2017 Seattle Tracts'!$C$2:$Z$399,AI$1,FALSE)*AA205</f>
        <v>5.7491785057391755E-2</v>
      </c>
      <c r="AJ205">
        <f>VLOOKUP($AC205,'2017 Seattle Tracts'!$C$2:$Z$399,AJ$1,FALSE)*AA205</f>
        <v>0.28740932064066249</v>
      </c>
      <c r="AK205">
        <f>VLOOKUP($AC205,'2017 Seattle Tracts'!$C$2:$Z$399,AK$1,FALSE)*AA205</f>
        <v>2.7728997279622081E-2</v>
      </c>
      <c r="AL205">
        <f>VLOOKUP($AC205,'2017 Seattle Tracts'!$C$2:$Z$399,AL$1,FALSE)*AA205</f>
        <v>1.0813812892589649E-2</v>
      </c>
      <c r="AM205">
        <f>VLOOKUP($AC205,'2017 Seattle Tracts'!$C$2:$Z$399,AM$1,FALSE)*AA205</f>
        <v>1.1905115111107869E-3</v>
      </c>
      <c r="AN205">
        <f>VLOOKUP($AC205,'2017 Seattle Tracts'!$C$2:$Z$399,AN$1,FALSE)*AA205</f>
        <v>1.4732579949995989E-2</v>
      </c>
      <c r="AO205">
        <f>VLOOKUP($AC205,'2017 Seattle Tracts'!$C$2:$Z$399,AO$1,FALSE)*AA205</f>
        <v>3.075488070369533E-3</v>
      </c>
      <c r="AP205">
        <f>VLOOKUP($AC205,'2017 Seattle Tracts'!$C$2:$Z$399,AP$1,FALSE)*AA205</f>
        <v>3.7699531185174922E-3</v>
      </c>
      <c r="AQ205">
        <f>VLOOKUP($AC205,'2017 Seattle Tracts'!$C$2:$Z$399,AQ$1,FALSE)*AA205</f>
        <v>0</v>
      </c>
      <c r="AR205">
        <f>VLOOKUP($AC205,'2017 Seattle Tracts'!$C$2:$Z$399,AR$1,FALSE)*AA205</f>
        <v>1.8254509837032067E-2</v>
      </c>
      <c r="AS205">
        <f>VLOOKUP($AC205,'2017 Seattle Tracts'!$C$2:$Z$399,AS$1,FALSE)*AA205</f>
        <v>1.3294045207403788E-2</v>
      </c>
      <c r="AT205">
        <f>VLOOKUP($AC205,'2017 Seattle Tracts'!$C$2:$Z$399,AT$1,FALSE)*AA205</f>
        <v>0</v>
      </c>
      <c r="AU205">
        <f>VLOOKUP($AC205,'2017 Seattle Tracts'!$C$2:$Z$399,AU$1,FALSE)*AA205</f>
        <v>0</v>
      </c>
      <c r="AV205">
        <f>VLOOKUP($AC205,'2017 Seattle Tracts'!$C$2:$Z$399,AV$1,FALSE)*AA205</f>
        <v>5.1092785685171276E-3</v>
      </c>
      <c r="AW205">
        <f>VLOOKUP($AC205,'2017 Seattle Tracts'!$C$2:$Z$399,AW$1,FALSE)*AA205</f>
        <v>6.8454411888870248E-3</v>
      </c>
      <c r="AX205">
        <f>VLOOKUP($AC205,'2017 Seattle Tracts'!$C$2:$Z$399,AX$1,FALSE)*AA205</f>
        <v>3.6608228966656699E-2</v>
      </c>
      <c r="AY205">
        <f>VLOOKUP($AC205,'2017 Seattle Tracts'!$C$2:$Z$399,AY$1,FALSE)*AA205</f>
        <v>5.3573017999985414E-3</v>
      </c>
    </row>
    <row r="206" spans="1:51" x14ac:dyDescent="0.25">
      <c r="A206" t="s">
        <v>2917</v>
      </c>
      <c r="B206" t="s">
        <v>2918</v>
      </c>
      <c r="C206" t="s">
        <v>3077</v>
      </c>
      <c r="D206" t="s">
        <v>2563</v>
      </c>
      <c r="E206" t="s">
        <v>2564</v>
      </c>
      <c r="F206" t="s">
        <v>2565</v>
      </c>
      <c r="G206" t="s">
        <v>2920</v>
      </c>
      <c r="H206" t="s">
        <v>2921</v>
      </c>
      <c r="I206">
        <v>502508</v>
      </c>
      <c r="J206">
        <v>537254</v>
      </c>
      <c r="K206" t="s">
        <v>3078</v>
      </c>
      <c r="L206" t="s">
        <v>3079</v>
      </c>
      <c r="M206">
        <v>448898</v>
      </c>
      <c r="N206">
        <v>45</v>
      </c>
      <c r="O206">
        <v>20496.728999999999</v>
      </c>
      <c r="P206" t="s">
        <v>136</v>
      </c>
      <c r="Q206">
        <v>10</v>
      </c>
      <c r="R206">
        <v>7</v>
      </c>
      <c r="S206">
        <v>9</v>
      </c>
      <c r="T206">
        <v>17515624</v>
      </c>
      <c r="U206">
        <v>47</v>
      </c>
      <c r="V206">
        <v>152</v>
      </c>
      <c r="W206">
        <v>20496.72892223937</v>
      </c>
      <c r="X206">
        <v>17515624.457026299</v>
      </c>
      <c r="Y206">
        <v>936.11</v>
      </c>
      <c r="Z206">
        <f>VLOOKUP($AC206,'2017 Seattle Tracts'!$C$2:$Z$399,24,FALSE)</f>
        <v>448898.12199999997</v>
      </c>
      <c r="AA206">
        <f t="shared" si="7"/>
        <v>2.085350671170774E-3</v>
      </c>
      <c r="AB206" t="s">
        <v>138</v>
      </c>
      <c r="AC206" t="str">
        <f t="shared" si="6"/>
        <v>Census Tract 80.01, King County, Washington</v>
      </c>
      <c r="AD206">
        <f>VLOOKUP($AC206,'2017 Seattle Tracts'!$C$2:$Z$399,AD$1,FALSE)*AA206</f>
        <v>13.63402268811452</v>
      </c>
      <c r="AE206">
        <f>VLOOKUP($AC206,'2017 Seattle Tracts'!$C$2:$Z$399,AE$1,FALSE)*AA206</f>
        <v>8.5457670504578314</v>
      </c>
      <c r="AF206">
        <f>VLOOKUP($AC206,'2017 Seattle Tracts'!$C$2:$Z$399,AF$1,FALSE)*AA206</f>
        <v>5.0882556376566885</v>
      </c>
      <c r="AG206">
        <f>VLOOKUP($AC206,'2017 Seattle Tracts'!$C$2:$Z$399,AG$1,FALSE)*AA206</f>
        <v>13.63402268811452</v>
      </c>
      <c r="AH206">
        <f>VLOOKUP($AC206,'2017 Seattle Tracts'!$C$2:$Z$399,AH$1,FALSE)*AA206</f>
        <v>8.5457670504578314</v>
      </c>
      <c r="AI206">
        <f>VLOOKUP($AC206,'2017 Seattle Tracts'!$C$2:$Z$399,AI$1,FALSE)*AA206</f>
        <v>5.0882556376566885</v>
      </c>
      <c r="AJ206">
        <f>VLOOKUP($AC206,'2017 Seattle Tracts'!$C$2:$Z$399,AJ$1,FALSE)*AA206</f>
        <v>5.9390787114943642</v>
      </c>
      <c r="AK206">
        <f>VLOOKUP($AC206,'2017 Seattle Tracts'!$C$2:$Z$399,AK$1,FALSE)*AA206</f>
        <v>1.96648568291404</v>
      </c>
      <c r="AL206">
        <f>VLOOKUP($AC206,'2017 Seattle Tracts'!$C$2:$Z$399,AL$1,FALSE)*AA206</f>
        <v>0.33365610738732387</v>
      </c>
      <c r="AM206">
        <f>VLOOKUP($AC206,'2017 Seattle Tracts'!$C$2:$Z$399,AM$1,FALSE)*AA206</f>
        <v>8.3414026846830969E-2</v>
      </c>
      <c r="AN206">
        <f>VLOOKUP($AC206,'2017 Seattle Tracts'!$C$2:$Z$399,AN$1,FALSE)*AA206</f>
        <v>0.94049315269801914</v>
      </c>
      <c r="AO206">
        <f>VLOOKUP($AC206,'2017 Seattle Tracts'!$C$2:$Z$399,AO$1,FALSE)*AA206</f>
        <v>0.17934015772068657</v>
      </c>
      <c r="AP206">
        <f>VLOOKUP($AC206,'2017 Seattle Tracts'!$C$2:$Z$399,AP$1,FALSE)*AA206</f>
        <v>4.1707013423415484E-2</v>
      </c>
      <c r="AQ206">
        <f>VLOOKUP($AC206,'2017 Seattle Tracts'!$C$2:$Z$399,AQ$1,FALSE)*AA206</f>
        <v>0</v>
      </c>
      <c r="AR206">
        <f>VLOOKUP($AC206,'2017 Seattle Tracts'!$C$2:$Z$399,AR$1,FALSE)*AA206</f>
        <v>0.71527528021157549</v>
      </c>
      <c r="AS206">
        <f>VLOOKUP($AC206,'2017 Seattle Tracts'!$C$2:$Z$399,AS$1,FALSE)*AA206</f>
        <v>2.6629928070850784</v>
      </c>
      <c r="AT206">
        <f>VLOOKUP($AC206,'2017 Seattle Tracts'!$C$2:$Z$399,AT$1,FALSE)*AA206</f>
        <v>0</v>
      </c>
      <c r="AU206">
        <f>VLOOKUP($AC206,'2017 Seattle Tracts'!$C$2:$Z$399,AU$1,FALSE)*AA206</f>
        <v>0</v>
      </c>
      <c r="AV206">
        <f>VLOOKUP($AC206,'2017 Seattle Tracts'!$C$2:$Z$399,AV$1,FALSE)*AA206</f>
        <v>0.11677963758556334</v>
      </c>
      <c r="AW206">
        <f>VLOOKUP($AC206,'2017 Seattle Tracts'!$C$2:$Z$399,AW$1,FALSE)*AA206</f>
        <v>0.15223059899546651</v>
      </c>
      <c r="AX206">
        <f>VLOOKUP($AC206,'2017 Seattle Tracts'!$C$2:$Z$399,AX$1,FALSE)*AA206</f>
        <v>0.45877714765757027</v>
      </c>
      <c r="AY206">
        <f>VLOOKUP($AC206,'2017 Seattle Tracts'!$C$2:$Z$399,AY$1,FALSE)*AA206</f>
        <v>4.3792364094586256E-2</v>
      </c>
    </row>
    <row r="207" spans="1:51" x14ac:dyDescent="0.25">
      <c r="A207" t="s">
        <v>2917</v>
      </c>
      <c r="B207" t="s">
        <v>2918</v>
      </c>
      <c r="C207" t="s">
        <v>3077</v>
      </c>
      <c r="D207" t="s">
        <v>2563</v>
      </c>
      <c r="E207" t="s">
        <v>2564</v>
      </c>
      <c r="F207" t="s">
        <v>2565</v>
      </c>
      <c r="G207" t="s">
        <v>2920</v>
      </c>
      <c r="H207" t="s">
        <v>2921</v>
      </c>
      <c r="I207">
        <v>502508</v>
      </c>
      <c r="J207">
        <v>537254</v>
      </c>
      <c r="K207" t="s">
        <v>3078</v>
      </c>
      <c r="L207" t="s">
        <v>3079</v>
      </c>
      <c r="M207">
        <v>448898</v>
      </c>
      <c r="N207">
        <v>59</v>
      </c>
      <c r="O207">
        <v>7326.5820000000003</v>
      </c>
      <c r="P207" t="s">
        <v>156</v>
      </c>
      <c r="Q207">
        <v>13</v>
      </c>
      <c r="R207">
        <v>11</v>
      </c>
      <c r="S207">
        <v>0</v>
      </c>
      <c r="T207">
        <v>2343359.25</v>
      </c>
      <c r="U207">
        <v>61</v>
      </c>
      <c r="V207">
        <v>201</v>
      </c>
      <c r="W207">
        <v>7326.5817302462356</v>
      </c>
      <c r="X207">
        <v>2343359.3260636888</v>
      </c>
      <c r="Y207">
        <v>2031.6</v>
      </c>
      <c r="Z207">
        <f>VLOOKUP($AC207,'2017 Seattle Tracts'!$C$2:$Z$399,24,FALSE)</f>
        <v>448898.12199999997</v>
      </c>
      <c r="AA207">
        <f t="shared" si="7"/>
        <v>4.5257484948890026E-3</v>
      </c>
      <c r="AB207" t="s">
        <v>155</v>
      </c>
      <c r="AC207" t="str">
        <f t="shared" si="6"/>
        <v>Census Tract 80.01, King County, Washington</v>
      </c>
      <c r="AD207">
        <f>VLOOKUP($AC207,'2017 Seattle Tracts'!$C$2:$Z$399,AD$1,FALSE)*AA207</f>
        <v>29.589343659584298</v>
      </c>
      <c r="AE207">
        <f>VLOOKUP($AC207,'2017 Seattle Tracts'!$C$2:$Z$399,AE$1,FALSE)*AA207</f>
        <v>18.546517332055132</v>
      </c>
      <c r="AF207">
        <f>VLOOKUP($AC207,'2017 Seattle Tracts'!$C$2:$Z$399,AF$1,FALSE)*AA207</f>
        <v>11.042826327529166</v>
      </c>
      <c r="AG207">
        <f>VLOOKUP($AC207,'2017 Seattle Tracts'!$C$2:$Z$399,AG$1,FALSE)*AA207</f>
        <v>29.589343659584298</v>
      </c>
      <c r="AH207">
        <f>VLOOKUP($AC207,'2017 Seattle Tracts'!$C$2:$Z$399,AH$1,FALSE)*AA207</f>
        <v>18.546517332055132</v>
      </c>
      <c r="AI207">
        <f>VLOOKUP($AC207,'2017 Seattle Tracts'!$C$2:$Z$399,AI$1,FALSE)*AA207</f>
        <v>11.042826327529166</v>
      </c>
      <c r="AJ207">
        <f>VLOOKUP($AC207,'2017 Seattle Tracts'!$C$2:$Z$399,AJ$1,FALSE)*AA207</f>
        <v>12.88933171344388</v>
      </c>
      <c r="AK207">
        <f>VLOOKUP($AC207,'2017 Seattle Tracts'!$C$2:$Z$399,AK$1,FALSE)*AA207</f>
        <v>4.2677808306803291</v>
      </c>
      <c r="AL207">
        <f>VLOOKUP($AC207,'2017 Seattle Tracts'!$C$2:$Z$399,AL$1,FALSE)*AA207</f>
        <v>0.72411975918224036</v>
      </c>
      <c r="AM207">
        <f>VLOOKUP($AC207,'2017 Seattle Tracts'!$C$2:$Z$399,AM$1,FALSE)*AA207</f>
        <v>0.18102993979556009</v>
      </c>
      <c r="AN207">
        <f>VLOOKUP($AC207,'2017 Seattle Tracts'!$C$2:$Z$399,AN$1,FALSE)*AA207</f>
        <v>2.0411125711949403</v>
      </c>
      <c r="AO207">
        <f>VLOOKUP($AC207,'2017 Seattle Tracts'!$C$2:$Z$399,AO$1,FALSE)*AA207</f>
        <v>0.38921437056045421</v>
      </c>
      <c r="AP207">
        <f>VLOOKUP($AC207,'2017 Seattle Tracts'!$C$2:$Z$399,AP$1,FALSE)*AA207</f>
        <v>9.0514969897780045E-2</v>
      </c>
      <c r="AQ207">
        <f>VLOOKUP($AC207,'2017 Seattle Tracts'!$C$2:$Z$399,AQ$1,FALSE)*AA207</f>
        <v>0</v>
      </c>
      <c r="AR207">
        <f>VLOOKUP($AC207,'2017 Seattle Tracts'!$C$2:$Z$399,AR$1,FALSE)*AA207</f>
        <v>1.5523317337469278</v>
      </c>
      <c r="AS207">
        <f>VLOOKUP($AC207,'2017 Seattle Tracts'!$C$2:$Z$399,AS$1,FALSE)*AA207</f>
        <v>5.7793808279732559</v>
      </c>
      <c r="AT207">
        <f>VLOOKUP($AC207,'2017 Seattle Tracts'!$C$2:$Z$399,AT$1,FALSE)*AA207</f>
        <v>0</v>
      </c>
      <c r="AU207">
        <f>VLOOKUP($AC207,'2017 Seattle Tracts'!$C$2:$Z$399,AU$1,FALSE)*AA207</f>
        <v>0</v>
      </c>
      <c r="AV207">
        <f>VLOOKUP($AC207,'2017 Seattle Tracts'!$C$2:$Z$399,AV$1,FALSE)*AA207</f>
        <v>0.25344191571378416</v>
      </c>
      <c r="AW207">
        <f>VLOOKUP($AC207,'2017 Seattle Tracts'!$C$2:$Z$399,AW$1,FALSE)*AA207</f>
        <v>0.33037964012689719</v>
      </c>
      <c r="AX207">
        <f>VLOOKUP($AC207,'2017 Seattle Tracts'!$C$2:$Z$399,AX$1,FALSE)*AA207</f>
        <v>0.99566466887558058</v>
      </c>
      <c r="AY207">
        <f>VLOOKUP($AC207,'2017 Seattle Tracts'!$C$2:$Z$399,AY$1,FALSE)*AA207</f>
        <v>9.504071839266906E-2</v>
      </c>
    </row>
    <row r="208" spans="1:51" x14ac:dyDescent="0.25">
      <c r="A208" t="s">
        <v>2917</v>
      </c>
      <c r="B208" t="s">
        <v>2918</v>
      </c>
      <c r="C208" t="s">
        <v>3077</v>
      </c>
      <c r="D208" t="s">
        <v>2563</v>
      </c>
      <c r="E208" t="s">
        <v>2564</v>
      </c>
      <c r="F208" t="s">
        <v>2565</v>
      </c>
      <c r="G208" t="s">
        <v>2920</v>
      </c>
      <c r="H208" t="s">
        <v>2921</v>
      </c>
      <c r="I208">
        <v>502508</v>
      </c>
      <c r="J208">
        <v>537254</v>
      </c>
      <c r="K208" t="s">
        <v>3078</v>
      </c>
      <c r="L208" t="s">
        <v>3079</v>
      </c>
      <c r="M208">
        <v>448898</v>
      </c>
      <c r="N208">
        <v>60</v>
      </c>
      <c r="O208">
        <v>21967.599999999999</v>
      </c>
      <c r="P208" t="s">
        <v>156</v>
      </c>
      <c r="Q208">
        <v>13</v>
      </c>
      <c r="R208">
        <v>11</v>
      </c>
      <c r="S208">
        <v>81</v>
      </c>
      <c r="T208">
        <v>14974037</v>
      </c>
      <c r="U208">
        <v>62</v>
      </c>
      <c r="V208">
        <v>156</v>
      </c>
      <c r="W208">
        <v>21967.599459922661</v>
      </c>
      <c r="X208">
        <v>14974037.0994289</v>
      </c>
      <c r="Y208">
        <v>430905.478</v>
      </c>
      <c r="Z208">
        <f>VLOOKUP($AC208,'2017 Seattle Tracts'!$C$2:$Z$399,24,FALSE)</f>
        <v>448898.12199999997</v>
      </c>
      <c r="AA208">
        <f t="shared" si="7"/>
        <v>0.9599182016626927</v>
      </c>
      <c r="AB208" t="s">
        <v>157</v>
      </c>
      <c r="AC208" t="str">
        <f t="shared" si="6"/>
        <v>Census Tract 80.01, King County, Washington</v>
      </c>
      <c r="AD208">
        <f>VLOOKUP($AC208,'2017 Seattle Tracts'!$C$2:$Z$399,AD$1,FALSE)*AA208</f>
        <v>6275.9452024706852</v>
      </c>
      <c r="AE208">
        <f>VLOOKUP($AC208,'2017 Seattle Tracts'!$C$2:$Z$399,AE$1,FALSE)*AA208</f>
        <v>3933.7447904137148</v>
      </c>
      <c r="AF208">
        <f>VLOOKUP($AC208,'2017 Seattle Tracts'!$C$2:$Z$399,AF$1,FALSE)*AA208</f>
        <v>2342.20041205697</v>
      </c>
      <c r="AG208">
        <f>VLOOKUP($AC208,'2017 Seattle Tracts'!$C$2:$Z$399,AG$1,FALSE)*AA208</f>
        <v>6275.9452024706852</v>
      </c>
      <c r="AH208">
        <f>VLOOKUP($AC208,'2017 Seattle Tracts'!$C$2:$Z$399,AH$1,FALSE)*AA208</f>
        <v>3933.7447904137148</v>
      </c>
      <c r="AI208">
        <f>VLOOKUP($AC208,'2017 Seattle Tracts'!$C$2:$Z$399,AI$1,FALSE)*AA208</f>
        <v>2342.20041205697</v>
      </c>
      <c r="AJ208">
        <f>VLOOKUP($AC208,'2017 Seattle Tracts'!$C$2:$Z$399,AJ$1,FALSE)*AA208</f>
        <v>2733.8470383353488</v>
      </c>
      <c r="AK208">
        <f>VLOOKUP($AC208,'2017 Seattle Tracts'!$C$2:$Z$399,AK$1,FALSE)*AA208</f>
        <v>905.20286416791919</v>
      </c>
      <c r="AL208">
        <f>VLOOKUP($AC208,'2017 Seattle Tracts'!$C$2:$Z$399,AL$1,FALSE)*AA208</f>
        <v>153.58691226603082</v>
      </c>
      <c r="AM208">
        <f>VLOOKUP($AC208,'2017 Seattle Tracts'!$C$2:$Z$399,AM$1,FALSE)*AA208</f>
        <v>38.396728066507706</v>
      </c>
      <c r="AN208">
        <f>VLOOKUP($AC208,'2017 Seattle Tracts'!$C$2:$Z$399,AN$1,FALSE)*AA208</f>
        <v>432.9231089498744</v>
      </c>
      <c r="AO208">
        <f>VLOOKUP($AC208,'2017 Seattle Tracts'!$C$2:$Z$399,AO$1,FALSE)*AA208</f>
        <v>82.55296534299157</v>
      </c>
      <c r="AP208">
        <f>VLOOKUP($AC208,'2017 Seattle Tracts'!$C$2:$Z$399,AP$1,FALSE)*AA208</f>
        <v>19.198364033253853</v>
      </c>
      <c r="AQ208">
        <f>VLOOKUP($AC208,'2017 Seattle Tracts'!$C$2:$Z$399,AQ$1,FALSE)*AA208</f>
        <v>0</v>
      </c>
      <c r="AR208">
        <f>VLOOKUP($AC208,'2017 Seattle Tracts'!$C$2:$Z$399,AR$1,FALSE)*AA208</f>
        <v>329.2519431703036</v>
      </c>
      <c r="AS208">
        <f>VLOOKUP($AC208,'2017 Seattle Tracts'!$C$2:$Z$399,AS$1,FALSE)*AA208</f>
        <v>1225.8155435232586</v>
      </c>
      <c r="AT208">
        <f>VLOOKUP($AC208,'2017 Seattle Tracts'!$C$2:$Z$399,AT$1,FALSE)*AA208</f>
        <v>0</v>
      </c>
      <c r="AU208">
        <f>VLOOKUP($AC208,'2017 Seattle Tracts'!$C$2:$Z$399,AU$1,FALSE)*AA208</f>
        <v>0</v>
      </c>
      <c r="AV208">
        <f>VLOOKUP($AC208,'2017 Seattle Tracts'!$C$2:$Z$399,AV$1,FALSE)*AA208</f>
        <v>53.755419293110791</v>
      </c>
      <c r="AW208">
        <f>VLOOKUP($AC208,'2017 Seattle Tracts'!$C$2:$Z$399,AW$1,FALSE)*AA208</f>
        <v>70.074028721376564</v>
      </c>
      <c r="AX208">
        <f>VLOOKUP($AC208,'2017 Seattle Tracts'!$C$2:$Z$399,AX$1,FALSE)*AA208</f>
        <v>211.18200436579241</v>
      </c>
      <c r="AY208">
        <f>VLOOKUP($AC208,'2017 Seattle Tracts'!$C$2:$Z$399,AY$1,FALSE)*AA208</f>
        <v>20.158282234916548</v>
      </c>
    </row>
    <row r="209" spans="1:51" x14ac:dyDescent="0.25">
      <c r="A209" t="s">
        <v>2917</v>
      </c>
      <c r="B209" t="s">
        <v>2918</v>
      </c>
      <c r="C209" t="s">
        <v>3077</v>
      </c>
      <c r="D209" t="s">
        <v>2563</v>
      </c>
      <c r="E209" t="s">
        <v>2564</v>
      </c>
      <c r="F209" t="s">
        <v>2565</v>
      </c>
      <c r="G209" t="s">
        <v>2920</v>
      </c>
      <c r="H209" t="s">
        <v>2921</v>
      </c>
      <c r="I209">
        <v>502508</v>
      </c>
      <c r="J209">
        <v>537254</v>
      </c>
      <c r="K209" t="s">
        <v>3078</v>
      </c>
      <c r="L209" t="s">
        <v>3079</v>
      </c>
      <c r="M209">
        <v>448898</v>
      </c>
      <c r="N209">
        <v>66</v>
      </c>
      <c r="O209">
        <v>64207.586000000003</v>
      </c>
      <c r="P209" t="s">
        <v>164</v>
      </c>
      <c r="Q209">
        <v>9</v>
      </c>
      <c r="R209">
        <v>12</v>
      </c>
      <c r="S209">
        <v>95</v>
      </c>
      <c r="T209">
        <v>33503942</v>
      </c>
      <c r="U209">
        <v>68</v>
      </c>
      <c r="V209">
        <v>199</v>
      </c>
      <c r="W209">
        <v>64207.586761171791</v>
      </c>
      <c r="X209">
        <v>33503941.092720222</v>
      </c>
      <c r="Y209">
        <v>12922.522999999999</v>
      </c>
      <c r="Z209">
        <f>VLOOKUP($AC209,'2017 Seattle Tracts'!$C$2:$Z$399,24,FALSE)</f>
        <v>448898.12199999997</v>
      </c>
      <c r="AA209">
        <f t="shared" si="7"/>
        <v>2.8787206643738197E-2</v>
      </c>
      <c r="AB209" t="s">
        <v>163</v>
      </c>
      <c r="AC209" t="str">
        <f t="shared" si="6"/>
        <v>Census Tract 80.01, King County, Washington</v>
      </c>
      <c r="AD209">
        <f>VLOOKUP($AC209,'2017 Seattle Tracts'!$C$2:$Z$399,AD$1,FALSE)*AA209</f>
        <v>188.21075703676033</v>
      </c>
      <c r="AE209">
        <f>VLOOKUP($AC209,'2017 Seattle Tracts'!$C$2:$Z$399,AE$1,FALSE)*AA209</f>
        <v>117.96997282603914</v>
      </c>
      <c r="AF209">
        <f>VLOOKUP($AC209,'2017 Seattle Tracts'!$C$2:$Z$399,AF$1,FALSE)*AA209</f>
        <v>70.240784210721202</v>
      </c>
      <c r="AG209">
        <f>VLOOKUP($AC209,'2017 Seattle Tracts'!$C$2:$Z$399,AG$1,FALSE)*AA209</f>
        <v>188.21075703676033</v>
      </c>
      <c r="AH209">
        <f>VLOOKUP($AC209,'2017 Seattle Tracts'!$C$2:$Z$399,AH$1,FALSE)*AA209</f>
        <v>117.96997282603914</v>
      </c>
      <c r="AI209">
        <f>VLOOKUP($AC209,'2017 Seattle Tracts'!$C$2:$Z$399,AI$1,FALSE)*AA209</f>
        <v>70.240784210721202</v>
      </c>
      <c r="AJ209">
        <f>VLOOKUP($AC209,'2017 Seattle Tracts'!$C$2:$Z$399,AJ$1,FALSE)*AA209</f>
        <v>81.985964521366384</v>
      </c>
      <c r="AK209">
        <f>VLOOKUP($AC209,'2017 Seattle Tracts'!$C$2:$Z$399,AK$1,FALSE)*AA209</f>
        <v>27.146335865045121</v>
      </c>
      <c r="AL209">
        <f>VLOOKUP($AC209,'2017 Seattle Tracts'!$C$2:$Z$399,AL$1,FALSE)*AA209</f>
        <v>4.6059530629981111</v>
      </c>
      <c r="AM209">
        <f>VLOOKUP($AC209,'2017 Seattle Tracts'!$C$2:$Z$399,AM$1,FALSE)*AA209</f>
        <v>1.1514882657495278</v>
      </c>
      <c r="AN209">
        <f>VLOOKUP($AC209,'2017 Seattle Tracts'!$C$2:$Z$399,AN$1,FALSE)*AA209</f>
        <v>12.983030196325927</v>
      </c>
      <c r="AO209">
        <f>VLOOKUP($AC209,'2017 Seattle Tracts'!$C$2:$Z$399,AO$1,FALSE)*AA209</f>
        <v>2.475699771361485</v>
      </c>
      <c r="AP209">
        <f>VLOOKUP($AC209,'2017 Seattle Tracts'!$C$2:$Z$399,AP$1,FALSE)*AA209</f>
        <v>0.57574413287476389</v>
      </c>
      <c r="AQ209">
        <f>VLOOKUP($AC209,'2017 Seattle Tracts'!$C$2:$Z$399,AQ$1,FALSE)*AA209</f>
        <v>0</v>
      </c>
      <c r="AR209">
        <f>VLOOKUP($AC209,'2017 Seattle Tracts'!$C$2:$Z$399,AR$1,FALSE)*AA209</f>
        <v>9.874011878802202</v>
      </c>
      <c r="AS209">
        <f>VLOOKUP($AC209,'2017 Seattle Tracts'!$C$2:$Z$399,AS$1,FALSE)*AA209</f>
        <v>36.761262884053679</v>
      </c>
      <c r="AT209">
        <f>VLOOKUP($AC209,'2017 Seattle Tracts'!$C$2:$Z$399,AT$1,FALSE)*AA209</f>
        <v>0</v>
      </c>
      <c r="AU209">
        <f>VLOOKUP($AC209,'2017 Seattle Tracts'!$C$2:$Z$399,AU$1,FALSE)*AA209</f>
        <v>0</v>
      </c>
      <c r="AV209">
        <f>VLOOKUP($AC209,'2017 Seattle Tracts'!$C$2:$Z$399,AV$1,FALSE)*AA209</f>
        <v>1.6120835720493392</v>
      </c>
      <c r="AW209">
        <f>VLOOKUP($AC209,'2017 Seattle Tracts'!$C$2:$Z$399,AW$1,FALSE)*AA209</f>
        <v>2.1014660849928886</v>
      </c>
      <c r="AX209">
        <f>VLOOKUP($AC209,'2017 Seattle Tracts'!$C$2:$Z$399,AX$1,FALSE)*AA209</f>
        <v>6.3331854616224037</v>
      </c>
      <c r="AY209">
        <f>VLOOKUP($AC209,'2017 Seattle Tracts'!$C$2:$Z$399,AY$1,FALSE)*AA209</f>
        <v>0.60453133951850213</v>
      </c>
    </row>
    <row r="210" spans="1:51" x14ac:dyDescent="0.25">
      <c r="A210" t="s">
        <v>2917</v>
      </c>
      <c r="B210" t="s">
        <v>2918</v>
      </c>
      <c r="C210" t="s">
        <v>3080</v>
      </c>
      <c r="D210" t="s">
        <v>2554</v>
      </c>
      <c r="E210" t="s">
        <v>2555</v>
      </c>
      <c r="F210" t="s">
        <v>2556</v>
      </c>
      <c r="G210" t="s">
        <v>2920</v>
      </c>
      <c r="H210" t="s">
        <v>2921</v>
      </c>
      <c r="I210">
        <v>366707</v>
      </c>
      <c r="J210">
        <v>0</v>
      </c>
      <c r="K210" t="s">
        <v>3081</v>
      </c>
      <c r="L210" t="s">
        <v>3082</v>
      </c>
      <c r="M210">
        <v>366710</v>
      </c>
      <c r="N210">
        <v>60</v>
      </c>
      <c r="O210">
        <v>21967.599999999999</v>
      </c>
      <c r="P210" t="s">
        <v>156</v>
      </c>
      <c r="Q210">
        <v>13</v>
      </c>
      <c r="R210">
        <v>11</v>
      </c>
      <c r="S210">
        <v>81</v>
      </c>
      <c r="T210">
        <v>14974037</v>
      </c>
      <c r="U210">
        <v>62</v>
      </c>
      <c r="V210">
        <v>156</v>
      </c>
      <c r="W210">
        <v>21967.599459922661</v>
      </c>
      <c r="X210">
        <v>14974037.0994289</v>
      </c>
      <c r="Y210">
        <v>4.4999999999999998E-2</v>
      </c>
      <c r="Z210">
        <f>VLOOKUP($AC210,'2017 Seattle Tracts'!$C$2:$Z$399,24,FALSE)</f>
        <v>366709.62699999998</v>
      </c>
      <c r="AA210">
        <f t="shared" si="7"/>
        <v>1.227128951266938E-7</v>
      </c>
      <c r="AB210" t="s">
        <v>157</v>
      </c>
      <c r="AC210" t="str">
        <f t="shared" si="6"/>
        <v>Census Tract 82, King County, Washington</v>
      </c>
      <c r="AD210">
        <f>VLOOKUP($AC210,'2017 Seattle Tracts'!$C$2:$Z$399,AD$1,FALSE)*AA210</f>
        <v>5.1686671427363432E-4</v>
      </c>
      <c r="AE210">
        <f>VLOOKUP($AC210,'2017 Seattle Tracts'!$C$2:$Z$399,AE$1,FALSE)*AA210</f>
        <v>3.9219041282491336E-4</v>
      </c>
      <c r="AF210">
        <f>VLOOKUP($AC210,'2017 Seattle Tracts'!$C$2:$Z$399,AF$1,FALSE)*AA210</f>
        <v>1.2467630144872091E-4</v>
      </c>
      <c r="AG210">
        <f>VLOOKUP($AC210,'2017 Seattle Tracts'!$C$2:$Z$399,AG$1,FALSE)*AA210</f>
        <v>5.1686671427363432E-4</v>
      </c>
      <c r="AH210">
        <f>VLOOKUP($AC210,'2017 Seattle Tracts'!$C$2:$Z$399,AH$1,FALSE)*AA210</f>
        <v>3.9219041282491336E-4</v>
      </c>
      <c r="AI210">
        <f>VLOOKUP($AC210,'2017 Seattle Tracts'!$C$2:$Z$399,AI$1,FALSE)*AA210</f>
        <v>1.2467630144872091E-4</v>
      </c>
      <c r="AJ210">
        <f>VLOOKUP($AC210,'2017 Seattle Tracts'!$C$2:$Z$399,AJ$1,FALSE)*AA210</f>
        <v>3.208942207563043E-4</v>
      </c>
      <c r="AK210">
        <f>VLOOKUP($AC210,'2017 Seattle Tracts'!$C$2:$Z$399,AK$1,FALSE)*AA210</f>
        <v>2.135204375204472E-5</v>
      </c>
      <c r="AL210">
        <f>VLOOKUP($AC210,'2017 Seattle Tracts'!$C$2:$Z$399,AL$1,FALSE)*AA210</f>
        <v>7.4854866027283222E-6</v>
      </c>
      <c r="AM210">
        <f>VLOOKUP($AC210,'2017 Seattle Tracts'!$C$2:$Z$399,AM$1,FALSE)*AA210</f>
        <v>2.5033430605845535E-5</v>
      </c>
      <c r="AN210">
        <f>VLOOKUP($AC210,'2017 Seattle Tracts'!$C$2:$Z$399,AN$1,FALSE)*AA210</f>
        <v>3.7427433013641612E-5</v>
      </c>
      <c r="AO210">
        <f>VLOOKUP($AC210,'2017 Seattle Tracts'!$C$2:$Z$399,AO$1,FALSE)*AA210</f>
        <v>2.8223965879139573E-6</v>
      </c>
      <c r="AP210">
        <f>VLOOKUP($AC210,'2017 Seattle Tracts'!$C$2:$Z$399,AP$1,FALSE)*AA210</f>
        <v>0</v>
      </c>
      <c r="AQ210">
        <f>VLOOKUP($AC210,'2017 Seattle Tracts'!$C$2:$Z$399,AQ$1,FALSE)*AA210</f>
        <v>0</v>
      </c>
      <c r="AR210">
        <f>VLOOKUP($AC210,'2017 Seattle Tracts'!$C$2:$Z$399,AR$1,FALSE)*AA210</f>
        <v>1.1657725037035911E-5</v>
      </c>
      <c r="AS210">
        <f>VLOOKUP($AC210,'2017 Seattle Tracts'!$C$2:$Z$399,AS$1,FALSE)*AA210</f>
        <v>7.3259598390636193E-5</v>
      </c>
      <c r="AT210">
        <f>VLOOKUP($AC210,'2017 Seattle Tracts'!$C$2:$Z$399,AT$1,FALSE)*AA210</f>
        <v>0</v>
      </c>
      <c r="AU210">
        <f>VLOOKUP($AC210,'2017 Seattle Tracts'!$C$2:$Z$399,AU$1,FALSE)*AA210</f>
        <v>0</v>
      </c>
      <c r="AV210">
        <f>VLOOKUP($AC210,'2017 Seattle Tracts'!$C$2:$Z$399,AV$1,FALSE)*AA210</f>
        <v>0</v>
      </c>
      <c r="AW210">
        <f>VLOOKUP($AC210,'2017 Seattle Tracts'!$C$2:$Z$399,AW$1,FALSE)*AA210</f>
        <v>0</v>
      </c>
      <c r="AX210">
        <f>VLOOKUP($AC210,'2017 Seattle Tracts'!$C$2:$Z$399,AX$1,FALSE)*AA210</f>
        <v>1.4725547415203255E-5</v>
      </c>
      <c r="AY210">
        <f>VLOOKUP($AC210,'2017 Seattle Tracts'!$C$2:$Z$399,AY$1,FALSE)*AA210</f>
        <v>2.2088321122804886E-6</v>
      </c>
    </row>
    <row r="211" spans="1:51" x14ac:dyDescent="0.25">
      <c r="A211" t="s">
        <v>2917</v>
      </c>
      <c r="B211" t="s">
        <v>2918</v>
      </c>
      <c r="C211" t="s">
        <v>3080</v>
      </c>
      <c r="D211" t="s">
        <v>2554</v>
      </c>
      <c r="E211" t="s">
        <v>2555</v>
      </c>
      <c r="F211" t="s">
        <v>2556</v>
      </c>
      <c r="G211" t="s">
        <v>2920</v>
      </c>
      <c r="H211" t="s">
        <v>2921</v>
      </c>
      <c r="I211">
        <v>366707</v>
      </c>
      <c r="J211">
        <v>0</v>
      </c>
      <c r="K211" t="s">
        <v>3081</v>
      </c>
      <c r="L211" t="s">
        <v>3082</v>
      </c>
      <c r="M211">
        <v>366710</v>
      </c>
      <c r="N211">
        <v>62</v>
      </c>
      <c r="O211">
        <v>18209.463</v>
      </c>
      <c r="P211" t="s">
        <v>156</v>
      </c>
      <c r="Q211">
        <v>13</v>
      </c>
      <c r="R211">
        <v>11</v>
      </c>
      <c r="S211">
        <v>95</v>
      </c>
      <c r="T211">
        <v>9477399</v>
      </c>
      <c r="U211">
        <v>64</v>
      </c>
      <c r="V211">
        <v>159</v>
      </c>
      <c r="W211">
        <v>18209.462862458811</v>
      </c>
      <c r="X211">
        <v>9477398.6185622383</v>
      </c>
      <c r="Y211">
        <v>247751.93799999999</v>
      </c>
      <c r="Z211">
        <f>VLOOKUP($AC211,'2017 Seattle Tracts'!$C$2:$Z$399,24,FALSE)</f>
        <v>366709.62699999998</v>
      </c>
      <c r="AA211">
        <f t="shared" si="7"/>
        <v>0.67560794633842547</v>
      </c>
      <c r="AB211" t="s">
        <v>159</v>
      </c>
      <c r="AC211" t="str">
        <f t="shared" si="6"/>
        <v>Census Tract 82, King County, Washington</v>
      </c>
      <c r="AD211">
        <f>VLOOKUP($AC211,'2017 Seattle Tracts'!$C$2:$Z$399,AD$1,FALSE)*AA211</f>
        <v>2845.6606699774479</v>
      </c>
      <c r="AE211">
        <f>VLOOKUP($AC211,'2017 Seattle Tracts'!$C$2:$Z$399,AE$1,FALSE)*AA211</f>
        <v>2159.2429964976077</v>
      </c>
      <c r="AF211">
        <f>VLOOKUP($AC211,'2017 Seattle Tracts'!$C$2:$Z$399,AF$1,FALSE)*AA211</f>
        <v>686.41767347984023</v>
      </c>
      <c r="AG211">
        <f>VLOOKUP($AC211,'2017 Seattle Tracts'!$C$2:$Z$399,AG$1,FALSE)*AA211</f>
        <v>2845.6606699774479</v>
      </c>
      <c r="AH211">
        <f>VLOOKUP($AC211,'2017 Seattle Tracts'!$C$2:$Z$399,AH$1,FALSE)*AA211</f>
        <v>2159.2429964976077</v>
      </c>
      <c r="AI211">
        <f>VLOOKUP($AC211,'2017 Seattle Tracts'!$C$2:$Z$399,AI$1,FALSE)*AA211</f>
        <v>686.41767347984023</v>
      </c>
      <c r="AJ211">
        <f>VLOOKUP($AC211,'2017 Seattle Tracts'!$C$2:$Z$399,AJ$1,FALSE)*AA211</f>
        <v>1766.7147796749825</v>
      </c>
      <c r="AK211">
        <f>VLOOKUP($AC211,'2017 Seattle Tracts'!$C$2:$Z$399,AK$1,FALSE)*AA211</f>
        <v>117.55578266288603</v>
      </c>
      <c r="AL211">
        <f>VLOOKUP($AC211,'2017 Seattle Tracts'!$C$2:$Z$399,AL$1,FALSE)*AA211</f>
        <v>41.212084726643951</v>
      </c>
      <c r="AM211">
        <f>VLOOKUP($AC211,'2017 Seattle Tracts'!$C$2:$Z$399,AM$1,FALSE)*AA211</f>
        <v>137.82402105303879</v>
      </c>
      <c r="AN211">
        <f>VLOOKUP($AC211,'2017 Seattle Tracts'!$C$2:$Z$399,AN$1,FALSE)*AA211</f>
        <v>206.06042363321976</v>
      </c>
      <c r="AO211">
        <f>VLOOKUP($AC211,'2017 Seattle Tracts'!$C$2:$Z$399,AO$1,FALSE)*AA211</f>
        <v>15.538982765783786</v>
      </c>
      <c r="AP211">
        <f>VLOOKUP($AC211,'2017 Seattle Tracts'!$C$2:$Z$399,AP$1,FALSE)*AA211</f>
        <v>0</v>
      </c>
      <c r="AQ211">
        <f>VLOOKUP($AC211,'2017 Seattle Tracts'!$C$2:$Z$399,AQ$1,FALSE)*AA211</f>
        <v>0</v>
      </c>
      <c r="AR211">
        <f>VLOOKUP($AC211,'2017 Seattle Tracts'!$C$2:$Z$399,AR$1,FALSE)*AA211</f>
        <v>64.182754902150421</v>
      </c>
      <c r="AS211">
        <f>VLOOKUP($AC211,'2017 Seattle Tracts'!$C$2:$Z$399,AS$1,FALSE)*AA211</f>
        <v>403.33794396403999</v>
      </c>
      <c r="AT211">
        <f>VLOOKUP($AC211,'2017 Seattle Tracts'!$C$2:$Z$399,AT$1,FALSE)*AA211</f>
        <v>0</v>
      </c>
      <c r="AU211">
        <f>VLOOKUP($AC211,'2017 Seattle Tracts'!$C$2:$Z$399,AU$1,FALSE)*AA211</f>
        <v>0</v>
      </c>
      <c r="AV211">
        <f>VLOOKUP($AC211,'2017 Seattle Tracts'!$C$2:$Z$399,AV$1,FALSE)*AA211</f>
        <v>0</v>
      </c>
      <c r="AW211">
        <f>VLOOKUP($AC211,'2017 Seattle Tracts'!$C$2:$Z$399,AW$1,FALSE)*AA211</f>
        <v>0</v>
      </c>
      <c r="AX211">
        <f>VLOOKUP($AC211,'2017 Seattle Tracts'!$C$2:$Z$399,AX$1,FALSE)*AA211</f>
        <v>81.072953560611055</v>
      </c>
      <c r="AY211">
        <f>VLOOKUP($AC211,'2017 Seattle Tracts'!$C$2:$Z$399,AY$1,FALSE)*AA211</f>
        <v>12.160943034091659</v>
      </c>
    </row>
    <row r="212" spans="1:51" x14ac:dyDescent="0.25">
      <c r="A212" t="s">
        <v>2917</v>
      </c>
      <c r="B212" t="s">
        <v>2918</v>
      </c>
      <c r="C212" t="s">
        <v>3080</v>
      </c>
      <c r="D212" t="s">
        <v>2554</v>
      </c>
      <c r="E212" t="s">
        <v>2555</v>
      </c>
      <c r="F212" t="s">
        <v>2556</v>
      </c>
      <c r="G212" t="s">
        <v>2920</v>
      </c>
      <c r="H212" t="s">
        <v>2921</v>
      </c>
      <c r="I212">
        <v>366707</v>
      </c>
      <c r="J212">
        <v>0</v>
      </c>
      <c r="K212" t="s">
        <v>3081</v>
      </c>
      <c r="L212" t="s">
        <v>3082</v>
      </c>
      <c r="M212">
        <v>366710</v>
      </c>
      <c r="N212">
        <v>63</v>
      </c>
      <c r="O212">
        <v>13225.233</v>
      </c>
      <c r="P212" t="s">
        <v>156</v>
      </c>
      <c r="Q212">
        <v>13</v>
      </c>
      <c r="R212">
        <v>11</v>
      </c>
      <c r="S212">
        <v>33</v>
      </c>
      <c r="T212">
        <v>9517568</v>
      </c>
      <c r="U212">
        <v>65</v>
      </c>
      <c r="V212">
        <v>160</v>
      </c>
      <c r="W212">
        <v>13225.23351595422</v>
      </c>
      <c r="X212">
        <v>9517568.4736377206</v>
      </c>
      <c r="Y212">
        <v>118935.986</v>
      </c>
      <c r="Z212">
        <f>VLOOKUP($AC212,'2017 Seattle Tracts'!$C$2:$Z$399,24,FALSE)</f>
        <v>366709.62699999998</v>
      </c>
      <c r="AA212">
        <f t="shared" si="7"/>
        <v>0.32433287059573163</v>
      </c>
      <c r="AB212" t="s">
        <v>160</v>
      </c>
      <c r="AC212" t="str">
        <f t="shared" si="6"/>
        <v>Census Tract 82, King County, Washington</v>
      </c>
      <c r="AD212">
        <f>VLOOKUP($AC212,'2017 Seattle Tracts'!$C$2:$Z$399,AD$1,FALSE)*AA212</f>
        <v>1366.0900509492217</v>
      </c>
      <c r="AE212">
        <f>VLOOKUP($AC212,'2017 Seattle Tracts'!$C$2:$Z$399,AE$1,FALSE)*AA212</f>
        <v>1036.5678544239584</v>
      </c>
      <c r="AF212">
        <f>VLOOKUP($AC212,'2017 Seattle Tracts'!$C$2:$Z$399,AF$1,FALSE)*AA212</f>
        <v>329.52219652526333</v>
      </c>
      <c r="AG212">
        <f>VLOOKUP($AC212,'2017 Seattle Tracts'!$C$2:$Z$399,AG$1,FALSE)*AA212</f>
        <v>1366.0900509492217</v>
      </c>
      <c r="AH212">
        <f>VLOOKUP($AC212,'2017 Seattle Tracts'!$C$2:$Z$399,AH$1,FALSE)*AA212</f>
        <v>1036.5678544239584</v>
      </c>
      <c r="AI212">
        <f>VLOOKUP($AC212,'2017 Seattle Tracts'!$C$2:$Z$399,AI$1,FALSE)*AA212</f>
        <v>329.52219652526333</v>
      </c>
      <c r="AJ212">
        <f>VLOOKUP($AC212,'2017 Seattle Tracts'!$C$2:$Z$399,AJ$1,FALSE)*AA212</f>
        <v>848.13045660783825</v>
      </c>
      <c r="AK212">
        <f>VLOOKUP($AC212,'2017 Seattle Tracts'!$C$2:$Z$399,AK$1,FALSE)*AA212</f>
        <v>56.433919483657306</v>
      </c>
      <c r="AL212">
        <f>VLOOKUP($AC212,'2017 Seattle Tracts'!$C$2:$Z$399,AL$1,FALSE)*AA212</f>
        <v>19.78430510633963</v>
      </c>
      <c r="AM212">
        <f>VLOOKUP($AC212,'2017 Seattle Tracts'!$C$2:$Z$399,AM$1,FALSE)*AA212</f>
        <v>66.163905601529251</v>
      </c>
      <c r="AN212">
        <f>VLOOKUP($AC212,'2017 Seattle Tracts'!$C$2:$Z$399,AN$1,FALSE)*AA212</f>
        <v>98.921525531698151</v>
      </c>
      <c r="AO212">
        <f>VLOOKUP($AC212,'2017 Seattle Tracts'!$C$2:$Z$399,AO$1,FALSE)*AA212</f>
        <v>7.459656023701827</v>
      </c>
      <c r="AP212">
        <f>VLOOKUP($AC212,'2017 Seattle Tracts'!$C$2:$Z$399,AP$1,FALSE)*AA212</f>
        <v>0</v>
      </c>
      <c r="AQ212">
        <f>VLOOKUP($AC212,'2017 Seattle Tracts'!$C$2:$Z$399,AQ$1,FALSE)*AA212</f>
        <v>0</v>
      </c>
      <c r="AR212">
        <f>VLOOKUP($AC212,'2017 Seattle Tracts'!$C$2:$Z$399,AR$1,FALSE)*AA212</f>
        <v>30.811622706594505</v>
      </c>
      <c r="AS212">
        <f>VLOOKUP($AC212,'2017 Seattle Tracts'!$C$2:$Z$399,AS$1,FALSE)*AA212</f>
        <v>193.62672374565179</v>
      </c>
      <c r="AT212">
        <f>VLOOKUP($AC212,'2017 Seattle Tracts'!$C$2:$Z$399,AT$1,FALSE)*AA212</f>
        <v>0</v>
      </c>
      <c r="AU212">
        <f>VLOOKUP($AC212,'2017 Seattle Tracts'!$C$2:$Z$399,AU$1,FALSE)*AA212</f>
        <v>0</v>
      </c>
      <c r="AV212">
        <f>VLOOKUP($AC212,'2017 Seattle Tracts'!$C$2:$Z$399,AV$1,FALSE)*AA212</f>
        <v>0</v>
      </c>
      <c r="AW212">
        <f>VLOOKUP($AC212,'2017 Seattle Tracts'!$C$2:$Z$399,AW$1,FALSE)*AA212</f>
        <v>0</v>
      </c>
      <c r="AX212">
        <f>VLOOKUP($AC212,'2017 Seattle Tracts'!$C$2:$Z$399,AX$1,FALSE)*AA212</f>
        <v>38.919944471487796</v>
      </c>
      <c r="AY212">
        <f>VLOOKUP($AC212,'2017 Seattle Tracts'!$C$2:$Z$399,AY$1,FALSE)*AA212</f>
        <v>5.8379916707231692</v>
      </c>
    </row>
    <row r="213" spans="1:51" x14ac:dyDescent="0.25">
      <c r="A213" t="s">
        <v>2917</v>
      </c>
      <c r="B213" t="s">
        <v>2918</v>
      </c>
      <c r="C213" t="s">
        <v>3080</v>
      </c>
      <c r="D213" t="s">
        <v>2554</v>
      </c>
      <c r="E213" t="s">
        <v>2555</v>
      </c>
      <c r="F213" t="s">
        <v>2556</v>
      </c>
      <c r="G213" t="s">
        <v>2920</v>
      </c>
      <c r="H213" t="s">
        <v>2921</v>
      </c>
      <c r="I213">
        <v>366707</v>
      </c>
      <c r="J213">
        <v>0</v>
      </c>
      <c r="K213" t="s">
        <v>3081</v>
      </c>
      <c r="L213" t="s">
        <v>3082</v>
      </c>
      <c r="M213">
        <v>366710</v>
      </c>
      <c r="N213">
        <v>100</v>
      </c>
      <c r="O213">
        <v>26851.947</v>
      </c>
      <c r="P213" t="s">
        <v>201</v>
      </c>
      <c r="Q213">
        <v>11</v>
      </c>
      <c r="R213">
        <v>3</v>
      </c>
      <c r="S213">
        <v>0</v>
      </c>
      <c r="T213">
        <v>30239240</v>
      </c>
      <c r="U213">
        <v>102</v>
      </c>
      <c r="V213">
        <v>151</v>
      </c>
      <c r="W213">
        <v>26851.9474418256</v>
      </c>
      <c r="X213">
        <v>30239240.52129779</v>
      </c>
      <c r="Y213">
        <v>21.652999999999999</v>
      </c>
      <c r="Z213">
        <f>VLOOKUP($AC213,'2017 Seattle Tracts'!$C$2:$Z$399,24,FALSE)</f>
        <v>366709.62699999998</v>
      </c>
      <c r="AA213">
        <f t="shared" si="7"/>
        <v>5.904671818174002E-5</v>
      </c>
      <c r="AB213" t="s">
        <v>204</v>
      </c>
      <c r="AC213" t="str">
        <f t="shared" si="6"/>
        <v>Census Tract 82, King County, Washington</v>
      </c>
      <c r="AD213">
        <f>VLOOKUP($AC213,'2017 Seattle Tracts'!$C$2:$Z$399,AD$1,FALSE)*AA213</f>
        <v>0.24870477698148896</v>
      </c>
      <c r="AE213">
        <f>VLOOKUP($AC213,'2017 Seattle Tracts'!$C$2:$Z$399,AE$1,FALSE)*AA213</f>
        <v>0.18871331130884111</v>
      </c>
      <c r="AF213">
        <f>VLOOKUP($AC213,'2017 Seattle Tracts'!$C$2:$Z$399,AF$1,FALSE)*AA213</f>
        <v>5.9991465672647862E-2</v>
      </c>
      <c r="AG213">
        <f>VLOOKUP($AC213,'2017 Seattle Tracts'!$C$2:$Z$399,AG$1,FALSE)*AA213</f>
        <v>0.24870477698148896</v>
      </c>
      <c r="AH213">
        <f>VLOOKUP($AC213,'2017 Seattle Tracts'!$C$2:$Z$399,AH$1,FALSE)*AA213</f>
        <v>0.18871331130884111</v>
      </c>
      <c r="AI213">
        <f>VLOOKUP($AC213,'2017 Seattle Tracts'!$C$2:$Z$399,AI$1,FALSE)*AA213</f>
        <v>5.9991465672647862E-2</v>
      </c>
      <c r="AJ213">
        <f>VLOOKUP($AC213,'2017 Seattle Tracts'!$C$2:$Z$399,AJ$1,FALSE)*AA213</f>
        <v>0.15440716804525015</v>
      </c>
      <c r="AK213">
        <f>VLOOKUP($AC213,'2017 Seattle Tracts'!$C$2:$Z$399,AK$1,FALSE)*AA213</f>
        <v>1.0274128963622764E-2</v>
      </c>
      <c r="AL213">
        <f>VLOOKUP($AC213,'2017 Seattle Tracts'!$C$2:$Z$399,AL$1,FALSE)*AA213</f>
        <v>3.6018498090861412E-3</v>
      </c>
      <c r="AM213">
        <f>VLOOKUP($AC213,'2017 Seattle Tracts'!$C$2:$Z$399,AM$1,FALSE)*AA213</f>
        <v>1.2045530509074965E-2</v>
      </c>
      <c r="AN213">
        <f>VLOOKUP($AC213,'2017 Seattle Tracts'!$C$2:$Z$399,AN$1,FALSE)*AA213</f>
        <v>1.8009249045430706E-2</v>
      </c>
      <c r="AO213">
        <f>VLOOKUP($AC213,'2017 Seattle Tracts'!$C$2:$Z$399,AO$1,FALSE)*AA213</f>
        <v>1.3580745181800205E-3</v>
      </c>
      <c r="AP213">
        <f>VLOOKUP($AC213,'2017 Seattle Tracts'!$C$2:$Z$399,AP$1,FALSE)*AA213</f>
        <v>0</v>
      </c>
      <c r="AQ213">
        <f>VLOOKUP($AC213,'2017 Seattle Tracts'!$C$2:$Z$399,AQ$1,FALSE)*AA213</f>
        <v>0</v>
      </c>
      <c r="AR213">
        <f>VLOOKUP($AC213,'2017 Seattle Tracts'!$C$2:$Z$399,AR$1,FALSE)*AA213</f>
        <v>5.6094382272653016E-3</v>
      </c>
      <c r="AS213">
        <f>VLOOKUP($AC213,'2017 Seattle Tracts'!$C$2:$Z$399,AS$1,FALSE)*AA213</f>
        <v>3.525089075449879E-2</v>
      </c>
      <c r="AT213">
        <f>VLOOKUP($AC213,'2017 Seattle Tracts'!$C$2:$Z$399,AT$1,FALSE)*AA213</f>
        <v>0</v>
      </c>
      <c r="AU213">
        <f>VLOOKUP($AC213,'2017 Seattle Tracts'!$C$2:$Z$399,AU$1,FALSE)*AA213</f>
        <v>0</v>
      </c>
      <c r="AV213">
        <f>VLOOKUP($AC213,'2017 Seattle Tracts'!$C$2:$Z$399,AV$1,FALSE)*AA213</f>
        <v>0</v>
      </c>
      <c r="AW213">
        <f>VLOOKUP($AC213,'2017 Seattle Tracts'!$C$2:$Z$399,AW$1,FALSE)*AA213</f>
        <v>0</v>
      </c>
      <c r="AX213">
        <f>VLOOKUP($AC213,'2017 Seattle Tracts'!$C$2:$Z$399,AX$1,FALSE)*AA213</f>
        <v>7.0856061818088028E-3</v>
      </c>
      <c r="AY213">
        <f>VLOOKUP($AC213,'2017 Seattle Tracts'!$C$2:$Z$399,AY$1,FALSE)*AA213</f>
        <v>1.0628409272713203E-3</v>
      </c>
    </row>
    <row r="214" spans="1:51" x14ac:dyDescent="0.25">
      <c r="A214" t="s">
        <v>2917</v>
      </c>
      <c r="B214" t="s">
        <v>2918</v>
      </c>
      <c r="C214" t="s">
        <v>3083</v>
      </c>
      <c r="D214" t="s">
        <v>2551</v>
      </c>
      <c r="E214" t="s">
        <v>2552</v>
      </c>
      <c r="F214" t="s">
        <v>2553</v>
      </c>
      <c r="G214" t="s">
        <v>2920</v>
      </c>
      <c r="H214" t="s">
        <v>2921</v>
      </c>
      <c r="I214">
        <v>237442</v>
      </c>
      <c r="J214">
        <v>0</v>
      </c>
      <c r="K214" t="s">
        <v>3084</v>
      </c>
      <c r="L214" t="s">
        <v>3085</v>
      </c>
      <c r="M214">
        <v>237448</v>
      </c>
      <c r="N214">
        <v>60</v>
      </c>
      <c r="O214">
        <v>21967.599999999999</v>
      </c>
      <c r="P214" t="s">
        <v>156</v>
      </c>
      <c r="Q214">
        <v>13</v>
      </c>
      <c r="R214">
        <v>11</v>
      </c>
      <c r="S214">
        <v>81</v>
      </c>
      <c r="T214">
        <v>14974037</v>
      </c>
      <c r="U214">
        <v>62</v>
      </c>
      <c r="V214">
        <v>156</v>
      </c>
      <c r="W214">
        <v>21967.599459922661</v>
      </c>
      <c r="X214">
        <v>14974037.0994289</v>
      </c>
      <c r="Y214">
        <v>248.04300000000001</v>
      </c>
      <c r="Z214">
        <f>VLOOKUP($AC214,'2017 Seattle Tracts'!$C$2:$Z$399,24,FALSE)</f>
        <v>237448.36300000001</v>
      </c>
      <c r="AA214">
        <f t="shared" si="7"/>
        <v>1.0446186988452726E-3</v>
      </c>
      <c r="AB214" t="s">
        <v>157</v>
      </c>
      <c r="AC214" t="str">
        <f t="shared" si="6"/>
        <v>Census Tract 83, King County, Washington</v>
      </c>
      <c r="AD214">
        <f>VLOOKUP($AC214,'2017 Seattle Tracts'!$C$2:$Z$399,AD$1,FALSE)*AA214</f>
        <v>3.2247379233353568</v>
      </c>
      <c r="AE214">
        <f>VLOOKUP($AC214,'2017 Seattle Tracts'!$C$2:$Z$399,AE$1,FALSE)*AA214</f>
        <v>2.5091741146263451</v>
      </c>
      <c r="AF214">
        <f>VLOOKUP($AC214,'2017 Seattle Tracts'!$C$2:$Z$399,AF$1,FALSE)*AA214</f>
        <v>0.71556380870901182</v>
      </c>
      <c r="AG214">
        <f>VLOOKUP($AC214,'2017 Seattle Tracts'!$C$2:$Z$399,AG$1,FALSE)*AA214</f>
        <v>3.2247379233353568</v>
      </c>
      <c r="AH214">
        <f>VLOOKUP($AC214,'2017 Seattle Tracts'!$C$2:$Z$399,AH$1,FALSE)*AA214</f>
        <v>2.5091741146263451</v>
      </c>
      <c r="AI214">
        <f>VLOOKUP($AC214,'2017 Seattle Tracts'!$C$2:$Z$399,AI$1,FALSE)*AA214</f>
        <v>0.71556380870901182</v>
      </c>
      <c r="AJ214">
        <f>VLOOKUP($AC214,'2017 Seattle Tracts'!$C$2:$Z$399,AJ$1,FALSE)*AA214</f>
        <v>2.0119356139759952</v>
      </c>
      <c r="AK214">
        <f>VLOOKUP($AC214,'2017 Seattle Tracts'!$C$2:$Z$399,AK$1,FALSE)*AA214</f>
        <v>0.27891319259168779</v>
      </c>
      <c r="AL214">
        <f>VLOOKUP($AC214,'2017 Seattle Tracts'!$C$2:$Z$399,AL$1,FALSE)*AA214</f>
        <v>0.10132801378799144</v>
      </c>
      <c r="AM214">
        <f>VLOOKUP($AC214,'2017 Seattle Tracts'!$C$2:$Z$399,AM$1,FALSE)*AA214</f>
        <v>6.0587884533025813E-2</v>
      </c>
      <c r="AN214">
        <f>VLOOKUP($AC214,'2017 Seattle Tracts'!$C$2:$Z$399,AN$1,FALSE)*AA214</f>
        <v>0.13475581215104018</v>
      </c>
      <c r="AO214">
        <f>VLOOKUP($AC214,'2017 Seattle Tracts'!$C$2:$Z$399,AO$1,FALSE)*AA214</f>
        <v>1.4624661783833818E-2</v>
      </c>
      <c r="AP214">
        <f>VLOOKUP($AC214,'2017 Seattle Tracts'!$C$2:$Z$399,AP$1,FALSE)*AA214</f>
        <v>5.5364791038799453E-2</v>
      </c>
      <c r="AQ214">
        <f>VLOOKUP($AC214,'2017 Seattle Tracts'!$C$2:$Z$399,AQ$1,FALSE)*AA214</f>
        <v>0</v>
      </c>
      <c r="AR214">
        <f>VLOOKUP($AC214,'2017 Seattle Tracts'!$C$2:$Z$399,AR$1,FALSE)*AA214</f>
        <v>8.4614114606467089E-2</v>
      </c>
      <c r="AS214">
        <f>VLOOKUP($AC214,'2017 Seattle Tracts'!$C$2:$Z$399,AS$1,FALSE)*AA214</f>
        <v>0.33009950883510614</v>
      </c>
      <c r="AT214">
        <f>VLOOKUP($AC214,'2017 Seattle Tracts'!$C$2:$Z$399,AT$1,FALSE)*AA214</f>
        <v>6.2677121930716359E-3</v>
      </c>
      <c r="AU214">
        <f>VLOOKUP($AC214,'2017 Seattle Tracts'!$C$2:$Z$399,AU$1,FALSE)*AA214</f>
        <v>0</v>
      </c>
      <c r="AV214">
        <f>VLOOKUP($AC214,'2017 Seattle Tracts'!$C$2:$Z$399,AV$1,FALSE)*AA214</f>
        <v>4.282936665265618E-2</v>
      </c>
      <c r="AW214">
        <f>VLOOKUP($AC214,'2017 Seattle Tracts'!$C$2:$Z$399,AW$1,FALSE)*AA214</f>
        <v>3.1338560965358177E-2</v>
      </c>
      <c r="AX214">
        <f>VLOOKUP($AC214,'2017 Seattle Tracts'!$C$2:$Z$399,AX$1,FALSE)*AA214</f>
        <v>7.2078690220323816E-2</v>
      </c>
      <c r="AY214">
        <f>VLOOKUP($AC214,'2017 Seattle Tracts'!$C$2:$Z$399,AY$1,FALSE)*AA214</f>
        <v>0</v>
      </c>
    </row>
    <row r="215" spans="1:51" x14ac:dyDescent="0.25">
      <c r="A215" t="s">
        <v>2917</v>
      </c>
      <c r="B215" t="s">
        <v>2918</v>
      </c>
      <c r="C215" t="s">
        <v>3083</v>
      </c>
      <c r="D215" t="s">
        <v>2551</v>
      </c>
      <c r="E215" t="s">
        <v>2552</v>
      </c>
      <c r="F215" t="s">
        <v>2553</v>
      </c>
      <c r="G215" t="s">
        <v>2920</v>
      </c>
      <c r="H215" t="s">
        <v>2921</v>
      </c>
      <c r="I215">
        <v>237442</v>
      </c>
      <c r="J215">
        <v>0</v>
      </c>
      <c r="K215" t="s">
        <v>3084</v>
      </c>
      <c r="L215" t="s">
        <v>3085</v>
      </c>
      <c r="M215">
        <v>237448</v>
      </c>
      <c r="N215">
        <v>62</v>
      </c>
      <c r="O215">
        <v>18209.463</v>
      </c>
      <c r="P215" t="s">
        <v>156</v>
      </c>
      <c r="Q215">
        <v>13</v>
      </c>
      <c r="R215">
        <v>11</v>
      </c>
      <c r="S215">
        <v>95</v>
      </c>
      <c r="T215">
        <v>9477399</v>
      </c>
      <c r="U215">
        <v>64</v>
      </c>
      <c r="V215">
        <v>159</v>
      </c>
      <c r="W215">
        <v>18209.462862458811</v>
      </c>
      <c r="X215">
        <v>9477398.6185622383</v>
      </c>
      <c r="Y215">
        <v>49118.906999999999</v>
      </c>
      <c r="Z215">
        <f>VLOOKUP($AC215,'2017 Seattle Tracts'!$C$2:$Z$399,24,FALSE)</f>
        <v>237448.36300000001</v>
      </c>
      <c r="AA215">
        <f t="shared" si="7"/>
        <v>0.20686142611983388</v>
      </c>
      <c r="AB215" t="s">
        <v>159</v>
      </c>
      <c r="AC215" t="str">
        <f t="shared" si="6"/>
        <v>Census Tract 83, King County, Washington</v>
      </c>
      <c r="AD215">
        <f>VLOOKUP($AC215,'2017 Seattle Tracts'!$C$2:$Z$399,AD$1,FALSE)*AA215</f>
        <v>638.58122243192713</v>
      </c>
      <c r="AE215">
        <f>VLOOKUP($AC215,'2017 Seattle Tracts'!$C$2:$Z$399,AE$1,FALSE)*AA215</f>
        <v>496.88114553984099</v>
      </c>
      <c r="AF215">
        <f>VLOOKUP($AC215,'2017 Seattle Tracts'!$C$2:$Z$399,AF$1,FALSE)*AA215</f>
        <v>141.7000768920862</v>
      </c>
      <c r="AG215">
        <f>VLOOKUP($AC215,'2017 Seattle Tracts'!$C$2:$Z$399,AG$1,FALSE)*AA215</f>
        <v>638.58122243192713</v>
      </c>
      <c r="AH215">
        <f>VLOOKUP($AC215,'2017 Seattle Tracts'!$C$2:$Z$399,AH$1,FALSE)*AA215</f>
        <v>496.88114553984099</v>
      </c>
      <c r="AI215">
        <f>VLOOKUP($AC215,'2017 Seattle Tracts'!$C$2:$Z$399,AI$1,FALSE)*AA215</f>
        <v>141.7000768920862</v>
      </c>
      <c r="AJ215">
        <f>VLOOKUP($AC215,'2017 Seattle Tracts'!$C$2:$Z$399,AJ$1,FALSE)*AA215</f>
        <v>398.41510670680003</v>
      </c>
      <c r="AK215">
        <f>VLOOKUP($AC215,'2017 Seattle Tracts'!$C$2:$Z$399,AK$1,FALSE)*AA215</f>
        <v>55.232000773995644</v>
      </c>
      <c r="AL215">
        <f>VLOOKUP($AC215,'2017 Seattle Tracts'!$C$2:$Z$399,AL$1,FALSE)*AA215</f>
        <v>20.065558333623887</v>
      </c>
      <c r="AM215">
        <f>VLOOKUP($AC215,'2017 Seattle Tracts'!$C$2:$Z$399,AM$1,FALSE)*AA215</f>
        <v>11.997962714950365</v>
      </c>
      <c r="AN215">
        <f>VLOOKUP($AC215,'2017 Seattle Tracts'!$C$2:$Z$399,AN$1,FALSE)*AA215</f>
        <v>26.685123969458569</v>
      </c>
      <c r="AO215">
        <f>VLOOKUP($AC215,'2017 Seattle Tracts'!$C$2:$Z$399,AO$1,FALSE)*AA215</f>
        <v>2.8960599656776744</v>
      </c>
      <c r="AP215">
        <f>VLOOKUP($AC215,'2017 Seattle Tracts'!$C$2:$Z$399,AP$1,FALSE)*AA215</f>
        <v>10.963655584351196</v>
      </c>
      <c r="AQ215">
        <f>VLOOKUP($AC215,'2017 Seattle Tracts'!$C$2:$Z$399,AQ$1,FALSE)*AA215</f>
        <v>0</v>
      </c>
      <c r="AR215">
        <f>VLOOKUP($AC215,'2017 Seattle Tracts'!$C$2:$Z$399,AR$1,FALSE)*AA215</f>
        <v>16.755775515706546</v>
      </c>
      <c r="AS215">
        <f>VLOOKUP($AC215,'2017 Seattle Tracts'!$C$2:$Z$399,AS$1,FALSE)*AA215</f>
        <v>65.368210653867507</v>
      </c>
      <c r="AT215">
        <f>VLOOKUP($AC215,'2017 Seattle Tracts'!$C$2:$Z$399,AT$1,FALSE)*AA215</f>
        <v>1.2411685567190034</v>
      </c>
      <c r="AU215">
        <f>VLOOKUP($AC215,'2017 Seattle Tracts'!$C$2:$Z$399,AU$1,FALSE)*AA215</f>
        <v>0</v>
      </c>
      <c r="AV215">
        <f>VLOOKUP($AC215,'2017 Seattle Tracts'!$C$2:$Z$399,AV$1,FALSE)*AA215</f>
        <v>8.4813184709131892</v>
      </c>
      <c r="AW215">
        <f>VLOOKUP($AC215,'2017 Seattle Tracts'!$C$2:$Z$399,AW$1,FALSE)*AA215</f>
        <v>6.2058427835950161</v>
      </c>
      <c r="AX215">
        <f>VLOOKUP($AC215,'2017 Seattle Tracts'!$C$2:$Z$399,AX$1,FALSE)*AA215</f>
        <v>14.273438402268537</v>
      </c>
      <c r="AY215">
        <f>VLOOKUP($AC215,'2017 Seattle Tracts'!$C$2:$Z$399,AY$1,FALSE)*AA215</f>
        <v>0</v>
      </c>
    </row>
    <row r="216" spans="1:51" x14ac:dyDescent="0.25">
      <c r="A216" t="s">
        <v>2917</v>
      </c>
      <c r="B216" t="s">
        <v>2918</v>
      </c>
      <c r="C216" t="s">
        <v>3083</v>
      </c>
      <c r="D216" t="s">
        <v>2551</v>
      </c>
      <c r="E216" t="s">
        <v>2552</v>
      </c>
      <c r="F216" t="s">
        <v>2553</v>
      </c>
      <c r="G216" t="s">
        <v>2920</v>
      </c>
      <c r="H216" t="s">
        <v>2921</v>
      </c>
      <c r="I216">
        <v>237442</v>
      </c>
      <c r="J216">
        <v>0</v>
      </c>
      <c r="K216" t="s">
        <v>3084</v>
      </c>
      <c r="L216" t="s">
        <v>3085</v>
      </c>
      <c r="M216">
        <v>237448</v>
      </c>
      <c r="N216">
        <v>63</v>
      </c>
      <c r="O216">
        <v>13225.233</v>
      </c>
      <c r="P216" t="s">
        <v>156</v>
      </c>
      <c r="Q216">
        <v>13</v>
      </c>
      <c r="R216">
        <v>11</v>
      </c>
      <c r="S216">
        <v>33</v>
      </c>
      <c r="T216">
        <v>9517568</v>
      </c>
      <c r="U216">
        <v>65</v>
      </c>
      <c r="V216">
        <v>160</v>
      </c>
      <c r="W216">
        <v>13225.23351595422</v>
      </c>
      <c r="X216">
        <v>9517568.4736377206</v>
      </c>
      <c r="Y216">
        <v>160905.484</v>
      </c>
      <c r="Z216">
        <f>VLOOKUP($AC216,'2017 Seattle Tracts'!$C$2:$Z$399,24,FALSE)</f>
        <v>237448.36300000001</v>
      </c>
      <c r="AA216">
        <f t="shared" si="7"/>
        <v>0.67764410740536452</v>
      </c>
      <c r="AB216" t="s">
        <v>160</v>
      </c>
      <c r="AC216" t="str">
        <f t="shared" si="6"/>
        <v>Census Tract 83, King County, Washington</v>
      </c>
      <c r="AD216">
        <f>VLOOKUP($AC216,'2017 Seattle Tracts'!$C$2:$Z$399,AD$1,FALSE)*AA216</f>
        <v>2091.8873595603604</v>
      </c>
      <c r="AE216">
        <f>VLOOKUP($AC216,'2017 Seattle Tracts'!$C$2:$Z$399,AE$1,FALSE)*AA216</f>
        <v>1627.7011459876855</v>
      </c>
      <c r="AF216">
        <f>VLOOKUP($AC216,'2017 Seattle Tracts'!$C$2:$Z$399,AF$1,FALSE)*AA216</f>
        <v>464.18621357267472</v>
      </c>
      <c r="AG216">
        <f>VLOOKUP($AC216,'2017 Seattle Tracts'!$C$2:$Z$399,AG$1,FALSE)*AA216</f>
        <v>2091.8873595603604</v>
      </c>
      <c r="AH216">
        <f>VLOOKUP($AC216,'2017 Seattle Tracts'!$C$2:$Z$399,AH$1,FALSE)*AA216</f>
        <v>1627.7011459876855</v>
      </c>
      <c r="AI216">
        <f>VLOOKUP($AC216,'2017 Seattle Tracts'!$C$2:$Z$399,AI$1,FALSE)*AA216</f>
        <v>464.18621357267472</v>
      </c>
      <c r="AJ216">
        <f>VLOOKUP($AC216,'2017 Seattle Tracts'!$C$2:$Z$399,AJ$1,FALSE)*AA216</f>
        <v>1305.1425508627322</v>
      </c>
      <c r="AK216">
        <f>VLOOKUP($AC216,'2017 Seattle Tracts'!$C$2:$Z$399,AK$1,FALSE)*AA216</f>
        <v>180.93097667723234</v>
      </c>
      <c r="AL216">
        <f>VLOOKUP($AC216,'2017 Seattle Tracts'!$C$2:$Z$399,AL$1,FALSE)*AA216</f>
        <v>65.731478418320364</v>
      </c>
      <c r="AM216">
        <f>VLOOKUP($AC216,'2017 Seattle Tracts'!$C$2:$Z$399,AM$1,FALSE)*AA216</f>
        <v>39.30335822951114</v>
      </c>
      <c r="AN216">
        <f>VLOOKUP($AC216,'2017 Seattle Tracts'!$C$2:$Z$399,AN$1,FALSE)*AA216</f>
        <v>87.416089855292029</v>
      </c>
      <c r="AO216">
        <f>VLOOKUP($AC216,'2017 Seattle Tracts'!$C$2:$Z$399,AO$1,FALSE)*AA216</f>
        <v>9.4870175036751032</v>
      </c>
      <c r="AP216">
        <f>VLOOKUP($AC216,'2017 Seattle Tracts'!$C$2:$Z$399,AP$1,FALSE)*AA216</f>
        <v>35.915137692484322</v>
      </c>
      <c r="AQ216">
        <f>VLOOKUP($AC216,'2017 Seattle Tracts'!$C$2:$Z$399,AQ$1,FALSE)*AA216</f>
        <v>0</v>
      </c>
      <c r="AR216">
        <f>VLOOKUP($AC216,'2017 Seattle Tracts'!$C$2:$Z$399,AR$1,FALSE)*AA216</f>
        <v>54.889172699834525</v>
      </c>
      <c r="AS216">
        <f>VLOOKUP($AC216,'2017 Seattle Tracts'!$C$2:$Z$399,AS$1,FALSE)*AA216</f>
        <v>214.13553794009519</v>
      </c>
      <c r="AT216">
        <f>VLOOKUP($AC216,'2017 Seattle Tracts'!$C$2:$Z$399,AT$1,FALSE)*AA216</f>
        <v>4.0658646444321871</v>
      </c>
      <c r="AU216">
        <f>VLOOKUP($AC216,'2017 Seattle Tracts'!$C$2:$Z$399,AU$1,FALSE)*AA216</f>
        <v>0</v>
      </c>
      <c r="AV216">
        <f>VLOOKUP($AC216,'2017 Seattle Tracts'!$C$2:$Z$399,AV$1,FALSE)*AA216</f>
        <v>27.783408403619944</v>
      </c>
      <c r="AW216">
        <f>VLOOKUP($AC216,'2017 Seattle Tracts'!$C$2:$Z$399,AW$1,FALSE)*AA216</f>
        <v>20.329323222160937</v>
      </c>
      <c r="AX216">
        <f>VLOOKUP($AC216,'2017 Seattle Tracts'!$C$2:$Z$399,AX$1,FALSE)*AA216</f>
        <v>46.757443410970154</v>
      </c>
      <c r="AY216">
        <f>VLOOKUP($AC216,'2017 Seattle Tracts'!$C$2:$Z$399,AY$1,FALSE)*AA216</f>
        <v>0</v>
      </c>
    </row>
    <row r="217" spans="1:51" x14ac:dyDescent="0.25">
      <c r="A217" t="s">
        <v>2917</v>
      </c>
      <c r="B217" t="s">
        <v>2918</v>
      </c>
      <c r="C217" t="s">
        <v>3083</v>
      </c>
      <c r="D217" t="s">
        <v>2551</v>
      </c>
      <c r="E217" t="s">
        <v>2552</v>
      </c>
      <c r="F217" t="s">
        <v>2553</v>
      </c>
      <c r="G217" t="s">
        <v>2920</v>
      </c>
      <c r="H217" t="s">
        <v>2921</v>
      </c>
      <c r="I217">
        <v>237442</v>
      </c>
      <c r="J217">
        <v>0</v>
      </c>
      <c r="K217" t="s">
        <v>3084</v>
      </c>
      <c r="L217" t="s">
        <v>3085</v>
      </c>
      <c r="M217">
        <v>237448</v>
      </c>
      <c r="N217">
        <v>100</v>
      </c>
      <c r="O217">
        <v>26851.947</v>
      </c>
      <c r="P217" t="s">
        <v>201</v>
      </c>
      <c r="Q217">
        <v>11</v>
      </c>
      <c r="R217">
        <v>3</v>
      </c>
      <c r="S217">
        <v>0</v>
      </c>
      <c r="T217">
        <v>30239240</v>
      </c>
      <c r="U217">
        <v>102</v>
      </c>
      <c r="V217">
        <v>151</v>
      </c>
      <c r="W217">
        <v>26851.9474418256</v>
      </c>
      <c r="X217">
        <v>30239240.52129779</v>
      </c>
      <c r="Y217">
        <v>27175.941999999999</v>
      </c>
      <c r="Z217">
        <f>VLOOKUP($AC217,'2017 Seattle Tracts'!$C$2:$Z$399,24,FALSE)</f>
        <v>237448.36300000001</v>
      </c>
      <c r="AA217">
        <f t="shared" si="7"/>
        <v>0.11444990252470175</v>
      </c>
      <c r="AB217" t="s">
        <v>204</v>
      </c>
      <c r="AC217" t="str">
        <f t="shared" si="6"/>
        <v>Census Tract 83, King County, Washington</v>
      </c>
      <c r="AD217">
        <f>VLOOKUP($AC217,'2017 Seattle Tracts'!$C$2:$Z$399,AD$1,FALSE)*AA217</f>
        <v>353.30684909375429</v>
      </c>
      <c r="AE217">
        <f>VLOOKUP($AC217,'2017 Seattle Tracts'!$C$2:$Z$399,AE$1,FALSE)*AA217</f>
        <v>274.90866586433361</v>
      </c>
      <c r="AF217">
        <f>VLOOKUP($AC217,'2017 Seattle Tracts'!$C$2:$Z$399,AF$1,FALSE)*AA217</f>
        <v>78.398183229420695</v>
      </c>
      <c r="AG217">
        <f>VLOOKUP($AC217,'2017 Seattle Tracts'!$C$2:$Z$399,AG$1,FALSE)*AA217</f>
        <v>353.30684909375429</v>
      </c>
      <c r="AH217">
        <f>VLOOKUP($AC217,'2017 Seattle Tracts'!$C$2:$Z$399,AH$1,FALSE)*AA217</f>
        <v>274.90866586433361</v>
      </c>
      <c r="AI217">
        <f>VLOOKUP($AC217,'2017 Seattle Tracts'!$C$2:$Z$399,AI$1,FALSE)*AA217</f>
        <v>78.398183229420695</v>
      </c>
      <c r="AJ217">
        <f>VLOOKUP($AC217,'2017 Seattle Tracts'!$C$2:$Z$399,AJ$1,FALSE)*AA217</f>
        <v>220.43051226257558</v>
      </c>
      <c r="AK217">
        <f>VLOOKUP($AC217,'2017 Seattle Tracts'!$C$2:$Z$399,AK$1,FALSE)*AA217</f>
        <v>30.558123974095366</v>
      </c>
      <c r="AL217">
        <f>VLOOKUP($AC217,'2017 Seattle Tracts'!$C$2:$Z$399,AL$1,FALSE)*AA217</f>
        <v>11.101640544896069</v>
      </c>
      <c r="AM217">
        <f>VLOOKUP($AC217,'2017 Seattle Tracts'!$C$2:$Z$399,AM$1,FALSE)*AA217</f>
        <v>6.6380943464327009</v>
      </c>
      <c r="AN217">
        <f>VLOOKUP($AC217,'2017 Seattle Tracts'!$C$2:$Z$399,AN$1,FALSE)*AA217</f>
        <v>14.764037425686526</v>
      </c>
      <c r="AO217">
        <f>VLOOKUP($AC217,'2017 Seattle Tracts'!$C$2:$Z$399,AO$1,FALSE)*AA217</f>
        <v>1.6022986353458244</v>
      </c>
      <c r="AP217">
        <f>VLOOKUP($AC217,'2017 Seattle Tracts'!$C$2:$Z$399,AP$1,FALSE)*AA217</f>
        <v>6.0658448338091926</v>
      </c>
      <c r="AQ217">
        <f>VLOOKUP($AC217,'2017 Seattle Tracts'!$C$2:$Z$399,AQ$1,FALSE)*AA217</f>
        <v>0</v>
      </c>
      <c r="AR217">
        <f>VLOOKUP($AC217,'2017 Seattle Tracts'!$C$2:$Z$399,AR$1,FALSE)*AA217</f>
        <v>9.2704421045008409</v>
      </c>
      <c r="AS217">
        <f>VLOOKUP($AC217,'2017 Seattle Tracts'!$C$2:$Z$399,AS$1,FALSE)*AA217</f>
        <v>36.16616919780575</v>
      </c>
      <c r="AT217">
        <f>VLOOKUP($AC217,'2017 Seattle Tracts'!$C$2:$Z$399,AT$1,FALSE)*AA217</f>
        <v>0.68669941514821042</v>
      </c>
      <c r="AU217">
        <f>VLOOKUP($AC217,'2017 Seattle Tracts'!$C$2:$Z$399,AU$1,FALSE)*AA217</f>
        <v>0</v>
      </c>
      <c r="AV217">
        <f>VLOOKUP($AC217,'2017 Seattle Tracts'!$C$2:$Z$399,AV$1,FALSE)*AA217</f>
        <v>4.6924460035127717</v>
      </c>
      <c r="AW217">
        <f>VLOOKUP($AC217,'2017 Seattle Tracts'!$C$2:$Z$399,AW$1,FALSE)*AA217</f>
        <v>3.4334970757410526</v>
      </c>
      <c r="AX217">
        <f>VLOOKUP($AC217,'2017 Seattle Tracts'!$C$2:$Z$399,AX$1,FALSE)*AA217</f>
        <v>7.8970432742044201</v>
      </c>
      <c r="AY217">
        <f>VLOOKUP($AC217,'2017 Seattle Tracts'!$C$2:$Z$399,AY$1,FALSE)*AA217</f>
        <v>0</v>
      </c>
    </row>
    <row r="218" spans="1:51" x14ac:dyDescent="0.25">
      <c r="A218" t="s">
        <v>2917</v>
      </c>
      <c r="B218" t="s">
        <v>2918</v>
      </c>
      <c r="C218" t="s">
        <v>3086</v>
      </c>
      <c r="D218" t="s">
        <v>2548</v>
      </c>
      <c r="E218" t="s">
        <v>2549</v>
      </c>
      <c r="F218" t="s">
        <v>2550</v>
      </c>
      <c r="G218" t="s">
        <v>2920</v>
      </c>
      <c r="H218" t="s">
        <v>2921</v>
      </c>
      <c r="I218">
        <v>382616</v>
      </c>
      <c r="J218">
        <v>0</v>
      </c>
      <c r="K218" t="s">
        <v>3087</v>
      </c>
      <c r="L218" t="s">
        <v>3088</v>
      </c>
      <c r="M218">
        <v>382616</v>
      </c>
      <c r="N218">
        <v>63</v>
      </c>
      <c r="O218">
        <v>13225.233</v>
      </c>
      <c r="P218" t="s">
        <v>156</v>
      </c>
      <c r="Q218">
        <v>13</v>
      </c>
      <c r="R218">
        <v>11</v>
      </c>
      <c r="S218">
        <v>33</v>
      </c>
      <c r="T218">
        <v>9517568</v>
      </c>
      <c r="U218">
        <v>65</v>
      </c>
      <c r="V218">
        <v>160</v>
      </c>
      <c r="W218">
        <v>13225.23351595422</v>
      </c>
      <c r="X218">
        <v>9517568.4736377206</v>
      </c>
      <c r="Y218">
        <v>210167.04699999999</v>
      </c>
      <c r="Z218">
        <f>VLOOKUP($AC218,'2017 Seattle Tracts'!$C$2:$Z$399,24,FALSE)</f>
        <v>382616.32699999999</v>
      </c>
      <c r="AA218">
        <f t="shared" si="7"/>
        <v>0.54928928059047522</v>
      </c>
      <c r="AB218" t="s">
        <v>160</v>
      </c>
      <c r="AC218" t="str">
        <f t="shared" si="6"/>
        <v>Census Tract 84, King County, Washington</v>
      </c>
      <c r="AD218">
        <f>VLOOKUP($AC218,'2017 Seattle Tracts'!$C$2:$Z$399,AD$1,FALSE)*AA218</f>
        <v>2488.2804410748527</v>
      </c>
      <c r="AE218">
        <f>VLOOKUP($AC218,'2017 Seattle Tracts'!$C$2:$Z$399,AE$1,FALSE)*AA218</f>
        <v>2008.2016098387774</v>
      </c>
      <c r="AF218">
        <f>VLOOKUP($AC218,'2017 Seattle Tracts'!$C$2:$Z$399,AF$1,FALSE)*AA218</f>
        <v>480.07883123607536</v>
      </c>
      <c r="AG218">
        <f>VLOOKUP($AC218,'2017 Seattle Tracts'!$C$2:$Z$399,AG$1,FALSE)*AA218</f>
        <v>2488.2804410748527</v>
      </c>
      <c r="AH218">
        <f>VLOOKUP($AC218,'2017 Seattle Tracts'!$C$2:$Z$399,AH$1,FALSE)*AA218</f>
        <v>2008.2016098387774</v>
      </c>
      <c r="AI218">
        <f>VLOOKUP($AC218,'2017 Seattle Tracts'!$C$2:$Z$399,AI$1,FALSE)*AA218</f>
        <v>480.07883123607536</v>
      </c>
      <c r="AJ218">
        <f>VLOOKUP($AC218,'2017 Seattle Tracts'!$C$2:$Z$399,AJ$1,FALSE)*AA218</f>
        <v>1548.4464819845496</v>
      </c>
      <c r="AK218">
        <f>VLOOKUP($AC218,'2017 Seattle Tracts'!$C$2:$Z$399,AK$1,FALSE)*AA218</f>
        <v>153.25170928474259</v>
      </c>
      <c r="AL218">
        <f>VLOOKUP($AC218,'2017 Seattle Tracts'!$C$2:$Z$399,AL$1,FALSE)*AA218</f>
        <v>15.929389137123781</v>
      </c>
      <c r="AM218">
        <f>VLOOKUP($AC218,'2017 Seattle Tracts'!$C$2:$Z$399,AM$1,FALSE)*AA218</f>
        <v>15.380099856533306</v>
      </c>
      <c r="AN218">
        <f>VLOOKUP($AC218,'2017 Seattle Tracts'!$C$2:$Z$399,AN$1,FALSE)*AA218</f>
        <v>70.858317196171299</v>
      </c>
      <c r="AO218">
        <f>VLOOKUP($AC218,'2017 Seattle Tracts'!$C$2:$Z$399,AO$1,FALSE)*AA218</f>
        <v>54.37963877845705</v>
      </c>
      <c r="AP218">
        <f>VLOOKUP($AC218,'2017 Seattle Tracts'!$C$2:$Z$399,AP$1,FALSE)*AA218</f>
        <v>3.2957356835428513</v>
      </c>
      <c r="AQ218">
        <f>VLOOKUP($AC218,'2017 Seattle Tracts'!$C$2:$Z$399,AQ$1,FALSE)*AA218</f>
        <v>0</v>
      </c>
      <c r="AR218">
        <f>VLOOKUP($AC218,'2017 Seattle Tracts'!$C$2:$Z$399,AR$1,FALSE)*AA218</f>
        <v>257.06738331634239</v>
      </c>
      <c r="AS218">
        <f>VLOOKUP($AC218,'2017 Seattle Tracts'!$C$2:$Z$399,AS$1,FALSE)*AA218</f>
        <v>216.41997655264723</v>
      </c>
      <c r="AT218">
        <f>VLOOKUP($AC218,'2017 Seattle Tracts'!$C$2:$Z$399,AT$1,FALSE)*AA218</f>
        <v>25.26730690716186</v>
      </c>
      <c r="AU218">
        <f>VLOOKUP($AC218,'2017 Seattle Tracts'!$C$2:$Z$399,AU$1,FALSE)*AA218</f>
        <v>0</v>
      </c>
      <c r="AV218">
        <f>VLOOKUP($AC218,'2017 Seattle Tracts'!$C$2:$Z$399,AV$1,FALSE)*AA218</f>
        <v>37.351671080152315</v>
      </c>
      <c r="AW218">
        <f>VLOOKUP($AC218,'2017 Seattle Tracts'!$C$2:$Z$399,AW$1,FALSE)*AA218</f>
        <v>8.7886284894476034</v>
      </c>
      <c r="AX218">
        <f>VLOOKUP($AC218,'2017 Seattle Tracts'!$C$2:$Z$399,AX$1,FALSE)*AA218</f>
        <v>49.985324533733248</v>
      </c>
      <c r="AY218">
        <f>VLOOKUP($AC218,'2017 Seattle Tracts'!$C$2:$Z$399,AY$1,FALSE)*AA218</f>
        <v>31.858778274247562</v>
      </c>
    </row>
    <row r="219" spans="1:51" x14ac:dyDescent="0.25">
      <c r="A219" t="s">
        <v>2917</v>
      </c>
      <c r="B219" t="s">
        <v>2918</v>
      </c>
      <c r="C219" t="s">
        <v>3086</v>
      </c>
      <c r="D219" t="s">
        <v>2548</v>
      </c>
      <c r="E219" t="s">
        <v>2549</v>
      </c>
      <c r="F219" t="s">
        <v>2550</v>
      </c>
      <c r="G219" t="s">
        <v>2920</v>
      </c>
      <c r="H219" t="s">
        <v>2921</v>
      </c>
      <c r="I219">
        <v>382616</v>
      </c>
      <c r="J219">
        <v>0</v>
      </c>
      <c r="K219" t="s">
        <v>3087</v>
      </c>
      <c r="L219" t="s">
        <v>3088</v>
      </c>
      <c r="M219">
        <v>382616</v>
      </c>
      <c r="N219">
        <v>100</v>
      </c>
      <c r="O219">
        <v>26851.947</v>
      </c>
      <c r="P219" t="s">
        <v>201</v>
      </c>
      <c r="Q219">
        <v>11</v>
      </c>
      <c r="R219">
        <v>3</v>
      </c>
      <c r="S219">
        <v>0</v>
      </c>
      <c r="T219">
        <v>30239240</v>
      </c>
      <c r="U219">
        <v>102</v>
      </c>
      <c r="V219">
        <v>151</v>
      </c>
      <c r="W219">
        <v>26851.9474418256</v>
      </c>
      <c r="X219">
        <v>30239240.52129779</v>
      </c>
      <c r="Y219">
        <v>172449.27600000001</v>
      </c>
      <c r="Z219">
        <f>VLOOKUP($AC219,'2017 Seattle Tracts'!$C$2:$Z$399,24,FALSE)</f>
        <v>382616.32699999999</v>
      </c>
      <c r="AA219">
        <f t="shared" si="7"/>
        <v>0.45071070895518794</v>
      </c>
      <c r="AB219" t="s">
        <v>204</v>
      </c>
      <c r="AC219" t="str">
        <f t="shared" si="6"/>
        <v>Census Tract 84, King County, Washington</v>
      </c>
      <c r="AD219">
        <f>VLOOKUP($AC219,'2017 Seattle Tracts'!$C$2:$Z$399,AD$1,FALSE)*AA219</f>
        <v>2041.7195115670013</v>
      </c>
      <c r="AE219">
        <f>VLOOKUP($AC219,'2017 Seattle Tracts'!$C$2:$Z$399,AE$1,FALSE)*AA219</f>
        <v>1647.7983519401671</v>
      </c>
      <c r="AF219">
        <f>VLOOKUP($AC219,'2017 Seattle Tracts'!$C$2:$Z$399,AF$1,FALSE)*AA219</f>
        <v>393.92115962683425</v>
      </c>
      <c r="AG219">
        <f>VLOOKUP($AC219,'2017 Seattle Tracts'!$C$2:$Z$399,AG$1,FALSE)*AA219</f>
        <v>2041.7195115670013</v>
      </c>
      <c r="AH219">
        <f>VLOOKUP($AC219,'2017 Seattle Tracts'!$C$2:$Z$399,AH$1,FALSE)*AA219</f>
        <v>1647.7983519401671</v>
      </c>
      <c r="AI219">
        <f>VLOOKUP($AC219,'2017 Seattle Tracts'!$C$2:$Z$399,AI$1,FALSE)*AA219</f>
        <v>393.92115962683425</v>
      </c>
      <c r="AJ219">
        <f>VLOOKUP($AC219,'2017 Seattle Tracts'!$C$2:$Z$399,AJ$1,FALSE)*AA219</f>
        <v>1270.5534885446748</v>
      </c>
      <c r="AK219">
        <f>VLOOKUP($AC219,'2017 Seattle Tracts'!$C$2:$Z$399,AK$1,FALSE)*AA219</f>
        <v>125.74828779849743</v>
      </c>
      <c r="AL219">
        <f>VLOOKUP($AC219,'2017 Seattle Tracts'!$C$2:$Z$399,AL$1,FALSE)*AA219</f>
        <v>13.07061055970045</v>
      </c>
      <c r="AM219">
        <f>VLOOKUP($AC219,'2017 Seattle Tracts'!$C$2:$Z$399,AM$1,FALSE)*AA219</f>
        <v>12.619899850745263</v>
      </c>
      <c r="AN219">
        <f>VLOOKUP($AC219,'2017 Seattle Tracts'!$C$2:$Z$399,AN$1,FALSE)*AA219</f>
        <v>58.141681455219242</v>
      </c>
      <c r="AO219">
        <f>VLOOKUP($AC219,'2017 Seattle Tracts'!$C$2:$Z$399,AO$1,FALSE)*AA219</f>
        <v>44.620360186563609</v>
      </c>
      <c r="AP219">
        <f>VLOOKUP($AC219,'2017 Seattle Tracts'!$C$2:$Z$399,AP$1,FALSE)*AA219</f>
        <v>2.7042642537311279</v>
      </c>
      <c r="AQ219">
        <f>VLOOKUP($AC219,'2017 Seattle Tracts'!$C$2:$Z$399,AQ$1,FALSE)*AA219</f>
        <v>0</v>
      </c>
      <c r="AR219">
        <f>VLOOKUP($AC219,'2017 Seattle Tracts'!$C$2:$Z$399,AR$1,FALSE)*AA219</f>
        <v>210.93261179102797</v>
      </c>
      <c r="AS219">
        <f>VLOOKUP($AC219,'2017 Seattle Tracts'!$C$2:$Z$399,AS$1,FALSE)*AA219</f>
        <v>177.58001932834404</v>
      </c>
      <c r="AT219">
        <f>VLOOKUP($AC219,'2017 Seattle Tracts'!$C$2:$Z$399,AT$1,FALSE)*AA219</f>
        <v>20.732692611938646</v>
      </c>
      <c r="AU219">
        <f>VLOOKUP($AC219,'2017 Seattle Tracts'!$C$2:$Z$399,AU$1,FALSE)*AA219</f>
        <v>0</v>
      </c>
      <c r="AV219">
        <f>VLOOKUP($AC219,'2017 Seattle Tracts'!$C$2:$Z$399,AV$1,FALSE)*AA219</f>
        <v>30.64832820895278</v>
      </c>
      <c r="AW219">
        <f>VLOOKUP($AC219,'2017 Seattle Tracts'!$C$2:$Z$399,AW$1,FALSE)*AA219</f>
        <v>7.2113713432830071</v>
      </c>
      <c r="AX219">
        <f>VLOOKUP($AC219,'2017 Seattle Tracts'!$C$2:$Z$399,AX$1,FALSE)*AA219</f>
        <v>41.014674514922106</v>
      </c>
      <c r="AY219">
        <f>VLOOKUP($AC219,'2017 Seattle Tracts'!$C$2:$Z$399,AY$1,FALSE)*AA219</f>
        <v>26.1412211194009</v>
      </c>
    </row>
    <row r="220" spans="1:51" x14ac:dyDescent="0.25">
      <c r="A220" t="s">
        <v>2917</v>
      </c>
      <c r="B220" t="s">
        <v>2918</v>
      </c>
      <c r="C220" t="s">
        <v>3089</v>
      </c>
      <c r="D220" t="s">
        <v>2545</v>
      </c>
      <c r="E220" t="s">
        <v>2546</v>
      </c>
      <c r="F220" t="s">
        <v>2547</v>
      </c>
      <c r="G220" t="s">
        <v>2920</v>
      </c>
      <c r="H220" t="s">
        <v>2921</v>
      </c>
      <c r="I220">
        <v>474314</v>
      </c>
      <c r="J220">
        <v>0</v>
      </c>
      <c r="K220" t="s">
        <v>3090</v>
      </c>
      <c r="L220" t="s">
        <v>3091</v>
      </c>
      <c r="M220">
        <v>474320</v>
      </c>
      <c r="N220">
        <v>61</v>
      </c>
      <c r="O220">
        <v>11772.387000000001</v>
      </c>
      <c r="P220" t="s">
        <v>156</v>
      </c>
      <c r="Q220">
        <v>13</v>
      </c>
      <c r="R220">
        <v>11</v>
      </c>
      <c r="S220">
        <v>94</v>
      </c>
      <c r="T220">
        <v>6169376</v>
      </c>
      <c r="U220">
        <v>63</v>
      </c>
      <c r="V220">
        <v>164</v>
      </c>
      <c r="W220">
        <v>11772.387141002069</v>
      </c>
      <c r="X220">
        <v>6169375.8166330215</v>
      </c>
      <c r="Y220">
        <v>28.167999999999999</v>
      </c>
      <c r="Z220">
        <f>VLOOKUP($AC220,'2017 Seattle Tracts'!$C$2:$Z$399,24,FALSE)</f>
        <v>474319.859</v>
      </c>
      <c r="AA220">
        <f t="shared" si="7"/>
        <v>5.9386086130540868E-5</v>
      </c>
      <c r="AB220" t="s">
        <v>158</v>
      </c>
      <c r="AC220" t="str">
        <f t="shared" si="6"/>
        <v>Census Tract 85, King County, Washington</v>
      </c>
      <c r="AD220">
        <f>VLOOKUP($AC220,'2017 Seattle Tracts'!$C$2:$Z$399,AD$1,FALSE)*AA220</f>
        <v>0.25512262601680358</v>
      </c>
      <c r="AE220">
        <f>VLOOKUP($AC220,'2017 Seattle Tracts'!$C$2:$Z$399,AE$1,FALSE)*AA220</f>
        <v>0.19466759033591297</v>
      </c>
      <c r="AF220">
        <f>VLOOKUP($AC220,'2017 Seattle Tracts'!$C$2:$Z$399,AF$1,FALSE)*AA220</f>
        <v>6.0455035680890605E-2</v>
      </c>
      <c r="AG220">
        <f>VLOOKUP($AC220,'2017 Seattle Tracts'!$C$2:$Z$399,AG$1,FALSE)*AA220</f>
        <v>0.25512262601680358</v>
      </c>
      <c r="AH220">
        <f>VLOOKUP($AC220,'2017 Seattle Tracts'!$C$2:$Z$399,AH$1,FALSE)*AA220</f>
        <v>0.19466759033591297</v>
      </c>
      <c r="AI220">
        <f>VLOOKUP($AC220,'2017 Seattle Tracts'!$C$2:$Z$399,AI$1,FALSE)*AA220</f>
        <v>6.0455035680890605E-2</v>
      </c>
      <c r="AJ220">
        <f>VLOOKUP($AC220,'2017 Seattle Tracts'!$C$2:$Z$399,AJ$1,FALSE)*AA220</f>
        <v>0.11966296355303985</v>
      </c>
      <c r="AK220">
        <f>VLOOKUP($AC220,'2017 Seattle Tracts'!$C$2:$Z$399,AK$1,FALSE)*AA220</f>
        <v>1.0630109417366815E-2</v>
      </c>
      <c r="AL220">
        <f>VLOOKUP($AC220,'2017 Seattle Tracts'!$C$2:$Z$399,AL$1,FALSE)*AA220</f>
        <v>5.9386086130540864E-3</v>
      </c>
      <c r="AM220">
        <f>VLOOKUP($AC220,'2017 Seattle Tracts'!$C$2:$Z$399,AM$1,FALSE)*AA220</f>
        <v>3.563165167832452E-3</v>
      </c>
      <c r="AN220">
        <f>VLOOKUP($AC220,'2017 Seattle Tracts'!$C$2:$Z$399,AN$1,FALSE)*AA220</f>
        <v>3.0940150874011793E-2</v>
      </c>
      <c r="AO220">
        <f>VLOOKUP($AC220,'2017 Seattle Tracts'!$C$2:$Z$399,AO$1,FALSE)*AA220</f>
        <v>9.7987042115392428E-3</v>
      </c>
      <c r="AP220">
        <f>VLOOKUP($AC220,'2017 Seattle Tracts'!$C$2:$Z$399,AP$1,FALSE)*AA220</f>
        <v>1.9597408423078486E-3</v>
      </c>
      <c r="AQ220">
        <f>VLOOKUP($AC220,'2017 Seattle Tracts'!$C$2:$Z$399,AQ$1,FALSE)*AA220</f>
        <v>0</v>
      </c>
      <c r="AR220">
        <f>VLOOKUP($AC220,'2017 Seattle Tracts'!$C$2:$Z$399,AR$1,FALSE)*AA220</f>
        <v>8.729754661189507E-3</v>
      </c>
      <c r="AS220">
        <f>VLOOKUP($AC220,'2017 Seattle Tracts'!$C$2:$Z$399,AS$1,FALSE)*AA220</f>
        <v>3.4384543869583159E-2</v>
      </c>
      <c r="AT220">
        <f>VLOOKUP($AC220,'2017 Seattle Tracts'!$C$2:$Z$399,AT$1,FALSE)*AA220</f>
        <v>6.5324694743594959E-4</v>
      </c>
      <c r="AU220">
        <f>VLOOKUP($AC220,'2017 Seattle Tracts'!$C$2:$Z$399,AU$1,FALSE)*AA220</f>
        <v>8.3140520582757212E-4</v>
      </c>
      <c r="AV220">
        <f>VLOOKUP($AC220,'2017 Seattle Tracts'!$C$2:$Z$399,AV$1,FALSE)*AA220</f>
        <v>6.8887859911427405E-3</v>
      </c>
      <c r="AW220">
        <f>VLOOKUP($AC220,'2017 Seattle Tracts'!$C$2:$Z$399,AW$1,FALSE)*AA220</f>
        <v>1.2471078087413583E-3</v>
      </c>
      <c r="AX220">
        <f>VLOOKUP($AC220,'2017 Seattle Tracts'!$C$2:$Z$399,AX$1,FALSE)*AA220</f>
        <v>1.9894338853731191E-2</v>
      </c>
      <c r="AY220">
        <f>VLOOKUP($AC220,'2017 Seattle Tracts'!$C$2:$Z$399,AY$1,FALSE)*AA220</f>
        <v>0</v>
      </c>
    </row>
    <row r="221" spans="1:51" x14ac:dyDescent="0.25">
      <c r="A221" t="s">
        <v>2917</v>
      </c>
      <c r="B221" t="s">
        <v>2918</v>
      </c>
      <c r="C221" t="s">
        <v>3089</v>
      </c>
      <c r="D221" t="s">
        <v>2545</v>
      </c>
      <c r="E221" t="s">
        <v>2546</v>
      </c>
      <c r="F221" t="s">
        <v>2547</v>
      </c>
      <c r="G221" t="s">
        <v>2920</v>
      </c>
      <c r="H221" t="s">
        <v>2921</v>
      </c>
      <c r="I221">
        <v>474314</v>
      </c>
      <c r="J221">
        <v>0</v>
      </c>
      <c r="K221" t="s">
        <v>3090</v>
      </c>
      <c r="L221" t="s">
        <v>3091</v>
      </c>
      <c r="M221">
        <v>474320</v>
      </c>
      <c r="N221">
        <v>62</v>
      </c>
      <c r="O221">
        <v>18209.463</v>
      </c>
      <c r="P221" t="s">
        <v>156</v>
      </c>
      <c r="Q221">
        <v>13</v>
      </c>
      <c r="R221">
        <v>11</v>
      </c>
      <c r="S221">
        <v>95</v>
      </c>
      <c r="T221">
        <v>9477399</v>
      </c>
      <c r="U221">
        <v>64</v>
      </c>
      <c r="V221">
        <v>159</v>
      </c>
      <c r="W221">
        <v>18209.462862458811</v>
      </c>
      <c r="X221">
        <v>9477398.6185622383</v>
      </c>
      <c r="Y221">
        <v>36782.574999999997</v>
      </c>
      <c r="Z221">
        <f>VLOOKUP($AC221,'2017 Seattle Tracts'!$C$2:$Z$399,24,FALSE)</f>
        <v>474319.859</v>
      </c>
      <c r="AA221">
        <f t="shared" si="7"/>
        <v>7.7548039159794066E-2</v>
      </c>
      <c r="AB221" t="s">
        <v>159</v>
      </c>
      <c r="AC221" t="str">
        <f t="shared" si="6"/>
        <v>Census Tract 85, King County, Washington</v>
      </c>
      <c r="AD221">
        <f>VLOOKUP($AC221,'2017 Seattle Tracts'!$C$2:$Z$399,AD$1,FALSE)*AA221</f>
        <v>333.14637623047531</v>
      </c>
      <c r="AE221">
        <f>VLOOKUP($AC221,'2017 Seattle Tracts'!$C$2:$Z$399,AE$1,FALSE)*AA221</f>
        <v>254.20247236580494</v>
      </c>
      <c r="AF221">
        <f>VLOOKUP($AC221,'2017 Seattle Tracts'!$C$2:$Z$399,AF$1,FALSE)*AA221</f>
        <v>78.943903864670361</v>
      </c>
      <c r="AG221">
        <f>VLOOKUP($AC221,'2017 Seattle Tracts'!$C$2:$Z$399,AG$1,FALSE)*AA221</f>
        <v>333.14637623047531</v>
      </c>
      <c r="AH221">
        <f>VLOOKUP($AC221,'2017 Seattle Tracts'!$C$2:$Z$399,AH$1,FALSE)*AA221</f>
        <v>254.20247236580494</v>
      </c>
      <c r="AI221">
        <f>VLOOKUP($AC221,'2017 Seattle Tracts'!$C$2:$Z$399,AI$1,FALSE)*AA221</f>
        <v>78.943903864670361</v>
      </c>
      <c r="AJ221">
        <f>VLOOKUP($AC221,'2017 Seattle Tracts'!$C$2:$Z$399,AJ$1,FALSE)*AA221</f>
        <v>156.25929890698504</v>
      </c>
      <c r="AK221">
        <f>VLOOKUP($AC221,'2017 Seattle Tracts'!$C$2:$Z$399,AK$1,FALSE)*AA221</f>
        <v>13.881099009603139</v>
      </c>
      <c r="AL221">
        <f>VLOOKUP($AC221,'2017 Seattle Tracts'!$C$2:$Z$399,AL$1,FALSE)*AA221</f>
        <v>7.7548039159794069</v>
      </c>
      <c r="AM221">
        <f>VLOOKUP($AC221,'2017 Seattle Tracts'!$C$2:$Z$399,AM$1,FALSE)*AA221</f>
        <v>4.6528823495876441</v>
      </c>
      <c r="AN221">
        <f>VLOOKUP($AC221,'2017 Seattle Tracts'!$C$2:$Z$399,AN$1,FALSE)*AA221</f>
        <v>40.402528402252706</v>
      </c>
      <c r="AO221">
        <f>VLOOKUP($AC221,'2017 Seattle Tracts'!$C$2:$Z$399,AO$1,FALSE)*AA221</f>
        <v>12.79542646136602</v>
      </c>
      <c r="AP221">
        <f>VLOOKUP($AC221,'2017 Seattle Tracts'!$C$2:$Z$399,AP$1,FALSE)*AA221</f>
        <v>2.5590852922732044</v>
      </c>
      <c r="AQ221">
        <f>VLOOKUP($AC221,'2017 Seattle Tracts'!$C$2:$Z$399,AQ$1,FALSE)*AA221</f>
        <v>0</v>
      </c>
      <c r="AR221">
        <f>VLOOKUP($AC221,'2017 Seattle Tracts'!$C$2:$Z$399,AR$1,FALSE)*AA221</f>
        <v>11.399561756489728</v>
      </c>
      <c r="AS221">
        <f>VLOOKUP($AC221,'2017 Seattle Tracts'!$C$2:$Z$399,AS$1,FALSE)*AA221</f>
        <v>44.900314673520761</v>
      </c>
      <c r="AT221">
        <f>VLOOKUP($AC221,'2017 Seattle Tracts'!$C$2:$Z$399,AT$1,FALSE)*AA221</f>
        <v>0.85302843075773471</v>
      </c>
      <c r="AU221">
        <f>VLOOKUP($AC221,'2017 Seattle Tracts'!$C$2:$Z$399,AU$1,FALSE)*AA221</f>
        <v>1.085672548237117</v>
      </c>
      <c r="AV221">
        <f>VLOOKUP($AC221,'2017 Seattle Tracts'!$C$2:$Z$399,AV$1,FALSE)*AA221</f>
        <v>8.9955725425361113</v>
      </c>
      <c r="AW221">
        <f>VLOOKUP($AC221,'2017 Seattle Tracts'!$C$2:$Z$399,AW$1,FALSE)*AA221</f>
        <v>1.6285088223556754</v>
      </c>
      <c r="AX221">
        <f>VLOOKUP($AC221,'2017 Seattle Tracts'!$C$2:$Z$399,AX$1,FALSE)*AA221</f>
        <v>25.978593118531013</v>
      </c>
      <c r="AY221">
        <f>VLOOKUP($AC221,'2017 Seattle Tracts'!$C$2:$Z$399,AY$1,FALSE)*AA221</f>
        <v>0</v>
      </c>
    </row>
    <row r="222" spans="1:51" x14ac:dyDescent="0.25">
      <c r="A222" t="s">
        <v>2917</v>
      </c>
      <c r="B222" t="s">
        <v>2918</v>
      </c>
      <c r="C222" t="s">
        <v>3089</v>
      </c>
      <c r="D222" t="s">
        <v>2545</v>
      </c>
      <c r="E222" t="s">
        <v>2546</v>
      </c>
      <c r="F222" t="s">
        <v>2547</v>
      </c>
      <c r="G222" t="s">
        <v>2920</v>
      </c>
      <c r="H222" t="s">
        <v>2921</v>
      </c>
      <c r="I222">
        <v>474314</v>
      </c>
      <c r="J222">
        <v>0</v>
      </c>
      <c r="K222" t="s">
        <v>3090</v>
      </c>
      <c r="L222" t="s">
        <v>3091</v>
      </c>
      <c r="M222">
        <v>474320</v>
      </c>
      <c r="N222">
        <v>63</v>
      </c>
      <c r="O222">
        <v>13225.233</v>
      </c>
      <c r="P222" t="s">
        <v>156</v>
      </c>
      <c r="Q222">
        <v>13</v>
      </c>
      <c r="R222">
        <v>11</v>
      </c>
      <c r="S222">
        <v>33</v>
      </c>
      <c r="T222">
        <v>9517568</v>
      </c>
      <c r="U222">
        <v>65</v>
      </c>
      <c r="V222">
        <v>160</v>
      </c>
      <c r="W222">
        <v>13225.23351595422</v>
      </c>
      <c r="X222">
        <v>9517568.4736377206</v>
      </c>
      <c r="Y222">
        <v>172597.05499999999</v>
      </c>
      <c r="Z222">
        <f>VLOOKUP($AC222,'2017 Seattle Tracts'!$C$2:$Z$399,24,FALSE)</f>
        <v>474319.859</v>
      </c>
      <c r="AA222">
        <f t="shared" si="7"/>
        <v>0.3638832566780637</v>
      </c>
      <c r="AB222" t="s">
        <v>160</v>
      </c>
      <c r="AC222" t="str">
        <f t="shared" si="6"/>
        <v>Census Tract 85, King County, Washington</v>
      </c>
      <c r="AD222">
        <f>VLOOKUP($AC222,'2017 Seattle Tracts'!$C$2:$Z$399,AD$1,FALSE)*AA222</f>
        <v>1563.2424706889617</v>
      </c>
      <c r="AE222">
        <f>VLOOKUP($AC222,'2017 Seattle Tracts'!$C$2:$Z$399,AE$1,FALSE)*AA222</f>
        <v>1192.8093153906927</v>
      </c>
      <c r="AF222">
        <f>VLOOKUP($AC222,'2017 Seattle Tracts'!$C$2:$Z$399,AF$1,FALSE)*AA222</f>
        <v>370.43315529826884</v>
      </c>
      <c r="AG222">
        <f>VLOOKUP($AC222,'2017 Seattle Tracts'!$C$2:$Z$399,AG$1,FALSE)*AA222</f>
        <v>1563.2424706889617</v>
      </c>
      <c r="AH222">
        <f>VLOOKUP($AC222,'2017 Seattle Tracts'!$C$2:$Z$399,AH$1,FALSE)*AA222</f>
        <v>1192.8093153906927</v>
      </c>
      <c r="AI222">
        <f>VLOOKUP($AC222,'2017 Seattle Tracts'!$C$2:$Z$399,AI$1,FALSE)*AA222</f>
        <v>370.43315529826884</v>
      </c>
      <c r="AJ222">
        <f>VLOOKUP($AC222,'2017 Seattle Tracts'!$C$2:$Z$399,AJ$1,FALSE)*AA222</f>
        <v>733.22476220629835</v>
      </c>
      <c r="AK222">
        <f>VLOOKUP($AC222,'2017 Seattle Tracts'!$C$2:$Z$399,AK$1,FALSE)*AA222</f>
        <v>65.135102945373404</v>
      </c>
      <c r="AL222">
        <f>VLOOKUP($AC222,'2017 Seattle Tracts'!$C$2:$Z$399,AL$1,FALSE)*AA222</f>
        <v>36.38832566780637</v>
      </c>
      <c r="AM222">
        <f>VLOOKUP($AC222,'2017 Seattle Tracts'!$C$2:$Z$399,AM$1,FALSE)*AA222</f>
        <v>21.832995400683821</v>
      </c>
      <c r="AN222">
        <f>VLOOKUP($AC222,'2017 Seattle Tracts'!$C$2:$Z$399,AN$1,FALSE)*AA222</f>
        <v>189.5831767292712</v>
      </c>
      <c r="AO222">
        <f>VLOOKUP($AC222,'2017 Seattle Tracts'!$C$2:$Z$399,AO$1,FALSE)*AA222</f>
        <v>60.040737351880509</v>
      </c>
      <c r="AP222">
        <f>VLOOKUP($AC222,'2017 Seattle Tracts'!$C$2:$Z$399,AP$1,FALSE)*AA222</f>
        <v>12.008147470376102</v>
      </c>
      <c r="AQ222">
        <f>VLOOKUP($AC222,'2017 Seattle Tracts'!$C$2:$Z$399,AQ$1,FALSE)*AA222</f>
        <v>0</v>
      </c>
      <c r="AR222">
        <f>VLOOKUP($AC222,'2017 Seattle Tracts'!$C$2:$Z$399,AR$1,FALSE)*AA222</f>
        <v>53.490838731675368</v>
      </c>
      <c r="AS222">
        <f>VLOOKUP($AC222,'2017 Seattle Tracts'!$C$2:$Z$399,AS$1,FALSE)*AA222</f>
        <v>210.68840561659889</v>
      </c>
      <c r="AT222">
        <f>VLOOKUP($AC222,'2017 Seattle Tracts'!$C$2:$Z$399,AT$1,FALSE)*AA222</f>
        <v>4.0027158234587006</v>
      </c>
      <c r="AU222">
        <f>VLOOKUP($AC222,'2017 Seattle Tracts'!$C$2:$Z$399,AU$1,FALSE)*AA222</f>
        <v>5.094365593492892</v>
      </c>
      <c r="AV222">
        <f>VLOOKUP($AC222,'2017 Seattle Tracts'!$C$2:$Z$399,AV$1,FALSE)*AA222</f>
        <v>42.210457774655389</v>
      </c>
      <c r="AW222">
        <f>VLOOKUP($AC222,'2017 Seattle Tracts'!$C$2:$Z$399,AW$1,FALSE)*AA222</f>
        <v>7.641548390239338</v>
      </c>
      <c r="AX222">
        <f>VLOOKUP($AC222,'2017 Seattle Tracts'!$C$2:$Z$399,AX$1,FALSE)*AA222</f>
        <v>121.90089098715134</v>
      </c>
      <c r="AY222">
        <f>VLOOKUP($AC222,'2017 Seattle Tracts'!$C$2:$Z$399,AY$1,FALSE)*AA222</f>
        <v>0</v>
      </c>
    </row>
    <row r="223" spans="1:51" x14ac:dyDescent="0.25">
      <c r="A223" t="s">
        <v>2917</v>
      </c>
      <c r="B223" t="s">
        <v>2918</v>
      </c>
      <c r="C223" t="s">
        <v>3089</v>
      </c>
      <c r="D223" t="s">
        <v>2545</v>
      </c>
      <c r="E223" t="s">
        <v>2546</v>
      </c>
      <c r="F223" t="s">
        <v>2547</v>
      </c>
      <c r="G223" t="s">
        <v>2920</v>
      </c>
      <c r="H223" t="s">
        <v>2921</v>
      </c>
      <c r="I223">
        <v>474314</v>
      </c>
      <c r="J223">
        <v>0</v>
      </c>
      <c r="K223" t="s">
        <v>3090</v>
      </c>
      <c r="L223" t="s">
        <v>3091</v>
      </c>
      <c r="M223">
        <v>474320</v>
      </c>
      <c r="N223">
        <v>64</v>
      </c>
      <c r="O223">
        <v>9611.3540000000012</v>
      </c>
      <c r="P223" t="s">
        <v>156</v>
      </c>
      <c r="Q223">
        <v>13</v>
      </c>
      <c r="R223">
        <v>11</v>
      </c>
      <c r="S223">
        <v>81</v>
      </c>
      <c r="T223">
        <v>5348937.5</v>
      </c>
      <c r="U223">
        <v>66</v>
      </c>
      <c r="V223">
        <v>162</v>
      </c>
      <c r="W223">
        <v>9611.3535464166052</v>
      </c>
      <c r="X223">
        <v>5348937.2476122174</v>
      </c>
      <c r="Y223">
        <v>202992.57800000001</v>
      </c>
      <c r="Z223">
        <f>VLOOKUP($AC223,'2017 Seattle Tracts'!$C$2:$Z$399,24,FALSE)</f>
        <v>474319.859</v>
      </c>
      <c r="AA223">
        <f t="shared" si="7"/>
        <v>0.42796558935559981</v>
      </c>
      <c r="AB223" t="s">
        <v>161</v>
      </c>
      <c r="AC223" t="str">
        <f t="shared" si="6"/>
        <v>Census Tract 85, King County, Washington</v>
      </c>
      <c r="AD223">
        <f>VLOOKUP($AC223,'2017 Seattle Tracts'!$C$2:$Z$399,AD$1,FALSE)*AA223</f>
        <v>1838.5401718716569</v>
      </c>
      <c r="AE223">
        <f>VLOOKUP($AC223,'2017 Seattle Tracts'!$C$2:$Z$399,AE$1,FALSE)*AA223</f>
        <v>1402.8712019076561</v>
      </c>
      <c r="AF223">
        <f>VLOOKUP($AC223,'2017 Seattle Tracts'!$C$2:$Z$399,AF$1,FALSE)*AA223</f>
        <v>435.66896996400061</v>
      </c>
      <c r="AG223">
        <f>VLOOKUP($AC223,'2017 Seattle Tracts'!$C$2:$Z$399,AG$1,FALSE)*AA223</f>
        <v>1838.5401718716569</v>
      </c>
      <c r="AH223">
        <f>VLOOKUP($AC223,'2017 Seattle Tracts'!$C$2:$Z$399,AH$1,FALSE)*AA223</f>
        <v>1402.8712019076561</v>
      </c>
      <c r="AI223">
        <f>VLOOKUP($AC223,'2017 Seattle Tracts'!$C$2:$Z$399,AI$1,FALSE)*AA223</f>
        <v>435.66896996400061</v>
      </c>
      <c r="AJ223">
        <f>VLOOKUP($AC223,'2017 Seattle Tracts'!$C$2:$Z$399,AJ$1,FALSE)*AA223</f>
        <v>862.35066255153356</v>
      </c>
      <c r="AK223">
        <f>VLOOKUP($AC223,'2017 Seattle Tracts'!$C$2:$Z$399,AK$1,FALSE)*AA223</f>
        <v>76.605840494652369</v>
      </c>
      <c r="AL223">
        <f>VLOOKUP($AC223,'2017 Seattle Tracts'!$C$2:$Z$399,AL$1,FALSE)*AA223</f>
        <v>42.796558935559979</v>
      </c>
      <c r="AM223">
        <f>VLOOKUP($AC223,'2017 Seattle Tracts'!$C$2:$Z$399,AM$1,FALSE)*AA223</f>
        <v>25.67793536133599</v>
      </c>
      <c r="AN223">
        <f>VLOOKUP($AC223,'2017 Seattle Tracts'!$C$2:$Z$399,AN$1,FALSE)*AA223</f>
        <v>222.97007205426749</v>
      </c>
      <c r="AO223">
        <f>VLOOKUP($AC223,'2017 Seattle Tracts'!$C$2:$Z$399,AO$1,FALSE)*AA223</f>
        <v>70.614322243673968</v>
      </c>
      <c r="AP223">
        <f>VLOOKUP($AC223,'2017 Seattle Tracts'!$C$2:$Z$399,AP$1,FALSE)*AA223</f>
        <v>14.122864448734793</v>
      </c>
      <c r="AQ223">
        <f>VLOOKUP($AC223,'2017 Seattle Tracts'!$C$2:$Z$399,AQ$1,FALSE)*AA223</f>
        <v>0</v>
      </c>
      <c r="AR223">
        <f>VLOOKUP($AC223,'2017 Seattle Tracts'!$C$2:$Z$399,AR$1,FALSE)*AA223</f>
        <v>62.910941635273169</v>
      </c>
      <c r="AS223">
        <f>VLOOKUP($AC223,'2017 Seattle Tracts'!$C$2:$Z$399,AS$1,FALSE)*AA223</f>
        <v>247.79207623689229</v>
      </c>
      <c r="AT223">
        <f>VLOOKUP($AC223,'2017 Seattle Tracts'!$C$2:$Z$399,AT$1,FALSE)*AA223</f>
        <v>4.7076214829115983</v>
      </c>
      <c r="AU223">
        <f>VLOOKUP($AC223,'2017 Seattle Tracts'!$C$2:$Z$399,AU$1,FALSE)*AA223</f>
        <v>5.9915182509783973</v>
      </c>
      <c r="AV223">
        <f>VLOOKUP($AC223,'2017 Seattle Tracts'!$C$2:$Z$399,AV$1,FALSE)*AA223</f>
        <v>49.644008365249576</v>
      </c>
      <c r="AW223">
        <f>VLOOKUP($AC223,'2017 Seattle Tracts'!$C$2:$Z$399,AW$1,FALSE)*AA223</f>
        <v>8.9872773764675955</v>
      </c>
      <c r="AX223">
        <f>VLOOKUP($AC223,'2017 Seattle Tracts'!$C$2:$Z$399,AX$1,FALSE)*AA223</f>
        <v>143.36847243412595</v>
      </c>
      <c r="AY223">
        <f>VLOOKUP($AC223,'2017 Seattle Tracts'!$C$2:$Z$399,AY$1,FALSE)*AA223</f>
        <v>0</v>
      </c>
    </row>
    <row r="224" spans="1:51" x14ac:dyDescent="0.25">
      <c r="A224" t="s">
        <v>2917</v>
      </c>
      <c r="B224" t="s">
        <v>2918</v>
      </c>
      <c r="C224" t="s">
        <v>3089</v>
      </c>
      <c r="D224" t="s">
        <v>2545</v>
      </c>
      <c r="E224" t="s">
        <v>2546</v>
      </c>
      <c r="F224" t="s">
        <v>2547</v>
      </c>
      <c r="G224" t="s">
        <v>2920</v>
      </c>
      <c r="H224" t="s">
        <v>2921</v>
      </c>
      <c r="I224">
        <v>474314</v>
      </c>
      <c r="J224">
        <v>0</v>
      </c>
      <c r="K224" t="s">
        <v>3090</v>
      </c>
      <c r="L224" t="s">
        <v>3091</v>
      </c>
      <c r="M224">
        <v>474320</v>
      </c>
      <c r="N224">
        <v>65</v>
      </c>
      <c r="O224">
        <v>19289.812999999998</v>
      </c>
      <c r="P224" t="s">
        <v>156</v>
      </c>
      <c r="Q224">
        <v>13</v>
      </c>
      <c r="R224">
        <v>11</v>
      </c>
      <c r="S224">
        <v>33</v>
      </c>
      <c r="T224">
        <v>11474029</v>
      </c>
      <c r="U224">
        <v>67</v>
      </c>
      <c r="V224">
        <v>163</v>
      </c>
      <c r="W224">
        <v>19289.812175002899</v>
      </c>
      <c r="X224">
        <v>11474028.647624191</v>
      </c>
      <c r="Y224">
        <v>61919.482000000004</v>
      </c>
      <c r="Z224">
        <f>VLOOKUP($AC224,'2017 Seattle Tracts'!$C$2:$Z$399,24,FALSE)</f>
        <v>474319.859</v>
      </c>
      <c r="AA224">
        <f t="shared" si="7"/>
        <v>0.1305437266121299</v>
      </c>
      <c r="AB224" t="s">
        <v>162</v>
      </c>
      <c r="AC224" t="str">
        <f t="shared" si="6"/>
        <v>Census Tract 85, King County, Washington</v>
      </c>
      <c r="AD224">
        <f>VLOOKUP($AC224,'2017 Seattle Tracts'!$C$2:$Z$399,AD$1,FALSE)*AA224</f>
        <v>560.81584952571006</v>
      </c>
      <c r="AE224">
        <f>VLOOKUP($AC224,'2017 Seattle Tracts'!$C$2:$Z$399,AE$1,FALSE)*AA224</f>
        <v>427.92233583456181</v>
      </c>
      <c r="AF224">
        <f>VLOOKUP($AC224,'2017 Seattle Tracts'!$C$2:$Z$399,AF$1,FALSE)*AA224</f>
        <v>132.89351369114823</v>
      </c>
      <c r="AG224">
        <f>VLOOKUP($AC224,'2017 Seattle Tracts'!$C$2:$Z$399,AG$1,FALSE)*AA224</f>
        <v>560.81584952571006</v>
      </c>
      <c r="AH224">
        <f>VLOOKUP($AC224,'2017 Seattle Tracts'!$C$2:$Z$399,AH$1,FALSE)*AA224</f>
        <v>427.92233583456181</v>
      </c>
      <c r="AI224">
        <f>VLOOKUP($AC224,'2017 Seattle Tracts'!$C$2:$Z$399,AI$1,FALSE)*AA224</f>
        <v>132.89351369114823</v>
      </c>
      <c r="AJ224">
        <f>VLOOKUP($AC224,'2017 Seattle Tracts'!$C$2:$Z$399,AJ$1,FALSE)*AA224</f>
        <v>263.04560912344175</v>
      </c>
      <c r="AK224">
        <f>VLOOKUP($AC224,'2017 Seattle Tracts'!$C$2:$Z$399,AK$1,FALSE)*AA224</f>
        <v>23.367327063571253</v>
      </c>
      <c r="AL224">
        <f>VLOOKUP($AC224,'2017 Seattle Tracts'!$C$2:$Z$399,AL$1,FALSE)*AA224</f>
        <v>13.054372661212991</v>
      </c>
      <c r="AM224">
        <f>VLOOKUP($AC224,'2017 Seattle Tracts'!$C$2:$Z$399,AM$1,FALSE)*AA224</f>
        <v>7.8326235967277942</v>
      </c>
      <c r="AN224">
        <f>VLOOKUP($AC224,'2017 Seattle Tracts'!$C$2:$Z$399,AN$1,FALSE)*AA224</f>
        <v>68.01328156491968</v>
      </c>
      <c r="AO224">
        <f>VLOOKUP($AC224,'2017 Seattle Tracts'!$C$2:$Z$399,AO$1,FALSE)*AA224</f>
        <v>21.539714891001434</v>
      </c>
      <c r="AP224">
        <f>VLOOKUP($AC224,'2017 Seattle Tracts'!$C$2:$Z$399,AP$1,FALSE)*AA224</f>
        <v>4.3079429782002867</v>
      </c>
      <c r="AQ224">
        <f>VLOOKUP($AC224,'2017 Seattle Tracts'!$C$2:$Z$399,AQ$1,FALSE)*AA224</f>
        <v>0</v>
      </c>
      <c r="AR224">
        <f>VLOOKUP($AC224,'2017 Seattle Tracts'!$C$2:$Z$399,AR$1,FALSE)*AA224</f>
        <v>19.189927811983097</v>
      </c>
      <c r="AS224">
        <f>VLOOKUP($AC224,'2017 Seattle Tracts'!$C$2:$Z$399,AS$1,FALSE)*AA224</f>
        <v>75.584817708423216</v>
      </c>
      <c r="AT224">
        <f>VLOOKUP($AC224,'2017 Seattle Tracts'!$C$2:$Z$399,AT$1,FALSE)*AA224</f>
        <v>1.4359809927334288</v>
      </c>
      <c r="AU224">
        <f>VLOOKUP($AC224,'2017 Seattle Tracts'!$C$2:$Z$399,AU$1,FALSE)*AA224</f>
        <v>1.8276121725698187</v>
      </c>
      <c r="AV224">
        <f>VLOOKUP($AC224,'2017 Seattle Tracts'!$C$2:$Z$399,AV$1,FALSE)*AA224</f>
        <v>15.143072287007069</v>
      </c>
      <c r="AW224">
        <f>VLOOKUP($AC224,'2017 Seattle Tracts'!$C$2:$Z$399,AW$1,FALSE)*AA224</f>
        <v>2.7414182588547278</v>
      </c>
      <c r="AX224">
        <f>VLOOKUP($AC224,'2017 Seattle Tracts'!$C$2:$Z$399,AX$1,FALSE)*AA224</f>
        <v>43.73214841506352</v>
      </c>
      <c r="AY224">
        <f>VLOOKUP($AC224,'2017 Seattle Tracts'!$C$2:$Z$399,AY$1,FALSE)*AA224</f>
        <v>0</v>
      </c>
    </row>
    <row r="225" spans="1:51" x14ac:dyDescent="0.25">
      <c r="A225" t="s">
        <v>2917</v>
      </c>
      <c r="B225" t="s">
        <v>2918</v>
      </c>
      <c r="C225" t="s">
        <v>3092</v>
      </c>
      <c r="D225" t="s">
        <v>2539</v>
      </c>
      <c r="E225" t="s">
        <v>2540</v>
      </c>
      <c r="F225" t="s">
        <v>2541</v>
      </c>
      <c r="G225" t="s">
        <v>2920</v>
      </c>
      <c r="H225" t="s">
        <v>2921</v>
      </c>
      <c r="I225">
        <v>732385</v>
      </c>
      <c r="J225">
        <v>0</v>
      </c>
      <c r="K225" t="s">
        <v>3093</v>
      </c>
      <c r="L225" t="s">
        <v>3094</v>
      </c>
      <c r="M225">
        <v>732386</v>
      </c>
      <c r="N225">
        <v>55</v>
      </c>
      <c r="O225">
        <v>18241.548999999999</v>
      </c>
      <c r="P225" t="s">
        <v>149</v>
      </c>
      <c r="Q225">
        <v>14</v>
      </c>
      <c r="R225">
        <v>8</v>
      </c>
      <c r="S225">
        <v>94</v>
      </c>
      <c r="T225">
        <v>17933144</v>
      </c>
      <c r="U225">
        <v>57</v>
      </c>
      <c r="V225">
        <v>157</v>
      </c>
      <c r="W225">
        <v>18241.548785981169</v>
      </c>
      <c r="X225">
        <v>17933144.708401948</v>
      </c>
      <c r="Y225">
        <v>731373.79700000002</v>
      </c>
      <c r="Z225">
        <f>VLOOKUP($AC225,'2017 Seattle Tracts'!$C$2:$Z$399,24,FALSE)</f>
        <v>732385.51300000004</v>
      </c>
      <c r="AA225">
        <f t="shared" si="7"/>
        <v>0.99861860184009399</v>
      </c>
      <c r="AB225" t="s">
        <v>151</v>
      </c>
      <c r="AC225" t="str">
        <f t="shared" si="6"/>
        <v>Census Tract 87, King County, Washington</v>
      </c>
      <c r="AD225">
        <f>VLOOKUP($AC225,'2017 Seattle Tracts'!$C$2:$Z$399,AD$1,FALSE)*AA225</f>
        <v>4720.4701308981239</v>
      </c>
      <c r="AE225">
        <f>VLOOKUP($AC225,'2017 Seattle Tracts'!$C$2:$Z$399,AE$1,FALSE)*AA225</f>
        <v>3767.7879847426748</v>
      </c>
      <c r="AF225">
        <f>VLOOKUP($AC225,'2017 Seattle Tracts'!$C$2:$Z$399,AF$1,FALSE)*AA225</f>
        <v>952.68214615544969</v>
      </c>
      <c r="AG225">
        <f>VLOOKUP($AC225,'2017 Seattle Tracts'!$C$2:$Z$399,AG$1,FALSE)*AA225</f>
        <v>4720.4701308981239</v>
      </c>
      <c r="AH225">
        <f>VLOOKUP($AC225,'2017 Seattle Tracts'!$C$2:$Z$399,AH$1,FALSE)*AA225</f>
        <v>3767.7879847426748</v>
      </c>
      <c r="AI225">
        <f>VLOOKUP($AC225,'2017 Seattle Tracts'!$C$2:$Z$399,AI$1,FALSE)*AA225</f>
        <v>952.68214615544969</v>
      </c>
      <c r="AJ225">
        <f>VLOOKUP($AC225,'2017 Seattle Tracts'!$C$2:$Z$399,AJ$1,FALSE)*AA225</f>
        <v>2320.7896306763782</v>
      </c>
      <c r="AK225">
        <f>VLOOKUP($AC225,'2017 Seattle Tracts'!$C$2:$Z$399,AK$1,FALSE)*AA225</f>
        <v>205.71543197905936</v>
      </c>
      <c r="AL225">
        <f>VLOOKUP($AC225,'2017 Seattle Tracts'!$C$2:$Z$399,AL$1,FALSE)*AA225</f>
        <v>60.915734712245737</v>
      </c>
      <c r="AM225">
        <f>VLOOKUP($AC225,'2017 Seattle Tracts'!$C$2:$Z$399,AM$1,FALSE)*AA225</f>
        <v>117.83699501713109</v>
      </c>
      <c r="AN225">
        <f>VLOOKUP($AC225,'2017 Seattle Tracts'!$C$2:$Z$399,AN$1,FALSE)*AA225</f>
        <v>725.99572353774829</v>
      </c>
      <c r="AO225">
        <f>VLOOKUP($AC225,'2017 Seattle Tracts'!$C$2:$Z$399,AO$1,FALSE)*AA225</f>
        <v>167.7679251091358</v>
      </c>
      <c r="AP225">
        <f>VLOOKUP($AC225,'2017 Seattle Tracts'!$C$2:$Z$399,AP$1,FALSE)*AA225</f>
        <v>22.968227842322161</v>
      </c>
      <c r="AQ225">
        <f>VLOOKUP($AC225,'2017 Seattle Tracts'!$C$2:$Z$399,AQ$1,FALSE)*AA225</f>
        <v>0</v>
      </c>
      <c r="AR225">
        <f>VLOOKUP($AC225,'2017 Seattle Tracts'!$C$2:$Z$399,AR$1,FALSE)*AA225</f>
        <v>182.7472041367372</v>
      </c>
      <c r="AS225">
        <f>VLOOKUP($AC225,'2017 Seattle Tracts'!$C$2:$Z$399,AS$1,FALSE)*AA225</f>
        <v>215.70161799746029</v>
      </c>
      <c r="AT225">
        <f>VLOOKUP($AC225,'2017 Seattle Tracts'!$C$2:$Z$399,AT$1,FALSE)*AA225</f>
        <v>0</v>
      </c>
      <c r="AU225">
        <f>VLOOKUP($AC225,'2017 Seattle Tracts'!$C$2:$Z$399,AU$1,FALSE)*AA225</f>
        <v>0</v>
      </c>
      <c r="AV225">
        <f>VLOOKUP($AC225,'2017 Seattle Tracts'!$C$2:$Z$399,AV$1,FALSE)*AA225</f>
        <v>34.951651064403286</v>
      </c>
      <c r="AW225">
        <f>VLOOKUP($AC225,'2017 Seattle Tracts'!$C$2:$Z$399,AW$1,FALSE)*AA225</f>
        <v>201.72095757169899</v>
      </c>
      <c r="AX225">
        <f>VLOOKUP($AC225,'2017 Seattle Tracts'!$C$2:$Z$399,AX$1,FALSE)*AA225</f>
        <v>419.41981277283946</v>
      </c>
      <c r="AY225">
        <f>VLOOKUP($AC225,'2017 Seattle Tracts'!$C$2:$Z$399,AY$1,FALSE)*AA225</f>
        <v>43.939218480964136</v>
      </c>
    </row>
    <row r="226" spans="1:51" x14ac:dyDescent="0.25">
      <c r="A226" t="s">
        <v>2917</v>
      </c>
      <c r="B226" t="s">
        <v>2918</v>
      </c>
      <c r="C226" t="s">
        <v>3092</v>
      </c>
      <c r="D226" t="s">
        <v>2539</v>
      </c>
      <c r="E226" t="s">
        <v>2540</v>
      </c>
      <c r="F226" t="s">
        <v>2541</v>
      </c>
      <c r="G226" t="s">
        <v>2920</v>
      </c>
      <c r="H226" t="s">
        <v>2921</v>
      </c>
      <c r="I226">
        <v>732385</v>
      </c>
      <c r="J226">
        <v>0</v>
      </c>
      <c r="K226" t="s">
        <v>3093</v>
      </c>
      <c r="L226" t="s">
        <v>3094</v>
      </c>
      <c r="M226">
        <v>732386</v>
      </c>
      <c r="N226">
        <v>57</v>
      </c>
      <c r="O226">
        <v>17843.105</v>
      </c>
      <c r="P226" t="s">
        <v>149</v>
      </c>
      <c r="Q226">
        <v>14</v>
      </c>
      <c r="R226">
        <v>8</v>
      </c>
      <c r="S226">
        <v>95</v>
      </c>
      <c r="T226">
        <v>11133829</v>
      </c>
      <c r="U226">
        <v>59</v>
      </c>
      <c r="V226">
        <v>155</v>
      </c>
      <c r="W226">
        <v>17843.105758736041</v>
      </c>
      <c r="X226">
        <v>11133828.86204724</v>
      </c>
      <c r="Y226">
        <v>796.08799999999997</v>
      </c>
      <c r="Z226">
        <f>VLOOKUP($AC226,'2017 Seattle Tracts'!$C$2:$Z$399,24,FALSE)</f>
        <v>732385.51300000004</v>
      </c>
      <c r="AA226">
        <f t="shared" si="7"/>
        <v>1.0869794471207678E-3</v>
      </c>
      <c r="AB226" t="s">
        <v>153</v>
      </c>
      <c r="AC226" t="str">
        <f t="shared" si="6"/>
        <v>Census Tract 87, King County, Washington</v>
      </c>
      <c r="AD226">
        <f>VLOOKUP($AC226,'2017 Seattle Tracts'!$C$2:$Z$399,AD$1,FALSE)*AA226</f>
        <v>5.138151846539869</v>
      </c>
      <c r="AE226">
        <f>VLOOKUP($AC226,'2017 Seattle Tracts'!$C$2:$Z$399,AE$1,FALSE)*AA226</f>
        <v>4.1011734539866564</v>
      </c>
      <c r="AF226">
        <f>VLOOKUP($AC226,'2017 Seattle Tracts'!$C$2:$Z$399,AF$1,FALSE)*AA226</f>
        <v>1.0369783925532126</v>
      </c>
      <c r="AG226">
        <f>VLOOKUP($AC226,'2017 Seattle Tracts'!$C$2:$Z$399,AG$1,FALSE)*AA226</f>
        <v>5.138151846539869</v>
      </c>
      <c r="AH226">
        <f>VLOOKUP($AC226,'2017 Seattle Tracts'!$C$2:$Z$399,AH$1,FALSE)*AA226</f>
        <v>4.1011734539866564</v>
      </c>
      <c r="AI226">
        <f>VLOOKUP($AC226,'2017 Seattle Tracts'!$C$2:$Z$399,AI$1,FALSE)*AA226</f>
        <v>1.0369783925532126</v>
      </c>
      <c r="AJ226">
        <f>VLOOKUP($AC226,'2017 Seattle Tracts'!$C$2:$Z$399,AJ$1,FALSE)*AA226</f>
        <v>2.5261402351086644</v>
      </c>
      <c r="AK226">
        <f>VLOOKUP($AC226,'2017 Seattle Tracts'!$C$2:$Z$399,AK$1,FALSE)*AA226</f>
        <v>0.22391776610687816</v>
      </c>
      <c r="AL226">
        <f>VLOOKUP($AC226,'2017 Seattle Tracts'!$C$2:$Z$399,AL$1,FALSE)*AA226</f>
        <v>6.6305746274366834E-2</v>
      </c>
      <c r="AM226">
        <f>VLOOKUP($AC226,'2017 Seattle Tracts'!$C$2:$Z$399,AM$1,FALSE)*AA226</f>
        <v>0.1282635747602506</v>
      </c>
      <c r="AN226">
        <f>VLOOKUP($AC226,'2017 Seattle Tracts'!$C$2:$Z$399,AN$1,FALSE)*AA226</f>
        <v>0.79023405805679814</v>
      </c>
      <c r="AO226">
        <f>VLOOKUP($AC226,'2017 Seattle Tracts'!$C$2:$Z$399,AO$1,FALSE)*AA226</f>
        <v>0.18261254711628899</v>
      </c>
      <c r="AP226">
        <f>VLOOKUP($AC226,'2017 Seattle Tracts'!$C$2:$Z$399,AP$1,FALSE)*AA226</f>
        <v>2.5000527283777659E-2</v>
      </c>
      <c r="AQ226">
        <f>VLOOKUP($AC226,'2017 Seattle Tracts'!$C$2:$Z$399,AQ$1,FALSE)*AA226</f>
        <v>0</v>
      </c>
      <c r="AR226">
        <f>VLOOKUP($AC226,'2017 Seattle Tracts'!$C$2:$Z$399,AR$1,FALSE)*AA226</f>
        <v>0.1989172388231005</v>
      </c>
      <c r="AS226">
        <f>VLOOKUP($AC226,'2017 Seattle Tracts'!$C$2:$Z$399,AS$1,FALSE)*AA226</f>
        <v>0.23478756057808584</v>
      </c>
      <c r="AT226">
        <f>VLOOKUP($AC226,'2017 Seattle Tracts'!$C$2:$Z$399,AT$1,FALSE)*AA226</f>
        <v>0</v>
      </c>
      <c r="AU226">
        <f>VLOOKUP($AC226,'2017 Seattle Tracts'!$C$2:$Z$399,AU$1,FALSE)*AA226</f>
        <v>0</v>
      </c>
      <c r="AV226">
        <f>VLOOKUP($AC226,'2017 Seattle Tracts'!$C$2:$Z$399,AV$1,FALSE)*AA226</f>
        <v>3.8044280649226873E-2</v>
      </c>
      <c r="AW226">
        <f>VLOOKUP($AC226,'2017 Seattle Tracts'!$C$2:$Z$399,AW$1,FALSE)*AA226</f>
        <v>0.2195698483183951</v>
      </c>
      <c r="AX226">
        <f>VLOOKUP($AC226,'2017 Seattle Tracts'!$C$2:$Z$399,AX$1,FALSE)*AA226</f>
        <v>0.45653136779072245</v>
      </c>
      <c r="AY226">
        <f>VLOOKUP($AC226,'2017 Seattle Tracts'!$C$2:$Z$399,AY$1,FALSE)*AA226</f>
        <v>4.782709567331378E-2</v>
      </c>
    </row>
    <row r="227" spans="1:51" x14ac:dyDescent="0.25">
      <c r="A227" t="s">
        <v>2917</v>
      </c>
      <c r="B227" t="s">
        <v>2918</v>
      </c>
      <c r="C227" t="s">
        <v>3092</v>
      </c>
      <c r="D227" t="s">
        <v>2539</v>
      </c>
      <c r="E227" t="s">
        <v>2540</v>
      </c>
      <c r="F227" t="s">
        <v>2541</v>
      </c>
      <c r="G227" t="s">
        <v>2920</v>
      </c>
      <c r="H227" t="s">
        <v>2921</v>
      </c>
      <c r="I227">
        <v>732385</v>
      </c>
      <c r="J227">
        <v>0</v>
      </c>
      <c r="K227" t="s">
        <v>3093</v>
      </c>
      <c r="L227" t="s">
        <v>3094</v>
      </c>
      <c r="M227">
        <v>732386</v>
      </c>
      <c r="N227">
        <v>58</v>
      </c>
      <c r="O227">
        <v>25426.23</v>
      </c>
      <c r="P227" t="s">
        <v>149</v>
      </c>
      <c r="Q227">
        <v>14</v>
      </c>
      <c r="R227">
        <v>8</v>
      </c>
      <c r="S227">
        <v>24</v>
      </c>
      <c r="T227">
        <v>20664986</v>
      </c>
      <c r="U227">
        <v>60</v>
      </c>
      <c r="V227">
        <v>165</v>
      </c>
      <c r="W227">
        <v>25426.231162667511</v>
      </c>
      <c r="X227">
        <v>20664986.272921581</v>
      </c>
      <c r="Y227">
        <v>215.62899999999999</v>
      </c>
      <c r="Z227">
        <f>VLOOKUP($AC227,'2017 Seattle Tracts'!$C$2:$Z$399,24,FALSE)</f>
        <v>732385.51300000004</v>
      </c>
      <c r="AA227">
        <f t="shared" si="7"/>
        <v>2.9442007818633625E-4</v>
      </c>
      <c r="AB227" t="s">
        <v>154</v>
      </c>
      <c r="AC227" t="str">
        <f t="shared" si="6"/>
        <v>Census Tract 87, King County, Washington</v>
      </c>
      <c r="AD227">
        <f>VLOOKUP($AC227,'2017 Seattle Tracts'!$C$2:$Z$399,AD$1,FALSE)*AA227</f>
        <v>1.3917237095868114</v>
      </c>
      <c r="AE227">
        <f>VLOOKUP($AC227,'2017 Seattle Tracts'!$C$2:$Z$399,AE$1,FALSE)*AA227</f>
        <v>1.1108469549970466</v>
      </c>
      <c r="AF227">
        <f>VLOOKUP($AC227,'2017 Seattle Tracts'!$C$2:$Z$399,AF$1,FALSE)*AA227</f>
        <v>0.2808767545897648</v>
      </c>
      <c r="AG227">
        <f>VLOOKUP($AC227,'2017 Seattle Tracts'!$C$2:$Z$399,AG$1,FALSE)*AA227</f>
        <v>1.3917237095868114</v>
      </c>
      <c r="AH227">
        <f>VLOOKUP($AC227,'2017 Seattle Tracts'!$C$2:$Z$399,AH$1,FALSE)*AA227</f>
        <v>1.1108469549970466</v>
      </c>
      <c r="AI227">
        <f>VLOOKUP($AC227,'2017 Seattle Tracts'!$C$2:$Z$399,AI$1,FALSE)*AA227</f>
        <v>0.2808767545897648</v>
      </c>
      <c r="AJ227">
        <f>VLOOKUP($AC227,'2017 Seattle Tracts'!$C$2:$Z$399,AJ$1,FALSE)*AA227</f>
        <v>0.68423226170504547</v>
      </c>
      <c r="AK227">
        <f>VLOOKUP($AC227,'2017 Seattle Tracts'!$C$2:$Z$399,AK$1,FALSE)*AA227</f>
        <v>6.0650536106385267E-2</v>
      </c>
      <c r="AL227">
        <f>VLOOKUP($AC227,'2017 Seattle Tracts'!$C$2:$Z$399,AL$1,FALSE)*AA227</f>
        <v>1.7959624769366512E-2</v>
      </c>
      <c r="AM227">
        <f>VLOOKUP($AC227,'2017 Seattle Tracts'!$C$2:$Z$399,AM$1,FALSE)*AA227</f>
        <v>3.474156922598768E-2</v>
      </c>
      <c r="AN227">
        <f>VLOOKUP($AC227,'2017 Seattle Tracts'!$C$2:$Z$399,AN$1,FALSE)*AA227</f>
        <v>0.21404339684146645</v>
      </c>
      <c r="AO227">
        <f>VLOOKUP($AC227,'2017 Seattle Tracts'!$C$2:$Z$399,AO$1,FALSE)*AA227</f>
        <v>4.9462573135304493E-2</v>
      </c>
      <c r="AP227">
        <f>VLOOKUP($AC227,'2017 Seattle Tracts'!$C$2:$Z$399,AP$1,FALSE)*AA227</f>
        <v>6.7716617982857335E-3</v>
      </c>
      <c r="AQ227">
        <f>VLOOKUP($AC227,'2017 Seattle Tracts'!$C$2:$Z$399,AQ$1,FALSE)*AA227</f>
        <v>0</v>
      </c>
      <c r="AR227">
        <f>VLOOKUP($AC227,'2017 Seattle Tracts'!$C$2:$Z$399,AR$1,FALSE)*AA227</f>
        <v>5.3878874308099532E-2</v>
      </c>
      <c r="AS227">
        <f>VLOOKUP($AC227,'2017 Seattle Tracts'!$C$2:$Z$399,AS$1,FALSE)*AA227</f>
        <v>6.3594736888248626E-2</v>
      </c>
      <c r="AT227">
        <f>VLOOKUP($AC227,'2017 Seattle Tracts'!$C$2:$Z$399,AT$1,FALSE)*AA227</f>
        <v>0</v>
      </c>
      <c r="AU227">
        <f>VLOOKUP($AC227,'2017 Seattle Tracts'!$C$2:$Z$399,AU$1,FALSE)*AA227</f>
        <v>0</v>
      </c>
      <c r="AV227">
        <f>VLOOKUP($AC227,'2017 Seattle Tracts'!$C$2:$Z$399,AV$1,FALSE)*AA227</f>
        <v>1.0304702736521768E-2</v>
      </c>
      <c r="AW227">
        <f>VLOOKUP($AC227,'2017 Seattle Tracts'!$C$2:$Z$399,AW$1,FALSE)*AA227</f>
        <v>5.9472855793639923E-2</v>
      </c>
      <c r="AX227">
        <f>VLOOKUP($AC227,'2017 Seattle Tracts'!$C$2:$Z$399,AX$1,FALSE)*AA227</f>
        <v>0.12365643283826122</v>
      </c>
      <c r="AY227">
        <f>VLOOKUP($AC227,'2017 Seattle Tracts'!$C$2:$Z$399,AY$1,FALSE)*AA227</f>
        <v>1.2954483440198795E-2</v>
      </c>
    </row>
    <row r="228" spans="1:51" x14ac:dyDescent="0.25">
      <c r="A228" t="s">
        <v>2917</v>
      </c>
      <c r="B228" t="s">
        <v>2918</v>
      </c>
      <c r="C228" t="s">
        <v>3095</v>
      </c>
      <c r="D228" t="s">
        <v>2536</v>
      </c>
      <c r="E228" t="s">
        <v>2537</v>
      </c>
      <c r="F228" t="s">
        <v>2538</v>
      </c>
      <c r="G228" t="s">
        <v>2920</v>
      </c>
      <c r="H228" t="s">
        <v>2921</v>
      </c>
      <c r="I228">
        <v>948580</v>
      </c>
      <c r="J228">
        <v>0</v>
      </c>
      <c r="K228" t="s">
        <v>3096</v>
      </c>
      <c r="L228" t="s">
        <v>3097</v>
      </c>
      <c r="M228">
        <v>948581</v>
      </c>
      <c r="N228">
        <v>53</v>
      </c>
      <c r="O228">
        <v>17052.942999999999</v>
      </c>
      <c r="P228" t="s">
        <v>149</v>
      </c>
      <c r="Q228">
        <v>14</v>
      </c>
      <c r="R228">
        <v>8</v>
      </c>
      <c r="S228">
        <v>0</v>
      </c>
      <c r="T228">
        <v>13845483</v>
      </c>
      <c r="U228">
        <v>55</v>
      </c>
      <c r="V228">
        <v>158</v>
      </c>
      <c r="W228">
        <v>17052.94270676927</v>
      </c>
      <c r="X228">
        <v>13845482.808370169</v>
      </c>
      <c r="Y228">
        <v>150421.397</v>
      </c>
      <c r="Z228">
        <f>VLOOKUP($AC228,'2017 Seattle Tracts'!$C$2:$Z$399,24,FALSE)</f>
        <v>948580.94799999997</v>
      </c>
      <c r="AA228">
        <f t="shared" si="7"/>
        <v>0.15857518255785166</v>
      </c>
      <c r="AB228" t="s">
        <v>148</v>
      </c>
      <c r="AC228" t="str">
        <f t="shared" si="6"/>
        <v>Census Tract 88, King County, Washington</v>
      </c>
      <c r="AD228">
        <f>VLOOKUP($AC228,'2017 Seattle Tracts'!$C$2:$Z$399,AD$1,FALSE)*AA228</f>
        <v>671.72447331505964</v>
      </c>
      <c r="AE228">
        <f>VLOOKUP($AC228,'2017 Seattle Tracts'!$C$2:$Z$399,AE$1,FALSE)*AA228</f>
        <v>570.39493166059242</v>
      </c>
      <c r="AF228">
        <f>VLOOKUP($AC228,'2017 Seattle Tracts'!$C$2:$Z$399,AF$1,FALSE)*AA228</f>
        <v>101.32954165446721</v>
      </c>
      <c r="AG228">
        <f>VLOOKUP($AC228,'2017 Seattle Tracts'!$C$2:$Z$399,AG$1,FALSE)*AA228</f>
        <v>671.72447331505964</v>
      </c>
      <c r="AH228">
        <f>VLOOKUP($AC228,'2017 Seattle Tracts'!$C$2:$Z$399,AH$1,FALSE)*AA228</f>
        <v>570.39493166059242</v>
      </c>
      <c r="AI228">
        <f>VLOOKUP($AC228,'2017 Seattle Tracts'!$C$2:$Z$399,AI$1,FALSE)*AA228</f>
        <v>101.32954165446721</v>
      </c>
      <c r="AJ228">
        <f>VLOOKUP($AC228,'2017 Seattle Tracts'!$C$2:$Z$399,AJ$1,FALSE)*AA228</f>
        <v>366.4672468911952</v>
      </c>
      <c r="AK228">
        <f>VLOOKUP($AC228,'2017 Seattle Tracts'!$C$2:$Z$399,AK$1,FALSE)*AA228</f>
        <v>22.359100740657084</v>
      </c>
      <c r="AL228">
        <f>VLOOKUP($AC228,'2017 Seattle Tracts'!$C$2:$Z$399,AL$1,FALSE)*AA228</f>
        <v>23.627702201119899</v>
      </c>
      <c r="AM228">
        <f>VLOOKUP($AC228,'2017 Seattle Tracts'!$C$2:$Z$399,AM$1,FALSE)*AA228</f>
        <v>4.4401051116198467</v>
      </c>
      <c r="AN228">
        <f>VLOOKUP($AC228,'2017 Seattle Tracts'!$C$2:$Z$399,AN$1,FALSE)*AA228</f>
        <v>77.38468908823161</v>
      </c>
      <c r="AO228">
        <f>VLOOKUP($AC228,'2017 Seattle Tracts'!$C$2:$Z$399,AO$1,FALSE)*AA228</f>
        <v>4.9158306592934018</v>
      </c>
      <c r="AP228">
        <f>VLOOKUP($AC228,'2017 Seattle Tracts'!$C$2:$Z$399,AP$1,FALSE)*AA228</f>
        <v>3.1715036511570331</v>
      </c>
      <c r="AQ228">
        <f>VLOOKUP($AC228,'2017 Seattle Tracts'!$C$2:$Z$399,AQ$1,FALSE)*AA228</f>
        <v>0</v>
      </c>
      <c r="AR228">
        <f>VLOOKUP($AC228,'2017 Seattle Tracts'!$C$2:$Z$399,AR$1,FALSE)*AA228</f>
        <v>9.6730861360289513</v>
      </c>
      <c r="AS228">
        <f>VLOOKUP($AC228,'2017 Seattle Tracts'!$C$2:$Z$399,AS$1,FALSE)*AA228</f>
        <v>45.352502211545577</v>
      </c>
      <c r="AT228">
        <f>VLOOKUP($AC228,'2017 Seattle Tracts'!$C$2:$Z$399,AT$1,FALSE)*AA228</f>
        <v>12.210289056954577</v>
      </c>
      <c r="AU228">
        <f>VLOOKUP($AC228,'2017 Seattle Tracts'!$C$2:$Z$399,AU$1,FALSE)*AA228</f>
        <v>9.6730861360289513</v>
      </c>
      <c r="AV228">
        <f>VLOOKUP($AC228,'2017 Seattle Tracts'!$C$2:$Z$399,AV$1,FALSE)*AA228</f>
        <v>28.702108042971151</v>
      </c>
      <c r="AW228">
        <f>VLOOKUP($AC228,'2017 Seattle Tracts'!$C$2:$Z$399,AW$1,FALSE)*AA228</f>
        <v>12.844589787185985</v>
      </c>
      <c r="AX228">
        <f>VLOOKUP($AC228,'2017 Seattle Tracts'!$C$2:$Z$399,AX$1,FALSE)*AA228</f>
        <v>49.158306592934018</v>
      </c>
      <c r="AY228">
        <f>VLOOKUP($AC228,'2017 Seattle Tracts'!$C$2:$Z$399,AY$1,FALSE)*AA228</f>
        <v>1.7443270081363682</v>
      </c>
    </row>
    <row r="229" spans="1:51" x14ac:dyDescent="0.25">
      <c r="A229" t="s">
        <v>2917</v>
      </c>
      <c r="B229" t="s">
        <v>2918</v>
      </c>
      <c r="C229" t="s">
        <v>3095</v>
      </c>
      <c r="D229" t="s">
        <v>2536</v>
      </c>
      <c r="E229" t="s">
        <v>2537</v>
      </c>
      <c r="F229" t="s">
        <v>2538</v>
      </c>
      <c r="G229" t="s">
        <v>2920</v>
      </c>
      <c r="H229" t="s">
        <v>2921</v>
      </c>
      <c r="I229">
        <v>948580</v>
      </c>
      <c r="J229">
        <v>0</v>
      </c>
      <c r="K229" t="s">
        <v>3096</v>
      </c>
      <c r="L229" t="s">
        <v>3097</v>
      </c>
      <c r="M229">
        <v>948581</v>
      </c>
      <c r="N229">
        <v>55</v>
      </c>
      <c r="O229">
        <v>18241.548999999999</v>
      </c>
      <c r="P229" t="s">
        <v>149</v>
      </c>
      <c r="Q229">
        <v>14</v>
      </c>
      <c r="R229">
        <v>8</v>
      </c>
      <c r="S229">
        <v>94</v>
      </c>
      <c r="T229">
        <v>17933144</v>
      </c>
      <c r="U229">
        <v>57</v>
      </c>
      <c r="V229">
        <v>157</v>
      </c>
      <c r="W229">
        <v>18241.548785981169</v>
      </c>
      <c r="X229">
        <v>17933144.708401948</v>
      </c>
      <c r="Y229">
        <v>396.30700000000002</v>
      </c>
      <c r="Z229">
        <f>VLOOKUP($AC229,'2017 Seattle Tracts'!$C$2:$Z$399,24,FALSE)</f>
        <v>948580.94799999997</v>
      </c>
      <c r="AA229">
        <f t="shared" si="7"/>
        <v>4.1778933135393312E-4</v>
      </c>
      <c r="AB229" t="s">
        <v>151</v>
      </c>
      <c r="AC229" t="str">
        <f t="shared" si="6"/>
        <v>Census Tract 88, King County, Washington</v>
      </c>
      <c r="AD229">
        <f>VLOOKUP($AC229,'2017 Seattle Tracts'!$C$2:$Z$399,AD$1,FALSE)*AA229</f>
        <v>1.7697556076152607</v>
      </c>
      <c r="AE229">
        <f>VLOOKUP($AC229,'2017 Seattle Tracts'!$C$2:$Z$399,AE$1,FALSE)*AA229</f>
        <v>1.5027882248800974</v>
      </c>
      <c r="AF229">
        <f>VLOOKUP($AC229,'2017 Seattle Tracts'!$C$2:$Z$399,AF$1,FALSE)*AA229</f>
        <v>0.26696738273516324</v>
      </c>
      <c r="AG229">
        <f>VLOOKUP($AC229,'2017 Seattle Tracts'!$C$2:$Z$399,AG$1,FALSE)*AA229</f>
        <v>1.7697556076152607</v>
      </c>
      <c r="AH229">
        <f>VLOOKUP($AC229,'2017 Seattle Tracts'!$C$2:$Z$399,AH$1,FALSE)*AA229</f>
        <v>1.5027882248800974</v>
      </c>
      <c r="AI229">
        <f>VLOOKUP($AC229,'2017 Seattle Tracts'!$C$2:$Z$399,AI$1,FALSE)*AA229</f>
        <v>0.26696738273516324</v>
      </c>
      <c r="AJ229">
        <f>VLOOKUP($AC229,'2017 Seattle Tracts'!$C$2:$Z$399,AJ$1,FALSE)*AA229</f>
        <v>0.9655111447589394</v>
      </c>
      <c r="AK229">
        <f>VLOOKUP($AC229,'2017 Seattle Tracts'!$C$2:$Z$399,AK$1,FALSE)*AA229</f>
        <v>5.8908295720904572E-2</v>
      </c>
      <c r="AL229">
        <f>VLOOKUP($AC229,'2017 Seattle Tracts'!$C$2:$Z$399,AL$1,FALSE)*AA229</f>
        <v>6.2250610371736036E-2</v>
      </c>
      <c r="AM229">
        <f>VLOOKUP($AC229,'2017 Seattle Tracts'!$C$2:$Z$399,AM$1,FALSE)*AA229</f>
        <v>1.1698101277910128E-2</v>
      </c>
      <c r="AN229">
        <f>VLOOKUP($AC229,'2017 Seattle Tracts'!$C$2:$Z$399,AN$1,FALSE)*AA229</f>
        <v>0.20388119370071936</v>
      </c>
      <c r="AO229">
        <f>VLOOKUP($AC229,'2017 Seattle Tracts'!$C$2:$Z$399,AO$1,FALSE)*AA229</f>
        <v>1.2951469271971926E-2</v>
      </c>
      <c r="AP229">
        <f>VLOOKUP($AC229,'2017 Seattle Tracts'!$C$2:$Z$399,AP$1,FALSE)*AA229</f>
        <v>8.355786627078662E-3</v>
      </c>
      <c r="AQ229">
        <f>VLOOKUP($AC229,'2017 Seattle Tracts'!$C$2:$Z$399,AQ$1,FALSE)*AA229</f>
        <v>0</v>
      </c>
      <c r="AR229">
        <f>VLOOKUP($AC229,'2017 Seattle Tracts'!$C$2:$Z$399,AR$1,FALSE)*AA229</f>
        <v>2.548514921258992E-2</v>
      </c>
      <c r="AS229">
        <f>VLOOKUP($AC229,'2017 Seattle Tracts'!$C$2:$Z$399,AS$1,FALSE)*AA229</f>
        <v>0.11948774876722487</v>
      </c>
      <c r="AT229">
        <f>VLOOKUP($AC229,'2017 Seattle Tracts'!$C$2:$Z$399,AT$1,FALSE)*AA229</f>
        <v>3.2169778514252852E-2</v>
      </c>
      <c r="AU229">
        <f>VLOOKUP($AC229,'2017 Seattle Tracts'!$C$2:$Z$399,AU$1,FALSE)*AA229</f>
        <v>2.548514921258992E-2</v>
      </c>
      <c r="AV229">
        <f>VLOOKUP($AC229,'2017 Seattle Tracts'!$C$2:$Z$399,AV$1,FALSE)*AA229</f>
        <v>7.5619868975061899E-2</v>
      </c>
      <c r="AW229">
        <f>VLOOKUP($AC229,'2017 Seattle Tracts'!$C$2:$Z$399,AW$1,FALSE)*AA229</f>
        <v>3.384093583966858E-2</v>
      </c>
      <c r="AX229">
        <f>VLOOKUP($AC229,'2017 Seattle Tracts'!$C$2:$Z$399,AX$1,FALSE)*AA229</f>
        <v>0.12951469271971927</v>
      </c>
      <c r="AY229">
        <f>VLOOKUP($AC229,'2017 Seattle Tracts'!$C$2:$Z$399,AY$1,FALSE)*AA229</f>
        <v>4.595682644893264E-3</v>
      </c>
    </row>
    <row r="230" spans="1:51" x14ac:dyDescent="0.25">
      <c r="A230" t="s">
        <v>2917</v>
      </c>
      <c r="B230" t="s">
        <v>2918</v>
      </c>
      <c r="C230" t="s">
        <v>3095</v>
      </c>
      <c r="D230" t="s">
        <v>2536</v>
      </c>
      <c r="E230" t="s">
        <v>2537</v>
      </c>
      <c r="F230" t="s">
        <v>2538</v>
      </c>
      <c r="G230" t="s">
        <v>2920</v>
      </c>
      <c r="H230" t="s">
        <v>2921</v>
      </c>
      <c r="I230">
        <v>948580</v>
      </c>
      <c r="J230">
        <v>0</v>
      </c>
      <c r="K230" t="s">
        <v>3096</v>
      </c>
      <c r="L230" t="s">
        <v>3097</v>
      </c>
      <c r="M230">
        <v>948581</v>
      </c>
      <c r="N230">
        <v>56</v>
      </c>
      <c r="O230">
        <v>20413.057000000001</v>
      </c>
      <c r="P230" t="s">
        <v>149</v>
      </c>
      <c r="Q230">
        <v>14</v>
      </c>
      <c r="R230">
        <v>8</v>
      </c>
      <c r="S230">
        <v>19</v>
      </c>
      <c r="T230">
        <v>18091742</v>
      </c>
      <c r="U230">
        <v>58</v>
      </c>
      <c r="V230">
        <v>161</v>
      </c>
      <c r="W230">
        <v>20413.056051688221</v>
      </c>
      <c r="X230">
        <v>18091741.376667041</v>
      </c>
      <c r="Y230">
        <v>216809.75</v>
      </c>
      <c r="Z230">
        <f>VLOOKUP($AC230,'2017 Seattle Tracts'!$C$2:$Z$399,24,FALSE)</f>
        <v>948580.94799999997</v>
      </c>
      <c r="AA230">
        <f t="shared" si="7"/>
        <v>0.22856220173631403</v>
      </c>
      <c r="AB230" t="s">
        <v>152</v>
      </c>
      <c r="AC230" t="str">
        <f t="shared" si="6"/>
        <v>Census Tract 88, King County, Washington</v>
      </c>
      <c r="AD230">
        <f>VLOOKUP($AC230,'2017 Seattle Tracts'!$C$2:$Z$399,AD$1,FALSE)*AA230</f>
        <v>968.18948655502618</v>
      </c>
      <c r="AE230">
        <f>VLOOKUP($AC230,'2017 Seattle Tracts'!$C$2:$Z$399,AE$1,FALSE)*AA230</f>
        <v>822.13823964552159</v>
      </c>
      <c r="AF230">
        <f>VLOOKUP($AC230,'2017 Seattle Tracts'!$C$2:$Z$399,AF$1,FALSE)*AA230</f>
        <v>146.05124690950467</v>
      </c>
      <c r="AG230">
        <f>VLOOKUP($AC230,'2017 Seattle Tracts'!$C$2:$Z$399,AG$1,FALSE)*AA230</f>
        <v>968.18948655502618</v>
      </c>
      <c r="AH230">
        <f>VLOOKUP($AC230,'2017 Seattle Tracts'!$C$2:$Z$399,AH$1,FALSE)*AA230</f>
        <v>822.13823964552159</v>
      </c>
      <c r="AI230">
        <f>VLOOKUP($AC230,'2017 Seattle Tracts'!$C$2:$Z$399,AI$1,FALSE)*AA230</f>
        <v>146.05124690950467</v>
      </c>
      <c r="AJ230">
        <f>VLOOKUP($AC230,'2017 Seattle Tracts'!$C$2:$Z$399,AJ$1,FALSE)*AA230</f>
        <v>528.20724821262172</v>
      </c>
      <c r="AK230">
        <f>VLOOKUP($AC230,'2017 Seattle Tracts'!$C$2:$Z$399,AK$1,FALSE)*AA230</f>
        <v>32.227270444820277</v>
      </c>
      <c r="AL230">
        <f>VLOOKUP($AC230,'2017 Seattle Tracts'!$C$2:$Z$399,AL$1,FALSE)*AA230</f>
        <v>34.05576805871079</v>
      </c>
      <c r="AM230">
        <f>VLOOKUP($AC230,'2017 Seattle Tracts'!$C$2:$Z$399,AM$1,FALSE)*AA230</f>
        <v>6.3997416486167928</v>
      </c>
      <c r="AN230">
        <f>VLOOKUP($AC230,'2017 Seattle Tracts'!$C$2:$Z$399,AN$1,FALSE)*AA230</f>
        <v>111.53835444732124</v>
      </c>
      <c r="AO230">
        <f>VLOOKUP($AC230,'2017 Seattle Tracts'!$C$2:$Z$399,AO$1,FALSE)*AA230</f>
        <v>7.0854282538257349</v>
      </c>
      <c r="AP230">
        <f>VLOOKUP($AC230,'2017 Seattle Tracts'!$C$2:$Z$399,AP$1,FALSE)*AA230</f>
        <v>4.5712440347262806</v>
      </c>
      <c r="AQ230">
        <f>VLOOKUP($AC230,'2017 Seattle Tracts'!$C$2:$Z$399,AQ$1,FALSE)*AA230</f>
        <v>0</v>
      </c>
      <c r="AR230">
        <f>VLOOKUP($AC230,'2017 Seattle Tracts'!$C$2:$Z$399,AR$1,FALSE)*AA230</f>
        <v>13.942294305915155</v>
      </c>
      <c r="AS230">
        <f>VLOOKUP($AC230,'2017 Seattle Tracts'!$C$2:$Z$399,AS$1,FALSE)*AA230</f>
        <v>65.368789696585807</v>
      </c>
      <c r="AT230">
        <f>VLOOKUP($AC230,'2017 Seattle Tracts'!$C$2:$Z$399,AT$1,FALSE)*AA230</f>
        <v>17.599289533696179</v>
      </c>
      <c r="AU230">
        <f>VLOOKUP($AC230,'2017 Seattle Tracts'!$C$2:$Z$399,AU$1,FALSE)*AA230</f>
        <v>13.942294305915155</v>
      </c>
      <c r="AV230">
        <f>VLOOKUP($AC230,'2017 Seattle Tracts'!$C$2:$Z$399,AV$1,FALSE)*AA230</f>
        <v>41.369758514272839</v>
      </c>
      <c r="AW230">
        <f>VLOOKUP($AC230,'2017 Seattle Tracts'!$C$2:$Z$399,AW$1,FALSE)*AA230</f>
        <v>18.513538340641436</v>
      </c>
      <c r="AX230">
        <f>VLOOKUP($AC230,'2017 Seattle Tracts'!$C$2:$Z$399,AX$1,FALSE)*AA230</f>
        <v>70.854282538257351</v>
      </c>
      <c r="AY230">
        <f>VLOOKUP($AC230,'2017 Seattle Tracts'!$C$2:$Z$399,AY$1,FALSE)*AA230</f>
        <v>2.5141842190994543</v>
      </c>
    </row>
    <row r="231" spans="1:51" x14ac:dyDescent="0.25">
      <c r="A231" t="s">
        <v>2917</v>
      </c>
      <c r="B231" t="s">
        <v>2918</v>
      </c>
      <c r="C231" t="s">
        <v>3095</v>
      </c>
      <c r="D231" t="s">
        <v>2536</v>
      </c>
      <c r="E231" t="s">
        <v>2537</v>
      </c>
      <c r="F231" t="s">
        <v>2538</v>
      </c>
      <c r="G231" t="s">
        <v>2920</v>
      </c>
      <c r="H231" t="s">
        <v>2921</v>
      </c>
      <c r="I231">
        <v>948580</v>
      </c>
      <c r="J231">
        <v>0</v>
      </c>
      <c r="K231" t="s">
        <v>3096</v>
      </c>
      <c r="L231" t="s">
        <v>3097</v>
      </c>
      <c r="M231">
        <v>948581</v>
      </c>
      <c r="N231">
        <v>57</v>
      </c>
      <c r="O231">
        <v>17843.105</v>
      </c>
      <c r="P231" t="s">
        <v>149</v>
      </c>
      <c r="Q231">
        <v>14</v>
      </c>
      <c r="R231">
        <v>8</v>
      </c>
      <c r="S231">
        <v>95</v>
      </c>
      <c r="T231">
        <v>11133829</v>
      </c>
      <c r="U231">
        <v>59</v>
      </c>
      <c r="V231">
        <v>155</v>
      </c>
      <c r="W231">
        <v>17843.105758736041</v>
      </c>
      <c r="X231">
        <v>11133828.86204724</v>
      </c>
      <c r="Y231">
        <v>580342.03799999994</v>
      </c>
      <c r="Z231">
        <f>VLOOKUP($AC231,'2017 Seattle Tracts'!$C$2:$Z$399,24,FALSE)</f>
        <v>948580.94799999997</v>
      </c>
      <c r="AA231">
        <f t="shared" si="7"/>
        <v>0.61180022561448277</v>
      </c>
      <c r="AB231" t="s">
        <v>153</v>
      </c>
      <c r="AC231" t="str">
        <f t="shared" si="6"/>
        <v>Census Tract 88, King County, Washington</v>
      </c>
      <c r="AD231">
        <f>VLOOKUP($AC231,'2017 Seattle Tracts'!$C$2:$Z$399,AD$1,FALSE)*AA231</f>
        <v>2591.585755702949</v>
      </c>
      <c r="AE231">
        <f>VLOOKUP($AC231,'2017 Seattle Tracts'!$C$2:$Z$399,AE$1,FALSE)*AA231</f>
        <v>2200.6454115352944</v>
      </c>
      <c r="AF231">
        <f>VLOOKUP($AC231,'2017 Seattle Tracts'!$C$2:$Z$399,AF$1,FALSE)*AA231</f>
        <v>390.94034416765447</v>
      </c>
      <c r="AG231">
        <f>VLOOKUP($AC231,'2017 Seattle Tracts'!$C$2:$Z$399,AG$1,FALSE)*AA231</f>
        <v>2591.585755702949</v>
      </c>
      <c r="AH231">
        <f>VLOOKUP($AC231,'2017 Seattle Tracts'!$C$2:$Z$399,AH$1,FALSE)*AA231</f>
        <v>2200.6454115352944</v>
      </c>
      <c r="AI231">
        <f>VLOOKUP($AC231,'2017 Seattle Tracts'!$C$2:$Z$399,AI$1,FALSE)*AA231</f>
        <v>390.94034416765447</v>
      </c>
      <c r="AJ231">
        <f>VLOOKUP($AC231,'2017 Seattle Tracts'!$C$2:$Z$399,AJ$1,FALSE)*AA231</f>
        <v>1413.8703213950696</v>
      </c>
      <c r="AK231">
        <f>VLOOKUP($AC231,'2017 Seattle Tracts'!$C$2:$Z$399,AK$1,FALSE)*AA231</f>
        <v>86.263831811642078</v>
      </c>
      <c r="AL231">
        <f>VLOOKUP($AC231,'2017 Seattle Tracts'!$C$2:$Z$399,AL$1,FALSE)*AA231</f>
        <v>91.158233616557936</v>
      </c>
      <c r="AM231">
        <f>VLOOKUP($AC231,'2017 Seattle Tracts'!$C$2:$Z$399,AM$1,FALSE)*AA231</f>
        <v>17.130406317205519</v>
      </c>
      <c r="AN231">
        <f>VLOOKUP($AC231,'2017 Seattle Tracts'!$C$2:$Z$399,AN$1,FALSE)*AA231</f>
        <v>298.55851009986759</v>
      </c>
      <c r="AO231">
        <f>VLOOKUP($AC231,'2017 Seattle Tracts'!$C$2:$Z$399,AO$1,FALSE)*AA231</f>
        <v>18.965806994048965</v>
      </c>
      <c r="AP231">
        <f>VLOOKUP($AC231,'2017 Seattle Tracts'!$C$2:$Z$399,AP$1,FALSE)*AA231</f>
        <v>12.236004512289655</v>
      </c>
      <c r="AQ231">
        <f>VLOOKUP($AC231,'2017 Seattle Tracts'!$C$2:$Z$399,AQ$1,FALSE)*AA231</f>
        <v>0</v>
      </c>
      <c r="AR231">
        <f>VLOOKUP($AC231,'2017 Seattle Tracts'!$C$2:$Z$399,AR$1,FALSE)*AA231</f>
        <v>37.319813762483449</v>
      </c>
      <c r="AS231">
        <f>VLOOKUP($AC231,'2017 Seattle Tracts'!$C$2:$Z$399,AS$1,FALSE)*AA231</f>
        <v>174.97486452574208</v>
      </c>
      <c r="AT231">
        <f>VLOOKUP($AC231,'2017 Seattle Tracts'!$C$2:$Z$399,AT$1,FALSE)*AA231</f>
        <v>47.108617372315173</v>
      </c>
      <c r="AU231">
        <f>VLOOKUP($AC231,'2017 Seattle Tracts'!$C$2:$Z$399,AU$1,FALSE)*AA231</f>
        <v>37.319813762483449</v>
      </c>
      <c r="AV231">
        <f>VLOOKUP($AC231,'2017 Seattle Tracts'!$C$2:$Z$399,AV$1,FALSE)*AA231</f>
        <v>110.73584083622139</v>
      </c>
      <c r="AW231">
        <f>VLOOKUP($AC231,'2017 Seattle Tracts'!$C$2:$Z$399,AW$1,FALSE)*AA231</f>
        <v>49.555818274773102</v>
      </c>
      <c r="AX231">
        <f>VLOOKUP($AC231,'2017 Seattle Tracts'!$C$2:$Z$399,AX$1,FALSE)*AA231</f>
        <v>189.65806994048967</v>
      </c>
      <c r="AY231">
        <f>VLOOKUP($AC231,'2017 Seattle Tracts'!$C$2:$Z$399,AY$1,FALSE)*AA231</f>
        <v>6.729802481759311</v>
      </c>
    </row>
    <row r="232" spans="1:51" x14ac:dyDescent="0.25">
      <c r="A232" t="s">
        <v>2917</v>
      </c>
      <c r="B232" t="s">
        <v>2918</v>
      </c>
      <c r="C232" t="s">
        <v>3095</v>
      </c>
      <c r="D232" t="s">
        <v>2536</v>
      </c>
      <c r="E232" t="s">
        <v>2537</v>
      </c>
      <c r="F232" t="s">
        <v>2538</v>
      </c>
      <c r="G232" t="s">
        <v>2920</v>
      </c>
      <c r="H232" t="s">
        <v>2921</v>
      </c>
      <c r="I232">
        <v>948580</v>
      </c>
      <c r="J232">
        <v>0</v>
      </c>
      <c r="K232" t="s">
        <v>3096</v>
      </c>
      <c r="L232" t="s">
        <v>3097</v>
      </c>
      <c r="M232">
        <v>948581</v>
      </c>
      <c r="N232">
        <v>58</v>
      </c>
      <c r="O232">
        <v>25426.23</v>
      </c>
      <c r="P232" t="s">
        <v>149</v>
      </c>
      <c r="Q232">
        <v>14</v>
      </c>
      <c r="R232">
        <v>8</v>
      </c>
      <c r="S232">
        <v>24</v>
      </c>
      <c r="T232">
        <v>20664986</v>
      </c>
      <c r="U232">
        <v>60</v>
      </c>
      <c r="V232">
        <v>165</v>
      </c>
      <c r="W232">
        <v>25426.231162667511</v>
      </c>
      <c r="X232">
        <v>20664986.272921581</v>
      </c>
      <c r="Y232">
        <v>611.45399999999995</v>
      </c>
      <c r="Z232">
        <f>VLOOKUP($AC232,'2017 Seattle Tracts'!$C$2:$Z$399,24,FALSE)</f>
        <v>948580.94799999997</v>
      </c>
      <c r="AA232">
        <f t="shared" si="7"/>
        <v>6.4459865158497784E-4</v>
      </c>
      <c r="AB232" t="s">
        <v>154</v>
      </c>
      <c r="AC232" t="str">
        <f t="shared" si="6"/>
        <v>Census Tract 88, King County, Washington</v>
      </c>
      <c r="AD232">
        <f>VLOOKUP($AC232,'2017 Seattle Tracts'!$C$2:$Z$399,AD$1,FALSE)*AA232</f>
        <v>2.7305198881139661</v>
      </c>
      <c r="AE232">
        <f>VLOOKUP($AC232,'2017 Seattle Tracts'!$C$2:$Z$399,AE$1,FALSE)*AA232</f>
        <v>2.3186213497511652</v>
      </c>
      <c r="AF232">
        <f>VLOOKUP($AC232,'2017 Seattle Tracts'!$C$2:$Z$399,AF$1,FALSE)*AA232</f>
        <v>0.41189853836280083</v>
      </c>
      <c r="AG232">
        <f>VLOOKUP($AC232,'2017 Seattle Tracts'!$C$2:$Z$399,AG$1,FALSE)*AA232</f>
        <v>2.7305198881139661</v>
      </c>
      <c r="AH232">
        <f>VLOOKUP($AC232,'2017 Seattle Tracts'!$C$2:$Z$399,AH$1,FALSE)*AA232</f>
        <v>2.3186213497511652</v>
      </c>
      <c r="AI232">
        <f>VLOOKUP($AC232,'2017 Seattle Tracts'!$C$2:$Z$399,AI$1,FALSE)*AA232</f>
        <v>0.41189853836280083</v>
      </c>
      <c r="AJ232">
        <f>VLOOKUP($AC232,'2017 Seattle Tracts'!$C$2:$Z$399,AJ$1,FALSE)*AA232</f>
        <v>1.4896674838128838</v>
      </c>
      <c r="AK232">
        <f>VLOOKUP($AC232,'2017 Seattle Tracts'!$C$2:$Z$399,AK$1,FALSE)*AA232</f>
        <v>9.0888409873481874E-2</v>
      </c>
      <c r="AL232">
        <f>VLOOKUP($AC232,'2017 Seattle Tracts'!$C$2:$Z$399,AL$1,FALSE)*AA232</f>
        <v>9.6045199086161701E-2</v>
      </c>
      <c r="AM232">
        <f>VLOOKUP($AC232,'2017 Seattle Tracts'!$C$2:$Z$399,AM$1,FALSE)*AA232</f>
        <v>1.8048762244379381E-2</v>
      </c>
      <c r="AN232">
        <f>VLOOKUP($AC232,'2017 Seattle Tracts'!$C$2:$Z$399,AN$1,FALSE)*AA232</f>
        <v>0.31456414197346916</v>
      </c>
      <c r="AO232">
        <f>VLOOKUP($AC232,'2017 Seattle Tracts'!$C$2:$Z$399,AO$1,FALSE)*AA232</f>
        <v>1.9982558199134314E-2</v>
      </c>
      <c r="AP232">
        <f>VLOOKUP($AC232,'2017 Seattle Tracts'!$C$2:$Z$399,AP$1,FALSE)*AA232</f>
        <v>1.2891973031699557E-2</v>
      </c>
      <c r="AQ232">
        <f>VLOOKUP($AC232,'2017 Seattle Tracts'!$C$2:$Z$399,AQ$1,FALSE)*AA232</f>
        <v>0</v>
      </c>
      <c r="AR232">
        <f>VLOOKUP($AC232,'2017 Seattle Tracts'!$C$2:$Z$399,AR$1,FALSE)*AA232</f>
        <v>3.9320517746683645E-2</v>
      </c>
      <c r="AS232">
        <f>VLOOKUP($AC232,'2017 Seattle Tracts'!$C$2:$Z$399,AS$1,FALSE)*AA232</f>
        <v>0.18435521435330365</v>
      </c>
      <c r="AT232">
        <f>VLOOKUP($AC232,'2017 Seattle Tracts'!$C$2:$Z$399,AT$1,FALSE)*AA232</f>
        <v>4.9634096172043292E-2</v>
      </c>
      <c r="AU232">
        <f>VLOOKUP($AC232,'2017 Seattle Tracts'!$C$2:$Z$399,AU$1,FALSE)*AA232</f>
        <v>3.9320517746683645E-2</v>
      </c>
      <c r="AV232">
        <f>VLOOKUP($AC232,'2017 Seattle Tracts'!$C$2:$Z$399,AV$1,FALSE)*AA232</f>
        <v>0.11667235593688099</v>
      </c>
      <c r="AW232">
        <f>VLOOKUP($AC232,'2017 Seattle Tracts'!$C$2:$Z$399,AW$1,FALSE)*AA232</f>
        <v>5.2212490778383205E-2</v>
      </c>
      <c r="AX232">
        <f>VLOOKUP($AC232,'2017 Seattle Tracts'!$C$2:$Z$399,AX$1,FALSE)*AA232</f>
        <v>0.19982558199134312</v>
      </c>
      <c r="AY232">
        <f>VLOOKUP($AC232,'2017 Seattle Tracts'!$C$2:$Z$399,AY$1,FALSE)*AA232</f>
        <v>7.0905851674347561E-3</v>
      </c>
    </row>
    <row r="233" spans="1:51" x14ac:dyDescent="0.25">
      <c r="A233" t="s">
        <v>2917</v>
      </c>
      <c r="B233" t="s">
        <v>2918</v>
      </c>
      <c r="C233" t="s">
        <v>3098</v>
      </c>
      <c r="D233" t="s">
        <v>2533</v>
      </c>
      <c r="E233" t="s">
        <v>2534</v>
      </c>
      <c r="F233" t="s">
        <v>2535</v>
      </c>
      <c r="G233" t="s">
        <v>2920</v>
      </c>
      <c r="H233" t="s">
        <v>2921</v>
      </c>
      <c r="I233">
        <v>1275571</v>
      </c>
      <c r="J233">
        <v>1792521</v>
      </c>
      <c r="K233" t="s">
        <v>3099</v>
      </c>
      <c r="L233" t="s">
        <v>3100</v>
      </c>
      <c r="M233">
        <v>1267802</v>
      </c>
      <c r="N233">
        <v>56</v>
      </c>
      <c r="O233">
        <v>20413.057000000001</v>
      </c>
      <c r="P233" t="s">
        <v>149</v>
      </c>
      <c r="Q233">
        <v>14</v>
      </c>
      <c r="R233">
        <v>8</v>
      </c>
      <c r="S233">
        <v>19</v>
      </c>
      <c r="T233">
        <v>18091742</v>
      </c>
      <c r="U233">
        <v>58</v>
      </c>
      <c r="V233">
        <v>161</v>
      </c>
      <c r="W233">
        <v>20413.056051688221</v>
      </c>
      <c r="X233">
        <v>18091741.376667041</v>
      </c>
      <c r="Y233">
        <v>881822.07900000003</v>
      </c>
      <c r="Z233">
        <f>VLOOKUP($AC233,'2017 Seattle Tracts'!$C$2:$Z$399,24,FALSE)</f>
        <v>1267801.9820000001</v>
      </c>
      <c r="AA233">
        <f t="shared" si="7"/>
        <v>0.69555190125897748</v>
      </c>
      <c r="AB233" t="s">
        <v>152</v>
      </c>
      <c r="AC233" t="str">
        <f t="shared" si="6"/>
        <v>Census Tract 89, King County, Washington</v>
      </c>
      <c r="AD233">
        <f>VLOOKUP($AC233,'2017 Seattle Tracts'!$C$2:$Z$399,AD$1,FALSE)*AA233</f>
        <v>3984.8168423126822</v>
      </c>
      <c r="AE233">
        <f>VLOOKUP($AC233,'2017 Seattle Tracts'!$C$2:$Z$399,AE$1,FALSE)*AA233</f>
        <v>3255.8784497932734</v>
      </c>
      <c r="AF233">
        <f>VLOOKUP($AC233,'2017 Seattle Tracts'!$C$2:$Z$399,AF$1,FALSE)*AA233</f>
        <v>728.93839251940835</v>
      </c>
      <c r="AG233">
        <f>VLOOKUP($AC233,'2017 Seattle Tracts'!$C$2:$Z$399,AG$1,FALSE)*AA233</f>
        <v>3984.8168423126822</v>
      </c>
      <c r="AH233">
        <f>VLOOKUP($AC233,'2017 Seattle Tracts'!$C$2:$Z$399,AH$1,FALSE)*AA233</f>
        <v>3255.8784497932734</v>
      </c>
      <c r="AI233">
        <f>VLOOKUP($AC233,'2017 Seattle Tracts'!$C$2:$Z$399,AI$1,FALSE)*AA233</f>
        <v>728.93839251940835</v>
      </c>
      <c r="AJ233">
        <f>VLOOKUP($AC233,'2017 Seattle Tracts'!$C$2:$Z$399,AJ$1,FALSE)*AA233</f>
        <v>1808.4349432733413</v>
      </c>
      <c r="AK233">
        <f>VLOOKUP($AC233,'2017 Seattle Tracts'!$C$2:$Z$399,AK$1,FALSE)*AA233</f>
        <v>170.41021580844949</v>
      </c>
      <c r="AL233">
        <f>VLOOKUP($AC233,'2017 Seattle Tracts'!$C$2:$Z$399,AL$1,FALSE)*AA233</f>
        <v>66.077430619602865</v>
      </c>
      <c r="AM233">
        <f>VLOOKUP($AC233,'2017 Seattle Tracts'!$C$2:$Z$399,AM$1,FALSE)*AA233</f>
        <v>25.735420346582167</v>
      </c>
      <c r="AN233">
        <f>VLOOKUP($AC233,'2017 Seattle Tracts'!$C$2:$Z$399,AN$1,FALSE)*AA233</f>
        <v>708.76738738289805</v>
      </c>
      <c r="AO233">
        <f>VLOOKUP($AC233,'2017 Seattle Tracts'!$C$2:$Z$399,AO$1,FALSE)*AA233</f>
        <v>242.05206163812417</v>
      </c>
      <c r="AP233">
        <f>VLOOKUP($AC233,'2017 Seattle Tracts'!$C$2:$Z$399,AP$1,FALSE)*AA233</f>
        <v>3.4777595062948876</v>
      </c>
      <c r="AQ233">
        <f>VLOOKUP($AC233,'2017 Seattle Tracts'!$C$2:$Z$399,AQ$1,FALSE)*AA233</f>
        <v>26.430972247841144</v>
      </c>
      <c r="AR233">
        <f>VLOOKUP($AC233,'2017 Seattle Tracts'!$C$2:$Z$399,AR$1,FALSE)*AA233</f>
        <v>262.2230667746345</v>
      </c>
      <c r="AS233">
        <f>VLOOKUP($AC233,'2017 Seattle Tracts'!$C$2:$Z$399,AS$1,FALSE)*AA233</f>
        <v>199.62339566132653</v>
      </c>
      <c r="AT233">
        <f>VLOOKUP($AC233,'2017 Seattle Tracts'!$C$2:$Z$399,AT$1,FALSE)*AA233</f>
        <v>0</v>
      </c>
      <c r="AU233">
        <f>VLOOKUP($AC233,'2017 Seattle Tracts'!$C$2:$Z$399,AU$1,FALSE)*AA233</f>
        <v>0</v>
      </c>
      <c r="AV233">
        <f>VLOOKUP($AC233,'2017 Seattle Tracts'!$C$2:$Z$399,AV$1,FALSE)*AA233</f>
        <v>6.2599671113307975</v>
      </c>
      <c r="AW233">
        <f>VLOOKUP($AC233,'2017 Seattle Tracts'!$C$2:$Z$399,AW$1,FALSE)*AA233</f>
        <v>4.1733114075538644</v>
      </c>
      <c r="AX233">
        <f>VLOOKUP($AC233,'2017 Seattle Tracts'!$C$2:$Z$399,AX$1,FALSE)*AA233</f>
        <v>400.63789512517104</v>
      </c>
      <c r="AY233">
        <f>VLOOKUP($AC233,'2017 Seattle Tracts'!$C$2:$Z$399,AY$1,FALSE)*AA233</f>
        <v>60.513015409531043</v>
      </c>
    </row>
    <row r="234" spans="1:51" x14ac:dyDescent="0.25">
      <c r="A234" t="s">
        <v>2917</v>
      </c>
      <c r="B234" t="s">
        <v>2918</v>
      </c>
      <c r="C234" t="s">
        <v>3098</v>
      </c>
      <c r="D234" t="s">
        <v>2533</v>
      </c>
      <c r="E234" t="s">
        <v>2534</v>
      </c>
      <c r="F234" t="s">
        <v>2535</v>
      </c>
      <c r="G234" t="s">
        <v>2920</v>
      </c>
      <c r="H234" t="s">
        <v>2921</v>
      </c>
      <c r="I234">
        <v>1275571</v>
      </c>
      <c r="J234">
        <v>1792521</v>
      </c>
      <c r="K234" t="s">
        <v>3099</v>
      </c>
      <c r="L234" t="s">
        <v>3100</v>
      </c>
      <c r="M234">
        <v>1267802</v>
      </c>
      <c r="N234">
        <v>58</v>
      </c>
      <c r="O234">
        <v>25426.23</v>
      </c>
      <c r="P234" t="s">
        <v>149</v>
      </c>
      <c r="Q234">
        <v>14</v>
      </c>
      <c r="R234">
        <v>8</v>
      </c>
      <c r="S234">
        <v>24</v>
      </c>
      <c r="T234">
        <v>20664986</v>
      </c>
      <c r="U234">
        <v>60</v>
      </c>
      <c r="V234">
        <v>165</v>
      </c>
      <c r="W234">
        <v>25426.231162667511</v>
      </c>
      <c r="X234">
        <v>20664986.272921581</v>
      </c>
      <c r="Y234">
        <v>384400.32799999998</v>
      </c>
      <c r="Z234">
        <f>VLOOKUP($AC234,'2017 Seattle Tracts'!$C$2:$Z$399,24,FALSE)</f>
        <v>1267801.9820000001</v>
      </c>
      <c r="AA234">
        <f t="shared" si="7"/>
        <v>0.30320218256292325</v>
      </c>
      <c r="AB234" t="s">
        <v>154</v>
      </c>
      <c r="AC234" t="str">
        <f t="shared" si="6"/>
        <v>Census Tract 89, King County, Washington</v>
      </c>
      <c r="AD234">
        <f>VLOOKUP($AC234,'2017 Seattle Tracts'!$C$2:$Z$399,AD$1,FALSE)*AA234</f>
        <v>1737.0453039029874</v>
      </c>
      <c r="AE234">
        <f>VLOOKUP($AC234,'2017 Seattle Tracts'!$C$2:$Z$399,AE$1,FALSE)*AA234</f>
        <v>1419.2894165770438</v>
      </c>
      <c r="AF234">
        <f>VLOOKUP($AC234,'2017 Seattle Tracts'!$C$2:$Z$399,AF$1,FALSE)*AA234</f>
        <v>317.75588732594355</v>
      </c>
      <c r="AG234">
        <f>VLOOKUP($AC234,'2017 Seattle Tracts'!$C$2:$Z$399,AG$1,FALSE)*AA234</f>
        <v>1737.0453039029874</v>
      </c>
      <c r="AH234">
        <f>VLOOKUP($AC234,'2017 Seattle Tracts'!$C$2:$Z$399,AH$1,FALSE)*AA234</f>
        <v>1419.2894165770438</v>
      </c>
      <c r="AI234">
        <f>VLOOKUP($AC234,'2017 Seattle Tracts'!$C$2:$Z$399,AI$1,FALSE)*AA234</f>
        <v>317.75588732594355</v>
      </c>
      <c r="AJ234">
        <f>VLOOKUP($AC234,'2017 Seattle Tracts'!$C$2:$Z$399,AJ$1,FALSE)*AA234</f>
        <v>788.32567466360047</v>
      </c>
      <c r="AK234">
        <f>VLOOKUP($AC234,'2017 Seattle Tracts'!$C$2:$Z$399,AK$1,FALSE)*AA234</f>
        <v>74.284534727916196</v>
      </c>
      <c r="AL234">
        <f>VLOOKUP($AC234,'2017 Seattle Tracts'!$C$2:$Z$399,AL$1,FALSE)*AA234</f>
        <v>28.80420734347771</v>
      </c>
      <c r="AM234">
        <f>VLOOKUP($AC234,'2017 Seattle Tracts'!$C$2:$Z$399,AM$1,FALSE)*AA234</f>
        <v>11.21848075482816</v>
      </c>
      <c r="AN234">
        <f>VLOOKUP($AC234,'2017 Seattle Tracts'!$C$2:$Z$399,AN$1,FALSE)*AA234</f>
        <v>308.96302403161877</v>
      </c>
      <c r="AO234">
        <f>VLOOKUP($AC234,'2017 Seattle Tracts'!$C$2:$Z$399,AO$1,FALSE)*AA234</f>
        <v>105.51435953189728</v>
      </c>
      <c r="AP234">
        <f>VLOOKUP($AC234,'2017 Seattle Tracts'!$C$2:$Z$399,AP$1,FALSE)*AA234</f>
        <v>1.5160109128146162</v>
      </c>
      <c r="AQ234">
        <f>VLOOKUP($AC234,'2017 Seattle Tracts'!$C$2:$Z$399,AQ$1,FALSE)*AA234</f>
        <v>11.521682937391084</v>
      </c>
      <c r="AR234">
        <f>VLOOKUP($AC234,'2017 Seattle Tracts'!$C$2:$Z$399,AR$1,FALSE)*AA234</f>
        <v>114.30722282622206</v>
      </c>
      <c r="AS234">
        <f>VLOOKUP($AC234,'2017 Seattle Tracts'!$C$2:$Z$399,AS$1,FALSE)*AA234</f>
        <v>87.019026395558967</v>
      </c>
      <c r="AT234">
        <f>VLOOKUP($AC234,'2017 Seattle Tracts'!$C$2:$Z$399,AT$1,FALSE)*AA234</f>
        <v>0</v>
      </c>
      <c r="AU234">
        <f>VLOOKUP($AC234,'2017 Seattle Tracts'!$C$2:$Z$399,AU$1,FALSE)*AA234</f>
        <v>0</v>
      </c>
      <c r="AV234">
        <f>VLOOKUP($AC234,'2017 Seattle Tracts'!$C$2:$Z$399,AV$1,FALSE)*AA234</f>
        <v>2.7288196430663092</v>
      </c>
      <c r="AW234">
        <f>VLOOKUP($AC234,'2017 Seattle Tracts'!$C$2:$Z$399,AW$1,FALSE)*AA234</f>
        <v>1.8192130953775396</v>
      </c>
      <c r="AX234">
        <f>VLOOKUP($AC234,'2017 Seattle Tracts'!$C$2:$Z$399,AX$1,FALSE)*AA234</f>
        <v>174.64445715624379</v>
      </c>
      <c r="AY234">
        <f>VLOOKUP($AC234,'2017 Seattle Tracts'!$C$2:$Z$399,AY$1,FALSE)*AA234</f>
        <v>26.378589882974321</v>
      </c>
    </row>
    <row r="235" spans="1:51" x14ac:dyDescent="0.25">
      <c r="A235" t="s">
        <v>2917</v>
      </c>
      <c r="B235" t="s">
        <v>2918</v>
      </c>
      <c r="C235" t="s">
        <v>3098</v>
      </c>
      <c r="D235" t="s">
        <v>2533</v>
      </c>
      <c r="E235" t="s">
        <v>2534</v>
      </c>
      <c r="F235" t="s">
        <v>2535</v>
      </c>
      <c r="G235" t="s">
        <v>2920</v>
      </c>
      <c r="H235" t="s">
        <v>2921</v>
      </c>
      <c r="I235">
        <v>1275571</v>
      </c>
      <c r="J235">
        <v>1792521</v>
      </c>
      <c r="K235" t="s">
        <v>3099</v>
      </c>
      <c r="L235" t="s">
        <v>3100</v>
      </c>
      <c r="M235">
        <v>1267802</v>
      </c>
      <c r="N235">
        <v>87</v>
      </c>
      <c r="O235">
        <v>26318.982</v>
      </c>
      <c r="P235" t="s">
        <v>184</v>
      </c>
      <c r="Q235">
        <v>15</v>
      </c>
      <c r="R235">
        <v>4</v>
      </c>
      <c r="S235">
        <v>23</v>
      </c>
      <c r="T235">
        <v>28986996</v>
      </c>
      <c r="U235">
        <v>89</v>
      </c>
      <c r="V235">
        <v>170</v>
      </c>
      <c r="W235">
        <v>26318.98190548713</v>
      </c>
      <c r="X235">
        <v>28986995.234481908</v>
      </c>
      <c r="Y235">
        <v>176.81899999999999</v>
      </c>
      <c r="Z235">
        <f>VLOOKUP($AC235,'2017 Seattle Tracts'!$C$2:$Z$399,24,FALSE)</f>
        <v>1267801.9820000001</v>
      </c>
      <c r="AA235">
        <f t="shared" si="7"/>
        <v>1.3946894113626648E-4</v>
      </c>
      <c r="AB235" t="s">
        <v>188</v>
      </c>
      <c r="AC235" t="str">
        <f t="shared" si="6"/>
        <v>Census Tract 89, King County, Washington</v>
      </c>
      <c r="AD235">
        <f>VLOOKUP($AC235,'2017 Seattle Tracts'!$C$2:$Z$399,AD$1,FALSE)*AA235</f>
        <v>0.7990175637696707</v>
      </c>
      <c r="AE235">
        <f>VLOOKUP($AC235,'2017 Seattle Tracts'!$C$2:$Z$399,AE$1,FALSE)*AA235</f>
        <v>0.65285411345886335</v>
      </c>
      <c r="AF235">
        <f>VLOOKUP($AC235,'2017 Seattle Tracts'!$C$2:$Z$399,AF$1,FALSE)*AA235</f>
        <v>0.14616345031080727</v>
      </c>
      <c r="AG235">
        <f>VLOOKUP($AC235,'2017 Seattle Tracts'!$C$2:$Z$399,AG$1,FALSE)*AA235</f>
        <v>0.7990175637696707</v>
      </c>
      <c r="AH235">
        <f>VLOOKUP($AC235,'2017 Seattle Tracts'!$C$2:$Z$399,AH$1,FALSE)*AA235</f>
        <v>0.65285411345886335</v>
      </c>
      <c r="AI235">
        <f>VLOOKUP($AC235,'2017 Seattle Tracts'!$C$2:$Z$399,AI$1,FALSE)*AA235</f>
        <v>0.14616345031080727</v>
      </c>
      <c r="AJ235">
        <f>VLOOKUP($AC235,'2017 Seattle Tracts'!$C$2:$Z$399,AJ$1,FALSE)*AA235</f>
        <v>0.36261924695429287</v>
      </c>
      <c r="AK235">
        <f>VLOOKUP($AC235,'2017 Seattle Tracts'!$C$2:$Z$399,AK$1,FALSE)*AA235</f>
        <v>3.4169890578385285E-2</v>
      </c>
      <c r="AL235">
        <f>VLOOKUP($AC235,'2017 Seattle Tracts'!$C$2:$Z$399,AL$1,FALSE)*AA235</f>
        <v>1.3249549407945316E-2</v>
      </c>
      <c r="AM235">
        <f>VLOOKUP($AC235,'2017 Seattle Tracts'!$C$2:$Z$399,AM$1,FALSE)*AA235</f>
        <v>5.1603508220418601E-3</v>
      </c>
      <c r="AN235">
        <f>VLOOKUP($AC235,'2017 Seattle Tracts'!$C$2:$Z$399,AN$1,FALSE)*AA235</f>
        <v>0.14211885101785554</v>
      </c>
      <c r="AO235">
        <f>VLOOKUP($AC235,'2017 Seattle Tracts'!$C$2:$Z$399,AO$1,FALSE)*AA235</f>
        <v>4.8535191515420732E-2</v>
      </c>
      <c r="AP235">
        <f>VLOOKUP($AC235,'2017 Seattle Tracts'!$C$2:$Z$399,AP$1,FALSE)*AA235</f>
        <v>6.973447056813324E-4</v>
      </c>
      <c r="AQ235">
        <f>VLOOKUP($AC235,'2017 Seattle Tracts'!$C$2:$Z$399,AQ$1,FALSE)*AA235</f>
        <v>5.2998197631781265E-3</v>
      </c>
      <c r="AR235">
        <f>VLOOKUP($AC235,'2017 Seattle Tracts'!$C$2:$Z$399,AR$1,FALSE)*AA235</f>
        <v>5.257979080837246E-2</v>
      </c>
      <c r="AS235">
        <f>VLOOKUP($AC235,'2017 Seattle Tracts'!$C$2:$Z$399,AS$1,FALSE)*AA235</f>
        <v>4.002758610610848E-2</v>
      </c>
      <c r="AT235">
        <f>VLOOKUP($AC235,'2017 Seattle Tracts'!$C$2:$Z$399,AT$1,FALSE)*AA235</f>
        <v>0</v>
      </c>
      <c r="AU235">
        <f>VLOOKUP($AC235,'2017 Seattle Tracts'!$C$2:$Z$399,AU$1,FALSE)*AA235</f>
        <v>0</v>
      </c>
      <c r="AV235">
        <f>VLOOKUP($AC235,'2017 Seattle Tracts'!$C$2:$Z$399,AV$1,FALSE)*AA235</f>
        <v>1.2552204702263982E-3</v>
      </c>
      <c r="AW235">
        <f>VLOOKUP($AC235,'2017 Seattle Tracts'!$C$2:$Z$399,AW$1,FALSE)*AA235</f>
        <v>8.3681364681759888E-4</v>
      </c>
      <c r="AX235">
        <f>VLOOKUP($AC235,'2017 Seattle Tracts'!$C$2:$Z$399,AX$1,FALSE)*AA235</f>
        <v>8.0334110094489486E-2</v>
      </c>
      <c r="AY235">
        <f>VLOOKUP($AC235,'2017 Seattle Tracts'!$C$2:$Z$399,AY$1,FALSE)*AA235</f>
        <v>1.2133797878855183E-2</v>
      </c>
    </row>
    <row r="236" spans="1:51" x14ac:dyDescent="0.25">
      <c r="A236" t="s">
        <v>2917</v>
      </c>
      <c r="B236" t="s">
        <v>2918</v>
      </c>
      <c r="C236" t="s">
        <v>3101</v>
      </c>
      <c r="D236" t="s">
        <v>2527</v>
      </c>
      <c r="E236" t="s">
        <v>2528</v>
      </c>
      <c r="F236" t="s">
        <v>2529</v>
      </c>
      <c r="G236" t="s">
        <v>2920</v>
      </c>
      <c r="H236" t="s">
        <v>2921</v>
      </c>
      <c r="I236">
        <v>820732</v>
      </c>
      <c r="J236">
        <v>0</v>
      </c>
      <c r="K236" t="s">
        <v>3102</v>
      </c>
      <c r="L236" t="s">
        <v>3103</v>
      </c>
      <c r="M236">
        <v>820732</v>
      </c>
      <c r="N236">
        <v>55</v>
      </c>
      <c r="O236">
        <v>18241.548999999999</v>
      </c>
      <c r="P236" t="s">
        <v>149</v>
      </c>
      <c r="Q236">
        <v>14</v>
      </c>
      <c r="R236">
        <v>8</v>
      </c>
      <c r="S236">
        <v>94</v>
      </c>
      <c r="T236">
        <v>17933144</v>
      </c>
      <c r="U236">
        <v>57</v>
      </c>
      <c r="V236">
        <v>157</v>
      </c>
      <c r="W236">
        <v>18241.548785981169</v>
      </c>
      <c r="X236">
        <v>17933144.708401948</v>
      </c>
      <c r="Y236">
        <v>247.77</v>
      </c>
      <c r="Z236">
        <f>VLOOKUP($AC236,'2017 Seattle Tracts'!$C$2:$Z$399,24,FALSE)</f>
        <v>820732.11199999996</v>
      </c>
      <c r="AA236">
        <f t="shared" si="7"/>
        <v>3.0188900419190622E-4</v>
      </c>
      <c r="AB236" t="s">
        <v>151</v>
      </c>
      <c r="AC236" t="str">
        <f t="shared" si="6"/>
        <v>Census Tract 90, King County, Washington</v>
      </c>
      <c r="AD236">
        <f>VLOOKUP($AC236,'2017 Seattle Tracts'!$C$2:$Z$399,AD$1,FALSE)*AA236</f>
        <v>1.1094420904052553</v>
      </c>
      <c r="AE236">
        <f>VLOOKUP($AC236,'2017 Seattle Tracts'!$C$2:$Z$399,AE$1,FALSE)*AA236</f>
        <v>0.71215616088870681</v>
      </c>
      <c r="AF236">
        <f>VLOOKUP($AC236,'2017 Seattle Tracts'!$C$2:$Z$399,AF$1,FALSE)*AA236</f>
        <v>0.39728592951654856</v>
      </c>
      <c r="AG236">
        <f>VLOOKUP($AC236,'2017 Seattle Tracts'!$C$2:$Z$399,AG$1,FALSE)*AA236</f>
        <v>1.1094420904052553</v>
      </c>
      <c r="AH236">
        <f>VLOOKUP($AC236,'2017 Seattle Tracts'!$C$2:$Z$399,AH$1,FALSE)*AA236</f>
        <v>0.71215616088870681</v>
      </c>
      <c r="AI236">
        <f>VLOOKUP($AC236,'2017 Seattle Tracts'!$C$2:$Z$399,AI$1,FALSE)*AA236</f>
        <v>0.39728592951654856</v>
      </c>
      <c r="AJ236">
        <f>VLOOKUP($AC236,'2017 Seattle Tracts'!$C$2:$Z$399,AJ$1,FALSE)*AA236</f>
        <v>0.35592713594225744</v>
      </c>
      <c r="AK236">
        <f>VLOOKUP($AC236,'2017 Seattle Tracts'!$C$2:$Z$399,AK$1,FALSE)*AA236</f>
        <v>4.618901764136165E-2</v>
      </c>
      <c r="AL236">
        <f>VLOOKUP($AC236,'2017 Seattle Tracts'!$C$2:$Z$399,AL$1,FALSE)*AA236</f>
        <v>1.9622785272473905E-2</v>
      </c>
      <c r="AM236">
        <f>VLOOKUP($AC236,'2017 Seattle Tracts'!$C$2:$Z$399,AM$1,FALSE)*AA236</f>
        <v>6.9434470964138432E-3</v>
      </c>
      <c r="AN236">
        <f>VLOOKUP($AC236,'2017 Seattle Tracts'!$C$2:$Z$399,AN$1,FALSE)*AA236</f>
        <v>0.17358617741034607</v>
      </c>
      <c r="AO236">
        <f>VLOOKUP($AC236,'2017 Seattle Tracts'!$C$2:$Z$399,AO$1,FALSE)*AA236</f>
        <v>0.13343493985282254</v>
      </c>
      <c r="AP236">
        <f>VLOOKUP($AC236,'2017 Seattle Tracts'!$C$2:$Z$399,AP$1,FALSE)*AA236</f>
        <v>1.2377449171868156E-2</v>
      </c>
      <c r="AQ236">
        <f>VLOOKUP($AC236,'2017 Seattle Tracts'!$C$2:$Z$399,AQ$1,FALSE)*AA236</f>
        <v>0</v>
      </c>
      <c r="AR236">
        <f>VLOOKUP($AC236,'2017 Seattle Tracts'!$C$2:$Z$399,AR$1,FALSE)*AA236</f>
        <v>7.426469503120893E-2</v>
      </c>
      <c r="AS236">
        <f>VLOOKUP($AC236,'2017 Seattle Tracts'!$C$2:$Z$399,AS$1,FALSE)*AA236</f>
        <v>0.19320896268281998</v>
      </c>
      <c r="AT236">
        <f>VLOOKUP($AC236,'2017 Seattle Tracts'!$C$2:$Z$399,AT$1,FALSE)*AA236</f>
        <v>3.3207790461109686E-3</v>
      </c>
      <c r="AU236">
        <f>VLOOKUP($AC236,'2017 Seattle Tracts'!$C$2:$Z$399,AU$1,FALSE)*AA236</f>
        <v>0</v>
      </c>
      <c r="AV236">
        <f>VLOOKUP($AC236,'2017 Seattle Tracts'!$C$2:$Z$399,AV$1,FALSE)*AA236</f>
        <v>2.4151120335352497E-3</v>
      </c>
      <c r="AW236">
        <f>VLOOKUP($AC236,'2017 Seattle Tracts'!$C$2:$Z$399,AW$1,FALSE)*AA236</f>
        <v>0</v>
      </c>
      <c r="AX236">
        <f>VLOOKUP($AC236,'2017 Seattle Tracts'!$C$2:$Z$399,AX$1,FALSE)*AA236</f>
        <v>7.0642026980906061E-2</v>
      </c>
      <c r="AY236">
        <f>VLOOKUP($AC236,'2017 Seattle Tracts'!$C$2:$Z$399,AY$1,FALSE)*AA236</f>
        <v>1.750956224313056E-2</v>
      </c>
    </row>
    <row r="237" spans="1:51" x14ac:dyDescent="0.25">
      <c r="A237" t="s">
        <v>2917</v>
      </c>
      <c r="B237" t="s">
        <v>2918</v>
      </c>
      <c r="C237" t="s">
        <v>3101</v>
      </c>
      <c r="D237" t="s">
        <v>2527</v>
      </c>
      <c r="E237" t="s">
        <v>2528</v>
      </c>
      <c r="F237" t="s">
        <v>2529</v>
      </c>
      <c r="G237" t="s">
        <v>2920</v>
      </c>
      <c r="H237" t="s">
        <v>2921</v>
      </c>
      <c r="I237">
        <v>820732</v>
      </c>
      <c r="J237">
        <v>0</v>
      </c>
      <c r="K237" t="s">
        <v>3102</v>
      </c>
      <c r="L237" t="s">
        <v>3103</v>
      </c>
      <c r="M237">
        <v>820732</v>
      </c>
      <c r="N237">
        <v>58</v>
      </c>
      <c r="O237">
        <v>25426.23</v>
      </c>
      <c r="P237" t="s">
        <v>149</v>
      </c>
      <c r="Q237">
        <v>14</v>
      </c>
      <c r="R237">
        <v>8</v>
      </c>
      <c r="S237">
        <v>24</v>
      </c>
      <c r="T237">
        <v>20664986</v>
      </c>
      <c r="U237">
        <v>60</v>
      </c>
      <c r="V237">
        <v>165</v>
      </c>
      <c r="W237">
        <v>25426.231162667511</v>
      </c>
      <c r="X237">
        <v>20664986.272921581</v>
      </c>
      <c r="Y237">
        <v>694206.68900000001</v>
      </c>
      <c r="Z237">
        <f>VLOOKUP($AC237,'2017 Seattle Tracts'!$C$2:$Z$399,24,FALSE)</f>
        <v>820732.11199999996</v>
      </c>
      <c r="AA237">
        <f t="shared" si="7"/>
        <v>0.84583834219465759</v>
      </c>
      <c r="AB237" t="s">
        <v>154</v>
      </c>
      <c r="AC237" t="str">
        <f t="shared" si="6"/>
        <v>Census Tract 90, King County, Washington</v>
      </c>
      <c r="AD237">
        <f>VLOOKUP($AC237,'2017 Seattle Tracts'!$C$2:$Z$399,AD$1,FALSE)*AA237</f>
        <v>3108.4559075653665</v>
      </c>
      <c r="AE237">
        <f>VLOOKUP($AC237,'2017 Seattle Tracts'!$C$2:$Z$399,AE$1,FALSE)*AA237</f>
        <v>1995.3326492371973</v>
      </c>
      <c r="AF237">
        <f>VLOOKUP($AC237,'2017 Seattle Tracts'!$C$2:$Z$399,AF$1,FALSE)*AA237</f>
        <v>1113.1232583281694</v>
      </c>
      <c r="AG237">
        <f>VLOOKUP($AC237,'2017 Seattle Tracts'!$C$2:$Z$399,AG$1,FALSE)*AA237</f>
        <v>3108.4559075653665</v>
      </c>
      <c r="AH237">
        <f>VLOOKUP($AC237,'2017 Seattle Tracts'!$C$2:$Z$399,AH$1,FALSE)*AA237</f>
        <v>1995.3326492371973</v>
      </c>
      <c r="AI237">
        <f>VLOOKUP($AC237,'2017 Seattle Tracts'!$C$2:$Z$399,AI$1,FALSE)*AA237</f>
        <v>1113.1232583281694</v>
      </c>
      <c r="AJ237">
        <f>VLOOKUP($AC237,'2017 Seattle Tracts'!$C$2:$Z$399,AJ$1,FALSE)*AA237</f>
        <v>997.24340544750135</v>
      </c>
      <c r="AK237">
        <f>VLOOKUP($AC237,'2017 Seattle Tracts'!$C$2:$Z$399,AK$1,FALSE)*AA237</f>
        <v>129.41326635578261</v>
      </c>
      <c r="AL237">
        <f>VLOOKUP($AC237,'2017 Seattle Tracts'!$C$2:$Z$399,AL$1,FALSE)*AA237</f>
        <v>54.979492242652746</v>
      </c>
      <c r="AM237">
        <f>VLOOKUP($AC237,'2017 Seattle Tracts'!$C$2:$Z$399,AM$1,FALSE)*AA237</f>
        <v>19.454281870477125</v>
      </c>
      <c r="AN237">
        <f>VLOOKUP($AC237,'2017 Seattle Tracts'!$C$2:$Z$399,AN$1,FALSE)*AA237</f>
        <v>486.35704676192813</v>
      </c>
      <c r="AO237">
        <f>VLOOKUP($AC237,'2017 Seattle Tracts'!$C$2:$Z$399,AO$1,FALSE)*AA237</f>
        <v>373.86054725003868</v>
      </c>
      <c r="AP237">
        <f>VLOOKUP($AC237,'2017 Seattle Tracts'!$C$2:$Z$399,AP$1,FALSE)*AA237</f>
        <v>34.679372029980961</v>
      </c>
      <c r="AQ237">
        <f>VLOOKUP($AC237,'2017 Seattle Tracts'!$C$2:$Z$399,AQ$1,FALSE)*AA237</f>
        <v>0</v>
      </c>
      <c r="AR237">
        <f>VLOOKUP($AC237,'2017 Seattle Tracts'!$C$2:$Z$399,AR$1,FALSE)*AA237</f>
        <v>208.07623217988578</v>
      </c>
      <c r="AS237">
        <f>VLOOKUP($AC237,'2017 Seattle Tracts'!$C$2:$Z$399,AS$1,FALSE)*AA237</f>
        <v>541.3365390045808</v>
      </c>
      <c r="AT237">
        <f>VLOOKUP($AC237,'2017 Seattle Tracts'!$C$2:$Z$399,AT$1,FALSE)*AA237</f>
        <v>9.3042217641412339</v>
      </c>
      <c r="AU237">
        <f>VLOOKUP($AC237,'2017 Seattle Tracts'!$C$2:$Z$399,AU$1,FALSE)*AA237</f>
        <v>0</v>
      </c>
      <c r="AV237">
        <f>VLOOKUP($AC237,'2017 Seattle Tracts'!$C$2:$Z$399,AV$1,FALSE)*AA237</f>
        <v>6.7667067375572607</v>
      </c>
      <c r="AW237">
        <f>VLOOKUP($AC237,'2017 Seattle Tracts'!$C$2:$Z$399,AW$1,FALSE)*AA237</f>
        <v>0</v>
      </c>
      <c r="AX237">
        <f>VLOOKUP($AC237,'2017 Seattle Tracts'!$C$2:$Z$399,AX$1,FALSE)*AA237</f>
        <v>197.92617207354988</v>
      </c>
      <c r="AY237">
        <f>VLOOKUP($AC237,'2017 Seattle Tracts'!$C$2:$Z$399,AY$1,FALSE)*AA237</f>
        <v>49.058623847290143</v>
      </c>
    </row>
    <row r="238" spans="1:51" x14ac:dyDescent="0.25">
      <c r="A238" t="s">
        <v>2917</v>
      </c>
      <c r="B238" t="s">
        <v>2918</v>
      </c>
      <c r="C238" t="s">
        <v>3101</v>
      </c>
      <c r="D238" t="s">
        <v>2527</v>
      </c>
      <c r="E238" t="s">
        <v>2528</v>
      </c>
      <c r="F238" t="s">
        <v>2529</v>
      </c>
      <c r="G238" t="s">
        <v>2920</v>
      </c>
      <c r="H238" t="s">
        <v>2921</v>
      </c>
      <c r="I238">
        <v>820732</v>
      </c>
      <c r="J238">
        <v>0</v>
      </c>
      <c r="K238" t="s">
        <v>3102</v>
      </c>
      <c r="L238" t="s">
        <v>3103</v>
      </c>
      <c r="M238">
        <v>820732</v>
      </c>
      <c r="N238">
        <v>61</v>
      </c>
      <c r="O238">
        <v>11772.387000000001</v>
      </c>
      <c r="P238" t="s">
        <v>156</v>
      </c>
      <c r="Q238">
        <v>13</v>
      </c>
      <c r="R238">
        <v>11</v>
      </c>
      <c r="S238">
        <v>94</v>
      </c>
      <c r="T238">
        <v>6169376</v>
      </c>
      <c r="U238">
        <v>63</v>
      </c>
      <c r="V238">
        <v>164</v>
      </c>
      <c r="W238">
        <v>11772.387141002069</v>
      </c>
      <c r="X238">
        <v>6169375.8166330215</v>
      </c>
      <c r="Y238">
        <v>126007.173</v>
      </c>
      <c r="Z238">
        <f>VLOOKUP($AC238,'2017 Seattle Tracts'!$C$2:$Z$399,24,FALSE)</f>
        <v>820732.11199999996</v>
      </c>
      <c r="AA238">
        <f t="shared" si="7"/>
        <v>0.15353020937969586</v>
      </c>
      <c r="AB238" t="s">
        <v>158</v>
      </c>
      <c r="AC238" t="str">
        <f t="shared" si="6"/>
        <v>Census Tract 90, King County, Washington</v>
      </c>
      <c r="AD238">
        <f>VLOOKUP($AC238,'2017 Seattle Tracts'!$C$2:$Z$399,AD$1,FALSE)*AA238</f>
        <v>564.22351947038226</v>
      </c>
      <c r="AE238">
        <f>VLOOKUP($AC238,'2017 Seattle Tracts'!$C$2:$Z$399,AE$1,FALSE)*AA238</f>
        <v>362.17776392670254</v>
      </c>
      <c r="AF238">
        <f>VLOOKUP($AC238,'2017 Seattle Tracts'!$C$2:$Z$399,AF$1,FALSE)*AA238</f>
        <v>202.04575554367975</v>
      </c>
      <c r="AG238">
        <f>VLOOKUP($AC238,'2017 Seattle Tracts'!$C$2:$Z$399,AG$1,FALSE)*AA238</f>
        <v>564.22351947038226</v>
      </c>
      <c r="AH238">
        <f>VLOOKUP($AC238,'2017 Seattle Tracts'!$C$2:$Z$399,AH$1,FALSE)*AA238</f>
        <v>362.17776392670254</v>
      </c>
      <c r="AI238">
        <f>VLOOKUP($AC238,'2017 Seattle Tracts'!$C$2:$Z$399,AI$1,FALSE)*AA238</f>
        <v>202.04575554367975</v>
      </c>
      <c r="AJ238">
        <f>VLOOKUP($AC238,'2017 Seattle Tracts'!$C$2:$Z$399,AJ$1,FALSE)*AA238</f>
        <v>181.01211685866141</v>
      </c>
      <c r="AK238">
        <f>VLOOKUP($AC238,'2017 Seattle Tracts'!$C$2:$Z$399,AK$1,FALSE)*AA238</f>
        <v>23.490122035093467</v>
      </c>
      <c r="AL238">
        <f>VLOOKUP($AC238,'2017 Seattle Tracts'!$C$2:$Z$399,AL$1,FALSE)*AA238</f>
        <v>9.9794636096802307</v>
      </c>
      <c r="AM238">
        <f>VLOOKUP($AC238,'2017 Seattle Tracts'!$C$2:$Z$399,AM$1,FALSE)*AA238</f>
        <v>3.5311948157330049</v>
      </c>
      <c r="AN238">
        <f>VLOOKUP($AC238,'2017 Seattle Tracts'!$C$2:$Z$399,AN$1,FALSE)*AA238</f>
        <v>88.279870393325112</v>
      </c>
      <c r="AO238">
        <f>VLOOKUP($AC238,'2017 Seattle Tracts'!$C$2:$Z$399,AO$1,FALSE)*AA238</f>
        <v>67.860352545825563</v>
      </c>
      <c r="AP238">
        <f>VLOOKUP($AC238,'2017 Seattle Tracts'!$C$2:$Z$399,AP$1,FALSE)*AA238</f>
        <v>6.2947385845675301</v>
      </c>
      <c r="AQ238">
        <f>VLOOKUP($AC238,'2017 Seattle Tracts'!$C$2:$Z$399,AQ$1,FALSE)*AA238</f>
        <v>0</v>
      </c>
      <c r="AR238">
        <f>VLOOKUP($AC238,'2017 Seattle Tracts'!$C$2:$Z$399,AR$1,FALSE)*AA238</f>
        <v>37.768431507405182</v>
      </c>
      <c r="AS238">
        <f>VLOOKUP($AC238,'2017 Seattle Tracts'!$C$2:$Z$399,AS$1,FALSE)*AA238</f>
        <v>98.25933400300535</v>
      </c>
      <c r="AT238">
        <f>VLOOKUP($AC238,'2017 Seattle Tracts'!$C$2:$Z$399,AT$1,FALSE)*AA238</f>
        <v>1.6888323031766546</v>
      </c>
      <c r="AU238">
        <f>VLOOKUP($AC238,'2017 Seattle Tracts'!$C$2:$Z$399,AU$1,FALSE)*AA238</f>
        <v>0</v>
      </c>
      <c r="AV238">
        <f>VLOOKUP($AC238,'2017 Seattle Tracts'!$C$2:$Z$399,AV$1,FALSE)*AA238</f>
        <v>1.2282416750375669</v>
      </c>
      <c r="AW238">
        <f>VLOOKUP($AC238,'2017 Seattle Tracts'!$C$2:$Z$399,AW$1,FALSE)*AA238</f>
        <v>0</v>
      </c>
      <c r="AX238">
        <f>VLOOKUP($AC238,'2017 Seattle Tracts'!$C$2:$Z$399,AX$1,FALSE)*AA238</f>
        <v>35.926068994848833</v>
      </c>
      <c r="AY238">
        <f>VLOOKUP($AC238,'2017 Seattle Tracts'!$C$2:$Z$399,AY$1,FALSE)*AA238</f>
        <v>8.9047521440223605</v>
      </c>
    </row>
    <row r="239" spans="1:51" x14ac:dyDescent="0.25">
      <c r="A239" t="s">
        <v>2917</v>
      </c>
      <c r="B239" t="s">
        <v>2918</v>
      </c>
      <c r="C239" t="s">
        <v>3101</v>
      </c>
      <c r="D239" t="s">
        <v>2527</v>
      </c>
      <c r="E239" t="s">
        <v>2528</v>
      </c>
      <c r="F239" t="s">
        <v>2529</v>
      </c>
      <c r="G239" t="s">
        <v>2920</v>
      </c>
      <c r="H239" t="s">
        <v>2921</v>
      </c>
      <c r="I239">
        <v>820732</v>
      </c>
      <c r="J239">
        <v>0</v>
      </c>
      <c r="K239" t="s">
        <v>3102</v>
      </c>
      <c r="L239" t="s">
        <v>3103</v>
      </c>
      <c r="M239">
        <v>820732</v>
      </c>
      <c r="N239">
        <v>64</v>
      </c>
      <c r="O239">
        <v>9611.3540000000012</v>
      </c>
      <c r="P239" t="s">
        <v>156</v>
      </c>
      <c r="Q239">
        <v>13</v>
      </c>
      <c r="R239">
        <v>11</v>
      </c>
      <c r="S239">
        <v>81</v>
      </c>
      <c r="T239">
        <v>5348937.5</v>
      </c>
      <c r="U239">
        <v>66</v>
      </c>
      <c r="V239">
        <v>162</v>
      </c>
      <c r="W239">
        <v>9611.3535464166052</v>
      </c>
      <c r="X239">
        <v>5348937.2476122174</v>
      </c>
      <c r="Y239">
        <v>91.328999999999994</v>
      </c>
      <c r="Z239">
        <f>VLOOKUP($AC239,'2017 Seattle Tracts'!$C$2:$Z$399,24,FALSE)</f>
        <v>820732.11199999996</v>
      </c>
      <c r="AA239">
        <f t="shared" si="7"/>
        <v>1.1127747856416272E-4</v>
      </c>
      <c r="AB239" t="s">
        <v>161</v>
      </c>
      <c r="AC239" t="str">
        <f t="shared" si="6"/>
        <v>Census Tract 90, King County, Washington</v>
      </c>
      <c r="AD239">
        <f>VLOOKUP($AC239,'2017 Seattle Tracts'!$C$2:$Z$399,AD$1,FALSE)*AA239</f>
        <v>0.40894473372329798</v>
      </c>
      <c r="AE239">
        <f>VLOOKUP($AC239,'2017 Seattle Tracts'!$C$2:$Z$399,AE$1,FALSE)*AA239</f>
        <v>0.26250357193285984</v>
      </c>
      <c r="AF239">
        <f>VLOOKUP($AC239,'2017 Seattle Tracts'!$C$2:$Z$399,AF$1,FALSE)*AA239</f>
        <v>0.14644116179043815</v>
      </c>
      <c r="AG239">
        <f>VLOOKUP($AC239,'2017 Seattle Tracts'!$C$2:$Z$399,AG$1,FALSE)*AA239</f>
        <v>0.40894473372329798</v>
      </c>
      <c r="AH239">
        <f>VLOOKUP($AC239,'2017 Seattle Tracts'!$C$2:$Z$399,AH$1,FALSE)*AA239</f>
        <v>0.26250357193285984</v>
      </c>
      <c r="AI239">
        <f>VLOOKUP($AC239,'2017 Seattle Tracts'!$C$2:$Z$399,AI$1,FALSE)*AA239</f>
        <v>0.14644116179043815</v>
      </c>
      <c r="AJ239">
        <f>VLOOKUP($AC239,'2017 Seattle Tracts'!$C$2:$Z$399,AJ$1,FALSE)*AA239</f>
        <v>0.13119614722714784</v>
      </c>
      <c r="AK239">
        <f>VLOOKUP($AC239,'2017 Seattle Tracts'!$C$2:$Z$399,AK$1,FALSE)*AA239</f>
        <v>1.7025454220316896E-2</v>
      </c>
      <c r="AL239">
        <f>VLOOKUP($AC239,'2017 Seattle Tracts'!$C$2:$Z$399,AL$1,FALSE)*AA239</f>
        <v>7.2330361066705769E-3</v>
      </c>
      <c r="AM239">
        <f>VLOOKUP($AC239,'2017 Seattle Tracts'!$C$2:$Z$399,AM$1,FALSE)*AA239</f>
        <v>2.5593820069757423E-3</v>
      </c>
      <c r="AN239">
        <f>VLOOKUP($AC239,'2017 Seattle Tracts'!$C$2:$Z$399,AN$1,FALSE)*AA239</f>
        <v>6.3984550174393556E-2</v>
      </c>
      <c r="AO239">
        <f>VLOOKUP($AC239,'2017 Seattle Tracts'!$C$2:$Z$399,AO$1,FALSE)*AA239</f>
        <v>4.9184645525359921E-2</v>
      </c>
      <c r="AP239">
        <f>VLOOKUP($AC239,'2017 Seattle Tracts'!$C$2:$Z$399,AP$1,FALSE)*AA239</f>
        <v>4.5623766211306711E-3</v>
      </c>
      <c r="AQ239">
        <f>VLOOKUP($AC239,'2017 Seattle Tracts'!$C$2:$Z$399,AQ$1,FALSE)*AA239</f>
        <v>0</v>
      </c>
      <c r="AR239">
        <f>VLOOKUP($AC239,'2017 Seattle Tracts'!$C$2:$Z$399,AR$1,FALSE)*AA239</f>
        <v>2.7374259726784027E-2</v>
      </c>
      <c r="AS239">
        <f>VLOOKUP($AC239,'2017 Seattle Tracts'!$C$2:$Z$399,AS$1,FALSE)*AA239</f>
        <v>7.1217586281064144E-2</v>
      </c>
      <c r="AT239">
        <f>VLOOKUP($AC239,'2017 Seattle Tracts'!$C$2:$Z$399,AT$1,FALSE)*AA239</f>
        <v>1.2240522642057898E-3</v>
      </c>
      <c r="AU239">
        <f>VLOOKUP($AC239,'2017 Seattle Tracts'!$C$2:$Z$399,AU$1,FALSE)*AA239</f>
        <v>0</v>
      </c>
      <c r="AV239">
        <f>VLOOKUP($AC239,'2017 Seattle Tracts'!$C$2:$Z$399,AV$1,FALSE)*AA239</f>
        <v>8.9021982851330173E-4</v>
      </c>
      <c r="AW239">
        <f>VLOOKUP($AC239,'2017 Seattle Tracts'!$C$2:$Z$399,AW$1,FALSE)*AA239</f>
        <v>0</v>
      </c>
      <c r="AX239">
        <f>VLOOKUP($AC239,'2017 Seattle Tracts'!$C$2:$Z$399,AX$1,FALSE)*AA239</f>
        <v>2.6038929984014074E-2</v>
      </c>
      <c r="AY239">
        <f>VLOOKUP($AC239,'2017 Seattle Tracts'!$C$2:$Z$399,AY$1,FALSE)*AA239</f>
        <v>6.4540937567214374E-3</v>
      </c>
    </row>
    <row r="240" spans="1:51" x14ac:dyDescent="0.25">
      <c r="A240" t="s">
        <v>2917</v>
      </c>
      <c r="B240" t="s">
        <v>2918</v>
      </c>
      <c r="C240" t="s">
        <v>3101</v>
      </c>
      <c r="D240" t="s">
        <v>2527</v>
      </c>
      <c r="E240" t="s">
        <v>2528</v>
      </c>
      <c r="F240" t="s">
        <v>2529</v>
      </c>
      <c r="G240" t="s">
        <v>2920</v>
      </c>
      <c r="H240" t="s">
        <v>2921</v>
      </c>
      <c r="I240">
        <v>820732</v>
      </c>
      <c r="J240">
        <v>0</v>
      </c>
      <c r="K240" t="s">
        <v>3102</v>
      </c>
      <c r="L240" t="s">
        <v>3103</v>
      </c>
      <c r="M240">
        <v>820732</v>
      </c>
      <c r="N240">
        <v>79</v>
      </c>
      <c r="O240">
        <v>33865.487999999998</v>
      </c>
      <c r="P240" t="s">
        <v>179</v>
      </c>
      <c r="Q240">
        <v>17</v>
      </c>
      <c r="R240">
        <v>5</v>
      </c>
      <c r="S240">
        <v>9</v>
      </c>
      <c r="T240">
        <v>48475916</v>
      </c>
      <c r="U240">
        <v>81</v>
      </c>
      <c r="V240">
        <v>166</v>
      </c>
      <c r="W240">
        <v>33865.489173990143</v>
      </c>
      <c r="X240">
        <v>48475914.455668777</v>
      </c>
      <c r="Y240">
        <v>179.15100000000001</v>
      </c>
      <c r="Z240">
        <f>VLOOKUP($AC240,'2017 Seattle Tracts'!$C$2:$Z$399,24,FALSE)</f>
        <v>820732.11199999996</v>
      </c>
      <c r="AA240">
        <f t="shared" si="7"/>
        <v>2.1828194289052018E-4</v>
      </c>
      <c r="AB240" t="s">
        <v>178</v>
      </c>
      <c r="AC240" t="str">
        <f t="shared" si="6"/>
        <v>Census Tract 90, King County, Washington</v>
      </c>
      <c r="AD240">
        <f>VLOOKUP($AC240,'2017 Seattle Tracts'!$C$2:$Z$399,AD$1,FALSE)*AA240</f>
        <v>0.80218614012266165</v>
      </c>
      <c r="AE240">
        <f>VLOOKUP($AC240,'2017 Seattle Tracts'!$C$2:$Z$399,AE$1,FALSE)*AA240</f>
        <v>0.51492710327873714</v>
      </c>
      <c r="AF240">
        <f>VLOOKUP($AC240,'2017 Seattle Tracts'!$C$2:$Z$399,AF$1,FALSE)*AA240</f>
        <v>0.28725903684392456</v>
      </c>
      <c r="AG240">
        <f>VLOOKUP($AC240,'2017 Seattle Tracts'!$C$2:$Z$399,AG$1,FALSE)*AA240</f>
        <v>0.80218614012266165</v>
      </c>
      <c r="AH240">
        <f>VLOOKUP($AC240,'2017 Seattle Tracts'!$C$2:$Z$399,AH$1,FALSE)*AA240</f>
        <v>0.51492710327873714</v>
      </c>
      <c r="AI240">
        <f>VLOOKUP($AC240,'2017 Seattle Tracts'!$C$2:$Z$399,AI$1,FALSE)*AA240</f>
        <v>0.28725903684392456</v>
      </c>
      <c r="AJ240">
        <f>VLOOKUP($AC240,'2017 Seattle Tracts'!$C$2:$Z$399,AJ$1,FALSE)*AA240</f>
        <v>0.25735441066792331</v>
      </c>
      <c r="AK240">
        <f>VLOOKUP($AC240,'2017 Seattle Tracts'!$C$2:$Z$399,AK$1,FALSE)*AA240</f>
        <v>3.339713726224959E-2</v>
      </c>
      <c r="AL240">
        <f>VLOOKUP($AC240,'2017 Seattle Tracts'!$C$2:$Z$399,AL$1,FALSE)*AA240</f>
        <v>1.4188326287883812E-2</v>
      </c>
      <c r="AM240">
        <f>VLOOKUP($AC240,'2017 Seattle Tracts'!$C$2:$Z$399,AM$1,FALSE)*AA240</f>
        <v>5.0204846864819646E-3</v>
      </c>
      <c r="AN240">
        <f>VLOOKUP($AC240,'2017 Seattle Tracts'!$C$2:$Z$399,AN$1,FALSE)*AA240</f>
        <v>0.1255121171620491</v>
      </c>
      <c r="AO240">
        <f>VLOOKUP($AC240,'2017 Seattle Tracts'!$C$2:$Z$399,AO$1,FALSE)*AA240</f>
        <v>9.6480618757609923E-2</v>
      </c>
      <c r="AP240">
        <f>VLOOKUP($AC240,'2017 Seattle Tracts'!$C$2:$Z$399,AP$1,FALSE)*AA240</f>
        <v>8.9495596585113281E-3</v>
      </c>
      <c r="AQ240">
        <f>VLOOKUP($AC240,'2017 Seattle Tracts'!$C$2:$Z$399,AQ$1,FALSE)*AA240</f>
        <v>0</v>
      </c>
      <c r="AR240">
        <f>VLOOKUP($AC240,'2017 Seattle Tracts'!$C$2:$Z$399,AR$1,FALSE)*AA240</f>
        <v>5.3697357951067969E-2</v>
      </c>
      <c r="AS240">
        <f>VLOOKUP($AC240,'2017 Seattle Tracts'!$C$2:$Z$399,AS$1,FALSE)*AA240</f>
        <v>0.13970044344993293</v>
      </c>
      <c r="AT240">
        <f>VLOOKUP($AC240,'2017 Seattle Tracts'!$C$2:$Z$399,AT$1,FALSE)*AA240</f>
        <v>2.4011013717957219E-3</v>
      </c>
      <c r="AU240">
        <f>VLOOKUP($AC240,'2017 Seattle Tracts'!$C$2:$Z$399,AU$1,FALSE)*AA240</f>
        <v>0</v>
      </c>
      <c r="AV240">
        <f>VLOOKUP($AC240,'2017 Seattle Tracts'!$C$2:$Z$399,AV$1,FALSE)*AA240</f>
        <v>1.7462555431241615E-3</v>
      </c>
      <c r="AW240">
        <f>VLOOKUP($AC240,'2017 Seattle Tracts'!$C$2:$Z$399,AW$1,FALSE)*AA240</f>
        <v>0</v>
      </c>
      <c r="AX240">
        <f>VLOOKUP($AC240,'2017 Seattle Tracts'!$C$2:$Z$399,AX$1,FALSE)*AA240</f>
        <v>5.1077974636381723E-2</v>
      </c>
      <c r="AY240">
        <f>VLOOKUP($AC240,'2017 Seattle Tracts'!$C$2:$Z$399,AY$1,FALSE)*AA240</f>
        <v>1.2660352687650171E-2</v>
      </c>
    </row>
    <row r="241" spans="1:51" x14ac:dyDescent="0.25">
      <c r="A241" t="s">
        <v>2917</v>
      </c>
      <c r="B241" t="s">
        <v>2918</v>
      </c>
      <c r="C241" t="s">
        <v>3104</v>
      </c>
      <c r="D241" t="s">
        <v>2524</v>
      </c>
      <c r="E241" t="s">
        <v>2525</v>
      </c>
      <c r="F241" t="s">
        <v>2526</v>
      </c>
      <c r="G241" t="s">
        <v>2920</v>
      </c>
      <c r="H241" t="s">
        <v>2921</v>
      </c>
      <c r="I241">
        <v>418834</v>
      </c>
      <c r="J241">
        <v>0</v>
      </c>
      <c r="K241" t="s">
        <v>3105</v>
      </c>
      <c r="L241" t="s">
        <v>3106</v>
      </c>
      <c r="M241">
        <v>418832</v>
      </c>
      <c r="N241">
        <v>58</v>
      </c>
      <c r="O241">
        <v>25426.23</v>
      </c>
      <c r="P241" t="s">
        <v>149</v>
      </c>
      <c r="Q241">
        <v>14</v>
      </c>
      <c r="R241">
        <v>8</v>
      </c>
      <c r="S241">
        <v>24</v>
      </c>
      <c r="T241">
        <v>20664986</v>
      </c>
      <c r="U241">
        <v>60</v>
      </c>
      <c r="V241">
        <v>165</v>
      </c>
      <c r="W241">
        <v>25426.231162667511</v>
      </c>
      <c r="X241">
        <v>20664986.272921581</v>
      </c>
      <c r="Y241">
        <v>31.667999999999999</v>
      </c>
      <c r="Z241">
        <f>VLOOKUP($AC241,'2017 Seattle Tracts'!$C$2:$Z$399,24,FALSE)</f>
        <v>418832.28100000002</v>
      </c>
      <c r="AA241">
        <f t="shared" si="7"/>
        <v>7.5610217828458155E-5</v>
      </c>
      <c r="AB241" t="s">
        <v>154</v>
      </c>
      <c r="AC241" t="str">
        <f t="shared" si="6"/>
        <v>Census Tract 91, King County, Washington</v>
      </c>
      <c r="AD241">
        <f>VLOOKUP($AC241,'2017 Seattle Tracts'!$C$2:$Z$399,AD$1,FALSE)*AA241</f>
        <v>0.18297672714486873</v>
      </c>
      <c r="AE241">
        <f>VLOOKUP($AC241,'2017 Seattle Tracts'!$C$2:$Z$399,AE$1,FALSE)*AA241</f>
        <v>8.0222441115994109E-2</v>
      </c>
      <c r="AF241">
        <f>VLOOKUP($AC241,'2017 Seattle Tracts'!$C$2:$Z$399,AF$1,FALSE)*AA241</f>
        <v>0.10275428602887464</v>
      </c>
      <c r="AG241">
        <f>VLOOKUP($AC241,'2017 Seattle Tracts'!$C$2:$Z$399,AG$1,FALSE)*AA241</f>
        <v>0.18297672714486873</v>
      </c>
      <c r="AH241">
        <f>VLOOKUP($AC241,'2017 Seattle Tracts'!$C$2:$Z$399,AH$1,FALSE)*AA241</f>
        <v>8.0222441115994109E-2</v>
      </c>
      <c r="AI241">
        <f>VLOOKUP($AC241,'2017 Seattle Tracts'!$C$2:$Z$399,AI$1,FALSE)*AA241</f>
        <v>0.10275428602887464</v>
      </c>
      <c r="AJ241">
        <f>VLOOKUP($AC241,'2017 Seattle Tracts'!$C$2:$Z$399,AJ$1,FALSE)*AA241</f>
        <v>3.4931920636747667E-2</v>
      </c>
      <c r="AK241">
        <f>VLOOKUP($AC241,'2017 Seattle Tracts'!$C$2:$Z$399,AK$1,FALSE)*AA241</f>
        <v>3.4780700201090752E-3</v>
      </c>
      <c r="AL241">
        <f>VLOOKUP($AC241,'2017 Seattle Tracts'!$C$2:$Z$399,AL$1,FALSE)*AA241</f>
        <v>4.6122232875359477E-3</v>
      </c>
      <c r="AM241">
        <f>VLOOKUP($AC241,'2017 Seattle Tracts'!$C$2:$Z$399,AM$1,FALSE)*AA241</f>
        <v>2.0414758813683703E-3</v>
      </c>
      <c r="AN241">
        <f>VLOOKUP($AC241,'2017 Seattle Tracts'!$C$2:$Z$399,AN$1,FALSE)*AA241</f>
        <v>9.2244465750718953E-3</v>
      </c>
      <c r="AO241">
        <f>VLOOKUP($AC241,'2017 Seattle Tracts'!$C$2:$Z$399,AO$1,FALSE)*AA241</f>
        <v>8.468344396787314E-3</v>
      </c>
      <c r="AP241">
        <f>VLOOKUP($AC241,'2017 Seattle Tracts'!$C$2:$Z$399,AP$1,FALSE)*AA241</f>
        <v>4.0829517627367405E-3</v>
      </c>
      <c r="AQ241">
        <f>VLOOKUP($AC241,'2017 Seattle Tracts'!$C$2:$Z$399,AQ$1,FALSE)*AA241</f>
        <v>0</v>
      </c>
      <c r="AR241">
        <f>VLOOKUP($AC241,'2017 Seattle Tracts'!$C$2:$Z$399,AR$1,FALSE)*AA241</f>
        <v>1.7919621625344582E-2</v>
      </c>
      <c r="AS241">
        <f>VLOOKUP($AC241,'2017 Seattle Tracts'!$C$2:$Z$399,AS$1,FALSE)*AA241</f>
        <v>8.6498089195756134E-2</v>
      </c>
      <c r="AT241">
        <f>VLOOKUP($AC241,'2017 Seattle Tracts'!$C$2:$Z$399,AT$1,FALSE)*AA241</f>
        <v>0</v>
      </c>
      <c r="AU241">
        <f>VLOOKUP($AC241,'2017 Seattle Tracts'!$C$2:$Z$399,AU$1,FALSE)*AA241</f>
        <v>0</v>
      </c>
      <c r="AV241">
        <f>VLOOKUP($AC241,'2017 Seattle Tracts'!$C$2:$Z$399,AV$1,FALSE)*AA241</f>
        <v>0</v>
      </c>
      <c r="AW241">
        <f>VLOOKUP($AC241,'2017 Seattle Tracts'!$C$2:$Z$399,AW$1,FALSE)*AA241</f>
        <v>0</v>
      </c>
      <c r="AX241">
        <f>VLOOKUP($AC241,'2017 Seattle Tracts'!$C$2:$Z$399,AX$1,FALSE)*AA241</f>
        <v>9.4512772285572696E-3</v>
      </c>
      <c r="AY241">
        <f>VLOOKUP($AC241,'2017 Seattle Tracts'!$C$2:$Z$399,AY$1,FALSE)*AA241</f>
        <v>2.2683065348537445E-3</v>
      </c>
    </row>
    <row r="242" spans="1:51" x14ac:dyDescent="0.25">
      <c r="A242" t="s">
        <v>2917</v>
      </c>
      <c r="B242" t="s">
        <v>2918</v>
      </c>
      <c r="C242" t="s">
        <v>3104</v>
      </c>
      <c r="D242" t="s">
        <v>2524</v>
      </c>
      <c r="E242" t="s">
        <v>2525</v>
      </c>
      <c r="F242" t="s">
        <v>2526</v>
      </c>
      <c r="G242" t="s">
        <v>2920</v>
      </c>
      <c r="H242" t="s">
        <v>2921</v>
      </c>
      <c r="I242">
        <v>418834</v>
      </c>
      <c r="J242">
        <v>0</v>
      </c>
      <c r="K242" t="s">
        <v>3105</v>
      </c>
      <c r="L242" t="s">
        <v>3106</v>
      </c>
      <c r="M242">
        <v>418832</v>
      </c>
      <c r="N242">
        <v>61</v>
      </c>
      <c r="O242">
        <v>11772.387000000001</v>
      </c>
      <c r="P242" t="s">
        <v>156</v>
      </c>
      <c r="Q242">
        <v>13</v>
      </c>
      <c r="R242">
        <v>11</v>
      </c>
      <c r="S242">
        <v>94</v>
      </c>
      <c r="T242">
        <v>6169376</v>
      </c>
      <c r="U242">
        <v>63</v>
      </c>
      <c r="V242">
        <v>164</v>
      </c>
      <c r="W242">
        <v>11772.387141002069</v>
      </c>
      <c r="X242">
        <v>6169375.8166330215</v>
      </c>
      <c r="Y242">
        <v>293190.90500000003</v>
      </c>
      <c r="Z242">
        <f>VLOOKUP($AC242,'2017 Seattle Tracts'!$C$2:$Z$399,24,FALSE)</f>
        <v>418832.28100000002</v>
      </c>
      <c r="AA242">
        <f t="shared" si="7"/>
        <v>0.70001983681864299</v>
      </c>
      <c r="AB242" t="s">
        <v>158</v>
      </c>
      <c r="AC242" t="str">
        <f t="shared" si="6"/>
        <v>Census Tract 91, King County, Washington</v>
      </c>
      <c r="AD242">
        <f>VLOOKUP($AC242,'2017 Seattle Tracts'!$C$2:$Z$399,AD$1,FALSE)*AA242</f>
        <v>1694.0480051011161</v>
      </c>
      <c r="AE242">
        <f>VLOOKUP($AC242,'2017 Seattle Tracts'!$C$2:$Z$399,AE$1,FALSE)*AA242</f>
        <v>742.72104686458022</v>
      </c>
      <c r="AF242">
        <f>VLOOKUP($AC242,'2017 Seattle Tracts'!$C$2:$Z$399,AF$1,FALSE)*AA242</f>
        <v>951.3269582365358</v>
      </c>
      <c r="AG242">
        <f>VLOOKUP($AC242,'2017 Seattle Tracts'!$C$2:$Z$399,AG$1,FALSE)*AA242</f>
        <v>1694.0480051011161</v>
      </c>
      <c r="AH242">
        <f>VLOOKUP($AC242,'2017 Seattle Tracts'!$C$2:$Z$399,AH$1,FALSE)*AA242</f>
        <v>742.72104686458022</v>
      </c>
      <c r="AI242">
        <f>VLOOKUP($AC242,'2017 Seattle Tracts'!$C$2:$Z$399,AI$1,FALSE)*AA242</f>
        <v>951.3269582365358</v>
      </c>
      <c r="AJ242">
        <f>VLOOKUP($AC242,'2017 Seattle Tracts'!$C$2:$Z$399,AJ$1,FALSE)*AA242</f>
        <v>323.40916461021305</v>
      </c>
      <c r="AK242">
        <f>VLOOKUP($AC242,'2017 Seattle Tracts'!$C$2:$Z$399,AK$1,FALSE)*AA242</f>
        <v>32.200912493657576</v>
      </c>
      <c r="AL242">
        <f>VLOOKUP($AC242,'2017 Seattle Tracts'!$C$2:$Z$399,AL$1,FALSE)*AA242</f>
        <v>42.701210045937223</v>
      </c>
      <c r="AM242">
        <f>VLOOKUP($AC242,'2017 Seattle Tracts'!$C$2:$Z$399,AM$1,FALSE)*AA242</f>
        <v>18.90053559410336</v>
      </c>
      <c r="AN242">
        <f>VLOOKUP($AC242,'2017 Seattle Tracts'!$C$2:$Z$399,AN$1,FALSE)*AA242</f>
        <v>85.402420091874447</v>
      </c>
      <c r="AO242">
        <f>VLOOKUP($AC242,'2017 Seattle Tracts'!$C$2:$Z$399,AO$1,FALSE)*AA242</f>
        <v>78.402221723688015</v>
      </c>
      <c r="AP242">
        <f>VLOOKUP($AC242,'2017 Seattle Tracts'!$C$2:$Z$399,AP$1,FALSE)*AA242</f>
        <v>37.80107118820672</v>
      </c>
      <c r="AQ242">
        <f>VLOOKUP($AC242,'2017 Seattle Tracts'!$C$2:$Z$399,AQ$1,FALSE)*AA242</f>
        <v>0</v>
      </c>
      <c r="AR242">
        <f>VLOOKUP($AC242,'2017 Seattle Tracts'!$C$2:$Z$399,AR$1,FALSE)*AA242</f>
        <v>165.9047013260184</v>
      </c>
      <c r="AS242">
        <f>VLOOKUP($AC242,'2017 Seattle Tracts'!$C$2:$Z$399,AS$1,FALSE)*AA242</f>
        <v>800.82269332052761</v>
      </c>
      <c r="AT242">
        <f>VLOOKUP($AC242,'2017 Seattle Tracts'!$C$2:$Z$399,AT$1,FALSE)*AA242</f>
        <v>0</v>
      </c>
      <c r="AU242">
        <f>VLOOKUP($AC242,'2017 Seattle Tracts'!$C$2:$Z$399,AU$1,FALSE)*AA242</f>
        <v>0</v>
      </c>
      <c r="AV242">
        <f>VLOOKUP($AC242,'2017 Seattle Tracts'!$C$2:$Z$399,AV$1,FALSE)*AA242</f>
        <v>0</v>
      </c>
      <c r="AW242">
        <f>VLOOKUP($AC242,'2017 Seattle Tracts'!$C$2:$Z$399,AW$1,FALSE)*AA242</f>
        <v>0</v>
      </c>
      <c r="AX242">
        <f>VLOOKUP($AC242,'2017 Seattle Tracts'!$C$2:$Z$399,AX$1,FALSE)*AA242</f>
        <v>87.502479602330368</v>
      </c>
      <c r="AY242">
        <f>VLOOKUP($AC242,'2017 Seattle Tracts'!$C$2:$Z$399,AY$1,FALSE)*AA242</f>
        <v>21.000595104559288</v>
      </c>
    </row>
    <row r="243" spans="1:51" x14ac:dyDescent="0.25">
      <c r="A243" t="s">
        <v>2917</v>
      </c>
      <c r="B243" t="s">
        <v>2918</v>
      </c>
      <c r="C243" t="s">
        <v>3104</v>
      </c>
      <c r="D243" t="s">
        <v>2524</v>
      </c>
      <c r="E243" t="s">
        <v>2525</v>
      </c>
      <c r="F243" t="s">
        <v>2526</v>
      </c>
      <c r="G243" t="s">
        <v>2920</v>
      </c>
      <c r="H243" t="s">
        <v>2921</v>
      </c>
      <c r="I243">
        <v>418834</v>
      </c>
      <c r="J243">
        <v>0</v>
      </c>
      <c r="K243" t="s">
        <v>3105</v>
      </c>
      <c r="L243" t="s">
        <v>3106</v>
      </c>
      <c r="M243">
        <v>418832</v>
      </c>
      <c r="N243">
        <v>64</v>
      </c>
      <c r="O243">
        <v>9611.3540000000012</v>
      </c>
      <c r="P243" t="s">
        <v>156</v>
      </c>
      <c r="Q243">
        <v>13</v>
      </c>
      <c r="R243">
        <v>11</v>
      </c>
      <c r="S243">
        <v>81</v>
      </c>
      <c r="T243">
        <v>5348937.5</v>
      </c>
      <c r="U243">
        <v>66</v>
      </c>
      <c r="V243">
        <v>162</v>
      </c>
      <c r="W243">
        <v>9611.3535464166052</v>
      </c>
      <c r="X243">
        <v>5348937.2476122174</v>
      </c>
      <c r="Y243">
        <v>125459.45600000001</v>
      </c>
      <c r="Z243">
        <f>VLOOKUP($AC243,'2017 Seattle Tracts'!$C$2:$Z$399,24,FALSE)</f>
        <v>418832.28100000002</v>
      </c>
      <c r="AA243">
        <f t="shared" si="7"/>
        <v>0.29954581270682906</v>
      </c>
      <c r="AB243" t="s">
        <v>161</v>
      </c>
      <c r="AC243" t="str">
        <f t="shared" si="6"/>
        <v>Census Tract 91, King County, Washington</v>
      </c>
      <c r="AD243">
        <f>VLOOKUP($AC243,'2017 Seattle Tracts'!$C$2:$Z$399,AD$1,FALSE)*AA243</f>
        <v>724.90086675052635</v>
      </c>
      <c r="AE243">
        <f>VLOOKUP($AC243,'2017 Seattle Tracts'!$C$2:$Z$399,AE$1,FALSE)*AA243</f>
        <v>317.81810728194563</v>
      </c>
      <c r="AF243">
        <f>VLOOKUP($AC243,'2017 Seattle Tracts'!$C$2:$Z$399,AF$1,FALSE)*AA243</f>
        <v>407.08275946858072</v>
      </c>
      <c r="AG243">
        <f>VLOOKUP($AC243,'2017 Seattle Tracts'!$C$2:$Z$399,AG$1,FALSE)*AA243</f>
        <v>724.90086675052635</v>
      </c>
      <c r="AH243">
        <f>VLOOKUP($AC243,'2017 Seattle Tracts'!$C$2:$Z$399,AH$1,FALSE)*AA243</f>
        <v>317.81810728194563</v>
      </c>
      <c r="AI243">
        <f>VLOOKUP($AC243,'2017 Seattle Tracts'!$C$2:$Z$399,AI$1,FALSE)*AA243</f>
        <v>407.08275946858072</v>
      </c>
      <c r="AJ243">
        <f>VLOOKUP($AC243,'2017 Seattle Tracts'!$C$2:$Z$399,AJ$1,FALSE)*AA243</f>
        <v>138.39016547055502</v>
      </c>
      <c r="AK243">
        <f>VLOOKUP($AC243,'2017 Seattle Tracts'!$C$2:$Z$399,AK$1,FALSE)*AA243</f>
        <v>13.779107384514138</v>
      </c>
      <c r="AL243">
        <f>VLOOKUP($AC243,'2017 Seattle Tracts'!$C$2:$Z$399,AL$1,FALSE)*AA243</f>
        <v>18.272294575116572</v>
      </c>
      <c r="AM243">
        <f>VLOOKUP($AC243,'2017 Seattle Tracts'!$C$2:$Z$399,AM$1,FALSE)*AA243</f>
        <v>8.0877369430843853</v>
      </c>
      <c r="AN243">
        <f>VLOOKUP($AC243,'2017 Seattle Tracts'!$C$2:$Z$399,AN$1,FALSE)*AA243</f>
        <v>36.544589150233143</v>
      </c>
      <c r="AO243">
        <f>VLOOKUP($AC243,'2017 Seattle Tracts'!$C$2:$Z$399,AO$1,FALSE)*AA243</f>
        <v>33.549131023164854</v>
      </c>
      <c r="AP243">
        <f>VLOOKUP($AC243,'2017 Seattle Tracts'!$C$2:$Z$399,AP$1,FALSE)*AA243</f>
        <v>16.175473886168771</v>
      </c>
      <c r="AQ243">
        <f>VLOOKUP($AC243,'2017 Seattle Tracts'!$C$2:$Z$399,AQ$1,FALSE)*AA243</f>
        <v>0</v>
      </c>
      <c r="AR243">
        <f>VLOOKUP($AC243,'2017 Seattle Tracts'!$C$2:$Z$399,AR$1,FALSE)*AA243</f>
        <v>70.992357611518486</v>
      </c>
      <c r="AS243">
        <f>VLOOKUP($AC243,'2017 Seattle Tracts'!$C$2:$Z$399,AS$1,FALSE)*AA243</f>
        <v>342.68040973661243</v>
      </c>
      <c r="AT243">
        <f>VLOOKUP($AC243,'2017 Seattle Tracts'!$C$2:$Z$399,AT$1,FALSE)*AA243</f>
        <v>0</v>
      </c>
      <c r="AU243">
        <f>VLOOKUP($AC243,'2017 Seattle Tracts'!$C$2:$Z$399,AU$1,FALSE)*AA243</f>
        <v>0</v>
      </c>
      <c r="AV243">
        <f>VLOOKUP($AC243,'2017 Seattle Tracts'!$C$2:$Z$399,AV$1,FALSE)*AA243</f>
        <v>0</v>
      </c>
      <c r="AW243">
        <f>VLOOKUP($AC243,'2017 Seattle Tracts'!$C$2:$Z$399,AW$1,FALSE)*AA243</f>
        <v>0</v>
      </c>
      <c r="AX243">
        <f>VLOOKUP($AC243,'2017 Seattle Tracts'!$C$2:$Z$399,AX$1,FALSE)*AA243</f>
        <v>37.443226588353632</v>
      </c>
      <c r="AY243">
        <f>VLOOKUP($AC243,'2017 Seattle Tracts'!$C$2:$Z$399,AY$1,FALSE)*AA243</f>
        <v>8.9863743812048718</v>
      </c>
    </row>
    <row r="244" spans="1:51" x14ac:dyDescent="0.25">
      <c r="A244" t="s">
        <v>2917</v>
      </c>
      <c r="B244" t="s">
        <v>2918</v>
      </c>
      <c r="C244" t="s">
        <v>3104</v>
      </c>
      <c r="D244" t="s">
        <v>2524</v>
      </c>
      <c r="E244" t="s">
        <v>2525</v>
      </c>
      <c r="F244" t="s">
        <v>2526</v>
      </c>
      <c r="G244" t="s">
        <v>2920</v>
      </c>
      <c r="H244" t="s">
        <v>2921</v>
      </c>
      <c r="I244">
        <v>418834</v>
      </c>
      <c r="J244">
        <v>0</v>
      </c>
      <c r="K244" t="s">
        <v>3105</v>
      </c>
      <c r="L244" t="s">
        <v>3106</v>
      </c>
      <c r="M244">
        <v>418832</v>
      </c>
      <c r="N244">
        <v>67</v>
      </c>
      <c r="O244">
        <v>49792.156000000003</v>
      </c>
      <c r="P244" t="s">
        <v>122</v>
      </c>
      <c r="Q244">
        <v>18</v>
      </c>
      <c r="R244">
        <v>12</v>
      </c>
      <c r="S244">
        <v>23</v>
      </c>
      <c r="T244">
        <v>82845392</v>
      </c>
      <c r="U244">
        <v>69</v>
      </c>
      <c r="V244">
        <v>167</v>
      </c>
      <c r="W244">
        <v>49792.15483538049</v>
      </c>
      <c r="X244">
        <v>82845389.347022861</v>
      </c>
      <c r="Y244">
        <v>126.887</v>
      </c>
      <c r="Z244">
        <f>VLOOKUP($AC244,'2017 Seattle Tracts'!$C$2:$Z$399,24,FALSE)</f>
        <v>418832.28100000002</v>
      </c>
      <c r="AA244">
        <f t="shared" si="7"/>
        <v>3.0295420328405872E-4</v>
      </c>
      <c r="AB244" t="s">
        <v>165</v>
      </c>
      <c r="AC244" t="str">
        <f t="shared" si="6"/>
        <v>Census Tract 91, King County, Washington</v>
      </c>
      <c r="AD244">
        <f>VLOOKUP($AC244,'2017 Seattle Tracts'!$C$2:$Z$399,AD$1,FALSE)*AA244</f>
        <v>0.73314917194742213</v>
      </c>
      <c r="AE244">
        <f>VLOOKUP($AC244,'2017 Seattle Tracts'!$C$2:$Z$399,AE$1,FALSE)*AA244</f>
        <v>0.3214344096843863</v>
      </c>
      <c r="AF244">
        <f>VLOOKUP($AC244,'2017 Seattle Tracts'!$C$2:$Z$399,AF$1,FALSE)*AA244</f>
        <v>0.41171476226303583</v>
      </c>
      <c r="AG244">
        <f>VLOOKUP($AC244,'2017 Seattle Tracts'!$C$2:$Z$399,AG$1,FALSE)*AA244</f>
        <v>0.73314917194742213</v>
      </c>
      <c r="AH244">
        <f>VLOOKUP($AC244,'2017 Seattle Tracts'!$C$2:$Z$399,AH$1,FALSE)*AA244</f>
        <v>0.3214344096843863</v>
      </c>
      <c r="AI244">
        <f>VLOOKUP($AC244,'2017 Seattle Tracts'!$C$2:$Z$399,AI$1,FALSE)*AA244</f>
        <v>0.41171476226303583</v>
      </c>
      <c r="AJ244">
        <f>VLOOKUP($AC244,'2017 Seattle Tracts'!$C$2:$Z$399,AJ$1,FALSE)*AA244</f>
        <v>0.13996484191723513</v>
      </c>
      <c r="AK244">
        <f>VLOOKUP($AC244,'2017 Seattle Tracts'!$C$2:$Z$399,AK$1,FALSE)*AA244</f>
        <v>1.3935893351066701E-2</v>
      </c>
      <c r="AL244">
        <f>VLOOKUP($AC244,'2017 Seattle Tracts'!$C$2:$Z$399,AL$1,FALSE)*AA244</f>
        <v>1.8480206400327583E-2</v>
      </c>
      <c r="AM244">
        <f>VLOOKUP($AC244,'2017 Seattle Tracts'!$C$2:$Z$399,AM$1,FALSE)*AA244</f>
        <v>8.1797634886695853E-3</v>
      </c>
      <c r="AN244">
        <f>VLOOKUP($AC244,'2017 Seattle Tracts'!$C$2:$Z$399,AN$1,FALSE)*AA244</f>
        <v>3.6960412800655165E-2</v>
      </c>
      <c r="AO244">
        <f>VLOOKUP($AC244,'2017 Seattle Tracts'!$C$2:$Z$399,AO$1,FALSE)*AA244</f>
        <v>3.3930870767814578E-2</v>
      </c>
      <c r="AP244">
        <f>VLOOKUP($AC244,'2017 Seattle Tracts'!$C$2:$Z$399,AP$1,FALSE)*AA244</f>
        <v>1.6359526977339171E-2</v>
      </c>
      <c r="AQ244">
        <f>VLOOKUP($AC244,'2017 Seattle Tracts'!$C$2:$Z$399,AQ$1,FALSE)*AA244</f>
        <v>0</v>
      </c>
      <c r="AR244">
        <f>VLOOKUP($AC244,'2017 Seattle Tracts'!$C$2:$Z$399,AR$1,FALSE)*AA244</f>
        <v>7.1800146178321922E-2</v>
      </c>
      <c r="AS244">
        <f>VLOOKUP($AC244,'2017 Seattle Tracts'!$C$2:$Z$399,AS$1,FALSE)*AA244</f>
        <v>0.34657960855696318</v>
      </c>
      <c r="AT244">
        <f>VLOOKUP($AC244,'2017 Seattle Tracts'!$C$2:$Z$399,AT$1,FALSE)*AA244</f>
        <v>0</v>
      </c>
      <c r="AU244">
        <f>VLOOKUP($AC244,'2017 Seattle Tracts'!$C$2:$Z$399,AU$1,FALSE)*AA244</f>
        <v>0</v>
      </c>
      <c r="AV244">
        <f>VLOOKUP($AC244,'2017 Seattle Tracts'!$C$2:$Z$399,AV$1,FALSE)*AA244</f>
        <v>0</v>
      </c>
      <c r="AW244">
        <f>VLOOKUP($AC244,'2017 Seattle Tracts'!$C$2:$Z$399,AW$1,FALSE)*AA244</f>
        <v>0</v>
      </c>
      <c r="AX244">
        <f>VLOOKUP($AC244,'2017 Seattle Tracts'!$C$2:$Z$399,AX$1,FALSE)*AA244</f>
        <v>3.7869275410507337E-2</v>
      </c>
      <c r="AY244">
        <f>VLOOKUP($AC244,'2017 Seattle Tracts'!$C$2:$Z$399,AY$1,FALSE)*AA244</f>
        <v>9.0886260985217609E-3</v>
      </c>
    </row>
    <row r="245" spans="1:51" x14ac:dyDescent="0.25">
      <c r="A245" t="s">
        <v>2917</v>
      </c>
      <c r="B245" t="s">
        <v>2918</v>
      </c>
      <c r="C245" t="s">
        <v>3104</v>
      </c>
      <c r="D245" t="s">
        <v>2524</v>
      </c>
      <c r="E245" t="s">
        <v>2525</v>
      </c>
      <c r="F245" t="s">
        <v>2526</v>
      </c>
      <c r="G245" t="s">
        <v>2920</v>
      </c>
      <c r="H245" t="s">
        <v>2921</v>
      </c>
      <c r="I245">
        <v>418834</v>
      </c>
      <c r="J245">
        <v>0</v>
      </c>
      <c r="K245" t="s">
        <v>3105</v>
      </c>
      <c r="L245" t="s">
        <v>3106</v>
      </c>
      <c r="M245">
        <v>418832</v>
      </c>
      <c r="N245">
        <v>79</v>
      </c>
      <c r="O245">
        <v>33865.487999999998</v>
      </c>
      <c r="P245" t="s">
        <v>179</v>
      </c>
      <c r="Q245">
        <v>17</v>
      </c>
      <c r="R245">
        <v>5</v>
      </c>
      <c r="S245">
        <v>9</v>
      </c>
      <c r="T245">
        <v>48475916</v>
      </c>
      <c r="U245">
        <v>81</v>
      </c>
      <c r="V245">
        <v>166</v>
      </c>
      <c r="W245">
        <v>33865.489173990143</v>
      </c>
      <c r="X245">
        <v>48475914.455668777</v>
      </c>
      <c r="Y245">
        <v>23.369</v>
      </c>
      <c r="Z245">
        <f>VLOOKUP($AC245,'2017 Seattle Tracts'!$C$2:$Z$399,24,FALSE)</f>
        <v>418832.28100000002</v>
      </c>
      <c r="AA245">
        <f t="shared" si="7"/>
        <v>5.5795603777732689E-5</v>
      </c>
      <c r="AB245" t="s">
        <v>178</v>
      </c>
      <c r="AC245" t="str">
        <f t="shared" si="6"/>
        <v>Census Tract 91, King County, Washington</v>
      </c>
      <c r="AD245">
        <f>VLOOKUP($AC245,'2017 Seattle Tracts'!$C$2:$Z$399,AD$1,FALSE)*AA245</f>
        <v>0.13502536114211311</v>
      </c>
      <c r="AE245">
        <f>VLOOKUP($AC245,'2017 Seattle Tracts'!$C$2:$Z$399,AE$1,FALSE)*AA245</f>
        <v>5.9199135608174386E-2</v>
      </c>
      <c r="AF245">
        <f>VLOOKUP($AC245,'2017 Seattle Tracts'!$C$2:$Z$399,AF$1,FALSE)*AA245</f>
        <v>7.5826225533938724E-2</v>
      </c>
      <c r="AG245">
        <f>VLOOKUP($AC245,'2017 Seattle Tracts'!$C$2:$Z$399,AG$1,FALSE)*AA245</f>
        <v>0.13502536114211311</v>
      </c>
      <c r="AH245">
        <f>VLOOKUP($AC245,'2017 Seattle Tracts'!$C$2:$Z$399,AH$1,FALSE)*AA245</f>
        <v>5.9199135608174386E-2</v>
      </c>
      <c r="AI245">
        <f>VLOOKUP($AC245,'2017 Seattle Tracts'!$C$2:$Z$399,AI$1,FALSE)*AA245</f>
        <v>7.5826225533938724E-2</v>
      </c>
      <c r="AJ245">
        <f>VLOOKUP($AC245,'2017 Seattle Tracts'!$C$2:$Z$399,AJ$1,FALSE)*AA245</f>
        <v>2.5777568945312503E-2</v>
      </c>
      <c r="AK245">
        <f>VLOOKUP($AC245,'2017 Seattle Tracts'!$C$2:$Z$399,AK$1,FALSE)*AA245</f>
        <v>2.5665977737757036E-3</v>
      </c>
      <c r="AL245">
        <f>VLOOKUP($AC245,'2017 Seattle Tracts'!$C$2:$Z$399,AL$1,FALSE)*AA245</f>
        <v>3.4035318304416941E-3</v>
      </c>
      <c r="AM245">
        <f>VLOOKUP($AC245,'2017 Seattle Tracts'!$C$2:$Z$399,AM$1,FALSE)*AA245</f>
        <v>1.5064813019987826E-3</v>
      </c>
      <c r="AN245">
        <f>VLOOKUP($AC245,'2017 Seattle Tracts'!$C$2:$Z$399,AN$1,FALSE)*AA245</f>
        <v>6.8070636608833883E-3</v>
      </c>
      <c r="AO245">
        <f>VLOOKUP($AC245,'2017 Seattle Tracts'!$C$2:$Z$399,AO$1,FALSE)*AA245</f>
        <v>6.2491076231060609E-3</v>
      </c>
      <c r="AP245">
        <f>VLOOKUP($AC245,'2017 Seattle Tracts'!$C$2:$Z$399,AP$1,FALSE)*AA245</f>
        <v>3.0129626039975652E-3</v>
      </c>
      <c r="AQ245">
        <f>VLOOKUP($AC245,'2017 Seattle Tracts'!$C$2:$Z$399,AQ$1,FALSE)*AA245</f>
        <v>0</v>
      </c>
      <c r="AR245">
        <f>VLOOKUP($AC245,'2017 Seattle Tracts'!$C$2:$Z$399,AR$1,FALSE)*AA245</f>
        <v>1.3223558095322647E-2</v>
      </c>
      <c r="AS245">
        <f>VLOOKUP($AC245,'2017 Seattle Tracts'!$C$2:$Z$399,AS$1,FALSE)*AA245</f>
        <v>6.3830170721726198E-2</v>
      </c>
      <c r="AT245">
        <f>VLOOKUP($AC245,'2017 Seattle Tracts'!$C$2:$Z$399,AT$1,FALSE)*AA245</f>
        <v>0</v>
      </c>
      <c r="AU245">
        <f>VLOOKUP($AC245,'2017 Seattle Tracts'!$C$2:$Z$399,AU$1,FALSE)*AA245</f>
        <v>0</v>
      </c>
      <c r="AV245">
        <f>VLOOKUP($AC245,'2017 Seattle Tracts'!$C$2:$Z$399,AV$1,FALSE)*AA245</f>
        <v>0</v>
      </c>
      <c r="AW245">
        <f>VLOOKUP($AC245,'2017 Seattle Tracts'!$C$2:$Z$399,AW$1,FALSE)*AA245</f>
        <v>0</v>
      </c>
      <c r="AX245">
        <f>VLOOKUP($AC245,'2017 Seattle Tracts'!$C$2:$Z$399,AX$1,FALSE)*AA245</f>
        <v>6.9744504722165862E-3</v>
      </c>
      <c r="AY245">
        <f>VLOOKUP($AC245,'2017 Seattle Tracts'!$C$2:$Z$399,AY$1,FALSE)*AA245</f>
        <v>1.6738681133319807E-3</v>
      </c>
    </row>
    <row r="246" spans="1:51" x14ac:dyDescent="0.25">
      <c r="A246" t="s">
        <v>2917</v>
      </c>
      <c r="B246" t="s">
        <v>2918</v>
      </c>
      <c r="C246" t="s">
        <v>3107</v>
      </c>
      <c r="D246" t="s">
        <v>2887</v>
      </c>
      <c r="E246" t="s">
        <v>2888</v>
      </c>
      <c r="F246" t="s">
        <v>2889</v>
      </c>
      <c r="G246" t="s">
        <v>2920</v>
      </c>
      <c r="H246" t="s">
        <v>2921</v>
      </c>
      <c r="I246">
        <v>954470</v>
      </c>
      <c r="J246">
        <v>0</v>
      </c>
      <c r="K246" t="s">
        <v>3108</v>
      </c>
      <c r="L246" t="s">
        <v>3109</v>
      </c>
      <c r="M246">
        <v>954472</v>
      </c>
      <c r="N246">
        <v>102</v>
      </c>
      <c r="O246">
        <v>20753.002</v>
      </c>
      <c r="P246" t="s">
        <v>207</v>
      </c>
      <c r="Q246">
        <v>3</v>
      </c>
      <c r="R246">
        <v>3</v>
      </c>
      <c r="S246">
        <v>95</v>
      </c>
      <c r="T246">
        <v>21512732</v>
      </c>
      <c r="U246">
        <v>104</v>
      </c>
      <c r="V246">
        <v>106</v>
      </c>
      <c r="W246">
        <v>20753.0018992847</v>
      </c>
      <c r="X246">
        <v>21512731.489181329</v>
      </c>
      <c r="Y246">
        <v>425.81599999999997</v>
      </c>
      <c r="Z246">
        <f>VLOOKUP($AC246,'2017 Seattle Tracts'!$C$2:$Z$399,24,FALSE)</f>
        <v>954472.44799999997</v>
      </c>
      <c r="AA246">
        <f t="shared" si="7"/>
        <v>4.46127073539162E-4</v>
      </c>
      <c r="AB246" t="s">
        <v>206</v>
      </c>
      <c r="AC246" t="str">
        <f t="shared" si="6"/>
        <v>Census Tract 10, King County, Washington</v>
      </c>
      <c r="AD246">
        <f>VLOOKUP($AC246,'2017 Seattle Tracts'!$C$2:$Z$399,AD$1,FALSE)*AA246</f>
        <v>0.88422385975461903</v>
      </c>
      <c r="AE246">
        <f>VLOOKUP($AC246,'2017 Seattle Tracts'!$C$2:$Z$399,AE$1,FALSE)*AA246</f>
        <v>0.71201880936850259</v>
      </c>
      <c r="AF246">
        <f>VLOOKUP($AC246,'2017 Seattle Tracts'!$C$2:$Z$399,AF$1,FALSE)*AA246</f>
        <v>0.17220505038611653</v>
      </c>
      <c r="AG246">
        <f>VLOOKUP($AC246,'2017 Seattle Tracts'!$C$2:$Z$399,AG$1,FALSE)*AA246</f>
        <v>0.88422385975461903</v>
      </c>
      <c r="AH246">
        <f>VLOOKUP($AC246,'2017 Seattle Tracts'!$C$2:$Z$399,AH$1,FALSE)*AA246</f>
        <v>0.71201880936850259</v>
      </c>
      <c r="AI246">
        <f>VLOOKUP($AC246,'2017 Seattle Tracts'!$C$2:$Z$399,AI$1,FALSE)*AA246</f>
        <v>0.17220505038611653</v>
      </c>
      <c r="AJ246">
        <f>VLOOKUP($AC246,'2017 Seattle Tracts'!$C$2:$Z$399,AJ$1,FALSE)*AA246</f>
        <v>0.54873630045316923</v>
      </c>
      <c r="AK246">
        <f>VLOOKUP($AC246,'2017 Seattle Tracts'!$C$2:$Z$399,AK$1,FALSE)*AA246</f>
        <v>4.1489817839142067E-2</v>
      </c>
      <c r="AL246">
        <f>VLOOKUP($AC246,'2017 Seattle Tracts'!$C$2:$Z$399,AL$1,FALSE)*AA246</f>
        <v>7.5841602501657539E-3</v>
      </c>
      <c r="AM246">
        <f>VLOOKUP($AC246,'2017 Seattle Tracts'!$C$2:$Z$399,AM$1,FALSE)*AA246</f>
        <v>5.7996519560091064E-3</v>
      </c>
      <c r="AN246">
        <f>VLOOKUP($AC246,'2017 Seattle Tracts'!$C$2:$Z$399,AN$1,FALSE)*AA246</f>
        <v>7.5841602501657543E-2</v>
      </c>
      <c r="AO246">
        <f>VLOOKUP($AC246,'2017 Seattle Tracts'!$C$2:$Z$399,AO$1,FALSE)*AA246</f>
        <v>4.4166580280377038E-2</v>
      </c>
      <c r="AP246">
        <f>VLOOKUP($AC246,'2017 Seattle Tracts'!$C$2:$Z$399,AP$1,FALSE)*AA246</f>
        <v>0</v>
      </c>
      <c r="AQ246">
        <f>VLOOKUP($AC246,'2017 Seattle Tracts'!$C$2:$Z$399,AQ$1,FALSE)*AA246</f>
        <v>0</v>
      </c>
      <c r="AR246">
        <f>VLOOKUP($AC246,'2017 Seattle Tracts'!$C$2:$Z$399,AR$1,FALSE)*AA246</f>
        <v>2.4983116118193073E-2</v>
      </c>
      <c r="AS246">
        <f>VLOOKUP($AC246,'2017 Seattle Tracts'!$C$2:$Z$399,AS$1,FALSE)*AA246</f>
        <v>8.074900031058832E-2</v>
      </c>
      <c r="AT246">
        <f>VLOOKUP($AC246,'2017 Seattle Tracts'!$C$2:$Z$399,AT$1,FALSE)*AA246</f>
        <v>0</v>
      </c>
      <c r="AU246">
        <f>VLOOKUP($AC246,'2017 Seattle Tracts'!$C$2:$Z$399,AU$1,FALSE)*AA246</f>
        <v>0</v>
      </c>
      <c r="AV246">
        <f>VLOOKUP($AC246,'2017 Seattle Tracts'!$C$2:$Z$399,AV$1,FALSE)*AA246</f>
        <v>2.6767624412349722E-3</v>
      </c>
      <c r="AW246">
        <f>VLOOKUP($AC246,'2017 Seattle Tracts'!$C$2:$Z$399,AW$1,FALSE)*AA246</f>
        <v>0</v>
      </c>
      <c r="AX246">
        <f>VLOOKUP($AC246,'2017 Seattle Tracts'!$C$2:$Z$399,AX$1,FALSE)*AA246</f>
        <v>5.2196867604081952E-2</v>
      </c>
      <c r="AY246">
        <f>VLOOKUP($AC246,'2017 Seattle Tracts'!$C$2:$Z$399,AY$1,FALSE)*AA246</f>
        <v>0</v>
      </c>
    </row>
    <row r="247" spans="1:51" x14ac:dyDescent="0.25">
      <c r="A247" t="s">
        <v>2917</v>
      </c>
      <c r="B247" t="s">
        <v>2918</v>
      </c>
      <c r="C247" t="s">
        <v>3107</v>
      </c>
      <c r="D247" t="s">
        <v>2887</v>
      </c>
      <c r="E247" t="s">
        <v>2888</v>
      </c>
      <c r="F247" t="s">
        <v>2889</v>
      </c>
      <c r="G247" t="s">
        <v>2920</v>
      </c>
      <c r="H247" t="s">
        <v>2921</v>
      </c>
      <c r="I247">
        <v>954470</v>
      </c>
      <c r="J247">
        <v>0</v>
      </c>
      <c r="K247" t="s">
        <v>3108</v>
      </c>
      <c r="L247" t="s">
        <v>3109</v>
      </c>
      <c r="M247">
        <v>954472</v>
      </c>
      <c r="N247">
        <v>103</v>
      </c>
      <c r="O247">
        <v>31987.734</v>
      </c>
      <c r="P247" t="s">
        <v>207</v>
      </c>
      <c r="Q247">
        <v>3</v>
      </c>
      <c r="R247">
        <v>3</v>
      </c>
      <c r="S247">
        <v>95</v>
      </c>
      <c r="T247">
        <v>30977390</v>
      </c>
      <c r="U247">
        <v>105</v>
      </c>
      <c r="V247">
        <v>107</v>
      </c>
      <c r="W247">
        <v>31987.735324847999</v>
      </c>
      <c r="X247">
        <v>30977390.242551979</v>
      </c>
      <c r="Y247">
        <v>188.53200000000001</v>
      </c>
      <c r="Z247">
        <f>VLOOKUP($AC247,'2017 Seattle Tracts'!$C$2:$Z$399,24,FALSE)</f>
        <v>954472.44799999997</v>
      </c>
      <c r="AA247">
        <f t="shared" si="7"/>
        <v>1.975248215860496E-4</v>
      </c>
      <c r="AB247" t="s">
        <v>208</v>
      </c>
      <c r="AC247" t="str">
        <f t="shared" si="6"/>
        <v>Census Tract 10, King County, Washington</v>
      </c>
      <c r="AD247">
        <f>VLOOKUP($AC247,'2017 Seattle Tracts'!$C$2:$Z$399,AD$1,FALSE)*AA247</f>
        <v>0.39149419638355032</v>
      </c>
      <c r="AE247">
        <f>VLOOKUP($AC247,'2017 Seattle Tracts'!$C$2:$Z$399,AE$1,FALSE)*AA247</f>
        <v>0.31524961525133516</v>
      </c>
      <c r="AF247">
        <f>VLOOKUP($AC247,'2017 Seattle Tracts'!$C$2:$Z$399,AF$1,FALSE)*AA247</f>
        <v>7.6244581132215147E-2</v>
      </c>
      <c r="AG247">
        <f>VLOOKUP($AC247,'2017 Seattle Tracts'!$C$2:$Z$399,AG$1,FALSE)*AA247</f>
        <v>0.39149419638355032</v>
      </c>
      <c r="AH247">
        <f>VLOOKUP($AC247,'2017 Seattle Tracts'!$C$2:$Z$399,AH$1,FALSE)*AA247</f>
        <v>0.31524961525133516</v>
      </c>
      <c r="AI247">
        <f>VLOOKUP($AC247,'2017 Seattle Tracts'!$C$2:$Z$399,AI$1,FALSE)*AA247</f>
        <v>7.6244581132215147E-2</v>
      </c>
      <c r="AJ247">
        <f>VLOOKUP($AC247,'2017 Seattle Tracts'!$C$2:$Z$399,AJ$1,FALSE)*AA247</f>
        <v>0.24295553055084101</v>
      </c>
      <c r="AK247">
        <f>VLOOKUP($AC247,'2017 Seattle Tracts'!$C$2:$Z$399,AK$1,FALSE)*AA247</f>
        <v>1.8369808407502613E-2</v>
      </c>
      <c r="AL247">
        <f>VLOOKUP($AC247,'2017 Seattle Tracts'!$C$2:$Z$399,AL$1,FALSE)*AA247</f>
        <v>3.3579219669628434E-3</v>
      </c>
      <c r="AM247">
        <f>VLOOKUP($AC247,'2017 Seattle Tracts'!$C$2:$Z$399,AM$1,FALSE)*AA247</f>
        <v>2.5678226806186448E-3</v>
      </c>
      <c r="AN247">
        <f>VLOOKUP($AC247,'2017 Seattle Tracts'!$C$2:$Z$399,AN$1,FALSE)*AA247</f>
        <v>3.357921966962843E-2</v>
      </c>
      <c r="AO247">
        <f>VLOOKUP($AC247,'2017 Seattle Tracts'!$C$2:$Z$399,AO$1,FALSE)*AA247</f>
        <v>1.9554957337018911E-2</v>
      </c>
      <c r="AP247">
        <f>VLOOKUP($AC247,'2017 Seattle Tracts'!$C$2:$Z$399,AP$1,FALSE)*AA247</f>
        <v>0</v>
      </c>
      <c r="AQ247">
        <f>VLOOKUP($AC247,'2017 Seattle Tracts'!$C$2:$Z$399,AQ$1,FALSE)*AA247</f>
        <v>0</v>
      </c>
      <c r="AR247">
        <f>VLOOKUP($AC247,'2017 Seattle Tracts'!$C$2:$Z$399,AR$1,FALSE)*AA247</f>
        <v>1.1061390008818778E-2</v>
      </c>
      <c r="AS247">
        <f>VLOOKUP($AC247,'2017 Seattle Tracts'!$C$2:$Z$399,AS$1,FALSE)*AA247</f>
        <v>3.5751992707074978E-2</v>
      </c>
      <c r="AT247">
        <f>VLOOKUP($AC247,'2017 Seattle Tracts'!$C$2:$Z$399,AT$1,FALSE)*AA247</f>
        <v>0</v>
      </c>
      <c r="AU247">
        <f>VLOOKUP($AC247,'2017 Seattle Tracts'!$C$2:$Z$399,AU$1,FALSE)*AA247</f>
        <v>0</v>
      </c>
      <c r="AV247">
        <f>VLOOKUP($AC247,'2017 Seattle Tracts'!$C$2:$Z$399,AV$1,FALSE)*AA247</f>
        <v>1.1851489295162977E-3</v>
      </c>
      <c r="AW247">
        <f>VLOOKUP($AC247,'2017 Seattle Tracts'!$C$2:$Z$399,AW$1,FALSE)*AA247</f>
        <v>0</v>
      </c>
      <c r="AX247">
        <f>VLOOKUP($AC247,'2017 Seattle Tracts'!$C$2:$Z$399,AX$1,FALSE)*AA247</f>
        <v>2.3110404125567804E-2</v>
      </c>
      <c r="AY247">
        <f>VLOOKUP($AC247,'2017 Seattle Tracts'!$C$2:$Z$399,AY$1,FALSE)*AA247</f>
        <v>0</v>
      </c>
    </row>
    <row r="248" spans="1:51" x14ac:dyDescent="0.25">
      <c r="A248" t="s">
        <v>2917</v>
      </c>
      <c r="B248" t="s">
        <v>2918</v>
      </c>
      <c r="C248" t="s">
        <v>3107</v>
      </c>
      <c r="D248" t="s">
        <v>2887</v>
      </c>
      <c r="E248" t="s">
        <v>2888</v>
      </c>
      <c r="F248" t="s">
        <v>2889</v>
      </c>
      <c r="G248" t="s">
        <v>2920</v>
      </c>
      <c r="H248" t="s">
        <v>2921</v>
      </c>
      <c r="I248">
        <v>954470</v>
      </c>
      <c r="J248">
        <v>0</v>
      </c>
      <c r="K248" t="s">
        <v>3108</v>
      </c>
      <c r="L248" t="s">
        <v>3109</v>
      </c>
      <c r="M248">
        <v>954472</v>
      </c>
      <c r="N248">
        <v>104</v>
      </c>
      <c r="O248">
        <v>18770.280999999999</v>
      </c>
      <c r="P248" t="s">
        <v>207</v>
      </c>
      <c r="Q248">
        <v>3</v>
      </c>
      <c r="R248">
        <v>3</v>
      </c>
      <c r="S248">
        <v>24</v>
      </c>
      <c r="T248">
        <v>17034848</v>
      </c>
      <c r="U248">
        <v>106</v>
      </c>
      <c r="V248">
        <v>108</v>
      </c>
      <c r="W248">
        <v>18770.28203242151</v>
      </c>
      <c r="X248">
        <v>17034848.779124379</v>
      </c>
      <c r="Y248">
        <v>953858.10600000003</v>
      </c>
      <c r="Z248">
        <f>VLOOKUP($AC248,'2017 Seattle Tracts'!$C$2:$Z$399,24,FALSE)</f>
        <v>954472.44799999997</v>
      </c>
      <c r="AA248">
        <f t="shared" si="7"/>
        <v>0.99935635439106996</v>
      </c>
      <c r="AB248" t="s">
        <v>209</v>
      </c>
      <c r="AC248" t="str">
        <f t="shared" si="6"/>
        <v>Census Tract 10, King County, Washington</v>
      </c>
      <c r="AD248">
        <f>VLOOKUP($AC248,'2017 Seattle Tracts'!$C$2:$Z$399,AD$1,FALSE)*AA248</f>
        <v>1980.7242944031007</v>
      </c>
      <c r="AE248">
        <f>VLOOKUP($AC248,'2017 Seattle Tracts'!$C$2:$Z$399,AE$1,FALSE)*AA248</f>
        <v>1594.9727416081475</v>
      </c>
      <c r="AF248">
        <f>VLOOKUP($AC248,'2017 Seattle Tracts'!$C$2:$Z$399,AF$1,FALSE)*AA248</f>
        <v>385.751552794953</v>
      </c>
      <c r="AG248">
        <f>VLOOKUP($AC248,'2017 Seattle Tracts'!$C$2:$Z$399,AG$1,FALSE)*AA248</f>
        <v>1980.7242944031007</v>
      </c>
      <c r="AH248">
        <f>VLOOKUP($AC248,'2017 Seattle Tracts'!$C$2:$Z$399,AH$1,FALSE)*AA248</f>
        <v>1594.9727416081475</v>
      </c>
      <c r="AI248">
        <f>VLOOKUP($AC248,'2017 Seattle Tracts'!$C$2:$Z$399,AI$1,FALSE)*AA248</f>
        <v>385.751552794953</v>
      </c>
      <c r="AJ248">
        <f>VLOOKUP($AC248,'2017 Seattle Tracts'!$C$2:$Z$399,AJ$1,FALSE)*AA248</f>
        <v>1229.208315901016</v>
      </c>
      <c r="AK248">
        <f>VLOOKUP($AC248,'2017 Seattle Tracts'!$C$2:$Z$399,AK$1,FALSE)*AA248</f>
        <v>92.940140958369511</v>
      </c>
      <c r="AL248">
        <f>VLOOKUP($AC248,'2017 Seattle Tracts'!$C$2:$Z$399,AL$1,FALSE)*AA248</f>
        <v>16.989058024648187</v>
      </c>
      <c r="AM248">
        <f>VLOOKUP($AC248,'2017 Seattle Tracts'!$C$2:$Z$399,AM$1,FALSE)*AA248</f>
        <v>12.991632607083909</v>
      </c>
      <c r="AN248">
        <f>VLOOKUP($AC248,'2017 Seattle Tracts'!$C$2:$Z$399,AN$1,FALSE)*AA248</f>
        <v>169.8905802464819</v>
      </c>
      <c r="AO248">
        <f>VLOOKUP($AC248,'2017 Seattle Tracts'!$C$2:$Z$399,AO$1,FALSE)*AA248</f>
        <v>98.93627908471592</v>
      </c>
      <c r="AP248">
        <f>VLOOKUP($AC248,'2017 Seattle Tracts'!$C$2:$Z$399,AP$1,FALSE)*AA248</f>
        <v>0</v>
      </c>
      <c r="AQ248">
        <f>VLOOKUP($AC248,'2017 Seattle Tracts'!$C$2:$Z$399,AQ$1,FALSE)*AA248</f>
        <v>0</v>
      </c>
      <c r="AR248">
        <f>VLOOKUP($AC248,'2017 Seattle Tracts'!$C$2:$Z$399,AR$1,FALSE)*AA248</f>
        <v>55.963955845899918</v>
      </c>
      <c r="AS248">
        <f>VLOOKUP($AC248,'2017 Seattle Tracts'!$C$2:$Z$399,AS$1,FALSE)*AA248</f>
        <v>180.88350014478365</v>
      </c>
      <c r="AT248">
        <f>VLOOKUP($AC248,'2017 Seattle Tracts'!$C$2:$Z$399,AT$1,FALSE)*AA248</f>
        <v>0</v>
      </c>
      <c r="AU248">
        <f>VLOOKUP($AC248,'2017 Seattle Tracts'!$C$2:$Z$399,AU$1,FALSE)*AA248</f>
        <v>0</v>
      </c>
      <c r="AV248">
        <f>VLOOKUP($AC248,'2017 Seattle Tracts'!$C$2:$Z$399,AV$1,FALSE)*AA248</f>
        <v>5.9961381263464197</v>
      </c>
      <c r="AW248">
        <f>VLOOKUP($AC248,'2017 Seattle Tracts'!$C$2:$Z$399,AW$1,FALSE)*AA248</f>
        <v>0</v>
      </c>
      <c r="AX248">
        <f>VLOOKUP($AC248,'2017 Seattle Tracts'!$C$2:$Z$399,AX$1,FALSE)*AA248</f>
        <v>116.92469346375519</v>
      </c>
      <c r="AY248">
        <f>VLOOKUP($AC248,'2017 Seattle Tracts'!$C$2:$Z$399,AY$1,FALSE)*AA248</f>
        <v>0</v>
      </c>
    </row>
    <row r="249" spans="1:51" x14ac:dyDescent="0.25">
      <c r="A249" t="s">
        <v>2917</v>
      </c>
      <c r="B249" t="s">
        <v>2918</v>
      </c>
      <c r="C249" t="s">
        <v>3110</v>
      </c>
      <c r="D249" t="s">
        <v>2890</v>
      </c>
      <c r="E249" t="s">
        <v>2891</v>
      </c>
      <c r="F249" t="s">
        <v>2892</v>
      </c>
      <c r="G249" t="s">
        <v>2920</v>
      </c>
      <c r="H249" t="s">
        <v>2921</v>
      </c>
      <c r="I249">
        <v>1908930</v>
      </c>
      <c r="J249">
        <v>904304</v>
      </c>
      <c r="K249" t="s">
        <v>3111</v>
      </c>
      <c r="L249" t="s">
        <v>3112</v>
      </c>
      <c r="M249">
        <v>1851649</v>
      </c>
      <c r="N249">
        <v>105</v>
      </c>
      <c r="O249">
        <v>19993.815999999999</v>
      </c>
      <c r="P249" t="s">
        <v>207</v>
      </c>
      <c r="Q249">
        <v>3</v>
      </c>
      <c r="R249">
        <v>3</v>
      </c>
      <c r="S249">
        <v>9</v>
      </c>
      <c r="T249">
        <v>25836742</v>
      </c>
      <c r="U249">
        <v>107</v>
      </c>
      <c r="V249">
        <v>104</v>
      </c>
      <c r="W249">
        <v>19993.816057076321</v>
      </c>
      <c r="X249">
        <v>25836742.163973771</v>
      </c>
      <c r="Y249">
        <v>431485.86300000001</v>
      </c>
      <c r="Z249">
        <f>VLOOKUP($AC249,'2017 Seattle Tracts'!$C$2:$Z$399,24,FALSE)</f>
        <v>1851648.6140000001</v>
      </c>
      <c r="AA249">
        <f t="shared" si="7"/>
        <v>0.23302794047294331</v>
      </c>
      <c r="AB249" t="s">
        <v>210</v>
      </c>
      <c r="AC249" t="str">
        <f t="shared" si="6"/>
        <v>Census Tract 1, King County, Washington</v>
      </c>
      <c r="AD249">
        <f>VLOOKUP($AC249,'2017 Seattle Tracts'!$C$2:$Z$399,AD$1,FALSE)*AA249</f>
        <v>1855.6014899860477</v>
      </c>
      <c r="AE249">
        <f>VLOOKUP($AC249,'2017 Seattle Tracts'!$C$2:$Z$399,AE$1,FALSE)*AA249</f>
        <v>1258.1178506134208</v>
      </c>
      <c r="AF249">
        <f>VLOOKUP($AC249,'2017 Seattle Tracts'!$C$2:$Z$399,AF$1,FALSE)*AA249</f>
        <v>597.48363937262661</v>
      </c>
      <c r="AG249">
        <f>VLOOKUP($AC249,'2017 Seattle Tracts'!$C$2:$Z$399,AG$1,FALSE)*AA249</f>
        <v>1855.6014899860477</v>
      </c>
      <c r="AH249">
        <f>VLOOKUP($AC249,'2017 Seattle Tracts'!$C$2:$Z$399,AH$1,FALSE)*AA249</f>
        <v>1258.1178506134208</v>
      </c>
      <c r="AI249">
        <f>VLOOKUP($AC249,'2017 Seattle Tracts'!$C$2:$Z$399,AI$1,FALSE)*AA249</f>
        <v>597.48363937262661</v>
      </c>
      <c r="AJ249">
        <f>VLOOKUP($AC249,'2017 Seattle Tracts'!$C$2:$Z$399,AJ$1,FALSE)*AA249</f>
        <v>818.62715488144988</v>
      </c>
      <c r="AK249">
        <f>VLOOKUP($AC249,'2017 Seattle Tracts'!$C$2:$Z$399,AK$1,FALSE)*AA249</f>
        <v>182.69390533078754</v>
      </c>
      <c r="AL249">
        <f>VLOOKUP($AC249,'2017 Seattle Tracts'!$C$2:$Z$399,AL$1,FALSE)*AA249</f>
        <v>47.304671916007493</v>
      </c>
      <c r="AM249">
        <f>VLOOKUP($AC249,'2017 Seattle Tracts'!$C$2:$Z$399,AM$1,FALSE)*AA249</f>
        <v>27.264269035334369</v>
      </c>
      <c r="AN249">
        <f>VLOOKUP($AC249,'2017 Seattle Tracts'!$C$2:$Z$399,AN$1,FALSE)*AA249</f>
        <v>148.20577014079194</v>
      </c>
      <c r="AO249">
        <f>VLOOKUP($AC249,'2017 Seattle Tracts'!$C$2:$Z$399,AO$1,FALSE)*AA249</f>
        <v>121.87361286734935</v>
      </c>
      <c r="AP249">
        <f>VLOOKUP($AC249,'2017 Seattle Tracts'!$C$2:$Z$399,AP$1,FALSE)*AA249</f>
        <v>12.117452904593053</v>
      </c>
      <c r="AQ249">
        <f>VLOOKUP($AC249,'2017 Seattle Tracts'!$C$2:$Z$399,AQ$1,FALSE)*AA249</f>
        <v>3.0293632261482633</v>
      </c>
      <c r="AR249">
        <f>VLOOKUP($AC249,'2017 Seattle Tracts'!$C$2:$Z$399,AR$1,FALSE)*AA249</f>
        <v>49.168895439791036</v>
      </c>
      <c r="AS249">
        <f>VLOOKUP($AC249,'2017 Seattle Tracts'!$C$2:$Z$399,AS$1,FALSE)*AA249</f>
        <v>194.57833029490766</v>
      </c>
      <c r="AT249">
        <f>VLOOKUP($AC249,'2017 Seattle Tracts'!$C$2:$Z$399,AT$1,FALSE)*AA249</f>
        <v>6.7578102737153563</v>
      </c>
      <c r="AU249">
        <f>VLOOKUP($AC249,'2017 Seattle Tracts'!$C$2:$Z$399,AU$1,FALSE)*AA249</f>
        <v>14.447732309322486</v>
      </c>
      <c r="AV249">
        <f>VLOOKUP($AC249,'2017 Seattle Tracts'!$C$2:$Z$399,AV$1,FALSE)*AA249</f>
        <v>40.313833701819192</v>
      </c>
      <c r="AW249">
        <f>VLOOKUP($AC249,'2017 Seattle Tracts'!$C$2:$Z$399,AW$1,FALSE)*AA249</f>
        <v>35.886302832833273</v>
      </c>
      <c r="AX249">
        <f>VLOOKUP($AC249,'2017 Seattle Tracts'!$C$2:$Z$399,AX$1,FALSE)*AA249</f>
        <v>135.62226135525302</v>
      </c>
      <c r="AY249">
        <f>VLOOKUP($AC249,'2017 Seattle Tracts'!$C$2:$Z$399,AY$1,FALSE)*AA249</f>
        <v>17.710123475943693</v>
      </c>
    </row>
    <row r="250" spans="1:51" x14ac:dyDescent="0.25">
      <c r="A250" t="s">
        <v>2917</v>
      </c>
      <c r="B250" t="s">
        <v>2918</v>
      </c>
      <c r="C250" t="s">
        <v>3110</v>
      </c>
      <c r="D250" t="s">
        <v>2890</v>
      </c>
      <c r="E250" t="s">
        <v>2891</v>
      </c>
      <c r="F250" t="s">
        <v>2892</v>
      </c>
      <c r="G250" t="s">
        <v>2920</v>
      </c>
      <c r="H250" t="s">
        <v>2921</v>
      </c>
      <c r="I250">
        <v>1908930</v>
      </c>
      <c r="J250">
        <v>904304</v>
      </c>
      <c r="K250" t="s">
        <v>3111</v>
      </c>
      <c r="L250" t="s">
        <v>3112</v>
      </c>
      <c r="M250">
        <v>1851649</v>
      </c>
      <c r="N250">
        <v>106</v>
      </c>
      <c r="O250">
        <v>22788.76</v>
      </c>
      <c r="P250" t="s">
        <v>207</v>
      </c>
      <c r="Q250">
        <v>3</v>
      </c>
      <c r="R250">
        <v>3</v>
      </c>
      <c r="S250">
        <v>19</v>
      </c>
      <c r="T250">
        <v>20441486</v>
      </c>
      <c r="U250">
        <v>108</v>
      </c>
      <c r="V250">
        <v>105</v>
      </c>
      <c r="W250">
        <v>22788.760382662011</v>
      </c>
      <c r="X250">
        <v>20441485.84874605</v>
      </c>
      <c r="Y250">
        <v>1413756.1029999999</v>
      </c>
      <c r="Z250">
        <f>VLOOKUP($AC250,'2017 Seattle Tracts'!$C$2:$Z$399,24,FALSE)</f>
        <v>1851648.6140000001</v>
      </c>
      <c r="AA250">
        <f t="shared" si="7"/>
        <v>0.76351208988078545</v>
      </c>
      <c r="AB250" t="s">
        <v>211</v>
      </c>
      <c r="AC250" t="str">
        <f t="shared" si="6"/>
        <v>Census Tract 1, King County, Washington</v>
      </c>
      <c r="AD250">
        <f>VLOOKUP($AC250,'2017 Seattle Tracts'!$C$2:$Z$399,AD$1,FALSE)*AA250</f>
        <v>6079.846771720695</v>
      </c>
      <c r="AE250">
        <f>VLOOKUP($AC250,'2017 Seattle Tracts'!$C$2:$Z$399,AE$1,FALSE)*AA250</f>
        <v>4122.2017732663608</v>
      </c>
      <c r="AF250">
        <f>VLOOKUP($AC250,'2017 Seattle Tracts'!$C$2:$Z$399,AF$1,FALSE)*AA250</f>
        <v>1957.644998454334</v>
      </c>
      <c r="AG250">
        <f>VLOOKUP($AC250,'2017 Seattle Tracts'!$C$2:$Z$399,AG$1,FALSE)*AA250</f>
        <v>6079.846771720695</v>
      </c>
      <c r="AH250">
        <f>VLOOKUP($AC250,'2017 Seattle Tracts'!$C$2:$Z$399,AH$1,FALSE)*AA250</f>
        <v>4122.2017732663608</v>
      </c>
      <c r="AI250">
        <f>VLOOKUP($AC250,'2017 Seattle Tracts'!$C$2:$Z$399,AI$1,FALSE)*AA250</f>
        <v>1957.644998454334</v>
      </c>
      <c r="AJ250">
        <f>VLOOKUP($AC250,'2017 Seattle Tracts'!$C$2:$Z$399,AJ$1,FALSE)*AA250</f>
        <v>2682.2179717511995</v>
      </c>
      <c r="AK250">
        <f>VLOOKUP($AC250,'2017 Seattle Tracts'!$C$2:$Z$399,AK$1,FALSE)*AA250</f>
        <v>598.59347846653577</v>
      </c>
      <c r="AL250">
        <f>VLOOKUP($AC250,'2017 Seattle Tracts'!$C$2:$Z$399,AL$1,FALSE)*AA250</f>
        <v>154.99295424579944</v>
      </c>
      <c r="AM250">
        <f>VLOOKUP($AC250,'2017 Seattle Tracts'!$C$2:$Z$399,AM$1,FALSE)*AA250</f>
        <v>89.330914516051891</v>
      </c>
      <c r="AN250">
        <f>VLOOKUP($AC250,'2017 Seattle Tracts'!$C$2:$Z$399,AN$1,FALSE)*AA250</f>
        <v>485.59368916417952</v>
      </c>
      <c r="AO250">
        <f>VLOOKUP($AC250,'2017 Seattle Tracts'!$C$2:$Z$399,AO$1,FALSE)*AA250</f>
        <v>399.31682300765078</v>
      </c>
      <c r="AP250">
        <f>VLOOKUP($AC250,'2017 Seattle Tracts'!$C$2:$Z$399,AP$1,FALSE)*AA250</f>
        <v>39.702628673800845</v>
      </c>
      <c r="AQ250">
        <f>VLOOKUP($AC250,'2017 Seattle Tracts'!$C$2:$Z$399,AQ$1,FALSE)*AA250</f>
        <v>9.9256571684502113</v>
      </c>
      <c r="AR250">
        <f>VLOOKUP($AC250,'2017 Seattle Tracts'!$C$2:$Z$399,AR$1,FALSE)*AA250</f>
        <v>161.10105096484574</v>
      </c>
      <c r="AS250">
        <f>VLOOKUP($AC250,'2017 Seattle Tracts'!$C$2:$Z$399,AS$1,FALSE)*AA250</f>
        <v>637.53259505045583</v>
      </c>
      <c r="AT250">
        <f>VLOOKUP($AC250,'2017 Seattle Tracts'!$C$2:$Z$399,AT$1,FALSE)*AA250</f>
        <v>22.141850606542778</v>
      </c>
      <c r="AU250">
        <f>VLOOKUP($AC250,'2017 Seattle Tracts'!$C$2:$Z$399,AU$1,FALSE)*AA250</f>
        <v>47.337749572608701</v>
      </c>
      <c r="AV250">
        <f>VLOOKUP($AC250,'2017 Seattle Tracts'!$C$2:$Z$399,AV$1,FALSE)*AA250</f>
        <v>132.08759154937587</v>
      </c>
      <c r="AW250">
        <f>VLOOKUP($AC250,'2017 Seattle Tracts'!$C$2:$Z$399,AW$1,FALSE)*AA250</f>
        <v>117.58086184164095</v>
      </c>
      <c r="AX250">
        <f>VLOOKUP($AC250,'2017 Seattle Tracts'!$C$2:$Z$399,AX$1,FALSE)*AA250</f>
        <v>444.36403631061711</v>
      </c>
      <c r="AY250">
        <f>VLOOKUP($AC250,'2017 Seattle Tracts'!$C$2:$Z$399,AY$1,FALSE)*AA250</f>
        <v>58.026918830939692</v>
      </c>
    </row>
    <row r="251" spans="1:51" x14ac:dyDescent="0.25">
      <c r="A251" t="s">
        <v>2917</v>
      </c>
      <c r="B251" t="s">
        <v>2918</v>
      </c>
      <c r="C251" t="s">
        <v>3113</v>
      </c>
      <c r="D251" t="s">
        <v>2770</v>
      </c>
      <c r="E251" t="s">
        <v>2771</v>
      </c>
      <c r="F251" t="s">
        <v>2772</v>
      </c>
      <c r="G251" t="s">
        <v>2920</v>
      </c>
      <c r="H251" t="s">
        <v>2921</v>
      </c>
      <c r="I251">
        <v>3286278</v>
      </c>
      <c r="J251">
        <v>0</v>
      </c>
      <c r="K251" t="s">
        <v>3114</v>
      </c>
      <c r="L251" t="s">
        <v>3115</v>
      </c>
      <c r="M251">
        <v>3285629</v>
      </c>
      <c r="N251">
        <v>102</v>
      </c>
      <c r="O251">
        <v>20753.002</v>
      </c>
      <c r="P251" t="s">
        <v>207</v>
      </c>
      <c r="Q251">
        <v>3</v>
      </c>
      <c r="R251">
        <v>3</v>
      </c>
      <c r="S251">
        <v>95</v>
      </c>
      <c r="T251">
        <v>21512732</v>
      </c>
      <c r="U251">
        <v>104</v>
      </c>
      <c r="V251">
        <v>106</v>
      </c>
      <c r="W251">
        <v>20753.0018992847</v>
      </c>
      <c r="X251">
        <v>21512731.489181329</v>
      </c>
      <c r="Y251">
        <v>121.58499999999999</v>
      </c>
      <c r="Z251">
        <f>VLOOKUP($AC251,'2017 Seattle Tracts'!$C$2:$Z$399,24,FALSE)</f>
        <v>3285629.4550000001</v>
      </c>
      <c r="AA251">
        <f t="shared" si="7"/>
        <v>3.700508583369758E-5</v>
      </c>
      <c r="AB251" t="s">
        <v>206</v>
      </c>
      <c r="AC251" t="str">
        <f t="shared" si="6"/>
        <v>Census Tract 2, King County, Washington</v>
      </c>
      <c r="AD251">
        <f>VLOOKUP($AC251,'2017 Seattle Tracts'!$C$2:$Z$399,AD$1,FALSE)*AA251</f>
        <v>0.29504154935207083</v>
      </c>
      <c r="AE251">
        <f>VLOOKUP($AC251,'2017 Seattle Tracts'!$C$2:$Z$399,AE$1,FALSE)*AA251</f>
        <v>0.21536959955211993</v>
      </c>
      <c r="AF251">
        <f>VLOOKUP($AC251,'2017 Seattle Tracts'!$C$2:$Z$399,AF$1,FALSE)*AA251</f>
        <v>7.9671949799950889E-2</v>
      </c>
      <c r="AG251">
        <f>VLOOKUP($AC251,'2017 Seattle Tracts'!$C$2:$Z$399,AG$1,FALSE)*AA251</f>
        <v>0.29504154935207083</v>
      </c>
      <c r="AH251">
        <f>VLOOKUP($AC251,'2017 Seattle Tracts'!$C$2:$Z$399,AH$1,FALSE)*AA251</f>
        <v>0.21536959955211993</v>
      </c>
      <c r="AI251">
        <f>VLOOKUP($AC251,'2017 Seattle Tracts'!$C$2:$Z$399,AI$1,FALSE)*AA251</f>
        <v>7.9671949799950889E-2</v>
      </c>
      <c r="AJ251">
        <f>VLOOKUP($AC251,'2017 Seattle Tracts'!$C$2:$Z$399,AJ$1,FALSE)*AA251</f>
        <v>0.1665968964233065</v>
      </c>
      <c r="AK251">
        <f>VLOOKUP($AC251,'2017 Seattle Tracts'!$C$2:$Z$399,AK$1,FALSE)*AA251</f>
        <v>2.0019751436030391E-2</v>
      </c>
      <c r="AL251">
        <f>VLOOKUP($AC251,'2017 Seattle Tracts'!$C$2:$Z$399,AL$1,FALSE)*AA251</f>
        <v>6.290864591728589E-3</v>
      </c>
      <c r="AM251">
        <f>VLOOKUP($AC251,'2017 Seattle Tracts'!$C$2:$Z$399,AM$1,FALSE)*AA251</f>
        <v>7.8450781967438869E-3</v>
      </c>
      <c r="AN251">
        <f>VLOOKUP($AC251,'2017 Seattle Tracts'!$C$2:$Z$399,AN$1,FALSE)*AA251</f>
        <v>3.8485289267045485E-3</v>
      </c>
      <c r="AO251">
        <f>VLOOKUP($AC251,'2017 Seattle Tracts'!$C$2:$Z$399,AO$1,FALSE)*AA251</f>
        <v>8.9182256859211169E-3</v>
      </c>
      <c r="AP251">
        <f>VLOOKUP($AC251,'2017 Seattle Tracts'!$C$2:$Z$399,AP$1,FALSE)*AA251</f>
        <v>3.8485289267045485E-3</v>
      </c>
      <c r="AQ251">
        <f>VLOOKUP($AC251,'2017 Seattle Tracts'!$C$2:$Z$399,AQ$1,FALSE)*AA251</f>
        <v>0</v>
      </c>
      <c r="AR251">
        <f>VLOOKUP($AC251,'2017 Seattle Tracts'!$C$2:$Z$399,AR$1,FALSE)*AA251</f>
        <v>1.298878512762785E-2</v>
      </c>
      <c r="AS251">
        <f>VLOOKUP($AC251,'2017 Seattle Tracts'!$C$2:$Z$399,AS$1,FALSE)*AA251</f>
        <v>3.5339856971181187E-2</v>
      </c>
      <c r="AT251">
        <f>VLOOKUP($AC251,'2017 Seattle Tracts'!$C$2:$Z$399,AT$1,FALSE)*AA251</f>
        <v>0</v>
      </c>
      <c r="AU251">
        <f>VLOOKUP($AC251,'2017 Seattle Tracts'!$C$2:$Z$399,AU$1,FALSE)*AA251</f>
        <v>0</v>
      </c>
      <c r="AV251">
        <f>VLOOKUP($AC251,'2017 Seattle Tracts'!$C$2:$Z$399,AV$1,FALSE)*AA251</f>
        <v>9.3622867159254882E-3</v>
      </c>
      <c r="AW251">
        <f>VLOOKUP($AC251,'2017 Seattle Tracts'!$C$2:$Z$399,AW$1,FALSE)*AA251</f>
        <v>3.700508583369758E-5</v>
      </c>
      <c r="AX251">
        <f>VLOOKUP($AC251,'2017 Seattle Tracts'!$C$2:$Z$399,AX$1,FALSE)*AA251</f>
        <v>1.2433708840122387E-2</v>
      </c>
      <c r="AY251">
        <f>VLOOKUP($AC251,'2017 Seattle Tracts'!$C$2:$Z$399,AY$1,FALSE)*AA251</f>
        <v>7.5120324242406089E-3</v>
      </c>
    </row>
    <row r="252" spans="1:51" x14ac:dyDescent="0.25">
      <c r="A252" t="s">
        <v>2917</v>
      </c>
      <c r="B252" t="s">
        <v>2918</v>
      </c>
      <c r="C252" t="s">
        <v>3113</v>
      </c>
      <c r="D252" t="s">
        <v>2770</v>
      </c>
      <c r="E252" t="s">
        <v>2771</v>
      </c>
      <c r="F252" t="s">
        <v>2772</v>
      </c>
      <c r="G252" t="s">
        <v>2920</v>
      </c>
      <c r="H252" t="s">
        <v>2921</v>
      </c>
      <c r="I252">
        <v>3286278</v>
      </c>
      <c r="J252">
        <v>0</v>
      </c>
      <c r="K252" t="s">
        <v>3114</v>
      </c>
      <c r="L252" t="s">
        <v>3115</v>
      </c>
      <c r="M252">
        <v>3285629</v>
      </c>
      <c r="N252">
        <v>105</v>
      </c>
      <c r="O252">
        <v>19993.815999999999</v>
      </c>
      <c r="P252" t="s">
        <v>207</v>
      </c>
      <c r="Q252">
        <v>3</v>
      </c>
      <c r="R252">
        <v>3</v>
      </c>
      <c r="S252">
        <v>9</v>
      </c>
      <c r="T252">
        <v>25836742</v>
      </c>
      <c r="U252">
        <v>107</v>
      </c>
      <c r="V252">
        <v>104</v>
      </c>
      <c r="W252">
        <v>19993.816057076321</v>
      </c>
      <c r="X252">
        <v>25836742.163973771</v>
      </c>
      <c r="Y252">
        <v>1968249.8640000001</v>
      </c>
      <c r="Z252">
        <f>VLOOKUP($AC252,'2017 Seattle Tracts'!$C$2:$Z$399,24,FALSE)</f>
        <v>3285629.4550000001</v>
      </c>
      <c r="AA252">
        <f t="shared" si="7"/>
        <v>0.59904803355252367</v>
      </c>
      <c r="AB252" t="s">
        <v>210</v>
      </c>
      <c r="AC252" t="str">
        <f t="shared" si="6"/>
        <v>Census Tract 2, King County, Washington</v>
      </c>
      <c r="AD252">
        <f>VLOOKUP($AC252,'2017 Seattle Tracts'!$C$2:$Z$399,AD$1,FALSE)*AA252</f>
        <v>4776.2099715142713</v>
      </c>
      <c r="AE252">
        <f>VLOOKUP($AC252,'2017 Seattle Tracts'!$C$2:$Z$399,AE$1,FALSE)*AA252</f>
        <v>3486.4595552756878</v>
      </c>
      <c r="AF252">
        <f>VLOOKUP($AC252,'2017 Seattle Tracts'!$C$2:$Z$399,AF$1,FALSE)*AA252</f>
        <v>1289.7504162385835</v>
      </c>
      <c r="AG252">
        <f>VLOOKUP($AC252,'2017 Seattle Tracts'!$C$2:$Z$399,AG$1,FALSE)*AA252</f>
        <v>4776.2099715142713</v>
      </c>
      <c r="AH252">
        <f>VLOOKUP($AC252,'2017 Seattle Tracts'!$C$2:$Z$399,AH$1,FALSE)*AA252</f>
        <v>3486.4595552756878</v>
      </c>
      <c r="AI252">
        <f>VLOOKUP($AC252,'2017 Seattle Tracts'!$C$2:$Z$399,AI$1,FALSE)*AA252</f>
        <v>1289.7504162385835</v>
      </c>
      <c r="AJ252">
        <f>VLOOKUP($AC252,'2017 Seattle Tracts'!$C$2:$Z$399,AJ$1,FALSE)*AA252</f>
        <v>2696.9142470534616</v>
      </c>
      <c r="AK252">
        <f>VLOOKUP($AC252,'2017 Seattle Tracts'!$C$2:$Z$399,AK$1,FALSE)*AA252</f>
        <v>324.0849861519153</v>
      </c>
      <c r="AL252">
        <f>VLOOKUP($AC252,'2017 Seattle Tracts'!$C$2:$Z$399,AL$1,FALSE)*AA252</f>
        <v>101.83816570392902</v>
      </c>
      <c r="AM252">
        <f>VLOOKUP($AC252,'2017 Seattle Tracts'!$C$2:$Z$399,AM$1,FALSE)*AA252</f>
        <v>126.99818311313501</v>
      </c>
      <c r="AN252">
        <f>VLOOKUP($AC252,'2017 Seattle Tracts'!$C$2:$Z$399,AN$1,FALSE)*AA252</f>
        <v>62.300995489462466</v>
      </c>
      <c r="AO252">
        <f>VLOOKUP($AC252,'2017 Seattle Tracts'!$C$2:$Z$399,AO$1,FALSE)*AA252</f>
        <v>144.3705760861582</v>
      </c>
      <c r="AP252">
        <f>VLOOKUP($AC252,'2017 Seattle Tracts'!$C$2:$Z$399,AP$1,FALSE)*AA252</f>
        <v>62.300995489462466</v>
      </c>
      <c r="AQ252">
        <f>VLOOKUP($AC252,'2017 Seattle Tracts'!$C$2:$Z$399,AQ$1,FALSE)*AA252</f>
        <v>0</v>
      </c>
      <c r="AR252">
        <f>VLOOKUP($AC252,'2017 Seattle Tracts'!$C$2:$Z$399,AR$1,FALSE)*AA252</f>
        <v>210.2658597769358</v>
      </c>
      <c r="AS252">
        <f>VLOOKUP($AC252,'2017 Seattle Tracts'!$C$2:$Z$399,AS$1,FALSE)*AA252</f>
        <v>572.09087204266007</v>
      </c>
      <c r="AT252">
        <f>VLOOKUP($AC252,'2017 Seattle Tracts'!$C$2:$Z$399,AT$1,FALSE)*AA252</f>
        <v>0</v>
      </c>
      <c r="AU252">
        <f>VLOOKUP($AC252,'2017 Seattle Tracts'!$C$2:$Z$399,AU$1,FALSE)*AA252</f>
        <v>0</v>
      </c>
      <c r="AV252">
        <f>VLOOKUP($AC252,'2017 Seattle Tracts'!$C$2:$Z$399,AV$1,FALSE)*AA252</f>
        <v>151.5591524887885</v>
      </c>
      <c r="AW252">
        <f>VLOOKUP($AC252,'2017 Seattle Tracts'!$C$2:$Z$399,AW$1,FALSE)*AA252</f>
        <v>0.59904803355252367</v>
      </c>
      <c r="AX252">
        <f>VLOOKUP($AC252,'2017 Seattle Tracts'!$C$2:$Z$399,AX$1,FALSE)*AA252</f>
        <v>201.28013927364796</v>
      </c>
      <c r="AY252">
        <f>VLOOKUP($AC252,'2017 Seattle Tracts'!$C$2:$Z$399,AY$1,FALSE)*AA252</f>
        <v>121.6067508111623</v>
      </c>
    </row>
    <row r="253" spans="1:51" x14ac:dyDescent="0.25">
      <c r="A253" t="s">
        <v>2917</v>
      </c>
      <c r="B253" t="s">
        <v>2918</v>
      </c>
      <c r="C253" t="s">
        <v>3113</v>
      </c>
      <c r="D253" t="s">
        <v>2770</v>
      </c>
      <c r="E253" t="s">
        <v>2771</v>
      </c>
      <c r="F253" t="s">
        <v>2772</v>
      </c>
      <c r="G253" t="s">
        <v>2920</v>
      </c>
      <c r="H253" t="s">
        <v>2921</v>
      </c>
      <c r="I253">
        <v>3286278</v>
      </c>
      <c r="J253">
        <v>0</v>
      </c>
      <c r="K253" t="s">
        <v>3114</v>
      </c>
      <c r="L253" t="s">
        <v>3115</v>
      </c>
      <c r="M253">
        <v>3285629</v>
      </c>
      <c r="N253">
        <v>113</v>
      </c>
      <c r="O253">
        <v>26171.271000000001</v>
      </c>
      <c r="P253" t="s">
        <v>215</v>
      </c>
      <c r="Q253">
        <v>2</v>
      </c>
      <c r="R253">
        <v>10</v>
      </c>
      <c r="S253">
        <v>81</v>
      </c>
      <c r="T253">
        <v>29438850</v>
      </c>
      <c r="U253">
        <v>115</v>
      </c>
      <c r="V253">
        <v>103</v>
      </c>
      <c r="W253">
        <v>26171.27176081029</v>
      </c>
      <c r="X253">
        <v>29438850.877074279</v>
      </c>
      <c r="Y253">
        <v>1317258.0049999999</v>
      </c>
      <c r="Z253">
        <f>VLOOKUP($AC253,'2017 Seattle Tracts'!$C$2:$Z$399,24,FALSE)</f>
        <v>3285629.4550000001</v>
      </c>
      <c r="AA253">
        <f t="shared" si="7"/>
        <v>0.40091496105728691</v>
      </c>
      <c r="AB253" t="s">
        <v>216</v>
      </c>
      <c r="AC253" t="str">
        <f t="shared" si="6"/>
        <v>Census Tract 2, King County, Washington</v>
      </c>
      <c r="AD253">
        <f>VLOOKUP($AC253,'2017 Seattle Tracts'!$C$2:$Z$399,AD$1,FALSE)*AA253</f>
        <v>3196.4949845097485</v>
      </c>
      <c r="AE253">
        <f>VLOOKUP($AC253,'2017 Seattle Tracts'!$C$2:$Z$399,AE$1,FALSE)*AA253</f>
        <v>2333.3250733534096</v>
      </c>
      <c r="AF253">
        <f>VLOOKUP($AC253,'2017 Seattle Tracts'!$C$2:$Z$399,AF$1,FALSE)*AA253</f>
        <v>863.16991115633869</v>
      </c>
      <c r="AG253">
        <f>VLOOKUP($AC253,'2017 Seattle Tracts'!$C$2:$Z$399,AG$1,FALSE)*AA253</f>
        <v>3196.4949845097485</v>
      </c>
      <c r="AH253">
        <f>VLOOKUP($AC253,'2017 Seattle Tracts'!$C$2:$Z$399,AH$1,FALSE)*AA253</f>
        <v>2333.3250733534096</v>
      </c>
      <c r="AI253">
        <f>VLOOKUP($AC253,'2017 Seattle Tracts'!$C$2:$Z$399,AI$1,FALSE)*AA253</f>
        <v>863.16991115633869</v>
      </c>
      <c r="AJ253">
        <f>VLOOKUP($AC253,'2017 Seattle Tracts'!$C$2:$Z$399,AJ$1,FALSE)*AA253</f>
        <v>1804.9191546799057</v>
      </c>
      <c r="AK253">
        <f>VLOOKUP($AC253,'2017 Seattle Tracts'!$C$2:$Z$399,AK$1,FALSE)*AA253</f>
        <v>216.89499393199222</v>
      </c>
      <c r="AL253">
        <f>VLOOKUP($AC253,'2017 Seattle Tracts'!$C$2:$Z$399,AL$1,FALSE)*AA253</f>
        <v>68.155543379738774</v>
      </c>
      <c r="AM253">
        <f>VLOOKUP($AC253,'2017 Seattle Tracts'!$C$2:$Z$399,AM$1,FALSE)*AA253</f>
        <v>84.993971744144829</v>
      </c>
      <c r="AN253">
        <f>VLOOKUP($AC253,'2017 Seattle Tracts'!$C$2:$Z$399,AN$1,FALSE)*AA253</f>
        <v>41.695155949957837</v>
      </c>
      <c r="AO253">
        <f>VLOOKUP($AC253,'2017 Seattle Tracts'!$C$2:$Z$399,AO$1,FALSE)*AA253</f>
        <v>96.620505614806149</v>
      </c>
      <c r="AP253">
        <f>VLOOKUP($AC253,'2017 Seattle Tracts'!$C$2:$Z$399,AP$1,FALSE)*AA253</f>
        <v>41.695155949957837</v>
      </c>
      <c r="AQ253">
        <f>VLOOKUP($AC253,'2017 Seattle Tracts'!$C$2:$Z$399,AQ$1,FALSE)*AA253</f>
        <v>0</v>
      </c>
      <c r="AR253">
        <f>VLOOKUP($AC253,'2017 Seattle Tracts'!$C$2:$Z$399,AR$1,FALSE)*AA253</f>
        <v>140.72115133110771</v>
      </c>
      <c r="AS253">
        <f>VLOOKUP($AC253,'2017 Seattle Tracts'!$C$2:$Z$399,AS$1,FALSE)*AA253</f>
        <v>382.87378780970903</v>
      </c>
      <c r="AT253">
        <f>VLOOKUP($AC253,'2017 Seattle Tracts'!$C$2:$Z$399,AT$1,FALSE)*AA253</f>
        <v>0</v>
      </c>
      <c r="AU253">
        <f>VLOOKUP($AC253,'2017 Seattle Tracts'!$C$2:$Z$399,AU$1,FALSE)*AA253</f>
        <v>0</v>
      </c>
      <c r="AV253">
        <f>VLOOKUP($AC253,'2017 Seattle Tracts'!$C$2:$Z$399,AV$1,FALSE)*AA253</f>
        <v>101.43148514749359</v>
      </c>
      <c r="AW253">
        <f>VLOOKUP($AC253,'2017 Seattle Tracts'!$C$2:$Z$399,AW$1,FALSE)*AA253</f>
        <v>0.40091496105728691</v>
      </c>
      <c r="AX253">
        <f>VLOOKUP($AC253,'2017 Seattle Tracts'!$C$2:$Z$399,AX$1,FALSE)*AA253</f>
        <v>134.70742691524839</v>
      </c>
      <c r="AY253">
        <f>VLOOKUP($AC253,'2017 Seattle Tracts'!$C$2:$Z$399,AY$1,FALSE)*AA253</f>
        <v>81.385737094629249</v>
      </c>
    </row>
    <row r="254" spans="1:51" x14ac:dyDescent="0.25">
      <c r="A254" t="s">
        <v>2917</v>
      </c>
      <c r="B254" t="s">
        <v>2918</v>
      </c>
      <c r="C254" t="s">
        <v>3116</v>
      </c>
      <c r="D254" t="s">
        <v>2740</v>
      </c>
      <c r="E254" t="s">
        <v>2741</v>
      </c>
      <c r="F254" t="s">
        <v>2742</v>
      </c>
      <c r="G254" t="s">
        <v>2920</v>
      </c>
      <c r="H254" t="s">
        <v>2921</v>
      </c>
      <c r="I254">
        <v>1211017</v>
      </c>
      <c r="J254">
        <v>0</v>
      </c>
      <c r="K254" t="s">
        <v>3117</v>
      </c>
      <c r="L254" t="s">
        <v>3118</v>
      </c>
      <c r="M254">
        <v>1211014</v>
      </c>
      <c r="N254">
        <v>111</v>
      </c>
      <c r="O254">
        <v>26446.203000000001</v>
      </c>
      <c r="P254" t="s">
        <v>122</v>
      </c>
      <c r="Q254">
        <v>1</v>
      </c>
      <c r="R254">
        <v>2</v>
      </c>
      <c r="S254">
        <v>23</v>
      </c>
      <c r="T254">
        <v>27690336</v>
      </c>
      <c r="U254">
        <v>113</v>
      </c>
      <c r="V254">
        <v>101</v>
      </c>
      <c r="W254">
        <v>26446.20305409377</v>
      </c>
      <c r="X254">
        <v>27690336.443909489</v>
      </c>
      <c r="Y254">
        <v>583.39599999999996</v>
      </c>
      <c r="Z254">
        <f>VLOOKUP($AC254,'2017 Seattle Tracts'!$C$2:$Z$399,24,FALSE)</f>
        <v>1211014.287</v>
      </c>
      <c r="AA254">
        <f t="shared" si="7"/>
        <v>4.8174163283013356E-4</v>
      </c>
      <c r="AB254" t="s">
        <v>213</v>
      </c>
      <c r="AC254" t="str">
        <f t="shared" si="6"/>
        <v>Census Tract 3, King County, Washington</v>
      </c>
      <c r="AD254">
        <f>VLOOKUP($AC254,'2017 Seattle Tracts'!$C$2:$Z$399,AD$1,FALSE)*AA254</f>
        <v>1.3594748878466369</v>
      </c>
      <c r="AE254">
        <f>VLOOKUP($AC254,'2017 Seattle Tracts'!$C$2:$Z$399,AE$1,FALSE)*AA254</f>
        <v>1.1571434020579807</v>
      </c>
      <c r="AF254">
        <f>VLOOKUP($AC254,'2017 Seattle Tracts'!$C$2:$Z$399,AF$1,FALSE)*AA254</f>
        <v>0.20233148578865609</v>
      </c>
      <c r="AG254">
        <f>VLOOKUP($AC254,'2017 Seattle Tracts'!$C$2:$Z$399,AG$1,FALSE)*AA254</f>
        <v>1.3594748878466369</v>
      </c>
      <c r="AH254">
        <f>VLOOKUP($AC254,'2017 Seattle Tracts'!$C$2:$Z$399,AH$1,FALSE)*AA254</f>
        <v>1.1571434020579807</v>
      </c>
      <c r="AI254">
        <f>VLOOKUP($AC254,'2017 Seattle Tracts'!$C$2:$Z$399,AI$1,FALSE)*AA254</f>
        <v>0.20233148578865609</v>
      </c>
      <c r="AJ254">
        <f>VLOOKUP($AC254,'2017 Seattle Tracts'!$C$2:$Z$399,AJ$1,FALSE)*AA254</f>
        <v>0.93506050932328921</v>
      </c>
      <c r="AK254">
        <f>VLOOKUP($AC254,'2017 Seattle Tracts'!$C$2:$Z$399,AK$1,FALSE)*AA254</f>
        <v>6.6962086963388567E-2</v>
      </c>
      <c r="AL254">
        <f>VLOOKUP($AC254,'2017 Seattle Tracts'!$C$2:$Z$399,AL$1,FALSE)*AA254</f>
        <v>2.0714890211695744E-2</v>
      </c>
      <c r="AM254">
        <f>VLOOKUP($AC254,'2017 Seattle Tracts'!$C$2:$Z$399,AM$1,FALSE)*AA254</f>
        <v>1.3488765719243739E-2</v>
      </c>
      <c r="AN254">
        <f>VLOOKUP($AC254,'2017 Seattle Tracts'!$C$2:$Z$399,AN$1,FALSE)*AA254</f>
        <v>4.7210680017353089E-2</v>
      </c>
      <c r="AO254">
        <f>VLOOKUP($AC254,'2017 Seattle Tracts'!$C$2:$Z$399,AO$1,FALSE)*AA254</f>
        <v>2.3123598375846412E-2</v>
      </c>
      <c r="AP254">
        <f>VLOOKUP($AC254,'2017 Seattle Tracts'!$C$2:$Z$399,AP$1,FALSE)*AA254</f>
        <v>0</v>
      </c>
      <c r="AQ254">
        <f>VLOOKUP($AC254,'2017 Seattle Tracts'!$C$2:$Z$399,AQ$1,FALSE)*AA254</f>
        <v>0</v>
      </c>
      <c r="AR254">
        <f>VLOOKUP($AC254,'2017 Seattle Tracts'!$C$2:$Z$399,AR$1,FALSE)*AA254</f>
        <v>7.0334278393199501E-2</v>
      </c>
      <c r="AS254">
        <f>VLOOKUP($AC254,'2017 Seattle Tracts'!$C$2:$Z$399,AS$1,FALSE)*AA254</f>
        <v>8.0932594315462444E-2</v>
      </c>
      <c r="AT254">
        <f>VLOOKUP($AC254,'2017 Seattle Tracts'!$C$2:$Z$399,AT$1,FALSE)*AA254</f>
        <v>1.1080057555093071E-2</v>
      </c>
      <c r="AU254">
        <f>VLOOKUP($AC254,'2017 Seattle Tracts'!$C$2:$Z$399,AU$1,FALSE)*AA254</f>
        <v>3.3721914298109348E-3</v>
      </c>
      <c r="AV254">
        <f>VLOOKUP($AC254,'2017 Seattle Tracts'!$C$2:$Z$399,AV$1,FALSE)*AA254</f>
        <v>0</v>
      </c>
      <c r="AW254">
        <f>VLOOKUP($AC254,'2017 Seattle Tracts'!$C$2:$Z$399,AW$1,FALSE)*AA254</f>
        <v>0</v>
      </c>
      <c r="AX254">
        <f>VLOOKUP($AC254,'2017 Seattle Tracts'!$C$2:$Z$399,AX$1,FALSE)*AA254</f>
        <v>7.2742986557350162E-2</v>
      </c>
      <c r="AY254">
        <f>VLOOKUP($AC254,'2017 Seattle Tracts'!$C$2:$Z$399,AY$1,FALSE)*AA254</f>
        <v>1.4452248984904006E-2</v>
      </c>
    </row>
    <row r="255" spans="1:51" x14ac:dyDescent="0.25">
      <c r="A255" t="s">
        <v>2917</v>
      </c>
      <c r="B255" t="s">
        <v>2918</v>
      </c>
      <c r="C255" t="s">
        <v>3116</v>
      </c>
      <c r="D255" t="s">
        <v>2740</v>
      </c>
      <c r="E255" t="s">
        <v>2741</v>
      </c>
      <c r="F255" t="s">
        <v>2742</v>
      </c>
      <c r="G255" t="s">
        <v>2920</v>
      </c>
      <c r="H255" t="s">
        <v>2921</v>
      </c>
      <c r="I255">
        <v>1211017</v>
      </c>
      <c r="J255">
        <v>0</v>
      </c>
      <c r="K255" t="s">
        <v>3117</v>
      </c>
      <c r="L255" t="s">
        <v>3118</v>
      </c>
      <c r="M255">
        <v>1211014</v>
      </c>
      <c r="N255">
        <v>112</v>
      </c>
      <c r="O255">
        <v>29413.553</v>
      </c>
      <c r="P255" t="s">
        <v>215</v>
      </c>
      <c r="Q255">
        <v>2</v>
      </c>
      <c r="R255">
        <v>10</v>
      </c>
      <c r="S255">
        <v>95</v>
      </c>
      <c r="T255">
        <v>47203080</v>
      </c>
      <c r="U255">
        <v>114</v>
      </c>
      <c r="V255">
        <v>102</v>
      </c>
      <c r="W255">
        <v>29413.553448415088</v>
      </c>
      <c r="X255">
        <v>47203081.07955838</v>
      </c>
      <c r="Y255">
        <v>1137978.206</v>
      </c>
      <c r="Z255">
        <f>VLOOKUP($AC255,'2017 Seattle Tracts'!$C$2:$Z$399,24,FALSE)</f>
        <v>1211014.287</v>
      </c>
      <c r="AA255">
        <f t="shared" si="7"/>
        <v>0.93969015742916662</v>
      </c>
      <c r="AB255" t="s">
        <v>214</v>
      </c>
      <c r="AC255" t="str">
        <f t="shared" si="6"/>
        <v>Census Tract 3, King County, Washington</v>
      </c>
      <c r="AD255">
        <f>VLOOKUP($AC255,'2017 Seattle Tracts'!$C$2:$Z$399,AD$1,FALSE)*AA255</f>
        <v>2651.8056242651082</v>
      </c>
      <c r="AE255">
        <f>VLOOKUP($AC255,'2017 Seattle Tracts'!$C$2:$Z$399,AE$1,FALSE)*AA255</f>
        <v>2257.1357581448583</v>
      </c>
      <c r="AF255">
        <f>VLOOKUP($AC255,'2017 Seattle Tracts'!$C$2:$Z$399,AF$1,FALSE)*AA255</f>
        <v>394.66986612024999</v>
      </c>
      <c r="AG255">
        <f>VLOOKUP($AC255,'2017 Seattle Tracts'!$C$2:$Z$399,AG$1,FALSE)*AA255</f>
        <v>2651.8056242651082</v>
      </c>
      <c r="AH255">
        <f>VLOOKUP($AC255,'2017 Seattle Tracts'!$C$2:$Z$399,AH$1,FALSE)*AA255</f>
        <v>2257.1357581448583</v>
      </c>
      <c r="AI255">
        <f>VLOOKUP($AC255,'2017 Seattle Tracts'!$C$2:$Z$399,AI$1,FALSE)*AA255</f>
        <v>394.66986612024999</v>
      </c>
      <c r="AJ255">
        <f>VLOOKUP($AC255,'2017 Seattle Tracts'!$C$2:$Z$399,AJ$1,FALSE)*AA255</f>
        <v>1823.9385955700125</v>
      </c>
      <c r="AK255">
        <f>VLOOKUP($AC255,'2017 Seattle Tracts'!$C$2:$Z$399,AK$1,FALSE)*AA255</f>
        <v>130.61693188265417</v>
      </c>
      <c r="AL255">
        <f>VLOOKUP($AC255,'2017 Seattle Tracts'!$C$2:$Z$399,AL$1,FALSE)*AA255</f>
        <v>40.406676769454165</v>
      </c>
      <c r="AM255">
        <f>VLOOKUP($AC255,'2017 Seattle Tracts'!$C$2:$Z$399,AM$1,FALSE)*AA255</f>
        <v>26.311324408016667</v>
      </c>
      <c r="AN255">
        <f>VLOOKUP($AC255,'2017 Seattle Tracts'!$C$2:$Z$399,AN$1,FALSE)*AA255</f>
        <v>92.08963542805833</v>
      </c>
      <c r="AO255">
        <f>VLOOKUP($AC255,'2017 Seattle Tracts'!$C$2:$Z$399,AO$1,FALSE)*AA255</f>
        <v>45.105127556599996</v>
      </c>
      <c r="AP255">
        <f>VLOOKUP($AC255,'2017 Seattle Tracts'!$C$2:$Z$399,AP$1,FALSE)*AA255</f>
        <v>0</v>
      </c>
      <c r="AQ255">
        <f>VLOOKUP($AC255,'2017 Seattle Tracts'!$C$2:$Z$399,AQ$1,FALSE)*AA255</f>
        <v>0</v>
      </c>
      <c r="AR255">
        <f>VLOOKUP($AC255,'2017 Seattle Tracts'!$C$2:$Z$399,AR$1,FALSE)*AA255</f>
        <v>137.19476298465833</v>
      </c>
      <c r="AS255">
        <f>VLOOKUP($AC255,'2017 Seattle Tracts'!$C$2:$Z$399,AS$1,FALSE)*AA255</f>
        <v>157.86794644809999</v>
      </c>
      <c r="AT255">
        <f>VLOOKUP($AC255,'2017 Seattle Tracts'!$C$2:$Z$399,AT$1,FALSE)*AA255</f>
        <v>21.612873620870833</v>
      </c>
      <c r="AU255">
        <f>VLOOKUP($AC255,'2017 Seattle Tracts'!$C$2:$Z$399,AU$1,FALSE)*AA255</f>
        <v>6.5778311020041667</v>
      </c>
      <c r="AV255">
        <f>VLOOKUP($AC255,'2017 Seattle Tracts'!$C$2:$Z$399,AV$1,FALSE)*AA255</f>
        <v>0</v>
      </c>
      <c r="AW255">
        <f>VLOOKUP($AC255,'2017 Seattle Tracts'!$C$2:$Z$399,AW$1,FALSE)*AA255</f>
        <v>0</v>
      </c>
      <c r="AX255">
        <f>VLOOKUP($AC255,'2017 Seattle Tracts'!$C$2:$Z$399,AX$1,FALSE)*AA255</f>
        <v>141.89321377180417</v>
      </c>
      <c r="AY255">
        <f>VLOOKUP($AC255,'2017 Seattle Tracts'!$C$2:$Z$399,AY$1,FALSE)*AA255</f>
        <v>28.190704722874997</v>
      </c>
    </row>
    <row r="256" spans="1:51" x14ac:dyDescent="0.25">
      <c r="A256" t="s">
        <v>2917</v>
      </c>
      <c r="B256" t="s">
        <v>2918</v>
      </c>
      <c r="C256" t="s">
        <v>3116</v>
      </c>
      <c r="D256" t="s">
        <v>2740</v>
      </c>
      <c r="E256" t="s">
        <v>2741</v>
      </c>
      <c r="F256" t="s">
        <v>2742</v>
      </c>
      <c r="G256" t="s">
        <v>2920</v>
      </c>
      <c r="H256" t="s">
        <v>2921</v>
      </c>
      <c r="I256">
        <v>1211017</v>
      </c>
      <c r="J256">
        <v>0</v>
      </c>
      <c r="K256" t="s">
        <v>3117</v>
      </c>
      <c r="L256" t="s">
        <v>3118</v>
      </c>
      <c r="M256">
        <v>1211014</v>
      </c>
      <c r="N256">
        <v>113</v>
      </c>
      <c r="O256">
        <v>26171.271000000001</v>
      </c>
      <c r="P256" t="s">
        <v>215</v>
      </c>
      <c r="Q256">
        <v>2</v>
      </c>
      <c r="R256">
        <v>10</v>
      </c>
      <c r="S256">
        <v>81</v>
      </c>
      <c r="T256">
        <v>29438850</v>
      </c>
      <c r="U256">
        <v>115</v>
      </c>
      <c r="V256">
        <v>103</v>
      </c>
      <c r="W256">
        <v>26171.27176081029</v>
      </c>
      <c r="X256">
        <v>29438850.877074279</v>
      </c>
      <c r="Y256">
        <v>72452.682000000001</v>
      </c>
      <c r="Z256">
        <f>VLOOKUP($AC256,'2017 Seattle Tracts'!$C$2:$Z$399,24,FALSE)</f>
        <v>1211014.287</v>
      </c>
      <c r="AA256">
        <f t="shared" si="7"/>
        <v>5.9828098460740949E-2</v>
      </c>
      <c r="AB256" t="s">
        <v>216</v>
      </c>
      <c r="AC256" t="str">
        <f t="shared" si="6"/>
        <v>Census Tract 3, King County, Washington</v>
      </c>
      <c r="AD256">
        <f>VLOOKUP($AC256,'2017 Seattle Tracts'!$C$2:$Z$399,AD$1,FALSE)*AA256</f>
        <v>168.83489385621095</v>
      </c>
      <c r="AE256">
        <f>VLOOKUP($AC256,'2017 Seattle Tracts'!$C$2:$Z$399,AE$1,FALSE)*AA256</f>
        <v>143.70709250269977</v>
      </c>
      <c r="AF256">
        <f>VLOOKUP($AC256,'2017 Seattle Tracts'!$C$2:$Z$399,AF$1,FALSE)*AA256</f>
        <v>25.127801353511199</v>
      </c>
      <c r="AG256">
        <f>VLOOKUP($AC256,'2017 Seattle Tracts'!$C$2:$Z$399,AG$1,FALSE)*AA256</f>
        <v>168.83489385621095</v>
      </c>
      <c r="AH256">
        <f>VLOOKUP($AC256,'2017 Seattle Tracts'!$C$2:$Z$399,AH$1,FALSE)*AA256</f>
        <v>143.70709250269977</v>
      </c>
      <c r="AI256">
        <f>VLOOKUP($AC256,'2017 Seattle Tracts'!$C$2:$Z$399,AI$1,FALSE)*AA256</f>
        <v>25.127801353511199</v>
      </c>
      <c r="AJ256">
        <f>VLOOKUP($AC256,'2017 Seattle Tracts'!$C$2:$Z$399,AJ$1,FALSE)*AA256</f>
        <v>116.12633911229818</v>
      </c>
      <c r="AK256">
        <f>VLOOKUP($AC256,'2017 Seattle Tracts'!$C$2:$Z$399,AK$1,FALSE)*AA256</f>
        <v>8.3161056860429916</v>
      </c>
      <c r="AL256">
        <f>VLOOKUP($AC256,'2017 Seattle Tracts'!$C$2:$Z$399,AL$1,FALSE)*AA256</f>
        <v>2.5726082338118608</v>
      </c>
      <c r="AM256">
        <f>VLOOKUP($AC256,'2017 Seattle Tracts'!$C$2:$Z$399,AM$1,FALSE)*AA256</f>
        <v>1.6751867569007466</v>
      </c>
      <c r="AN256">
        <f>VLOOKUP($AC256,'2017 Seattle Tracts'!$C$2:$Z$399,AN$1,FALSE)*AA256</f>
        <v>5.8631536491526131</v>
      </c>
      <c r="AO256">
        <f>VLOOKUP($AC256,'2017 Seattle Tracts'!$C$2:$Z$399,AO$1,FALSE)*AA256</f>
        <v>2.8717487261155656</v>
      </c>
      <c r="AP256">
        <f>VLOOKUP($AC256,'2017 Seattle Tracts'!$C$2:$Z$399,AP$1,FALSE)*AA256</f>
        <v>0</v>
      </c>
      <c r="AQ256">
        <f>VLOOKUP($AC256,'2017 Seattle Tracts'!$C$2:$Z$399,AQ$1,FALSE)*AA256</f>
        <v>0</v>
      </c>
      <c r="AR256">
        <f>VLOOKUP($AC256,'2017 Seattle Tracts'!$C$2:$Z$399,AR$1,FALSE)*AA256</f>
        <v>8.7349023752681791</v>
      </c>
      <c r="AS256">
        <f>VLOOKUP($AC256,'2017 Seattle Tracts'!$C$2:$Z$399,AS$1,FALSE)*AA256</f>
        <v>10.05112054140448</v>
      </c>
      <c r="AT256">
        <f>VLOOKUP($AC256,'2017 Seattle Tracts'!$C$2:$Z$399,AT$1,FALSE)*AA256</f>
        <v>1.3760462645970417</v>
      </c>
      <c r="AU256">
        <f>VLOOKUP($AC256,'2017 Seattle Tracts'!$C$2:$Z$399,AU$1,FALSE)*AA256</f>
        <v>0.41879668922518665</v>
      </c>
      <c r="AV256">
        <f>VLOOKUP($AC256,'2017 Seattle Tracts'!$C$2:$Z$399,AV$1,FALSE)*AA256</f>
        <v>0</v>
      </c>
      <c r="AW256">
        <f>VLOOKUP($AC256,'2017 Seattle Tracts'!$C$2:$Z$399,AW$1,FALSE)*AA256</f>
        <v>0</v>
      </c>
      <c r="AX256">
        <f>VLOOKUP($AC256,'2017 Seattle Tracts'!$C$2:$Z$399,AX$1,FALSE)*AA256</f>
        <v>9.034042867571884</v>
      </c>
      <c r="AY256">
        <f>VLOOKUP($AC256,'2017 Seattle Tracts'!$C$2:$Z$399,AY$1,FALSE)*AA256</f>
        <v>1.7948429538222284</v>
      </c>
    </row>
    <row r="257" spans="1:51" x14ac:dyDescent="0.25">
      <c r="A257" t="s">
        <v>2917</v>
      </c>
      <c r="B257" t="s">
        <v>2918</v>
      </c>
      <c r="C257" t="s">
        <v>3119</v>
      </c>
      <c r="D257" t="s">
        <v>2710</v>
      </c>
      <c r="E257" t="s">
        <v>2711</v>
      </c>
      <c r="F257" t="s">
        <v>2712</v>
      </c>
      <c r="G257" t="s">
        <v>2920</v>
      </c>
      <c r="H257" t="s">
        <v>2921</v>
      </c>
      <c r="I257">
        <v>1281400</v>
      </c>
      <c r="J257">
        <v>81874</v>
      </c>
      <c r="K257" t="s">
        <v>3120</v>
      </c>
      <c r="L257" t="s">
        <v>3121</v>
      </c>
      <c r="M257">
        <v>1286149</v>
      </c>
      <c r="N257">
        <v>110</v>
      </c>
      <c r="O257">
        <v>34640.309000000001</v>
      </c>
      <c r="P257" t="s">
        <v>122</v>
      </c>
      <c r="Q257">
        <v>1</v>
      </c>
      <c r="R257">
        <v>2</v>
      </c>
      <c r="S257">
        <v>95</v>
      </c>
      <c r="T257">
        <v>48113448</v>
      </c>
      <c r="U257">
        <v>112</v>
      </c>
      <c r="V257">
        <v>100</v>
      </c>
      <c r="W257">
        <v>34640.309665739042</v>
      </c>
      <c r="X257">
        <v>48113449.730149508</v>
      </c>
      <c r="Y257">
        <v>406964.42599999998</v>
      </c>
      <c r="Z257">
        <f>VLOOKUP($AC257,'2017 Seattle Tracts'!$C$2:$Z$399,24,FALSE)</f>
        <v>1286149.0360000001</v>
      </c>
      <c r="AA257">
        <f t="shared" si="7"/>
        <v>0.31642089260952488</v>
      </c>
      <c r="AB257" t="s">
        <v>212</v>
      </c>
      <c r="AC257" t="str">
        <f t="shared" si="6"/>
        <v>Census Tract 4.01, King County, Washington</v>
      </c>
      <c r="AD257">
        <f>VLOOKUP($AC257,'2017 Seattle Tracts'!$C$2:$Z$399,AD$1,FALSE)*AA257</f>
        <v>2126.6648192286166</v>
      </c>
      <c r="AE257">
        <f>VLOOKUP($AC257,'2017 Seattle Tracts'!$C$2:$Z$399,AE$1,FALSE)*AA257</f>
        <v>1564.3848930614911</v>
      </c>
      <c r="AF257">
        <f>VLOOKUP($AC257,'2017 Seattle Tracts'!$C$2:$Z$399,AF$1,FALSE)*AA257</f>
        <v>562.27992616712572</v>
      </c>
      <c r="AG257">
        <f>VLOOKUP($AC257,'2017 Seattle Tracts'!$C$2:$Z$399,AG$1,FALSE)*AA257</f>
        <v>2126.6648192286166</v>
      </c>
      <c r="AH257">
        <f>VLOOKUP($AC257,'2017 Seattle Tracts'!$C$2:$Z$399,AH$1,FALSE)*AA257</f>
        <v>1564.3848930614911</v>
      </c>
      <c r="AI257">
        <f>VLOOKUP($AC257,'2017 Seattle Tracts'!$C$2:$Z$399,AI$1,FALSE)*AA257</f>
        <v>562.27992616712572</v>
      </c>
      <c r="AJ257">
        <f>VLOOKUP($AC257,'2017 Seattle Tracts'!$C$2:$Z$399,AJ$1,FALSE)*AA257</f>
        <v>1048.3024172153559</v>
      </c>
      <c r="AK257">
        <f>VLOOKUP($AC257,'2017 Seattle Tracts'!$C$2:$Z$399,AK$1,FALSE)*AA257</f>
        <v>88.597849930666968</v>
      </c>
      <c r="AL257">
        <f>VLOOKUP($AC257,'2017 Seattle Tracts'!$C$2:$Z$399,AL$1,FALSE)*AA257</f>
        <v>67.081229233219275</v>
      </c>
      <c r="AM257">
        <f>VLOOKUP($AC257,'2017 Seattle Tracts'!$C$2:$Z$399,AM$1,FALSE)*AA257</f>
        <v>85.75006189718124</v>
      </c>
      <c r="AN257">
        <f>VLOOKUP($AC257,'2017 Seattle Tracts'!$C$2:$Z$399,AN$1,FALSE)*AA257</f>
        <v>171.50012379436248</v>
      </c>
      <c r="AO257">
        <f>VLOOKUP($AC257,'2017 Seattle Tracts'!$C$2:$Z$399,AO$1,FALSE)*AA257</f>
        <v>118.97425562118136</v>
      </c>
      <c r="AP257">
        <f>VLOOKUP($AC257,'2017 Seattle Tracts'!$C$2:$Z$399,AP$1,FALSE)*AA257</f>
        <v>9.1762058856762216</v>
      </c>
      <c r="AQ257">
        <f>VLOOKUP($AC257,'2017 Seattle Tracts'!$C$2:$Z$399,AQ$1,FALSE)*AA257</f>
        <v>0</v>
      </c>
      <c r="AR257">
        <f>VLOOKUP($AC257,'2017 Seattle Tracts'!$C$2:$Z$399,AR$1,FALSE)*AA257</f>
        <v>136.69382560731475</v>
      </c>
      <c r="AS257">
        <f>VLOOKUP($AC257,'2017 Seattle Tracts'!$C$2:$Z$399,AS$1,FALSE)*AA257</f>
        <v>245.54261266499131</v>
      </c>
      <c r="AT257">
        <f>VLOOKUP($AC257,'2017 Seattle Tracts'!$C$2:$Z$399,AT$1,FALSE)*AA257</f>
        <v>0</v>
      </c>
      <c r="AU257">
        <f>VLOOKUP($AC257,'2017 Seattle Tracts'!$C$2:$Z$399,AU$1,FALSE)*AA257</f>
        <v>0</v>
      </c>
      <c r="AV257">
        <f>VLOOKUP($AC257,'2017 Seattle Tracts'!$C$2:$Z$399,AV$1,FALSE)*AA257</f>
        <v>0</v>
      </c>
      <c r="AW257">
        <f>VLOOKUP($AC257,'2017 Seattle Tracts'!$C$2:$Z$399,AW$1,FALSE)*AA257</f>
        <v>0</v>
      </c>
      <c r="AX257">
        <f>VLOOKUP($AC257,'2017 Seattle Tracts'!$C$2:$Z$399,AX$1,FALSE)*AA257</f>
        <v>131.63109132556235</v>
      </c>
      <c r="AY257">
        <f>VLOOKUP($AC257,'2017 Seattle Tracts'!$C$2:$Z$399,AY$1,FALSE)*AA257</f>
        <v>23.415146053104841</v>
      </c>
    </row>
    <row r="258" spans="1:51" x14ac:dyDescent="0.25">
      <c r="A258" t="s">
        <v>2917</v>
      </c>
      <c r="B258" t="s">
        <v>2918</v>
      </c>
      <c r="C258" t="s">
        <v>3119</v>
      </c>
      <c r="D258" t="s">
        <v>2710</v>
      </c>
      <c r="E258" t="s">
        <v>2711</v>
      </c>
      <c r="F258" t="s">
        <v>2712</v>
      </c>
      <c r="G258" t="s">
        <v>2920</v>
      </c>
      <c r="H258" t="s">
        <v>2921</v>
      </c>
      <c r="I258">
        <v>1281400</v>
      </c>
      <c r="J258">
        <v>81874</v>
      </c>
      <c r="K258" t="s">
        <v>3120</v>
      </c>
      <c r="L258" t="s">
        <v>3121</v>
      </c>
      <c r="M258">
        <v>1286149</v>
      </c>
      <c r="N258">
        <v>111</v>
      </c>
      <c r="O258">
        <v>26446.203000000001</v>
      </c>
      <c r="P258" t="s">
        <v>122</v>
      </c>
      <c r="Q258">
        <v>1</v>
      </c>
      <c r="R258">
        <v>2</v>
      </c>
      <c r="S258">
        <v>23</v>
      </c>
      <c r="T258">
        <v>27690336</v>
      </c>
      <c r="U258">
        <v>113</v>
      </c>
      <c r="V258">
        <v>101</v>
      </c>
      <c r="W258">
        <v>26446.20305409377</v>
      </c>
      <c r="X258">
        <v>27690336.443909489</v>
      </c>
      <c r="Y258">
        <v>879057.01800000004</v>
      </c>
      <c r="Z258">
        <f>VLOOKUP($AC258,'2017 Seattle Tracts'!$C$2:$Z$399,24,FALSE)</f>
        <v>1286149.0360000001</v>
      </c>
      <c r="AA258">
        <f t="shared" si="7"/>
        <v>0.68347990271323422</v>
      </c>
      <c r="AB258" t="s">
        <v>213</v>
      </c>
      <c r="AC258" t="str">
        <f t="shared" si="6"/>
        <v>Census Tract 4.01, King County, Washington</v>
      </c>
      <c r="AD258">
        <f>VLOOKUP($AC258,'2017 Seattle Tracts'!$C$2:$Z$399,AD$1,FALSE)*AA258</f>
        <v>4593.6684261356468</v>
      </c>
      <c r="AE258">
        <f>VLOOKUP($AC258,'2017 Seattle Tracts'!$C$2:$Z$399,AE$1,FALSE)*AA258</f>
        <v>3379.1246390142301</v>
      </c>
      <c r="AF258">
        <f>VLOOKUP($AC258,'2017 Seattle Tracts'!$C$2:$Z$399,AF$1,FALSE)*AA258</f>
        <v>1214.5437871214172</v>
      </c>
      <c r="AG258">
        <f>VLOOKUP($AC258,'2017 Seattle Tracts'!$C$2:$Z$399,AG$1,FALSE)*AA258</f>
        <v>4593.6684261356468</v>
      </c>
      <c r="AH258">
        <f>VLOOKUP($AC258,'2017 Seattle Tracts'!$C$2:$Z$399,AH$1,FALSE)*AA258</f>
        <v>3379.1246390142301</v>
      </c>
      <c r="AI258">
        <f>VLOOKUP($AC258,'2017 Seattle Tracts'!$C$2:$Z$399,AI$1,FALSE)*AA258</f>
        <v>1214.5437871214172</v>
      </c>
      <c r="AJ258">
        <f>VLOOKUP($AC258,'2017 Seattle Tracts'!$C$2:$Z$399,AJ$1,FALSE)*AA258</f>
        <v>2264.3689176889452</v>
      </c>
      <c r="AK258">
        <f>VLOOKUP($AC258,'2017 Seattle Tracts'!$C$2:$Z$399,AK$1,FALSE)*AA258</f>
        <v>191.37437275970558</v>
      </c>
      <c r="AL258">
        <f>VLOOKUP($AC258,'2017 Seattle Tracts'!$C$2:$Z$399,AL$1,FALSE)*AA258</f>
        <v>144.89773937520565</v>
      </c>
      <c r="AM258">
        <f>VLOOKUP($AC258,'2017 Seattle Tracts'!$C$2:$Z$399,AM$1,FALSE)*AA258</f>
        <v>185.22305363528648</v>
      </c>
      <c r="AN258">
        <f>VLOOKUP($AC258,'2017 Seattle Tracts'!$C$2:$Z$399,AN$1,FALSE)*AA258</f>
        <v>370.44610727057295</v>
      </c>
      <c r="AO258">
        <f>VLOOKUP($AC258,'2017 Seattle Tracts'!$C$2:$Z$399,AO$1,FALSE)*AA258</f>
        <v>256.98844342017605</v>
      </c>
      <c r="AP258">
        <f>VLOOKUP($AC258,'2017 Seattle Tracts'!$C$2:$Z$399,AP$1,FALSE)*AA258</f>
        <v>19.820917178683793</v>
      </c>
      <c r="AQ258">
        <f>VLOOKUP($AC258,'2017 Seattle Tracts'!$C$2:$Z$399,AQ$1,FALSE)*AA258</f>
        <v>0</v>
      </c>
      <c r="AR258">
        <f>VLOOKUP($AC258,'2017 Seattle Tracts'!$C$2:$Z$399,AR$1,FALSE)*AA258</f>
        <v>295.26331797211719</v>
      </c>
      <c r="AS258">
        <f>VLOOKUP($AC258,'2017 Seattle Tracts'!$C$2:$Z$399,AS$1,FALSE)*AA258</f>
        <v>530.38040450546976</v>
      </c>
      <c r="AT258">
        <f>VLOOKUP($AC258,'2017 Seattle Tracts'!$C$2:$Z$399,AT$1,FALSE)*AA258</f>
        <v>0</v>
      </c>
      <c r="AU258">
        <f>VLOOKUP($AC258,'2017 Seattle Tracts'!$C$2:$Z$399,AU$1,FALSE)*AA258</f>
        <v>0</v>
      </c>
      <c r="AV258">
        <f>VLOOKUP($AC258,'2017 Seattle Tracts'!$C$2:$Z$399,AV$1,FALSE)*AA258</f>
        <v>0</v>
      </c>
      <c r="AW258">
        <f>VLOOKUP($AC258,'2017 Seattle Tracts'!$C$2:$Z$399,AW$1,FALSE)*AA258</f>
        <v>0</v>
      </c>
      <c r="AX258">
        <f>VLOOKUP($AC258,'2017 Seattle Tracts'!$C$2:$Z$399,AX$1,FALSE)*AA258</f>
        <v>284.32763952870545</v>
      </c>
      <c r="AY258">
        <f>VLOOKUP($AC258,'2017 Seattle Tracts'!$C$2:$Z$399,AY$1,FALSE)*AA258</f>
        <v>50.577512800779331</v>
      </c>
    </row>
    <row r="259" spans="1:51" x14ac:dyDescent="0.25">
      <c r="A259" t="s">
        <v>2917</v>
      </c>
      <c r="B259" t="s">
        <v>2918</v>
      </c>
      <c r="C259" t="s">
        <v>3119</v>
      </c>
      <c r="D259" t="s">
        <v>2710</v>
      </c>
      <c r="E259" t="s">
        <v>2711</v>
      </c>
      <c r="F259" t="s">
        <v>2712</v>
      </c>
      <c r="G259" t="s">
        <v>2920</v>
      </c>
      <c r="H259" t="s">
        <v>2921</v>
      </c>
      <c r="I259">
        <v>1281400</v>
      </c>
      <c r="J259">
        <v>81874</v>
      </c>
      <c r="K259" t="s">
        <v>3120</v>
      </c>
      <c r="L259" t="s">
        <v>3121</v>
      </c>
      <c r="M259">
        <v>1286149</v>
      </c>
      <c r="N259">
        <v>112</v>
      </c>
      <c r="O259">
        <v>29413.553</v>
      </c>
      <c r="P259" t="s">
        <v>215</v>
      </c>
      <c r="Q259">
        <v>2</v>
      </c>
      <c r="R259">
        <v>10</v>
      </c>
      <c r="S259">
        <v>95</v>
      </c>
      <c r="T259">
        <v>47203080</v>
      </c>
      <c r="U259">
        <v>114</v>
      </c>
      <c r="V259">
        <v>102</v>
      </c>
      <c r="W259">
        <v>29413.553448415088</v>
      </c>
      <c r="X259">
        <v>47203081.07955838</v>
      </c>
      <c r="Y259">
        <v>127.59399999999999</v>
      </c>
      <c r="Z259">
        <f>VLOOKUP($AC259,'2017 Seattle Tracts'!$C$2:$Z$399,24,FALSE)</f>
        <v>1286149.0360000001</v>
      </c>
      <c r="AA259">
        <f t="shared" si="7"/>
        <v>9.9206232270581104E-5</v>
      </c>
      <c r="AB259" t="s">
        <v>214</v>
      </c>
      <c r="AC259" t="str">
        <f t="shared" ref="AC259:AC322" si="8">_xlfn.CONCAT(F259, ", King County, Washington")</f>
        <v>Census Tract 4.01, King County, Washington</v>
      </c>
      <c r="AD259">
        <f>VLOOKUP($AC259,'2017 Seattle Tracts'!$C$2:$Z$399,AD$1,FALSE)*AA259</f>
        <v>0.66676508709057558</v>
      </c>
      <c r="AE259">
        <f>VLOOKUP($AC259,'2017 Seattle Tracts'!$C$2:$Z$399,AE$1,FALSE)*AA259</f>
        <v>0.49047561234575299</v>
      </c>
      <c r="AF259">
        <f>VLOOKUP($AC259,'2017 Seattle Tracts'!$C$2:$Z$399,AF$1,FALSE)*AA259</f>
        <v>0.17628947474482262</v>
      </c>
      <c r="AG259">
        <f>VLOOKUP($AC259,'2017 Seattle Tracts'!$C$2:$Z$399,AG$1,FALSE)*AA259</f>
        <v>0.66676508709057558</v>
      </c>
      <c r="AH259">
        <f>VLOOKUP($AC259,'2017 Seattle Tracts'!$C$2:$Z$399,AH$1,FALSE)*AA259</f>
        <v>0.49047561234575299</v>
      </c>
      <c r="AI259">
        <f>VLOOKUP($AC259,'2017 Seattle Tracts'!$C$2:$Z$399,AI$1,FALSE)*AA259</f>
        <v>0.17628947474482262</v>
      </c>
      <c r="AJ259">
        <f>VLOOKUP($AC259,'2017 Seattle Tracts'!$C$2:$Z$399,AJ$1,FALSE)*AA259</f>
        <v>0.32867024751243518</v>
      </c>
      <c r="AK259">
        <f>VLOOKUP($AC259,'2017 Seattle Tracts'!$C$2:$Z$399,AK$1,FALSE)*AA259</f>
        <v>2.7777745035762708E-2</v>
      </c>
      <c r="AL259">
        <f>VLOOKUP($AC259,'2017 Seattle Tracts'!$C$2:$Z$399,AL$1,FALSE)*AA259</f>
        <v>2.1031721241363193E-2</v>
      </c>
      <c r="AM259">
        <f>VLOOKUP($AC259,'2017 Seattle Tracts'!$C$2:$Z$399,AM$1,FALSE)*AA259</f>
        <v>2.6884888945327479E-2</v>
      </c>
      <c r="AN259">
        <f>VLOOKUP($AC259,'2017 Seattle Tracts'!$C$2:$Z$399,AN$1,FALSE)*AA259</f>
        <v>5.3769777890654957E-2</v>
      </c>
      <c r="AO259">
        <f>VLOOKUP($AC259,'2017 Seattle Tracts'!$C$2:$Z$399,AO$1,FALSE)*AA259</f>
        <v>3.7301543333738495E-2</v>
      </c>
      <c r="AP259">
        <f>VLOOKUP($AC259,'2017 Seattle Tracts'!$C$2:$Z$399,AP$1,FALSE)*AA259</f>
        <v>2.8769807358468521E-3</v>
      </c>
      <c r="AQ259">
        <f>VLOOKUP($AC259,'2017 Seattle Tracts'!$C$2:$Z$399,AQ$1,FALSE)*AA259</f>
        <v>0</v>
      </c>
      <c r="AR259">
        <f>VLOOKUP($AC259,'2017 Seattle Tracts'!$C$2:$Z$399,AR$1,FALSE)*AA259</f>
        <v>4.2857092340891037E-2</v>
      </c>
      <c r="AS259">
        <f>VLOOKUP($AC259,'2017 Seattle Tracts'!$C$2:$Z$399,AS$1,FALSE)*AA259</f>
        <v>7.6984036241970935E-2</v>
      </c>
      <c r="AT259">
        <f>VLOOKUP($AC259,'2017 Seattle Tracts'!$C$2:$Z$399,AT$1,FALSE)*AA259</f>
        <v>0</v>
      </c>
      <c r="AU259">
        <f>VLOOKUP($AC259,'2017 Seattle Tracts'!$C$2:$Z$399,AU$1,FALSE)*AA259</f>
        <v>0</v>
      </c>
      <c r="AV259">
        <f>VLOOKUP($AC259,'2017 Seattle Tracts'!$C$2:$Z$399,AV$1,FALSE)*AA259</f>
        <v>0</v>
      </c>
      <c r="AW259">
        <f>VLOOKUP($AC259,'2017 Seattle Tracts'!$C$2:$Z$399,AW$1,FALSE)*AA259</f>
        <v>0</v>
      </c>
      <c r="AX259">
        <f>VLOOKUP($AC259,'2017 Seattle Tracts'!$C$2:$Z$399,AX$1,FALSE)*AA259</f>
        <v>4.1269792624561742E-2</v>
      </c>
      <c r="AY259">
        <f>VLOOKUP($AC259,'2017 Seattle Tracts'!$C$2:$Z$399,AY$1,FALSE)*AA259</f>
        <v>7.3412611880230016E-3</v>
      </c>
    </row>
    <row r="260" spans="1:51" x14ac:dyDescent="0.25">
      <c r="A260" t="s">
        <v>2917</v>
      </c>
      <c r="B260" t="s">
        <v>2918</v>
      </c>
      <c r="C260" t="s">
        <v>3122</v>
      </c>
      <c r="D260" t="s">
        <v>2635</v>
      </c>
      <c r="E260" t="s">
        <v>2636</v>
      </c>
      <c r="F260" t="s">
        <v>2637</v>
      </c>
      <c r="G260" t="s">
        <v>2920</v>
      </c>
      <c r="H260" t="s">
        <v>2921</v>
      </c>
      <c r="I260">
        <v>3783735</v>
      </c>
      <c r="J260">
        <v>54223</v>
      </c>
      <c r="K260" t="s">
        <v>3123</v>
      </c>
      <c r="L260" t="s">
        <v>3124</v>
      </c>
      <c r="M260">
        <v>3779676</v>
      </c>
      <c r="N260">
        <v>102</v>
      </c>
      <c r="O260">
        <v>20753.002</v>
      </c>
      <c r="P260" t="s">
        <v>207</v>
      </c>
      <c r="Q260">
        <v>3</v>
      </c>
      <c r="R260">
        <v>3</v>
      </c>
      <c r="S260">
        <v>95</v>
      </c>
      <c r="T260">
        <v>21512732</v>
      </c>
      <c r="U260">
        <v>104</v>
      </c>
      <c r="V260">
        <v>106</v>
      </c>
      <c r="W260">
        <v>20753.0018992847</v>
      </c>
      <c r="X260">
        <v>21512731.489181329</v>
      </c>
      <c r="Y260">
        <v>123.655</v>
      </c>
      <c r="Z260">
        <f>VLOOKUP($AC260,'2017 Seattle Tracts'!$C$2:$Z$399,24,FALSE)</f>
        <v>3779676.12</v>
      </c>
      <c r="AA260">
        <f t="shared" ref="AA260:AA323" si="9">Y260/Z260</f>
        <v>3.2715766132892886E-5</v>
      </c>
      <c r="AB260" t="s">
        <v>206</v>
      </c>
      <c r="AC260" t="str">
        <f t="shared" si="8"/>
        <v>Census Tract 6, King County, Washington</v>
      </c>
      <c r="AD260">
        <f>VLOOKUP($AC260,'2017 Seattle Tracts'!$C$2:$Z$399,AD$1,FALSE)*AA260</f>
        <v>0.26372179079724956</v>
      </c>
      <c r="AE260">
        <f>VLOOKUP($AC260,'2017 Seattle Tracts'!$C$2:$Z$399,AE$1,FALSE)*AA260</f>
        <v>0.20787597800840141</v>
      </c>
      <c r="AF260">
        <f>VLOOKUP($AC260,'2017 Seattle Tracts'!$C$2:$Z$399,AF$1,FALSE)*AA260</f>
        <v>5.5845812788848155E-2</v>
      </c>
      <c r="AG260">
        <f>VLOOKUP($AC260,'2017 Seattle Tracts'!$C$2:$Z$399,AG$1,FALSE)*AA260</f>
        <v>0.26372179079724956</v>
      </c>
      <c r="AH260">
        <f>VLOOKUP($AC260,'2017 Seattle Tracts'!$C$2:$Z$399,AH$1,FALSE)*AA260</f>
        <v>0.20787597800840141</v>
      </c>
      <c r="AI260">
        <f>VLOOKUP($AC260,'2017 Seattle Tracts'!$C$2:$Z$399,AI$1,FALSE)*AA260</f>
        <v>5.5845812788848155E-2</v>
      </c>
      <c r="AJ260">
        <f>VLOOKUP($AC260,'2017 Seattle Tracts'!$C$2:$Z$399,AJ$1,FALSE)*AA260</f>
        <v>0.15157214449369275</v>
      </c>
      <c r="AK260">
        <f>VLOOKUP($AC260,'2017 Seattle Tracts'!$C$2:$Z$399,AK$1,FALSE)*AA260</f>
        <v>1.3609758711283441E-2</v>
      </c>
      <c r="AL260">
        <f>VLOOKUP($AC260,'2017 Seattle Tracts'!$C$2:$Z$399,AL$1,FALSE)*AA260</f>
        <v>3.3697239116879671E-3</v>
      </c>
      <c r="AM260">
        <f>VLOOKUP($AC260,'2017 Seattle Tracts'!$C$2:$Z$399,AM$1,FALSE)*AA260</f>
        <v>1.9302302018406802E-3</v>
      </c>
      <c r="AN260">
        <f>VLOOKUP($AC260,'2017 Seattle Tracts'!$C$2:$Z$399,AN$1,FALSE)*AA260</f>
        <v>2.1625121413842197E-2</v>
      </c>
      <c r="AO260">
        <f>VLOOKUP($AC260,'2017 Seattle Tracts'!$C$2:$Z$399,AO$1,FALSE)*AA260</f>
        <v>5.365385645794433E-3</v>
      </c>
      <c r="AP260">
        <f>VLOOKUP($AC260,'2017 Seattle Tracts'!$C$2:$Z$399,AP$1,FALSE)*AA260</f>
        <v>2.1592405647709303E-3</v>
      </c>
      <c r="AQ260">
        <f>VLOOKUP($AC260,'2017 Seattle Tracts'!$C$2:$Z$399,AQ$1,FALSE)*AA260</f>
        <v>0</v>
      </c>
      <c r="AR260">
        <f>VLOOKUP($AC260,'2017 Seattle Tracts'!$C$2:$Z$399,AR$1,FALSE)*AA260</f>
        <v>6.608584758844363E-3</v>
      </c>
      <c r="AS260">
        <f>VLOOKUP($AC260,'2017 Seattle Tracts'!$C$2:$Z$399,AS$1,FALSE)*AA260</f>
        <v>2.3718930446347344E-2</v>
      </c>
      <c r="AT260">
        <f>VLOOKUP($AC260,'2017 Seattle Tracts'!$C$2:$Z$399,AT$1,FALSE)*AA260</f>
        <v>0</v>
      </c>
      <c r="AU260">
        <f>VLOOKUP($AC260,'2017 Seattle Tracts'!$C$2:$Z$399,AU$1,FALSE)*AA260</f>
        <v>0</v>
      </c>
      <c r="AV260">
        <f>VLOOKUP($AC260,'2017 Seattle Tracts'!$C$2:$Z$399,AV$1,FALSE)*AA260</f>
        <v>8.6696780252166154E-3</v>
      </c>
      <c r="AW260">
        <f>VLOOKUP($AC260,'2017 Seattle Tracts'!$C$2:$Z$399,AW$1,FALSE)*AA260</f>
        <v>1.122150778358226E-2</v>
      </c>
      <c r="AX260">
        <f>VLOOKUP($AC260,'2017 Seattle Tracts'!$C$2:$Z$399,AX$1,FALSE)*AA260</f>
        <v>1.3871484840346584E-2</v>
      </c>
      <c r="AY260">
        <f>VLOOKUP($AC260,'2017 Seattle Tracts'!$C$2:$Z$399,AY$1,FALSE)*AA260</f>
        <v>0</v>
      </c>
    </row>
    <row r="261" spans="1:51" x14ac:dyDescent="0.25">
      <c r="A261" t="s">
        <v>2917</v>
      </c>
      <c r="B261" t="s">
        <v>2918</v>
      </c>
      <c r="C261" t="s">
        <v>3122</v>
      </c>
      <c r="D261" t="s">
        <v>2635</v>
      </c>
      <c r="E261" t="s">
        <v>2636</v>
      </c>
      <c r="F261" t="s">
        <v>2637</v>
      </c>
      <c r="G261" t="s">
        <v>2920</v>
      </c>
      <c r="H261" t="s">
        <v>2921</v>
      </c>
      <c r="I261">
        <v>3783735</v>
      </c>
      <c r="J261">
        <v>54223</v>
      </c>
      <c r="K261" t="s">
        <v>3123</v>
      </c>
      <c r="L261" t="s">
        <v>3124</v>
      </c>
      <c r="M261">
        <v>3779676</v>
      </c>
      <c r="N261">
        <v>111</v>
      </c>
      <c r="O261">
        <v>26446.203000000001</v>
      </c>
      <c r="P261" t="s">
        <v>122</v>
      </c>
      <c r="Q261">
        <v>1</v>
      </c>
      <c r="R261">
        <v>2</v>
      </c>
      <c r="S261">
        <v>23</v>
      </c>
      <c r="T261">
        <v>27690336</v>
      </c>
      <c r="U261">
        <v>113</v>
      </c>
      <c r="V261">
        <v>101</v>
      </c>
      <c r="W261">
        <v>26446.20305409377</v>
      </c>
      <c r="X261">
        <v>27690336.443909489</v>
      </c>
      <c r="Y261">
        <v>65.715000000000003</v>
      </c>
      <c r="Z261">
        <f>VLOOKUP($AC261,'2017 Seattle Tracts'!$C$2:$Z$399,24,FALSE)</f>
        <v>3779676.12</v>
      </c>
      <c r="AA261">
        <f t="shared" si="9"/>
        <v>1.7386410346715106E-5</v>
      </c>
      <c r="AB261" t="s">
        <v>213</v>
      </c>
      <c r="AC261" t="str">
        <f t="shared" si="8"/>
        <v>Census Tract 6, King County, Washington</v>
      </c>
      <c r="AD261">
        <f>VLOOKUP($AC261,'2017 Seattle Tracts'!$C$2:$Z$399,AD$1,FALSE)*AA261</f>
        <v>0.14015185380487047</v>
      </c>
      <c r="AE261">
        <f>VLOOKUP($AC261,'2017 Seattle Tracts'!$C$2:$Z$399,AE$1,FALSE)*AA261</f>
        <v>0.11047325134302778</v>
      </c>
      <c r="AF261">
        <f>VLOOKUP($AC261,'2017 Seattle Tracts'!$C$2:$Z$399,AF$1,FALSE)*AA261</f>
        <v>2.9678602461842687E-2</v>
      </c>
      <c r="AG261">
        <f>VLOOKUP($AC261,'2017 Seattle Tracts'!$C$2:$Z$399,AG$1,FALSE)*AA261</f>
        <v>0.14015185380487047</v>
      </c>
      <c r="AH261">
        <f>VLOOKUP($AC261,'2017 Seattle Tracts'!$C$2:$Z$399,AH$1,FALSE)*AA261</f>
        <v>0.11047325134302778</v>
      </c>
      <c r="AI261">
        <f>VLOOKUP($AC261,'2017 Seattle Tracts'!$C$2:$Z$399,AI$1,FALSE)*AA261</f>
        <v>2.9678602461842687E-2</v>
      </c>
      <c r="AJ261">
        <f>VLOOKUP($AC261,'2017 Seattle Tracts'!$C$2:$Z$399,AJ$1,FALSE)*AA261</f>
        <v>8.0551239136331082E-2</v>
      </c>
      <c r="AK261">
        <f>VLOOKUP($AC261,'2017 Seattle Tracts'!$C$2:$Z$399,AK$1,FALSE)*AA261</f>
        <v>7.232746704233484E-3</v>
      </c>
      <c r="AL261">
        <f>VLOOKUP($AC261,'2017 Seattle Tracts'!$C$2:$Z$399,AL$1,FALSE)*AA261</f>
        <v>1.790800265711656E-3</v>
      </c>
      <c r="AM261">
        <f>VLOOKUP($AC261,'2017 Seattle Tracts'!$C$2:$Z$399,AM$1,FALSE)*AA261</f>
        <v>1.0257982104561912E-3</v>
      </c>
      <c r="AN261">
        <f>VLOOKUP($AC261,'2017 Seattle Tracts'!$C$2:$Z$399,AN$1,FALSE)*AA261</f>
        <v>1.1492417239178685E-2</v>
      </c>
      <c r="AO261">
        <f>VLOOKUP($AC261,'2017 Seattle Tracts'!$C$2:$Z$399,AO$1,FALSE)*AA261</f>
        <v>2.8513712968612774E-3</v>
      </c>
      <c r="AP261">
        <f>VLOOKUP($AC261,'2017 Seattle Tracts'!$C$2:$Z$399,AP$1,FALSE)*AA261</f>
        <v>1.1475030828831971E-3</v>
      </c>
      <c r="AQ261">
        <f>VLOOKUP($AC261,'2017 Seattle Tracts'!$C$2:$Z$399,AQ$1,FALSE)*AA261</f>
        <v>0</v>
      </c>
      <c r="AR261">
        <f>VLOOKUP($AC261,'2017 Seattle Tracts'!$C$2:$Z$399,AR$1,FALSE)*AA261</f>
        <v>3.5120548900364514E-3</v>
      </c>
      <c r="AS261">
        <f>VLOOKUP($AC261,'2017 Seattle Tracts'!$C$2:$Z$399,AS$1,FALSE)*AA261</f>
        <v>1.2605147501368453E-2</v>
      </c>
      <c r="AT261">
        <f>VLOOKUP($AC261,'2017 Seattle Tracts'!$C$2:$Z$399,AT$1,FALSE)*AA261</f>
        <v>0</v>
      </c>
      <c r="AU261">
        <f>VLOOKUP($AC261,'2017 Seattle Tracts'!$C$2:$Z$399,AU$1,FALSE)*AA261</f>
        <v>0</v>
      </c>
      <c r="AV261">
        <f>VLOOKUP($AC261,'2017 Seattle Tracts'!$C$2:$Z$399,AV$1,FALSE)*AA261</f>
        <v>4.6073987418795027E-3</v>
      </c>
      <c r="AW261">
        <f>VLOOKUP($AC261,'2017 Seattle Tracts'!$C$2:$Z$399,AW$1,FALSE)*AA261</f>
        <v>5.963538748923281E-3</v>
      </c>
      <c r="AX261">
        <f>VLOOKUP($AC261,'2017 Seattle Tracts'!$C$2:$Z$399,AX$1,FALSE)*AA261</f>
        <v>7.3718379870072051E-3</v>
      </c>
      <c r="AY261">
        <f>VLOOKUP($AC261,'2017 Seattle Tracts'!$C$2:$Z$399,AY$1,FALSE)*AA261</f>
        <v>0</v>
      </c>
    </row>
    <row r="262" spans="1:51" x14ac:dyDescent="0.25">
      <c r="A262" t="s">
        <v>2917</v>
      </c>
      <c r="B262" t="s">
        <v>2918</v>
      </c>
      <c r="C262" t="s">
        <v>3122</v>
      </c>
      <c r="D262" t="s">
        <v>2635</v>
      </c>
      <c r="E262" t="s">
        <v>2636</v>
      </c>
      <c r="F262" t="s">
        <v>2637</v>
      </c>
      <c r="G262" t="s">
        <v>2920</v>
      </c>
      <c r="H262" t="s">
        <v>2921</v>
      </c>
      <c r="I262">
        <v>3783735</v>
      </c>
      <c r="J262">
        <v>54223</v>
      </c>
      <c r="K262" t="s">
        <v>3123</v>
      </c>
      <c r="L262" t="s">
        <v>3124</v>
      </c>
      <c r="M262">
        <v>3779676</v>
      </c>
      <c r="N262">
        <v>112</v>
      </c>
      <c r="O262">
        <v>29413.553</v>
      </c>
      <c r="P262" t="s">
        <v>215</v>
      </c>
      <c r="Q262">
        <v>2</v>
      </c>
      <c r="R262">
        <v>10</v>
      </c>
      <c r="S262">
        <v>95</v>
      </c>
      <c r="T262">
        <v>47203080</v>
      </c>
      <c r="U262">
        <v>114</v>
      </c>
      <c r="V262">
        <v>102</v>
      </c>
      <c r="W262">
        <v>29413.553448415088</v>
      </c>
      <c r="X262">
        <v>47203081.07955838</v>
      </c>
      <c r="Y262">
        <v>2935031.7710000002</v>
      </c>
      <c r="Z262">
        <f>VLOOKUP($AC262,'2017 Seattle Tracts'!$C$2:$Z$399,24,FALSE)</f>
        <v>3779676.12</v>
      </c>
      <c r="AA262">
        <f t="shared" si="9"/>
        <v>0.77652996654115436</v>
      </c>
      <c r="AB262" t="s">
        <v>214</v>
      </c>
      <c r="AC262" t="str">
        <f t="shared" si="8"/>
        <v>Census Tract 6, King County, Washington</v>
      </c>
      <c r="AD262">
        <f>VLOOKUP($AC262,'2017 Seattle Tracts'!$C$2:$Z$399,AD$1,FALSE)*AA262</f>
        <v>6259.6080602882457</v>
      </c>
      <c r="AE262">
        <f>VLOOKUP($AC262,'2017 Seattle Tracts'!$C$2:$Z$399,AE$1,FALSE)*AA262</f>
        <v>4934.0714074024945</v>
      </c>
      <c r="AF262">
        <f>VLOOKUP($AC262,'2017 Seattle Tracts'!$C$2:$Z$399,AF$1,FALSE)*AA262</f>
        <v>1325.5366528857505</v>
      </c>
      <c r="AG262">
        <f>VLOOKUP($AC262,'2017 Seattle Tracts'!$C$2:$Z$399,AG$1,FALSE)*AA262</f>
        <v>6259.6080602882457</v>
      </c>
      <c r="AH262">
        <f>VLOOKUP($AC262,'2017 Seattle Tracts'!$C$2:$Z$399,AH$1,FALSE)*AA262</f>
        <v>4934.0714074024945</v>
      </c>
      <c r="AI262">
        <f>VLOOKUP($AC262,'2017 Seattle Tracts'!$C$2:$Z$399,AI$1,FALSE)*AA262</f>
        <v>1325.5366528857505</v>
      </c>
      <c r="AJ262">
        <f>VLOOKUP($AC262,'2017 Seattle Tracts'!$C$2:$Z$399,AJ$1,FALSE)*AA262</f>
        <v>3597.6633349851681</v>
      </c>
      <c r="AK262">
        <f>VLOOKUP($AC262,'2017 Seattle Tracts'!$C$2:$Z$399,AK$1,FALSE)*AA262</f>
        <v>323.03646608112024</v>
      </c>
      <c r="AL262">
        <f>VLOOKUP($AC262,'2017 Seattle Tracts'!$C$2:$Z$399,AL$1,FALSE)*AA262</f>
        <v>79.982586553738898</v>
      </c>
      <c r="AM262">
        <f>VLOOKUP($AC262,'2017 Seattle Tracts'!$C$2:$Z$399,AM$1,FALSE)*AA262</f>
        <v>45.815268025928106</v>
      </c>
      <c r="AN262">
        <f>VLOOKUP($AC262,'2017 Seattle Tracts'!$C$2:$Z$399,AN$1,FALSE)*AA262</f>
        <v>513.28630788370299</v>
      </c>
      <c r="AO262">
        <f>VLOOKUP($AC262,'2017 Seattle Tracts'!$C$2:$Z$399,AO$1,FALSE)*AA262</f>
        <v>127.35091451274931</v>
      </c>
      <c r="AP262">
        <f>VLOOKUP($AC262,'2017 Seattle Tracts'!$C$2:$Z$399,AP$1,FALSE)*AA262</f>
        <v>51.250977791716188</v>
      </c>
      <c r="AQ262">
        <f>VLOOKUP($AC262,'2017 Seattle Tracts'!$C$2:$Z$399,AQ$1,FALSE)*AA262</f>
        <v>0</v>
      </c>
      <c r="AR262">
        <f>VLOOKUP($AC262,'2017 Seattle Tracts'!$C$2:$Z$399,AR$1,FALSE)*AA262</f>
        <v>156.85905324131318</v>
      </c>
      <c r="AS262">
        <f>VLOOKUP($AC262,'2017 Seattle Tracts'!$C$2:$Z$399,AS$1,FALSE)*AA262</f>
        <v>562.98422574233689</v>
      </c>
      <c r="AT262">
        <f>VLOOKUP($AC262,'2017 Seattle Tracts'!$C$2:$Z$399,AT$1,FALSE)*AA262</f>
        <v>0</v>
      </c>
      <c r="AU262">
        <f>VLOOKUP($AC262,'2017 Seattle Tracts'!$C$2:$Z$399,AU$1,FALSE)*AA262</f>
        <v>0</v>
      </c>
      <c r="AV262">
        <f>VLOOKUP($AC262,'2017 Seattle Tracts'!$C$2:$Z$399,AV$1,FALSE)*AA262</f>
        <v>205.7804411334059</v>
      </c>
      <c r="AW262">
        <f>VLOOKUP($AC262,'2017 Seattle Tracts'!$C$2:$Z$399,AW$1,FALSE)*AA262</f>
        <v>266.34977852361595</v>
      </c>
      <c r="AX262">
        <f>VLOOKUP($AC262,'2017 Seattle Tracts'!$C$2:$Z$399,AX$1,FALSE)*AA262</f>
        <v>329.24870581344948</v>
      </c>
      <c r="AY262">
        <f>VLOOKUP($AC262,'2017 Seattle Tracts'!$C$2:$Z$399,AY$1,FALSE)*AA262</f>
        <v>0</v>
      </c>
    </row>
    <row r="263" spans="1:51" x14ac:dyDescent="0.25">
      <c r="A263" t="s">
        <v>2917</v>
      </c>
      <c r="B263" t="s">
        <v>2918</v>
      </c>
      <c r="C263" t="s">
        <v>3122</v>
      </c>
      <c r="D263" t="s">
        <v>2635</v>
      </c>
      <c r="E263" t="s">
        <v>2636</v>
      </c>
      <c r="F263" t="s">
        <v>2637</v>
      </c>
      <c r="G263" t="s">
        <v>2920</v>
      </c>
      <c r="H263" t="s">
        <v>2921</v>
      </c>
      <c r="I263">
        <v>3783735</v>
      </c>
      <c r="J263">
        <v>54223</v>
      </c>
      <c r="K263" t="s">
        <v>3123</v>
      </c>
      <c r="L263" t="s">
        <v>3124</v>
      </c>
      <c r="M263">
        <v>3779676</v>
      </c>
      <c r="N263">
        <v>113</v>
      </c>
      <c r="O263">
        <v>26171.271000000001</v>
      </c>
      <c r="P263" t="s">
        <v>215</v>
      </c>
      <c r="Q263">
        <v>2</v>
      </c>
      <c r="R263">
        <v>10</v>
      </c>
      <c r="S263">
        <v>81</v>
      </c>
      <c r="T263">
        <v>29438850</v>
      </c>
      <c r="U263">
        <v>115</v>
      </c>
      <c r="V263">
        <v>103</v>
      </c>
      <c r="W263">
        <v>26171.27176081029</v>
      </c>
      <c r="X263">
        <v>29438850.877074279</v>
      </c>
      <c r="Y263">
        <v>823350.29700000002</v>
      </c>
      <c r="Z263">
        <f>VLOOKUP($AC263,'2017 Seattle Tracts'!$C$2:$Z$399,24,FALSE)</f>
        <v>3779676.12</v>
      </c>
      <c r="AA263">
        <f t="shared" si="9"/>
        <v>0.21783620364805226</v>
      </c>
      <c r="AB263" t="s">
        <v>216</v>
      </c>
      <c r="AC263" t="str">
        <f t="shared" si="8"/>
        <v>Census Tract 6, King County, Washington</v>
      </c>
      <c r="AD263">
        <f>VLOOKUP($AC263,'2017 Seattle Tracts'!$C$2:$Z$399,AD$1,FALSE)*AA263</f>
        <v>1755.9776376069492</v>
      </c>
      <c r="AE263">
        <f>VLOOKUP($AC263,'2017 Seattle Tracts'!$C$2:$Z$399,AE$1,FALSE)*AA263</f>
        <v>1384.1312379797241</v>
      </c>
      <c r="AF263">
        <f>VLOOKUP($AC263,'2017 Seattle Tracts'!$C$2:$Z$399,AF$1,FALSE)*AA263</f>
        <v>371.8463996272252</v>
      </c>
      <c r="AG263">
        <f>VLOOKUP($AC263,'2017 Seattle Tracts'!$C$2:$Z$399,AG$1,FALSE)*AA263</f>
        <v>1755.9776376069492</v>
      </c>
      <c r="AH263">
        <f>VLOOKUP($AC263,'2017 Seattle Tracts'!$C$2:$Z$399,AH$1,FALSE)*AA263</f>
        <v>1384.1312379797241</v>
      </c>
      <c r="AI263">
        <f>VLOOKUP($AC263,'2017 Seattle Tracts'!$C$2:$Z$399,AI$1,FALSE)*AA263</f>
        <v>371.8463996272252</v>
      </c>
      <c r="AJ263">
        <f>VLOOKUP($AC263,'2017 Seattle Tracts'!$C$2:$Z$399,AJ$1,FALSE)*AA263</f>
        <v>1009.2351315014261</v>
      </c>
      <c r="AK263">
        <f>VLOOKUP($AC263,'2017 Seattle Tracts'!$C$2:$Z$399,AK$1,FALSE)*AA263</f>
        <v>90.619860717589745</v>
      </c>
      <c r="AL263">
        <f>VLOOKUP($AC263,'2017 Seattle Tracts'!$C$2:$Z$399,AL$1,FALSE)*AA263</f>
        <v>22.437128975749381</v>
      </c>
      <c r="AM263">
        <f>VLOOKUP($AC263,'2017 Seattle Tracts'!$C$2:$Z$399,AM$1,FALSE)*AA263</f>
        <v>12.852336015235084</v>
      </c>
      <c r="AN263">
        <f>VLOOKUP($AC263,'2017 Seattle Tracts'!$C$2:$Z$399,AN$1,FALSE)*AA263</f>
        <v>143.98973061136255</v>
      </c>
      <c r="AO263">
        <f>VLOOKUP($AC263,'2017 Seattle Tracts'!$C$2:$Z$399,AO$1,FALSE)*AA263</f>
        <v>35.725137398280573</v>
      </c>
      <c r="AP263">
        <f>VLOOKUP($AC263,'2017 Seattle Tracts'!$C$2:$Z$399,AP$1,FALSE)*AA263</f>
        <v>14.377189440771449</v>
      </c>
      <c r="AQ263">
        <f>VLOOKUP($AC263,'2017 Seattle Tracts'!$C$2:$Z$399,AQ$1,FALSE)*AA263</f>
        <v>0</v>
      </c>
      <c r="AR263">
        <f>VLOOKUP($AC263,'2017 Seattle Tracts'!$C$2:$Z$399,AR$1,FALSE)*AA263</f>
        <v>44.002913136906557</v>
      </c>
      <c r="AS263">
        <f>VLOOKUP($AC263,'2017 Seattle Tracts'!$C$2:$Z$399,AS$1,FALSE)*AA263</f>
        <v>157.9312476448379</v>
      </c>
      <c r="AT263">
        <f>VLOOKUP($AC263,'2017 Seattle Tracts'!$C$2:$Z$399,AT$1,FALSE)*AA263</f>
        <v>0</v>
      </c>
      <c r="AU263">
        <f>VLOOKUP($AC263,'2017 Seattle Tracts'!$C$2:$Z$399,AU$1,FALSE)*AA263</f>
        <v>0</v>
      </c>
      <c r="AV263">
        <f>VLOOKUP($AC263,'2017 Seattle Tracts'!$C$2:$Z$399,AV$1,FALSE)*AA263</f>
        <v>57.726593966733851</v>
      </c>
      <c r="AW263">
        <f>VLOOKUP($AC263,'2017 Seattle Tracts'!$C$2:$Z$399,AW$1,FALSE)*AA263</f>
        <v>74.717817851281922</v>
      </c>
      <c r="AX263">
        <f>VLOOKUP($AC263,'2017 Seattle Tracts'!$C$2:$Z$399,AX$1,FALSE)*AA263</f>
        <v>92.362550346774157</v>
      </c>
      <c r="AY263">
        <f>VLOOKUP($AC263,'2017 Seattle Tracts'!$C$2:$Z$399,AY$1,FALSE)*AA263</f>
        <v>0</v>
      </c>
    </row>
    <row r="264" spans="1:51" x14ac:dyDescent="0.25">
      <c r="A264" t="s">
        <v>2917</v>
      </c>
      <c r="B264" t="s">
        <v>2918</v>
      </c>
      <c r="C264" t="s">
        <v>3122</v>
      </c>
      <c r="D264" t="s">
        <v>2635</v>
      </c>
      <c r="E264" t="s">
        <v>2636</v>
      </c>
      <c r="F264" t="s">
        <v>2637</v>
      </c>
      <c r="G264" t="s">
        <v>2920</v>
      </c>
      <c r="H264" t="s">
        <v>2921</v>
      </c>
      <c r="I264">
        <v>3783735</v>
      </c>
      <c r="J264">
        <v>54223</v>
      </c>
      <c r="K264" t="s">
        <v>3123</v>
      </c>
      <c r="L264" t="s">
        <v>3124</v>
      </c>
      <c r="M264">
        <v>3779676</v>
      </c>
      <c r="N264">
        <v>115</v>
      </c>
      <c r="O264">
        <v>20132.898000000001</v>
      </c>
      <c r="P264" t="s">
        <v>215</v>
      </c>
      <c r="Q264">
        <v>2</v>
      </c>
      <c r="R264">
        <v>10</v>
      </c>
      <c r="S264">
        <v>9</v>
      </c>
      <c r="T264">
        <v>21704706</v>
      </c>
      <c r="U264">
        <v>117</v>
      </c>
      <c r="V264">
        <v>110</v>
      </c>
      <c r="W264">
        <v>20132.89824583329</v>
      </c>
      <c r="X264">
        <v>21704706.261455789</v>
      </c>
      <c r="Y264">
        <v>21104.683000000001</v>
      </c>
      <c r="Z264">
        <f>VLOOKUP($AC264,'2017 Seattle Tracts'!$C$2:$Z$399,24,FALSE)</f>
        <v>3779676.12</v>
      </c>
      <c r="AA264">
        <f t="shared" si="9"/>
        <v>5.5837278988867438E-3</v>
      </c>
      <c r="AB264" t="s">
        <v>218</v>
      </c>
      <c r="AC264" t="str">
        <f t="shared" si="8"/>
        <v>Census Tract 6, King County, Washington</v>
      </c>
      <c r="AD264">
        <f>VLOOKUP($AC264,'2017 Seattle Tracts'!$C$2:$Z$399,AD$1,FALSE)*AA264</f>
        <v>45.010430592926042</v>
      </c>
      <c r="AE264">
        <f>VLOOKUP($AC264,'2017 Seattle Tracts'!$C$2:$Z$399,AE$1,FALSE)*AA264</f>
        <v>35.479007069526368</v>
      </c>
      <c r="AF264">
        <f>VLOOKUP($AC264,'2017 Seattle Tracts'!$C$2:$Z$399,AF$1,FALSE)*AA264</f>
        <v>9.5314235233996722</v>
      </c>
      <c r="AG264">
        <f>VLOOKUP($AC264,'2017 Seattle Tracts'!$C$2:$Z$399,AG$1,FALSE)*AA264</f>
        <v>45.010430592926042</v>
      </c>
      <c r="AH264">
        <f>VLOOKUP($AC264,'2017 Seattle Tracts'!$C$2:$Z$399,AH$1,FALSE)*AA264</f>
        <v>35.479007069526368</v>
      </c>
      <c r="AI264">
        <f>VLOOKUP($AC264,'2017 Seattle Tracts'!$C$2:$Z$399,AI$1,FALSE)*AA264</f>
        <v>9.5314235233996722</v>
      </c>
      <c r="AJ264">
        <f>VLOOKUP($AC264,'2017 Seattle Tracts'!$C$2:$Z$399,AJ$1,FALSE)*AA264</f>
        <v>25.869411355542283</v>
      </c>
      <c r="AK264">
        <f>VLOOKUP($AC264,'2017 Seattle Tracts'!$C$2:$Z$399,AK$1,FALSE)*AA264</f>
        <v>2.3228308059368854</v>
      </c>
      <c r="AL264">
        <f>VLOOKUP($AC264,'2017 Seattle Tracts'!$C$2:$Z$399,AL$1,FALSE)*AA264</f>
        <v>0.57512397358533462</v>
      </c>
      <c r="AM264">
        <f>VLOOKUP($AC264,'2017 Seattle Tracts'!$C$2:$Z$399,AM$1,FALSE)*AA264</f>
        <v>0.32943994603431787</v>
      </c>
      <c r="AN264">
        <f>VLOOKUP($AC264,'2017 Seattle Tracts'!$C$2:$Z$399,AN$1,FALSE)*AA264</f>
        <v>3.6908441411641375</v>
      </c>
      <c r="AO264">
        <f>VLOOKUP($AC264,'2017 Seattle Tracts'!$C$2:$Z$399,AO$1,FALSE)*AA264</f>
        <v>0.915731375417426</v>
      </c>
      <c r="AP264">
        <f>VLOOKUP($AC264,'2017 Seattle Tracts'!$C$2:$Z$399,AP$1,FALSE)*AA264</f>
        <v>0.36852604132652511</v>
      </c>
      <c r="AQ264">
        <f>VLOOKUP($AC264,'2017 Seattle Tracts'!$C$2:$Z$399,AQ$1,FALSE)*AA264</f>
        <v>0</v>
      </c>
      <c r="AR264">
        <f>VLOOKUP($AC264,'2017 Seattle Tracts'!$C$2:$Z$399,AR$1,FALSE)*AA264</f>
        <v>1.1279130355751223</v>
      </c>
      <c r="AS264">
        <f>VLOOKUP($AC264,'2017 Seattle Tracts'!$C$2:$Z$399,AS$1,FALSE)*AA264</f>
        <v>4.0482027266928888</v>
      </c>
      <c r="AT264">
        <f>VLOOKUP($AC264,'2017 Seattle Tracts'!$C$2:$Z$399,AT$1,FALSE)*AA264</f>
        <v>0</v>
      </c>
      <c r="AU264">
        <f>VLOOKUP($AC264,'2017 Seattle Tracts'!$C$2:$Z$399,AU$1,FALSE)*AA264</f>
        <v>0</v>
      </c>
      <c r="AV264">
        <f>VLOOKUP($AC264,'2017 Seattle Tracts'!$C$2:$Z$399,AV$1,FALSE)*AA264</f>
        <v>1.4796878932049871</v>
      </c>
      <c r="AW264">
        <f>VLOOKUP($AC264,'2017 Seattle Tracts'!$C$2:$Z$399,AW$1,FALSE)*AA264</f>
        <v>1.9152186693181532</v>
      </c>
      <c r="AX264">
        <f>VLOOKUP($AC264,'2017 Seattle Tracts'!$C$2:$Z$399,AX$1,FALSE)*AA264</f>
        <v>2.3675006291279792</v>
      </c>
      <c r="AY264">
        <f>VLOOKUP($AC264,'2017 Seattle Tracts'!$C$2:$Z$399,AY$1,FALSE)*AA264</f>
        <v>0</v>
      </c>
    </row>
    <row r="265" spans="1:51" x14ac:dyDescent="0.25">
      <c r="A265" t="s">
        <v>2917</v>
      </c>
      <c r="B265" t="s">
        <v>2918</v>
      </c>
      <c r="C265" t="s">
        <v>3125</v>
      </c>
      <c r="D265" t="s">
        <v>2602</v>
      </c>
      <c r="E265" t="s">
        <v>2603</v>
      </c>
      <c r="F265" t="s">
        <v>2604</v>
      </c>
      <c r="G265" t="s">
        <v>2920</v>
      </c>
      <c r="H265" t="s">
        <v>2921</v>
      </c>
      <c r="I265">
        <v>1294678</v>
      </c>
      <c r="J265">
        <v>0</v>
      </c>
      <c r="K265" t="s">
        <v>3126</v>
      </c>
      <c r="L265" t="s">
        <v>3127</v>
      </c>
      <c r="M265">
        <v>1294679</v>
      </c>
      <c r="N265">
        <v>102</v>
      </c>
      <c r="O265">
        <v>20753.002</v>
      </c>
      <c r="P265" t="s">
        <v>207</v>
      </c>
      <c r="Q265">
        <v>3</v>
      </c>
      <c r="R265">
        <v>3</v>
      </c>
      <c r="S265">
        <v>95</v>
      </c>
      <c r="T265">
        <v>21512732</v>
      </c>
      <c r="U265">
        <v>104</v>
      </c>
      <c r="V265">
        <v>106</v>
      </c>
      <c r="W265">
        <v>20753.0018992847</v>
      </c>
      <c r="X265">
        <v>21512731.489181329</v>
      </c>
      <c r="Y265">
        <v>917903.89599999995</v>
      </c>
      <c r="Z265">
        <f>VLOOKUP($AC265,'2017 Seattle Tracts'!$C$2:$Z$399,24,FALSE)</f>
        <v>1294679.0989999999</v>
      </c>
      <c r="AA265">
        <f t="shared" si="9"/>
        <v>0.70898178298312053</v>
      </c>
      <c r="AB265" t="s">
        <v>206</v>
      </c>
      <c r="AC265" t="str">
        <f t="shared" si="8"/>
        <v>Census Tract 7, King County, Washington</v>
      </c>
      <c r="AD265">
        <f>VLOOKUP($AC265,'2017 Seattle Tracts'!$C$2:$Z$399,AD$1,FALSE)*AA265</f>
        <v>3441.3975746000669</v>
      </c>
      <c r="AE265">
        <f>VLOOKUP($AC265,'2017 Seattle Tracts'!$C$2:$Z$399,AE$1,FALSE)*AA265</f>
        <v>2416.2099164064748</v>
      </c>
      <c r="AF265">
        <f>VLOOKUP($AC265,'2017 Seattle Tracts'!$C$2:$Z$399,AF$1,FALSE)*AA265</f>
        <v>1025.1876581935924</v>
      </c>
      <c r="AG265">
        <f>VLOOKUP($AC265,'2017 Seattle Tracts'!$C$2:$Z$399,AG$1,FALSE)*AA265</f>
        <v>3441.3975746000669</v>
      </c>
      <c r="AH265">
        <f>VLOOKUP($AC265,'2017 Seattle Tracts'!$C$2:$Z$399,AH$1,FALSE)*AA265</f>
        <v>2416.2099164064748</v>
      </c>
      <c r="AI265">
        <f>VLOOKUP($AC265,'2017 Seattle Tracts'!$C$2:$Z$399,AI$1,FALSE)*AA265</f>
        <v>1025.1876581935924</v>
      </c>
      <c r="AJ265">
        <f>VLOOKUP($AC265,'2017 Seattle Tracts'!$C$2:$Z$399,AJ$1,FALSE)*AA265</f>
        <v>1680.2868256699958</v>
      </c>
      <c r="AK265">
        <f>VLOOKUP($AC265,'2017 Seattle Tracts'!$C$2:$Z$399,AK$1,FALSE)*AA265</f>
        <v>133.99755698380977</v>
      </c>
      <c r="AL265">
        <f>VLOOKUP($AC265,'2017 Seattle Tracts'!$C$2:$Z$399,AL$1,FALSE)*AA265</f>
        <v>133.28857520082667</v>
      </c>
      <c r="AM265">
        <f>VLOOKUP($AC265,'2017 Seattle Tracts'!$C$2:$Z$399,AM$1,FALSE)*AA265</f>
        <v>100.67541318360311</v>
      </c>
      <c r="AN265">
        <f>VLOOKUP($AC265,'2017 Seattle Tracts'!$C$2:$Z$399,AN$1,FALSE)*AA265</f>
        <v>214.82148024388553</v>
      </c>
      <c r="AO265">
        <f>VLOOKUP($AC265,'2017 Seattle Tracts'!$C$2:$Z$399,AO$1,FALSE)*AA265</f>
        <v>236.79991551636226</v>
      </c>
      <c r="AP265">
        <f>VLOOKUP($AC265,'2017 Seattle Tracts'!$C$2:$Z$399,AP$1,FALSE)*AA265</f>
        <v>11.343708527729929</v>
      </c>
      <c r="AQ265">
        <f>VLOOKUP($AC265,'2017 Seattle Tracts'!$C$2:$Z$399,AQ$1,FALSE)*AA265</f>
        <v>0</v>
      </c>
      <c r="AR265">
        <f>VLOOKUP($AC265,'2017 Seattle Tracts'!$C$2:$Z$399,AR$1,FALSE)*AA265</f>
        <v>180.79035466069573</v>
      </c>
      <c r="AS265">
        <f>VLOOKUP($AC265,'2017 Seattle Tracts'!$C$2:$Z$399,AS$1,FALSE)*AA265</f>
        <v>421.13517909197361</v>
      </c>
      <c r="AT265">
        <f>VLOOKUP($AC265,'2017 Seattle Tracts'!$C$2:$Z$399,AT$1,FALSE)*AA265</f>
        <v>50.337706591801556</v>
      </c>
      <c r="AU265">
        <f>VLOOKUP($AC265,'2017 Seattle Tracts'!$C$2:$Z$399,AU$1,FALSE)*AA265</f>
        <v>29.068253102307942</v>
      </c>
      <c r="AV265">
        <f>VLOOKUP($AC265,'2017 Seattle Tracts'!$C$2:$Z$399,AV$1,FALSE)*AA265</f>
        <v>40.411961630037872</v>
      </c>
      <c r="AW265">
        <f>VLOOKUP($AC265,'2017 Seattle Tracts'!$C$2:$Z$399,AW$1,FALSE)*AA265</f>
        <v>87.913741089906949</v>
      </c>
      <c r="AX265">
        <f>VLOOKUP($AC265,'2017 Seattle Tracts'!$C$2:$Z$399,AX$1,FALSE)*AA265</f>
        <v>104.92930388150184</v>
      </c>
      <c r="AY265">
        <f>VLOOKUP($AC265,'2017 Seattle Tracts'!$C$2:$Z$399,AY$1,FALSE)*AA265</f>
        <v>15.597599225628652</v>
      </c>
    </row>
    <row r="266" spans="1:51" x14ac:dyDescent="0.25">
      <c r="A266" t="s">
        <v>2917</v>
      </c>
      <c r="B266" t="s">
        <v>2918</v>
      </c>
      <c r="C266" t="s">
        <v>3125</v>
      </c>
      <c r="D266" t="s">
        <v>2602</v>
      </c>
      <c r="E266" t="s">
        <v>2603</v>
      </c>
      <c r="F266" t="s">
        <v>2604</v>
      </c>
      <c r="G266" t="s">
        <v>2920</v>
      </c>
      <c r="H266" t="s">
        <v>2921</v>
      </c>
      <c r="I266">
        <v>1294678</v>
      </c>
      <c r="J266">
        <v>0</v>
      </c>
      <c r="K266" t="s">
        <v>3126</v>
      </c>
      <c r="L266" t="s">
        <v>3127</v>
      </c>
      <c r="M266">
        <v>1294679</v>
      </c>
      <c r="N266">
        <v>103</v>
      </c>
      <c r="O266">
        <v>31987.734</v>
      </c>
      <c r="P266" t="s">
        <v>207</v>
      </c>
      <c r="Q266">
        <v>3</v>
      </c>
      <c r="R266">
        <v>3</v>
      </c>
      <c r="S266">
        <v>95</v>
      </c>
      <c r="T266">
        <v>30977390</v>
      </c>
      <c r="U266">
        <v>105</v>
      </c>
      <c r="V266">
        <v>107</v>
      </c>
      <c r="W266">
        <v>31987.735324847999</v>
      </c>
      <c r="X266">
        <v>30977390.242551979</v>
      </c>
      <c r="Y266">
        <v>282.58</v>
      </c>
      <c r="Z266">
        <f>VLOOKUP($AC266,'2017 Seattle Tracts'!$C$2:$Z$399,24,FALSE)</f>
        <v>1294679.0989999999</v>
      </c>
      <c r="AA266">
        <f t="shared" si="9"/>
        <v>2.1826257967573785E-4</v>
      </c>
      <c r="AB266" t="s">
        <v>208</v>
      </c>
      <c r="AC266" t="str">
        <f t="shared" si="8"/>
        <v>Census Tract 7, King County, Washington</v>
      </c>
      <c r="AD266">
        <f>VLOOKUP($AC266,'2017 Seattle Tracts'!$C$2:$Z$399,AD$1,FALSE)*AA266</f>
        <v>1.0594465617460316</v>
      </c>
      <c r="AE266">
        <f>VLOOKUP($AC266,'2017 Seattle Tracts'!$C$2:$Z$399,AE$1,FALSE)*AA266</f>
        <v>0.74383887153491457</v>
      </c>
      <c r="AF266">
        <f>VLOOKUP($AC266,'2017 Seattle Tracts'!$C$2:$Z$399,AF$1,FALSE)*AA266</f>
        <v>0.31560769021111695</v>
      </c>
      <c r="AG266">
        <f>VLOOKUP($AC266,'2017 Seattle Tracts'!$C$2:$Z$399,AG$1,FALSE)*AA266</f>
        <v>1.0594465617460316</v>
      </c>
      <c r="AH266">
        <f>VLOOKUP($AC266,'2017 Seattle Tracts'!$C$2:$Z$399,AH$1,FALSE)*AA266</f>
        <v>0.74383887153491457</v>
      </c>
      <c r="AI266">
        <f>VLOOKUP($AC266,'2017 Seattle Tracts'!$C$2:$Z$399,AI$1,FALSE)*AA266</f>
        <v>0.31560769021111695</v>
      </c>
      <c r="AJ266">
        <f>VLOOKUP($AC266,'2017 Seattle Tracts'!$C$2:$Z$399,AJ$1,FALSE)*AA266</f>
        <v>0.5172823138314987</v>
      </c>
      <c r="AK266">
        <f>VLOOKUP($AC266,'2017 Seattle Tracts'!$C$2:$Z$399,AK$1,FALSE)*AA266</f>
        <v>4.1251627558714456E-2</v>
      </c>
      <c r="AL266">
        <f>VLOOKUP($AC266,'2017 Seattle Tracts'!$C$2:$Z$399,AL$1,FALSE)*AA266</f>
        <v>4.1033364979038714E-2</v>
      </c>
      <c r="AM266">
        <f>VLOOKUP($AC266,'2017 Seattle Tracts'!$C$2:$Z$399,AM$1,FALSE)*AA266</f>
        <v>3.0993286313954774E-2</v>
      </c>
      <c r="AN266">
        <f>VLOOKUP($AC266,'2017 Seattle Tracts'!$C$2:$Z$399,AN$1,FALSE)*AA266</f>
        <v>6.6133561641748564E-2</v>
      </c>
      <c r="AO266">
        <f>VLOOKUP($AC266,'2017 Seattle Tracts'!$C$2:$Z$399,AO$1,FALSE)*AA266</f>
        <v>7.2899701611696441E-2</v>
      </c>
      <c r="AP266">
        <f>VLOOKUP($AC266,'2017 Seattle Tracts'!$C$2:$Z$399,AP$1,FALSE)*AA266</f>
        <v>3.4922012748118056E-3</v>
      </c>
      <c r="AQ266">
        <f>VLOOKUP($AC266,'2017 Seattle Tracts'!$C$2:$Z$399,AQ$1,FALSE)*AA266</f>
        <v>0</v>
      </c>
      <c r="AR266">
        <f>VLOOKUP($AC266,'2017 Seattle Tracts'!$C$2:$Z$399,AR$1,FALSE)*AA266</f>
        <v>5.5656957817313155E-2</v>
      </c>
      <c r="AS266">
        <f>VLOOKUP($AC266,'2017 Seattle Tracts'!$C$2:$Z$399,AS$1,FALSE)*AA266</f>
        <v>0.12964797232738828</v>
      </c>
      <c r="AT266">
        <f>VLOOKUP($AC266,'2017 Seattle Tracts'!$C$2:$Z$399,AT$1,FALSE)*AA266</f>
        <v>1.5496643156977387E-2</v>
      </c>
      <c r="AU266">
        <f>VLOOKUP($AC266,'2017 Seattle Tracts'!$C$2:$Z$399,AU$1,FALSE)*AA266</f>
        <v>8.9487657667052523E-3</v>
      </c>
      <c r="AV266">
        <f>VLOOKUP($AC266,'2017 Seattle Tracts'!$C$2:$Z$399,AV$1,FALSE)*AA266</f>
        <v>1.2440967041517058E-2</v>
      </c>
      <c r="AW266">
        <f>VLOOKUP($AC266,'2017 Seattle Tracts'!$C$2:$Z$399,AW$1,FALSE)*AA266</f>
        <v>2.7064559879791492E-2</v>
      </c>
      <c r="AX266">
        <f>VLOOKUP($AC266,'2017 Seattle Tracts'!$C$2:$Z$399,AX$1,FALSE)*AA266</f>
        <v>3.2302861792009203E-2</v>
      </c>
      <c r="AY266">
        <f>VLOOKUP($AC266,'2017 Seattle Tracts'!$C$2:$Z$399,AY$1,FALSE)*AA266</f>
        <v>4.8017767528662327E-3</v>
      </c>
    </row>
    <row r="267" spans="1:51" x14ac:dyDescent="0.25">
      <c r="A267" t="s">
        <v>2917</v>
      </c>
      <c r="B267" t="s">
        <v>2918</v>
      </c>
      <c r="C267" t="s">
        <v>3125</v>
      </c>
      <c r="D267" t="s">
        <v>2602</v>
      </c>
      <c r="E267" t="s">
        <v>2603</v>
      </c>
      <c r="F267" t="s">
        <v>2604</v>
      </c>
      <c r="G267" t="s">
        <v>2920</v>
      </c>
      <c r="H267" t="s">
        <v>2921</v>
      </c>
      <c r="I267">
        <v>1294678</v>
      </c>
      <c r="J267">
        <v>0</v>
      </c>
      <c r="K267" t="s">
        <v>3126</v>
      </c>
      <c r="L267" t="s">
        <v>3127</v>
      </c>
      <c r="M267">
        <v>1294679</v>
      </c>
      <c r="N267">
        <v>104</v>
      </c>
      <c r="O267">
        <v>18770.280999999999</v>
      </c>
      <c r="P267" t="s">
        <v>207</v>
      </c>
      <c r="Q267">
        <v>3</v>
      </c>
      <c r="R267">
        <v>3</v>
      </c>
      <c r="S267">
        <v>24</v>
      </c>
      <c r="T267">
        <v>17034848</v>
      </c>
      <c r="U267">
        <v>106</v>
      </c>
      <c r="V267">
        <v>108</v>
      </c>
      <c r="W267">
        <v>18770.28203242151</v>
      </c>
      <c r="X267">
        <v>17034848.779124379</v>
      </c>
      <c r="Y267">
        <v>219626.54</v>
      </c>
      <c r="Z267">
        <f>VLOOKUP($AC267,'2017 Seattle Tracts'!$C$2:$Z$399,24,FALSE)</f>
        <v>1294679.0989999999</v>
      </c>
      <c r="AA267">
        <f t="shared" si="9"/>
        <v>0.16963782003558861</v>
      </c>
      <c r="AB267" t="s">
        <v>209</v>
      </c>
      <c r="AC267" t="str">
        <f t="shared" si="8"/>
        <v>Census Tract 7, King County, Washington</v>
      </c>
      <c r="AD267">
        <f>VLOOKUP($AC267,'2017 Seattle Tracts'!$C$2:$Z$399,AD$1,FALSE)*AA267</f>
        <v>823.42197845274711</v>
      </c>
      <c r="AE267">
        <f>VLOOKUP($AC267,'2017 Seattle Tracts'!$C$2:$Z$399,AE$1,FALSE)*AA267</f>
        <v>578.12569068128596</v>
      </c>
      <c r="AF267">
        <f>VLOOKUP($AC267,'2017 Seattle Tracts'!$C$2:$Z$399,AF$1,FALSE)*AA267</f>
        <v>245.29628777146112</v>
      </c>
      <c r="AG267">
        <f>VLOOKUP($AC267,'2017 Seattle Tracts'!$C$2:$Z$399,AG$1,FALSE)*AA267</f>
        <v>823.42197845274711</v>
      </c>
      <c r="AH267">
        <f>VLOOKUP($AC267,'2017 Seattle Tracts'!$C$2:$Z$399,AH$1,FALSE)*AA267</f>
        <v>578.12569068128596</v>
      </c>
      <c r="AI267">
        <f>VLOOKUP($AC267,'2017 Seattle Tracts'!$C$2:$Z$399,AI$1,FALSE)*AA267</f>
        <v>245.29628777146112</v>
      </c>
      <c r="AJ267">
        <f>VLOOKUP($AC267,'2017 Seattle Tracts'!$C$2:$Z$399,AJ$1,FALSE)*AA267</f>
        <v>402.04163348434503</v>
      </c>
      <c r="AK267">
        <f>VLOOKUP($AC267,'2017 Seattle Tracts'!$C$2:$Z$399,AK$1,FALSE)*AA267</f>
        <v>32.061547986726247</v>
      </c>
      <c r="AL267">
        <f>VLOOKUP($AC267,'2017 Seattle Tracts'!$C$2:$Z$399,AL$1,FALSE)*AA267</f>
        <v>31.891910166690657</v>
      </c>
      <c r="AM267">
        <f>VLOOKUP($AC267,'2017 Seattle Tracts'!$C$2:$Z$399,AM$1,FALSE)*AA267</f>
        <v>24.088570445053584</v>
      </c>
      <c r="AN267">
        <f>VLOOKUP($AC267,'2017 Seattle Tracts'!$C$2:$Z$399,AN$1,FALSE)*AA267</f>
        <v>51.400259470783347</v>
      </c>
      <c r="AO267">
        <f>VLOOKUP($AC267,'2017 Seattle Tracts'!$C$2:$Z$399,AO$1,FALSE)*AA267</f>
        <v>56.659031891886599</v>
      </c>
      <c r="AP267">
        <f>VLOOKUP($AC267,'2017 Seattle Tracts'!$C$2:$Z$399,AP$1,FALSE)*AA267</f>
        <v>2.7142051205694178</v>
      </c>
      <c r="AQ267">
        <f>VLOOKUP($AC267,'2017 Seattle Tracts'!$C$2:$Z$399,AQ$1,FALSE)*AA267</f>
        <v>0</v>
      </c>
      <c r="AR267">
        <f>VLOOKUP($AC267,'2017 Seattle Tracts'!$C$2:$Z$399,AR$1,FALSE)*AA267</f>
        <v>43.257644109075095</v>
      </c>
      <c r="AS267">
        <f>VLOOKUP($AC267,'2017 Seattle Tracts'!$C$2:$Z$399,AS$1,FALSE)*AA267</f>
        <v>100.76486510113963</v>
      </c>
      <c r="AT267">
        <f>VLOOKUP($AC267,'2017 Seattle Tracts'!$C$2:$Z$399,AT$1,FALSE)*AA267</f>
        <v>12.044285222526792</v>
      </c>
      <c r="AU267">
        <f>VLOOKUP($AC267,'2017 Seattle Tracts'!$C$2:$Z$399,AU$1,FALSE)*AA267</f>
        <v>6.9551506214591328</v>
      </c>
      <c r="AV267">
        <f>VLOOKUP($AC267,'2017 Seattle Tracts'!$C$2:$Z$399,AV$1,FALSE)*AA267</f>
        <v>9.6693557420285501</v>
      </c>
      <c r="AW267">
        <f>VLOOKUP($AC267,'2017 Seattle Tracts'!$C$2:$Z$399,AW$1,FALSE)*AA267</f>
        <v>21.035089684412988</v>
      </c>
      <c r="AX267">
        <f>VLOOKUP($AC267,'2017 Seattle Tracts'!$C$2:$Z$399,AX$1,FALSE)*AA267</f>
        <v>25.106397365267114</v>
      </c>
      <c r="AY267">
        <f>VLOOKUP($AC267,'2017 Seattle Tracts'!$C$2:$Z$399,AY$1,FALSE)*AA267</f>
        <v>3.7320320407829493</v>
      </c>
    </row>
    <row r="268" spans="1:51" x14ac:dyDescent="0.25">
      <c r="A268" t="s">
        <v>2917</v>
      </c>
      <c r="B268" t="s">
        <v>2918</v>
      </c>
      <c r="C268" t="s">
        <v>3125</v>
      </c>
      <c r="D268" t="s">
        <v>2602</v>
      </c>
      <c r="E268" t="s">
        <v>2603</v>
      </c>
      <c r="F268" t="s">
        <v>2604</v>
      </c>
      <c r="G268" t="s">
        <v>2920</v>
      </c>
      <c r="H268" t="s">
        <v>2921</v>
      </c>
      <c r="I268">
        <v>1294678</v>
      </c>
      <c r="J268">
        <v>0</v>
      </c>
      <c r="K268" t="s">
        <v>3126</v>
      </c>
      <c r="L268" t="s">
        <v>3127</v>
      </c>
      <c r="M268">
        <v>1294679</v>
      </c>
      <c r="N268">
        <v>105</v>
      </c>
      <c r="O268">
        <v>19993.815999999999</v>
      </c>
      <c r="P268" t="s">
        <v>207</v>
      </c>
      <c r="Q268">
        <v>3</v>
      </c>
      <c r="R268">
        <v>3</v>
      </c>
      <c r="S268">
        <v>9</v>
      </c>
      <c r="T268">
        <v>25836742</v>
      </c>
      <c r="U268">
        <v>107</v>
      </c>
      <c r="V268">
        <v>104</v>
      </c>
      <c r="W268">
        <v>19993.816057076321</v>
      </c>
      <c r="X268">
        <v>25836742.163973771</v>
      </c>
      <c r="Y268">
        <v>440.50200000000001</v>
      </c>
      <c r="Z268">
        <f>VLOOKUP($AC268,'2017 Seattle Tracts'!$C$2:$Z$399,24,FALSE)</f>
        <v>1294679.0989999999</v>
      </c>
      <c r="AA268">
        <f t="shared" si="9"/>
        <v>3.402402961013585E-4</v>
      </c>
      <c r="AB268" t="s">
        <v>210</v>
      </c>
      <c r="AC268" t="str">
        <f t="shared" si="8"/>
        <v>Census Tract 7, King County, Washington</v>
      </c>
      <c r="AD268">
        <f>VLOOKUP($AC268,'2017 Seattle Tracts'!$C$2:$Z$399,AD$1,FALSE)*AA268</f>
        <v>1.6515263972759942</v>
      </c>
      <c r="AE268">
        <f>VLOOKUP($AC268,'2017 Seattle Tracts'!$C$2:$Z$399,AE$1,FALSE)*AA268</f>
        <v>1.1595389291134297</v>
      </c>
      <c r="AF268">
        <f>VLOOKUP($AC268,'2017 Seattle Tracts'!$C$2:$Z$399,AF$1,FALSE)*AA268</f>
        <v>0.49198746816256439</v>
      </c>
      <c r="AG268">
        <f>VLOOKUP($AC268,'2017 Seattle Tracts'!$C$2:$Z$399,AG$1,FALSE)*AA268</f>
        <v>1.6515263972759942</v>
      </c>
      <c r="AH268">
        <f>VLOOKUP($AC268,'2017 Seattle Tracts'!$C$2:$Z$399,AH$1,FALSE)*AA268</f>
        <v>1.1595389291134297</v>
      </c>
      <c r="AI268">
        <f>VLOOKUP($AC268,'2017 Seattle Tracts'!$C$2:$Z$399,AI$1,FALSE)*AA268</f>
        <v>0.49198746816256439</v>
      </c>
      <c r="AJ268">
        <f>VLOOKUP($AC268,'2017 Seattle Tracts'!$C$2:$Z$399,AJ$1,FALSE)*AA268</f>
        <v>0.8063695017602196</v>
      </c>
      <c r="AK268">
        <f>VLOOKUP($AC268,'2017 Seattle Tracts'!$C$2:$Z$399,AK$1,FALSE)*AA268</f>
        <v>6.4305415963156753E-2</v>
      </c>
      <c r="AL268">
        <f>VLOOKUP($AC268,'2017 Seattle Tracts'!$C$2:$Z$399,AL$1,FALSE)*AA268</f>
        <v>6.3965175667055396E-2</v>
      </c>
      <c r="AM268">
        <f>VLOOKUP($AC268,'2017 Seattle Tracts'!$C$2:$Z$399,AM$1,FALSE)*AA268</f>
        <v>4.8314122046392904E-2</v>
      </c>
      <c r="AN268">
        <f>VLOOKUP($AC268,'2017 Seattle Tracts'!$C$2:$Z$399,AN$1,FALSE)*AA268</f>
        <v>0.10309280971871163</v>
      </c>
      <c r="AO268">
        <f>VLOOKUP($AC268,'2017 Seattle Tracts'!$C$2:$Z$399,AO$1,FALSE)*AA268</f>
        <v>0.11364025889785374</v>
      </c>
      <c r="AP268">
        <f>VLOOKUP($AC268,'2017 Seattle Tracts'!$C$2:$Z$399,AP$1,FALSE)*AA268</f>
        <v>5.443844737621736E-3</v>
      </c>
      <c r="AQ268">
        <f>VLOOKUP($AC268,'2017 Seattle Tracts'!$C$2:$Z$399,AQ$1,FALSE)*AA268</f>
        <v>0</v>
      </c>
      <c r="AR268">
        <f>VLOOKUP($AC268,'2017 Seattle Tracts'!$C$2:$Z$399,AR$1,FALSE)*AA268</f>
        <v>8.6761275505846419E-2</v>
      </c>
      <c r="AS268">
        <f>VLOOKUP($AC268,'2017 Seattle Tracts'!$C$2:$Z$399,AS$1,FALSE)*AA268</f>
        <v>0.20210273588420696</v>
      </c>
      <c r="AT268">
        <f>VLOOKUP($AC268,'2017 Seattle Tracts'!$C$2:$Z$399,AT$1,FALSE)*AA268</f>
        <v>2.4157061023196452E-2</v>
      </c>
      <c r="AU268">
        <f>VLOOKUP($AC268,'2017 Seattle Tracts'!$C$2:$Z$399,AU$1,FALSE)*AA268</f>
        <v>1.3949852140155698E-2</v>
      </c>
      <c r="AV268">
        <f>VLOOKUP($AC268,'2017 Seattle Tracts'!$C$2:$Z$399,AV$1,FALSE)*AA268</f>
        <v>1.9393696877777436E-2</v>
      </c>
      <c r="AW268">
        <f>VLOOKUP($AC268,'2017 Seattle Tracts'!$C$2:$Z$399,AW$1,FALSE)*AA268</f>
        <v>4.2189796716568452E-2</v>
      </c>
      <c r="AX268">
        <f>VLOOKUP($AC268,'2017 Seattle Tracts'!$C$2:$Z$399,AX$1,FALSE)*AA268</f>
        <v>5.0355563823001055E-2</v>
      </c>
      <c r="AY268">
        <f>VLOOKUP($AC268,'2017 Seattle Tracts'!$C$2:$Z$399,AY$1,FALSE)*AA268</f>
        <v>7.4852865142298868E-3</v>
      </c>
    </row>
    <row r="269" spans="1:51" x14ac:dyDescent="0.25">
      <c r="A269" t="s">
        <v>2917</v>
      </c>
      <c r="B269" t="s">
        <v>2918</v>
      </c>
      <c r="C269" t="s">
        <v>3125</v>
      </c>
      <c r="D269" t="s">
        <v>2602</v>
      </c>
      <c r="E269" t="s">
        <v>2603</v>
      </c>
      <c r="F269" t="s">
        <v>2604</v>
      </c>
      <c r="G269" t="s">
        <v>2920</v>
      </c>
      <c r="H269" t="s">
        <v>2921</v>
      </c>
      <c r="I269">
        <v>1294678</v>
      </c>
      <c r="J269">
        <v>0</v>
      </c>
      <c r="K269" t="s">
        <v>3126</v>
      </c>
      <c r="L269" t="s">
        <v>3127</v>
      </c>
      <c r="M269">
        <v>1294679</v>
      </c>
      <c r="N269">
        <v>106</v>
      </c>
      <c r="O269">
        <v>22788.76</v>
      </c>
      <c r="P269" t="s">
        <v>207</v>
      </c>
      <c r="Q269">
        <v>3</v>
      </c>
      <c r="R269">
        <v>3</v>
      </c>
      <c r="S269">
        <v>19</v>
      </c>
      <c r="T269">
        <v>20441486</v>
      </c>
      <c r="U269">
        <v>108</v>
      </c>
      <c r="V269">
        <v>105</v>
      </c>
      <c r="W269">
        <v>22788.760382662011</v>
      </c>
      <c r="X269">
        <v>20441485.84874605</v>
      </c>
      <c r="Y269">
        <v>155947.155</v>
      </c>
      <c r="Z269">
        <f>VLOOKUP($AC269,'2017 Seattle Tracts'!$C$2:$Z$399,24,FALSE)</f>
        <v>1294679.0989999999</v>
      </c>
      <c r="AA269">
        <f t="shared" si="9"/>
        <v>0.12045236160872017</v>
      </c>
      <c r="AB269" t="s">
        <v>211</v>
      </c>
      <c r="AC269" t="str">
        <f t="shared" si="8"/>
        <v>Census Tract 7, King County, Washington</v>
      </c>
      <c r="AD269">
        <f>VLOOKUP($AC269,'2017 Seattle Tracts'!$C$2:$Z$399,AD$1,FALSE)*AA269</f>
        <v>584.67576324872766</v>
      </c>
      <c r="AE269">
        <f>VLOOKUP($AC269,'2017 Seattle Tracts'!$C$2:$Z$399,AE$1,FALSE)*AA269</f>
        <v>410.50164836251832</v>
      </c>
      <c r="AF269">
        <f>VLOOKUP($AC269,'2017 Seattle Tracts'!$C$2:$Z$399,AF$1,FALSE)*AA269</f>
        <v>174.17411488620937</v>
      </c>
      <c r="AG269">
        <f>VLOOKUP($AC269,'2017 Seattle Tracts'!$C$2:$Z$399,AG$1,FALSE)*AA269</f>
        <v>584.67576324872766</v>
      </c>
      <c r="AH269">
        <f>VLOOKUP($AC269,'2017 Seattle Tracts'!$C$2:$Z$399,AH$1,FALSE)*AA269</f>
        <v>410.50164836251832</v>
      </c>
      <c r="AI269">
        <f>VLOOKUP($AC269,'2017 Seattle Tracts'!$C$2:$Z$399,AI$1,FALSE)*AA269</f>
        <v>174.17411488620937</v>
      </c>
      <c r="AJ269">
        <f>VLOOKUP($AC269,'2017 Seattle Tracts'!$C$2:$Z$399,AJ$1,FALSE)*AA269</f>
        <v>285.47209701266678</v>
      </c>
      <c r="AK269">
        <f>VLOOKUP($AC269,'2017 Seattle Tracts'!$C$2:$Z$399,AK$1,FALSE)*AA269</f>
        <v>22.76549634404811</v>
      </c>
      <c r="AL269">
        <f>VLOOKUP($AC269,'2017 Seattle Tracts'!$C$2:$Z$399,AL$1,FALSE)*AA269</f>
        <v>22.64504398243939</v>
      </c>
      <c r="AM269">
        <f>VLOOKUP($AC269,'2017 Seattle Tracts'!$C$2:$Z$399,AM$1,FALSE)*AA269</f>
        <v>17.104235348438262</v>
      </c>
      <c r="AN269">
        <f>VLOOKUP($AC269,'2017 Seattle Tracts'!$C$2:$Z$399,AN$1,FALSE)*AA269</f>
        <v>36.497065567442213</v>
      </c>
      <c r="AO269">
        <f>VLOOKUP($AC269,'2017 Seattle Tracts'!$C$2:$Z$399,AO$1,FALSE)*AA269</f>
        <v>40.231088777312536</v>
      </c>
      <c r="AP269">
        <f>VLOOKUP($AC269,'2017 Seattle Tracts'!$C$2:$Z$399,AP$1,FALSE)*AA269</f>
        <v>1.9272377857395226</v>
      </c>
      <c r="AQ269">
        <f>VLOOKUP($AC269,'2017 Seattle Tracts'!$C$2:$Z$399,AQ$1,FALSE)*AA269</f>
        <v>0</v>
      </c>
      <c r="AR269">
        <f>VLOOKUP($AC269,'2017 Seattle Tracts'!$C$2:$Z$399,AR$1,FALSE)*AA269</f>
        <v>30.715352210223642</v>
      </c>
      <c r="AS269">
        <f>VLOOKUP($AC269,'2017 Seattle Tracts'!$C$2:$Z$399,AS$1,FALSE)*AA269</f>
        <v>71.548702795579771</v>
      </c>
      <c r="AT269">
        <f>VLOOKUP($AC269,'2017 Seattle Tracts'!$C$2:$Z$399,AT$1,FALSE)*AA269</f>
        <v>8.5521176742191312</v>
      </c>
      <c r="AU269">
        <f>VLOOKUP($AC269,'2017 Seattle Tracts'!$C$2:$Z$399,AU$1,FALSE)*AA269</f>
        <v>4.9385468259575269</v>
      </c>
      <c r="AV269">
        <f>VLOOKUP($AC269,'2017 Seattle Tracts'!$C$2:$Z$399,AV$1,FALSE)*AA269</f>
        <v>6.8657846116970491</v>
      </c>
      <c r="AW269">
        <f>VLOOKUP($AC269,'2017 Seattle Tracts'!$C$2:$Z$399,AW$1,FALSE)*AA269</f>
        <v>14.936092839481301</v>
      </c>
      <c r="AX269">
        <f>VLOOKUP($AC269,'2017 Seattle Tracts'!$C$2:$Z$399,AX$1,FALSE)*AA269</f>
        <v>17.826949518090583</v>
      </c>
      <c r="AY269">
        <f>VLOOKUP($AC269,'2017 Seattle Tracts'!$C$2:$Z$399,AY$1,FALSE)*AA269</f>
        <v>2.6499519553918436</v>
      </c>
    </row>
    <row r="270" spans="1:51" x14ac:dyDescent="0.25">
      <c r="A270" t="s">
        <v>2917</v>
      </c>
      <c r="B270" t="s">
        <v>2918</v>
      </c>
      <c r="C270" t="s">
        <v>3125</v>
      </c>
      <c r="D270" t="s">
        <v>2602</v>
      </c>
      <c r="E270" t="s">
        <v>2603</v>
      </c>
      <c r="F270" t="s">
        <v>2604</v>
      </c>
      <c r="G270" t="s">
        <v>2920</v>
      </c>
      <c r="H270" t="s">
        <v>2921</v>
      </c>
      <c r="I270">
        <v>1294678</v>
      </c>
      <c r="J270">
        <v>0</v>
      </c>
      <c r="K270" t="s">
        <v>3126</v>
      </c>
      <c r="L270" t="s">
        <v>3127</v>
      </c>
      <c r="M270">
        <v>1294679</v>
      </c>
      <c r="N270">
        <v>113</v>
      </c>
      <c r="O270">
        <v>26171.271000000001</v>
      </c>
      <c r="P270" t="s">
        <v>215</v>
      </c>
      <c r="Q270">
        <v>2</v>
      </c>
      <c r="R270">
        <v>10</v>
      </c>
      <c r="S270">
        <v>81</v>
      </c>
      <c r="T270">
        <v>29438850</v>
      </c>
      <c r="U270">
        <v>115</v>
      </c>
      <c r="V270">
        <v>103</v>
      </c>
      <c r="W270">
        <v>26171.27176081029</v>
      </c>
      <c r="X270">
        <v>29438850.877074279</v>
      </c>
      <c r="Y270">
        <v>478.428</v>
      </c>
      <c r="Z270">
        <f>VLOOKUP($AC270,'2017 Seattle Tracts'!$C$2:$Z$399,24,FALSE)</f>
        <v>1294679.0989999999</v>
      </c>
      <c r="AA270">
        <f t="shared" si="9"/>
        <v>3.6953404157797406E-4</v>
      </c>
      <c r="AB270" t="s">
        <v>216</v>
      </c>
      <c r="AC270" t="str">
        <f t="shared" si="8"/>
        <v>Census Tract 7, King County, Washington</v>
      </c>
      <c r="AD270">
        <f>VLOOKUP($AC270,'2017 Seattle Tracts'!$C$2:$Z$399,AD$1,FALSE)*AA270</f>
        <v>1.793718237819486</v>
      </c>
      <c r="AE270">
        <f>VLOOKUP($AC270,'2017 Seattle Tracts'!$C$2:$Z$399,AE$1,FALSE)*AA270</f>
        <v>1.2593720136977355</v>
      </c>
      <c r="AF270">
        <f>VLOOKUP($AC270,'2017 Seattle Tracts'!$C$2:$Z$399,AF$1,FALSE)*AA270</f>
        <v>0.53434622412175048</v>
      </c>
      <c r="AG270">
        <f>VLOOKUP($AC270,'2017 Seattle Tracts'!$C$2:$Z$399,AG$1,FALSE)*AA270</f>
        <v>1.793718237819486</v>
      </c>
      <c r="AH270">
        <f>VLOOKUP($AC270,'2017 Seattle Tracts'!$C$2:$Z$399,AH$1,FALSE)*AA270</f>
        <v>1.2593720136977355</v>
      </c>
      <c r="AI270">
        <f>VLOOKUP($AC270,'2017 Seattle Tracts'!$C$2:$Z$399,AI$1,FALSE)*AA270</f>
        <v>0.53434622412175048</v>
      </c>
      <c r="AJ270">
        <f>VLOOKUP($AC270,'2017 Seattle Tracts'!$C$2:$Z$399,AJ$1,FALSE)*AA270</f>
        <v>0.87579567853979856</v>
      </c>
      <c r="AK270">
        <f>VLOOKUP($AC270,'2017 Seattle Tracts'!$C$2:$Z$399,AK$1,FALSE)*AA270</f>
        <v>6.9841933858237101E-2</v>
      </c>
      <c r="AL270">
        <f>VLOOKUP($AC270,'2017 Seattle Tracts'!$C$2:$Z$399,AL$1,FALSE)*AA270</f>
        <v>6.9472399816659119E-2</v>
      </c>
      <c r="AM270">
        <f>VLOOKUP($AC270,'2017 Seattle Tracts'!$C$2:$Z$399,AM$1,FALSE)*AA270</f>
        <v>5.2473833904072315E-2</v>
      </c>
      <c r="AN270">
        <f>VLOOKUP($AC270,'2017 Seattle Tracts'!$C$2:$Z$399,AN$1,FALSE)*AA270</f>
        <v>0.11196881459812615</v>
      </c>
      <c r="AO270">
        <f>VLOOKUP($AC270,'2017 Seattle Tracts'!$C$2:$Z$399,AO$1,FALSE)*AA270</f>
        <v>0.12342436988704333</v>
      </c>
      <c r="AP270">
        <f>VLOOKUP($AC270,'2017 Seattle Tracts'!$C$2:$Z$399,AP$1,FALSE)*AA270</f>
        <v>5.9125446652475849E-3</v>
      </c>
      <c r="AQ270">
        <f>VLOOKUP($AC270,'2017 Seattle Tracts'!$C$2:$Z$399,AQ$1,FALSE)*AA270</f>
        <v>0</v>
      </c>
      <c r="AR270">
        <f>VLOOKUP($AC270,'2017 Seattle Tracts'!$C$2:$Z$399,AR$1,FALSE)*AA270</f>
        <v>9.4231180602383391E-2</v>
      </c>
      <c r="AS270">
        <f>VLOOKUP($AC270,'2017 Seattle Tracts'!$C$2:$Z$399,AS$1,FALSE)*AA270</f>
        <v>0.21950322069731659</v>
      </c>
      <c r="AT270">
        <f>VLOOKUP($AC270,'2017 Seattle Tracts'!$C$2:$Z$399,AT$1,FALSE)*AA270</f>
        <v>2.6236916952036157E-2</v>
      </c>
      <c r="AU270">
        <f>VLOOKUP($AC270,'2017 Seattle Tracts'!$C$2:$Z$399,AU$1,FALSE)*AA270</f>
        <v>1.5150895704696937E-2</v>
      </c>
      <c r="AV270">
        <f>VLOOKUP($AC270,'2017 Seattle Tracts'!$C$2:$Z$399,AV$1,FALSE)*AA270</f>
        <v>2.1063440369944522E-2</v>
      </c>
      <c r="AW270">
        <f>VLOOKUP($AC270,'2017 Seattle Tracts'!$C$2:$Z$399,AW$1,FALSE)*AA270</f>
        <v>4.582222115566878E-2</v>
      </c>
      <c r="AX270">
        <f>VLOOKUP($AC270,'2017 Seattle Tracts'!$C$2:$Z$399,AX$1,FALSE)*AA270</f>
        <v>5.4691038153540164E-2</v>
      </c>
      <c r="AY270">
        <f>VLOOKUP($AC270,'2017 Seattle Tracts'!$C$2:$Z$399,AY$1,FALSE)*AA270</f>
        <v>8.1297489147154293E-3</v>
      </c>
    </row>
    <row r="271" spans="1:51" x14ac:dyDescent="0.25">
      <c r="A271" t="s">
        <v>2917</v>
      </c>
      <c r="B271" t="s">
        <v>2918</v>
      </c>
      <c r="C271" t="s">
        <v>3128</v>
      </c>
      <c r="D271" t="s">
        <v>2566</v>
      </c>
      <c r="E271" t="s">
        <v>2567</v>
      </c>
      <c r="F271" t="s">
        <v>2568</v>
      </c>
      <c r="G271" t="s">
        <v>2920</v>
      </c>
      <c r="H271" t="s">
        <v>2921</v>
      </c>
      <c r="I271">
        <v>1141569</v>
      </c>
      <c r="J271">
        <v>0</v>
      </c>
      <c r="K271" t="s">
        <v>3129</v>
      </c>
      <c r="L271" t="s">
        <v>3130</v>
      </c>
      <c r="M271">
        <v>1141571</v>
      </c>
      <c r="N271">
        <v>103</v>
      </c>
      <c r="O271">
        <v>31987.734</v>
      </c>
      <c r="P271" t="s">
        <v>207</v>
      </c>
      <c r="Q271">
        <v>3</v>
      </c>
      <c r="R271">
        <v>3</v>
      </c>
      <c r="S271">
        <v>95</v>
      </c>
      <c r="T271">
        <v>30977390</v>
      </c>
      <c r="U271">
        <v>105</v>
      </c>
      <c r="V271">
        <v>107</v>
      </c>
      <c r="W271">
        <v>31987.735324847999</v>
      </c>
      <c r="X271">
        <v>30977390.242551979</v>
      </c>
      <c r="Y271">
        <v>923604.71299999999</v>
      </c>
      <c r="Z271">
        <f>VLOOKUP($AC271,'2017 Seattle Tracts'!$C$2:$Z$399,24,FALSE)</f>
        <v>1141570.7069999999</v>
      </c>
      <c r="AA271">
        <f t="shared" si="9"/>
        <v>0.80906483263502316</v>
      </c>
      <c r="AB271" t="s">
        <v>208</v>
      </c>
      <c r="AC271" t="str">
        <f t="shared" si="8"/>
        <v>Census Tract 8, King County, Washington</v>
      </c>
      <c r="AD271">
        <f>VLOOKUP($AC271,'2017 Seattle Tracts'!$C$2:$Z$399,AD$1,FALSE)*AA271</f>
        <v>2089.0053978636297</v>
      </c>
      <c r="AE271">
        <f>VLOOKUP($AC271,'2017 Seattle Tracts'!$C$2:$Z$399,AE$1,FALSE)*AA271</f>
        <v>1888.3573193701441</v>
      </c>
      <c r="AF271">
        <f>VLOOKUP($AC271,'2017 Seattle Tracts'!$C$2:$Z$399,AF$1,FALSE)*AA271</f>
        <v>200.64807849348574</v>
      </c>
      <c r="AG271">
        <f>VLOOKUP($AC271,'2017 Seattle Tracts'!$C$2:$Z$399,AG$1,FALSE)*AA271</f>
        <v>2089.0053978636297</v>
      </c>
      <c r="AH271">
        <f>VLOOKUP($AC271,'2017 Seattle Tracts'!$C$2:$Z$399,AH$1,FALSE)*AA271</f>
        <v>1888.3573193701441</v>
      </c>
      <c r="AI271">
        <f>VLOOKUP($AC271,'2017 Seattle Tracts'!$C$2:$Z$399,AI$1,FALSE)*AA271</f>
        <v>200.64807849348574</v>
      </c>
      <c r="AJ271">
        <f>VLOOKUP($AC271,'2017 Seattle Tracts'!$C$2:$Z$399,AJ$1,FALSE)*AA271</f>
        <v>1613.2752762742361</v>
      </c>
      <c r="AK271">
        <f>VLOOKUP($AC271,'2017 Seattle Tracts'!$C$2:$Z$399,AK$1,FALSE)*AA271</f>
        <v>93.042455753027667</v>
      </c>
      <c r="AL271">
        <f>VLOOKUP($AC271,'2017 Seattle Tracts'!$C$2:$Z$399,AL$1,FALSE)*AA271</f>
        <v>0</v>
      </c>
      <c r="AM271">
        <f>VLOOKUP($AC271,'2017 Seattle Tracts'!$C$2:$Z$399,AM$1,FALSE)*AA271</f>
        <v>0</v>
      </c>
      <c r="AN271">
        <f>VLOOKUP($AC271,'2017 Seattle Tracts'!$C$2:$Z$399,AN$1,FALSE)*AA271</f>
        <v>52.589214121276505</v>
      </c>
      <c r="AO271">
        <f>VLOOKUP($AC271,'2017 Seattle Tracts'!$C$2:$Z$399,AO$1,FALSE)*AA271</f>
        <v>12.135972489525347</v>
      </c>
      <c r="AP271">
        <f>VLOOKUP($AC271,'2017 Seattle Tracts'!$C$2:$Z$399,AP$1,FALSE)*AA271</f>
        <v>0</v>
      </c>
      <c r="AQ271">
        <f>VLOOKUP($AC271,'2017 Seattle Tracts'!$C$2:$Z$399,AQ$1,FALSE)*AA271</f>
        <v>0</v>
      </c>
      <c r="AR271">
        <f>VLOOKUP($AC271,'2017 Seattle Tracts'!$C$2:$Z$399,AR$1,FALSE)*AA271</f>
        <v>96.278715083567761</v>
      </c>
      <c r="AS271">
        <f>VLOOKUP($AC271,'2017 Seattle Tracts'!$C$2:$Z$399,AS$1,FALSE)*AA271</f>
        <v>88.997131589852543</v>
      </c>
      <c r="AT271">
        <f>VLOOKUP($AC271,'2017 Seattle Tracts'!$C$2:$Z$399,AT$1,FALSE)*AA271</f>
        <v>0</v>
      </c>
      <c r="AU271">
        <f>VLOOKUP($AC271,'2017 Seattle Tracts'!$C$2:$Z$399,AU$1,FALSE)*AA271</f>
        <v>0</v>
      </c>
      <c r="AV271">
        <f>VLOOKUP($AC271,'2017 Seattle Tracts'!$C$2:$Z$399,AV$1,FALSE)*AA271</f>
        <v>0</v>
      </c>
      <c r="AW271">
        <f>VLOOKUP($AC271,'2017 Seattle Tracts'!$C$2:$Z$399,AW$1,FALSE)*AA271</f>
        <v>0</v>
      </c>
      <c r="AX271">
        <f>VLOOKUP($AC271,'2017 Seattle Tracts'!$C$2:$Z$399,AX$1,FALSE)*AA271</f>
        <v>126.21411389106362</v>
      </c>
      <c r="AY271">
        <f>VLOOKUP($AC271,'2017 Seattle Tracts'!$C$2:$Z$399,AY$1,FALSE)*AA271</f>
        <v>6.4725186610801853</v>
      </c>
    </row>
    <row r="272" spans="1:51" x14ac:dyDescent="0.25">
      <c r="A272" t="s">
        <v>2917</v>
      </c>
      <c r="B272" t="s">
        <v>2918</v>
      </c>
      <c r="C272" t="s">
        <v>3128</v>
      </c>
      <c r="D272" t="s">
        <v>2566</v>
      </c>
      <c r="E272" t="s">
        <v>2567</v>
      </c>
      <c r="F272" t="s">
        <v>2568</v>
      </c>
      <c r="G272" t="s">
        <v>2920</v>
      </c>
      <c r="H272" t="s">
        <v>2921</v>
      </c>
      <c r="I272">
        <v>1141569</v>
      </c>
      <c r="J272">
        <v>0</v>
      </c>
      <c r="K272" t="s">
        <v>3129</v>
      </c>
      <c r="L272" t="s">
        <v>3130</v>
      </c>
      <c r="M272">
        <v>1141571</v>
      </c>
      <c r="N272">
        <v>104</v>
      </c>
      <c r="O272">
        <v>18770.280999999999</v>
      </c>
      <c r="P272" t="s">
        <v>207</v>
      </c>
      <c r="Q272">
        <v>3</v>
      </c>
      <c r="R272">
        <v>3</v>
      </c>
      <c r="S272">
        <v>24</v>
      </c>
      <c r="T272">
        <v>17034848</v>
      </c>
      <c r="U272">
        <v>106</v>
      </c>
      <c r="V272">
        <v>108</v>
      </c>
      <c r="W272">
        <v>18770.28203242151</v>
      </c>
      <c r="X272">
        <v>17034848.779124379</v>
      </c>
      <c r="Y272">
        <v>74.381</v>
      </c>
      <c r="Z272">
        <f>VLOOKUP($AC272,'2017 Seattle Tracts'!$C$2:$Z$399,24,FALSE)</f>
        <v>1141570.7069999999</v>
      </c>
      <c r="AA272">
        <f t="shared" si="9"/>
        <v>6.5156717445448615E-5</v>
      </c>
      <c r="AB272" t="s">
        <v>209</v>
      </c>
      <c r="AC272" t="str">
        <f t="shared" si="8"/>
        <v>Census Tract 8, King County, Washington</v>
      </c>
      <c r="AD272">
        <f>VLOOKUP($AC272,'2017 Seattle Tracts'!$C$2:$Z$399,AD$1,FALSE)*AA272</f>
        <v>0.16823464444414832</v>
      </c>
      <c r="AE272">
        <f>VLOOKUP($AC272,'2017 Seattle Tracts'!$C$2:$Z$399,AE$1,FALSE)*AA272</f>
        <v>0.15207577851767706</v>
      </c>
      <c r="AF272">
        <f>VLOOKUP($AC272,'2017 Seattle Tracts'!$C$2:$Z$399,AF$1,FALSE)*AA272</f>
        <v>1.6158865926471255E-2</v>
      </c>
      <c r="AG272">
        <f>VLOOKUP($AC272,'2017 Seattle Tracts'!$C$2:$Z$399,AG$1,FALSE)*AA272</f>
        <v>0.16823464444414832</v>
      </c>
      <c r="AH272">
        <f>VLOOKUP($AC272,'2017 Seattle Tracts'!$C$2:$Z$399,AH$1,FALSE)*AA272</f>
        <v>0.15207577851767706</v>
      </c>
      <c r="AI272">
        <f>VLOOKUP($AC272,'2017 Seattle Tracts'!$C$2:$Z$399,AI$1,FALSE)*AA272</f>
        <v>1.6158865926471255E-2</v>
      </c>
      <c r="AJ272">
        <f>VLOOKUP($AC272,'2017 Seattle Tracts'!$C$2:$Z$399,AJ$1,FALSE)*AA272</f>
        <v>0.12992249458622454</v>
      </c>
      <c r="AK272">
        <f>VLOOKUP($AC272,'2017 Seattle Tracts'!$C$2:$Z$399,AK$1,FALSE)*AA272</f>
        <v>7.4930225062265904E-3</v>
      </c>
      <c r="AL272">
        <f>VLOOKUP($AC272,'2017 Seattle Tracts'!$C$2:$Z$399,AL$1,FALSE)*AA272</f>
        <v>0</v>
      </c>
      <c r="AM272">
        <f>VLOOKUP($AC272,'2017 Seattle Tracts'!$C$2:$Z$399,AM$1,FALSE)*AA272</f>
        <v>0</v>
      </c>
      <c r="AN272">
        <f>VLOOKUP($AC272,'2017 Seattle Tracts'!$C$2:$Z$399,AN$1,FALSE)*AA272</f>
        <v>4.2351866339541602E-3</v>
      </c>
      <c r="AO272">
        <f>VLOOKUP($AC272,'2017 Seattle Tracts'!$C$2:$Z$399,AO$1,FALSE)*AA272</f>
        <v>9.7735076168172928E-4</v>
      </c>
      <c r="AP272">
        <f>VLOOKUP($AC272,'2017 Seattle Tracts'!$C$2:$Z$399,AP$1,FALSE)*AA272</f>
        <v>0</v>
      </c>
      <c r="AQ272">
        <f>VLOOKUP($AC272,'2017 Seattle Tracts'!$C$2:$Z$399,AQ$1,FALSE)*AA272</f>
        <v>0</v>
      </c>
      <c r="AR272">
        <f>VLOOKUP($AC272,'2017 Seattle Tracts'!$C$2:$Z$399,AR$1,FALSE)*AA272</f>
        <v>7.7536493760083855E-3</v>
      </c>
      <c r="AS272">
        <f>VLOOKUP($AC272,'2017 Seattle Tracts'!$C$2:$Z$399,AS$1,FALSE)*AA272</f>
        <v>7.1672389189993474E-3</v>
      </c>
      <c r="AT272">
        <f>VLOOKUP($AC272,'2017 Seattle Tracts'!$C$2:$Z$399,AT$1,FALSE)*AA272</f>
        <v>0</v>
      </c>
      <c r="AU272">
        <f>VLOOKUP($AC272,'2017 Seattle Tracts'!$C$2:$Z$399,AU$1,FALSE)*AA272</f>
        <v>0</v>
      </c>
      <c r="AV272">
        <f>VLOOKUP($AC272,'2017 Seattle Tracts'!$C$2:$Z$399,AV$1,FALSE)*AA272</f>
        <v>0</v>
      </c>
      <c r="AW272">
        <f>VLOOKUP($AC272,'2017 Seattle Tracts'!$C$2:$Z$399,AW$1,FALSE)*AA272</f>
        <v>0</v>
      </c>
      <c r="AX272">
        <f>VLOOKUP($AC272,'2017 Seattle Tracts'!$C$2:$Z$399,AX$1,FALSE)*AA272</f>
        <v>1.0164447921489983E-2</v>
      </c>
      <c r="AY272">
        <f>VLOOKUP($AC272,'2017 Seattle Tracts'!$C$2:$Z$399,AY$1,FALSE)*AA272</f>
        <v>5.2125373956358892E-4</v>
      </c>
    </row>
    <row r="273" spans="1:51" x14ac:dyDescent="0.25">
      <c r="A273" t="s">
        <v>2917</v>
      </c>
      <c r="B273" t="s">
        <v>2918</v>
      </c>
      <c r="C273" t="s">
        <v>3128</v>
      </c>
      <c r="D273" t="s">
        <v>2566</v>
      </c>
      <c r="E273" t="s">
        <v>2567</v>
      </c>
      <c r="F273" t="s">
        <v>2568</v>
      </c>
      <c r="G273" t="s">
        <v>2920</v>
      </c>
      <c r="H273" t="s">
        <v>2921</v>
      </c>
      <c r="I273">
        <v>1141569</v>
      </c>
      <c r="J273">
        <v>0</v>
      </c>
      <c r="K273" t="s">
        <v>3129</v>
      </c>
      <c r="L273" t="s">
        <v>3130</v>
      </c>
      <c r="M273">
        <v>1141571</v>
      </c>
      <c r="N273">
        <v>106</v>
      </c>
      <c r="O273">
        <v>22788.76</v>
      </c>
      <c r="P273" t="s">
        <v>207</v>
      </c>
      <c r="Q273">
        <v>3</v>
      </c>
      <c r="R273">
        <v>3</v>
      </c>
      <c r="S273">
        <v>19</v>
      </c>
      <c r="T273">
        <v>20441486</v>
      </c>
      <c r="U273">
        <v>108</v>
      </c>
      <c r="V273">
        <v>105</v>
      </c>
      <c r="W273">
        <v>22788.760382662011</v>
      </c>
      <c r="X273">
        <v>20441485.84874605</v>
      </c>
      <c r="Y273">
        <v>217891.606</v>
      </c>
      <c r="Z273">
        <f>VLOOKUP($AC273,'2017 Seattle Tracts'!$C$2:$Z$399,24,FALSE)</f>
        <v>1141570.7069999999</v>
      </c>
      <c r="AA273">
        <f t="shared" si="9"/>
        <v>0.19087000451562919</v>
      </c>
      <c r="AB273" t="s">
        <v>211</v>
      </c>
      <c r="AC273" t="str">
        <f t="shared" si="8"/>
        <v>Census Tract 8, King County, Washington</v>
      </c>
      <c r="AD273">
        <f>VLOOKUP($AC273,'2017 Seattle Tracts'!$C$2:$Z$399,AD$1,FALSE)*AA273</f>
        <v>492.82635165935454</v>
      </c>
      <c r="AE273">
        <f>VLOOKUP($AC273,'2017 Seattle Tracts'!$C$2:$Z$399,AE$1,FALSE)*AA273</f>
        <v>445.49059053947855</v>
      </c>
      <c r="AF273">
        <f>VLOOKUP($AC273,'2017 Seattle Tracts'!$C$2:$Z$399,AF$1,FALSE)*AA273</f>
        <v>47.33576111987604</v>
      </c>
      <c r="AG273">
        <f>VLOOKUP($AC273,'2017 Seattle Tracts'!$C$2:$Z$399,AG$1,FALSE)*AA273</f>
        <v>492.82635165935454</v>
      </c>
      <c r="AH273">
        <f>VLOOKUP($AC273,'2017 Seattle Tracts'!$C$2:$Z$399,AH$1,FALSE)*AA273</f>
        <v>445.49059053947855</v>
      </c>
      <c r="AI273">
        <f>VLOOKUP($AC273,'2017 Seattle Tracts'!$C$2:$Z$399,AI$1,FALSE)*AA273</f>
        <v>47.33576111987604</v>
      </c>
      <c r="AJ273">
        <f>VLOOKUP($AC273,'2017 Seattle Tracts'!$C$2:$Z$399,AJ$1,FALSE)*AA273</f>
        <v>380.59478900416462</v>
      </c>
      <c r="AK273">
        <f>VLOOKUP($AC273,'2017 Seattle Tracts'!$C$2:$Z$399,AK$1,FALSE)*AA273</f>
        <v>21.950050519297356</v>
      </c>
      <c r="AL273">
        <f>VLOOKUP($AC273,'2017 Seattle Tracts'!$C$2:$Z$399,AL$1,FALSE)*AA273</f>
        <v>0</v>
      </c>
      <c r="AM273">
        <f>VLOOKUP($AC273,'2017 Seattle Tracts'!$C$2:$Z$399,AM$1,FALSE)*AA273</f>
        <v>0</v>
      </c>
      <c r="AN273">
        <f>VLOOKUP($AC273,'2017 Seattle Tracts'!$C$2:$Z$399,AN$1,FALSE)*AA273</f>
        <v>12.406550293515897</v>
      </c>
      <c r="AO273">
        <f>VLOOKUP($AC273,'2017 Seattle Tracts'!$C$2:$Z$399,AO$1,FALSE)*AA273</f>
        <v>2.8630500677344379</v>
      </c>
      <c r="AP273">
        <f>VLOOKUP($AC273,'2017 Seattle Tracts'!$C$2:$Z$399,AP$1,FALSE)*AA273</f>
        <v>0</v>
      </c>
      <c r="AQ273">
        <f>VLOOKUP($AC273,'2017 Seattle Tracts'!$C$2:$Z$399,AQ$1,FALSE)*AA273</f>
        <v>0</v>
      </c>
      <c r="AR273">
        <f>VLOOKUP($AC273,'2017 Seattle Tracts'!$C$2:$Z$399,AR$1,FALSE)*AA273</f>
        <v>22.713530537359873</v>
      </c>
      <c r="AS273">
        <f>VLOOKUP($AC273,'2017 Seattle Tracts'!$C$2:$Z$399,AS$1,FALSE)*AA273</f>
        <v>20.995700496719209</v>
      </c>
      <c r="AT273">
        <f>VLOOKUP($AC273,'2017 Seattle Tracts'!$C$2:$Z$399,AT$1,FALSE)*AA273</f>
        <v>0</v>
      </c>
      <c r="AU273">
        <f>VLOOKUP($AC273,'2017 Seattle Tracts'!$C$2:$Z$399,AU$1,FALSE)*AA273</f>
        <v>0</v>
      </c>
      <c r="AV273">
        <f>VLOOKUP($AC273,'2017 Seattle Tracts'!$C$2:$Z$399,AV$1,FALSE)*AA273</f>
        <v>0</v>
      </c>
      <c r="AW273">
        <f>VLOOKUP($AC273,'2017 Seattle Tracts'!$C$2:$Z$399,AW$1,FALSE)*AA273</f>
        <v>0</v>
      </c>
      <c r="AX273">
        <f>VLOOKUP($AC273,'2017 Seattle Tracts'!$C$2:$Z$399,AX$1,FALSE)*AA273</f>
        <v>29.775720704438154</v>
      </c>
      <c r="AY273">
        <f>VLOOKUP($AC273,'2017 Seattle Tracts'!$C$2:$Z$399,AY$1,FALSE)*AA273</f>
        <v>1.5269600361250335</v>
      </c>
    </row>
    <row r="274" spans="1:51" x14ac:dyDescent="0.25">
      <c r="A274" t="s">
        <v>2917</v>
      </c>
      <c r="B274" t="s">
        <v>2918</v>
      </c>
      <c r="C274" t="s">
        <v>3131</v>
      </c>
      <c r="D274" t="s">
        <v>2791</v>
      </c>
      <c r="E274" t="s">
        <v>2792</v>
      </c>
      <c r="F274" t="s">
        <v>2793</v>
      </c>
      <c r="G274" t="s">
        <v>2920</v>
      </c>
      <c r="H274" t="s">
        <v>2921</v>
      </c>
      <c r="I274">
        <v>2137295</v>
      </c>
      <c r="J274">
        <v>211433</v>
      </c>
      <c r="K274" t="s">
        <v>3132</v>
      </c>
      <c r="L274" t="s">
        <v>3133</v>
      </c>
      <c r="M274">
        <v>2125862</v>
      </c>
      <c r="N274">
        <v>110</v>
      </c>
      <c r="O274">
        <v>34640.309000000001</v>
      </c>
      <c r="P274" t="s">
        <v>122</v>
      </c>
      <c r="Q274">
        <v>1</v>
      </c>
      <c r="R274">
        <v>2</v>
      </c>
      <c r="S274">
        <v>95</v>
      </c>
      <c r="T274">
        <v>48113448</v>
      </c>
      <c r="U274">
        <v>112</v>
      </c>
      <c r="V274">
        <v>100</v>
      </c>
      <c r="W274">
        <v>34640.309665739042</v>
      </c>
      <c r="X274">
        <v>48113449.730149508</v>
      </c>
      <c r="Y274">
        <v>663979.03799999994</v>
      </c>
      <c r="Z274">
        <f>VLOOKUP($AC274,'2017 Seattle Tracts'!$C$2:$Z$399,24,FALSE)</f>
        <v>2125862.452</v>
      </c>
      <c r="AA274">
        <f t="shared" si="9"/>
        <v>0.31233395997719987</v>
      </c>
      <c r="AB274" t="s">
        <v>212</v>
      </c>
      <c r="AC274" t="str">
        <f t="shared" si="8"/>
        <v>Census Tract 14, King County, Washington</v>
      </c>
      <c r="AD274">
        <f>VLOOKUP($AC274,'2017 Seattle Tracts'!$C$2:$Z$399,AD$1,FALSE)*AA274</f>
        <v>1733.4534778734592</v>
      </c>
      <c r="AE274">
        <f>VLOOKUP($AC274,'2017 Seattle Tracts'!$C$2:$Z$399,AE$1,FALSE)*AA274</f>
        <v>1424.2428574960313</v>
      </c>
      <c r="AF274">
        <f>VLOOKUP($AC274,'2017 Seattle Tracts'!$C$2:$Z$399,AF$1,FALSE)*AA274</f>
        <v>309.21062037742786</v>
      </c>
      <c r="AG274">
        <f>VLOOKUP($AC274,'2017 Seattle Tracts'!$C$2:$Z$399,AG$1,FALSE)*AA274</f>
        <v>1733.4534778734592</v>
      </c>
      <c r="AH274">
        <f>VLOOKUP($AC274,'2017 Seattle Tracts'!$C$2:$Z$399,AH$1,FALSE)*AA274</f>
        <v>1424.2428574960313</v>
      </c>
      <c r="AI274">
        <f>VLOOKUP($AC274,'2017 Seattle Tracts'!$C$2:$Z$399,AI$1,FALSE)*AA274</f>
        <v>309.21062037742786</v>
      </c>
      <c r="AJ274">
        <f>VLOOKUP($AC274,'2017 Seattle Tracts'!$C$2:$Z$399,AJ$1,FALSE)*AA274</f>
        <v>1195.6143987927212</v>
      </c>
      <c r="AK274">
        <f>VLOOKUP($AC274,'2017 Seattle Tracts'!$C$2:$Z$399,AK$1,FALSE)*AA274</f>
        <v>81.831497514026367</v>
      </c>
      <c r="AL274">
        <f>VLOOKUP($AC274,'2017 Seattle Tracts'!$C$2:$Z$399,AL$1,FALSE)*AA274</f>
        <v>28.422390357925188</v>
      </c>
      <c r="AM274">
        <f>VLOOKUP($AC274,'2017 Seattle Tracts'!$C$2:$Z$399,AM$1,FALSE)*AA274</f>
        <v>15.616697998859994</v>
      </c>
      <c r="AN274">
        <f>VLOOKUP($AC274,'2017 Seattle Tracts'!$C$2:$Z$399,AN$1,FALSE)*AA274</f>
        <v>12.493358399087995</v>
      </c>
      <c r="AO274">
        <f>VLOOKUP($AC274,'2017 Seattle Tracts'!$C$2:$Z$399,AO$1,FALSE)*AA274</f>
        <v>0</v>
      </c>
      <c r="AP274">
        <f>VLOOKUP($AC274,'2017 Seattle Tracts'!$C$2:$Z$399,AP$1,FALSE)*AA274</f>
        <v>12.181024439110795</v>
      </c>
      <c r="AQ274">
        <f>VLOOKUP($AC274,'2017 Seattle Tracts'!$C$2:$Z$399,AQ$1,FALSE)*AA274</f>
        <v>0</v>
      </c>
      <c r="AR274">
        <f>VLOOKUP($AC274,'2017 Seattle Tracts'!$C$2:$Z$399,AR$1,FALSE)*AA274</f>
        <v>36.855407277309588</v>
      </c>
      <c r="AS274">
        <f>VLOOKUP($AC274,'2017 Seattle Tracts'!$C$2:$Z$399,AS$1,FALSE)*AA274</f>
        <v>130.55559527046955</v>
      </c>
      <c r="AT274">
        <f>VLOOKUP($AC274,'2017 Seattle Tracts'!$C$2:$Z$399,AT$1,FALSE)*AA274</f>
        <v>0</v>
      </c>
      <c r="AU274">
        <f>VLOOKUP($AC274,'2017 Seattle Tracts'!$C$2:$Z$399,AU$1,FALSE)*AA274</f>
        <v>0</v>
      </c>
      <c r="AV274">
        <f>VLOOKUP($AC274,'2017 Seattle Tracts'!$C$2:$Z$399,AV$1,FALSE)*AA274</f>
        <v>31.545729957697187</v>
      </c>
      <c r="AW274">
        <f>VLOOKUP($AC274,'2017 Seattle Tracts'!$C$2:$Z$399,AW$1,FALSE)*AA274</f>
        <v>2.8110056397947987</v>
      </c>
      <c r="AX274">
        <f>VLOOKUP($AC274,'2017 Seattle Tracts'!$C$2:$Z$399,AX$1,FALSE)*AA274</f>
        <v>107.13054827217955</v>
      </c>
      <c r="AY274">
        <f>VLOOKUP($AC274,'2017 Seattle Tracts'!$C$2:$Z$399,AY$1,FALSE)*AA274</f>
        <v>78.395823954277162</v>
      </c>
    </row>
    <row r="275" spans="1:51" x14ac:dyDescent="0.25">
      <c r="A275" t="s">
        <v>2917</v>
      </c>
      <c r="B275" t="s">
        <v>2918</v>
      </c>
      <c r="C275" t="s">
        <v>3131</v>
      </c>
      <c r="D275" t="s">
        <v>2791</v>
      </c>
      <c r="E275" t="s">
        <v>2792</v>
      </c>
      <c r="F275" t="s">
        <v>2793</v>
      </c>
      <c r="G275" t="s">
        <v>2920</v>
      </c>
      <c r="H275" t="s">
        <v>2921</v>
      </c>
      <c r="I275">
        <v>2137295</v>
      </c>
      <c r="J275">
        <v>211433</v>
      </c>
      <c r="K275" t="s">
        <v>3132</v>
      </c>
      <c r="L275" t="s">
        <v>3133</v>
      </c>
      <c r="M275">
        <v>2125862</v>
      </c>
      <c r="N275">
        <v>111</v>
      </c>
      <c r="O275">
        <v>26446.203000000001</v>
      </c>
      <c r="P275" t="s">
        <v>122</v>
      </c>
      <c r="Q275">
        <v>1</v>
      </c>
      <c r="R275">
        <v>2</v>
      </c>
      <c r="S275">
        <v>23</v>
      </c>
      <c r="T275">
        <v>27690336</v>
      </c>
      <c r="U275">
        <v>113</v>
      </c>
      <c r="V275">
        <v>101</v>
      </c>
      <c r="W275">
        <v>26446.20305409377</v>
      </c>
      <c r="X275">
        <v>27690336.443909489</v>
      </c>
      <c r="Y275">
        <v>323403.59600000002</v>
      </c>
      <c r="Z275">
        <f>VLOOKUP($AC275,'2017 Seattle Tracts'!$C$2:$Z$399,24,FALSE)</f>
        <v>2125862.452</v>
      </c>
      <c r="AA275">
        <f t="shared" si="9"/>
        <v>0.15212818482011556</v>
      </c>
      <c r="AB275" t="s">
        <v>213</v>
      </c>
      <c r="AC275" t="str">
        <f t="shared" si="8"/>
        <v>Census Tract 14, King County, Washington</v>
      </c>
      <c r="AD275">
        <f>VLOOKUP($AC275,'2017 Seattle Tracts'!$C$2:$Z$399,AD$1,FALSE)*AA275</f>
        <v>844.31142575164131</v>
      </c>
      <c r="AE275">
        <f>VLOOKUP($AC275,'2017 Seattle Tracts'!$C$2:$Z$399,AE$1,FALSE)*AA275</f>
        <v>693.70452277972697</v>
      </c>
      <c r="AF275">
        <f>VLOOKUP($AC275,'2017 Seattle Tracts'!$C$2:$Z$399,AF$1,FALSE)*AA275</f>
        <v>150.60690297191439</v>
      </c>
      <c r="AG275">
        <f>VLOOKUP($AC275,'2017 Seattle Tracts'!$C$2:$Z$399,AG$1,FALSE)*AA275</f>
        <v>844.31142575164131</v>
      </c>
      <c r="AH275">
        <f>VLOOKUP($AC275,'2017 Seattle Tracts'!$C$2:$Z$399,AH$1,FALSE)*AA275</f>
        <v>693.70452277972697</v>
      </c>
      <c r="AI275">
        <f>VLOOKUP($AC275,'2017 Seattle Tracts'!$C$2:$Z$399,AI$1,FALSE)*AA275</f>
        <v>150.60690297191439</v>
      </c>
      <c r="AJ275">
        <f>VLOOKUP($AC275,'2017 Seattle Tracts'!$C$2:$Z$399,AJ$1,FALSE)*AA275</f>
        <v>582.34669149140234</v>
      </c>
      <c r="AK275">
        <f>VLOOKUP($AC275,'2017 Seattle Tracts'!$C$2:$Z$399,AK$1,FALSE)*AA275</f>
        <v>39.857584422870275</v>
      </c>
      <c r="AL275">
        <f>VLOOKUP($AC275,'2017 Seattle Tracts'!$C$2:$Z$399,AL$1,FALSE)*AA275</f>
        <v>13.843664818630517</v>
      </c>
      <c r="AM275">
        <f>VLOOKUP($AC275,'2017 Seattle Tracts'!$C$2:$Z$399,AM$1,FALSE)*AA275</f>
        <v>7.6064092410057782</v>
      </c>
      <c r="AN275">
        <f>VLOOKUP($AC275,'2017 Seattle Tracts'!$C$2:$Z$399,AN$1,FALSE)*AA275</f>
        <v>6.0851273928046226</v>
      </c>
      <c r="AO275">
        <f>VLOOKUP($AC275,'2017 Seattle Tracts'!$C$2:$Z$399,AO$1,FALSE)*AA275</f>
        <v>0</v>
      </c>
      <c r="AP275">
        <f>VLOOKUP($AC275,'2017 Seattle Tracts'!$C$2:$Z$399,AP$1,FALSE)*AA275</f>
        <v>5.9329992079845066</v>
      </c>
      <c r="AQ275">
        <f>VLOOKUP($AC275,'2017 Seattle Tracts'!$C$2:$Z$399,AQ$1,FALSE)*AA275</f>
        <v>0</v>
      </c>
      <c r="AR275">
        <f>VLOOKUP($AC275,'2017 Seattle Tracts'!$C$2:$Z$399,AR$1,FALSE)*AA275</f>
        <v>17.951125808773636</v>
      </c>
      <c r="AS275">
        <f>VLOOKUP($AC275,'2017 Seattle Tracts'!$C$2:$Z$399,AS$1,FALSE)*AA275</f>
        <v>63.589581254808301</v>
      </c>
      <c r="AT275">
        <f>VLOOKUP($AC275,'2017 Seattle Tracts'!$C$2:$Z$399,AT$1,FALSE)*AA275</f>
        <v>0</v>
      </c>
      <c r="AU275">
        <f>VLOOKUP($AC275,'2017 Seattle Tracts'!$C$2:$Z$399,AU$1,FALSE)*AA275</f>
        <v>0</v>
      </c>
      <c r="AV275">
        <f>VLOOKUP($AC275,'2017 Seattle Tracts'!$C$2:$Z$399,AV$1,FALSE)*AA275</f>
        <v>15.364946666831671</v>
      </c>
      <c r="AW275">
        <f>VLOOKUP($AC275,'2017 Seattle Tracts'!$C$2:$Z$399,AW$1,FALSE)*AA275</f>
        <v>1.3691536633810399</v>
      </c>
      <c r="AX275">
        <f>VLOOKUP($AC275,'2017 Seattle Tracts'!$C$2:$Z$399,AX$1,FALSE)*AA275</f>
        <v>52.179967393299634</v>
      </c>
      <c r="AY275">
        <f>VLOOKUP($AC275,'2017 Seattle Tracts'!$C$2:$Z$399,AY$1,FALSE)*AA275</f>
        <v>38.184174389849005</v>
      </c>
    </row>
    <row r="276" spans="1:51" x14ac:dyDescent="0.25">
      <c r="A276" t="s">
        <v>2917</v>
      </c>
      <c r="B276" t="s">
        <v>2918</v>
      </c>
      <c r="C276" t="s">
        <v>3131</v>
      </c>
      <c r="D276" t="s">
        <v>2791</v>
      </c>
      <c r="E276" t="s">
        <v>2792</v>
      </c>
      <c r="F276" t="s">
        <v>2793</v>
      </c>
      <c r="G276" t="s">
        <v>2920</v>
      </c>
      <c r="H276" t="s">
        <v>2921</v>
      </c>
      <c r="I276">
        <v>2137295</v>
      </c>
      <c r="J276">
        <v>211433</v>
      </c>
      <c r="K276" t="s">
        <v>3132</v>
      </c>
      <c r="L276" t="s">
        <v>3133</v>
      </c>
      <c r="M276">
        <v>2125862</v>
      </c>
      <c r="N276">
        <v>114</v>
      </c>
      <c r="O276">
        <v>32947.805</v>
      </c>
      <c r="P276" t="s">
        <v>122</v>
      </c>
      <c r="Q276">
        <v>1</v>
      </c>
      <c r="R276">
        <v>2</v>
      </c>
      <c r="S276">
        <v>33</v>
      </c>
      <c r="T276">
        <v>31062266</v>
      </c>
      <c r="U276">
        <v>116</v>
      </c>
      <c r="V276">
        <v>109</v>
      </c>
      <c r="W276">
        <v>32947.805911989883</v>
      </c>
      <c r="X276">
        <v>31062264.991369769</v>
      </c>
      <c r="Y276">
        <v>391952.39</v>
      </c>
      <c r="Z276">
        <f>VLOOKUP($AC276,'2017 Seattle Tracts'!$C$2:$Z$399,24,FALSE)</f>
        <v>2125862.452</v>
      </c>
      <c r="AA276">
        <f t="shared" si="9"/>
        <v>0.18437335380341907</v>
      </c>
      <c r="AB276" t="s">
        <v>217</v>
      </c>
      <c r="AC276" t="str">
        <f t="shared" si="8"/>
        <v>Census Tract 14, King County, Washington</v>
      </c>
      <c r="AD276">
        <f>VLOOKUP($AC276,'2017 Seattle Tracts'!$C$2:$Z$399,AD$1,FALSE)*AA276</f>
        <v>1023.2721136089758</v>
      </c>
      <c r="AE276">
        <f>VLOOKUP($AC276,'2017 Seattle Tracts'!$C$2:$Z$399,AE$1,FALSE)*AA276</f>
        <v>840.74249334359092</v>
      </c>
      <c r="AF276">
        <f>VLOOKUP($AC276,'2017 Seattle Tracts'!$C$2:$Z$399,AF$1,FALSE)*AA276</f>
        <v>182.52962026538489</v>
      </c>
      <c r="AG276">
        <f>VLOOKUP($AC276,'2017 Seattle Tracts'!$C$2:$Z$399,AG$1,FALSE)*AA276</f>
        <v>1023.2721136089758</v>
      </c>
      <c r="AH276">
        <f>VLOOKUP($AC276,'2017 Seattle Tracts'!$C$2:$Z$399,AH$1,FALSE)*AA276</f>
        <v>840.74249334359092</v>
      </c>
      <c r="AI276">
        <f>VLOOKUP($AC276,'2017 Seattle Tracts'!$C$2:$Z$399,AI$1,FALSE)*AA276</f>
        <v>182.52962026538489</v>
      </c>
      <c r="AJ276">
        <f>VLOOKUP($AC276,'2017 Seattle Tracts'!$C$2:$Z$399,AJ$1,FALSE)*AA276</f>
        <v>705.78119835948826</v>
      </c>
      <c r="AK276">
        <f>VLOOKUP($AC276,'2017 Seattle Tracts'!$C$2:$Z$399,AK$1,FALSE)*AA276</f>
        <v>48.305818696495798</v>
      </c>
      <c r="AL276">
        <f>VLOOKUP($AC276,'2017 Seattle Tracts'!$C$2:$Z$399,AL$1,FALSE)*AA276</f>
        <v>16.777975196111136</v>
      </c>
      <c r="AM276">
        <f>VLOOKUP($AC276,'2017 Seattle Tracts'!$C$2:$Z$399,AM$1,FALSE)*AA276</f>
        <v>9.2186676901709532</v>
      </c>
      <c r="AN276">
        <f>VLOOKUP($AC276,'2017 Seattle Tracts'!$C$2:$Z$399,AN$1,FALSE)*AA276</f>
        <v>7.3749341521367633</v>
      </c>
      <c r="AO276">
        <f>VLOOKUP($AC276,'2017 Seattle Tracts'!$C$2:$Z$399,AO$1,FALSE)*AA276</f>
        <v>0</v>
      </c>
      <c r="AP276">
        <f>VLOOKUP($AC276,'2017 Seattle Tracts'!$C$2:$Z$399,AP$1,FALSE)*AA276</f>
        <v>7.1905607983333439</v>
      </c>
      <c r="AQ276">
        <f>VLOOKUP($AC276,'2017 Seattle Tracts'!$C$2:$Z$399,AQ$1,FALSE)*AA276</f>
        <v>0</v>
      </c>
      <c r="AR276">
        <f>VLOOKUP($AC276,'2017 Seattle Tracts'!$C$2:$Z$399,AR$1,FALSE)*AA276</f>
        <v>21.756055748803451</v>
      </c>
      <c r="AS276">
        <f>VLOOKUP($AC276,'2017 Seattle Tracts'!$C$2:$Z$399,AS$1,FALSE)*AA276</f>
        <v>77.068061889829167</v>
      </c>
      <c r="AT276">
        <f>VLOOKUP($AC276,'2017 Seattle Tracts'!$C$2:$Z$399,AT$1,FALSE)*AA276</f>
        <v>0</v>
      </c>
      <c r="AU276">
        <f>VLOOKUP($AC276,'2017 Seattle Tracts'!$C$2:$Z$399,AU$1,FALSE)*AA276</f>
        <v>0</v>
      </c>
      <c r="AV276">
        <f>VLOOKUP($AC276,'2017 Seattle Tracts'!$C$2:$Z$399,AV$1,FALSE)*AA276</f>
        <v>18.621708734145326</v>
      </c>
      <c r="AW276">
        <f>VLOOKUP($AC276,'2017 Seattle Tracts'!$C$2:$Z$399,AW$1,FALSE)*AA276</f>
        <v>1.6593601842307717</v>
      </c>
      <c r="AX276">
        <f>VLOOKUP($AC276,'2017 Seattle Tracts'!$C$2:$Z$399,AX$1,FALSE)*AA276</f>
        <v>63.240060354572741</v>
      </c>
      <c r="AY276">
        <f>VLOOKUP($AC276,'2017 Seattle Tracts'!$C$2:$Z$399,AY$1,FALSE)*AA276</f>
        <v>46.277711804658189</v>
      </c>
    </row>
    <row r="277" spans="1:51" x14ac:dyDescent="0.25">
      <c r="A277" t="s">
        <v>2917</v>
      </c>
      <c r="B277" t="s">
        <v>2918</v>
      </c>
      <c r="C277" t="s">
        <v>3131</v>
      </c>
      <c r="D277" t="s">
        <v>2791</v>
      </c>
      <c r="E277" t="s">
        <v>2792</v>
      </c>
      <c r="F277" t="s">
        <v>2793</v>
      </c>
      <c r="G277" t="s">
        <v>2920</v>
      </c>
      <c r="H277" t="s">
        <v>2921</v>
      </c>
      <c r="I277">
        <v>2137295</v>
      </c>
      <c r="J277">
        <v>211433</v>
      </c>
      <c r="K277" t="s">
        <v>3132</v>
      </c>
      <c r="L277" t="s">
        <v>3133</v>
      </c>
      <c r="M277">
        <v>2125862</v>
      </c>
      <c r="N277">
        <v>117</v>
      </c>
      <c r="O277">
        <v>18997.809000000001</v>
      </c>
      <c r="P277" t="s">
        <v>122</v>
      </c>
      <c r="Q277">
        <v>1</v>
      </c>
      <c r="R277">
        <v>2</v>
      </c>
      <c r="S277">
        <v>95</v>
      </c>
      <c r="T277">
        <v>15865750</v>
      </c>
      <c r="U277">
        <v>119</v>
      </c>
      <c r="V277">
        <v>113</v>
      </c>
      <c r="W277">
        <v>18997.808037941071</v>
      </c>
      <c r="X277">
        <v>15865750.419753481</v>
      </c>
      <c r="Y277">
        <v>503676.40899999999</v>
      </c>
      <c r="Z277">
        <f>VLOOKUP($AC277,'2017 Seattle Tracts'!$C$2:$Z$399,24,FALSE)</f>
        <v>2125862.452</v>
      </c>
      <c r="AA277">
        <f t="shared" si="9"/>
        <v>0.23692803291489717</v>
      </c>
      <c r="AB277" t="s">
        <v>220</v>
      </c>
      <c r="AC277" t="str">
        <f t="shared" si="8"/>
        <v>Census Tract 14, King County, Washington</v>
      </c>
      <c r="AD277">
        <f>VLOOKUP($AC277,'2017 Seattle Tracts'!$C$2:$Z$399,AD$1,FALSE)*AA277</f>
        <v>1314.9505826776792</v>
      </c>
      <c r="AE277">
        <f>VLOOKUP($AC277,'2017 Seattle Tracts'!$C$2:$Z$399,AE$1,FALSE)*AA277</f>
        <v>1080.3918300919311</v>
      </c>
      <c r="AF277">
        <f>VLOOKUP($AC277,'2017 Seattle Tracts'!$C$2:$Z$399,AF$1,FALSE)*AA277</f>
        <v>234.55875258574821</v>
      </c>
      <c r="AG277">
        <f>VLOOKUP($AC277,'2017 Seattle Tracts'!$C$2:$Z$399,AG$1,FALSE)*AA277</f>
        <v>1314.9505826776792</v>
      </c>
      <c r="AH277">
        <f>VLOOKUP($AC277,'2017 Seattle Tracts'!$C$2:$Z$399,AH$1,FALSE)*AA277</f>
        <v>1080.3918300919311</v>
      </c>
      <c r="AI277">
        <f>VLOOKUP($AC277,'2017 Seattle Tracts'!$C$2:$Z$399,AI$1,FALSE)*AA277</f>
        <v>234.55875258574821</v>
      </c>
      <c r="AJ277">
        <f>VLOOKUP($AC277,'2017 Seattle Tracts'!$C$2:$Z$399,AJ$1,FALSE)*AA277</f>
        <v>906.96050999822637</v>
      </c>
      <c r="AK277">
        <f>VLOOKUP($AC277,'2017 Seattle Tracts'!$C$2:$Z$399,AK$1,FALSE)*AA277</f>
        <v>62.075144623703061</v>
      </c>
      <c r="AL277">
        <f>VLOOKUP($AC277,'2017 Seattle Tracts'!$C$2:$Z$399,AL$1,FALSE)*AA277</f>
        <v>21.560450995255643</v>
      </c>
      <c r="AM277">
        <f>VLOOKUP($AC277,'2017 Seattle Tracts'!$C$2:$Z$399,AM$1,FALSE)*AA277</f>
        <v>11.846401645744859</v>
      </c>
      <c r="AN277">
        <f>VLOOKUP($AC277,'2017 Seattle Tracts'!$C$2:$Z$399,AN$1,FALSE)*AA277</f>
        <v>9.4771213165958876</v>
      </c>
      <c r="AO277">
        <f>VLOOKUP($AC277,'2017 Seattle Tracts'!$C$2:$Z$399,AO$1,FALSE)*AA277</f>
        <v>0</v>
      </c>
      <c r="AP277">
        <f>VLOOKUP($AC277,'2017 Seattle Tracts'!$C$2:$Z$399,AP$1,FALSE)*AA277</f>
        <v>9.2401932836809895</v>
      </c>
      <c r="AQ277">
        <f>VLOOKUP($AC277,'2017 Seattle Tracts'!$C$2:$Z$399,AQ$1,FALSE)*AA277</f>
        <v>0</v>
      </c>
      <c r="AR277">
        <f>VLOOKUP($AC277,'2017 Seattle Tracts'!$C$2:$Z$399,AR$1,FALSE)*AA277</f>
        <v>27.957507883957867</v>
      </c>
      <c r="AS277">
        <f>VLOOKUP($AC277,'2017 Seattle Tracts'!$C$2:$Z$399,AS$1,FALSE)*AA277</f>
        <v>99.035917758427018</v>
      </c>
      <c r="AT277">
        <f>VLOOKUP($AC277,'2017 Seattle Tracts'!$C$2:$Z$399,AT$1,FALSE)*AA277</f>
        <v>0</v>
      </c>
      <c r="AU277">
        <f>VLOOKUP($AC277,'2017 Seattle Tracts'!$C$2:$Z$399,AU$1,FALSE)*AA277</f>
        <v>0</v>
      </c>
      <c r="AV277">
        <f>VLOOKUP($AC277,'2017 Seattle Tracts'!$C$2:$Z$399,AV$1,FALSE)*AA277</f>
        <v>23.929731324404614</v>
      </c>
      <c r="AW277">
        <f>VLOOKUP($AC277,'2017 Seattle Tracts'!$C$2:$Z$399,AW$1,FALSE)*AA277</f>
        <v>2.1323522962340746</v>
      </c>
      <c r="AX277">
        <f>VLOOKUP($AC277,'2017 Seattle Tracts'!$C$2:$Z$399,AX$1,FALSE)*AA277</f>
        <v>81.266315289809725</v>
      </c>
      <c r="AY277">
        <f>VLOOKUP($AC277,'2017 Seattle Tracts'!$C$2:$Z$399,AY$1,FALSE)*AA277</f>
        <v>59.468936261639186</v>
      </c>
    </row>
    <row r="278" spans="1:51" x14ac:dyDescent="0.25">
      <c r="A278" t="s">
        <v>2917</v>
      </c>
      <c r="B278" t="s">
        <v>2918</v>
      </c>
      <c r="C278" t="s">
        <v>3131</v>
      </c>
      <c r="D278" t="s">
        <v>2791</v>
      </c>
      <c r="E278" t="s">
        <v>2792</v>
      </c>
      <c r="F278" t="s">
        <v>2793</v>
      </c>
      <c r="G278" t="s">
        <v>2920</v>
      </c>
      <c r="H278" t="s">
        <v>2921</v>
      </c>
      <c r="I278">
        <v>2137295</v>
      </c>
      <c r="J278">
        <v>211433</v>
      </c>
      <c r="K278" t="s">
        <v>3132</v>
      </c>
      <c r="L278" t="s">
        <v>3133</v>
      </c>
      <c r="M278">
        <v>2125862</v>
      </c>
      <c r="N278">
        <v>118</v>
      </c>
      <c r="O278">
        <v>26501.526999999998</v>
      </c>
      <c r="P278" t="s">
        <v>122</v>
      </c>
      <c r="Q278">
        <v>1</v>
      </c>
      <c r="R278">
        <v>2</v>
      </c>
      <c r="S278">
        <v>19</v>
      </c>
      <c r="T278">
        <v>42044564</v>
      </c>
      <c r="U278">
        <v>120</v>
      </c>
      <c r="V278">
        <v>115</v>
      </c>
      <c r="W278">
        <v>26501.526591104928</v>
      </c>
      <c r="X278">
        <v>42044563.673184253</v>
      </c>
      <c r="Y278">
        <v>242360.06099999999</v>
      </c>
      <c r="Z278">
        <f>VLOOKUP($AC278,'2017 Seattle Tracts'!$C$2:$Z$399,24,FALSE)</f>
        <v>2125862.452</v>
      </c>
      <c r="AA278">
        <f t="shared" si="9"/>
        <v>0.11400552315696104</v>
      </c>
      <c r="AB278" t="s">
        <v>221</v>
      </c>
      <c r="AC278" t="str">
        <f t="shared" si="8"/>
        <v>Census Tract 14, King County, Washington</v>
      </c>
      <c r="AD278">
        <f>VLOOKUP($AC278,'2017 Seattle Tracts'!$C$2:$Z$399,AD$1,FALSE)*AA278</f>
        <v>632.73065352113372</v>
      </c>
      <c r="AE278">
        <f>VLOOKUP($AC278,'2017 Seattle Tracts'!$C$2:$Z$399,AE$1,FALSE)*AA278</f>
        <v>519.86518559574233</v>
      </c>
      <c r="AF278">
        <f>VLOOKUP($AC278,'2017 Seattle Tracts'!$C$2:$Z$399,AF$1,FALSE)*AA278</f>
        <v>112.86546792539143</v>
      </c>
      <c r="AG278">
        <f>VLOOKUP($AC278,'2017 Seattle Tracts'!$C$2:$Z$399,AG$1,FALSE)*AA278</f>
        <v>632.73065352113372</v>
      </c>
      <c r="AH278">
        <f>VLOOKUP($AC278,'2017 Seattle Tracts'!$C$2:$Z$399,AH$1,FALSE)*AA278</f>
        <v>519.86518559574233</v>
      </c>
      <c r="AI278">
        <f>VLOOKUP($AC278,'2017 Seattle Tracts'!$C$2:$Z$399,AI$1,FALSE)*AA278</f>
        <v>112.86546792539143</v>
      </c>
      <c r="AJ278">
        <f>VLOOKUP($AC278,'2017 Seattle Tracts'!$C$2:$Z$399,AJ$1,FALSE)*AA278</f>
        <v>436.41314264484686</v>
      </c>
      <c r="AK278">
        <f>VLOOKUP($AC278,'2017 Seattle Tracts'!$C$2:$Z$399,AK$1,FALSE)*AA278</f>
        <v>29.869447067123794</v>
      </c>
      <c r="AL278">
        <f>VLOOKUP($AC278,'2017 Seattle Tracts'!$C$2:$Z$399,AL$1,FALSE)*AA278</f>
        <v>10.374502607283455</v>
      </c>
      <c r="AM278">
        <f>VLOOKUP($AC278,'2017 Seattle Tracts'!$C$2:$Z$399,AM$1,FALSE)*AA278</f>
        <v>5.7002761578480516</v>
      </c>
      <c r="AN278">
        <f>VLOOKUP($AC278,'2017 Seattle Tracts'!$C$2:$Z$399,AN$1,FALSE)*AA278</f>
        <v>4.5602209262784417</v>
      </c>
      <c r="AO278">
        <f>VLOOKUP($AC278,'2017 Seattle Tracts'!$C$2:$Z$399,AO$1,FALSE)*AA278</f>
        <v>0</v>
      </c>
      <c r="AP278">
        <f>VLOOKUP($AC278,'2017 Seattle Tracts'!$C$2:$Z$399,AP$1,FALSE)*AA278</f>
        <v>4.4462154031214807</v>
      </c>
      <c r="AQ278">
        <f>VLOOKUP($AC278,'2017 Seattle Tracts'!$C$2:$Z$399,AQ$1,FALSE)*AA278</f>
        <v>0</v>
      </c>
      <c r="AR278">
        <f>VLOOKUP($AC278,'2017 Seattle Tracts'!$C$2:$Z$399,AR$1,FALSE)*AA278</f>
        <v>13.452651732521403</v>
      </c>
      <c r="AS278">
        <f>VLOOKUP($AC278,'2017 Seattle Tracts'!$C$2:$Z$399,AS$1,FALSE)*AA278</f>
        <v>47.654308679609713</v>
      </c>
      <c r="AT278">
        <f>VLOOKUP($AC278,'2017 Seattle Tracts'!$C$2:$Z$399,AT$1,FALSE)*AA278</f>
        <v>0</v>
      </c>
      <c r="AU278">
        <f>VLOOKUP($AC278,'2017 Seattle Tracts'!$C$2:$Z$399,AU$1,FALSE)*AA278</f>
        <v>0</v>
      </c>
      <c r="AV278">
        <f>VLOOKUP($AC278,'2017 Seattle Tracts'!$C$2:$Z$399,AV$1,FALSE)*AA278</f>
        <v>11.514557838853065</v>
      </c>
      <c r="AW278">
        <f>VLOOKUP($AC278,'2017 Seattle Tracts'!$C$2:$Z$399,AW$1,FALSE)*AA278</f>
        <v>1.0260497084126494</v>
      </c>
      <c r="AX278">
        <f>VLOOKUP($AC278,'2017 Seattle Tracts'!$C$2:$Z$399,AX$1,FALSE)*AA278</f>
        <v>39.103894442837635</v>
      </c>
      <c r="AY278">
        <f>VLOOKUP($AC278,'2017 Seattle Tracts'!$C$2:$Z$399,AY$1,FALSE)*AA278</f>
        <v>28.61538631239722</v>
      </c>
    </row>
    <row r="279" spans="1:51" x14ac:dyDescent="0.25">
      <c r="A279" t="s">
        <v>2917</v>
      </c>
      <c r="B279" t="s">
        <v>2918</v>
      </c>
      <c r="C279" t="s">
        <v>3134</v>
      </c>
      <c r="D279" t="s">
        <v>2785</v>
      </c>
      <c r="E279" t="s">
        <v>2786</v>
      </c>
      <c r="F279" t="s">
        <v>2787</v>
      </c>
      <c r="G279" t="s">
        <v>2920</v>
      </c>
      <c r="H279" t="s">
        <v>2921</v>
      </c>
      <c r="I279">
        <v>2041026</v>
      </c>
      <c r="J279">
        <v>457717</v>
      </c>
      <c r="K279" t="s">
        <v>3135</v>
      </c>
      <c r="L279" t="s">
        <v>3136</v>
      </c>
      <c r="M279">
        <v>1924342</v>
      </c>
      <c r="N279">
        <v>27</v>
      </c>
      <c r="O279">
        <v>18831.009999999998</v>
      </c>
      <c r="P279" t="s">
        <v>117</v>
      </c>
      <c r="Q279">
        <v>7</v>
      </c>
      <c r="R279">
        <v>11</v>
      </c>
      <c r="S279">
        <v>23</v>
      </c>
      <c r="T279">
        <v>21320656</v>
      </c>
      <c r="U279">
        <v>29</v>
      </c>
      <c r="V279">
        <v>120</v>
      </c>
      <c r="W279">
        <v>18831.00959636999</v>
      </c>
      <c r="X279">
        <v>21320655.545531079</v>
      </c>
      <c r="Y279">
        <v>231.42599999999999</v>
      </c>
      <c r="Z279">
        <f>VLOOKUP($AC279,'2017 Seattle Tracts'!$C$2:$Z$399,24,FALSE)</f>
        <v>1924342.523</v>
      </c>
      <c r="AA279">
        <f t="shared" si="9"/>
        <v>1.2026237389340275E-4</v>
      </c>
      <c r="AB279" t="s">
        <v>116</v>
      </c>
      <c r="AC279" t="str">
        <f t="shared" si="8"/>
        <v>Census Tract 16, King County, Washington</v>
      </c>
      <c r="AD279">
        <f>VLOOKUP($AC279,'2017 Seattle Tracts'!$C$2:$Z$399,AD$1,FALSE)*AA279</f>
        <v>0.55356770703133285</v>
      </c>
      <c r="AE279">
        <f>VLOOKUP($AC279,'2017 Seattle Tracts'!$C$2:$Z$399,AE$1,FALSE)*AA279</f>
        <v>0.49848753978815441</v>
      </c>
      <c r="AF279">
        <f>VLOOKUP($AC279,'2017 Seattle Tracts'!$C$2:$Z$399,AF$1,FALSE)*AA279</f>
        <v>5.5080167243178463E-2</v>
      </c>
      <c r="AG279">
        <f>VLOOKUP($AC279,'2017 Seattle Tracts'!$C$2:$Z$399,AG$1,FALSE)*AA279</f>
        <v>0.55356770703133285</v>
      </c>
      <c r="AH279">
        <f>VLOOKUP($AC279,'2017 Seattle Tracts'!$C$2:$Z$399,AH$1,FALSE)*AA279</f>
        <v>0.49848753978815441</v>
      </c>
      <c r="AI279">
        <f>VLOOKUP($AC279,'2017 Seattle Tracts'!$C$2:$Z$399,AI$1,FALSE)*AA279</f>
        <v>5.5080167243178463E-2</v>
      </c>
      <c r="AJ279">
        <f>VLOOKUP($AC279,'2017 Seattle Tracts'!$C$2:$Z$399,AJ$1,FALSE)*AA279</f>
        <v>0.41815227402736138</v>
      </c>
      <c r="AK279">
        <f>VLOOKUP($AC279,'2017 Seattle Tracts'!$C$2:$Z$399,AK$1,FALSE)*AA279</f>
        <v>4.0047370506503116E-2</v>
      </c>
      <c r="AL279">
        <f>VLOOKUP($AC279,'2017 Seattle Tracts'!$C$2:$Z$399,AL$1,FALSE)*AA279</f>
        <v>9.6209899114722205E-3</v>
      </c>
      <c r="AM279">
        <f>VLOOKUP($AC279,'2017 Seattle Tracts'!$C$2:$Z$399,AM$1,FALSE)*AA279</f>
        <v>1.924197982294444E-3</v>
      </c>
      <c r="AN279">
        <f>VLOOKUP($AC279,'2017 Seattle Tracts'!$C$2:$Z$399,AN$1,FALSE)*AA279</f>
        <v>5.0510197035229156E-3</v>
      </c>
      <c r="AO279">
        <f>VLOOKUP($AC279,'2017 Seattle Tracts'!$C$2:$Z$399,AO$1,FALSE)*AA279</f>
        <v>0</v>
      </c>
      <c r="AP279">
        <f>VLOOKUP($AC279,'2017 Seattle Tracts'!$C$2:$Z$399,AP$1,FALSE)*AA279</f>
        <v>1.4431484867208329E-3</v>
      </c>
      <c r="AQ279">
        <f>VLOOKUP($AC279,'2017 Seattle Tracts'!$C$2:$Z$399,AQ$1,FALSE)*AA279</f>
        <v>0</v>
      </c>
      <c r="AR279">
        <f>VLOOKUP($AC279,'2017 Seattle Tracts'!$C$2:$Z$399,AR$1,FALSE)*AA279</f>
        <v>2.2729588665853121E-2</v>
      </c>
      <c r="AS279">
        <f>VLOOKUP($AC279,'2017 Seattle Tracts'!$C$2:$Z$399,AS$1,FALSE)*AA279</f>
        <v>1.2747811632700692E-2</v>
      </c>
      <c r="AT279">
        <f>VLOOKUP($AC279,'2017 Seattle Tracts'!$C$2:$Z$399,AT$1,FALSE)*AA279</f>
        <v>0</v>
      </c>
      <c r="AU279">
        <f>VLOOKUP($AC279,'2017 Seattle Tracts'!$C$2:$Z$399,AU$1,FALSE)*AA279</f>
        <v>0</v>
      </c>
      <c r="AV279">
        <f>VLOOKUP($AC279,'2017 Seattle Tracts'!$C$2:$Z$399,AV$1,FALSE)*AA279</f>
        <v>1.0823613650406247E-3</v>
      </c>
      <c r="AW279">
        <f>VLOOKUP($AC279,'2017 Seattle Tracts'!$C$2:$Z$399,AW$1,FALSE)*AA279</f>
        <v>3.6078712168020823E-4</v>
      </c>
      <c r="AX279">
        <f>VLOOKUP($AC279,'2017 Seattle Tracts'!$C$2:$Z$399,AX$1,FALSE)*AA279</f>
        <v>4.0408157628183325E-2</v>
      </c>
      <c r="AY279">
        <f>VLOOKUP($AC279,'2017 Seattle Tracts'!$C$2:$Z$399,AY$1,FALSE)*AA279</f>
        <v>0</v>
      </c>
    </row>
    <row r="280" spans="1:51" x14ac:dyDescent="0.25">
      <c r="A280" t="s">
        <v>2917</v>
      </c>
      <c r="B280" t="s">
        <v>2918</v>
      </c>
      <c r="C280" t="s">
        <v>3134</v>
      </c>
      <c r="D280" t="s">
        <v>2785</v>
      </c>
      <c r="E280" t="s">
        <v>2786</v>
      </c>
      <c r="F280" t="s">
        <v>2787</v>
      </c>
      <c r="G280" t="s">
        <v>2920</v>
      </c>
      <c r="H280" t="s">
        <v>2921</v>
      </c>
      <c r="I280">
        <v>2041026</v>
      </c>
      <c r="J280">
        <v>457717</v>
      </c>
      <c r="K280" t="s">
        <v>3135</v>
      </c>
      <c r="L280" t="s">
        <v>3136</v>
      </c>
      <c r="M280">
        <v>1924342</v>
      </c>
      <c r="N280">
        <v>29</v>
      </c>
      <c r="O280">
        <v>15934.439</v>
      </c>
      <c r="P280" t="s">
        <v>117</v>
      </c>
      <c r="Q280">
        <v>7</v>
      </c>
      <c r="R280">
        <v>11</v>
      </c>
      <c r="S280">
        <v>24</v>
      </c>
      <c r="T280">
        <v>14195687</v>
      </c>
      <c r="U280">
        <v>31</v>
      </c>
      <c r="V280">
        <v>121</v>
      </c>
      <c r="W280">
        <v>15934.4392663199</v>
      </c>
      <c r="X280">
        <v>14195687.491917299</v>
      </c>
      <c r="Y280">
        <v>33.731000000000002</v>
      </c>
      <c r="Z280">
        <f>VLOOKUP($AC280,'2017 Seattle Tracts'!$C$2:$Z$399,24,FALSE)</f>
        <v>1924342.523</v>
      </c>
      <c r="AA280">
        <f t="shared" si="9"/>
        <v>1.7528584229076977E-5</v>
      </c>
      <c r="AB280" t="s">
        <v>119</v>
      </c>
      <c r="AC280" t="str">
        <f t="shared" si="8"/>
        <v>Census Tract 16, King County, Washington</v>
      </c>
      <c r="AD280">
        <f>VLOOKUP($AC280,'2017 Seattle Tracts'!$C$2:$Z$399,AD$1,FALSE)*AA280</f>
        <v>8.0684073206441331E-2</v>
      </c>
      <c r="AE280">
        <f>VLOOKUP($AC280,'2017 Seattle Tracts'!$C$2:$Z$399,AE$1,FALSE)*AA280</f>
        <v>7.2655981629524066E-2</v>
      </c>
      <c r="AF280">
        <f>VLOOKUP($AC280,'2017 Seattle Tracts'!$C$2:$Z$399,AF$1,FALSE)*AA280</f>
        <v>8.0280915769172564E-3</v>
      </c>
      <c r="AG280">
        <f>VLOOKUP($AC280,'2017 Seattle Tracts'!$C$2:$Z$399,AG$1,FALSE)*AA280</f>
        <v>8.0684073206441331E-2</v>
      </c>
      <c r="AH280">
        <f>VLOOKUP($AC280,'2017 Seattle Tracts'!$C$2:$Z$399,AH$1,FALSE)*AA280</f>
        <v>7.2655981629524066E-2</v>
      </c>
      <c r="AI280">
        <f>VLOOKUP($AC280,'2017 Seattle Tracts'!$C$2:$Z$399,AI$1,FALSE)*AA280</f>
        <v>8.0280915769172564E-3</v>
      </c>
      <c r="AJ280">
        <f>VLOOKUP($AC280,'2017 Seattle Tracts'!$C$2:$Z$399,AJ$1,FALSE)*AA280</f>
        <v>6.094688736450065E-2</v>
      </c>
      <c r="AK280">
        <f>VLOOKUP($AC280,'2017 Seattle Tracts'!$C$2:$Z$399,AK$1,FALSE)*AA280</f>
        <v>5.8370185482826331E-3</v>
      </c>
      <c r="AL280">
        <f>VLOOKUP($AC280,'2017 Seattle Tracts'!$C$2:$Z$399,AL$1,FALSE)*AA280</f>
        <v>1.4022867383261582E-3</v>
      </c>
      <c r="AM280">
        <f>VLOOKUP($AC280,'2017 Seattle Tracts'!$C$2:$Z$399,AM$1,FALSE)*AA280</f>
        <v>2.8045734766523163E-4</v>
      </c>
      <c r="AN280">
        <f>VLOOKUP($AC280,'2017 Seattle Tracts'!$C$2:$Z$399,AN$1,FALSE)*AA280</f>
        <v>7.3620053762123302E-4</v>
      </c>
      <c r="AO280">
        <f>VLOOKUP($AC280,'2017 Seattle Tracts'!$C$2:$Z$399,AO$1,FALSE)*AA280</f>
        <v>0</v>
      </c>
      <c r="AP280">
        <f>VLOOKUP($AC280,'2017 Seattle Tracts'!$C$2:$Z$399,AP$1,FALSE)*AA280</f>
        <v>2.1034301074892371E-4</v>
      </c>
      <c r="AQ280">
        <f>VLOOKUP($AC280,'2017 Seattle Tracts'!$C$2:$Z$399,AQ$1,FALSE)*AA280</f>
        <v>0</v>
      </c>
      <c r="AR280">
        <f>VLOOKUP($AC280,'2017 Seattle Tracts'!$C$2:$Z$399,AR$1,FALSE)*AA280</f>
        <v>3.3129024192955487E-3</v>
      </c>
      <c r="AS280">
        <f>VLOOKUP($AC280,'2017 Seattle Tracts'!$C$2:$Z$399,AS$1,FALSE)*AA280</f>
        <v>1.8580299282821597E-3</v>
      </c>
      <c r="AT280">
        <f>VLOOKUP($AC280,'2017 Seattle Tracts'!$C$2:$Z$399,AT$1,FALSE)*AA280</f>
        <v>0</v>
      </c>
      <c r="AU280">
        <f>VLOOKUP($AC280,'2017 Seattle Tracts'!$C$2:$Z$399,AU$1,FALSE)*AA280</f>
        <v>0</v>
      </c>
      <c r="AV280">
        <f>VLOOKUP($AC280,'2017 Seattle Tracts'!$C$2:$Z$399,AV$1,FALSE)*AA280</f>
        <v>1.577572580616928E-4</v>
      </c>
      <c r="AW280">
        <f>VLOOKUP($AC280,'2017 Seattle Tracts'!$C$2:$Z$399,AW$1,FALSE)*AA280</f>
        <v>5.2585752687230928E-5</v>
      </c>
      <c r="AX280">
        <f>VLOOKUP($AC280,'2017 Seattle Tracts'!$C$2:$Z$399,AX$1,FALSE)*AA280</f>
        <v>5.8896043009698642E-3</v>
      </c>
      <c r="AY280">
        <f>VLOOKUP($AC280,'2017 Seattle Tracts'!$C$2:$Z$399,AY$1,FALSE)*AA280</f>
        <v>0</v>
      </c>
    </row>
    <row r="281" spans="1:51" x14ac:dyDescent="0.25">
      <c r="A281" t="s">
        <v>2917</v>
      </c>
      <c r="B281" t="s">
        <v>2918</v>
      </c>
      <c r="C281" t="s">
        <v>3134</v>
      </c>
      <c r="D281" t="s">
        <v>2785</v>
      </c>
      <c r="E281" t="s">
        <v>2786</v>
      </c>
      <c r="F281" t="s">
        <v>2787</v>
      </c>
      <c r="G281" t="s">
        <v>2920</v>
      </c>
      <c r="H281" t="s">
        <v>2921</v>
      </c>
      <c r="I281">
        <v>2041026</v>
      </c>
      <c r="J281">
        <v>457717</v>
      </c>
      <c r="K281" t="s">
        <v>3135</v>
      </c>
      <c r="L281" t="s">
        <v>3136</v>
      </c>
      <c r="M281">
        <v>1924342</v>
      </c>
      <c r="N281">
        <v>110</v>
      </c>
      <c r="O281">
        <v>34640.309000000001</v>
      </c>
      <c r="P281" t="s">
        <v>122</v>
      </c>
      <c r="Q281">
        <v>1</v>
      </c>
      <c r="R281">
        <v>2</v>
      </c>
      <c r="S281">
        <v>95</v>
      </c>
      <c r="T281">
        <v>48113448</v>
      </c>
      <c r="U281">
        <v>112</v>
      </c>
      <c r="V281">
        <v>100</v>
      </c>
      <c r="W281">
        <v>34640.309665739042</v>
      </c>
      <c r="X281">
        <v>48113449.730149508</v>
      </c>
      <c r="Y281">
        <v>12413.183000000001</v>
      </c>
      <c r="Z281">
        <f>VLOOKUP($AC281,'2017 Seattle Tracts'!$C$2:$Z$399,24,FALSE)</f>
        <v>1924342.523</v>
      </c>
      <c r="AA281">
        <f t="shared" si="9"/>
        <v>6.4506099364515269E-3</v>
      </c>
      <c r="AB281" t="s">
        <v>212</v>
      </c>
      <c r="AC281" t="str">
        <f t="shared" si="8"/>
        <v>Census Tract 16, King County, Washington</v>
      </c>
      <c r="AD281">
        <f>VLOOKUP($AC281,'2017 Seattle Tracts'!$C$2:$Z$399,AD$1,FALSE)*AA281</f>
        <v>29.692157537486377</v>
      </c>
      <c r="AE281">
        <f>VLOOKUP($AC281,'2017 Seattle Tracts'!$C$2:$Z$399,AE$1,FALSE)*AA281</f>
        <v>26.73777818659158</v>
      </c>
      <c r="AF281">
        <f>VLOOKUP($AC281,'2017 Seattle Tracts'!$C$2:$Z$399,AF$1,FALSE)*AA281</f>
        <v>2.9543793508947993</v>
      </c>
      <c r="AG281">
        <f>VLOOKUP($AC281,'2017 Seattle Tracts'!$C$2:$Z$399,AG$1,FALSE)*AA281</f>
        <v>29.692157537486377</v>
      </c>
      <c r="AH281">
        <f>VLOOKUP($AC281,'2017 Seattle Tracts'!$C$2:$Z$399,AH$1,FALSE)*AA281</f>
        <v>26.73777818659158</v>
      </c>
      <c r="AI281">
        <f>VLOOKUP($AC281,'2017 Seattle Tracts'!$C$2:$Z$399,AI$1,FALSE)*AA281</f>
        <v>2.9543793508947993</v>
      </c>
      <c r="AJ281">
        <f>VLOOKUP($AC281,'2017 Seattle Tracts'!$C$2:$Z$399,AJ$1,FALSE)*AA281</f>
        <v>22.428770749041959</v>
      </c>
      <c r="AK281">
        <f>VLOOKUP($AC281,'2017 Seattle Tracts'!$C$2:$Z$399,AK$1,FALSE)*AA281</f>
        <v>2.1480531088383583</v>
      </c>
      <c r="AL281">
        <f>VLOOKUP($AC281,'2017 Seattle Tracts'!$C$2:$Z$399,AL$1,FALSE)*AA281</f>
        <v>0.5160487949161221</v>
      </c>
      <c r="AM281">
        <f>VLOOKUP($AC281,'2017 Seattle Tracts'!$C$2:$Z$399,AM$1,FALSE)*AA281</f>
        <v>0.10320975898322443</v>
      </c>
      <c r="AN281">
        <f>VLOOKUP($AC281,'2017 Seattle Tracts'!$C$2:$Z$399,AN$1,FALSE)*AA281</f>
        <v>0.27092561733096415</v>
      </c>
      <c r="AO281">
        <f>VLOOKUP($AC281,'2017 Seattle Tracts'!$C$2:$Z$399,AO$1,FALSE)*AA281</f>
        <v>0</v>
      </c>
      <c r="AP281">
        <f>VLOOKUP($AC281,'2017 Seattle Tracts'!$C$2:$Z$399,AP$1,FALSE)*AA281</f>
        <v>7.7407319237418323E-2</v>
      </c>
      <c r="AQ281">
        <f>VLOOKUP($AC281,'2017 Seattle Tracts'!$C$2:$Z$399,AQ$1,FALSE)*AA281</f>
        <v>0</v>
      </c>
      <c r="AR281">
        <f>VLOOKUP($AC281,'2017 Seattle Tracts'!$C$2:$Z$399,AR$1,FALSE)*AA281</f>
        <v>1.2191652779893385</v>
      </c>
      <c r="AS281">
        <f>VLOOKUP($AC281,'2017 Seattle Tracts'!$C$2:$Z$399,AS$1,FALSE)*AA281</f>
        <v>0.68376465326386182</v>
      </c>
      <c r="AT281">
        <f>VLOOKUP($AC281,'2017 Seattle Tracts'!$C$2:$Z$399,AT$1,FALSE)*AA281</f>
        <v>0</v>
      </c>
      <c r="AU281">
        <f>VLOOKUP($AC281,'2017 Seattle Tracts'!$C$2:$Z$399,AU$1,FALSE)*AA281</f>
        <v>0</v>
      </c>
      <c r="AV281">
        <f>VLOOKUP($AC281,'2017 Seattle Tracts'!$C$2:$Z$399,AV$1,FALSE)*AA281</f>
        <v>5.8055489428063739E-2</v>
      </c>
      <c r="AW281">
        <f>VLOOKUP($AC281,'2017 Seattle Tracts'!$C$2:$Z$399,AW$1,FALSE)*AA281</f>
        <v>1.9351829809354581E-2</v>
      </c>
      <c r="AX281">
        <f>VLOOKUP($AC281,'2017 Seattle Tracts'!$C$2:$Z$399,AX$1,FALSE)*AA281</f>
        <v>2.1674049386477132</v>
      </c>
      <c r="AY281">
        <f>VLOOKUP($AC281,'2017 Seattle Tracts'!$C$2:$Z$399,AY$1,FALSE)*AA281</f>
        <v>0</v>
      </c>
    </row>
    <row r="282" spans="1:51" x14ac:dyDescent="0.25">
      <c r="A282" t="s">
        <v>2917</v>
      </c>
      <c r="B282" t="s">
        <v>2918</v>
      </c>
      <c r="C282" t="s">
        <v>3134</v>
      </c>
      <c r="D282" t="s">
        <v>2785</v>
      </c>
      <c r="E282" t="s">
        <v>2786</v>
      </c>
      <c r="F282" t="s">
        <v>2787</v>
      </c>
      <c r="G282" t="s">
        <v>2920</v>
      </c>
      <c r="H282" t="s">
        <v>2921</v>
      </c>
      <c r="I282">
        <v>2041026</v>
      </c>
      <c r="J282">
        <v>457717</v>
      </c>
      <c r="K282" t="s">
        <v>3135</v>
      </c>
      <c r="L282" t="s">
        <v>3136</v>
      </c>
      <c r="M282">
        <v>1924342</v>
      </c>
      <c r="N282">
        <v>114</v>
      </c>
      <c r="O282">
        <v>32947.805</v>
      </c>
      <c r="P282" t="s">
        <v>122</v>
      </c>
      <c r="Q282">
        <v>1</v>
      </c>
      <c r="R282">
        <v>2</v>
      </c>
      <c r="S282">
        <v>33</v>
      </c>
      <c r="T282">
        <v>31062266</v>
      </c>
      <c r="U282">
        <v>116</v>
      </c>
      <c r="V282">
        <v>109</v>
      </c>
      <c r="W282">
        <v>32947.805911989883</v>
      </c>
      <c r="X282">
        <v>31062264.991369769</v>
      </c>
      <c r="Y282">
        <v>1415422.2080000001</v>
      </c>
      <c r="Z282">
        <f>VLOOKUP($AC282,'2017 Seattle Tracts'!$C$2:$Z$399,24,FALSE)</f>
        <v>1924342.523</v>
      </c>
      <c r="AA282">
        <f t="shared" si="9"/>
        <v>0.7355354834613298</v>
      </c>
      <c r="AB282" t="s">
        <v>217</v>
      </c>
      <c r="AC282" t="str">
        <f t="shared" si="8"/>
        <v>Census Tract 16, King County, Washington</v>
      </c>
      <c r="AD282">
        <f>VLOOKUP($AC282,'2017 Seattle Tracts'!$C$2:$Z$399,AD$1,FALSE)*AA282</f>
        <v>3385.6698303725011</v>
      </c>
      <c r="AE282">
        <f>VLOOKUP($AC282,'2017 Seattle Tracts'!$C$2:$Z$399,AE$1,FALSE)*AA282</f>
        <v>3048.7945789472119</v>
      </c>
      <c r="AF282">
        <f>VLOOKUP($AC282,'2017 Seattle Tracts'!$C$2:$Z$399,AF$1,FALSE)*AA282</f>
        <v>336.87525142528904</v>
      </c>
      <c r="AG282">
        <f>VLOOKUP($AC282,'2017 Seattle Tracts'!$C$2:$Z$399,AG$1,FALSE)*AA282</f>
        <v>3385.6698303725011</v>
      </c>
      <c r="AH282">
        <f>VLOOKUP($AC282,'2017 Seattle Tracts'!$C$2:$Z$399,AH$1,FALSE)*AA282</f>
        <v>3048.7945789472119</v>
      </c>
      <c r="AI282">
        <f>VLOOKUP($AC282,'2017 Seattle Tracts'!$C$2:$Z$399,AI$1,FALSE)*AA282</f>
        <v>336.87525142528904</v>
      </c>
      <c r="AJ282">
        <f>VLOOKUP($AC282,'2017 Seattle Tracts'!$C$2:$Z$399,AJ$1,FALSE)*AA282</f>
        <v>2557.4568759950439</v>
      </c>
      <c r="AK282">
        <f>VLOOKUP($AC282,'2017 Seattle Tracts'!$C$2:$Z$399,AK$1,FALSE)*AA282</f>
        <v>244.93331599262282</v>
      </c>
      <c r="AL282">
        <f>VLOOKUP($AC282,'2017 Seattle Tracts'!$C$2:$Z$399,AL$1,FALSE)*AA282</f>
        <v>58.842838676906382</v>
      </c>
      <c r="AM282">
        <f>VLOOKUP($AC282,'2017 Seattle Tracts'!$C$2:$Z$399,AM$1,FALSE)*AA282</f>
        <v>11.768567735381277</v>
      </c>
      <c r="AN282">
        <f>VLOOKUP($AC282,'2017 Seattle Tracts'!$C$2:$Z$399,AN$1,FALSE)*AA282</f>
        <v>30.892490305375851</v>
      </c>
      <c r="AO282">
        <f>VLOOKUP($AC282,'2017 Seattle Tracts'!$C$2:$Z$399,AO$1,FALSE)*AA282</f>
        <v>0</v>
      </c>
      <c r="AP282">
        <f>VLOOKUP($AC282,'2017 Seattle Tracts'!$C$2:$Z$399,AP$1,FALSE)*AA282</f>
        <v>8.826425801535958</v>
      </c>
      <c r="AQ282">
        <f>VLOOKUP($AC282,'2017 Seattle Tracts'!$C$2:$Z$399,AQ$1,FALSE)*AA282</f>
        <v>0</v>
      </c>
      <c r="AR282">
        <f>VLOOKUP($AC282,'2017 Seattle Tracts'!$C$2:$Z$399,AR$1,FALSE)*AA282</f>
        <v>139.01620637419134</v>
      </c>
      <c r="AS282">
        <f>VLOOKUP($AC282,'2017 Seattle Tracts'!$C$2:$Z$399,AS$1,FALSE)*AA282</f>
        <v>77.966761246900958</v>
      </c>
      <c r="AT282">
        <f>VLOOKUP($AC282,'2017 Seattle Tracts'!$C$2:$Z$399,AT$1,FALSE)*AA282</f>
        <v>0</v>
      </c>
      <c r="AU282">
        <f>VLOOKUP($AC282,'2017 Seattle Tracts'!$C$2:$Z$399,AU$1,FALSE)*AA282</f>
        <v>0</v>
      </c>
      <c r="AV282">
        <f>VLOOKUP($AC282,'2017 Seattle Tracts'!$C$2:$Z$399,AV$1,FALSE)*AA282</f>
        <v>6.6198193511519685</v>
      </c>
      <c r="AW282">
        <f>VLOOKUP($AC282,'2017 Seattle Tracts'!$C$2:$Z$399,AW$1,FALSE)*AA282</f>
        <v>2.2066064503839895</v>
      </c>
      <c r="AX282">
        <f>VLOOKUP($AC282,'2017 Seattle Tracts'!$C$2:$Z$399,AX$1,FALSE)*AA282</f>
        <v>247.13992244300681</v>
      </c>
      <c r="AY282">
        <f>VLOOKUP($AC282,'2017 Seattle Tracts'!$C$2:$Z$399,AY$1,FALSE)*AA282</f>
        <v>0</v>
      </c>
    </row>
    <row r="283" spans="1:51" x14ac:dyDescent="0.25">
      <c r="A283" t="s">
        <v>2917</v>
      </c>
      <c r="B283" t="s">
        <v>2918</v>
      </c>
      <c r="C283" t="s">
        <v>3134</v>
      </c>
      <c r="D283" t="s">
        <v>2785</v>
      </c>
      <c r="E283" t="s">
        <v>2786</v>
      </c>
      <c r="F283" t="s">
        <v>2787</v>
      </c>
      <c r="G283" t="s">
        <v>2920</v>
      </c>
      <c r="H283" t="s">
        <v>2921</v>
      </c>
      <c r="I283">
        <v>2041026</v>
      </c>
      <c r="J283">
        <v>457717</v>
      </c>
      <c r="K283" t="s">
        <v>3135</v>
      </c>
      <c r="L283" t="s">
        <v>3136</v>
      </c>
      <c r="M283">
        <v>1924342</v>
      </c>
      <c r="N283">
        <v>117</v>
      </c>
      <c r="O283">
        <v>18997.809000000001</v>
      </c>
      <c r="P283" t="s">
        <v>122</v>
      </c>
      <c r="Q283">
        <v>1</v>
      </c>
      <c r="R283">
        <v>2</v>
      </c>
      <c r="S283">
        <v>95</v>
      </c>
      <c r="T283">
        <v>15865750</v>
      </c>
      <c r="U283">
        <v>119</v>
      </c>
      <c r="V283">
        <v>113</v>
      </c>
      <c r="W283">
        <v>18997.808037941071</v>
      </c>
      <c r="X283">
        <v>15865750.419753481</v>
      </c>
      <c r="Y283">
        <v>496241.97499999998</v>
      </c>
      <c r="Z283">
        <f>VLOOKUP($AC283,'2017 Seattle Tracts'!$C$2:$Z$399,24,FALSE)</f>
        <v>1924342.523</v>
      </c>
      <c r="AA283">
        <f t="shared" si="9"/>
        <v>0.25787611564409624</v>
      </c>
      <c r="AB283" t="s">
        <v>220</v>
      </c>
      <c r="AC283" t="str">
        <f t="shared" si="8"/>
        <v>Census Tract 16, King County, Washington</v>
      </c>
      <c r="AD283">
        <f>VLOOKUP($AC283,'2017 Seattle Tracts'!$C$2:$Z$399,AD$1,FALSE)*AA283</f>
        <v>1187.0037603097751</v>
      </c>
      <c r="AE283">
        <f>VLOOKUP($AC283,'2017 Seattle Tracts'!$C$2:$Z$399,AE$1,FALSE)*AA283</f>
        <v>1068.8964993447789</v>
      </c>
      <c r="AF283">
        <f>VLOOKUP($AC283,'2017 Seattle Tracts'!$C$2:$Z$399,AF$1,FALSE)*AA283</f>
        <v>118.10726096499607</v>
      </c>
      <c r="AG283">
        <f>VLOOKUP($AC283,'2017 Seattle Tracts'!$C$2:$Z$399,AG$1,FALSE)*AA283</f>
        <v>1187.0037603097751</v>
      </c>
      <c r="AH283">
        <f>VLOOKUP($AC283,'2017 Seattle Tracts'!$C$2:$Z$399,AH$1,FALSE)*AA283</f>
        <v>1068.8964993447789</v>
      </c>
      <c r="AI283">
        <f>VLOOKUP($AC283,'2017 Seattle Tracts'!$C$2:$Z$399,AI$1,FALSE)*AA283</f>
        <v>118.10726096499607</v>
      </c>
      <c r="AJ283">
        <f>VLOOKUP($AC283,'2017 Seattle Tracts'!$C$2:$Z$399,AJ$1,FALSE)*AA283</f>
        <v>896.63525409452257</v>
      </c>
      <c r="AK283">
        <f>VLOOKUP($AC283,'2017 Seattle Tracts'!$C$2:$Z$399,AK$1,FALSE)*AA283</f>
        <v>85.872746509484045</v>
      </c>
      <c r="AL283">
        <f>VLOOKUP($AC283,'2017 Seattle Tracts'!$C$2:$Z$399,AL$1,FALSE)*AA283</f>
        <v>20.6300892515277</v>
      </c>
      <c r="AM283">
        <f>VLOOKUP($AC283,'2017 Seattle Tracts'!$C$2:$Z$399,AM$1,FALSE)*AA283</f>
        <v>4.1260178503055398</v>
      </c>
      <c r="AN283">
        <f>VLOOKUP($AC283,'2017 Seattle Tracts'!$C$2:$Z$399,AN$1,FALSE)*AA283</f>
        <v>10.830796857052041</v>
      </c>
      <c r="AO283">
        <f>VLOOKUP($AC283,'2017 Seattle Tracts'!$C$2:$Z$399,AO$1,FALSE)*AA283</f>
        <v>0</v>
      </c>
      <c r="AP283">
        <f>VLOOKUP($AC283,'2017 Seattle Tracts'!$C$2:$Z$399,AP$1,FALSE)*AA283</f>
        <v>3.0945133877291546</v>
      </c>
      <c r="AQ283">
        <f>VLOOKUP($AC283,'2017 Seattle Tracts'!$C$2:$Z$399,AQ$1,FALSE)*AA283</f>
        <v>0</v>
      </c>
      <c r="AR283">
        <f>VLOOKUP($AC283,'2017 Seattle Tracts'!$C$2:$Z$399,AR$1,FALSE)*AA283</f>
        <v>48.73858585673419</v>
      </c>
      <c r="AS283">
        <f>VLOOKUP($AC283,'2017 Seattle Tracts'!$C$2:$Z$399,AS$1,FALSE)*AA283</f>
        <v>27.334868258274202</v>
      </c>
      <c r="AT283">
        <f>VLOOKUP($AC283,'2017 Seattle Tracts'!$C$2:$Z$399,AT$1,FALSE)*AA283</f>
        <v>0</v>
      </c>
      <c r="AU283">
        <f>VLOOKUP($AC283,'2017 Seattle Tracts'!$C$2:$Z$399,AU$1,FALSE)*AA283</f>
        <v>0</v>
      </c>
      <c r="AV283">
        <f>VLOOKUP($AC283,'2017 Seattle Tracts'!$C$2:$Z$399,AV$1,FALSE)*AA283</f>
        <v>2.320885040796866</v>
      </c>
      <c r="AW283">
        <f>VLOOKUP($AC283,'2017 Seattle Tracts'!$C$2:$Z$399,AW$1,FALSE)*AA283</f>
        <v>0.77362834693228866</v>
      </c>
      <c r="AX283">
        <f>VLOOKUP($AC283,'2017 Seattle Tracts'!$C$2:$Z$399,AX$1,FALSE)*AA283</f>
        <v>86.64637485641633</v>
      </c>
      <c r="AY283">
        <f>VLOOKUP($AC283,'2017 Seattle Tracts'!$C$2:$Z$399,AY$1,FALSE)*AA283</f>
        <v>0</v>
      </c>
    </row>
    <row r="284" spans="1:51" x14ac:dyDescent="0.25">
      <c r="A284" t="s">
        <v>2917</v>
      </c>
      <c r="B284" t="s">
        <v>2918</v>
      </c>
      <c r="C284" t="s">
        <v>3137</v>
      </c>
      <c r="D284" t="s">
        <v>2761</v>
      </c>
      <c r="E284" t="s">
        <v>2762</v>
      </c>
      <c r="F284" t="s">
        <v>2763</v>
      </c>
      <c r="G284" t="s">
        <v>2920</v>
      </c>
      <c r="H284" t="s">
        <v>2921</v>
      </c>
      <c r="I284">
        <v>2769401</v>
      </c>
      <c r="J284">
        <v>1168720</v>
      </c>
      <c r="K284" t="s">
        <v>3138</v>
      </c>
      <c r="L284" t="s">
        <v>3139</v>
      </c>
      <c r="M284">
        <v>2769308</v>
      </c>
      <c r="N284">
        <v>1</v>
      </c>
      <c r="O284">
        <v>617.84300000000007</v>
      </c>
      <c r="Q284">
        <v>0</v>
      </c>
      <c r="R284">
        <v>0</v>
      </c>
      <c r="S284">
        <v>0</v>
      </c>
      <c r="T284">
        <v>3588.4430000000002</v>
      </c>
      <c r="U284">
        <v>2</v>
      </c>
      <c r="V284">
        <v>0</v>
      </c>
      <c r="W284">
        <v>617.8426138070929</v>
      </c>
      <c r="X284">
        <v>3588.4423845993092</v>
      </c>
      <c r="Y284">
        <v>148.40100000000001</v>
      </c>
      <c r="Z284">
        <f>VLOOKUP($AC284,'2017 Seattle Tracts'!$C$2:$Z$399,24,FALSE)</f>
        <v>2769307.6850000001</v>
      </c>
      <c r="AA284">
        <f t="shared" si="9"/>
        <v>5.358776159247903E-5</v>
      </c>
      <c r="AB284" t="s">
        <v>115</v>
      </c>
      <c r="AC284" t="str">
        <f t="shared" si="8"/>
        <v>Census Tract 22, King County, Washington</v>
      </c>
      <c r="AD284">
        <f>VLOOKUP($AC284,'2017 Seattle Tracts'!$C$2:$Z$399,AD$1,FALSE)*AA284</f>
        <v>0.30887985781904914</v>
      </c>
      <c r="AE284">
        <f>VLOOKUP($AC284,'2017 Seattle Tracts'!$C$2:$Z$399,AE$1,FALSE)*AA284</f>
        <v>0.26713499153850795</v>
      </c>
      <c r="AF284">
        <f>VLOOKUP($AC284,'2017 Seattle Tracts'!$C$2:$Z$399,AF$1,FALSE)*AA284</f>
        <v>4.1744866280541165E-2</v>
      </c>
      <c r="AG284">
        <f>VLOOKUP($AC284,'2017 Seattle Tracts'!$C$2:$Z$399,AG$1,FALSE)*AA284</f>
        <v>0.30887985781904914</v>
      </c>
      <c r="AH284">
        <f>VLOOKUP($AC284,'2017 Seattle Tracts'!$C$2:$Z$399,AH$1,FALSE)*AA284</f>
        <v>0.26713499153850795</v>
      </c>
      <c r="AI284">
        <f>VLOOKUP($AC284,'2017 Seattle Tracts'!$C$2:$Z$399,AI$1,FALSE)*AA284</f>
        <v>4.1744866280541165E-2</v>
      </c>
      <c r="AJ284">
        <f>VLOOKUP($AC284,'2017 Seattle Tracts'!$C$2:$Z$399,AJ$1,FALSE)*AA284</f>
        <v>0.22930203185421777</v>
      </c>
      <c r="AK284">
        <f>VLOOKUP($AC284,'2017 Seattle Tracts'!$C$2:$Z$399,AK$1,FALSE)*AA284</f>
        <v>9.9673236562010988E-3</v>
      </c>
      <c r="AL284">
        <f>VLOOKUP($AC284,'2017 Seattle Tracts'!$C$2:$Z$399,AL$1,FALSE)*AA284</f>
        <v>5.2516006360629449E-3</v>
      </c>
      <c r="AM284">
        <f>VLOOKUP($AC284,'2017 Seattle Tracts'!$C$2:$Z$399,AM$1,FALSE)*AA284</f>
        <v>4.1262576426208857E-3</v>
      </c>
      <c r="AN284">
        <f>VLOOKUP($AC284,'2017 Seattle Tracts'!$C$2:$Z$399,AN$1,FALSE)*AA284</f>
        <v>2.6793880796239513E-4</v>
      </c>
      <c r="AO284">
        <f>VLOOKUP($AC284,'2017 Seattle Tracts'!$C$2:$Z$399,AO$1,FALSE)*AA284</f>
        <v>0</v>
      </c>
      <c r="AP284">
        <f>VLOOKUP($AC284,'2017 Seattle Tracts'!$C$2:$Z$399,AP$1,FALSE)*AA284</f>
        <v>8.5740418547966448E-4</v>
      </c>
      <c r="AQ284">
        <f>VLOOKUP($AC284,'2017 Seattle Tracts'!$C$2:$Z$399,AQ$1,FALSE)*AA284</f>
        <v>0</v>
      </c>
      <c r="AR284">
        <f>VLOOKUP($AC284,'2017 Seattle Tracts'!$C$2:$Z$399,AR$1,FALSE)*AA284</f>
        <v>1.2325185166270177E-2</v>
      </c>
      <c r="AS284">
        <f>VLOOKUP($AC284,'2017 Seattle Tracts'!$C$2:$Z$399,AS$1,FALSE)*AA284</f>
        <v>2.5561362279612497E-2</v>
      </c>
      <c r="AT284">
        <f>VLOOKUP($AC284,'2017 Seattle Tracts'!$C$2:$Z$399,AT$1,FALSE)*AA284</f>
        <v>6.9664090070222743E-4</v>
      </c>
      <c r="AU284">
        <f>VLOOKUP($AC284,'2017 Seattle Tracts'!$C$2:$Z$399,AU$1,FALSE)*AA284</f>
        <v>0</v>
      </c>
      <c r="AV284">
        <f>VLOOKUP($AC284,'2017 Seattle Tracts'!$C$2:$Z$399,AV$1,FALSE)*AA284</f>
        <v>1.0181674702571016E-3</v>
      </c>
      <c r="AW284">
        <f>VLOOKUP($AC284,'2017 Seattle Tracts'!$C$2:$Z$399,AW$1,FALSE)*AA284</f>
        <v>9.1099194707214347E-4</v>
      </c>
      <c r="AX284">
        <f>VLOOKUP($AC284,'2017 Seattle Tracts'!$C$2:$Z$399,AX$1,FALSE)*AA284</f>
        <v>1.7416022517555686E-2</v>
      </c>
      <c r="AY284">
        <f>VLOOKUP($AC284,'2017 Seattle Tracts'!$C$2:$Z$399,AY$1,FALSE)*AA284</f>
        <v>1.1789307550345387E-3</v>
      </c>
    </row>
    <row r="285" spans="1:51" x14ac:dyDescent="0.25">
      <c r="A285" t="s">
        <v>2917</v>
      </c>
      <c r="B285" t="s">
        <v>2918</v>
      </c>
      <c r="C285" t="s">
        <v>3137</v>
      </c>
      <c r="D285" t="s">
        <v>2761</v>
      </c>
      <c r="E285" t="s">
        <v>2762</v>
      </c>
      <c r="F285" t="s">
        <v>2763</v>
      </c>
      <c r="G285" t="s">
        <v>2920</v>
      </c>
      <c r="H285" t="s">
        <v>2921</v>
      </c>
      <c r="I285">
        <v>2769401</v>
      </c>
      <c r="J285">
        <v>1168720</v>
      </c>
      <c r="K285" t="s">
        <v>3138</v>
      </c>
      <c r="L285" t="s">
        <v>3139</v>
      </c>
      <c r="M285">
        <v>2769308</v>
      </c>
      <c r="N285">
        <v>35</v>
      </c>
      <c r="O285">
        <v>22657.039000000001</v>
      </c>
      <c r="P285" t="s">
        <v>122</v>
      </c>
      <c r="Q285">
        <v>4</v>
      </c>
      <c r="R285">
        <v>5</v>
      </c>
      <c r="S285">
        <v>94</v>
      </c>
      <c r="T285">
        <v>25612980</v>
      </c>
      <c r="U285">
        <v>37</v>
      </c>
      <c r="V285">
        <v>119</v>
      </c>
      <c r="W285">
        <v>22657.0394732799</v>
      </c>
      <c r="X285">
        <v>25612979.943988901</v>
      </c>
      <c r="Y285">
        <v>1026948.246</v>
      </c>
      <c r="Z285">
        <f>VLOOKUP($AC285,'2017 Seattle Tracts'!$C$2:$Z$399,24,FALSE)</f>
        <v>2769307.6850000001</v>
      </c>
      <c r="AA285">
        <f t="shared" si="9"/>
        <v>0.37083212225296663</v>
      </c>
      <c r="AB285" t="s">
        <v>126</v>
      </c>
      <c r="AC285" t="str">
        <f t="shared" si="8"/>
        <v>Census Tract 22, King County, Washington</v>
      </c>
      <c r="AD285">
        <f>VLOOKUP($AC285,'2017 Seattle Tracts'!$C$2:$Z$399,AD$1,FALSE)*AA285</f>
        <v>2137.4763526660995</v>
      </c>
      <c r="AE285">
        <f>VLOOKUP($AC285,'2017 Seattle Tracts'!$C$2:$Z$399,AE$1,FALSE)*AA285</f>
        <v>1848.5981294310386</v>
      </c>
      <c r="AF285">
        <f>VLOOKUP($AC285,'2017 Seattle Tracts'!$C$2:$Z$399,AF$1,FALSE)*AA285</f>
        <v>288.878223235061</v>
      </c>
      <c r="AG285">
        <f>VLOOKUP($AC285,'2017 Seattle Tracts'!$C$2:$Z$399,AG$1,FALSE)*AA285</f>
        <v>2137.4763526660995</v>
      </c>
      <c r="AH285">
        <f>VLOOKUP($AC285,'2017 Seattle Tracts'!$C$2:$Z$399,AH$1,FALSE)*AA285</f>
        <v>1848.5981294310386</v>
      </c>
      <c r="AI285">
        <f>VLOOKUP($AC285,'2017 Seattle Tracts'!$C$2:$Z$399,AI$1,FALSE)*AA285</f>
        <v>288.878223235061</v>
      </c>
      <c r="AJ285">
        <f>VLOOKUP($AC285,'2017 Seattle Tracts'!$C$2:$Z$399,AJ$1,FALSE)*AA285</f>
        <v>1586.7906511204442</v>
      </c>
      <c r="AK285">
        <f>VLOOKUP($AC285,'2017 Seattle Tracts'!$C$2:$Z$399,AK$1,FALSE)*AA285</f>
        <v>68.974774739051796</v>
      </c>
      <c r="AL285">
        <f>VLOOKUP($AC285,'2017 Seattle Tracts'!$C$2:$Z$399,AL$1,FALSE)*AA285</f>
        <v>36.341547980790729</v>
      </c>
      <c r="AM285">
        <f>VLOOKUP($AC285,'2017 Seattle Tracts'!$C$2:$Z$399,AM$1,FALSE)*AA285</f>
        <v>28.554073413478431</v>
      </c>
      <c r="AN285">
        <f>VLOOKUP($AC285,'2017 Seattle Tracts'!$C$2:$Z$399,AN$1,FALSE)*AA285</f>
        <v>1.8541606112648332</v>
      </c>
      <c r="AO285">
        <f>VLOOKUP($AC285,'2017 Seattle Tracts'!$C$2:$Z$399,AO$1,FALSE)*AA285</f>
        <v>0</v>
      </c>
      <c r="AP285">
        <f>VLOOKUP($AC285,'2017 Seattle Tracts'!$C$2:$Z$399,AP$1,FALSE)*AA285</f>
        <v>5.9333139560474661</v>
      </c>
      <c r="AQ285">
        <f>VLOOKUP($AC285,'2017 Seattle Tracts'!$C$2:$Z$399,AQ$1,FALSE)*AA285</f>
        <v>0</v>
      </c>
      <c r="AR285">
        <f>VLOOKUP($AC285,'2017 Seattle Tracts'!$C$2:$Z$399,AR$1,FALSE)*AA285</f>
        <v>85.291388118182326</v>
      </c>
      <c r="AS285">
        <f>VLOOKUP($AC285,'2017 Seattle Tracts'!$C$2:$Z$399,AS$1,FALSE)*AA285</f>
        <v>176.88692231466507</v>
      </c>
      <c r="AT285">
        <f>VLOOKUP($AC285,'2017 Seattle Tracts'!$C$2:$Z$399,AT$1,FALSE)*AA285</f>
        <v>4.8208175892885663</v>
      </c>
      <c r="AU285">
        <f>VLOOKUP($AC285,'2017 Seattle Tracts'!$C$2:$Z$399,AU$1,FALSE)*AA285</f>
        <v>0</v>
      </c>
      <c r="AV285">
        <f>VLOOKUP($AC285,'2017 Seattle Tracts'!$C$2:$Z$399,AV$1,FALSE)*AA285</f>
        <v>7.045810322806366</v>
      </c>
      <c r="AW285">
        <f>VLOOKUP($AC285,'2017 Seattle Tracts'!$C$2:$Z$399,AW$1,FALSE)*AA285</f>
        <v>6.3041460783004331</v>
      </c>
      <c r="AX285">
        <f>VLOOKUP($AC285,'2017 Seattle Tracts'!$C$2:$Z$399,AX$1,FALSE)*AA285</f>
        <v>120.52043973221416</v>
      </c>
      <c r="AY285">
        <f>VLOOKUP($AC285,'2017 Seattle Tracts'!$C$2:$Z$399,AY$1,FALSE)*AA285</f>
        <v>8.1583066895652667</v>
      </c>
    </row>
    <row r="286" spans="1:51" x14ac:dyDescent="0.25">
      <c r="A286" t="s">
        <v>2917</v>
      </c>
      <c r="B286" t="s">
        <v>2918</v>
      </c>
      <c r="C286" t="s">
        <v>3137</v>
      </c>
      <c r="D286" t="s">
        <v>2761</v>
      </c>
      <c r="E286" t="s">
        <v>2762</v>
      </c>
      <c r="F286" t="s">
        <v>2763</v>
      </c>
      <c r="G286" t="s">
        <v>2920</v>
      </c>
      <c r="H286" t="s">
        <v>2921</v>
      </c>
      <c r="I286">
        <v>2769401</v>
      </c>
      <c r="J286">
        <v>1168720</v>
      </c>
      <c r="K286" t="s">
        <v>3138</v>
      </c>
      <c r="L286" t="s">
        <v>3139</v>
      </c>
      <c r="M286">
        <v>2769308</v>
      </c>
      <c r="N286">
        <v>37</v>
      </c>
      <c r="O286">
        <v>21396.695</v>
      </c>
      <c r="P286" t="s">
        <v>122</v>
      </c>
      <c r="Q286">
        <v>4</v>
      </c>
      <c r="R286">
        <v>5</v>
      </c>
      <c r="S286">
        <v>19</v>
      </c>
      <c r="T286">
        <v>19249858</v>
      </c>
      <c r="U286">
        <v>39</v>
      </c>
      <c r="V286">
        <v>196</v>
      </c>
      <c r="W286">
        <v>21396.695800864782</v>
      </c>
      <c r="X286">
        <v>19249857.13974366</v>
      </c>
      <c r="Y286">
        <v>902.16200000000003</v>
      </c>
      <c r="Z286">
        <f>VLOOKUP($AC286,'2017 Seattle Tracts'!$C$2:$Z$399,24,FALSE)</f>
        <v>2769307.6850000001</v>
      </c>
      <c r="AA286">
        <f t="shared" si="9"/>
        <v>3.2577167386873445E-4</v>
      </c>
      <c r="AB286" t="s">
        <v>128</v>
      </c>
      <c r="AC286" t="str">
        <f t="shared" si="8"/>
        <v>Census Tract 22, King County, Washington</v>
      </c>
      <c r="AD286">
        <f>VLOOKUP($AC286,'2017 Seattle Tracts'!$C$2:$Z$399,AD$1,FALSE)*AA286</f>
        <v>1.8777479281793854</v>
      </c>
      <c r="AE286">
        <f>VLOOKUP($AC286,'2017 Seattle Tracts'!$C$2:$Z$399,AE$1,FALSE)*AA286</f>
        <v>1.6239717942356413</v>
      </c>
      <c r="AF286">
        <f>VLOOKUP($AC286,'2017 Seattle Tracts'!$C$2:$Z$399,AF$1,FALSE)*AA286</f>
        <v>0.25377613394374415</v>
      </c>
      <c r="AG286">
        <f>VLOOKUP($AC286,'2017 Seattle Tracts'!$C$2:$Z$399,AG$1,FALSE)*AA286</f>
        <v>1.8777479281793854</v>
      </c>
      <c r="AH286">
        <f>VLOOKUP($AC286,'2017 Seattle Tracts'!$C$2:$Z$399,AH$1,FALSE)*AA286</f>
        <v>1.6239717942356413</v>
      </c>
      <c r="AI286">
        <f>VLOOKUP($AC286,'2017 Seattle Tracts'!$C$2:$Z$399,AI$1,FALSE)*AA286</f>
        <v>0.25377613394374415</v>
      </c>
      <c r="AJ286">
        <f>VLOOKUP($AC286,'2017 Seattle Tracts'!$C$2:$Z$399,AJ$1,FALSE)*AA286</f>
        <v>1.3939769924843146</v>
      </c>
      <c r="AK286">
        <f>VLOOKUP($AC286,'2017 Seattle Tracts'!$C$2:$Z$399,AK$1,FALSE)*AA286</f>
        <v>6.059353133958461E-2</v>
      </c>
      <c r="AL286">
        <f>VLOOKUP($AC286,'2017 Seattle Tracts'!$C$2:$Z$399,AL$1,FALSE)*AA286</f>
        <v>3.1925624039135979E-2</v>
      </c>
      <c r="AM286">
        <f>VLOOKUP($AC286,'2017 Seattle Tracts'!$C$2:$Z$399,AM$1,FALSE)*AA286</f>
        <v>2.5084418887892552E-2</v>
      </c>
      <c r="AN286">
        <f>VLOOKUP($AC286,'2017 Seattle Tracts'!$C$2:$Z$399,AN$1,FALSE)*AA286</f>
        <v>1.6288583693436724E-3</v>
      </c>
      <c r="AO286">
        <f>VLOOKUP($AC286,'2017 Seattle Tracts'!$C$2:$Z$399,AO$1,FALSE)*AA286</f>
        <v>0</v>
      </c>
      <c r="AP286">
        <f>VLOOKUP($AC286,'2017 Seattle Tracts'!$C$2:$Z$399,AP$1,FALSE)*AA286</f>
        <v>5.2123467818997512E-3</v>
      </c>
      <c r="AQ286">
        <f>VLOOKUP($AC286,'2017 Seattle Tracts'!$C$2:$Z$399,AQ$1,FALSE)*AA286</f>
        <v>0</v>
      </c>
      <c r="AR286">
        <f>VLOOKUP($AC286,'2017 Seattle Tracts'!$C$2:$Z$399,AR$1,FALSE)*AA286</f>
        <v>7.4927484989808918E-2</v>
      </c>
      <c r="AS286">
        <f>VLOOKUP($AC286,'2017 Seattle Tracts'!$C$2:$Z$399,AS$1,FALSE)*AA286</f>
        <v>0.15539308843538632</v>
      </c>
      <c r="AT286">
        <f>VLOOKUP($AC286,'2017 Seattle Tracts'!$C$2:$Z$399,AT$1,FALSE)*AA286</f>
        <v>4.2350317602935479E-3</v>
      </c>
      <c r="AU286">
        <f>VLOOKUP($AC286,'2017 Seattle Tracts'!$C$2:$Z$399,AU$1,FALSE)*AA286</f>
        <v>0</v>
      </c>
      <c r="AV286">
        <f>VLOOKUP($AC286,'2017 Seattle Tracts'!$C$2:$Z$399,AV$1,FALSE)*AA286</f>
        <v>6.1896618035059544E-3</v>
      </c>
      <c r="AW286">
        <f>VLOOKUP($AC286,'2017 Seattle Tracts'!$C$2:$Z$399,AW$1,FALSE)*AA286</f>
        <v>5.5381184557684853E-3</v>
      </c>
      <c r="AX286">
        <f>VLOOKUP($AC286,'2017 Seattle Tracts'!$C$2:$Z$399,AX$1,FALSE)*AA286</f>
        <v>0.10587579400733869</v>
      </c>
      <c r="AY286">
        <f>VLOOKUP($AC286,'2017 Seattle Tracts'!$C$2:$Z$399,AY$1,FALSE)*AA286</f>
        <v>7.1669768251121577E-3</v>
      </c>
    </row>
    <row r="287" spans="1:51" x14ac:dyDescent="0.25">
      <c r="A287" t="s">
        <v>2917</v>
      </c>
      <c r="B287" t="s">
        <v>2918</v>
      </c>
      <c r="C287" t="s">
        <v>3137</v>
      </c>
      <c r="D287" t="s">
        <v>2761</v>
      </c>
      <c r="E287" t="s">
        <v>2762</v>
      </c>
      <c r="F287" t="s">
        <v>2763</v>
      </c>
      <c r="G287" t="s">
        <v>2920</v>
      </c>
      <c r="H287" t="s">
        <v>2921</v>
      </c>
      <c r="I287">
        <v>2769401</v>
      </c>
      <c r="J287">
        <v>1168720</v>
      </c>
      <c r="K287" t="s">
        <v>3138</v>
      </c>
      <c r="L287" t="s">
        <v>3139</v>
      </c>
      <c r="M287">
        <v>2769308</v>
      </c>
      <c r="N287">
        <v>96</v>
      </c>
      <c r="O287">
        <v>23840.219000000001</v>
      </c>
      <c r="P287" t="s">
        <v>122</v>
      </c>
      <c r="Q287">
        <v>4</v>
      </c>
      <c r="R287">
        <v>5</v>
      </c>
      <c r="S287">
        <v>23</v>
      </c>
      <c r="T287">
        <v>30599714</v>
      </c>
      <c r="U287">
        <v>98</v>
      </c>
      <c r="V287">
        <v>117</v>
      </c>
      <c r="W287">
        <v>23840.218727432399</v>
      </c>
      <c r="X287">
        <v>30599713.626058389</v>
      </c>
      <c r="Y287">
        <v>626872.29</v>
      </c>
      <c r="Z287">
        <f>VLOOKUP($AC287,'2017 Seattle Tracts'!$C$2:$Z$399,24,FALSE)</f>
        <v>2769307.6850000001</v>
      </c>
      <c r="AA287">
        <f t="shared" si="9"/>
        <v>0.22636426186785383</v>
      </c>
      <c r="AB287" t="s">
        <v>199</v>
      </c>
      <c r="AC287" t="str">
        <f t="shared" si="8"/>
        <v>Census Tract 22, King County, Washington</v>
      </c>
      <c r="AD287">
        <f>VLOOKUP($AC287,'2017 Seattle Tracts'!$C$2:$Z$399,AD$1,FALSE)*AA287</f>
        <v>1304.7636054063094</v>
      </c>
      <c r="AE287">
        <f>VLOOKUP($AC287,'2017 Seattle Tracts'!$C$2:$Z$399,AE$1,FALSE)*AA287</f>
        <v>1128.4258454112514</v>
      </c>
      <c r="AF287">
        <f>VLOOKUP($AC287,'2017 Seattle Tracts'!$C$2:$Z$399,AF$1,FALSE)*AA287</f>
        <v>176.33775999505812</v>
      </c>
      <c r="AG287">
        <f>VLOOKUP($AC287,'2017 Seattle Tracts'!$C$2:$Z$399,AG$1,FALSE)*AA287</f>
        <v>1304.7636054063094</v>
      </c>
      <c r="AH287">
        <f>VLOOKUP($AC287,'2017 Seattle Tracts'!$C$2:$Z$399,AH$1,FALSE)*AA287</f>
        <v>1128.4258454112514</v>
      </c>
      <c r="AI287">
        <f>VLOOKUP($AC287,'2017 Seattle Tracts'!$C$2:$Z$399,AI$1,FALSE)*AA287</f>
        <v>176.33775999505812</v>
      </c>
      <c r="AJ287">
        <f>VLOOKUP($AC287,'2017 Seattle Tracts'!$C$2:$Z$399,AJ$1,FALSE)*AA287</f>
        <v>968.61267653254652</v>
      </c>
      <c r="AK287">
        <f>VLOOKUP($AC287,'2017 Seattle Tracts'!$C$2:$Z$399,AK$1,FALSE)*AA287</f>
        <v>42.10375270742081</v>
      </c>
      <c r="AL287">
        <f>VLOOKUP($AC287,'2017 Seattle Tracts'!$C$2:$Z$399,AL$1,FALSE)*AA287</f>
        <v>22.183697663049674</v>
      </c>
      <c r="AM287">
        <f>VLOOKUP($AC287,'2017 Seattle Tracts'!$C$2:$Z$399,AM$1,FALSE)*AA287</f>
        <v>17.430048163824743</v>
      </c>
      <c r="AN287">
        <f>VLOOKUP($AC287,'2017 Seattle Tracts'!$C$2:$Z$399,AN$1,FALSE)*AA287</f>
        <v>1.1318213093392691</v>
      </c>
      <c r="AO287">
        <f>VLOOKUP($AC287,'2017 Seattle Tracts'!$C$2:$Z$399,AO$1,FALSE)*AA287</f>
        <v>0</v>
      </c>
      <c r="AP287">
        <f>VLOOKUP($AC287,'2017 Seattle Tracts'!$C$2:$Z$399,AP$1,FALSE)*AA287</f>
        <v>3.6218281898856612</v>
      </c>
      <c r="AQ287">
        <f>VLOOKUP($AC287,'2017 Seattle Tracts'!$C$2:$Z$399,AQ$1,FALSE)*AA287</f>
        <v>0</v>
      </c>
      <c r="AR287">
        <f>VLOOKUP($AC287,'2017 Seattle Tracts'!$C$2:$Z$399,AR$1,FALSE)*AA287</f>
        <v>52.06378022960638</v>
      </c>
      <c r="AS287">
        <f>VLOOKUP($AC287,'2017 Seattle Tracts'!$C$2:$Z$399,AS$1,FALSE)*AA287</f>
        <v>107.97575291096628</v>
      </c>
      <c r="AT287">
        <f>VLOOKUP($AC287,'2017 Seattle Tracts'!$C$2:$Z$399,AT$1,FALSE)*AA287</f>
        <v>2.9427354042820997</v>
      </c>
      <c r="AU287">
        <f>VLOOKUP($AC287,'2017 Seattle Tracts'!$C$2:$Z$399,AU$1,FALSE)*AA287</f>
        <v>0</v>
      </c>
      <c r="AV287">
        <f>VLOOKUP($AC287,'2017 Seattle Tracts'!$C$2:$Z$399,AV$1,FALSE)*AA287</f>
        <v>4.3009209754892224</v>
      </c>
      <c r="AW287">
        <f>VLOOKUP($AC287,'2017 Seattle Tracts'!$C$2:$Z$399,AW$1,FALSE)*AA287</f>
        <v>3.8481924517535151</v>
      </c>
      <c r="AX287">
        <f>VLOOKUP($AC287,'2017 Seattle Tracts'!$C$2:$Z$399,AX$1,FALSE)*AA287</f>
        <v>73.568385107052492</v>
      </c>
      <c r="AY287">
        <f>VLOOKUP($AC287,'2017 Seattle Tracts'!$C$2:$Z$399,AY$1,FALSE)*AA287</f>
        <v>4.9800137610927839</v>
      </c>
    </row>
    <row r="288" spans="1:51" x14ac:dyDescent="0.25">
      <c r="A288" t="s">
        <v>2917</v>
      </c>
      <c r="B288" t="s">
        <v>2918</v>
      </c>
      <c r="C288" t="s">
        <v>3137</v>
      </c>
      <c r="D288" t="s">
        <v>2761</v>
      </c>
      <c r="E288" t="s">
        <v>2762</v>
      </c>
      <c r="F288" t="s">
        <v>2763</v>
      </c>
      <c r="G288" t="s">
        <v>2920</v>
      </c>
      <c r="H288" t="s">
        <v>2921</v>
      </c>
      <c r="I288">
        <v>2769401</v>
      </c>
      <c r="J288">
        <v>1168720</v>
      </c>
      <c r="K288" t="s">
        <v>3138</v>
      </c>
      <c r="L288" t="s">
        <v>3139</v>
      </c>
      <c r="M288">
        <v>2769308</v>
      </c>
      <c r="N288">
        <v>103</v>
      </c>
      <c r="O288">
        <v>31987.734</v>
      </c>
      <c r="P288" t="s">
        <v>207</v>
      </c>
      <c r="Q288">
        <v>3</v>
      </c>
      <c r="R288">
        <v>3</v>
      </c>
      <c r="S288">
        <v>95</v>
      </c>
      <c r="T288">
        <v>30977390</v>
      </c>
      <c r="U288">
        <v>105</v>
      </c>
      <c r="V288">
        <v>107</v>
      </c>
      <c r="W288">
        <v>31987.735324847999</v>
      </c>
      <c r="X288">
        <v>30977390.242551979</v>
      </c>
      <c r="Y288">
        <v>1108875.4040000001</v>
      </c>
      <c r="Z288">
        <f>VLOOKUP($AC288,'2017 Seattle Tracts'!$C$2:$Z$399,24,FALSE)</f>
        <v>2769307.6850000001</v>
      </c>
      <c r="AA288">
        <f t="shared" si="9"/>
        <v>0.40041610760922003</v>
      </c>
      <c r="AB288" t="s">
        <v>208</v>
      </c>
      <c r="AC288" t="str">
        <f t="shared" si="8"/>
        <v>Census Tract 22, King County, Washington</v>
      </c>
      <c r="AD288">
        <f>VLOOKUP($AC288,'2017 Seattle Tracts'!$C$2:$Z$399,AD$1,FALSE)*AA288</f>
        <v>2307.9984442595442</v>
      </c>
      <c r="AE288">
        <f>VLOOKUP($AC288,'2017 Seattle Tracts'!$C$2:$Z$399,AE$1,FALSE)*AA288</f>
        <v>1996.0742964319618</v>
      </c>
      <c r="AF288">
        <f>VLOOKUP($AC288,'2017 Seattle Tracts'!$C$2:$Z$399,AF$1,FALSE)*AA288</f>
        <v>311.92414782758243</v>
      </c>
      <c r="AG288">
        <f>VLOOKUP($AC288,'2017 Seattle Tracts'!$C$2:$Z$399,AG$1,FALSE)*AA288</f>
        <v>2307.9984442595442</v>
      </c>
      <c r="AH288">
        <f>VLOOKUP($AC288,'2017 Seattle Tracts'!$C$2:$Z$399,AH$1,FALSE)*AA288</f>
        <v>1996.0742964319618</v>
      </c>
      <c r="AI288">
        <f>VLOOKUP($AC288,'2017 Seattle Tracts'!$C$2:$Z$399,AI$1,FALSE)*AA288</f>
        <v>311.92414782758243</v>
      </c>
      <c r="AJ288">
        <f>VLOOKUP($AC288,'2017 Seattle Tracts'!$C$2:$Z$399,AJ$1,FALSE)*AA288</f>
        <v>1713.3805244598525</v>
      </c>
      <c r="AK288">
        <f>VLOOKUP($AC288,'2017 Seattle Tracts'!$C$2:$Z$399,AK$1,FALSE)*AA288</f>
        <v>74.477396015314923</v>
      </c>
      <c r="AL288">
        <f>VLOOKUP($AC288,'2017 Seattle Tracts'!$C$2:$Z$399,AL$1,FALSE)*AA288</f>
        <v>39.240778545703563</v>
      </c>
      <c r="AM288">
        <f>VLOOKUP($AC288,'2017 Seattle Tracts'!$C$2:$Z$399,AM$1,FALSE)*AA288</f>
        <v>30.832040285909944</v>
      </c>
      <c r="AN288">
        <f>VLOOKUP($AC288,'2017 Seattle Tracts'!$C$2:$Z$399,AN$1,FALSE)*AA288</f>
        <v>2.0020805380461</v>
      </c>
      <c r="AO288">
        <f>VLOOKUP($AC288,'2017 Seattle Tracts'!$C$2:$Z$399,AO$1,FALSE)*AA288</f>
        <v>0</v>
      </c>
      <c r="AP288">
        <f>VLOOKUP($AC288,'2017 Seattle Tracts'!$C$2:$Z$399,AP$1,FALSE)*AA288</f>
        <v>6.4066577217475205</v>
      </c>
      <c r="AQ288">
        <f>VLOOKUP($AC288,'2017 Seattle Tracts'!$C$2:$Z$399,AQ$1,FALSE)*AA288</f>
        <v>0</v>
      </c>
      <c r="AR288">
        <f>VLOOKUP($AC288,'2017 Seattle Tracts'!$C$2:$Z$399,AR$1,FALSE)*AA288</f>
        <v>92.095704750120603</v>
      </c>
      <c r="AS288">
        <f>VLOOKUP($AC288,'2017 Seattle Tracts'!$C$2:$Z$399,AS$1,FALSE)*AA288</f>
        <v>190.99848332959795</v>
      </c>
      <c r="AT288">
        <f>VLOOKUP($AC288,'2017 Seattle Tracts'!$C$2:$Z$399,AT$1,FALSE)*AA288</f>
        <v>5.2054093989198602</v>
      </c>
      <c r="AU288">
        <f>VLOOKUP($AC288,'2017 Seattle Tracts'!$C$2:$Z$399,AU$1,FALSE)*AA288</f>
        <v>0</v>
      </c>
      <c r="AV288">
        <f>VLOOKUP($AC288,'2017 Seattle Tracts'!$C$2:$Z$399,AV$1,FALSE)*AA288</f>
        <v>7.6079060445751807</v>
      </c>
      <c r="AW288">
        <f>VLOOKUP($AC288,'2017 Seattle Tracts'!$C$2:$Z$399,AW$1,FALSE)*AA288</f>
        <v>6.8070738293567405</v>
      </c>
      <c r="AX288">
        <f>VLOOKUP($AC288,'2017 Seattle Tracts'!$C$2:$Z$399,AX$1,FALSE)*AA288</f>
        <v>130.1352349729965</v>
      </c>
      <c r="AY288">
        <f>VLOOKUP($AC288,'2017 Seattle Tracts'!$C$2:$Z$399,AY$1,FALSE)*AA288</f>
        <v>8.8091543674028401</v>
      </c>
    </row>
    <row r="289" spans="1:51" x14ac:dyDescent="0.25">
      <c r="A289" t="s">
        <v>2917</v>
      </c>
      <c r="B289" t="s">
        <v>2918</v>
      </c>
      <c r="C289" t="s">
        <v>3137</v>
      </c>
      <c r="D289" t="s">
        <v>2761</v>
      </c>
      <c r="E289" t="s">
        <v>2762</v>
      </c>
      <c r="F289" t="s">
        <v>2763</v>
      </c>
      <c r="G289" t="s">
        <v>2920</v>
      </c>
      <c r="H289" t="s">
        <v>2921</v>
      </c>
      <c r="I289">
        <v>2769401</v>
      </c>
      <c r="J289">
        <v>1168720</v>
      </c>
      <c r="K289" t="s">
        <v>3138</v>
      </c>
      <c r="L289" t="s">
        <v>3139</v>
      </c>
      <c r="M289">
        <v>2769308</v>
      </c>
      <c r="N289">
        <v>104</v>
      </c>
      <c r="O289">
        <v>18770.280999999999</v>
      </c>
      <c r="P289" t="s">
        <v>207</v>
      </c>
      <c r="Q289">
        <v>3</v>
      </c>
      <c r="R289">
        <v>3</v>
      </c>
      <c r="S289">
        <v>24</v>
      </c>
      <c r="T289">
        <v>17034848</v>
      </c>
      <c r="U289">
        <v>106</v>
      </c>
      <c r="V289">
        <v>108</v>
      </c>
      <c r="W289">
        <v>18770.28203242151</v>
      </c>
      <c r="X289">
        <v>17034848.779124379</v>
      </c>
      <c r="Y289">
        <v>303.96300000000002</v>
      </c>
      <c r="Z289">
        <f>VLOOKUP($AC289,'2017 Seattle Tracts'!$C$2:$Z$399,24,FALSE)</f>
        <v>2769307.6850000001</v>
      </c>
      <c r="AA289">
        <f t="shared" si="9"/>
        <v>1.0976136802942502E-4</v>
      </c>
      <c r="AB289" t="s">
        <v>209</v>
      </c>
      <c r="AC289" t="str">
        <f t="shared" si="8"/>
        <v>Census Tract 22, King County, Washington</v>
      </c>
      <c r="AD289">
        <f>VLOOKUP($AC289,'2017 Seattle Tracts'!$C$2:$Z$399,AD$1,FALSE)*AA289</f>
        <v>0.63266452532160578</v>
      </c>
      <c r="AE289">
        <f>VLOOKUP($AC289,'2017 Seattle Tracts'!$C$2:$Z$399,AE$1,FALSE)*AA289</f>
        <v>0.54716041962668371</v>
      </c>
      <c r="AF289">
        <f>VLOOKUP($AC289,'2017 Seattle Tracts'!$C$2:$Z$399,AF$1,FALSE)*AA289</f>
        <v>8.5504105694922089E-2</v>
      </c>
      <c r="AG289">
        <f>VLOOKUP($AC289,'2017 Seattle Tracts'!$C$2:$Z$399,AG$1,FALSE)*AA289</f>
        <v>0.63266452532160578</v>
      </c>
      <c r="AH289">
        <f>VLOOKUP($AC289,'2017 Seattle Tracts'!$C$2:$Z$399,AH$1,FALSE)*AA289</f>
        <v>0.54716041962668371</v>
      </c>
      <c r="AI289">
        <f>VLOOKUP($AC289,'2017 Seattle Tracts'!$C$2:$Z$399,AI$1,FALSE)*AA289</f>
        <v>8.5504105694922089E-2</v>
      </c>
      <c r="AJ289">
        <f>VLOOKUP($AC289,'2017 Seattle Tracts'!$C$2:$Z$399,AJ$1,FALSE)*AA289</f>
        <v>0.46966889379790966</v>
      </c>
      <c r="AK289">
        <f>VLOOKUP($AC289,'2017 Seattle Tracts'!$C$2:$Z$399,AK$1,FALSE)*AA289</f>
        <v>2.0415614453473053E-2</v>
      </c>
      <c r="AL289">
        <f>VLOOKUP($AC289,'2017 Seattle Tracts'!$C$2:$Z$399,AL$1,FALSE)*AA289</f>
        <v>1.0756614066883653E-2</v>
      </c>
      <c r="AM289">
        <f>VLOOKUP($AC289,'2017 Seattle Tracts'!$C$2:$Z$399,AM$1,FALSE)*AA289</f>
        <v>8.451625338265727E-3</v>
      </c>
      <c r="AN289">
        <f>VLOOKUP($AC289,'2017 Seattle Tracts'!$C$2:$Z$399,AN$1,FALSE)*AA289</f>
        <v>5.4880684014712504E-4</v>
      </c>
      <c r="AO289">
        <f>VLOOKUP($AC289,'2017 Seattle Tracts'!$C$2:$Z$399,AO$1,FALSE)*AA289</f>
        <v>0</v>
      </c>
      <c r="AP289">
        <f>VLOOKUP($AC289,'2017 Seattle Tracts'!$C$2:$Z$399,AP$1,FALSE)*AA289</f>
        <v>1.7561818884708003E-3</v>
      </c>
      <c r="AQ289">
        <f>VLOOKUP($AC289,'2017 Seattle Tracts'!$C$2:$Z$399,AQ$1,FALSE)*AA289</f>
        <v>0</v>
      </c>
      <c r="AR289">
        <f>VLOOKUP($AC289,'2017 Seattle Tracts'!$C$2:$Z$399,AR$1,FALSE)*AA289</f>
        <v>2.5245114646767753E-2</v>
      </c>
      <c r="AS289">
        <f>VLOOKUP($AC289,'2017 Seattle Tracts'!$C$2:$Z$399,AS$1,FALSE)*AA289</f>
        <v>5.2356172550035732E-2</v>
      </c>
      <c r="AT289">
        <f>VLOOKUP($AC289,'2017 Seattle Tracts'!$C$2:$Z$399,AT$1,FALSE)*AA289</f>
        <v>1.4268977843825252E-3</v>
      </c>
      <c r="AU289">
        <f>VLOOKUP($AC289,'2017 Seattle Tracts'!$C$2:$Z$399,AU$1,FALSE)*AA289</f>
        <v>0</v>
      </c>
      <c r="AV289">
        <f>VLOOKUP($AC289,'2017 Seattle Tracts'!$C$2:$Z$399,AV$1,FALSE)*AA289</f>
        <v>2.0854659925590752E-3</v>
      </c>
      <c r="AW289">
        <f>VLOOKUP($AC289,'2017 Seattle Tracts'!$C$2:$Z$399,AW$1,FALSE)*AA289</f>
        <v>1.8659432565002253E-3</v>
      </c>
      <c r="AX289">
        <f>VLOOKUP($AC289,'2017 Seattle Tracts'!$C$2:$Z$399,AX$1,FALSE)*AA289</f>
        <v>3.5672444609563134E-2</v>
      </c>
      <c r="AY289">
        <f>VLOOKUP($AC289,'2017 Seattle Tracts'!$C$2:$Z$399,AY$1,FALSE)*AA289</f>
        <v>2.4147500966473505E-3</v>
      </c>
    </row>
    <row r="290" spans="1:51" x14ac:dyDescent="0.25">
      <c r="A290" t="s">
        <v>2917</v>
      </c>
      <c r="B290" t="s">
        <v>2918</v>
      </c>
      <c r="C290" t="s">
        <v>3140</v>
      </c>
      <c r="D290" t="s">
        <v>2746</v>
      </c>
      <c r="E290" t="s">
        <v>2747</v>
      </c>
      <c r="F290" t="s">
        <v>2748</v>
      </c>
      <c r="G290" t="s">
        <v>2920</v>
      </c>
      <c r="H290" t="s">
        <v>2921</v>
      </c>
      <c r="I290">
        <v>979865</v>
      </c>
      <c r="J290">
        <v>0</v>
      </c>
      <c r="K290" t="s">
        <v>3141</v>
      </c>
      <c r="L290" t="s">
        <v>3142</v>
      </c>
      <c r="M290">
        <v>979865</v>
      </c>
      <c r="N290">
        <v>31</v>
      </c>
      <c r="O290">
        <v>27120.785</v>
      </c>
      <c r="P290" t="s">
        <v>122</v>
      </c>
      <c r="Q290">
        <v>6</v>
      </c>
      <c r="R290">
        <v>9</v>
      </c>
      <c r="S290">
        <v>95</v>
      </c>
      <c r="T290">
        <v>32123118</v>
      </c>
      <c r="U290">
        <v>33</v>
      </c>
      <c r="V290">
        <v>126</v>
      </c>
      <c r="W290">
        <v>27120.785937968081</v>
      </c>
      <c r="X290">
        <v>32123117.878249042</v>
      </c>
      <c r="Y290">
        <v>324844.12599999999</v>
      </c>
      <c r="Z290">
        <f>VLOOKUP($AC290,'2017 Seattle Tracts'!$C$2:$Z$399,24,FALSE)</f>
        <v>979865.26800000004</v>
      </c>
      <c r="AA290">
        <f t="shared" si="9"/>
        <v>0.33151917575672246</v>
      </c>
      <c r="AB290" t="s">
        <v>121</v>
      </c>
      <c r="AC290" t="str">
        <f t="shared" si="8"/>
        <v>Census Tract 28, King County, Washington</v>
      </c>
      <c r="AD290">
        <f>VLOOKUP($AC290,'2017 Seattle Tracts'!$C$2:$Z$399,AD$1,FALSE)*AA290</f>
        <v>1609.1940791231309</v>
      </c>
      <c r="AE290">
        <f>VLOOKUP($AC290,'2017 Seattle Tracts'!$C$2:$Z$399,AE$1,FALSE)*AA290</f>
        <v>1442.1084145417426</v>
      </c>
      <c r="AF290">
        <f>VLOOKUP($AC290,'2017 Seattle Tracts'!$C$2:$Z$399,AF$1,FALSE)*AA290</f>
        <v>167.08566458138813</v>
      </c>
      <c r="AG290">
        <f>VLOOKUP($AC290,'2017 Seattle Tracts'!$C$2:$Z$399,AG$1,FALSE)*AA290</f>
        <v>1609.1940791231309</v>
      </c>
      <c r="AH290">
        <f>VLOOKUP($AC290,'2017 Seattle Tracts'!$C$2:$Z$399,AH$1,FALSE)*AA290</f>
        <v>1442.1084145417426</v>
      </c>
      <c r="AI290">
        <f>VLOOKUP($AC290,'2017 Seattle Tracts'!$C$2:$Z$399,AI$1,FALSE)*AA290</f>
        <v>167.08566458138813</v>
      </c>
      <c r="AJ290">
        <f>VLOOKUP($AC290,'2017 Seattle Tracts'!$C$2:$Z$399,AJ$1,FALSE)*AA290</f>
        <v>1273.6966732573278</v>
      </c>
      <c r="AK290">
        <f>VLOOKUP($AC290,'2017 Seattle Tracts'!$C$2:$Z$399,AK$1,FALSE)*AA290</f>
        <v>95.477522617936074</v>
      </c>
      <c r="AL290">
        <f>VLOOKUP($AC290,'2017 Seattle Tracts'!$C$2:$Z$399,AL$1,FALSE)*AA290</f>
        <v>34.146475102942411</v>
      </c>
      <c r="AM290">
        <f>VLOOKUP($AC290,'2017 Seattle Tracts'!$C$2:$Z$399,AM$1,FALSE)*AA290</f>
        <v>6.9619026908911721</v>
      </c>
      <c r="AN290">
        <f>VLOOKUP($AC290,'2017 Seattle Tracts'!$C$2:$Z$399,AN$1,FALSE)*AA290</f>
        <v>0.66303835151344492</v>
      </c>
      <c r="AO290">
        <f>VLOOKUP($AC290,'2017 Seattle Tracts'!$C$2:$Z$399,AO$1,FALSE)*AA290</f>
        <v>0.99455752727016744</v>
      </c>
      <c r="AP290">
        <f>VLOOKUP($AC290,'2017 Seattle Tracts'!$C$2:$Z$399,AP$1,FALSE)*AA290</f>
        <v>0</v>
      </c>
      <c r="AQ290">
        <f>VLOOKUP($AC290,'2017 Seattle Tracts'!$C$2:$Z$399,AQ$1,FALSE)*AA290</f>
        <v>0</v>
      </c>
      <c r="AR290">
        <f>VLOOKUP($AC290,'2017 Seattle Tracts'!$C$2:$Z$399,AR$1,FALSE)*AA290</f>
        <v>39.119262739293248</v>
      </c>
      <c r="AS290">
        <f>VLOOKUP($AC290,'2017 Seattle Tracts'!$C$2:$Z$399,AS$1,FALSE)*AA290</f>
        <v>38.12470521202308</v>
      </c>
      <c r="AT290">
        <f>VLOOKUP($AC290,'2017 Seattle Tracts'!$C$2:$Z$399,AT$1,FALSE)*AA290</f>
        <v>0</v>
      </c>
      <c r="AU290">
        <f>VLOOKUP($AC290,'2017 Seattle Tracts'!$C$2:$Z$399,AU$1,FALSE)*AA290</f>
        <v>0</v>
      </c>
      <c r="AV290">
        <f>VLOOKUP($AC290,'2017 Seattle Tracts'!$C$2:$Z$399,AV$1,FALSE)*AA290</f>
        <v>6.9619026908911721</v>
      </c>
      <c r="AW290">
        <f>VLOOKUP($AC290,'2017 Seattle Tracts'!$C$2:$Z$399,AW$1,FALSE)*AA290</f>
        <v>0</v>
      </c>
      <c r="AX290">
        <f>VLOOKUP($AC290,'2017 Seattle Tracts'!$C$2:$Z$399,AX$1,FALSE)*AA290</f>
        <v>87.521062399774735</v>
      </c>
      <c r="AY290">
        <f>VLOOKUP($AC290,'2017 Seattle Tracts'!$C$2:$Z$399,AY$1,FALSE)*AA290</f>
        <v>25.526976533267629</v>
      </c>
    </row>
    <row r="291" spans="1:51" x14ac:dyDescent="0.25">
      <c r="A291" t="s">
        <v>2917</v>
      </c>
      <c r="B291" t="s">
        <v>2918</v>
      </c>
      <c r="C291" t="s">
        <v>3140</v>
      </c>
      <c r="D291" t="s">
        <v>2746</v>
      </c>
      <c r="E291" t="s">
        <v>2747</v>
      </c>
      <c r="F291" t="s">
        <v>2748</v>
      </c>
      <c r="G291" t="s">
        <v>2920</v>
      </c>
      <c r="H291" t="s">
        <v>2921</v>
      </c>
      <c r="I291">
        <v>979865</v>
      </c>
      <c r="J291">
        <v>0</v>
      </c>
      <c r="K291" t="s">
        <v>3141</v>
      </c>
      <c r="L291" t="s">
        <v>3142</v>
      </c>
      <c r="M291">
        <v>979865</v>
      </c>
      <c r="N291">
        <v>34</v>
      </c>
      <c r="O291">
        <v>25387.706999999999</v>
      </c>
      <c r="P291" t="s">
        <v>122</v>
      </c>
      <c r="Q291">
        <v>6</v>
      </c>
      <c r="R291">
        <v>9</v>
      </c>
      <c r="S291">
        <v>24</v>
      </c>
      <c r="T291">
        <v>37314628</v>
      </c>
      <c r="U291">
        <v>36</v>
      </c>
      <c r="V291">
        <v>123</v>
      </c>
      <c r="W291">
        <v>25387.707496248549</v>
      </c>
      <c r="X291">
        <v>37314629.789188273</v>
      </c>
      <c r="Y291">
        <v>2236.8519999999999</v>
      </c>
      <c r="Z291">
        <f>VLOOKUP($AC291,'2017 Seattle Tracts'!$C$2:$Z$399,24,FALSE)</f>
        <v>979865.26800000004</v>
      </c>
      <c r="AA291">
        <f t="shared" si="9"/>
        <v>2.2828158860713895E-3</v>
      </c>
      <c r="AB291" t="s">
        <v>125</v>
      </c>
      <c r="AC291" t="str">
        <f t="shared" si="8"/>
        <v>Census Tract 28, King County, Washington</v>
      </c>
      <c r="AD291">
        <f>VLOOKUP($AC291,'2017 Seattle Tracts'!$C$2:$Z$399,AD$1,FALSE)*AA291</f>
        <v>11.080788310990524</v>
      </c>
      <c r="AE291">
        <f>VLOOKUP($AC291,'2017 Seattle Tracts'!$C$2:$Z$399,AE$1,FALSE)*AA291</f>
        <v>9.9302491044105441</v>
      </c>
      <c r="AF291">
        <f>VLOOKUP($AC291,'2017 Seattle Tracts'!$C$2:$Z$399,AF$1,FALSE)*AA291</f>
        <v>1.1505392065799804</v>
      </c>
      <c r="AG291">
        <f>VLOOKUP($AC291,'2017 Seattle Tracts'!$C$2:$Z$399,AG$1,FALSE)*AA291</f>
        <v>11.080788310990524</v>
      </c>
      <c r="AH291">
        <f>VLOOKUP($AC291,'2017 Seattle Tracts'!$C$2:$Z$399,AH$1,FALSE)*AA291</f>
        <v>9.9302491044105441</v>
      </c>
      <c r="AI291">
        <f>VLOOKUP($AC291,'2017 Seattle Tracts'!$C$2:$Z$399,AI$1,FALSE)*AA291</f>
        <v>1.1505392065799804</v>
      </c>
      <c r="AJ291">
        <f>VLOOKUP($AC291,'2017 Seattle Tracts'!$C$2:$Z$399,AJ$1,FALSE)*AA291</f>
        <v>8.770578634286279</v>
      </c>
      <c r="AK291">
        <f>VLOOKUP($AC291,'2017 Seattle Tracts'!$C$2:$Z$399,AK$1,FALSE)*AA291</f>
        <v>0.65745097518856022</v>
      </c>
      <c r="AL291">
        <f>VLOOKUP($AC291,'2017 Seattle Tracts'!$C$2:$Z$399,AL$1,FALSE)*AA291</f>
        <v>0.23513003626535312</v>
      </c>
      <c r="AM291">
        <f>VLOOKUP($AC291,'2017 Seattle Tracts'!$C$2:$Z$399,AM$1,FALSE)*AA291</f>
        <v>4.7939133607499178E-2</v>
      </c>
      <c r="AN291">
        <f>VLOOKUP($AC291,'2017 Seattle Tracts'!$C$2:$Z$399,AN$1,FALSE)*AA291</f>
        <v>4.5656317721427791E-3</v>
      </c>
      <c r="AO291">
        <f>VLOOKUP($AC291,'2017 Seattle Tracts'!$C$2:$Z$399,AO$1,FALSE)*AA291</f>
        <v>6.8484476582141686E-3</v>
      </c>
      <c r="AP291">
        <f>VLOOKUP($AC291,'2017 Seattle Tracts'!$C$2:$Z$399,AP$1,FALSE)*AA291</f>
        <v>0</v>
      </c>
      <c r="AQ291">
        <f>VLOOKUP($AC291,'2017 Seattle Tracts'!$C$2:$Z$399,AQ$1,FALSE)*AA291</f>
        <v>0</v>
      </c>
      <c r="AR291">
        <f>VLOOKUP($AC291,'2017 Seattle Tracts'!$C$2:$Z$399,AR$1,FALSE)*AA291</f>
        <v>0.26937227455642399</v>
      </c>
      <c r="AS291">
        <f>VLOOKUP($AC291,'2017 Seattle Tracts'!$C$2:$Z$399,AS$1,FALSE)*AA291</f>
        <v>0.2625238268982098</v>
      </c>
      <c r="AT291">
        <f>VLOOKUP($AC291,'2017 Seattle Tracts'!$C$2:$Z$399,AT$1,FALSE)*AA291</f>
        <v>0</v>
      </c>
      <c r="AU291">
        <f>VLOOKUP($AC291,'2017 Seattle Tracts'!$C$2:$Z$399,AU$1,FALSE)*AA291</f>
        <v>0</v>
      </c>
      <c r="AV291">
        <f>VLOOKUP($AC291,'2017 Seattle Tracts'!$C$2:$Z$399,AV$1,FALSE)*AA291</f>
        <v>4.7939133607499178E-2</v>
      </c>
      <c r="AW291">
        <f>VLOOKUP($AC291,'2017 Seattle Tracts'!$C$2:$Z$399,AW$1,FALSE)*AA291</f>
        <v>0</v>
      </c>
      <c r="AX291">
        <f>VLOOKUP($AC291,'2017 Seattle Tracts'!$C$2:$Z$399,AX$1,FALSE)*AA291</f>
        <v>0.60266339392284685</v>
      </c>
      <c r="AY291">
        <f>VLOOKUP($AC291,'2017 Seattle Tracts'!$C$2:$Z$399,AY$1,FALSE)*AA291</f>
        <v>0.17577682322749699</v>
      </c>
    </row>
    <row r="292" spans="1:51" x14ac:dyDescent="0.25">
      <c r="A292" t="s">
        <v>2917</v>
      </c>
      <c r="B292" t="s">
        <v>2918</v>
      </c>
      <c r="C292" t="s">
        <v>3140</v>
      </c>
      <c r="D292" t="s">
        <v>2746</v>
      </c>
      <c r="E292" t="s">
        <v>2747</v>
      </c>
      <c r="F292" t="s">
        <v>2748</v>
      </c>
      <c r="G292" t="s">
        <v>2920</v>
      </c>
      <c r="H292" t="s">
        <v>2921</v>
      </c>
      <c r="I292">
        <v>979865</v>
      </c>
      <c r="J292">
        <v>0</v>
      </c>
      <c r="K292" t="s">
        <v>3141</v>
      </c>
      <c r="L292" t="s">
        <v>3142</v>
      </c>
      <c r="M292">
        <v>979865</v>
      </c>
      <c r="N292">
        <v>118</v>
      </c>
      <c r="O292">
        <v>26501.526999999998</v>
      </c>
      <c r="P292" t="s">
        <v>122</v>
      </c>
      <c r="Q292">
        <v>1</v>
      </c>
      <c r="R292">
        <v>2</v>
      </c>
      <c r="S292">
        <v>19</v>
      </c>
      <c r="T292">
        <v>42044564</v>
      </c>
      <c r="U292">
        <v>120</v>
      </c>
      <c r="V292">
        <v>115</v>
      </c>
      <c r="W292">
        <v>26501.526591104928</v>
      </c>
      <c r="X292">
        <v>42044563.673184253</v>
      </c>
      <c r="Y292">
        <v>652784.29</v>
      </c>
      <c r="Z292">
        <f>VLOOKUP($AC292,'2017 Seattle Tracts'!$C$2:$Z$399,24,FALSE)</f>
        <v>979865.26800000004</v>
      </c>
      <c r="AA292">
        <f t="shared" si="9"/>
        <v>0.66619800835720611</v>
      </c>
      <c r="AB292" t="s">
        <v>221</v>
      </c>
      <c r="AC292" t="str">
        <f t="shared" si="8"/>
        <v>Census Tract 28, King County, Washington</v>
      </c>
      <c r="AD292">
        <f>VLOOKUP($AC292,'2017 Seattle Tracts'!$C$2:$Z$399,AD$1,FALSE)*AA292</f>
        <v>3233.7251325658785</v>
      </c>
      <c r="AE292">
        <f>VLOOKUP($AC292,'2017 Seattle Tracts'!$C$2:$Z$399,AE$1,FALSE)*AA292</f>
        <v>2897.9613363538465</v>
      </c>
      <c r="AF292">
        <f>VLOOKUP($AC292,'2017 Seattle Tracts'!$C$2:$Z$399,AF$1,FALSE)*AA292</f>
        <v>335.76379621203188</v>
      </c>
      <c r="AG292">
        <f>VLOOKUP($AC292,'2017 Seattle Tracts'!$C$2:$Z$399,AG$1,FALSE)*AA292</f>
        <v>3233.7251325658785</v>
      </c>
      <c r="AH292">
        <f>VLOOKUP($AC292,'2017 Seattle Tracts'!$C$2:$Z$399,AH$1,FALSE)*AA292</f>
        <v>2897.9613363538465</v>
      </c>
      <c r="AI292">
        <f>VLOOKUP($AC292,'2017 Seattle Tracts'!$C$2:$Z$399,AI$1,FALSE)*AA292</f>
        <v>335.76379621203188</v>
      </c>
      <c r="AJ292">
        <f>VLOOKUP($AC292,'2017 Seattle Tracts'!$C$2:$Z$399,AJ$1,FALSE)*AA292</f>
        <v>2559.5327481083859</v>
      </c>
      <c r="AK292">
        <f>VLOOKUP($AC292,'2017 Seattle Tracts'!$C$2:$Z$399,AK$1,FALSE)*AA292</f>
        <v>191.86502640687536</v>
      </c>
      <c r="AL292">
        <f>VLOOKUP($AC292,'2017 Seattle Tracts'!$C$2:$Z$399,AL$1,FALSE)*AA292</f>
        <v>68.618394860792222</v>
      </c>
      <c r="AM292">
        <f>VLOOKUP($AC292,'2017 Seattle Tracts'!$C$2:$Z$399,AM$1,FALSE)*AA292</f>
        <v>13.990158175501328</v>
      </c>
      <c r="AN292">
        <f>VLOOKUP($AC292,'2017 Seattle Tracts'!$C$2:$Z$399,AN$1,FALSE)*AA292</f>
        <v>1.3323960167144122</v>
      </c>
      <c r="AO292">
        <f>VLOOKUP($AC292,'2017 Seattle Tracts'!$C$2:$Z$399,AO$1,FALSE)*AA292</f>
        <v>1.9985940250716183</v>
      </c>
      <c r="AP292">
        <f>VLOOKUP($AC292,'2017 Seattle Tracts'!$C$2:$Z$399,AP$1,FALSE)*AA292</f>
        <v>0</v>
      </c>
      <c r="AQ292">
        <f>VLOOKUP($AC292,'2017 Seattle Tracts'!$C$2:$Z$399,AQ$1,FALSE)*AA292</f>
        <v>0</v>
      </c>
      <c r="AR292">
        <f>VLOOKUP($AC292,'2017 Seattle Tracts'!$C$2:$Z$399,AR$1,FALSE)*AA292</f>
        <v>78.611364986150321</v>
      </c>
      <c r="AS292">
        <f>VLOOKUP($AC292,'2017 Seattle Tracts'!$C$2:$Z$399,AS$1,FALSE)*AA292</f>
        <v>76.612770961078695</v>
      </c>
      <c r="AT292">
        <f>VLOOKUP($AC292,'2017 Seattle Tracts'!$C$2:$Z$399,AT$1,FALSE)*AA292</f>
        <v>0</v>
      </c>
      <c r="AU292">
        <f>VLOOKUP($AC292,'2017 Seattle Tracts'!$C$2:$Z$399,AU$1,FALSE)*AA292</f>
        <v>0</v>
      </c>
      <c r="AV292">
        <f>VLOOKUP($AC292,'2017 Seattle Tracts'!$C$2:$Z$399,AV$1,FALSE)*AA292</f>
        <v>13.990158175501328</v>
      </c>
      <c r="AW292">
        <f>VLOOKUP($AC292,'2017 Seattle Tracts'!$C$2:$Z$399,AW$1,FALSE)*AA292</f>
        <v>0</v>
      </c>
      <c r="AX292">
        <f>VLOOKUP($AC292,'2017 Seattle Tracts'!$C$2:$Z$399,AX$1,FALSE)*AA292</f>
        <v>175.87627420630241</v>
      </c>
      <c r="AY292">
        <f>VLOOKUP($AC292,'2017 Seattle Tracts'!$C$2:$Z$399,AY$1,FALSE)*AA292</f>
        <v>51.29724664350487</v>
      </c>
    </row>
    <row r="293" spans="1:51" x14ac:dyDescent="0.25">
      <c r="A293" t="s">
        <v>2917</v>
      </c>
      <c r="B293" t="s">
        <v>2918</v>
      </c>
      <c r="C293" t="s">
        <v>3143</v>
      </c>
      <c r="D293" t="s">
        <v>2617</v>
      </c>
      <c r="E293" t="s">
        <v>2618</v>
      </c>
      <c r="F293" t="s">
        <v>2619</v>
      </c>
      <c r="G293" t="s">
        <v>2920</v>
      </c>
      <c r="H293" t="s">
        <v>2921</v>
      </c>
      <c r="I293">
        <v>1147618</v>
      </c>
      <c r="J293">
        <v>0</v>
      </c>
      <c r="K293" t="s">
        <v>3144</v>
      </c>
      <c r="L293" t="s">
        <v>3145</v>
      </c>
      <c r="M293">
        <v>1133540</v>
      </c>
      <c r="N293">
        <v>98</v>
      </c>
      <c r="O293">
        <v>34138.93</v>
      </c>
      <c r="P293" t="s">
        <v>201</v>
      </c>
      <c r="Q293">
        <v>11</v>
      </c>
      <c r="R293">
        <v>3</v>
      </c>
      <c r="S293">
        <v>9</v>
      </c>
      <c r="T293">
        <v>19763186</v>
      </c>
      <c r="U293">
        <v>100</v>
      </c>
      <c r="V293">
        <v>146</v>
      </c>
      <c r="W293">
        <v>34138.92787921233</v>
      </c>
      <c r="X293">
        <v>19763186.566329598</v>
      </c>
      <c r="Y293">
        <v>212698.31700000001</v>
      </c>
      <c r="Z293">
        <f>VLOOKUP($AC293,'2017 Seattle Tracts'!$C$2:$Z$399,24,FALSE)</f>
        <v>1133539.8970000001</v>
      </c>
      <c r="AA293">
        <f t="shared" si="9"/>
        <v>0.18764078579229751</v>
      </c>
      <c r="AB293" t="s">
        <v>202</v>
      </c>
      <c r="AC293" t="str">
        <f t="shared" si="8"/>
        <v>Census Tract 65, King County, Washington</v>
      </c>
      <c r="AD293">
        <f>VLOOKUP($AC293,'2017 Seattle Tracts'!$C$2:$Z$399,AD$1,FALSE)*AA293</f>
        <v>901.98925730357416</v>
      </c>
      <c r="AE293">
        <f>VLOOKUP($AC293,'2017 Seattle Tracts'!$C$2:$Z$399,AE$1,FALSE)*AA293</f>
        <v>804.22840790578709</v>
      </c>
      <c r="AF293">
        <f>VLOOKUP($AC293,'2017 Seattle Tracts'!$C$2:$Z$399,AF$1,FALSE)*AA293</f>
        <v>97.760849397786998</v>
      </c>
      <c r="AG293">
        <f>VLOOKUP($AC293,'2017 Seattle Tracts'!$C$2:$Z$399,AG$1,FALSE)*AA293</f>
        <v>901.98925730357416</v>
      </c>
      <c r="AH293">
        <f>VLOOKUP($AC293,'2017 Seattle Tracts'!$C$2:$Z$399,AH$1,FALSE)*AA293</f>
        <v>804.22840790578709</v>
      </c>
      <c r="AI293">
        <f>VLOOKUP($AC293,'2017 Seattle Tracts'!$C$2:$Z$399,AI$1,FALSE)*AA293</f>
        <v>97.760849397786998</v>
      </c>
      <c r="AJ293">
        <f>VLOOKUP($AC293,'2017 Seattle Tracts'!$C$2:$Z$399,AJ$1,FALSE)*AA293</f>
        <v>677.19559592440169</v>
      </c>
      <c r="AK293">
        <f>VLOOKUP($AC293,'2017 Seattle Tracts'!$C$2:$Z$399,AK$1,FALSE)*AA293</f>
        <v>57.042798880858442</v>
      </c>
      <c r="AL293">
        <f>VLOOKUP($AC293,'2017 Seattle Tracts'!$C$2:$Z$399,AL$1,FALSE)*AA293</f>
        <v>30.585448084144495</v>
      </c>
      <c r="AM293">
        <f>VLOOKUP($AC293,'2017 Seattle Tracts'!$C$2:$Z$399,AM$1,FALSE)*AA293</f>
        <v>4.8786604305997354</v>
      </c>
      <c r="AN293">
        <f>VLOOKUP($AC293,'2017 Seattle Tracts'!$C$2:$Z$399,AN$1,FALSE)*AA293</f>
        <v>3.5651749300536526</v>
      </c>
      <c r="AO293">
        <f>VLOOKUP($AC293,'2017 Seattle Tracts'!$C$2:$Z$399,AO$1,FALSE)*AA293</f>
        <v>0</v>
      </c>
      <c r="AP293">
        <f>VLOOKUP($AC293,'2017 Seattle Tracts'!$C$2:$Z$399,AP$1,FALSE)*AA293</f>
        <v>1.6887670721306776</v>
      </c>
      <c r="AQ293">
        <f>VLOOKUP($AC293,'2017 Seattle Tracts'!$C$2:$Z$399,AQ$1,FALSE)*AA293</f>
        <v>0</v>
      </c>
      <c r="AR293">
        <f>VLOOKUP($AC293,'2017 Seattle Tracts'!$C$2:$Z$399,AR$1,FALSE)*AA293</f>
        <v>29.647244155183007</v>
      </c>
      <c r="AS293">
        <f>VLOOKUP($AC293,'2017 Seattle Tracts'!$C$2:$Z$399,AS$1,FALSE)*AA293</f>
        <v>24.580942938790972</v>
      </c>
      <c r="AT293">
        <f>VLOOKUP($AC293,'2017 Seattle Tracts'!$C$2:$Z$399,AT$1,FALSE)*AA293</f>
        <v>2.6269710010921652</v>
      </c>
      <c r="AU293">
        <f>VLOOKUP($AC293,'2017 Seattle Tracts'!$C$2:$Z$399,AU$1,FALSE)*AA293</f>
        <v>0</v>
      </c>
      <c r="AV293">
        <f>VLOOKUP($AC293,'2017 Seattle Tracts'!$C$2:$Z$399,AV$1,FALSE)*AA293</f>
        <v>8.8191169322379821</v>
      </c>
      <c r="AW293">
        <f>VLOOKUP($AC293,'2017 Seattle Tracts'!$C$2:$Z$399,AW$1,FALSE)*AA293</f>
        <v>3.0022525726767602</v>
      </c>
      <c r="AX293">
        <f>VLOOKUP($AC293,'2017 Seattle Tracts'!$C$2:$Z$399,AX$1,FALSE)*AA293</f>
        <v>50.100089806543437</v>
      </c>
      <c r="AY293">
        <f>VLOOKUP($AC293,'2017 Seattle Tracts'!$C$2:$Z$399,AY$1,FALSE)*AA293</f>
        <v>8.256194574861091</v>
      </c>
    </row>
    <row r="294" spans="1:51" x14ac:dyDescent="0.25">
      <c r="A294" t="s">
        <v>2917</v>
      </c>
      <c r="B294" t="s">
        <v>2918</v>
      </c>
      <c r="C294" t="s">
        <v>3143</v>
      </c>
      <c r="D294" t="s">
        <v>2617</v>
      </c>
      <c r="E294" t="s">
        <v>2618</v>
      </c>
      <c r="F294" t="s">
        <v>2619</v>
      </c>
      <c r="G294" t="s">
        <v>2920</v>
      </c>
      <c r="H294" t="s">
        <v>2921</v>
      </c>
      <c r="I294">
        <v>1147618</v>
      </c>
      <c r="J294">
        <v>0</v>
      </c>
      <c r="K294" t="s">
        <v>3144</v>
      </c>
      <c r="L294" t="s">
        <v>3145</v>
      </c>
      <c r="M294">
        <v>1133540</v>
      </c>
      <c r="N294">
        <v>100</v>
      </c>
      <c r="O294">
        <v>26851.947</v>
      </c>
      <c r="P294" t="s">
        <v>201</v>
      </c>
      <c r="Q294">
        <v>11</v>
      </c>
      <c r="R294">
        <v>3</v>
      </c>
      <c r="S294">
        <v>0</v>
      </c>
      <c r="T294">
        <v>30239240</v>
      </c>
      <c r="U294">
        <v>102</v>
      </c>
      <c r="V294">
        <v>151</v>
      </c>
      <c r="W294">
        <v>26851.9474418256</v>
      </c>
      <c r="X294">
        <v>30239240.52129779</v>
      </c>
      <c r="Y294">
        <v>920761.26100000006</v>
      </c>
      <c r="Z294">
        <f>VLOOKUP($AC294,'2017 Seattle Tracts'!$C$2:$Z$399,24,FALSE)</f>
        <v>1133539.8970000001</v>
      </c>
      <c r="AA294">
        <f t="shared" si="9"/>
        <v>0.81228835741632477</v>
      </c>
      <c r="AB294" t="s">
        <v>204</v>
      </c>
      <c r="AC294" t="str">
        <f t="shared" si="8"/>
        <v>Census Tract 65, King County, Washington</v>
      </c>
      <c r="AD294">
        <f>VLOOKUP($AC294,'2017 Seattle Tracts'!$C$2:$Z$399,AD$1,FALSE)*AA294</f>
        <v>3904.6701341002731</v>
      </c>
      <c r="AE294">
        <f>VLOOKUP($AC294,'2017 Seattle Tracts'!$C$2:$Z$399,AE$1,FALSE)*AA294</f>
        <v>3481.4678998863678</v>
      </c>
      <c r="AF294">
        <f>VLOOKUP($AC294,'2017 Seattle Tracts'!$C$2:$Z$399,AF$1,FALSE)*AA294</f>
        <v>423.20223421390523</v>
      </c>
      <c r="AG294">
        <f>VLOOKUP($AC294,'2017 Seattle Tracts'!$C$2:$Z$399,AG$1,FALSE)*AA294</f>
        <v>3904.6701341002731</v>
      </c>
      <c r="AH294">
        <f>VLOOKUP($AC294,'2017 Seattle Tracts'!$C$2:$Z$399,AH$1,FALSE)*AA294</f>
        <v>3481.4678998863678</v>
      </c>
      <c r="AI294">
        <f>VLOOKUP($AC294,'2017 Seattle Tracts'!$C$2:$Z$399,AI$1,FALSE)*AA294</f>
        <v>423.20223421390523</v>
      </c>
      <c r="AJ294">
        <f>VLOOKUP($AC294,'2017 Seattle Tracts'!$C$2:$Z$399,AJ$1,FALSE)*AA294</f>
        <v>2931.5486819155162</v>
      </c>
      <c r="AK294">
        <f>VLOOKUP($AC294,'2017 Seattle Tracts'!$C$2:$Z$399,AK$1,FALSE)*AA294</f>
        <v>246.93566065456272</v>
      </c>
      <c r="AL294">
        <f>VLOOKUP($AC294,'2017 Seattle Tracts'!$C$2:$Z$399,AL$1,FALSE)*AA294</f>
        <v>132.40300225886094</v>
      </c>
      <c r="AM294">
        <f>VLOOKUP($AC294,'2017 Seattle Tracts'!$C$2:$Z$399,AM$1,FALSE)*AA294</f>
        <v>21.119497292824445</v>
      </c>
      <c r="AN294">
        <f>VLOOKUP($AC294,'2017 Seattle Tracts'!$C$2:$Z$399,AN$1,FALSE)*AA294</f>
        <v>15.43347879091017</v>
      </c>
      <c r="AO294">
        <f>VLOOKUP($AC294,'2017 Seattle Tracts'!$C$2:$Z$399,AO$1,FALSE)*AA294</f>
        <v>0</v>
      </c>
      <c r="AP294">
        <f>VLOOKUP($AC294,'2017 Seattle Tracts'!$C$2:$Z$399,AP$1,FALSE)*AA294</f>
        <v>7.3105952167469228</v>
      </c>
      <c r="AQ294">
        <f>VLOOKUP($AC294,'2017 Seattle Tracts'!$C$2:$Z$399,AQ$1,FALSE)*AA294</f>
        <v>0</v>
      </c>
      <c r="AR294">
        <f>VLOOKUP($AC294,'2017 Seattle Tracts'!$C$2:$Z$399,AR$1,FALSE)*AA294</f>
        <v>128.3415604717793</v>
      </c>
      <c r="AS294">
        <f>VLOOKUP($AC294,'2017 Seattle Tracts'!$C$2:$Z$399,AS$1,FALSE)*AA294</f>
        <v>106.40977482153855</v>
      </c>
      <c r="AT294">
        <f>VLOOKUP($AC294,'2017 Seattle Tracts'!$C$2:$Z$399,AT$1,FALSE)*AA294</f>
        <v>11.372037003828547</v>
      </c>
      <c r="AU294">
        <f>VLOOKUP($AC294,'2017 Seattle Tracts'!$C$2:$Z$399,AU$1,FALSE)*AA294</f>
        <v>0</v>
      </c>
      <c r="AV294">
        <f>VLOOKUP($AC294,'2017 Seattle Tracts'!$C$2:$Z$399,AV$1,FALSE)*AA294</f>
        <v>38.177552798567262</v>
      </c>
      <c r="AW294">
        <f>VLOOKUP($AC294,'2017 Seattle Tracts'!$C$2:$Z$399,AW$1,FALSE)*AA294</f>
        <v>12.996613718661196</v>
      </c>
      <c r="AX294">
        <f>VLOOKUP($AC294,'2017 Seattle Tracts'!$C$2:$Z$399,AX$1,FALSE)*AA294</f>
        <v>216.8809914301587</v>
      </c>
      <c r="AY294">
        <f>VLOOKUP($AC294,'2017 Seattle Tracts'!$C$2:$Z$399,AY$1,FALSE)*AA294</f>
        <v>35.740687726318292</v>
      </c>
    </row>
    <row r="295" spans="1:51" x14ac:dyDescent="0.25">
      <c r="A295" t="s">
        <v>2917</v>
      </c>
      <c r="B295" t="s">
        <v>2918</v>
      </c>
      <c r="C295" t="s">
        <v>3143</v>
      </c>
      <c r="D295" t="s">
        <v>2617</v>
      </c>
      <c r="E295" t="s">
        <v>2618</v>
      </c>
      <c r="F295" t="s">
        <v>2619</v>
      </c>
      <c r="G295" t="s">
        <v>2920</v>
      </c>
      <c r="H295" t="s">
        <v>2921</v>
      </c>
      <c r="I295">
        <v>1147618</v>
      </c>
      <c r="J295">
        <v>0</v>
      </c>
      <c r="K295" t="s">
        <v>3144</v>
      </c>
      <c r="L295" t="s">
        <v>3145</v>
      </c>
      <c r="M295">
        <v>1133540</v>
      </c>
      <c r="N295">
        <v>101</v>
      </c>
      <c r="O295">
        <v>25522.346000000001</v>
      </c>
      <c r="P295" t="s">
        <v>201</v>
      </c>
      <c r="Q295">
        <v>11</v>
      </c>
      <c r="R295">
        <v>3</v>
      </c>
      <c r="S295">
        <v>23</v>
      </c>
      <c r="T295">
        <v>26039592</v>
      </c>
      <c r="U295">
        <v>103</v>
      </c>
      <c r="V295">
        <v>149</v>
      </c>
      <c r="W295">
        <v>25522.345636876809</v>
      </c>
      <c r="X295">
        <v>26039592.07912118</v>
      </c>
      <c r="Y295">
        <v>80.322000000000003</v>
      </c>
      <c r="Z295">
        <f>VLOOKUP($AC295,'2017 Seattle Tracts'!$C$2:$Z$399,24,FALSE)</f>
        <v>1133539.8970000001</v>
      </c>
      <c r="AA295">
        <f t="shared" si="9"/>
        <v>7.0859437954127872E-5</v>
      </c>
      <c r="AB295" t="s">
        <v>205</v>
      </c>
      <c r="AC295" t="str">
        <f t="shared" si="8"/>
        <v>Census Tract 65, King County, Washington</v>
      </c>
      <c r="AD295">
        <f>VLOOKUP($AC295,'2017 Seattle Tracts'!$C$2:$Z$399,AD$1,FALSE)*AA295</f>
        <v>0.34062131824549269</v>
      </c>
      <c r="AE295">
        <f>VLOOKUP($AC295,'2017 Seattle Tracts'!$C$2:$Z$399,AE$1,FALSE)*AA295</f>
        <v>0.30370355107139207</v>
      </c>
      <c r="AF295">
        <f>VLOOKUP($AC295,'2017 Seattle Tracts'!$C$2:$Z$399,AF$1,FALSE)*AA295</f>
        <v>3.691776717410062E-2</v>
      </c>
      <c r="AG295">
        <f>VLOOKUP($AC295,'2017 Seattle Tracts'!$C$2:$Z$399,AG$1,FALSE)*AA295</f>
        <v>0.34062131824549269</v>
      </c>
      <c r="AH295">
        <f>VLOOKUP($AC295,'2017 Seattle Tracts'!$C$2:$Z$399,AH$1,FALSE)*AA295</f>
        <v>0.30370355107139207</v>
      </c>
      <c r="AI295">
        <f>VLOOKUP($AC295,'2017 Seattle Tracts'!$C$2:$Z$399,AI$1,FALSE)*AA295</f>
        <v>3.691776717410062E-2</v>
      </c>
      <c r="AJ295">
        <f>VLOOKUP($AC295,'2017 Seattle Tracts'!$C$2:$Z$399,AJ$1,FALSE)*AA295</f>
        <v>0.25573171157644747</v>
      </c>
      <c r="AK295">
        <f>VLOOKUP($AC295,'2017 Seattle Tracts'!$C$2:$Z$399,AK$1,FALSE)*AA295</f>
        <v>2.1541269138054875E-2</v>
      </c>
      <c r="AL295">
        <f>VLOOKUP($AC295,'2017 Seattle Tracts'!$C$2:$Z$399,AL$1,FALSE)*AA295</f>
        <v>1.1550088386522843E-2</v>
      </c>
      <c r="AM295">
        <f>VLOOKUP($AC295,'2017 Seattle Tracts'!$C$2:$Z$399,AM$1,FALSE)*AA295</f>
        <v>1.8423453868073247E-3</v>
      </c>
      <c r="AN295">
        <f>VLOOKUP($AC295,'2017 Seattle Tracts'!$C$2:$Z$399,AN$1,FALSE)*AA295</f>
        <v>1.3463293211284297E-3</v>
      </c>
      <c r="AO295">
        <f>VLOOKUP($AC295,'2017 Seattle Tracts'!$C$2:$Z$399,AO$1,FALSE)*AA295</f>
        <v>0</v>
      </c>
      <c r="AP295">
        <f>VLOOKUP($AC295,'2017 Seattle Tracts'!$C$2:$Z$399,AP$1,FALSE)*AA295</f>
        <v>6.3773494158715085E-4</v>
      </c>
      <c r="AQ295">
        <f>VLOOKUP($AC295,'2017 Seattle Tracts'!$C$2:$Z$399,AQ$1,FALSE)*AA295</f>
        <v>0</v>
      </c>
      <c r="AR295">
        <f>VLOOKUP($AC295,'2017 Seattle Tracts'!$C$2:$Z$399,AR$1,FALSE)*AA295</f>
        <v>1.1195791196752203E-2</v>
      </c>
      <c r="AS295">
        <f>VLOOKUP($AC295,'2017 Seattle Tracts'!$C$2:$Z$399,AS$1,FALSE)*AA295</f>
        <v>9.2825863719907514E-3</v>
      </c>
      <c r="AT295">
        <f>VLOOKUP($AC295,'2017 Seattle Tracts'!$C$2:$Z$399,AT$1,FALSE)*AA295</f>
        <v>9.9203213135779021E-4</v>
      </c>
      <c r="AU295">
        <f>VLOOKUP($AC295,'2017 Seattle Tracts'!$C$2:$Z$399,AU$1,FALSE)*AA295</f>
        <v>0</v>
      </c>
      <c r="AV295">
        <f>VLOOKUP($AC295,'2017 Seattle Tracts'!$C$2:$Z$399,AV$1,FALSE)*AA295</f>
        <v>3.3303935838440101E-3</v>
      </c>
      <c r="AW295">
        <f>VLOOKUP($AC295,'2017 Seattle Tracts'!$C$2:$Z$399,AW$1,FALSE)*AA295</f>
        <v>1.133751007266046E-3</v>
      </c>
      <c r="AX295">
        <f>VLOOKUP($AC295,'2017 Seattle Tracts'!$C$2:$Z$399,AX$1,FALSE)*AA295</f>
        <v>1.8919469933752143E-2</v>
      </c>
      <c r="AY295">
        <f>VLOOKUP($AC295,'2017 Seattle Tracts'!$C$2:$Z$399,AY$1,FALSE)*AA295</f>
        <v>3.1178152699816264E-3</v>
      </c>
    </row>
    <row r="296" spans="1:51" x14ac:dyDescent="0.25">
      <c r="A296" t="s">
        <v>2917</v>
      </c>
      <c r="B296" t="s">
        <v>2918</v>
      </c>
      <c r="C296" t="s">
        <v>3146</v>
      </c>
      <c r="D296" t="s">
        <v>2593</v>
      </c>
      <c r="E296" t="s">
        <v>2594</v>
      </c>
      <c r="F296" t="s">
        <v>2595</v>
      </c>
      <c r="G296" t="s">
        <v>2920</v>
      </c>
      <c r="H296" t="s">
        <v>2921</v>
      </c>
      <c r="I296">
        <v>1010265</v>
      </c>
      <c r="J296">
        <v>0</v>
      </c>
      <c r="K296" t="s">
        <v>3147</v>
      </c>
      <c r="L296" t="s">
        <v>3148</v>
      </c>
      <c r="M296">
        <v>1010272</v>
      </c>
      <c r="N296">
        <v>45</v>
      </c>
      <c r="O296">
        <v>20496.728999999999</v>
      </c>
      <c r="P296" t="s">
        <v>136</v>
      </c>
      <c r="Q296">
        <v>10</v>
      </c>
      <c r="R296">
        <v>7</v>
      </c>
      <c r="S296">
        <v>9</v>
      </c>
      <c r="T296">
        <v>17515624</v>
      </c>
      <c r="U296">
        <v>47</v>
      </c>
      <c r="V296">
        <v>152</v>
      </c>
      <c r="W296">
        <v>20496.72892223937</v>
      </c>
      <c r="X296">
        <v>17515624.457026299</v>
      </c>
      <c r="Y296">
        <v>133604.902</v>
      </c>
      <c r="Z296">
        <f>VLOOKUP($AC296,'2017 Seattle Tracts'!$C$2:$Z$399,24,FALSE)</f>
        <v>1010272.098</v>
      </c>
      <c r="AA296">
        <f t="shared" si="9"/>
        <v>0.13224645346980571</v>
      </c>
      <c r="AB296" t="s">
        <v>138</v>
      </c>
      <c r="AC296" t="str">
        <f t="shared" si="8"/>
        <v>Census Tract 72, King County, Washington</v>
      </c>
      <c r="AD296">
        <f>VLOOKUP($AC296,'2017 Seattle Tracts'!$C$2:$Z$399,AD$1,FALSE)*AA296</f>
        <v>1171.9680706494182</v>
      </c>
      <c r="AE296">
        <f>VLOOKUP($AC296,'2017 Seattle Tracts'!$C$2:$Z$399,AE$1,FALSE)*AA296</f>
        <v>781.31204709961207</v>
      </c>
      <c r="AF296">
        <f>VLOOKUP($AC296,'2017 Seattle Tracts'!$C$2:$Z$399,AF$1,FALSE)*AA296</f>
        <v>390.65602354980604</v>
      </c>
      <c r="AG296">
        <f>VLOOKUP($AC296,'2017 Seattle Tracts'!$C$2:$Z$399,AG$1,FALSE)*AA296</f>
        <v>1171.9680706494182</v>
      </c>
      <c r="AH296">
        <f>VLOOKUP($AC296,'2017 Seattle Tracts'!$C$2:$Z$399,AH$1,FALSE)*AA296</f>
        <v>781.31204709961207</v>
      </c>
      <c r="AI296">
        <f>VLOOKUP($AC296,'2017 Seattle Tracts'!$C$2:$Z$399,AI$1,FALSE)*AA296</f>
        <v>390.65602354980604</v>
      </c>
      <c r="AJ296">
        <f>VLOOKUP($AC296,'2017 Seattle Tracts'!$C$2:$Z$399,AJ$1,FALSE)*AA296</f>
        <v>575.2720725936548</v>
      </c>
      <c r="AK296">
        <f>VLOOKUP($AC296,'2017 Seattle Tracts'!$C$2:$Z$399,AK$1,FALSE)*AA296</f>
        <v>90.324327719877303</v>
      </c>
      <c r="AL296">
        <f>VLOOKUP($AC296,'2017 Seattle Tracts'!$C$2:$Z$399,AL$1,FALSE)*AA296</f>
        <v>40.599661215230356</v>
      </c>
      <c r="AM296">
        <f>VLOOKUP($AC296,'2017 Seattle Tracts'!$C$2:$Z$399,AM$1,FALSE)*AA296</f>
        <v>26.581537147430947</v>
      </c>
      <c r="AN296">
        <f>VLOOKUP($AC296,'2017 Seattle Tracts'!$C$2:$Z$399,AN$1,FALSE)*AA296</f>
        <v>37.029006971545599</v>
      </c>
      <c r="AO296">
        <f>VLOOKUP($AC296,'2017 Seattle Tracts'!$C$2:$Z$399,AO$1,FALSE)*AA296</f>
        <v>26.713783600900754</v>
      </c>
      <c r="AP296">
        <f>VLOOKUP($AC296,'2017 Seattle Tracts'!$C$2:$Z$399,AP$1,FALSE)*AA296</f>
        <v>14.414863428208822</v>
      </c>
      <c r="AQ296">
        <f>VLOOKUP($AC296,'2017 Seattle Tracts'!$C$2:$Z$399,AQ$1,FALSE)*AA296</f>
        <v>0</v>
      </c>
      <c r="AR296">
        <f>VLOOKUP($AC296,'2017 Seattle Tracts'!$C$2:$Z$399,AR$1,FALSE)*AA296</f>
        <v>56.73372853854665</v>
      </c>
      <c r="AS296">
        <f>VLOOKUP($AC296,'2017 Seattle Tracts'!$C$2:$Z$399,AS$1,FALSE)*AA296</f>
        <v>183.55807741609033</v>
      </c>
      <c r="AT296">
        <f>VLOOKUP($AC296,'2017 Seattle Tracts'!$C$2:$Z$399,AT$1,FALSE)*AA296</f>
        <v>0</v>
      </c>
      <c r="AU296">
        <f>VLOOKUP($AC296,'2017 Seattle Tracts'!$C$2:$Z$399,AU$1,FALSE)*AA296</f>
        <v>0</v>
      </c>
      <c r="AV296">
        <f>VLOOKUP($AC296,'2017 Seattle Tracts'!$C$2:$Z$399,AV$1,FALSE)*AA296</f>
        <v>0</v>
      </c>
      <c r="AW296">
        <f>VLOOKUP($AC296,'2017 Seattle Tracts'!$C$2:$Z$399,AW$1,FALSE)*AA296</f>
        <v>8.9927588359467876</v>
      </c>
      <c r="AX296">
        <f>VLOOKUP($AC296,'2017 Seattle Tracts'!$C$2:$Z$399,AX$1,FALSE)*AA296</f>
        <v>57.262714352425874</v>
      </c>
      <c r="AY296">
        <f>VLOOKUP($AC296,'2017 Seattle Tracts'!$C$2:$Z$399,AY$1,FALSE)*AA296</f>
        <v>54.48553882955995</v>
      </c>
    </row>
    <row r="297" spans="1:51" x14ac:dyDescent="0.25">
      <c r="A297" t="s">
        <v>2917</v>
      </c>
      <c r="B297" t="s">
        <v>2918</v>
      </c>
      <c r="C297" t="s">
        <v>3146</v>
      </c>
      <c r="D297" t="s">
        <v>2593</v>
      </c>
      <c r="E297" t="s">
        <v>2594</v>
      </c>
      <c r="F297" t="s">
        <v>2595</v>
      </c>
      <c r="G297" t="s">
        <v>2920</v>
      </c>
      <c r="H297" t="s">
        <v>2921</v>
      </c>
      <c r="I297">
        <v>1010265</v>
      </c>
      <c r="J297">
        <v>0</v>
      </c>
      <c r="K297" t="s">
        <v>3147</v>
      </c>
      <c r="L297" t="s">
        <v>3148</v>
      </c>
      <c r="M297">
        <v>1010272</v>
      </c>
      <c r="N297">
        <v>49</v>
      </c>
      <c r="O297">
        <v>29323.546999999999</v>
      </c>
      <c r="P297" t="s">
        <v>141</v>
      </c>
      <c r="Q297">
        <v>12</v>
      </c>
      <c r="R297">
        <v>10</v>
      </c>
      <c r="S297">
        <v>95</v>
      </c>
      <c r="T297">
        <v>16107105</v>
      </c>
      <c r="U297">
        <v>51</v>
      </c>
      <c r="V297">
        <v>200</v>
      </c>
      <c r="W297">
        <v>29323.546284384702</v>
      </c>
      <c r="X297">
        <v>16107105.41912676</v>
      </c>
      <c r="Y297">
        <v>446113.18</v>
      </c>
      <c r="Z297">
        <f>VLOOKUP($AC297,'2017 Seattle Tracts'!$C$2:$Z$399,24,FALSE)</f>
        <v>1010272.098</v>
      </c>
      <c r="AA297">
        <f t="shared" si="9"/>
        <v>0.44157725516042112</v>
      </c>
      <c r="AB297" t="s">
        <v>143</v>
      </c>
      <c r="AC297" t="str">
        <f t="shared" si="8"/>
        <v>Census Tract 72, King County, Washington</v>
      </c>
      <c r="AD297">
        <f>VLOOKUP($AC297,'2017 Seattle Tracts'!$C$2:$Z$399,AD$1,FALSE)*AA297</f>
        <v>3913.2576352316519</v>
      </c>
      <c r="AE297">
        <f>VLOOKUP($AC297,'2017 Seattle Tracts'!$C$2:$Z$399,AE$1,FALSE)*AA297</f>
        <v>2608.8384234877681</v>
      </c>
      <c r="AF297">
        <f>VLOOKUP($AC297,'2017 Seattle Tracts'!$C$2:$Z$399,AF$1,FALSE)*AA297</f>
        <v>1304.419211743884</v>
      </c>
      <c r="AG297">
        <f>VLOOKUP($AC297,'2017 Seattle Tracts'!$C$2:$Z$399,AG$1,FALSE)*AA297</f>
        <v>3913.2576352316519</v>
      </c>
      <c r="AH297">
        <f>VLOOKUP($AC297,'2017 Seattle Tracts'!$C$2:$Z$399,AH$1,FALSE)*AA297</f>
        <v>2608.8384234877681</v>
      </c>
      <c r="AI297">
        <f>VLOOKUP($AC297,'2017 Seattle Tracts'!$C$2:$Z$399,AI$1,FALSE)*AA297</f>
        <v>1304.419211743884</v>
      </c>
      <c r="AJ297">
        <f>VLOOKUP($AC297,'2017 Seattle Tracts'!$C$2:$Z$399,AJ$1,FALSE)*AA297</f>
        <v>1920.8610599478318</v>
      </c>
      <c r="AK297">
        <f>VLOOKUP($AC297,'2017 Seattle Tracts'!$C$2:$Z$399,AK$1,FALSE)*AA297</f>
        <v>301.59726527456763</v>
      </c>
      <c r="AL297">
        <f>VLOOKUP($AC297,'2017 Seattle Tracts'!$C$2:$Z$399,AL$1,FALSE)*AA297</f>
        <v>135.56421733424929</v>
      </c>
      <c r="AM297">
        <f>VLOOKUP($AC297,'2017 Seattle Tracts'!$C$2:$Z$399,AM$1,FALSE)*AA297</f>
        <v>88.757028287244651</v>
      </c>
      <c r="AN297">
        <f>VLOOKUP($AC297,'2017 Seattle Tracts'!$C$2:$Z$399,AN$1,FALSE)*AA297</f>
        <v>123.64163144491792</v>
      </c>
      <c r="AO297">
        <f>VLOOKUP($AC297,'2017 Seattle Tracts'!$C$2:$Z$399,AO$1,FALSE)*AA297</f>
        <v>89.198605542405062</v>
      </c>
      <c r="AP297">
        <f>VLOOKUP($AC297,'2017 Seattle Tracts'!$C$2:$Z$399,AP$1,FALSE)*AA297</f>
        <v>48.131920812485902</v>
      </c>
      <c r="AQ297">
        <f>VLOOKUP($AC297,'2017 Seattle Tracts'!$C$2:$Z$399,AQ$1,FALSE)*AA297</f>
        <v>0</v>
      </c>
      <c r="AR297">
        <f>VLOOKUP($AC297,'2017 Seattle Tracts'!$C$2:$Z$399,AR$1,FALSE)*AA297</f>
        <v>189.43664246382068</v>
      </c>
      <c r="AS297">
        <f>VLOOKUP($AC297,'2017 Seattle Tracts'!$C$2:$Z$399,AS$1,FALSE)*AA297</f>
        <v>612.90923016266447</v>
      </c>
      <c r="AT297">
        <f>VLOOKUP($AC297,'2017 Seattle Tracts'!$C$2:$Z$399,AT$1,FALSE)*AA297</f>
        <v>0</v>
      </c>
      <c r="AU297">
        <f>VLOOKUP($AC297,'2017 Seattle Tracts'!$C$2:$Z$399,AU$1,FALSE)*AA297</f>
        <v>0</v>
      </c>
      <c r="AV297">
        <f>VLOOKUP($AC297,'2017 Seattle Tracts'!$C$2:$Z$399,AV$1,FALSE)*AA297</f>
        <v>0</v>
      </c>
      <c r="AW297">
        <f>VLOOKUP($AC297,'2017 Seattle Tracts'!$C$2:$Z$399,AW$1,FALSE)*AA297</f>
        <v>30.027253350908637</v>
      </c>
      <c r="AX297">
        <f>VLOOKUP($AC297,'2017 Seattle Tracts'!$C$2:$Z$399,AX$1,FALSE)*AA297</f>
        <v>191.20295148446235</v>
      </c>
      <c r="AY297">
        <f>VLOOKUP($AC297,'2017 Seattle Tracts'!$C$2:$Z$399,AY$1,FALSE)*AA297</f>
        <v>181.92982912609349</v>
      </c>
    </row>
    <row r="298" spans="1:51" x14ac:dyDescent="0.25">
      <c r="A298" t="s">
        <v>2917</v>
      </c>
      <c r="B298" t="s">
        <v>2918</v>
      </c>
      <c r="C298" t="s">
        <v>3146</v>
      </c>
      <c r="D298" t="s">
        <v>2593</v>
      </c>
      <c r="E298" t="s">
        <v>2594</v>
      </c>
      <c r="F298" t="s">
        <v>2595</v>
      </c>
      <c r="G298" t="s">
        <v>2920</v>
      </c>
      <c r="H298" t="s">
        <v>2921</v>
      </c>
      <c r="I298">
        <v>1010265</v>
      </c>
      <c r="J298">
        <v>0</v>
      </c>
      <c r="K298" t="s">
        <v>3147</v>
      </c>
      <c r="L298" t="s">
        <v>3148</v>
      </c>
      <c r="M298">
        <v>1010272</v>
      </c>
      <c r="N298">
        <v>60</v>
      </c>
      <c r="O298">
        <v>21967.599999999999</v>
      </c>
      <c r="P298" t="s">
        <v>156</v>
      </c>
      <c r="Q298">
        <v>13</v>
      </c>
      <c r="R298">
        <v>11</v>
      </c>
      <c r="S298">
        <v>81</v>
      </c>
      <c r="T298">
        <v>14974037</v>
      </c>
      <c r="U298">
        <v>62</v>
      </c>
      <c r="V298">
        <v>156</v>
      </c>
      <c r="W298">
        <v>21967.599459922661</v>
      </c>
      <c r="X298">
        <v>14974037.0994289</v>
      </c>
      <c r="Y298">
        <v>430518.92200000002</v>
      </c>
      <c r="Z298">
        <f>VLOOKUP($AC298,'2017 Seattle Tracts'!$C$2:$Z$399,24,FALSE)</f>
        <v>1010272.098</v>
      </c>
      <c r="AA298">
        <f t="shared" si="9"/>
        <v>0.42614155419345257</v>
      </c>
      <c r="AB298" t="s">
        <v>157</v>
      </c>
      <c r="AC298" t="str">
        <f t="shared" si="8"/>
        <v>Census Tract 72, King County, Washington</v>
      </c>
      <c r="AD298">
        <f>VLOOKUP($AC298,'2017 Seattle Tracts'!$C$2:$Z$399,AD$1,FALSE)*AA298</f>
        <v>3776.4664532623765</v>
      </c>
      <c r="AE298">
        <f>VLOOKUP($AC298,'2017 Seattle Tracts'!$C$2:$Z$399,AE$1,FALSE)*AA298</f>
        <v>2517.6443021749178</v>
      </c>
      <c r="AF298">
        <f>VLOOKUP($AC298,'2017 Seattle Tracts'!$C$2:$Z$399,AF$1,FALSE)*AA298</f>
        <v>1258.8221510874589</v>
      </c>
      <c r="AG298">
        <f>VLOOKUP($AC298,'2017 Seattle Tracts'!$C$2:$Z$399,AG$1,FALSE)*AA298</f>
        <v>3776.4664532623765</v>
      </c>
      <c r="AH298">
        <f>VLOOKUP($AC298,'2017 Seattle Tracts'!$C$2:$Z$399,AH$1,FALSE)*AA298</f>
        <v>2517.6443021749178</v>
      </c>
      <c r="AI298">
        <f>VLOOKUP($AC298,'2017 Seattle Tracts'!$C$2:$Z$399,AI$1,FALSE)*AA298</f>
        <v>1258.8221510874589</v>
      </c>
      <c r="AJ298">
        <f>VLOOKUP($AC298,'2017 Seattle Tracts'!$C$2:$Z$399,AJ$1,FALSE)*AA298</f>
        <v>1853.7157607415186</v>
      </c>
      <c r="AK298">
        <f>VLOOKUP($AC298,'2017 Seattle Tracts'!$C$2:$Z$399,AK$1,FALSE)*AA298</f>
        <v>291.05468151412811</v>
      </c>
      <c r="AL298">
        <f>VLOOKUP($AC298,'2017 Seattle Tracts'!$C$2:$Z$399,AL$1,FALSE)*AA298</f>
        <v>130.82545713738995</v>
      </c>
      <c r="AM298">
        <f>VLOOKUP($AC298,'2017 Seattle Tracts'!$C$2:$Z$399,AM$1,FALSE)*AA298</f>
        <v>85.654452392883968</v>
      </c>
      <c r="AN298">
        <f>VLOOKUP($AC298,'2017 Seattle Tracts'!$C$2:$Z$399,AN$1,FALSE)*AA298</f>
        <v>119.31963517416672</v>
      </c>
      <c r="AO298">
        <f>VLOOKUP($AC298,'2017 Seattle Tracts'!$C$2:$Z$399,AO$1,FALSE)*AA298</f>
        <v>86.080593947077418</v>
      </c>
      <c r="AP298">
        <f>VLOOKUP($AC298,'2017 Seattle Tracts'!$C$2:$Z$399,AP$1,FALSE)*AA298</f>
        <v>46.449429407086328</v>
      </c>
      <c r="AQ298">
        <f>VLOOKUP($AC298,'2017 Seattle Tracts'!$C$2:$Z$399,AQ$1,FALSE)*AA298</f>
        <v>0</v>
      </c>
      <c r="AR298">
        <f>VLOOKUP($AC298,'2017 Seattle Tracts'!$C$2:$Z$399,AR$1,FALSE)*AA298</f>
        <v>182.81472674899115</v>
      </c>
      <c r="AS298">
        <f>VLOOKUP($AC298,'2017 Seattle Tracts'!$C$2:$Z$399,AS$1,FALSE)*AA298</f>
        <v>591.48447722051219</v>
      </c>
      <c r="AT298">
        <f>VLOOKUP($AC298,'2017 Seattle Tracts'!$C$2:$Z$399,AT$1,FALSE)*AA298</f>
        <v>0</v>
      </c>
      <c r="AU298">
        <f>VLOOKUP($AC298,'2017 Seattle Tracts'!$C$2:$Z$399,AU$1,FALSE)*AA298</f>
        <v>0</v>
      </c>
      <c r="AV298">
        <f>VLOOKUP($AC298,'2017 Seattle Tracts'!$C$2:$Z$399,AV$1,FALSE)*AA298</f>
        <v>0</v>
      </c>
      <c r="AW298">
        <f>VLOOKUP($AC298,'2017 Seattle Tracts'!$C$2:$Z$399,AW$1,FALSE)*AA298</f>
        <v>28.977625685154774</v>
      </c>
      <c r="AX298">
        <f>VLOOKUP($AC298,'2017 Seattle Tracts'!$C$2:$Z$399,AX$1,FALSE)*AA298</f>
        <v>184.51929296576495</v>
      </c>
      <c r="AY298">
        <f>VLOOKUP($AC298,'2017 Seattle Tracts'!$C$2:$Z$399,AY$1,FALSE)*AA298</f>
        <v>175.57032032770246</v>
      </c>
    </row>
    <row r="299" spans="1:51" x14ac:dyDescent="0.25">
      <c r="A299" t="s">
        <v>2917</v>
      </c>
      <c r="B299" t="s">
        <v>2918</v>
      </c>
      <c r="C299" t="s">
        <v>3146</v>
      </c>
      <c r="D299" t="s">
        <v>2593</v>
      </c>
      <c r="E299" t="s">
        <v>2594</v>
      </c>
      <c r="F299" t="s">
        <v>2595</v>
      </c>
      <c r="G299" t="s">
        <v>2920</v>
      </c>
      <c r="H299" t="s">
        <v>2921</v>
      </c>
      <c r="I299">
        <v>1010265</v>
      </c>
      <c r="J299">
        <v>0</v>
      </c>
      <c r="K299" t="s">
        <v>3147</v>
      </c>
      <c r="L299" t="s">
        <v>3148</v>
      </c>
      <c r="M299">
        <v>1010272</v>
      </c>
      <c r="N299">
        <v>62</v>
      </c>
      <c r="O299">
        <v>18209.463</v>
      </c>
      <c r="P299" t="s">
        <v>156</v>
      </c>
      <c r="Q299">
        <v>13</v>
      </c>
      <c r="R299">
        <v>11</v>
      </c>
      <c r="S299">
        <v>95</v>
      </c>
      <c r="T299">
        <v>9477399</v>
      </c>
      <c r="U299">
        <v>64</v>
      </c>
      <c r="V299">
        <v>159</v>
      </c>
      <c r="W299">
        <v>18209.462862458811</v>
      </c>
      <c r="X299">
        <v>9477398.6185622383</v>
      </c>
      <c r="Y299">
        <v>35.103999999999999</v>
      </c>
      <c r="Z299">
        <f>VLOOKUP($AC299,'2017 Seattle Tracts'!$C$2:$Z$399,24,FALSE)</f>
        <v>1010272.098</v>
      </c>
      <c r="AA299">
        <f t="shared" si="9"/>
        <v>3.4747074644043074E-5</v>
      </c>
      <c r="AB299" t="s">
        <v>159</v>
      </c>
      <c r="AC299" t="str">
        <f t="shared" si="8"/>
        <v>Census Tract 72, King County, Washington</v>
      </c>
      <c r="AD299">
        <f>VLOOKUP($AC299,'2017 Seattle Tracts'!$C$2:$Z$399,AD$1,FALSE)*AA299</f>
        <v>0.30792857549550973</v>
      </c>
      <c r="AE299">
        <f>VLOOKUP($AC299,'2017 Seattle Tracts'!$C$2:$Z$399,AE$1,FALSE)*AA299</f>
        <v>0.20528571699700648</v>
      </c>
      <c r="AF299">
        <f>VLOOKUP($AC299,'2017 Seattle Tracts'!$C$2:$Z$399,AF$1,FALSE)*AA299</f>
        <v>0.10264285849850324</v>
      </c>
      <c r="AG299">
        <f>VLOOKUP($AC299,'2017 Seattle Tracts'!$C$2:$Z$399,AG$1,FALSE)*AA299</f>
        <v>0.30792857549550973</v>
      </c>
      <c r="AH299">
        <f>VLOOKUP($AC299,'2017 Seattle Tracts'!$C$2:$Z$399,AH$1,FALSE)*AA299</f>
        <v>0.20528571699700648</v>
      </c>
      <c r="AI299">
        <f>VLOOKUP($AC299,'2017 Seattle Tracts'!$C$2:$Z$399,AI$1,FALSE)*AA299</f>
        <v>0.10264285849850324</v>
      </c>
      <c r="AJ299">
        <f>VLOOKUP($AC299,'2017 Seattle Tracts'!$C$2:$Z$399,AJ$1,FALSE)*AA299</f>
        <v>0.15114977470158736</v>
      </c>
      <c r="AK299">
        <f>VLOOKUP($AC299,'2017 Seattle Tracts'!$C$2:$Z$399,AK$1,FALSE)*AA299</f>
        <v>2.3732251981881419E-2</v>
      </c>
      <c r="AL299">
        <f>VLOOKUP($AC299,'2017 Seattle Tracts'!$C$2:$Z$399,AL$1,FALSE)*AA299</f>
        <v>1.0667351915721223E-2</v>
      </c>
      <c r="AM299">
        <f>VLOOKUP($AC299,'2017 Seattle Tracts'!$C$2:$Z$399,AM$1,FALSE)*AA299</f>
        <v>6.9841620034526578E-3</v>
      </c>
      <c r="AN299">
        <f>VLOOKUP($AC299,'2017 Seattle Tracts'!$C$2:$Z$399,AN$1,FALSE)*AA299</f>
        <v>9.7291809003320611E-3</v>
      </c>
      <c r="AO299">
        <f>VLOOKUP($AC299,'2017 Seattle Tracts'!$C$2:$Z$399,AO$1,FALSE)*AA299</f>
        <v>7.0189090780967012E-3</v>
      </c>
      <c r="AP299">
        <f>VLOOKUP($AC299,'2017 Seattle Tracts'!$C$2:$Z$399,AP$1,FALSE)*AA299</f>
        <v>3.7874311362006952E-3</v>
      </c>
      <c r="AQ299">
        <f>VLOOKUP($AC299,'2017 Seattle Tracts'!$C$2:$Z$399,AQ$1,FALSE)*AA299</f>
        <v>0</v>
      </c>
      <c r="AR299">
        <f>VLOOKUP($AC299,'2017 Seattle Tracts'!$C$2:$Z$399,AR$1,FALSE)*AA299</f>
        <v>1.4906495022294479E-2</v>
      </c>
      <c r="AS299">
        <f>VLOOKUP($AC299,'2017 Seattle Tracts'!$C$2:$Z$399,AS$1,FALSE)*AA299</f>
        <v>4.8228939605931789E-2</v>
      </c>
      <c r="AT299">
        <f>VLOOKUP($AC299,'2017 Seattle Tracts'!$C$2:$Z$399,AT$1,FALSE)*AA299</f>
        <v>0</v>
      </c>
      <c r="AU299">
        <f>VLOOKUP($AC299,'2017 Seattle Tracts'!$C$2:$Z$399,AU$1,FALSE)*AA299</f>
        <v>0</v>
      </c>
      <c r="AV299">
        <f>VLOOKUP($AC299,'2017 Seattle Tracts'!$C$2:$Z$399,AV$1,FALSE)*AA299</f>
        <v>0</v>
      </c>
      <c r="AW299">
        <f>VLOOKUP($AC299,'2017 Seattle Tracts'!$C$2:$Z$399,AW$1,FALSE)*AA299</f>
        <v>2.3628010757949288E-3</v>
      </c>
      <c r="AX299">
        <f>VLOOKUP($AC299,'2017 Seattle Tracts'!$C$2:$Z$399,AX$1,FALSE)*AA299</f>
        <v>1.5045483320870651E-2</v>
      </c>
      <c r="AY299">
        <f>VLOOKUP($AC299,'2017 Seattle Tracts'!$C$2:$Z$399,AY$1,FALSE)*AA299</f>
        <v>1.4315794753345747E-2</v>
      </c>
    </row>
    <row r="300" spans="1:51" x14ac:dyDescent="0.25">
      <c r="A300" t="s">
        <v>2917</v>
      </c>
      <c r="B300" t="s">
        <v>2918</v>
      </c>
      <c r="C300" t="s">
        <v>3149</v>
      </c>
      <c r="D300" t="s">
        <v>2734</v>
      </c>
      <c r="E300" t="s">
        <v>2735</v>
      </c>
      <c r="F300" t="s">
        <v>2736</v>
      </c>
      <c r="G300" t="s">
        <v>2920</v>
      </c>
      <c r="H300" t="s">
        <v>2921</v>
      </c>
      <c r="I300">
        <v>2232860</v>
      </c>
      <c r="J300">
        <v>465516</v>
      </c>
      <c r="K300" t="s">
        <v>3150</v>
      </c>
      <c r="L300" t="s">
        <v>3151</v>
      </c>
      <c r="M300">
        <v>2126262</v>
      </c>
      <c r="N300">
        <v>27</v>
      </c>
      <c r="O300">
        <v>18831.009999999998</v>
      </c>
      <c r="P300" t="s">
        <v>117</v>
      </c>
      <c r="Q300">
        <v>7</v>
      </c>
      <c r="R300">
        <v>11</v>
      </c>
      <c r="S300">
        <v>23</v>
      </c>
      <c r="T300">
        <v>21320656</v>
      </c>
      <c r="U300">
        <v>29</v>
      </c>
      <c r="V300">
        <v>120</v>
      </c>
      <c r="W300">
        <v>18831.00959636999</v>
      </c>
      <c r="X300">
        <v>21320655.545531079</v>
      </c>
      <c r="Y300">
        <v>1000944.731</v>
      </c>
      <c r="Z300">
        <f>VLOOKUP($AC300,'2017 Seattle Tracts'!$C$2:$Z$399,24,FALSE)</f>
        <v>2126261.835</v>
      </c>
      <c r="AA300">
        <f t="shared" si="9"/>
        <v>0.47075327907581055</v>
      </c>
      <c r="AB300" t="s">
        <v>116</v>
      </c>
      <c r="AC300" t="str">
        <f t="shared" si="8"/>
        <v>Census Tract 31, King County, Washington</v>
      </c>
      <c r="AD300">
        <f>VLOOKUP($AC300,'2017 Seattle Tracts'!$C$2:$Z$399,AD$1,FALSE)*AA300</f>
        <v>3039.6539229925088</v>
      </c>
      <c r="AE300">
        <f>VLOOKUP($AC300,'2017 Seattle Tracts'!$C$2:$Z$399,AE$1,FALSE)*AA300</f>
        <v>2866.8874695716863</v>
      </c>
      <c r="AF300">
        <f>VLOOKUP($AC300,'2017 Seattle Tracts'!$C$2:$Z$399,AF$1,FALSE)*AA300</f>
        <v>172.76645342082247</v>
      </c>
      <c r="AG300">
        <f>VLOOKUP($AC300,'2017 Seattle Tracts'!$C$2:$Z$399,AG$1,FALSE)*AA300</f>
        <v>3039.6539229925088</v>
      </c>
      <c r="AH300">
        <f>VLOOKUP($AC300,'2017 Seattle Tracts'!$C$2:$Z$399,AH$1,FALSE)*AA300</f>
        <v>2866.8874695716863</v>
      </c>
      <c r="AI300">
        <f>VLOOKUP($AC300,'2017 Seattle Tracts'!$C$2:$Z$399,AI$1,FALSE)*AA300</f>
        <v>172.76645342082247</v>
      </c>
      <c r="AJ300">
        <f>VLOOKUP($AC300,'2017 Seattle Tracts'!$C$2:$Z$399,AJ$1,FALSE)*AA300</f>
        <v>2531.2403815906332</v>
      </c>
      <c r="AK300">
        <f>VLOOKUP($AC300,'2017 Seattle Tracts'!$C$2:$Z$399,AK$1,FALSE)*AA300</f>
        <v>114.39304681542197</v>
      </c>
      <c r="AL300">
        <f>VLOOKUP($AC300,'2017 Seattle Tracts'!$C$2:$Z$399,AL$1,FALSE)*AA300</f>
        <v>152.05330914148681</v>
      </c>
      <c r="AM300">
        <f>VLOOKUP($AC300,'2017 Seattle Tracts'!$C$2:$Z$399,AM$1,FALSE)*AA300</f>
        <v>12.710338535046885</v>
      </c>
      <c r="AN300">
        <f>VLOOKUP($AC300,'2017 Seattle Tracts'!$C$2:$Z$399,AN$1,FALSE)*AA300</f>
        <v>13.181091814122695</v>
      </c>
      <c r="AO300">
        <f>VLOOKUP($AC300,'2017 Seattle Tracts'!$C$2:$Z$399,AO$1,FALSE)*AA300</f>
        <v>0</v>
      </c>
      <c r="AP300">
        <f>VLOOKUP($AC300,'2017 Seattle Tracts'!$C$2:$Z$399,AP$1,FALSE)*AA300</f>
        <v>26.36218362824539</v>
      </c>
      <c r="AQ300">
        <f>VLOOKUP($AC300,'2017 Seattle Tracts'!$C$2:$Z$399,AQ$1,FALSE)*AA300</f>
        <v>0</v>
      </c>
      <c r="AR300">
        <f>VLOOKUP($AC300,'2017 Seattle Tracts'!$C$2:$Z$399,AR$1,FALSE)*AA300</f>
        <v>47.546081186656863</v>
      </c>
      <c r="AS300">
        <f>VLOOKUP($AC300,'2017 Seattle Tracts'!$C$2:$Z$399,AS$1,FALSE)*AA300</f>
        <v>45.663068070353624</v>
      </c>
      <c r="AT300">
        <f>VLOOKUP($AC300,'2017 Seattle Tracts'!$C$2:$Z$399,AT$1,FALSE)*AA300</f>
        <v>0</v>
      </c>
      <c r="AU300">
        <f>VLOOKUP($AC300,'2017 Seattle Tracts'!$C$2:$Z$399,AU$1,FALSE)*AA300</f>
        <v>0</v>
      </c>
      <c r="AV300">
        <f>VLOOKUP($AC300,'2017 Seattle Tracts'!$C$2:$Z$399,AV$1,FALSE)*AA300</f>
        <v>0</v>
      </c>
      <c r="AW300">
        <f>VLOOKUP($AC300,'2017 Seattle Tracts'!$C$2:$Z$399,AW$1,FALSE)*AA300</f>
        <v>0</v>
      </c>
      <c r="AX300">
        <f>VLOOKUP($AC300,'2017 Seattle Tracts'!$C$2:$Z$399,AX$1,FALSE)*AA300</f>
        <v>96.504422210541165</v>
      </c>
      <c r="AY300">
        <f>VLOOKUP($AC300,'2017 Seattle Tracts'!$C$2:$Z$399,AY$1,FALSE)*AA300</f>
        <v>0</v>
      </c>
    </row>
    <row r="301" spans="1:51" x14ac:dyDescent="0.25">
      <c r="A301" t="s">
        <v>2917</v>
      </c>
      <c r="B301" t="s">
        <v>2918</v>
      </c>
      <c r="C301" t="s">
        <v>3149</v>
      </c>
      <c r="D301" t="s">
        <v>2734</v>
      </c>
      <c r="E301" t="s">
        <v>2735</v>
      </c>
      <c r="F301" t="s">
        <v>2736</v>
      </c>
      <c r="G301" t="s">
        <v>2920</v>
      </c>
      <c r="H301" t="s">
        <v>2921</v>
      </c>
      <c r="I301">
        <v>2232860</v>
      </c>
      <c r="J301">
        <v>465516</v>
      </c>
      <c r="K301" t="s">
        <v>3150</v>
      </c>
      <c r="L301" t="s">
        <v>3151</v>
      </c>
      <c r="M301">
        <v>2126262</v>
      </c>
      <c r="N301">
        <v>114</v>
      </c>
      <c r="O301">
        <v>32947.805</v>
      </c>
      <c r="P301" t="s">
        <v>122</v>
      </c>
      <c r="Q301">
        <v>1</v>
      </c>
      <c r="R301">
        <v>2</v>
      </c>
      <c r="S301">
        <v>33</v>
      </c>
      <c r="T301">
        <v>31062266</v>
      </c>
      <c r="U301">
        <v>116</v>
      </c>
      <c r="V301">
        <v>109</v>
      </c>
      <c r="W301">
        <v>32947.805911989883</v>
      </c>
      <c r="X301">
        <v>31062264.991369769</v>
      </c>
      <c r="Y301">
        <v>3858.6060000000002</v>
      </c>
      <c r="Z301">
        <f>VLOOKUP($AC301,'2017 Seattle Tracts'!$C$2:$Z$399,24,FALSE)</f>
        <v>2126261.835</v>
      </c>
      <c r="AA301">
        <f t="shared" si="9"/>
        <v>1.8147369888713637E-3</v>
      </c>
      <c r="AB301" t="s">
        <v>217</v>
      </c>
      <c r="AC301" t="str">
        <f t="shared" si="8"/>
        <v>Census Tract 31, King County, Washington</v>
      </c>
      <c r="AD301">
        <f>VLOOKUP($AC301,'2017 Seattle Tracts'!$C$2:$Z$399,AD$1,FALSE)*AA301</f>
        <v>11.717756737142395</v>
      </c>
      <c r="AE301">
        <f>VLOOKUP($AC301,'2017 Seattle Tracts'!$C$2:$Z$399,AE$1,FALSE)*AA301</f>
        <v>11.051748262226605</v>
      </c>
      <c r="AF301">
        <f>VLOOKUP($AC301,'2017 Seattle Tracts'!$C$2:$Z$399,AF$1,FALSE)*AA301</f>
        <v>0.66600847491579052</v>
      </c>
      <c r="AG301">
        <f>VLOOKUP($AC301,'2017 Seattle Tracts'!$C$2:$Z$399,AG$1,FALSE)*AA301</f>
        <v>11.717756737142395</v>
      </c>
      <c r="AH301">
        <f>VLOOKUP($AC301,'2017 Seattle Tracts'!$C$2:$Z$399,AH$1,FALSE)*AA301</f>
        <v>11.051748262226605</v>
      </c>
      <c r="AI301">
        <f>VLOOKUP($AC301,'2017 Seattle Tracts'!$C$2:$Z$399,AI$1,FALSE)*AA301</f>
        <v>0.66600847491579052</v>
      </c>
      <c r="AJ301">
        <f>VLOOKUP($AC301,'2017 Seattle Tracts'!$C$2:$Z$399,AJ$1,FALSE)*AA301</f>
        <v>9.7578407891613228</v>
      </c>
      <c r="AK301">
        <f>VLOOKUP($AC301,'2017 Seattle Tracts'!$C$2:$Z$399,AK$1,FALSE)*AA301</f>
        <v>0.44098108829574134</v>
      </c>
      <c r="AL301">
        <f>VLOOKUP($AC301,'2017 Seattle Tracts'!$C$2:$Z$399,AL$1,FALSE)*AA301</f>
        <v>0.58616004740545047</v>
      </c>
      <c r="AM301">
        <f>VLOOKUP($AC301,'2017 Seattle Tracts'!$C$2:$Z$399,AM$1,FALSE)*AA301</f>
        <v>4.8997898699526816E-2</v>
      </c>
      <c r="AN301">
        <f>VLOOKUP($AC301,'2017 Seattle Tracts'!$C$2:$Z$399,AN$1,FALSE)*AA301</f>
        <v>5.0812635688398181E-2</v>
      </c>
      <c r="AO301">
        <f>VLOOKUP($AC301,'2017 Seattle Tracts'!$C$2:$Z$399,AO$1,FALSE)*AA301</f>
        <v>0</v>
      </c>
      <c r="AP301">
        <f>VLOOKUP($AC301,'2017 Seattle Tracts'!$C$2:$Z$399,AP$1,FALSE)*AA301</f>
        <v>0.10162527137679636</v>
      </c>
      <c r="AQ301">
        <f>VLOOKUP($AC301,'2017 Seattle Tracts'!$C$2:$Z$399,AQ$1,FALSE)*AA301</f>
        <v>0</v>
      </c>
      <c r="AR301">
        <f>VLOOKUP($AC301,'2017 Seattle Tracts'!$C$2:$Z$399,AR$1,FALSE)*AA301</f>
        <v>0.18328843587600774</v>
      </c>
      <c r="AS301">
        <f>VLOOKUP($AC301,'2017 Seattle Tracts'!$C$2:$Z$399,AS$1,FALSE)*AA301</f>
        <v>0.17602948792052228</v>
      </c>
      <c r="AT301">
        <f>VLOOKUP($AC301,'2017 Seattle Tracts'!$C$2:$Z$399,AT$1,FALSE)*AA301</f>
        <v>0</v>
      </c>
      <c r="AU301">
        <f>VLOOKUP($AC301,'2017 Seattle Tracts'!$C$2:$Z$399,AU$1,FALSE)*AA301</f>
        <v>0</v>
      </c>
      <c r="AV301">
        <f>VLOOKUP($AC301,'2017 Seattle Tracts'!$C$2:$Z$399,AV$1,FALSE)*AA301</f>
        <v>0</v>
      </c>
      <c r="AW301">
        <f>VLOOKUP($AC301,'2017 Seattle Tracts'!$C$2:$Z$399,AW$1,FALSE)*AA301</f>
        <v>0</v>
      </c>
      <c r="AX301">
        <f>VLOOKUP($AC301,'2017 Seattle Tracts'!$C$2:$Z$399,AX$1,FALSE)*AA301</f>
        <v>0.37202108271862955</v>
      </c>
      <c r="AY301">
        <f>VLOOKUP($AC301,'2017 Seattle Tracts'!$C$2:$Z$399,AY$1,FALSE)*AA301</f>
        <v>0</v>
      </c>
    </row>
    <row r="302" spans="1:51" x14ac:dyDescent="0.25">
      <c r="A302" t="s">
        <v>2917</v>
      </c>
      <c r="B302" t="s">
        <v>2918</v>
      </c>
      <c r="C302" t="s">
        <v>3149</v>
      </c>
      <c r="D302" t="s">
        <v>2734</v>
      </c>
      <c r="E302" t="s">
        <v>2735</v>
      </c>
      <c r="F302" t="s">
        <v>2736</v>
      </c>
      <c r="G302" t="s">
        <v>2920</v>
      </c>
      <c r="H302" t="s">
        <v>2921</v>
      </c>
      <c r="I302">
        <v>2232860</v>
      </c>
      <c r="J302">
        <v>465516</v>
      </c>
      <c r="K302" t="s">
        <v>3150</v>
      </c>
      <c r="L302" t="s">
        <v>3151</v>
      </c>
      <c r="M302">
        <v>2126262</v>
      </c>
      <c r="N302">
        <v>119</v>
      </c>
      <c r="O302">
        <v>29416.73</v>
      </c>
      <c r="P302" t="s">
        <v>117</v>
      </c>
      <c r="Q302">
        <v>7</v>
      </c>
      <c r="R302">
        <v>11</v>
      </c>
      <c r="S302">
        <v>81</v>
      </c>
      <c r="T302">
        <v>24335620</v>
      </c>
      <c r="U302">
        <v>121</v>
      </c>
      <c r="V302">
        <v>116</v>
      </c>
      <c r="W302">
        <v>29416.730063357121</v>
      </c>
      <c r="X302">
        <v>24335620.469402239</v>
      </c>
      <c r="Y302">
        <v>1119829.4920000001</v>
      </c>
      <c r="Z302">
        <f>VLOOKUP($AC302,'2017 Seattle Tracts'!$C$2:$Z$399,24,FALSE)</f>
        <v>2126261.835</v>
      </c>
      <c r="AA302">
        <f t="shared" si="9"/>
        <v>0.5266658478117302</v>
      </c>
      <c r="AB302" t="s">
        <v>222</v>
      </c>
      <c r="AC302" t="str">
        <f t="shared" si="8"/>
        <v>Census Tract 31, King County, Washington</v>
      </c>
      <c r="AD302">
        <f>VLOOKUP($AC302,'2017 Seattle Tracts'!$C$2:$Z$399,AD$1,FALSE)*AA302</f>
        <v>3400.6813793203419</v>
      </c>
      <c r="AE302">
        <f>VLOOKUP($AC302,'2017 Seattle Tracts'!$C$2:$Z$399,AE$1,FALSE)*AA302</f>
        <v>3207.3950131734368</v>
      </c>
      <c r="AF302">
        <f>VLOOKUP($AC302,'2017 Seattle Tracts'!$C$2:$Z$399,AF$1,FALSE)*AA302</f>
        <v>193.28636614690498</v>
      </c>
      <c r="AG302">
        <f>VLOOKUP($AC302,'2017 Seattle Tracts'!$C$2:$Z$399,AG$1,FALSE)*AA302</f>
        <v>3400.6813793203419</v>
      </c>
      <c r="AH302">
        <f>VLOOKUP($AC302,'2017 Seattle Tracts'!$C$2:$Z$399,AH$1,FALSE)*AA302</f>
        <v>3207.3950131734368</v>
      </c>
      <c r="AI302">
        <f>VLOOKUP($AC302,'2017 Seattle Tracts'!$C$2:$Z$399,AI$1,FALSE)*AA302</f>
        <v>193.28636614690498</v>
      </c>
      <c r="AJ302">
        <f>VLOOKUP($AC302,'2017 Seattle Tracts'!$C$2:$Z$399,AJ$1,FALSE)*AA302</f>
        <v>2831.8822636836735</v>
      </c>
      <c r="AK302">
        <f>VLOOKUP($AC302,'2017 Seattle Tracts'!$C$2:$Z$399,AK$1,FALSE)*AA302</f>
        <v>127.97980101825044</v>
      </c>
      <c r="AL302">
        <f>VLOOKUP($AC302,'2017 Seattle Tracts'!$C$2:$Z$399,AL$1,FALSE)*AA302</f>
        <v>170.11306884318884</v>
      </c>
      <c r="AM302">
        <f>VLOOKUP($AC302,'2017 Seattle Tracts'!$C$2:$Z$399,AM$1,FALSE)*AA302</f>
        <v>14.219977890916715</v>
      </c>
      <c r="AN302">
        <f>VLOOKUP($AC302,'2017 Seattle Tracts'!$C$2:$Z$399,AN$1,FALSE)*AA302</f>
        <v>14.746643738728446</v>
      </c>
      <c r="AO302">
        <f>VLOOKUP($AC302,'2017 Seattle Tracts'!$C$2:$Z$399,AO$1,FALSE)*AA302</f>
        <v>0</v>
      </c>
      <c r="AP302">
        <f>VLOOKUP($AC302,'2017 Seattle Tracts'!$C$2:$Z$399,AP$1,FALSE)*AA302</f>
        <v>29.493287477456892</v>
      </c>
      <c r="AQ302">
        <f>VLOOKUP($AC302,'2017 Seattle Tracts'!$C$2:$Z$399,AQ$1,FALSE)*AA302</f>
        <v>0</v>
      </c>
      <c r="AR302">
        <f>VLOOKUP($AC302,'2017 Seattle Tracts'!$C$2:$Z$399,AR$1,FALSE)*AA302</f>
        <v>53.19325062898475</v>
      </c>
      <c r="AS302">
        <f>VLOOKUP($AC302,'2017 Seattle Tracts'!$C$2:$Z$399,AS$1,FALSE)*AA302</f>
        <v>51.086587237737831</v>
      </c>
      <c r="AT302">
        <f>VLOOKUP($AC302,'2017 Seattle Tracts'!$C$2:$Z$399,AT$1,FALSE)*AA302</f>
        <v>0</v>
      </c>
      <c r="AU302">
        <f>VLOOKUP($AC302,'2017 Seattle Tracts'!$C$2:$Z$399,AU$1,FALSE)*AA302</f>
        <v>0</v>
      </c>
      <c r="AV302">
        <f>VLOOKUP($AC302,'2017 Seattle Tracts'!$C$2:$Z$399,AV$1,FALSE)*AA302</f>
        <v>0</v>
      </c>
      <c r="AW302">
        <f>VLOOKUP($AC302,'2017 Seattle Tracts'!$C$2:$Z$399,AW$1,FALSE)*AA302</f>
        <v>0</v>
      </c>
      <c r="AX302">
        <f>VLOOKUP($AC302,'2017 Seattle Tracts'!$C$2:$Z$399,AX$1,FALSE)*AA302</f>
        <v>107.9664988014047</v>
      </c>
      <c r="AY302">
        <f>VLOOKUP($AC302,'2017 Seattle Tracts'!$C$2:$Z$399,AY$1,FALSE)*AA302</f>
        <v>0</v>
      </c>
    </row>
    <row r="303" spans="1:51" x14ac:dyDescent="0.25">
      <c r="A303" t="s">
        <v>2917</v>
      </c>
      <c r="B303" t="s">
        <v>2918</v>
      </c>
      <c r="C303" t="s">
        <v>3152</v>
      </c>
      <c r="D303" t="s">
        <v>2731</v>
      </c>
      <c r="E303" t="s">
        <v>2732</v>
      </c>
      <c r="F303" t="s">
        <v>2733</v>
      </c>
      <c r="G303" t="s">
        <v>2920</v>
      </c>
      <c r="H303" t="s">
        <v>2921</v>
      </c>
      <c r="I303">
        <v>2213071</v>
      </c>
      <c r="J303">
        <v>1276803</v>
      </c>
      <c r="K303" t="s">
        <v>3153</v>
      </c>
      <c r="L303" t="s">
        <v>3154</v>
      </c>
      <c r="M303">
        <v>2073087</v>
      </c>
      <c r="N303">
        <v>4</v>
      </c>
      <c r="O303">
        <v>1809.4459999999999</v>
      </c>
      <c r="Q303">
        <v>0</v>
      </c>
      <c r="R303">
        <v>0</v>
      </c>
      <c r="S303">
        <v>0</v>
      </c>
      <c r="T303">
        <v>64156.813000000002</v>
      </c>
      <c r="U303">
        <v>6</v>
      </c>
      <c r="V303">
        <v>0</v>
      </c>
      <c r="W303">
        <v>1809.4457477334399</v>
      </c>
      <c r="X303">
        <v>64156.821779544509</v>
      </c>
      <c r="Y303">
        <v>372.68299999999999</v>
      </c>
      <c r="Z303">
        <f>VLOOKUP($AC303,'2017 Seattle Tracts'!$C$2:$Z$399,24,FALSE)</f>
        <v>2073086.956</v>
      </c>
      <c r="AA303">
        <f t="shared" si="9"/>
        <v>1.7977200566593116E-4</v>
      </c>
      <c r="AB303" t="s">
        <v>115</v>
      </c>
      <c r="AC303" t="str">
        <f t="shared" si="8"/>
        <v>Census Tract 32, King County, Washington</v>
      </c>
      <c r="AD303">
        <f>VLOOKUP($AC303,'2017 Seattle Tracts'!$C$2:$Z$399,AD$1,FALSE)*AA303</f>
        <v>1.5287811361830785</v>
      </c>
      <c r="AE303">
        <f>VLOOKUP($AC303,'2017 Seattle Tracts'!$C$2:$Z$399,AE$1,FALSE)*AA303</f>
        <v>1.3856826196729974</v>
      </c>
      <c r="AF303">
        <f>VLOOKUP($AC303,'2017 Seattle Tracts'!$C$2:$Z$399,AF$1,FALSE)*AA303</f>
        <v>0.14309851651008121</v>
      </c>
      <c r="AG303">
        <f>VLOOKUP($AC303,'2017 Seattle Tracts'!$C$2:$Z$399,AG$1,FALSE)*AA303</f>
        <v>1.5287811361830785</v>
      </c>
      <c r="AH303">
        <f>VLOOKUP($AC303,'2017 Seattle Tracts'!$C$2:$Z$399,AH$1,FALSE)*AA303</f>
        <v>1.3856826196729974</v>
      </c>
      <c r="AI303">
        <f>VLOOKUP($AC303,'2017 Seattle Tracts'!$C$2:$Z$399,AI$1,FALSE)*AA303</f>
        <v>0.14309851651008121</v>
      </c>
      <c r="AJ303">
        <f>VLOOKUP($AC303,'2017 Seattle Tracts'!$C$2:$Z$399,AJ$1,FALSE)*AA303</f>
        <v>1.2014163138654179</v>
      </c>
      <c r="AK303">
        <f>VLOOKUP($AC303,'2017 Seattle Tracts'!$C$2:$Z$399,AK$1,FALSE)*AA303</f>
        <v>6.184156994908032E-2</v>
      </c>
      <c r="AL303">
        <f>VLOOKUP($AC303,'2017 Seattle Tracts'!$C$2:$Z$399,AL$1,FALSE)*AA303</f>
        <v>8.2155806589330541E-2</v>
      </c>
      <c r="AM303">
        <f>VLOOKUP($AC303,'2017 Seattle Tracts'!$C$2:$Z$399,AM$1,FALSE)*AA303</f>
        <v>1.2224496385283319E-2</v>
      </c>
      <c r="AN303">
        <f>VLOOKUP($AC303,'2017 Seattle Tracts'!$C$2:$Z$399,AN$1,FALSE)*AA303</f>
        <v>9.7076883059602822E-3</v>
      </c>
      <c r="AO303">
        <f>VLOOKUP($AC303,'2017 Seattle Tracts'!$C$2:$Z$399,AO$1,FALSE)*AA303</f>
        <v>0</v>
      </c>
      <c r="AP303">
        <f>VLOOKUP($AC303,'2017 Seattle Tracts'!$C$2:$Z$399,AP$1,FALSE)*AA303</f>
        <v>5.9324761869757282E-3</v>
      </c>
      <c r="AQ303">
        <f>VLOOKUP($AC303,'2017 Seattle Tracts'!$C$2:$Z$399,AQ$1,FALSE)*AA303</f>
        <v>0</v>
      </c>
      <c r="AR303">
        <f>VLOOKUP($AC303,'2017 Seattle Tracts'!$C$2:$Z$399,AR$1,FALSE)*AA303</f>
        <v>3.7931893195511476E-2</v>
      </c>
      <c r="AS303">
        <f>VLOOKUP($AC303,'2017 Seattle Tracts'!$C$2:$Z$399,AS$1,FALSE)*AA303</f>
        <v>2.0134464634584289E-2</v>
      </c>
      <c r="AT303">
        <f>VLOOKUP($AC303,'2017 Seattle Tracts'!$C$2:$Z$399,AT$1,FALSE)*AA303</f>
        <v>0</v>
      </c>
      <c r="AU303">
        <f>VLOOKUP($AC303,'2017 Seattle Tracts'!$C$2:$Z$399,AU$1,FALSE)*AA303</f>
        <v>0</v>
      </c>
      <c r="AV303">
        <f>VLOOKUP($AC303,'2017 Seattle Tracts'!$C$2:$Z$399,AV$1,FALSE)*AA303</f>
        <v>5.3931601699779346E-3</v>
      </c>
      <c r="AW303">
        <f>VLOOKUP($AC303,'2017 Seattle Tracts'!$C$2:$Z$399,AW$1,FALSE)*AA303</f>
        <v>2.8943292912214917E-2</v>
      </c>
      <c r="AX303">
        <f>VLOOKUP($AC303,'2017 Seattle Tracts'!$C$2:$Z$399,AX$1,FALSE)*AA303</f>
        <v>4.3145281359823477E-2</v>
      </c>
      <c r="AY303">
        <f>VLOOKUP($AC303,'2017 Seattle Tracts'!$C$2:$Z$399,AY$1,FALSE)*AA303</f>
        <v>1.9954692628918358E-2</v>
      </c>
    </row>
    <row r="304" spans="1:51" x14ac:dyDescent="0.25">
      <c r="A304" t="s">
        <v>2917</v>
      </c>
      <c r="B304" t="s">
        <v>2918</v>
      </c>
      <c r="C304" t="s">
        <v>3152</v>
      </c>
      <c r="D304" t="s">
        <v>2731</v>
      </c>
      <c r="E304" t="s">
        <v>2732</v>
      </c>
      <c r="F304" t="s">
        <v>2733</v>
      </c>
      <c r="G304" t="s">
        <v>2920</v>
      </c>
      <c r="H304" t="s">
        <v>2921</v>
      </c>
      <c r="I304">
        <v>2213071</v>
      </c>
      <c r="J304">
        <v>1276803</v>
      </c>
      <c r="K304" t="s">
        <v>3153</v>
      </c>
      <c r="L304" t="s">
        <v>3154</v>
      </c>
      <c r="M304">
        <v>2073087</v>
      </c>
      <c r="N304">
        <v>27</v>
      </c>
      <c r="O304">
        <v>18831.009999999998</v>
      </c>
      <c r="P304" t="s">
        <v>117</v>
      </c>
      <c r="Q304">
        <v>7</v>
      </c>
      <c r="R304">
        <v>11</v>
      </c>
      <c r="S304">
        <v>23</v>
      </c>
      <c r="T304">
        <v>21320656</v>
      </c>
      <c r="U304">
        <v>29</v>
      </c>
      <c r="V304">
        <v>120</v>
      </c>
      <c r="W304">
        <v>18831.00959636999</v>
      </c>
      <c r="X304">
        <v>21320655.545531079</v>
      </c>
      <c r="Y304">
        <v>160671.92499999999</v>
      </c>
      <c r="Z304">
        <f>VLOOKUP($AC304,'2017 Seattle Tracts'!$C$2:$Z$399,24,FALSE)</f>
        <v>2073086.956</v>
      </c>
      <c r="AA304">
        <f t="shared" si="9"/>
        <v>7.7503707471111016E-2</v>
      </c>
      <c r="AB304" t="s">
        <v>116</v>
      </c>
      <c r="AC304" t="str">
        <f t="shared" si="8"/>
        <v>Census Tract 32, King County, Washington</v>
      </c>
      <c r="AD304">
        <f>VLOOKUP($AC304,'2017 Seattle Tracts'!$C$2:$Z$399,AD$1,FALSE)*AA304</f>
        <v>659.09152833432813</v>
      </c>
      <c r="AE304">
        <f>VLOOKUP($AC304,'2017 Seattle Tracts'!$C$2:$Z$399,AE$1,FALSE)*AA304</f>
        <v>597.39857718732367</v>
      </c>
      <c r="AF304">
        <f>VLOOKUP($AC304,'2017 Seattle Tracts'!$C$2:$Z$399,AF$1,FALSE)*AA304</f>
        <v>61.692951147004372</v>
      </c>
      <c r="AG304">
        <f>VLOOKUP($AC304,'2017 Seattle Tracts'!$C$2:$Z$399,AG$1,FALSE)*AA304</f>
        <v>659.09152833432813</v>
      </c>
      <c r="AH304">
        <f>VLOOKUP($AC304,'2017 Seattle Tracts'!$C$2:$Z$399,AH$1,FALSE)*AA304</f>
        <v>597.39857718732367</v>
      </c>
      <c r="AI304">
        <f>VLOOKUP($AC304,'2017 Seattle Tracts'!$C$2:$Z$399,AI$1,FALSE)*AA304</f>
        <v>61.692951147004372</v>
      </c>
      <c r="AJ304">
        <f>VLOOKUP($AC304,'2017 Seattle Tracts'!$C$2:$Z$399,AJ$1,FALSE)*AA304</f>
        <v>517.95727702943498</v>
      </c>
      <c r="AK304">
        <f>VLOOKUP($AC304,'2017 Seattle Tracts'!$C$2:$Z$399,AK$1,FALSE)*AA304</f>
        <v>26.661275370062189</v>
      </c>
      <c r="AL304">
        <f>VLOOKUP($AC304,'2017 Seattle Tracts'!$C$2:$Z$399,AL$1,FALSE)*AA304</f>
        <v>35.419194314297734</v>
      </c>
      <c r="AM304">
        <f>VLOOKUP($AC304,'2017 Seattle Tracts'!$C$2:$Z$399,AM$1,FALSE)*AA304</f>
        <v>5.2702521080355496</v>
      </c>
      <c r="AN304">
        <f>VLOOKUP($AC304,'2017 Seattle Tracts'!$C$2:$Z$399,AN$1,FALSE)*AA304</f>
        <v>4.1852002034399947</v>
      </c>
      <c r="AO304">
        <f>VLOOKUP($AC304,'2017 Seattle Tracts'!$C$2:$Z$399,AO$1,FALSE)*AA304</f>
        <v>0</v>
      </c>
      <c r="AP304">
        <f>VLOOKUP($AC304,'2017 Seattle Tracts'!$C$2:$Z$399,AP$1,FALSE)*AA304</f>
        <v>2.5576223465466636</v>
      </c>
      <c r="AQ304">
        <f>VLOOKUP($AC304,'2017 Seattle Tracts'!$C$2:$Z$399,AQ$1,FALSE)*AA304</f>
        <v>0</v>
      </c>
      <c r="AR304">
        <f>VLOOKUP($AC304,'2017 Seattle Tracts'!$C$2:$Z$399,AR$1,FALSE)*AA304</f>
        <v>16.353282276404425</v>
      </c>
      <c r="AS304">
        <f>VLOOKUP($AC304,'2017 Seattle Tracts'!$C$2:$Z$399,AS$1,FALSE)*AA304</f>
        <v>8.6804152367644338</v>
      </c>
      <c r="AT304">
        <f>VLOOKUP($AC304,'2017 Seattle Tracts'!$C$2:$Z$399,AT$1,FALSE)*AA304</f>
        <v>0</v>
      </c>
      <c r="AU304">
        <f>VLOOKUP($AC304,'2017 Seattle Tracts'!$C$2:$Z$399,AU$1,FALSE)*AA304</f>
        <v>0</v>
      </c>
      <c r="AV304">
        <f>VLOOKUP($AC304,'2017 Seattle Tracts'!$C$2:$Z$399,AV$1,FALSE)*AA304</f>
        <v>2.3251112241333303</v>
      </c>
      <c r="AW304">
        <f>VLOOKUP($AC304,'2017 Seattle Tracts'!$C$2:$Z$399,AW$1,FALSE)*AA304</f>
        <v>12.478096902848874</v>
      </c>
      <c r="AX304">
        <f>VLOOKUP($AC304,'2017 Seattle Tracts'!$C$2:$Z$399,AX$1,FALSE)*AA304</f>
        <v>18.600889793066642</v>
      </c>
      <c r="AY304">
        <f>VLOOKUP($AC304,'2017 Seattle Tracts'!$C$2:$Z$399,AY$1,FALSE)*AA304</f>
        <v>8.6029115292933227</v>
      </c>
    </row>
    <row r="305" spans="1:51" x14ac:dyDescent="0.25">
      <c r="A305" t="s">
        <v>2917</v>
      </c>
      <c r="B305" t="s">
        <v>2918</v>
      </c>
      <c r="C305" t="s">
        <v>3152</v>
      </c>
      <c r="D305" t="s">
        <v>2731</v>
      </c>
      <c r="E305" t="s">
        <v>2732</v>
      </c>
      <c r="F305" t="s">
        <v>2733</v>
      </c>
      <c r="G305" t="s">
        <v>2920</v>
      </c>
      <c r="H305" t="s">
        <v>2921</v>
      </c>
      <c r="I305">
        <v>2213071</v>
      </c>
      <c r="J305">
        <v>1276803</v>
      </c>
      <c r="K305" t="s">
        <v>3153</v>
      </c>
      <c r="L305" t="s">
        <v>3154</v>
      </c>
      <c r="M305">
        <v>2073087</v>
      </c>
      <c r="N305">
        <v>28</v>
      </c>
      <c r="O305">
        <v>27347.493999999999</v>
      </c>
      <c r="P305" t="s">
        <v>117</v>
      </c>
      <c r="Q305">
        <v>7</v>
      </c>
      <c r="R305">
        <v>11</v>
      </c>
      <c r="S305">
        <v>33</v>
      </c>
      <c r="T305">
        <v>22431280</v>
      </c>
      <c r="U305">
        <v>30</v>
      </c>
      <c r="V305">
        <v>129</v>
      </c>
      <c r="W305">
        <v>27347.49435016256</v>
      </c>
      <c r="X305">
        <v>22431280.790773079</v>
      </c>
      <c r="Y305">
        <v>845679.86899999995</v>
      </c>
      <c r="Z305">
        <f>VLOOKUP($AC305,'2017 Seattle Tracts'!$C$2:$Z$399,24,FALSE)</f>
        <v>2073086.956</v>
      </c>
      <c r="AA305">
        <f t="shared" si="9"/>
        <v>0.40793265644376564</v>
      </c>
      <c r="AB305" t="s">
        <v>118</v>
      </c>
      <c r="AC305" t="str">
        <f t="shared" si="8"/>
        <v>Census Tract 32, King County, Washington</v>
      </c>
      <c r="AD305">
        <f>VLOOKUP($AC305,'2017 Seattle Tracts'!$C$2:$Z$399,AD$1,FALSE)*AA305</f>
        <v>3469.0593103977831</v>
      </c>
      <c r="AE305">
        <f>VLOOKUP($AC305,'2017 Seattle Tracts'!$C$2:$Z$399,AE$1,FALSE)*AA305</f>
        <v>3144.3449158685457</v>
      </c>
      <c r="AF305">
        <f>VLOOKUP($AC305,'2017 Seattle Tracts'!$C$2:$Z$399,AF$1,FALSE)*AA305</f>
        <v>324.71439452923744</v>
      </c>
      <c r="AG305">
        <f>VLOOKUP($AC305,'2017 Seattle Tracts'!$C$2:$Z$399,AG$1,FALSE)*AA305</f>
        <v>3469.0593103977831</v>
      </c>
      <c r="AH305">
        <f>VLOOKUP($AC305,'2017 Seattle Tracts'!$C$2:$Z$399,AH$1,FALSE)*AA305</f>
        <v>3144.3449158685457</v>
      </c>
      <c r="AI305">
        <f>VLOOKUP($AC305,'2017 Seattle Tracts'!$C$2:$Z$399,AI$1,FALSE)*AA305</f>
        <v>324.71439452923744</v>
      </c>
      <c r="AJ305">
        <f>VLOOKUP($AC305,'2017 Seattle Tracts'!$C$2:$Z$399,AJ$1,FALSE)*AA305</f>
        <v>2726.2139430136858</v>
      </c>
      <c r="AK305">
        <f>VLOOKUP($AC305,'2017 Seattle Tracts'!$C$2:$Z$399,AK$1,FALSE)*AA305</f>
        <v>140.32883381665539</v>
      </c>
      <c r="AL305">
        <f>VLOOKUP($AC305,'2017 Seattle Tracts'!$C$2:$Z$399,AL$1,FALSE)*AA305</f>
        <v>186.42522399480089</v>
      </c>
      <c r="AM305">
        <f>VLOOKUP($AC305,'2017 Seattle Tracts'!$C$2:$Z$399,AM$1,FALSE)*AA305</f>
        <v>27.739420638176064</v>
      </c>
      <c r="AN305">
        <f>VLOOKUP($AC305,'2017 Seattle Tracts'!$C$2:$Z$399,AN$1,FALSE)*AA305</f>
        <v>22.028363447963343</v>
      </c>
      <c r="AO305">
        <f>VLOOKUP($AC305,'2017 Seattle Tracts'!$C$2:$Z$399,AO$1,FALSE)*AA305</f>
        <v>0</v>
      </c>
      <c r="AP305">
        <f>VLOOKUP($AC305,'2017 Seattle Tracts'!$C$2:$Z$399,AP$1,FALSE)*AA305</f>
        <v>13.461777662644266</v>
      </c>
      <c r="AQ305">
        <f>VLOOKUP($AC305,'2017 Seattle Tracts'!$C$2:$Z$399,AQ$1,FALSE)*AA305</f>
        <v>0</v>
      </c>
      <c r="AR305">
        <f>VLOOKUP($AC305,'2017 Seattle Tracts'!$C$2:$Z$399,AR$1,FALSE)*AA305</f>
        <v>86.073790509634549</v>
      </c>
      <c r="AS305">
        <f>VLOOKUP($AC305,'2017 Seattle Tracts'!$C$2:$Z$399,AS$1,FALSE)*AA305</f>
        <v>45.68845752170175</v>
      </c>
      <c r="AT305">
        <f>VLOOKUP($AC305,'2017 Seattle Tracts'!$C$2:$Z$399,AT$1,FALSE)*AA305</f>
        <v>0</v>
      </c>
      <c r="AU305">
        <f>VLOOKUP($AC305,'2017 Seattle Tracts'!$C$2:$Z$399,AU$1,FALSE)*AA305</f>
        <v>0</v>
      </c>
      <c r="AV305">
        <f>VLOOKUP($AC305,'2017 Seattle Tracts'!$C$2:$Z$399,AV$1,FALSE)*AA305</f>
        <v>12.237979693312969</v>
      </c>
      <c r="AW305">
        <f>VLOOKUP($AC305,'2017 Seattle Tracts'!$C$2:$Z$399,AW$1,FALSE)*AA305</f>
        <v>65.677157687446268</v>
      </c>
      <c r="AX305">
        <f>VLOOKUP($AC305,'2017 Seattle Tracts'!$C$2:$Z$399,AX$1,FALSE)*AA305</f>
        <v>97.903837546503752</v>
      </c>
      <c r="AY305">
        <f>VLOOKUP($AC305,'2017 Seattle Tracts'!$C$2:$Z$399,AY$1,FALSE)*AA305</f>
        <v>45.280524865257988</v>
      </c>
    </row>
    <row r="306" spans="1:51" x14ac:dyDescent="0.25">
      <c r="A306" t="s">
        <v>2917</v>
      </c>
      <c r="B306" t="s">
        <v>2918</v>
      </c>
      <c r="C306" t="s">
        <v>3152</v>
      </c>
      <c r="D306" t="s">
        <v>2731</v>
      </c>
      <c r="E306" t="s">
        <v>2732</v>
      </c>
      <c r="F306" t="s">
        <v>2733</v>
      </c>
      <c r="G306" t="s">
        <v>2920</v>
      </c>
      <c r="H306" t="s">
        <v>2921</v>
      </c>
      <c r="I306">
        <v>2213071</v>
      </c>
      <c r="J306">
        <v>1276803</v>
      </c>
      <c r="K306" t="s">
        <v>3153</v>
      </c>
      <c r="L306" t="s">
        <v>3154</v>
      </c>
      <c r="M306">
        <v>2073087</v>
      </c>
      <c r="N306">
        <v>50</v>
      </c>
      <c r="O306">
        <v>38766.065999999999</v>
      </c>
      <c r="P306" t="s">
        <v>145</v>
      </c>
      <c r="Q306">
        <v>8</v>
      </c>
      <c r="R306">
        <v>4</v>
      </c>
      <c r="S306">
        <v>23</v>
      </c>
      <c r="T306">
        <v>55091524</v>
      </c>
      <c r="U306">
        <v>52</v>
      </c>
      <c r="V306">
        <v>134</v>
      </c>
      <c r="W306">
        <v>38766.06733491068</v>
      </c>
      <c r="X306">
        <v>55091525.290939339</v>
      </c>
      <c r="Y306">
        <v>1766.8889999999999</v>
      </c>
      <c r="Z306">
        <f>VLOOKUP($AC306,'2017 Seattle Tracts'!$C$2:$Z$399,24,FALSE)</f>
        <v>2073086.956</v>
      </c>
      <c r="AA306">
        <f t="shared" si="9"/>
        <v>8.522985468053854E-4</v>
      </c>
      <c r="AB306" t="s">
        <v>144</v>
      </c>
      <c r="AC306" t="str">
        <f t="shared" si="8"/>
        <v>Census Tract 32, King County, Washington</v>
      </c>
      <c r="AD306">
        <f>VLOOKUP($AC306,'2017 Seattle Tracts'!$C$2:$Z$399,AD$1,FALSE)*AA306</f>
        <v>7.2479468420329978</v>
      </c>
      <c r="AE306">
        <f>VLOOKUP($AC306,'2017 Seattle Tracts'!$C$2:$Z$399,AE$1,FALSE)*AA306</f>
        <v>6.5695171987759107</v>
      </c>
      <c r="AF306">
        <f>VLOOKUP($AC306,'2017 Seattle Tracts'!$C$2:$Z$399,AF$1,FALSE)*AA306</f>
        <v>0.67842964325708677</v>
      </c>
      <c r="AG306">
        <f>VLOOKUP($AC306,'2017 Seattle Tracts'!$C$2:$Z$399,AG$1,FALSE)*AA306</f>
        <v>7.2479468420329978</v>
      </c>
      <c r="AH306">
        <f>VLOOKUP($AC306,'2017 Seattle Tracts'!$C$2:$Z$399,AH$1,FALSE)*AA306</f>
        <v>6.5695171987759107</v>
      </c>
      <c r="AI306">
        <f>VLOOKUP($AC306,'2017 Seattle Tracts'!$C$2:$Z$399,AI$1,FALSE)*AA306</f>
        <v>0.67842964325708677</v>
      </c>
      <c r="AJ306">
        <f>VLOOKUP($AC306,'2017 Seattle Tracts'!$C$2:$Z$399,AJ$1,FALSE)*AA306</f>
        <v>5.695911188300391</v>
      </c>
      <c r="AK306">
        <f>VLOOKUP($AC306,'2017 Seattle Tracts'!$C$2:$Z$399,AK$1,FALSE)*AA306</f>
        <v>0.29319070010105258</v>
      </c>
      <c r="AL306">
        <f>VLOOKUP($AC306,'2017 Seattle Tracts'!$C$2:$Z$399,AL$1,FALSE)*AA306</f>
        <v>0.38950043589006111</v>
      </c>
      <c r="AM306">
        <f>VLOOKUP($AC306,'2017 Seattle Tracts'!$C$2:$Z$399,AM$1,FALSE)*AA306</f>
        <v>5.7956301182766207E-2</v>
      </c>
      <c r="AN306">
        <f>VLOOKUP($AC306,'2017 Seattle Tracts'!$C$2:$Z$399,AN$1,FALSE)*AA306</f>
        <v>4.6024121527490809E-2</v>
      </c>
      <c r="AO306">
        <f>VLOOKUP($AC306,'2017 Seattle Tracts'!$C$2:$Z$399,AO$1,FALSE)*AA306</f>
        <v>0</v>
      </c>
      <c r="AP306">
        <f>VLOOKUP($AC306,'2017 Seattle Tracts'!$C$2:$Z$399,AP$1,FALSE)*AA306</f>
        <v>2.812585204457772E-2</v>
      </c>
      <c r="AQ306">
        <f>VLOOKUP($AC306,'2017 Seattle Tracts'!$C$2:$Z$399,AQ$1,FALSE)*AA306</f>
        <v>0</v>
      </c>
      <c r="AR306">
        <f>VLOOKUP($AC306,'2017 Seattle Tracts'!$C$2:$Z$399,AR$1,FALSE)*AA306</f>
        <v>0.17983499337593631</v>
      </c>
      <c r="AS306">
        <f>VLOOKUP($AC306,'2017 Seattle Tracts'!$C$2:$Z$399,AS$1,FALSE)*AA306</f>
        <v>9.5457437242203166E-2</v>
      </c>
      <c r="AT306">
        <f>VLOOKUP($AC306,'2017 Seattle Tracts'!$C$2:$Z$399,AT$1,FALSE)*AA306</f>
        <v>0</v>
      </c>
      <c r="AU306">
        <f>VLOOKUP($AC306,'2017 Seattle Tracts'!$C$2:$Z$399,AU$1,FALSE)*AA306</f>
        <v>0</v>
      </c>
      <c r="AV306">
        <f>VLOOKUP($AC306,'2017 Seattle Tracts'!$C$2:$Z$399,AV$1,FALSE)*AA306</f>
        <v>2.5568956404161562E-2</v>
      </c>
      <c r="AW306">
        <f>VLOOKUP($AC306,'2017 Seattle Tracts'!$C$2:$Z$399,AW$1,FALSE)*AA306</f>
        <v>0.13722006603566705</v>
      </c>
      <c r="AX306">
        <f>VLOOKUP($AC306,'2017 Seattle Tracts'!$C$2:$Z$399,AX$1,FALSE)*AA306</f>
        <v>0.2045516512332925</v>
      </c>
      <c r="AY306">
        <f>VLOOKUP($AC306,'2017 Seattle Tracts'!$C$2:$Z$399,AY$1,FALSE)*AA306</f>
        <v>9.4605138695397772E-2</v>
      </c>
    </row>
    <row r="307" spans="1:51" x14ac:dyDescent="0.25">
      <c r="A307" t="s">
        <v>2917</v>
      </c>
      <c r="B307" t="s">
        <v>2918</v>
      </c>
      <c r="C307" t="s">
        <v>3152</v>
      </c>
      <c r="D307" t="s">
        <v>2731</v>
      </c>
      <c r="E307" t="s">
        <v>2732</v>
      </c>
      <c r="F307" t="s">
        <v>2733</v>
      </c>
      <c r="G307" t="s">
        <v>2920</v>
      </c>
      <c r="H307" t="s">
        <v>2921</v>
      </c>
      <c r="I307">
        <v>2213071</v>
      </c>
      <c r="J307">
        <v>1276803</v>
      </c>
      <c r="K307" t="s">
        <v>3153</v>
      </c>
      <c r="L307" t="s">
        <v>3154</v>
      </c>
      <c r="M307">
        <v>2073087</v>
      </c>
      <c r="N307">
        <v>119</v>
      </c>
      <c r="O307">
        <v>29416.73</v>
      </c>
      <c r="P307" t="s">
        <v>117</v>
      </c>
      <c r="Q307">
        <v>7</v>
      </c>
      <c r="R307">
        <v>11</v>
      </c>
      <c r="S307">
        <v>81</v>
      </c>
      <c r="T307">
        <v>24335620</v>
      </c>
      <c r="U307">
        <v>121</v>
      </c>
      <c r="V307">
        <v>116</v>
      </c>
      <c r="W307">
        <v>29416.730063357121</v>
      </c>
      <c r="X307">
        <v>24335620.469402239</v>
      </c>
      <c r="Y307">
        <v>1031646.528</v>
      </c>
      <c r="Z307">
        <f>VLOOKUP($AC307,'2017 Seattle Tracts'!$C$2:$Z$399,24,FALSE)</f>
        <v>2073086.956</v>
      </c>
      <c r="AA307">
        <f t="shared" si="9"/>
        <v>0.49763784631135372</v>
      </c>
      <c r="AB307" t="s">
        <v>222</v>
      </c>
      <c r="AC307" t="str">
        <f t="shared" si="8"/>
        <v>Census Tract 32, King County, Washington</v>
      </c>
      <c r="AD307">
        <f>VLOOKUP($AC307,'2017 Seattle Tracts'!$C$2:$Z$399,AD$1,FALSE)*AA307</f>
        <v>4231.9122450317518</v>
      </c>
      <c r="AE307">
        <f>VLOOKUP($AC307,'2017 Seattle Tracts'!$C$2:$Z$399,AE$1,FALSE)*AA307</f>
        <v>3835.7925193679143</v>
      </c>
      <c r="AF307">
        <f>VLOOKUP($AC307,'2017 Seattle Tracts'!$C$2:$Z$399,AF$1,FALSE)*AA307</f>
        <v>396.11972566383758</v>
      </c>
      <c r="AG307">
        <f>VLOOKUP($AC307,'2017 Seattle Tracts'!$C$2:$Z$399,AG$1,FALSE)*AA307</f>
        <v>4231.9122450317518</v>
      </c>
      <c r="AH307">
        <f>VLOOKUP($AC307,'2017 Seattle Tracts'!$C$2:$Z$399,AH$1,FALSE)*AA307</f>
        <v>3835.7925193679143</v>
      </c>
      <c r="AI307">
        <f>VLOOKUP($AC307,'2017 Seattle Tracts'!$C$2:$Z$399,AI$1,FALSE)*AA307</f>
        <v>396.11972566383758</v>
      </c>
      <c r="AJ307">
        <f>VLOOKUP($AC307,'2017 Seattle Tracts'!$C$2:$Z$399,AJ$1,FALSE)*AA307</f>
        <v>3325.7137268987767</v>
      </c>
      <c r="AK307">
        <f>VLOOKUP($AC307,'2017 Seattle Tracts'!$C$2:$Z$399,AK$1,FALSE)*AA307</f>
        <v>171.18741913110568</v>
      </c>
      <c r="AL307">
        <f>VLOOKUP($AC307,'2017 Seattle Tracts'!$C$2:$Z$399,AL$1,FALSE)*AA307</f>
        <v>227.42049576428866</v>
      </c>
      <c r="AM307">
        <f>VLOOKUP($AC307,'2017 Seattle Tracts'!$C$2:$Z$399,AM$1,FALSE)*AA307</f>
        <v>33.839373549172052</v>
      </c>
      <c r="AN307">
        <f>VLOOKUP($AC307,'2017 Seattle Tracts'!$C$2:$Z$399,AN$1,FALSE)*AA307</f>
        <v>26.872443700813101</v>
      </c>
      <c r="AO307">
        <f>VLOOKUP($AC307,'2017 Seattle Tracts'!$C$2:$Z$399,AO$1,FALSE)*AA307</f>
        <v>0</v>
      </c>
      <c r="AP307">
        <f>VLOOKUP($AC307,'2017 Seattle Tracts'!$C$2:$Z$399,AP$1,FALSE)*AA307</f>
        <v>16.422048928274673</v>
      </c>
      <c r="AQ307">
        <f>VLOOKUP($AC307,'2017 Seattle Tracts'!$C$2:$Z$399,AQ$1,FALSE)*AA307</f>
        <v>0</v>
      </c>
      <c r="AR307">
        <f>VLOOKUP($AC307,'2017 Seattle Tracts'!$C$2:$Z$399,AR$1,FALSE)*AA307</f>
        <v>105.00158557169563</v>
      </c>
      <c r="AS307">
        <f>VLOOKUP($AC307,'2017 Seattle Tracts'!$C$2:$Z$399,AS$1,FALSE)*AA307</f>
        <v>55.735438786871619</v>
      </c>
      <c r="AT307">
        <f>VLOOKUP($AC307,'2017 Seattle Tracts'!$C$2:$Z$399,AT$1,FALSE)*AA307</f>
        <v>0</v>
      </c>
      <c r="AU307">
        <f>VLOOKUP($AC307,'2017 Seattle Tracts'!$C$2:$Z$399,AU$1,FALSE)*AA307</f>
        <v>0</v>
      </c>
      <c r="AV307">
        <f>VLOOKUP($AC307,'2017 Seattle Tracts'!$C$2:$Z$399,AV$1,FALSE)*AA307</f>
        <v>14.929135389340612</v>
      </c>
      <c r="AW307">
        <f>VLOOKUP($AC307,'2017 Seattle Tracts'!$C$2:$Z$399,AW$1,FALSE)*AA307</f>
        <v>80.119693256127945</v>
      </c>
      <c r="AX307">
        <f>VLOOKUP($AC307,'2017 Seattle Tracts'!$C$2:$Z$399,AX$1,FALSE)*AA307</f>
        <v>119.43308311472489</v>
      </c>
      <c r="AY307">
        <f>VLOOKUP($AC307,'2017 Seattle Tracts'!$C$2:$Z$399,AY$1,FALSE)*AA307</f>
        <v>55.237800940560263</v>
      </c>
    </row>
    <row r="308" spans="1:51" x14ac:dyDescent="0.25">
      <c r="A308" t="s">
        <v>2917</v>
      </c>
      <c r="B308" t="s">
        <v>2918</v>
      </c>
      <c r="C308" t="s">
        <v>3155</v>
      </c>
      <c r="D308" t="s">
        <v>2728</v>
      </c>
      <c r="E308" t="s">
        <v>2729</v>
      </c>
      <c r="F308" t="s">
        <v>2730</v>
      </c>
      <c r="G308" t="s">
        <v>2920</v>
      </c>
      <c r="H308" t="s">
        <v>2921</v>
      </c>
      <c r="I308">
        <v>1296280</v>
      </c>
      <c r="J308">
        <v>0</v>
      </c>
      <c r="K308" t="s">
        <v>3156</v>
      </c>
      <c r="L308" t="s">
        <v>3157</v>
      </c>
      <c r="M308">
        <v>1296282</v>
      </c>
      <c r="N308">
        <v>27</v>
      </c>
      <c r="O308">
        <v>18831.009999999998</v>
      </c>
      <c r="P308" t="s">
        <v>117</v>
      </c>
      <c r="Q308">
        <v>7</v>
      </c>
      <c r="R308">
        <v>11</v>
      </c>
      <c r="S308">
        <v>23</v>
      </c>
      <c r="T308">
        <v>21320656</v>
      </c>
      <c r="U308">
        <v>29</v>
      </c>
      <c r="V308">
        <v>120</v>
      </c>
      <c r="W308">
        <v>18831.00959636999</v>
      </c>
      <c r="X308">
        <v>21320655.545531079</v>
      </c>
      <c r="Y308">
        <v>326248.86099999998</v>
      </c>
      <c r="Z308">
        <f>VLOOKUP($AC308,'2017 Seattle Tracts'!$C$2:$Z$399,24,FALSE)</f>
        <v>1296282.1610000001</v>
      </c>
      <c r="AA308">
        <f t="shared" si="9"/>
        <v>0.25168043718839694</v>
      </c>
      <c r="AB308" t="s">
        <v>116</v>
      </c>
      <c r="AC308" t="str">
        <f t="shared" si="8"/>
        <v>Census Tract 33, King County, Washington</v>
      </c>
      <c r="AD308">
        <f>VLOOKUP($AC308,'2017 Seattle Tracts'!$C$2:$Z$399,AD$1,FALSE)*AA308</f>
        <v>1758.4912146353295</v>
      </c>
      <c r="AE308">
        <f>VLOOKUP($AC308,'2017 Seattle Tracts'!$C$2:$Z$399,AE$1,FALSE)*AA308</f>
        <v>1589.8653217191036</v>
      </c>
      <c r="AF308">
        <f>VLOOKUP($AC308,'2017 Seattle Tracts'!$C$2:$Z$399,AF$1,FALSE)*AA308</f>
        <v>168.62589291622595</v>
      </c>
      <c r="AG308">
        <f>VLOOKUP($AC308,'2017 Seattle Tracts'!$C$2:$Z$399,AG$1,FALSE)*AA308</f>
        <v>1758.4912146353295</v>
      </c>
      <c r="AH308">
        <f>VLOOKUP($AC308,'2017 Seattle Tracts'!$C$2:$Z$399,AH$1,FALSE)*AA308</f>
        <v>1589.8653217191036</v>
      </c>
      <c r="AI308">
        <f>VLOOKUP($AC308,'2017 Seattle Tracts'!$C$2:$Z$399,AI$1,FALSE)*AA308</f>
        <v>168.62589291622595</v>
      </c>
      <c r="AJ308">
        <f>VLOOKUP($AC308,'2017 Seattle Tracts'!$C$2:$Z$399,AJ$1,FALSE)*AA308</f>
        <v>1395.0646633352842</v>
      </c>
      <c r="AK308">
        <f>VLOOKUP($AC308,'2017 Seattle Tracts'!$C$2:$Z$399,AK$1,FALSE)*AA308</f>
        <v>49.077685251737407</v>
      </c>
      <c r="AL308">
        <f>VLOOKUP($AC308,'2017 Seattle Tracts'!$C$2:$Z$399,AL$1,FALSE)*AA308</f>
        <v>30.201652462607633</v>
      </c>
      <c r="AM308">
        <f>VLOOKUP($AC308,'2017 Seattle Tracts'!$C$2:$Z$399,AM$1,FALSE)*AA308</f>
        <v>12.584021859419847</v>
      </c>
      <c r="AN308">
        <f>VLOOKUP($AC308,'2017 Seattle Tracts'!$C$2:$Z$399,AN$1,FALSE)*AA308</f>
        <v>35.990302517940762</v>
      </c>
      <c r="AO308">
        <f>VLOOKUP($AC308,'2017 Seattle Tracts'!$C$2:$Z$399,AO$1,FALSE)*AA308</f>
        <v>0</v>
      </c>
      <c r="AP308">
        <f>VLOOKUP($AC308,'2017 Seattle Tracts'!$C$2:$Z$399,AP$1,FALSE)*AA308</f>
        <v>0</v>
      </c>
      <c r="AQ308">
        <f>VLOOKUP($AC308,'2017 Seattle Tracts'!$C$2:$Z$399,AQ$1,FALSE)*AA308</f>
        <v>0</v>
      </c>
      <c r="AR308">
        <f>VLOOKUP($AC308,'2017 Seattle Tracts'!$C$2:$Z$399,AR$1,FALSE)*AA308</f>
        <v>25.671404593216486</v>
      </c>
      <c r="AS308">
        <f>VLOOKUP($AC308,'2017 Seattle Tracts'!$C$2:$Z$399,AS$1,FALSE)*AA308</f>
        <v>79.027657277156635</v>
      </c>
      <c r="AT308">
        <f>VLOOKUP($AC308,'2017 Seattle Tracts'!$C$2:$Z$399,AT$1,FALSE)*AA308</f>
        <v>0</v>
      </c>
      <c r="AU308">
        <f>VLOOKUP($AC308,'2017 Seattle Tracts'!$C$2:$Z$399,AU$1,FALSE)*AA308</f>
        <v>0</v>
      </c>
      <c r="AV308">
        <f>VLOOKUP($AC308,'2017 Seattle Tracts'!$C$2:$Z$399,AV$1,FALSE)*AA308</f>
        <v>5.0336087437679389</v>
      </c>
      <c r="AW308">
        <f>VLOOKUP($AC308,'2017 Seattle Tracts'!$C$2:$Z$399,AW$1,FALSE)*AA308</f>
        <v>18.372671914752978</v>
      </c>
      <c r="AX308">
        <f>VLOOKUP($AC308,'2017 Seattle Tracts'!$C$2:$Z$399,AX$1,FALSE)*AA308</f>
        <v>97.903690066286416</v>
      </c>
      <c r="AY308">
        <f>VLOOKUP($AC308,'2017 Seattle Tracts'!$C$2:$Z$399,AY$1,FALSE)*AA308</f>
        <v>9.5638566131590839</v>
      </c>
    </row>
    <row r="309" spans="1:51" x14ac:dyDescent="0.25">
      <c r="A309" t="s">
        <v>2917</v>
      </c>
      <c r="B309" t="s">
        <v>2918</v>
      </c>
      <c r="C309" t="s">
        <v>3155</v>
      </c>
      <c r="D309" t="s">
        <v>2728</v>
      </c>
      <c r="E309" t="s">
        <v>2729</v>
      </c>
      <c r="F309" t="s">
        <v>2730</v>
      </c>
      <c r="G309" t="s">
        <v>2920</v>
      </c>
      <c r="H309" t="s">
        <v>2921</v>
      </c>
      <c r="I309">
        <v>1296280</v>
      </c>
      <c r="J309">
        <v>0</v>
      </c>
      <c r="K309" t="s">
        <v>3156</v>
      </c>
      <c r="L309" t="s">
        <v>3157</v>
      </c>
      <c r="M309">
        <v>1296282</v>
      </c>
      <c r="N309">
        <v>28</v>
      </c>
      <c r="O309">
        <v>27347.493999999999</v>
      </c>
      <c r="P309" t="s">
        <v>117</v>
      </c>
      <c r="Q309">
        <v>7</v>
      </c>
      <c r="R309">
        <v>11</v>
      </c>
      <c r="S309">
        <v>33</v>
      </c>
      <c r="T309">
        <v>22431280</v>
      </c>
      <c r="U309">
        <v>30</v>
      </c>
      <c r="V309">
        <v>129</v>
      </c>
      <c r="W309">
        <v>27347.49435016256</v>
      </c>
      <c r="X309">
        <v>22431280.790773079</v>
      </c>
      <c r="Y309">
        <v>343114.68099999998</v>
      </c>
      <c r="Z309">
        <f>VLOOKUP($AC309,'2017 Seattle Tracts'!$C$2:$Z$399,24,FALSE)</f>
        <v>1296282.1610000001</v>
      </c>
      <c r="AA309">
        <f t="shared" si="9"/>
        <v>0.26469135449284331</v>
      </c>
      <c r="AB309" t="s">
        <v>118</v>
      </c>
      <c r="AC309" t="str">
        <f t="shared" si="8"/>
        <v>Census Tract 33, King County, Washington</v>
      </c>
      <c r="AD309">
        <f>VLOOKUP($AC309,'2017 Seattle Tracts'!$C$2:$Z$399,AD$1,FALSE)*AA309</f>
        <v>1849.3984938414962</v>
      </c>
      <c r="AE309">
        <f>VLOOKUP($AC309,'2017 Seattle Tracts'!$C$2:$Z$399,AE$1,FALSE)*AA309</f>
        <v>1672.0552863312912</v>
      </c>
      <c r="AF309">
        <f>VLOOKUP($AC309,'2017 Seattle Tracts'!$C$2:$Z$399,AF$1,FALSE)*AA309</f>
        <v>177.34320751020502</v>
      </c>
      <c r="AG309">
        <f>VLOOKUP($AC309,'2017 Seattle Tracts'!$C$2:$Z$399,AG$1,FALSE)*AA309</f>
        <v>1849.3984938414962</v>
      </c>
      <c r="AH309">
        <f>VLOOKUP($AC309,'2017 Seattle Tracts'!$C$2:$Z$399,AH$1,FALSE)*AA309</f>
        <v>1672.0552863312912</v>
      </c>
      <c r="AI309">
        <f>VLOOKUP($AC309,'2017 Seattle Tracts'!$C$2:$Z$399,AI$1,FALSE)*AA309</f>
        <v>177.34320751020502</v>
      </c>
      <c r="AJ309">
        <f>VLOOKUP($AC309,'2017 Seattle Tracts'!$C$2:$Z$399,AJ$1,FALSE)*AA309</f>
        <v>1467.1841779538304</v>
      </c>
      <c r="AK309">
        <f>VLOOKUP($AC309,'2017 Seattle Tracts'!$C$2:$Z$399,AK$1,FALSE)*AA309</f>
        <v>51.614814126104449</v>
      </c>
      <c r="AL309">
        <f>VLOOKUP($AC309,'2017 Seattle Tracts'!$C$2:$Z$399,AL$1,FALSE)*AA309</f>
        <v>31.762962539141199</v>
      </c>
      <c r="AM309">
        <f>VLOOKUP($AC309,'2017 Seattle Tracts'!$C$2:$Z$399,AM$1,FALSE)*AA309</f>
        <v>13.234567724642165</v>
      </c>
      <c r="AN309">
        <f>VLOOKUP($AC309,'2017 Seattle Tracts'!$C$2:$Z$399,AN$1,FALSE)*AA309</f>
        <v>37.850863692476594</v>
      </c>
      <c r="AO309">
        <f>VLOOKUP($AC309,'2017 Seattle Tracts'!$C$2:$Z$399,AO$1,FALSE)*AA309</f>
        <v>0</v>
      </c>
      <c r="AP309">
        <f>VLOOKUP($AC309,'2017 Seattle Tracts'!$C$2:$Z$399,AP$1,FALSE)*AA309</f>
        <v>0</v>
      </c>
      <c r="AQ309">
        <f>VLOOKUP($AC309,'2017 Seattle Tracts'!$C$2:$Z$399,AQ$1,FALSE)*AA309</f>
        <v>0</v>
      </c>
      <c r="AR309">
        <f>VLOOKUP($AC309,'2017 Seattle Tracts'!$C$2:$Z$399,AR$1,FALSE)*AA309</f>
        <v>26.998518158270016</v>
      </c>
      <c r="AS309">
        <f>VLOOKUP($AC309,'2017 Seattle Tracts'!$C$2:$Z$399,AS$1,FALSE)*AA309</f>
        <v>83.113085310752794</v>
      </c>
      <c r="AT309">
        <f>VLOOKUP($AC309,'2017 Seattle Tracts'!$C$2:$Z$399,AT$1,FALSE)*AA309</f>
        <v>0</v>
      </c>
      <c r="AU309">
        <f>VLOOKUP($AC309,'2017 Seattle Tracts'!$C$2:$Z$399,AU$1,FALSE)*AA309</f>
        <v>0</v>
      </c>
      <c r="AV309">
        <f>VLOOKUP($AC309,'2017 Seattle Tracts'!$C$2:$Z$399,AV$1,FALSE)*AA309</f>
        <v>5.2938270898568662</v>
      </c>
      <c r="AW309">
        <f>VLOOKUP($AC309,'2017 Seattle Tracts'!$C$2:$Z$399,AW$1,FALSE)*AA309</f>
        <v>19.322468877977563</v>
      </c>
      <c r="AX309">
        <f>VLOOKUP($AC309,'2017 Seattle Tracts'!$C$2:$Z$399,AX$1,FALSE)*AA309</f>
        <v>102.96493689771604</v>
      </c>
      <c r="AY309">
        <f>VLOOKUP($AC309,'2017 Seattle Tracts'!$C$2:$Z$399,AY$1,FALSE)*AA309</f>
        <v>10.058271470728046</v>
      </c>
    </row>
    <row r="310" spans="1:51" x14ac:dyDescent="0.25">
      <c r="A310" t="s">
        <v>2917</v>
      </c>
      <c r="B310" t="s">
        <v>2918</v>
      </c>
      <c r="C310" t="s">
        <v>3155</v>
      </c>
      <c r="D310" t="s">
        <v>2728</v>
      </c>
      <c r="E310" t="s">
        <v>2729</v>
      </c>
      <c r="F310" t="s">
        <v>2730</v>
      </c>
      <c r="G310" t="s">
        <v>2920</v>
      </c>
      <c r="H310" t="s">
        <v>2921</v>
      </c>
      <c r="I310">
        <v>1296280</v>
      </c>
      <c r="J310">
        <v>0</v>
      </c>
      <c r="K310" t="s">
        <v>3156</v>
      </c>
      <c r="L310" t="s">
        <v>3157</v>
      </c>
      <c r="M310">
        <v>1296282</v>
      </c>
      <c r="N310">
        <v>29</v>
      </c>
      <c r="O310">
        <v>15934.439</v>
      </c>
      <c r="P310" t="s">
        <v>117</v>
      </c>
      <c r="Q310">
        <v>7</v>
      </c>
      <c r="R310">
        <v>11</v>
      </c>
      <c r="S310">
        <v>24</v>
      </c>
      <c r="T310">
        <v>14195687</v>
      </c>
      <c r="U310">
        <v>31</v>
      </c>
      <c r="V310">
        <v>121</v>
      </c>
      <c r="W310">
        <v>15934.4392663199</v>
      </c>
      <c r="X310">
        <v>14195687.491917299</v>
      </c>
      <c r="Y310">
        <v>320998.92499999999</v>
      </c>
      <c r="Z310">
        <f>VLOOKUP($AC310,'2017 Seattle Tracts'!$C$2:$Z$399,24,FALSE)</f>
        <v>1296282.1610000001</v>
      </c>
      <c r="AA310">
        <f t="shared" si="9"/>
        <v>0.24763044239717805</v>
      </c>
      <c r="AB310" t="s">
        <v>119</v>
      </c>
      <c r="AC310" t="str">
        <f t="shared" si="8"/>
        <v>Census Tract 33, King County, Washington</v>
      </c>
      <c r="AD310">
        <f>VLOOKUP($AC310,'2017 Seattle Tracts'!$C$2:$Z$399,AD$1,FALSE)*AA310</f>
        <v>1730.193901029083</v>
      </c>
      <c r="AE310">
        <f>VLOOKUP($AC310,'2017 Seattle Tracts'!$C$2:$Z$399,AE$1,FALSE)*AA310</f>
        <v>1564.2815046229737</v>
      </c>
      <c r="AF310">
        <f>VLOOKUP($AC310,'2017 Seattle Tracts'!$C$2:$Z$399,AF$1,FALSE)*AA310</f>
        <v>165.91239640610928</v>
      </c>
      <c r="AG310">
        <f>VLOOKUP($AC310,'2017 Seattle Tracts'!$C$2:$Z$399,AG$1,FALSE)*AA310</f>
        <v>1730.193901029083</v>
      </c>
      <c r="AH310">
        <f>VLOOKUP($AC310,'2017 Seattle Tracts'!$C$2:$Z$399,AH$1,FALSE)*AA310</f>
        <v>1564.2815046229737</v>
      </c>
      <c r="AI310">
        <f>VLOOKUP($AC310,'2017 Seattle Tracts'!$C$2:$Z$399,AI$1,FALSE)*AA310</f>
        <v>165.91239640610928</v>
      </c>
      <c r="AJ310">
        <f>VLOOKUP($AC310,'2017 Seattle Tracts'!$C$2:$Z$399,AJ$1,FALSE)*AA310</f>
        <v>1372.6155422075578</v>
      </c>
      <c r="AK310">
        <f>VLOOKUP($AC310,'2017 Seattle Tracts'!$C$2:$Z$399,AK$1,FALSE)*AA310</f>
        <v>48.287936267449716</v>
      </c>
      <c r="AL310">
        <f>VLOOKUP($AC310,'2017 Seattle Tracts'!$C$2:$Z$399,AL$1,FALSE)*AA310</f>
        <v>29.715653087661366</v>
      </c>
      <c r="AM310">
        <f>VLOOKUP($AC310,'2017 Seattle Tracts'!$C$2:$Z$399,AM$1,FALSE)*AA310</f>
        <v>12.381522119858902</v>
      </c>
      <c r="AN310">
        <f>VLOOKUP($AC310,'2017 Seattle Tracts'!$C$2:$Z$399,AN$1,FALSE)*AA310</f>
        <v>35.411153262796461</v>
      </c>
      <c r="AO310">
        <f>VLOOKUP($AC310,'2017 Seattle Tracts'!$C$2:$Z$399,AO$1,FALSE)*AA310</f>
        <v>0</v>
      </c>
      <c r="AP310">
        <f>VLOOKUP($AC310,'2017 Seattle Tracts'!$C$2:$Z$399,AP$1,FALSE)*AA310</f>
        <v>0</v>
      </c>
      <c r="AQ310">
        <f>VLOOKUP($AC310,'2017 Seattle Tracts'!$C$2:$Z$399,AQ$1,FALSE)*AA310</f>
        <v>0</v>
      </c>
      <c r="AR310">
        <f>VLOOKUP($AC310,'2017 Seattle Tracts'!$C$2:$Z$399,AR$1,FALSE)*AA310</f>
        <v>25.258305124512162</v>
      </c>
      <c r="AS310">
        <f>VLOOKUP($AC310,'2017 Seattle Tracts'!$C$2:$Z$399,AS$1,FALSE)*AA310</f>
        <v>77.755958912713908</v>
      </c>
      <c r="AT310">
        <f>VLOOKUP($AC310,'2017 Seattle Tracts'!$C$2:$Z$399,AT$1,FALSE)*AA310</f>
        <v>0</v>
      </c>
      <c r="AU310">
        <f>VLOOKUP($AC310,'2017 Seattle Tracts'!$C$2:$Z$399,AU$1,FALSE)*AA310</f>
        <v>0</v>
      </c>
      <c r="AV310">
        <f>VLOOKUP($AC310,'2017 Seattle Tracts'!$C$2:$Z$399,AV$1,FALSE)*AA310</f>
        <v>4.9526088479435613</v>
      </c>
      <c r="AW310">
        <f>VLOOKUP($AC310,'2017 Seattle Tracts'!$C$2:$Z$399,AW$1,FALSE)*AA310</f>
        <v>18.077022294993998</v>
      </c>
      <c r="AX310">
        <f>VLOOKUP($AC310,'2017 Seattle Tracts'!$C$2:$Z$399,AX$1,FALSE)*AA310</f>
        <v>96.328242092502265</v>
      </c>
      <c r="AY310">
        <f>VLOOKUP($AC310,'2017 Seattle Tracts'!$C$2:$Z$399,AY$1,FALSE)*AA310</f>
        <v>9.4099568110927656</v>
      </c>
    </row>
    <row r="311" spans="1:51" x14ac:dyDescent="0.25">
      <c r="A311" t="s">
        <v>2917</v>
      </c>
      <c r="B311" t="s">
        <v>2918</v>
      </c>
      <c r="C311" t="s">
        <v>3155</v>
      </c>
      <c r="D311" t="s">
        <v>2728</v>
      </c>
      <c r="E311" t="s">
        <v>2729</v>
      </c>
      <c r="F311" t="s">
        <v>2730</v>
      </c>
      <c r="G311" t="s">
        <v>2920</v>
      </c>
      <c r="H311" t="s">
        <v>2921</v>
      </c>
      <c r="I311">
        <v>1296280</v>
      </c>
      <c r="J311">
        <v>0</v>
      </c>
      <c r="K311" t="s">
        <v>3156</v>
      </c>
      <c r="L311" t="s">
        <v>3157</v>
      </c>
      <c r="M311">
        <v>1296282</v>
      </c>
      <c r="N311">
        <v>30</v>
      </c>
      <c r="O311">
        <v>21789.65</v>
      </c>
      <c r="P311" t="s">
        <v>117</v>
      </c>
      <c r="Q311">
        <v>7</v>
      </c>
      <c r="R311">
        <v>11</v>
      </c>
      <c r="S311">
        <v>9</v>
      </c>
      <c r="T311">
        <v>22199366</v>
      </c>
      <c r="U311">
        <v>32</v>
      </c>
      <c r="V311">
        <v>130</v>
      </c>
      <c r="W311">
        <v>21789.651087349259</v>
      </c>
      <c r="X311">
        <v>22199366.873256031</v>
      </c>
      <c r="Y311">
        <v>303952.25599999999</v>
      </c>
      <c r="Z311">
        <f>VLOOKUP($AC311,'2017 Seattle Tracts'!$C$2:$Z$399,24,FALSE)</f>
        <v>1296282.1610000001</v>
      </c>
      <c r="AA311">
        <f t="shared" si="9"/>
        <v>0.23448001148570924</v>
      </c>
      <c r="AB311" t="s">
        <v>120</v>
      </c>
      <c r="AC311" t="str">
        <f t="shared" si="8"/>
        <v>Census Tract 33, King County, Washington</v>
      </c>
      <c r="AD311">
        <f>VLOOKUP($AC311,'2017 Seattle Tracts'!$C$2:$Z$399,AD$1,FALSE)*AA311</f>
        <v>1638.3118402506504</v>
      </c>
      <c r="AE311">
        <f>VLOOKUP($AC311,'2017 Seattle Tracts'!$C$2:$Z$399,AE$1,FALSE)*AA311</f>
        <v>1481.2102325552253</v>
      </c>
      <c r="AF311">
        <f>VLOOKUP($AC311,'2017 Seattle Tracts'!$C$2:$Z$399,AF$1,FALSE)*AA311</f>
        <v>157.1016076954252</v>
      </c>
      <c r="AG311">
        <f>VLOOKUP($AC311,'2017 Seattle Tracts'!$C$2:$Z$399,AG$1,FALSE)*AA311</f>
        <v>1638.3118402506504</v>
      </c>
      <c r="AH311">
        <f>VLOOKUP($AC311,'2017 Seattle Tracts'!$C$2:$Z$399,AH$1,FALSE)*AA311</f>
        <v>1481.2102325552253</v>
      </c>
      <c r="AI311">
        <f>VLOOKUP($AC311,'2017 Seattle Tracts'!$C$2:$Z$399,AI$1,FALSE)*AA311</f>
        <v>157.1016076954252</v>
      </c>
      <c r="AJ311">
        <f>VLOOKUP($AC311,'2017 Seattle Tracts'!$C$2:$Z$399,AJ$1,FALSE)*AA311</f>
        <v>1299.7227036652864</v>
      </c>
      <c r="AK311">
        <f>VLOOKUP($AC311,'2017 Seattle Tracts'!$C$2:$Z$399,AK$1,FALSE)*AA311</f>
        <v>45.723602239713301</v>
      </c>
      <c r="AL311">
        <f>VLOOKUP($AC311,'2017 Seattle Tracts'!$C$2:$Z$399,AL$1,FALSE)*AA311</f>
        <v>28.137601378285108</v>
      </c>
      <c r="AM311">
        <f>VLOOKUP($AC311,'2017 Seattle Tracts'!$C$2:$Z$399,AM$1,FALSE)*AA311</f>
        <v>11.724000574285462</v>
      </c>
      <c r="AN311">
        <f>VLOOKUP($AC311,'2017 Seattle Tracts'!$C$2:$Z$399,AN$1,FALSE)*AA311</f>
        <v>33.530641642456423</v>
      </c>
      <c r="AO311">
        <f>VLOOKUP($AC311,'2017 Seattle Tracts'!$C$2:$Z$399,AO$1,FALSE)*AA311</f>
        <v>0</v>
      </c>
      <c r="AP311">
        <f>VLOOKUP($AC311,'2017 Seattle Tracts'!$C$2:$Z$399,AP$1,FALSE)*AA311</f>
        <v>0</v>
      </c>
      <c r="AQ311">
        <f>VLOOKUP($AC311,'2017 Seattle Tracts'!$C$2:$Z$399,AQ$1,FALSE)*AA311</f>
        <v>0</v>
      </c>
      <c r="AR311">
        <f>VLOOKUP($AC311,'2017 Seattle Tracts'!$C$2:$Z$399,AR$1,FALSE)*AA311</f>
        <v>23.916961171542344</v>
      </c>
      <c r="AS311">
        <f>VLOOKUP($AC311,'2017 Seattle Tracts'!$C$2:$Z$399,AS$1,FALSE)*AA311</f>
        <v>73.626723606512698</v>
      </c>
      <c r="AT311">
        <f>VLOOKUP($AC311,'2017 Seattle Tracts'!$C$2:$Z$399,AT$1,FALSE)*AA311</f>
        <v>0</v>
      </c>
      <c r="AU311">
        <f>VLOOKUP($AC311,'2017 Seattle Tracts'!$C$2:$Z$399,AU$1,FALSE)*AA311</f>
        <v>0</v>
      </c>
      <c r="AV311">
        <f>VLOOKUP($AC311,'2017 Seattle Tracts'!$C$2:$Z$399,AV$1,FALSE)*AA311</f>
        <v>4.689600229714185</v>
      </c>
      <c r="AW311">
        <f>VLOOKUP($AC311,'2017 Seattle Tracts'!$C$2:$Z$399,AW$1,FALSE)*AA311</f>
        <v>17.117040838456774</v>
      </c>
      <c r="AX311">
        <f>VLOOKUP($AC311,'2017 Seattle Tracts'!$C$2:$Z$399,AX$1,FALSE)*AA311</f>
        <v>91.212724467940888</v>
      </c>
      <c r="AY311">
        <f>VLOOKUP($AC311,'2017 Seattle Tracts'!$C$2:$Z$399,AY$1,FALSE)*AA311</f>
        <v>8.9102404364569505</v>
      </c>
    </row>
    <row r="312" spans="1:51" x14ac:dyDescent="0.25">
      <c r="A312" t="s">
        <v>2917</v>
      </c>
      <c r="B312" t="s">
        <v>2918</v>
      </c>
      <c r="C312" t="s">
        <v>3155</v>
      </c>
      <c r="D312" t="s">
        <v>2728</v>
      </c>
      <c r="E312" t="s">
        <v>2729</v>
      </c>
      <c r="F312" t="s">
        <v>2730</v>
      </c>
      <c r="G312" t="s">
        <v>2920</v>
      </c>
      <c r="H312" t="s">
        <v>2921</v>
      </c>
      <c r="I312">
        <v>1296280</v>
      </c>
      <c r="J312">
        <v>0</v>
      </c>
      <c r="K312" t="s">
        <v>3156</v>
      </c>
      <c r="L312" t="s">
        <v>3157</v>
      </c>
      <c r="M312">
        <v>1296282</v>
      </c>
      <c r="N312">
        <v>31</v>
      </c>
      <c r="O312">
        <v>27120.785</v>
      </c>
      <c r="P312" t="s">
        <v>122</v>
      </c>
      <c r="Q312">
        <v>6</v>
      </c>
      <c r="R312">
        <v>9</v>
      </c>
      <c r="S312">
        <v>95</v>
      </c>
      <c r="T312">
        <v>32123118</v>
      </c>
      <c r="U312">
        <v>33</v>
      </c>
      <c r="V312">
        <v>126</v>
      </c>
      <c r="W312">
        <v>27120.785937968081</v>
      </c>
      <c r="X312">
        <v>32123117.878249042</v>
      </c>
      <c r="Y312">
        <v>1967.4380000000001</v>
      </c>
      <c r="Z312">
        <f>VLOOKUP($AC312,'2017 Seattle Tracts'!$C$2:$Z$399,24,FALSE)</f>
        <v>1296282.1610000001</v>
      </c>
      <c r="AA312">
        <f t="shared" si="9"/>
        <v>1.5177544358723918E-3</v>
      </c>
      <c r="AB312" t="s">
        <v>121</v>
      </c>
      <c r="AC312" t="str">
        <f t="shared" si="8"/>
        <v>Census Tract 33, King County, Washington</v>
      </c>
      <c r="AD312">
        <f>VLOOKUP($AC312,'2017 Seattle Tracts'!$C$2:$Z$399,AD$1,FALSE)*AA312</f>
        <v>10.604550243440402</v>
      </c>
      <c r="AE312">
        <f>VLOOKUP($AC312,'2017 Seattle Tracts'!$C$2:$Z$399,AE$1,FALSE)*AA312</f>
        <v>9.5876547714058997</v>
      </c>
      <c r="AF312">
        <f>VLOOKUP($AC312,'2017 Seattle Tracts'!$C$2:$Z$399,AF$1,FALSE)*AA312</f>
        <v>1.0168954720345025</v>
      </c>
      <c r="AG312">
        <f>VLOOKUP($AC312,'2017 Seattle Tracts'!$C$2:$Z$399,AG$1,FALSE)*AA312</f>
        <v>10.604550243440402</v>
      </c>
      <c r="AH312">
        <f>VLOOKUP($AC312,'2017 Seattle Tracts'!$C$2:$Z$399,AH$1,FALSE)*AA312</f>
        <v>9.5876547714058997</v>
      </c>
      <c r="AI312">
        <f>VLOOKUP($AC312,'2017 Seattle Tracts'!$C$2:$Z$399,AI$1,FALSE)*AA312</f>
        <v>1.0168954720345025</v>
      </c>
      <c r="AJ312">
        <f>VLOOKUP($AC312,'2017 Seattle Tracts'!$C$2:$Z$399,AJ$1,FALSE)*AA312</f>
        <v>8.4129128380406684</v>
      </c>
      <c r="AK312">
        <f>VLOOKUP($AC312,'2017 Seattle Tracts'!$C$2:$Z$399,AK$1,FALSE)*AA312</f>
        <v>0.29596211499511643</v>
      </c>
      <c r="AL312">
        <f>VLOOKUP($AC312,'2017 Seattle Tracts'!$C$2:$Z$399,AL$1,FALSE)*AA312</f>
        <v>0.18213053230468701</v>
      </c>
      <c r="AM312">
        <f>VLOOKUP($AC312,'2017 Seattle Tracts'!$C$2:$Z$399,AM$1,FALSE)*AA312</f>
        <v>7.5887721793619592E-2</v>
      </c>
      <c r="AN312">
        <f>VLOOKUP($AC312,'2017 Seattle Tracts'!$C$2:$Z$399,AN$1,FALSE)*AA312</f>
        <v>0.21703888432975205</v>
      </c>
      <c r="AO312">
        <f>VLOOKUP($AC312,'2017 Seattle Tracts'!$C$2:$Z$399,AO$1,FALSE)*AA312</f>
        <v>0</v>
      </c>
      <c r="AP312">
        <f>VLOOKUP($AC312,'2017 Seattle Tracts'!$C$2:$Z$399,AP$1,FALSE)*AA312</f>
        <v>0</v>
      </c>
      <c r="AQ312">
        <f>VLOOKUP($AC312,'2017 Seattle Tracts'!$C$2:$Z$399,AQ$1,FALSE)*AA312</f>
        <v>0</v>
      </c>
      <c r="AR312">
        <f>VLOOKUP($AC312,'2017 Seattle Tracts'!$C$2:$Z$399,AR$1,FALSE)*AA312</f>
        <v>0.15481095245898396</v>
      </c>
      <c r="AS312">
        <f>VLOOKUP($AC312,'2017 Seattle Tracts'!$C$2:$Z$399,AS$1,FALSE)*AA312</f>
        <v>0.47657489286393107</v>
      </c>
      <c r="AT312">
        <f>VLOOKUP($AC312,'2017 Seattle Tracts'!$C$2:$Z$399,AT$1,FALSE)*AA312</f>
        <v>0</v>
      </c>
      <c r="AU312">
        <f>VLOOKUP($AC312,'2017 Seattle Tracts'!$C$2:$Z$399,AU$1,FALSE)*AA312</f>
        <v>0</v>
      </c>
      <c r="AV312">
        <f>VLOOKUP($AC312,'2017 Seattle Tracts'!$C$2:$Z$399,AV$1,FALSE)*AA312</f>
        <v>3.0355088717447836E-2</v>
      </c>
      <c r="AW312">
        <f>VLOOKUP($AC312,'2017 Seattle Tracts'!$C$2:$Z$399,AW$1,FALSE)*AA312</f>
        <v>0.1107960738186846</v>
      </c>
      <c r="AX312">
        <f>VLOOKUP($AC312,'2017 Seattle Tracts'!$C$2:$Z$399,AX$1,FALSE)*AA312</f>
        <v>0.59040647555436043</v>
      </c>
      <c r="AY312">
        <f>VLOOKUP($AC312,'2017 Seattle Tracts'!$C$2:$Z$399,AY$1,FALSE)*AA312</f>
        <v>5.7674668563150892E-2</v>
      </c>
    </row>
    <row r="313" spans="1:51" x14ac:dyDescent="0.25">
      <c r="A313" t="s">
        <v>2917</v>
      </c>
      <c r="B313" t="s">
        <v>2918</v>
      </c>
      <c r="C313" t="s">
        <v>3158</v>
      </c>
      <c r="D313" t="s">
        <v>2719</v>
      </c>
      <c r="E313" t="s">
        <v>2720</v>
      </c>
      <c r="F313" t="s">
        <v>2721</v>
      </c>
      <c r="G313" t="s">
        <v>2920</v>
      </c>
      <c r="H313" t="s">
        <v>2921</v>
      </c>
      <c r="I313">
        <v>1196464</v>
      </c>
      <c r="J313">
        <v>0</v>
      </c>
      <c r="K313" t="s">
        <v>3159</v>
      </c>
      <c r="L313" t="s">
        <v>3160</v>
      </c>
      <c r="M313">
        <v>1196456</v>
      </c>
      <c r="N313">
        <v>32</v>
      </c>
      <c r="O313">
        <v>33040.245999999999</v>
      </c>
      <c r="P313" t="s">
        <v>122</v>
      </c>
      <c r="Q313">
        <v>6</v>
      </c>
      <c r="R313">
        <v>9</v>
      </c>
      <c r="S313">
        <v>19</v>
      </c>
      <c r="T313">
        <v>42068344</v>
      </c>
      <c r="U313">
        <v>34</v>
      </c>
      <c r="V313">
        <v>133</v>
      </c>
      <c r="W313">
        <v>33040.246986119782</v>
      </c>
      <c r="X313">
        <v>42068342.613789164</v>
      </c>
      <c r="Y313">
        <v>54.152999999999999</v>
      </c>
      <c r="Z313">
        <f>VLOOKUP($AC313,'2017 Seattle Tracts'!$C$2:$Z$399,24,FALSE)</f>
        <v>1196455.8589999999</v>
      </c>
      <c r="AA313">
        <f t="shared" si="9"/>
        <v>4.5261176659923898E-5</v>
      </c>
      <c r="AB313" t="s">
        <v>123</v>
      </c>
      <c r="AC313" t="str">
        <f t="shared" si="8"/>
        <v>Census Tract 36, King County, Washington</v>
      </c>
      <c r="AD313">
        <f>VLOOKUP($AC313,'2017 Seattle Tracts'!$C$2:$Z$399,AD$1,FALSE)*AA313</f>
        <v>0.30012686243195535</v>
      </c>
      <c r="AE313">
        <f>VLOOKUP($AC313,'2017 Seattle Tracts'!$C$2:$Z$399,AE$1,FALSE)*AA313</f>
        <v>0.25789818460824637</v>
      </c>
      <c r="AF313">
        <f>VLOOKUP($AC313,'2017 Seattle Tracts'!$C$2:$Z$399,AF$1,FALSE)*AA313</f>
        <v>4.2228677823708996E-2</v>
      </c>
      <c r="AG313">
        <f>VLOOKUP($AC313,'2017 Seattle Tracts'!$C$2:$Z$399,AG$1,FALSE)*AA313</f>
        <v>0.30012686243195535</v>
      </c>
      <c r="AH313">
        <f>VLOOKUP($AC313,'2017 Seattle Tracts'!$C$2:$Z$399,AH$1,FALSE)*AA313</f>
        <v>0.25789818460824637</v>
      </c>
      <c r="AI313">
        <f>VLOOKUP($AC313,'2017 Seattle Tracts'!$C$2:$Z$399,AI$1,FALSE)*AA313</f>
        <v>4.2228677823708996E-2</v>
      </c>
      <c r="AJ313">
        <f>VLOOKUP($AC313,'2017 Seattle Tracts'!$C$2:$Z$399,AJ$1,FALSE)*AA313</f>
        <v>0.21299909736160186</v>
      </c>
      <c r="AK313">
        <f>VLOOKUP($AC313,'2017 Seattle Tracts'!$C$2:$Z$399,AK$1,FALSE)*AA313</f>
        <v>1.4438315354515724E-2</v>
      </c>
      <c r="AL313">
        <f>VLOOKUP($AC313,'2017 Seattle Tracts'!$C$2:$Z$399,AL$1,FALSE)*AA313</f>
        <v>6.7891764989885849E-4</v>
      </c>
      <c r="AM313">
        <f>VLOOKUP($AC313,'2017 Seattle Tracts'!$C$2:$Z$399,AM$1,FALSE)*AA313</f>
        <v>2.8967153062351295E-3</v>
      </c>
      <c r="AN313">
        <f>VLOOKUP($AC313,'2017 Seattle Tracts'!$C$2:$Z$399,AN$1,FALSE)*AA313</f>
        <v>4.9787294325916286E-3</v>
      </c>
      <c r="AO313">
        <f>VLOOKUP($AC313,'2017 Seattle Tracts'!$C$2:$Z$399,AO$1,FALSE)*AA313</f>
        <v>0</v>
      </c>
      <c r="AP313">
        <f>VLOOKUP($AC313,'2017 Seattle Tracts'!$C$2:$Z$399,AP$1,FALSE)*AA313</f>
        <v>0</v>
      </c>
      <c r="AQ313">
        <f>VLOOKUP($AC313,'2017 Seattle Tracts'!$C$2:$Z$399,AQ$1,FALSE)*AA313</f>
        <v>0</v>
      </c>
      <c r="AR313">
        <f>VLOOKUP($AC313,'2017 Seattle Tracts'!$C$2:$Z$399,AR$1,FALSE)*AA313</f>
        <v>2.3037938919901264E-2</v>
      </c>
      <c r="AS313">
        <f>VLOOKUP($AC313,'2017 Seattle Tracts'!$C$2:$Z$399,AS$1,FALSE)*AA313</f>
        <v>2.0050701260346287E-2</v>
      </c>
      <c r="AT313">
        <f>VLOOKUP($AC313,'2017 Seattle Tracts'!$C$2:$Z$399,AT$1,FALSE)*AA313</f>
        <v>0</v>
      </c>
      <c r="AU313">
        <f>VLOOKUP($AC313,'2017 Seattle Tracts'!$C$2:$Z$399,AU$1,FALSE)*AA313</f>
        <v>0</v>
      </c>
      <c r="AV313">
        <f>VLOOKUP($AC313,'2017 Seattle Tracts'!$C$2:$Z$399,AV$1,FALSE)*AA313</f>
        <v>3.2135435428545969E-3</v>
      </c>
      <c r="AW313">
        <f>VLOOKUP($AC313,'2017 Seattle Tracts'!$C$2:$Z$399,AW$1,FALSE)*AA313</f>
        <v>3.3493270728343683E-3</v>
      </c>
      <c r="AX313">
        <f>VLOOKUP($AC313,'2017 Seattle Tracts'!$C$2:$Z$399,AX$1,FALSE)*AA313</f>
        <v>1.2989957701398158E-2</v>
      </c>
      <c r="AY313">
        <f>VLOOKUP($AC313,'2017 Seattle Tracts'!$C$2:$Z$399,AY$1,FALSE)*AA313</f>
        <v>1.4936188297774886E-3</v>
      </c>
    </row>
    <row r="314" spans="1:51" x14ac:dyDescent="0.25">
      <c r="A314" t="s">
        <v>2917</v>
      </c>
      <c r="B314" t="s">
        <v>2918</v>
      </c>
      <c r="C314" t="s">
        <v>3158</v>
      </c>
      <c r="D314" t="s">
        <v>2719</v>
      </c>
      <c r="E314" t="s">
        <v>2720</v>
      </c>
      <c r="F314" t="s">
        <v>2721</v>
      </c>
      <c r="G314" t="s">
        <v>2920</v>
      </c>
      <c r="H314" t="s">
        <v>2921</v>
      </c>
      <c r="I314">
        <v>1196464</v>
      </c>
      <c r="J314">
        <v>0</v>
      </c>
      <c r="K314" t="s">
        <v>3159</v>
      </c>
      <c r="L314" t="s">
        <v>3160</v>
      </c>
      <c r="M314">
        <v>1196456</v>
      </c>
      <c r="N314">
        <v>34</v>
      </c>
      <c r="O314">
        <v>25387.706999999999</v>
      </c>
      <c r="P314" t="s">
        <v>122</v>
      </c>
      <c r="Q314">
        <v>6</v>
      </c>
      <c r="R314">
        <v>9</v>
      </c>
      <c r="S314">
        <v>24</v>
      </c>
      <c r="T314">
        <v>37314628</v>
      </c>
      <c r="U314">
        <v>36</v>
      </c>
      <c r="V314">
        <v>123</v>
      </c>
      <c r="W314">
        <v>25387.707496248549</v>
      </c>
      <c r="X314">
        <v>37314629.789188273</v>
      </c>
      <c r="Y314">
        <v>859317.87800000003</v>
      </c>
      <c r="Z314">
        <f>VLOOKUP($AC314,'2017 Seattle Tracts'!$C$2:$Z$399,24,FALSE)</f>
        <v>1196455.8589999999</v>
      </c>
      <c r="AA314">
        <f t="shared" si="9"/>
        <v>0.71821945752200134</v>
      </c>
      <c r="AB314" t="s">
        <v>125</v>
      </c>
      <c r="AC314" t="str">
        <f t="shared" si="8"/>
        <v>Census Tract 36, King County, Washington</v>
      </c>
      <c r="AD314">
        <f>VLOOKUP($AC314,'2017 Seattle Tracts'!$C$2:$Z$399,AD$1,FALSE)*AA314</f>
        <v>4762.513222828391</v>
      </c>
      <c r="AE314">
        <f>VLOOKUP($AC314,'2017 Seattle Tracts'!$C$2:$Z$399,AE$1,FALSE)*AA314</f>
        <v>4092.4144689603636</v>
      </c>
      <c r="AF314">
        <f>VLOOKUP($AC314,'2017 Seattle Tracts'!$C$2:$Z$399,AF$1,FALSE)*AA314</f>
        <v>670.0987538680273</v>
      </c>
      <c r="AG314">
        <f>VLOOKUP($AC314,'2017 Seattle Tracts'!$C$2:$Z$399,AG$1,FALSE)*AA314</f>
        <v>4762.513222828391</v>
      </c>
      <c r="AH314">
        <f>VLOOKUP($AC314,'2017 Seattle Tracts'!$C$2:$Z$399,AH$1,FALSE)*AA314</f>
        <v>4092.4144689603636</v>
      </c>
      <c r="AI314">
        <f>VLOOKUP($AC314,'2017 Seattle Tracts'!$C$2:$Z$399,AI$1,FALSE)*AA314</f>
        <v>670.0987538680273</v>
      </c>
      <c r="AJ314">
        <f>VLOOKUP($AC314,'2017 Seattle Tracts'!$C$2:$Z$399,AJ$1,FALSE)*AA314</f>
        <v>3379.9407670985383</v>
      </c>
      <c r="AK314">
        <f>VLOOKUP($AC314,'2017 Seattle Tracts'!$C$2:$Z$399,AK$1,FALSE)*AA314</f>
        <v>229.11200694951842</v>
      </c>
      <c r="AL314">
        <f>VLOOKUP($AC314,'2017 Seattle Tracts'!$C$2:$Z$399,AL$1,FALSE)*AA314</f>
        <v>10.773291862830019</v>
      </c>
      <c r="AM314">
        <f>VLOOKUP($AC314,'2017 Seattle Tracts'!$C$2:$Z$399,AM$1,FALSE)*AA314</f>
        <v>45.966045281408086</v>
      </c>
      <c r="AN314">
        <f>VLOOKUP($AC314,'2017 Seattle Tracts'!$C$2:$Z$399,AN$1,FALSE)*AA314</f>
        <v>79.004140327420146</v>
      </c>
      <c r="AO314">
        <f>VLOOKUP($AC314,'2017 Seattle Tracts'!$C$2:$Z$399,AO$1,FALSE)*AA314</f>
        <v>0</v>
      </c>
      <c r="AP314">
        <f>VLOOKUP($AC314,'2017 Seattle Tracts'!$C$2:$Z$399,AP$1,FALSE)*AA314</f>
        <v>0</v>
      </c>
      <c r="AQ314">
        <f>VLOOKUP($AC314,'2017 Seattle Tracts'!$C$2:$Z$399,AQ$1,FALSE)*AA314</f>
        <v>0</v>
      </c>
      <c r="AR314">
        <f>VLOOKUP($AC314,'2017 Seattle Tracts'!$C$2:$Z$399,AR$1,FALSE)*AA314</f>
        <v>365.57370387869867</v>
      </c>
      <c r="AS314">
        <f>VLOOKUP($AC314,'2017 Seattle Tracts'!$C$2:$Z$399,AS$1,FALSE)*AA314</f>
        <v>318.1712196822466</v>
      </c>
      <c r="AT314">
        <f>VLOOKUP($AC314,'2017 Seattle Tracts'!$C$2:$Z$399,AT$1,FALSE)*AA314</f>
        <v>0</v>
      </c>
      <c r="AU314">
        <f>VLOOKUP($AC314,'2017 Seattle Tracts'!$C$2:$Z$399,AU$1,FALSE)*AA314</f>
        <v>0</v>
      </c>
      <c r="AV314">
        <f>VLOOKUP($AC314,'2017 Seattle Tracts'!$C$2:$Z$399,AV$1,FALSE)*AA314</f>
        <v>50.993581484062098</v>
      </c>
      <c r="AW314">
        <f>VLOOKUP($AC314,'2017 Seattle Tracts'!$C$2:$Z$399,AW$1,FALSE)*AA314</f>
        <v>53.148239856628102</v>
      </c>
      <c r="AX314">
        <f>VLOOKUP($AC314,'2017 Seattle Tracts'!$C$2:$Z$399,AX$1,FALSE)*AA314</f>
        <v>206.12898430881438</v>
      </c>
      <c r="AY314">
        <f>VLOOKUP($AC314,'2017 Seattle Tracts'!$C$2:$Z$399,AY$1,FALSE)*AA314</f>
        <v>23.701242098226043</v>
      </c>
    </row>
    <row r="315" spans="1:51" x14ac:dyDescent="0.25">
      <c r="A315" t="s">
        <v>2917</v>
      </c>
      <c r="B315" t="s">
        <v>2918</v>
      </c>
      <c r="C315" t="s">
        <v>3158</v>
      </c>
      <c r="D315" t="s">
        <v>2719</v>
      </c>
      <c r="E315" t="s">
        <v>2720</v>
      </c>
      <c r="F315" t="s">
        <v>2721</v>
      </c>
      <c r="G315" t="s">
        <v>2920</v>
      </c>
      <c r="H315" t="s">
        <v>2921</v>
      </c>
      <c r="I315">
        <v>1196464</v>
      </c>
      <c r="J315">
        <v>0</v>
      </c>
      <c r="K315" t="s">
        <v>3159</v>
      </c>
      <c r="L315" t="s">
        <v>3160</v>
      </c>
      <c r="M315">
        <v>1196456</v>
      </c>
      <c r="N315">
        <v>41</v>
      </c>
      <c r="O315">
        <v>22865.453000000001</v>
      </c>
      <c r="P315" t="s">
        <v>122</v>
      </c>
      <c r="Q315">
        <v>4</v>
      </c>
      <c r="R315">
        <v>5</v>
      </c>
      <c r="S315">
        <v>95</v>
      </c>
      <c r="T315">
        <v>21491312</v>
      </c>
      <c r="U315">
        <v>43</v>
      </c>
      <c r="V315">
        <v>124</v>
      </c>
      <c r="W315">
        <v>22865.452635921651</v>
      </c>
      <c r="X315">
        <v>21491312.22830575</v>
      </c>
      <c r="Y315">
        <v>313517.34600000002</v>
      </c>
      <c r="Z315">
        <f>VLOOKUP($AC315,'2017 Seattle Tracts'!$C$2:$Z$399,24,FALSE)</f>
        <v>1196455.8589999999</v>
      </c>
      <c r="AA315">
        <f t="shared" si="9"/>
        <v>0.26203837244947625</v>
      </c>
      <c r="AB315" t="s">
        <v>132</v>
      </c>
      <c r="AC315" t="str">
        <f t="shared" si="8"/>
        <v>Census Tract 36, King County, Washington</v>
      </c>
      <c r="AD315">
        <f>VLOOKUP($AC315,'2017 Seattle Tracts'!$C$2:$Z$399,AD$1,FALSE)*AA315</f>
        <v>1737.5764477124771</v>
      </c>
      <c r="AE315">
        <f>VLOOKUP($AC315,'2017 Seattle Tracts'!$C$2:$Z$399,AE$1,FALSE)*AA315</f>
        <v>1493.0946462171157</v>
      </c>
      <c r="AF315">
        <f>VLOOKUP($AC315,'2017 Seattle Tracts'!$C$2:$Z$399,AF$1,FALSE)*AA315</f>
        <v>244.48180149536134</v>
      </c>
      <c r="AG315">
        <f>VLOOKUP($AC315,'2017 Seattle Tracts'!$C$2:$Z$399,AG$1,FALSE)*AA315</f>
        <v>1737.5764477124771</v>
      </c>
      <c r="AH315">
        <f>VLOOKUP($AC315,'2017 Seattle Tracts'!$C$2:$Z$399,AH$1,FALSE)*AA315</f>
        <v>1493.0946462171157</v>
      </c>
      <c r="AI315">
        <f>VLOOKUP($AC315,'2017 Seattle Tracts'!$C$2:$Z$399,AI$1,FALSE)*AA315</f>
        <v>244.48180149536134</v>
      </c>
      <c r="AJ315">
        <f>VLOOKUP($AC315,'2017 Seattle Tracts'!$C$2:$Z$399,AJ$1,FALSE)*AA315</f>
        <v>1233.1525807472353</v>
      </c>
      <c r="AK315">
        <f>VLOOKUP($AC315,'2017 Seattle Tracts'!$C$2:$Z$399,AK$1,FALSE)*AA315</f>
        <v>83.590240811382927</v>
      </c>
      <c r="AL315">
        <f>VLOOKUP($AC315,'2017 Seattle Tracts'!$C$2:$Z$399,AL$1,FALSE)*AA315</f>
        <v>3.9305755867421439</v>
      </c>
      <c r="AM315">
        <f>VLOOKUP($AC315,'2017 Seattle Tracts'!$C$2:$Z$399,AM$1,FALSE)*AA315</f>
        <v>16.77045583676648</v>
      </c>
      <c r="AN315">
        <f>VLOOKUP($AC315,'2017 Seattle Tracts'!$C$2:$Z$399,AN$1,FALSE)*AA315</f>
        <v>28.824220969442386</v>
      </c>
      <c r="AO315">
        <f>VLOOKUP($AC315,'2017 Seattle Tracts'!$C$2:$Z$399,AO$1,FALSE)*AA315</f>
        <v>0</v>
      </c>
      <c r="AP315">
        <f>VLOOKUP($AC315,'2017 Seattle Tracts'!$C$2:$Z$399,AP$1,FALSE)*AA315</f>
        <v>0</v>
      </c>
      <c r="AQ315">
        <f>VLOOKUP($AC315,'2017 Seattle Tracts'!$C$2:$Z$399,AQ$1,FALSE)*AA315</f>
        <v>0</v>
      </c>
      <c r="AR315">
        <f>VLOOKUP($AC315,'2017 Seattle Tracts'!$C$2:$Z$399,AR$1,FALSE)*AA315</f>
        <v>133.37753157678341</v>
      </c>
      <c r="AS315">
        <f>VLOOKUP($AC315,'2017 Seattle Tracts'!$C$2:$Z$399,AS$1,FALSE)*AA315</f>
        <v>116.08299899511798</v>
      </c>
      <c r="AT315">
        <f>VLOOKUP($AC315,'2017 Seattle Tracts'!$C$2:$Z$399,AT$1,FALSE)*AA315</f>
        <v>0</v>
      </c>
      <c r="AU315">
        <f>VLOOKUP($AC315,'2017 Seattle Tracts'!$C$2:$Z$399,AU$1,FALSE)*AA315</f>
        <v>0</v>
      </c>
      <c r="AV315">
        <f>VLOOKUP($AC315,'2017 Seattle Tracts'!$C$2:$Z$399,AV$1,FALSE)*AA315</f>
        <v>18.604724443912815</v>
      </c>
      <c r="AW315">
        <f>VLOOKUP($AC315,'2017 Seattle Tracts'!$C$2:$Z$399,AW$1,FALSE)*AA315</f>
        <v>19.390839561261242</v>
      </c>
      <c r="AX315">
        <f>VLOOKUP($AC315,'2017 Seattle Tracts'!$C$2:$Z$399,AX$1,FALSE)*AA315</f>
        <v>75.20501289299969</v>
      </c>
      <c r="AY315">
        <f>VLOOKUP($AC315,'2017 Seattle Tracts'!$C$2:$Z$399,AY$1,FALSE)*AA315</f>
        <v>8.6472662908327163</v>
      </c>
    </row>
    <row r="316" spans="1:51" x14ac:dyDescent="0.25">
      <c r="A316" t="s">
        <v>2917</v>
      </c>
      <c r="B316" t="s">
        <v>2918</v>
      </c>
      <c r="C316" t="s">
        <v>3158</v>
      </c>
      <c r="D316" t="s">
        <v>2719</v>
      </c>
      <c r="E316" t="s">
        <v>2720</v>
      </c>
      <c r="F316" t="s">
        <v>2721</v>
      </c>
      <c r="G316" t="s">
        <v>2920</v>
      </c>
      <c r="H316" t="s">
        <v>2921</v>
      </c>
      <c r="I316">
        <v>1196464</v>
      </c>
      <c r="J316">
        <v>0</v>
      </c>
      <c r="K316" t="s">
        <v>3159</v>
      </c>
      <c r="L316" t="s">
        <v>3160</v>
      </c>
      <c r="M316">
        <v>1196456</v>
      </c>
      <c r="N316">
        <v>42</v>
      </c>
      <c r="O316">
        <v>41446.940999999999</v>
      </c>
      <c r="P316" t="s">
        <v>134</v>
      </c>
      <c r="Q316">
        <v>5</v>
      </c>
      <c r="R316">
        <v>12</v>
      </c>
      <c r="S316">
        <v>33</v>
      </c>
      <c r="T316">
        <v>49348388</v>
      </c>
      <c r="U316">
        <v>44</v>
      </c>
      <c r="V316">
        <v>139</v>
      </c>
      <c r="W316">
        <v>41446.941321259314</v>
      </c>
      <c r="X316">
        <v>49348387.058142804</v>
      </c>
      <c r="Y316">
        <v>23566.491999999998</v>
      </c>
      <c r="Z316">
        <f>VLOOKUP($AC316,'2017 Seattle Tracts'!$C$2:$Z$399,24,FALSE)</f>
        <v>1196455.8589999999</v>
      </c>
      <c r="AA316">
        <f t="shared" si="9"/>
        <v>1.9696917209880954E-2</v>
      </c>
      <c r="AB316" t="s">
        <v>133</v>
      </c>
      <c r="AC316" t="str">
        <f t="shared" si="8"/>
        <v>Census Tract 36, King County, Washington</v>
      </c>
      <c r="AD316">
        <f>VLOOKUP($AC316,'2017 Seattle Tracts'!$C$2:$Z$399,AD$1,FALSE)*AA316</f>
        <v>130.6102580187206</v>
      </c>
      <c r="AE316">
        <f>VLOOKUP($AC316,'2017 Seattle Tracts'!$C$2:$Z$399,AE$1,FALSE)*AA316</f>
        <v>112.23303426190168</v>
      </c>
      <c r="AF316">
        <f>VLOOKUP($AC316,'2017 Seattle Tracts'!$C$2:$Z$399,AF$1,FALSE)*AA316</f>
        <v>18.377223756818932</v>
      </c>
      <c r="AG316">
        <f>VLOOKUP($AC316,'2017 Seattle Tracts'!$C$2:$Z$399,AG$1,FALSE)*AA316</f>
        <v>130.6102580187206</v>
      </c>
      <c r="AH316">
        <f>VLOOKUP($AC316,'2017 Seattle Tracts'!$C$2:$Z$399,AH$1,FALSE)*AA316</f>
        <v>112.23303426190168</v>
      </c>
      <c r="AI316">
        <f>VLOOKUP($AC316,'2017 Seattle Tracts'!$C$2:$Z$399,AI$1,FALSE)*AA316</f>
        <v>18.377223756818932</v>
      </c>
      <c r="AJ316">
        <f>VLOOKUP($AC316,'2017 Seattle Tracts'!$C$2:$Z$399,AJ$1,FALSE)*AA316</f>
        <v>92.693692389699777</v>
      </c>
      <c r="AK316">
        <f>VLOOKUP($AC316,'2017 Seattle Tracts'!$C$2:$Z$399,AK$1,FALSE)*AA316</f>
        <v>6.2833165899520242</v>
      </c>
      <c r="AL316">
        <f>VLOOKUP($AC316,'2017 Seattle Tracts'!$C$2:$Z$399,AL$1,FALSE)*AA316</f>
        <v>0.29545375814821428</v>
      </c>
      <c r="AM316">
        <f>VLOOKUP($AC316,'2017 Seattle Tracts'!$C$2:$Z$399,AM$1,FALSE)*AA316</f>
        <v>1.2606027014323811</v>
      </c>
      <c r="AN316">
        <f>VLOOKUP($AC316,'2017 Seattle Tracts'!$C$2:$Z$399,AN$1,FALSE)*AA316</f>
        <v>2.1666608930869051</v>
      </c>
      <c r="AO316">
        <f>VLOOKUP($AC316,'2017 Seattle Tracts'!$C$2:$Z$399,AO$1,FALSE)*AA316</f>
        <v>0</v>
      </c>
      <c r="AP316">
        <f>VLOOKUP($AC316,'2017 Seattle Tracts'!$C$2:$Z$399,AP$1,FALSE)*AA316</f>
        <v>0</v>
      </c>
      <c r="AQ316">
        <f>VLOOKUP($AC316,'2017 Seattle Tracts'!$C$2:$Z$399,AQ$1,FALSE)*AA316</f>
        <v>0</v>
      </c>
      <c r="AR316">
        <f>VLOOKUP($AC316,'2017 Seattle Tracts'!$C$2:$Z$399,AR$1,FALSE)*AA316</f>
        <v>10.025730859829405</v>
      </c>
      <c r="AS316">
        <f>VLOOKUP($AC316,'2017 Seattle Tracts'!$C$2:$Z$399,AS$1,FALSE)*AA316</f>
        <v>8.725734323977262</v>
      </c>
      <c r="AT316">
        <f>VLOOKUP($AC316,'2017 Seattle Tracts'!$C$2:$Z$399,AT$1,FALSE)*AA316</f>
        <v>0</v>
      </c>
      <c r="AU316">
        <f>VLOOKUP($AC316,'2017 Seattle Tracts'!$C$2:$Z$399,AU$1,FALSE)*AA316</f>
        <v>0</v>
      </c>
      <c r="AV316">
        <f>VLOOKUP($AC316,'2017 Seattle Tracts'!$C$2:$Z$399,AV$1,FALSE)*AA316</f>
        <v>1.3984811219015478</v>
      </c>
      <c r="AW316">
        <f>VLOOKUP($AC316,'2017 Seattle Tracts'!$C$2:$Z$399,AW$1,FALSE)*AA316</f>
        <v>1.4575718735311907</v>
      </c>
      <c r="AX316">
        <f>VLOOKUP($AC316,'2017 Seattle Tracts'!$C$2:$Z$399,AX$1,FALSE)*AA316</f>
        <v>5.6530152392358337</v>
      </c>
      <c r="AY316">
        <f>VLOOKUP($AC316,'2017 Seattle Tracts'!$C$2:$Z$399,AY$1,FALSE)*AA316</f>
        <v>0.64999826792607152</v>
      </c>
    </row>
    <row r="317" spans="1:51" x14ac:dyDescent="0.25">
      <c r="A317" t="s">
        <v>2917</v>
      </c>
      <c r="B317" t="s">
        <v>2918</v>
      </c>
      <c r="C317" t="s">
        <v>3161</v>
      </c>
      <c r="D317" t="s">
        <v>2713</v>
      </c>
      <c r="E317" t="s">
        <v>2714</v>
      </c>
      <c r="F317" t="s">
        <v>2715</v>
      </c>
      <c r="G317" t="s">
        <v>2920</v>
      </c>
      <c r="H317" t="s">
        <v>2921</v>
      </c>
      <c r="I317">
        <v>973808</v>
      </c>
      <c r="J317">
        <v>0</v>
      </c>
      <c r="K317" t="s">
        <v>3162</v>
      </c>
      <c r="L317" t="s">
        <v>3163</v>
      </c>
      <c r="M317">
        <v>973808</v>
      </c>
      <c r="N317">
        <v>35</v>
      </c>
      <c r="O317">
        <v>22657.039000000001</v>
      </c>
      <c r="P317" t="s">
        <v>122</v>
      </c>
      <c r="Q317">
        <v>4</v>
      </c>
      <c r="R317">
        <v>5</v>
      </c>
      <c r="S317">
        <v>94</v>
      </c>
      <c r="T317">
        <v>25612980</v>
      </c>
      <c r="U317">
        <v>37</v>
      </c>
      <c r="V317">
        <v>119</v>
      </c>
      <c r="W317">
        <v>22657.0394732799</v>
      </c>
      <c r="X317">
        <v>25612979.943988901</v>
      </c>
      <c r="Y317">
        <v>647493.07200000004</v>
      </c>
      <c r="Z317">
        <f>VLOOKUP($AC317,'2017 Seattle Tracts'!$C$2:$Z$399,24,FALSE)</f>
        <v>973807.67200000002</v>
      </c>
      <c r="AA317">
        <f t="shared" si="9"/>
        <v>0.66490857549949556</v>
      </c>
      <c r="AB317" t="s">
        <v>126</v>
      </c>
      <c r="AC317" t="str">
        <f t="shared" si="8"/>
        <v>Census Tract 39, King County, Washington</v>
      </c>
      <c r="AD317">
        <f>VLOOKUP($AC317,'2017 Seattle Tracts'!$C$2:$Z$399,AD$1,FALSE)*AA317</f>
        <v>2017.3326180654694</v>
      </c>
      <c r="AE317">
        <f>VLOOKUP($AC317,'2017 Seattle Tracts'!$C$2:$Z$399,AE$1,FALSE)*AA317</f>
        <v>1706.1554047317056</v>
      </c>
      <c r="AF317">
        <f>VLOOKUP($AC317,'2017 Seattle Tracts'!$C$2:$Z$399,AF$1,FALSE)*AA317</f>
        <v>311.17721333376392</v>
      </c>
      <c r="AG317">
        <f>VLOOKUP($AC317,'2017 Seattle Tracts'!$C$2:$Z$399,AG$1,FALSE)*AA317</f>
        <v>2017.3326180654694</v>
      </c>
      <c r="AH317">
        <f>VLOOKUP($AC317,'2017 Seattle Tracts'!$C$2:$Z$399,AH$1,FALSE)*AA317</f>
        <v>1706.1554047317056</v>
      </c>
      <c r="AI317">
        <f>VLOOKUP($AC317,'2017 Seattle Tracts'!$C$2:$Z$399,AI$1,FALSE)*AA317</f>
        <v>311.17721333376392</v>
      </c>
      <c r="AJ317">
        <f>VLOOKUP($AC317,'2017 Seattle Tracts'!$C$2:$Z$399,AJ$1,FALSE)*AA317</f>
        <v>1456.1497803438954</v>
      </c>
      <c r="AK317">
        <f>VLOOKUP($AC317,'2017 Seattle Tracts'!$C$2:$Z$399,AK$1,FALSE)*AA317</f>
        <v>97.076652022926353</v>
      </c>
      <c r="AL317">
        <f>VLOOKUP($AC317,'2017 Seattle Tracts'!$C$2:$Z$399,AL$1,FALSE)*AA317</f>
        <v>31.915611623975785</v>
      </c>
      <c r="AM317">
        <f>VLOOKUP($AC317,'2017 Seattle Tracts'!$C$2:$Z$399,AM$1,FALSE)*AA317</f>
        <v>51.197960313461159</v>
      </c>
      <c r="AN317">
        <f>VLOOKUP($AC317,'2017 Seattle Tracts'!$C$2:$Z$399,AN$1,FALSE)*AA317</f>
        <v>14.627988660988903</v>
      </c>
      <c r="AO317">
        <f>VLOOKUP($AC317,'2017 Seattle Tracts'!$C$2:$Z$399,AO$1,FALSE)*AA317</f>
        <v>0</v>
      </c>
      <c r="AP317">
        <f>VLOOKUP($AC317,'2017 Seattle Tracts'!$C$2:$Z$399,AP$1,FALSE)*AA317</f>
        <v>23.271800142482345</v>
      </c>
      <c r="AQ317">
        <f>VLOOKUP($AC317,'2017 Seattle Tracts'!$C$2:$Z$399,AQ$1,FALSE)*AA317</f>
        <v>7.9789029059939462</v>
      </c>
      <c r="AR317">
        <f>VLOOKUP($AC317,'2017 Seattle Tracts'!$C$2:$Z$399,AR$1,FALSE)*AA317</f>
        <v>61.171588945953594</v>
      </c>
      <c r="AS317">
        <f>VLOOKUP($AC317,'2017 Seattle Tracts'!$C$2:$Z$399,AS$1,FALSE)*AA317</f>
        <v>136.3062579773966</v>
      </c>
      <c r="AT317">
        <f>VLOOKUP($AC317,'2017 Seattle Tracts'!$C$2:$Z$399,AT$1,FALSE)*AA317</f>
        <v>0</v>
      </c>
      <c r="AU317">
        <f>VLOOKUP($AC317,'2017 Seattle Tracts'!$C$2:$Z$399,AU$1,FALSE)*AA317</f>
        <v>0</v>
      </c>
      <c r="AV317">
        <f>VLOOKUP($AC317,'2017 Seattle Tracts'!$C$2:$Z$399,AV$1,FALSE)*AA317</f>
        <v>0</v>
      </c>
      <c r="AW317">
        <f>VLOOKUP($AC317,'2017 Seattle Tracts'!$C$2:$Z$399,AW$1,FALSE)*AA317</f>
        <v>18.617440113985875</v>
      </c>
      <c r="AX317">
        <f>VLOOKUP($AC317,'2017 Seattle Tracts'!$C$2:$Z$399,AX$1,FALSE)*AA317</f>
        <v>119.01863501440971</v>
      </c>
      <c r="AY317">
        <f>VLOOKUP($AC317,'2017 Seattle Tracts'!$C$2:$Z$399,AY$1,FALSE)*AA317</f>
        <v>0</v>
      </c>
    </row>
    <row r="318" spans="1:51" x14ac:dyDescent="0.25">
      <c r="A318" t="s">
        <v>2917</v>
      </c>
      <c r="B318" t="s">
        <v>2918</v>
      </c>
      <c r="C318" t="s">
        <v>3161</v>
      </c>
      <c r="D318" t="s">
        <v>2713</v>
      </c>
      <c r="E318" t="s">
        <v>2714</v>
      </c>
      <c r="F318" t="s">
        <v>2715</v>
      </c>
      <c r="G318" t="s">
        <v>2920</v>
      </c>
      <c r="H318" t="s">
        <v>2921</v>
      </c>
      <c r="I318">
        <v>973808</v>
      </c>
      <c r="J318">
        <v>0</v>
      </c>
      <c r="K318" t="s">
        <v>3162</v>
      </c>
      <c r="L318" t="s">
        <v>3163</v>
      </c>
      <c r="M318">
        <v>973808</v>
      </c>
      <c r="N318">
        <v>36</v>
      </c>
      <c r="O318">
        <v>30993.599999999999</v>
      </c>
      <c r="P318" t="s">
        <v>122</v>
      </c>
      <c r="Q318">
        <v>4</v>
      </c>
      <c r="R318">
        <v>5</v>
      </c>
      <c r="S318">
        <v>81</v>
      </c>
      <c r="T318">
        <v>37020968</v>
      </c>
      <c r="U318">
        <v>38</v>
      </c>
      <c r="V318">
        <v>125</v>
      </c>
      <c r="W318">
        <v>30993.600213945359</v>
      </c>
      <c r="X318">
        <v>37020968.872468568</v>
      </c>
      <c r="Y318">
        <v>18.548999999999999</v>
      </c>
      <c r="Z318">
        <f>VLOOKUP($AC318,'2017 Seattle Tracts'!$C$2:$Z$399,24,FALSE)</f>
        <v>973807.67200000002</v>
      </c>
      <c r="AA318">
        <f t="shared" si="9"/>
        <v>1.9047909082400411E-5</v>
      </c>
      <c r="AB318" t="s">
        <v>127</v>
      </c>
      <c r="AC318" t="str">
        <f t="shared" si="8"/>
        <v>Census Tract 39, King County, Washington</v>
      </c>
      <c r="AD318">
        <f>VLOOKUP($AC318,'2017 Seattle Tracts'!$C$2:$Z$399,AD$1,FALSE)*AA318</f>
        <v>5.7791356156002845E-2</v>
      </c>
      <c r="AE318">
        <f>VLOOKUP($AC318,'2017 Seattle Tracts'!$C$2:$Z$399,AE$1,FALSE)*AA318</f>
        <v>4.8876934705439454E-2</v>
      </c>
      <c r="AF318">
        <f>VLOOKUP($AC318,'2017 Seattle Tracts'!$C$2:$Z$399,AF$1,FALSE)*AA318</f>
        <v>8.9144214505633926E-3</v>
      </c>
      <c r="AG318">
        <f>VLOOKUP($AC318,'2017 Seattle Tracts'!$C$2:$Z$399,AG$1,FALSE)*AA318</f>
        <v>5.7791356156002845E-2</v>
      </c>
      <c r="AH318">
        <f>VLOOKUP($AC318,'2017 Seattle Tracts'!$C$2:$Z$399,AH$1,FALSE)*AA318</f>
        <v>4.8876934705439454E-2</v>
      </c>
      <c r="AI318">
        <f>VLOOKUP($AC318,'2017 Seattle Tracts'!$C$2:$Z$399,AI$1,FALSE)*AA318</f>
        <v>8.9144214505633926E-3</v>
      </c>
      <c r="AJ318">
        <f>VLOOKUP($AC318,'2017 Seattle Tracts'!$C$2:$Z$399,AJ$1,FALSE)*AA318</f>
        <v>4.1714920890456898E-2</v>
      </c>
      <c r="AK318">
        <f>VLOOKUP($AC318,'2017 Seattle Tracts'!$C$2:$Z$399,AK$1,FALSE)*AA318</f>
        <v>2.7809947260304599E-3</v>
      </c>
      <c r="AL318">
        <f>VLOOKUP($AC318,'2017 Seattle Tracts'!$C$2:$Z$399,AL$1,FALSE)*AA318</f>
        <v>9.1429963595521973E-4</v>
      </c>
      <c r="AM318">
        <f>VLOOKUP($AC318,'2017 Seattle Tracts'!$C$2:$Z$399,AM$1,FALSE)*AA318</f>
        <v>1.4666889993448316E-3</v>
      </c>
      <c r="AN318">
        <f>VLOOKUP($AC318,'2017 Seattle Tracts'!$C$2:$Z$399,AN$1,FALSE)*AA318</f>
        <v>4.1905399981280906E-4</v>
      </c>
      <c r="AO318">
        <f>VLOOKUP($AC318,'2017 Seattle Tracts'!$C$2:$Z$399,AO$1,FALSE)*AA318</f>
        <v>0</v>
      </c>
      <c r="AP318">
        <f>VLOOKUP($AC318,'2017 Seattle Tracts'!$C$2:$Z$399,AP$1,FALSE)*AA318</f>
        <v>6.6667681788401436E-4</v>
      </c>
      <c r="AQ318">
        <f>VLOOKUP($AC318,'2017 Seattle Tracts'!$C$2:$Z$399,AQ$1,FALSE)*AA318</f>
        <v>2.2857490898880493E-4</v>
      </c>
      <c r="AR318">
        <f>VLOOKUP($AC318,'2017 Seattle Tracts'!$C$2:$Z$399,AR$1,FALSE)*AA318</f>
        <v>1.7524076355808378E-3</v>
      </c>
      <c r="AS318">
        <f>VLOOKUP($AC318,'2017 Seattle Tracts'!$C$2:$Z$399,AS$1,FALSE)*AA318</f>
        <v>3.9048213618920842E-3</v>
      </c>
      <c r="AT318">
        <f>VLOOKUP($AC318,'2017 Seattle Tracts'!$C$2:$Z$399,AT$1,FALSE)*AA318</f>
        <v>0</v>
      </c>
      <c r="AU318">
        <f>VLOOKUP($AC318,'2017 Seattle Tracts'!$C$2:$Z$399,AU$1,FALSE)*AA318</f>
        <v>0</v>
      </c>
      <c r="AV318">
        <f>VLOOKUP($AC318,'2017 Seattle Tracts'!$C$2:$Z$399,AV$1,FALSE)*AA318</f>
        <v>0</v>
      </c>
      <c r="AW318">
        <f>VLOOKUP($AC318,'2017 Seattle Tracts'!$C$2:$Z$399,AW$1,FALSE)*AA318</f>
        <v>5.3334145430721154E-4</v>
      </c>
      <c r="AX318">
        <f>VLOOKUP($AC318,'2017 Seattle Tracts'!$C$2:$Z$399,AX$1,FALSE)*AA318</f>
        <v>3.4095757257496737E-3</v>
      </c>
      <c r="AY318">
        <f>VLOOKUP($AC318,'2017 Seattle Tracts'!$C$2:$Z$399,AY$1,FALSE)*AA318</f>
        <v>0</v>
      </c>
    </row>
    <row r="319" spans="1:51" x14ac:dyDescent="0.25">
      <c r="A319" t="s">
        <v>2917</v>
      </c>
      <c r="B319" t="s">
        <v>2918</v>
      </c>
      <c r="C319" t="s">
        <v>3161</v>
      </c>
      <c r="D319" t="s">
        <v>2713</v>
      </c>
      <c r="E319" t="s">
        <v>2714</v>
      </c>
      <c r="F319" t="s">
        <v>2715</v>
      </c>
      <c r="G319" t="s">
        <v>2920</v>
      </c>
      <c r="H319" t="s">
        <v>2921</v>
      </c>
      <c r="I319">
        <v>973808</v>
      </c>
      <c r="J319">
        <v>0</v>
      </c>
      <c r="K319" t="s">
        <v>3162</v>
      </c>
      <c r="L319" t="s">
        <v>3163</v>
      </c>
      <c r="M319">
        <v>973808</v>
      </c>
      <c r="N319">
        <v>38</v>
      </c>
      <c r="O319">
        <v>20928.002</v>
      </c>
      <c r="P319" t="s">
        <v>122</v>
      </c>
      <c r="Q319">
        <v>4</v>
      </c>
      <c r="R319">
        <v>5</v>
      </c>
      <c r="S319">
        <v>24</v>
      </c>
      <c r="T319">
        <v>15485078</v>
      </c>
      <c r="U319">
        <v>40</v>
      </c>
      <c r="V319">
        <v>128</v>
      </c>
      <c r="W319">
        <v>20928.00172430617</v>
      </c>
      <c r="X319">
        <v>15485078.03322144</v>
      </c>
      <c r="Y319">
        <v>326217.14199999999</v>
      </c>
      <c r="Z319">
        <f>VLOOKUP($AC319,'2017 Seattle Tracts'!$C$2:$Z$399,24,FALSE)</f>
        <v>973807.67200000002</v>
      </c>
      <c r="AA319">
        <f t="shared" si="9"/>
        <v>0.33499134519038787</v>
      </c>
      <c r="AB319" t="s">
        <v>129</v>
      </c>
      <c r="AC319" t="str">
        <f t="shared" si="8"/>
        <v>Census Tract 39, King County, Washington</v>
      </c>
      <c r="AD319">
        <f>VLOOKUP($AC319,'2017 Seattle Tracts'!$C$2:$Z$399,AD$1,FALSE)*AA319</f>
        <v>1016.3637413076368</v>
      </c>
      <c r="AE319">
        <f>VLOOKUP($AC319,'2017 Seattle Tracts'!$C$2:$Z$399,AE$1,FALSE)*AA319</f>
        <v>859.58779175853522</v>
      </c>
      <c r="AF319">
        <f>VLOOKUP($AC319,'2017 Seattle Tracts'!$C$2:$Z$399,AF$1,FALSE)*AA319</f>
        <v>156.77594954910151</v>
      </c>
      <c r="AG319">
        <f>VLOOKUP($AC319,'2017 Seattle Tracts'!$C$2:$Z$399,AG$1,FALSE)*AA319</f>
        <v>1016.3637413076368</v>
      </c>
      <c r="AH319">
        <f>VLOOKUP($AC319,'2017 Seattle Tracts'!$C$2:$Z$399,AH$1,FALSE)*AA319</f>
        <v>859.58779175853522</v>
      </c>
      <c r="AI319">
        <f>VLOOKUP($AC319,'2017 Seattle Tracts'!$C$2:$Z$399,AI$1,FALSE)*AA319</f>
        <v>156.77594954910151</v>
      </c>
      <c r="AJ319">
        <f>VLOOKUP($AC319,'2017 Seattle Tracts'!$C$2:$Z$399,AJ$1,FALSE)*AA319</f>
        <v>733.63104596694939</v>
      </c>
      <c r="AK319">
        <f>VLOOKUP($AC319,'2017 Seattle Tracts'!$C$2:$Z$399,AK$1,FALSE)*AA319</f>
        <v>48.908736397796631</v>
      </c>
      <c r="AL319">
        <f>VLOOKUP($AC319,'2017 Seattle Tracts'!$C$2:$Z$399,AL$1,FALSE)*AA319</f>
        <v>16.079584569138618</v>
      </c>
      <c r="AM319">
        <f>VLOOKUP($AC319,'2017 Seattle Tracts'!$C$2:$Z$399,AM$1,FALSE)*AA319</f>
        <v>25.794333579659867</v>
      </c>
      <c r="AN319">
        <f>VLOOKUP($AC319,'2017 Seattle Tracts'!$C$2:$Z$399,AN$1,FALSE)*AA319</f>
        <v>7.3698095941885331</v>
      </c>
      <c r="AO319">
        <f>VLOOKUP($AC319,'2017 Seattle Tracts'!$C$2:$Z$399,AO$1,FALSE)*AA319</f>
        <v>0</v>
      </c>
      <c r="AP319">
        <f>VLOOKUP($AC319,'2017 Seattle Tracts'!$C$2:$Z$399,AP$1,FALSE)*AA319</f>
        <v>11.724697081663574</v>
      </c>
      <c r="AQ319">
        <f>VLOOKUP($AC319,'2017 Seattle Tracts'!$C$2:$Z$399,AQ$1,FALSE)*AA319</f>
        <v>4.0198961422846544</v>
      </c>
      <c r="AR319">
        <f>VLOOKUP($AC319,'2017 Seattle Tracts'!$C$2:$Z$399,AR$1,FALSE)*AA319</f>
        <v>30.819203757515684</v>
      </c>
      <c r="AS319">
        <f>VLOOKUP($AC319,'2017 Seattle Tracts'!$C$2:$Z$399,AS$1,FALSE)*AA319</f>
        <v>68.67322576402951</v>
      </c>
      <c r="AT319">
        <f>VLOOKUP($AC319,'2017 Seattle Tracts'!$C$2:$Z$399,AT$1,FALSE)*AA319</f>
        <v>0</v>
      </c>
      <c r="AU319">
        <f>VLOOKUP($AC319,'2017 Seattle Tracts'!$C$2:$Z$399,AU$1,FALSE)*AA319</f>
        <v>0</v>
      </c>
      <c r="AV319">
        <f>VLOOKUP($AC319,'2017 Seattle Tracts'!$C$2:$Z$399,AV$1,FALSE)*AA319</f>
        <v>0</v>
      </c>
      <c r="AW319">
        <f>VLOOKUP($AC319,'2017 Seattle Tracts'!$C$2:$Z$399,AW$1,FALSE)*AA319</f>
        <v>9.3797576653308603</v>
      </c>
      <c r="AX319">
        <f>VLOOKUP($AC319,'2017 Seattle Tracts'!$C$2:$Z$399,AX$1,FALSE)*AA319</f>
        <v>59.963450789079431</v>
      </c>
      <c r="AY319">
        <f>VLOOKUP($AC319,'2017 Seattle Tracts'!$C$2:$Z$399,AY$1,FALSE)*AA319</f>
        <v>0</v>
      </c>
    </row>
    <row r="320" spans="1:51" x14ac:dyDescent="0.25">
      <c r="A320" t="s">
        <v>2917</v>
      </c>
      <c r="B320" t="s">
        <v>2918</v>
      </c>
      <c r="C320" t="s">
        <v>3161</v>
      </c>
      <c r="D320" t="s">
        <v>2713</v>
      </c>
      <c r="E320" t="s">
        <v>2714</v>
      </c>
      <c r="F320" t="s">
        <v>2715</v>
      </c>
      <c r="G320" t="s">
        <v>2920</v>
      </c>
      <c r="H320" t="s">
        <v>2921</v>
      </c>
      <c r="I320">
        <v>973808</v>
      </c>
      <c r="J320">
        <v>0</v>
      </c>
      <c r="K320" t="s">
        <v>3162</v>
      </c>
      <c r="L320" t="s">
        <v>3163</v>
      </c>
      <c r="M320">
        <v>973808</v>
      </c>
      <c r="N320">
        <v>39</v>
      </c>
      <c r="O320">
        <v>33332.828000000001</v>
      </c>
      <c r="P320" t="s">
        <v>122</v>
      </c>
      <c r="Q320">
        <v>4</v>
      </c>
      <c r="R320">
        <v>5</v>
      </c>
      <c r="S320">
        <v>23</v>
      </c>
      <c r="T320">
        <v>22363966</v>
      </c>
      <c r="U320">
        <v>41</v>
      </c>
      <c r="V320">
        <v>131</v>
      </c>
      <c r="W320">
        <v>33332.829196830411</v>
      </c>
      <c r="X320">
        <v>22363966.623789791</v>
      </c>
      <c r="Y320">
        <v>51.576999999999998</v>
      </c>
      <c r="Z320">
        <f>VLOOKUP($AC320,'2017 Seattle Tracts'!$C$2:$Z$399,24,FALSE)</f>
        <v>973807.67200000002</v>
      </c>
      <c r="AA320">
        <f t="shared" si="9"/>
        <v>5.2964257196774271E-5</v>
      </c>
      <c r="AB320" t="s">
        <v>130</v>
      </c>
      <c r="AC320" t="str">
        <f t="shared" si="8"/>
        <v>Census Tract 39, King County, Washington</v>
      </c>
      <c r="AD320">
        <f>VLOOKUP($AC320,'2017 Seattle Tracts'!$C$2:$Z$399,AD$1,FALSE)*AA320</f>
        <v>0.16069355633501314</v>
      </c>
      <c r="AE320">
        <f>VLOOKUP($AC320,'2017 Seattle Tracts'!$C$2:$Z$399,AE$1,FALSE)*AA320</f>
        <v>0.13590628396692278</v>
      </c>
      <c r="AF320">
        <f>VLOOKUP($AC320,'2017 Seattle Tracts'!$C$2:$Z$399,AF$1,FALSE)*AA320</f>
        <v>2.4787272368090359E-2</v>
      </c>
      <c r="AG320">
        <f>VLOOKUP($AC320,'2017 Seattle Tracts'!$C$2:$Z$399,AG$1,FALSE)*AA320</f>
        <v>0.16069355633501314</v>
      </c>
      <c r="AH320">
        <f>VLOOKUP($AC320,'2017 Seattle Tracts'!$C$2:$Z$399,AH$1,FALSE)*AA320</f>
        <v>0.13590628396692278</v>
      </c>
      <c r="AI320">
        <f>VLOOKUP($AC320,'2017 Seattle Tracts'!$C$2:$Z$399,AI$1,FALSE)*AA320</f>
        <v>2.4787272368090359E-2</v>
      </c>
      <c r="AJ320">
        <f>VLOOKUP($AC320,'2017 Seattle Tracts'!$C$2:$Z$399,AJ$1,FALSE)*AA320</f>
        <v>0.11599172326093565</v>
      </c>
      <c r="AK320">
        <f>VLOOKUP($AC320,'2017 Seattle Tracts'!$C$2:$Z$399,AK$1,FALSE)*AA320</f>
        <v>7.7327815507290433E-3</v>
      </c>
      <c r="AL320">
        <f>VLOOKUP($AC320,'2017 Seattle Tracts'!$C$2:$Z$399,AL$1,FALSE)*AA320</f>
        <v>2.5422843454451652E-3</v>
      </c>
      <c r="AM320">
        <f>VLOOKUP($AC320,'2017 Seattle Tracts'!$C$2:$Z$399,AM$1,FALSE)*AA320</f>
        <v>4.0782478041516187E-3</v>
      </c>
      <c r="AN320">
        <f>VLOOKUP($AC320,'2017 Seattle Tracts'!$C$2:$Z$399,AN$1,FALSE)*AA320</f>
        <v>1.1652136583290339E-3</v>
      </c>
      <c r="AO320">
        <f>VLOOKUP($AC320,'2017 Seattle Tracts'!$C$2:$Z$399,AO$1,FALSE)*AA320</f>
        <v>0</v>
      </c>
      <c r="AP320">
        <f>VLOOKUP($AC320,'2017 Seattle Tracts'!$C$2:$Z$399,AP$1,FALSE)*AA320</f>
        <v>1.8537490018870994E-3</v>
      </c>
      <c r="AQ320">
        <f>VLOOKUP($AC320,'2017 Seattle Tracts'!$C$2:$Z$399,AQ$1,FALSE)*AA320</f>
        <v>6.355710863612913E-4</v>
      </c>
      <c r="AR320">
        <f>VLOOKUP($AC320,'2017 Seattle Tracts'!$C$2:$Z$399,AR$1,FALSE)*AA320</f>
        <v>4.8727116621032325E-3</v>
      </c>
      <c r="AS320">
        <f>VLOOKUP($AC320,'2017 Seattle Tracts'!$C$2:$Z$399,AS$1,FALSE)*AA320</f>
        <v>1.0857672725338725E-2</v>
      </c>
      <c r="AT320">
        <f>VLOOKUP($AC320,'2017 Seattle Tracts'!$C$2:$Z$399,AT$1,FALSE)*AA320</f>
        <v>0</v>
      </c>
      <c r="AU320">
        <f>VLOOKUP($AC320,'2017 Seattle Tracts'!$C$2:$Z$399,AU$1,FALSE)*AA320</f>
        <v>0</v>
      </c>
      <c r="AV320">
        <f>VLOOKUP($AC320,'2017 Seattle Tracts'!$C$2:$Z$399,AV$1,FALSE)*AA320</f>
        <v>0</v>
      </c>
      <c r="AW320">
        <f>VLOOKUP($AC320,'2017 Seattle Tracts'!$C$2:$Z$399,AW$1,FALSE)*AA320</f>
        <v>1.4829992015096796E-3</v>
      </c>
      <c r="AX320">
        <f>VLOOKUP($AC320,'2017 Seattle Tracts'!$C$2:$Z$399,AX$1,FALSE)*AA320</f>
        <v>9.4806020382225947E-3</v>
      </c>
      <c r="AY320">
        <f>VLOOKUP($AC320,'2017 Seattle Tracts'!$C$2:$Z$399,AY$1,FALSE)*AA320</f>
        <v>0</v>
      </c>
    </row>
    <row r="321" spans="1:51" x14ac:dyDescent="0.25">
      <c r="A321" t="s">
        <v>2917</v>
      </c>
      <c r="B321" t="s">
        <v>2918</v>
      </c>
      <c r="C321" t="s">
        <v>3161</v>
      </c>
      <c r="D321" t="s">
        <v>2713</v>
      </c>
      <c r="E321" t="s">
        <v>2714</v>
      </c>
      <c r="F321" t="s">
        <v>2715</v>
      </c>
      <c r="G321" t="s">
        <v>2920</v>
      </c>
      <c r="H321" t="s">
        <v>2921</v>
      </c>
      <c r="I321">
        <v>973808</v>
      </c>
      <c r="J321">
        <v>0</v>
      </c>
      <c r="K321" t="s">
        <v>3162</v>
      </c>
      <c r="L321" t="s">
        <v>3163</v>
      </c>
      <c r="M321">
        <v>973808</v>
      </c>
      <c r="N321">
        <v>96</v>
      </c>
      <c r="O321">
        <v>23840.219000000001</v>
      </c>
      <c r="P321" t="s">
        <v>122</v>
      </c>
      <c r="Q321">
        <v>4</v>
      </c>
      <c r="R321">
        <v>5</v>
      </c>
      <c r="S321">
        <v>23</v>
      </c>
      <c r="T321">
        <v>30599714</v>
      </c>
      <c r="U321">
        <v>98</v>
      </c>
      <c r="V321">
        <v>117</v>
      </c>
      <c r="W321">
        <v>23840.218727432399</v>
      </c>
      <c r="X321">
        <v>30599713.626058389</v>
      </c>
      <c r="Y321">
        <v>27.332000000000001</v>
      </c>
      <c r="Z321">
        <f>VLOOKUP($AC321,'2017 Seattle Tracts'!$C$2:$Z$399,24,FALSE)</f>
        <v>973807.67200000002</v>
      </c>
      <c r="AA321">
        <f t="shared" si="9"/>
        <v>2.8067143837412691E-5</v>
      </c>
      <c r="AB321" t="s">
        <v>199</v>
      </c>
      <c r="AC321" t="str">
        <f t="shared" si="8"/>
        <v>Census Tract 39, King County, Washington</v>
      </c>
      <c r="AD321">
        <f>VLOOKUP($AC321,'2017 Seattle Tracts'!$C$2:$Z$399,AD$1,FALSE)*AA321</f>
        <v>8.5155714402710109E-2</v>
      </c>
      <c r="AE321">
        <f>VLOOKUP($AC321,'2017 Seattle Tracts'!$C$2:$Z$399,AE$1,FALSE)*AA321</f>
        <v>7.2020291086800969E-2</v>
      </c>
      <c r="AF321">
        <f>VLOOKUP($AC321,'2017 Seattle Tracts'!$C$2:$Z$399,AF$1,FALSE)*AA321</f>
        <v>1.3135423315909139E-2</v>
      </c>
      <c r="AG321">
        <f>VLOOKUP($AC321,'2017 Seattle Tracts'!$C$2:$Z$399,AG$1,FALSE)*AA321</f>
        <v>8.5155714402710109E-2</v>
      </c>
      <c r="AH321">
        <f>VLOOKUP($AC321,'2017 Seattle Tracts'!$C$2:$Z$399,AH$1,FALSE)*AA321</f>
        <v>7.2020291086800969E-2</v>
      </c>
      <c r="AI321">
        <f>VLOOKUP($AC321,'2017 Seattle Tracts'!$C$2:$Z$399,AI$1,FALSE)*AA321</f>
        <v>1.3135423315909139E-2</v>
      </c>
      <c r="AJ321">
        <f>VLOOKUP($AC321,'2017 Seattle Tracts'!$C$2:$Z$399,AJ$1,FALSE)*AA321</f>
        <v>6.1467045003933796E-2</v>
      </c>
      <c r="AK321">
        <f>VLOOKUP($AC321,'2017 Seattle Tracts'!$C$2:$Z$399,AK$1,FALSE)*AA321</f>
        <v>4.0978030002622526E-3</v>
      </c>
      <c r="AL321">
        <f>VLOOKUP($AC321,'2017 Seattle Tracts'!$C$2:$Z$399,AL$1,FALSE)*AA321</f>
        <v>1.3472229041958093E-3</v>
      </c>
      <c r="AM321">
        <f>VLOOKUP($AC321,'2017 Seattle Tracts'!$C$2:$Z$399,AM$1,FALSE)*AA321</f>
        <v>2.161170075480777E-3</v>
      </c>
      <c r="AN321">
        <f>VLOOKUP($AC321,'2017 Seattle Tracts'!$C$2:$Z$399,AN$1,FALSE)*AA321</f>
        <v>6.1747716442307917E-4</v>
      </c>
      <c r="AO321">
        <f>VLOOKUP($AC321,'2017 Seattle Tracts'!$C$2:$Z$399,AO$1,FALSE)*AA321</f>
        <v>0</v>
      </c>
      <c r="AP321">
        <f>VLOOKUP($AC321,'2017 Seattle Tracts'!$C$2:$Z$399,AP$1,FALSE)*AA321</f>
        <v>9.8235003430944428E-4</v>
      </c>
      <c r="AQ321">
        <f>VLOOKUP($AC321,'2017 Seattle Tracts'!$C$2:$Z$399,AQ$1,FALSE)*AA321</f>
        <v>3.3680572604895232E-4</v>
      </c>
      <c r="AR321">
        <f>VLOOKUP($AC321,'2017 Seattle Tracts'!$C$2:$Z$399,AR$1,FALSE)*AA321</f>
        <v>2.5821772330419674E-3</v>
      </c>
      <c r="AS321">
        <f>VLOOKUP($AC321,'2017 Seattle Tracts'!$C$2:$Z$399,AS$1,FALSE)*AA321</f>
        <v>5.7537644866696019E-3</v>
      </c>
      <c r="AT321">
        <f>VLOOKUP($AC321,'2017 Seattle Tracts'!$C$2:$Z$399,AT$1,FALSE)*AA321</f>
        <v>0</v>
      </c>
      <c r="AU321">
        <f>VLOOKUP($AC321,'2017 Seattle Tracts'!$C$2:$Z$399,AU$1,FALSE)*AA321</f>
        <v>0</v>
      </c>
      <c r="AV321">
        <f>VLOOKUP($AC321,'2017 Seattle Tracts'!$C$2:$Z$399,AV$1,FALSE)*AA321</f>
        <v>0</v>
      </c>
      <c r="AW321">
        <f>VLOOKUP($AC321,'2017 Seattle Tracts'!$C$2:$Z$399,AW$1,FALSE)*AA321</f>
        <v>7.8588002744755538E-4</v>
      </c>
      <c r="AX321">
        <f>VLOOKUP($AC321,'2017 Seattle Tracts'!$C$2:$Z$399,AX$1,FALSE)*AA321</f>
        <v>5.0240187468968715E-3</v>
      </c>
      <c r="AY321">
        <f>VLOOKUP($AC321,'2017 Seattle Tracts'!$C$2:$Z$399,AY$1,FALSE)*AA321</f>
        <v>0</v>
      </c>
    </row>
    <row r="322" spans="1:51" x14ac:dyDescent="0.25">
      <c r="A322" t="s">
        <v>2917</v>
      </c>
      <c r="B322" t="s">
        <v>2918</v>
      </c>
      <c r="C322" t="s">
        <v>3164</v>
      </c>
      <c r="D322" t="s">
        <v>2644</v>
      </c>
      <c r="E322" t="s">
        <v>2645</v>
      </c>
      <c r="F322" t="s">
        <v>2646</v>
      </c>
      <c r="G322" t="s">
        <v>2920</v>
      </c>
      <c r="H322" t="s">
        <v>2921</v>
      </c>
      <c r="I322">
        <v>1814668</v>
      </c>
      <c r="J322">
        <v>264894</v>
      </c>
      <c r="K322" t="s">
        <v>3165</v>
      </c>
      <c r="L322" t="s">
        <v>3166</v>
      </c>
      <c r="M322">
        <v>1806690</v>
      </c>
      <c r="N322">
        <v>46</v>
      </c>
      <c r="O322">
        <v>26753.555</v>
      </c>
      <c r="P322" t="s">
        <v>136</v>
      </c>
      <c r="Q322">
        <v>10</v>
      </c>
      <c r="R322">
        <v>7</v>
      </c>
      <c r="S322">
        <v>19</v>
      </c>
      <c r="T322">
        <v>29604288</v>
      </c>
      <c r="U322">
        <v>48</v>
      </c>
      <c r="V322">
        <v>140</v>
      </c>
      <c r="W322">
        <v>26753.55428174289</v>
      </c>
      <c r="X322">
        <v>29604288.332963161</v>
      </c>
      <c r="Y322">
        <v>67336.293999999994</v>
      </c>
      <c r="Z322">
        <f>VLOOKUP($AC322,'2017 Seattle Tracts'!$C$2:$Z$399,24,FALSE)</f>
        <v>1806689.7819999999</v>
      </c>
      <c r="AA322">
        <f t="shared" si="9"/>
        <v>3.7270534582566205E-2</v>
      </c>
      <c r="AB322" t="s">
        <v>139</v>
      </c>
      <c r="AC322" t="str">
        <f t="shared" si="8"/>
        <v>Census Tract 58.01, King County, Washington</v>
      </c>
      <c r="AD322">
        <f>VLOOKUP($AC322,'2017 Seattle Tracts'!$C$2:$Z$399,AD$1,FALSE)*AA322</f>
        <v>199.17373680923379</v>
      </c>
      <c r="AE322">
        <f>VLOOKUP($AC322,'2017 Seattle Tracts'!$C$2:$Z$399,AE$1,FALSE)*AA322</f>
        <v>172.45076351353381</v>
      </c>
      <c r="AF322">
        <f>VLOOKUP($AC322,'2017 Seattle Tracts'!$C$2:$Z$399,AF$1,FALSE)*AA322</f>
        <v>26.722973295699969</v>
      </c>
      <c r="AG322">
        <f>VLOOKUP($AC322,'2017 Seattle Tracts'!$C$2:$Z$399,AG$1,FALSE)*AA322</f>
        <v>199.17373680923379</v>
      </c>
      <c r="AH322">
        <f>VLOOKUP($AC322,'2017 Seattle Tracts'!$C$2:$Z$399,AH$1,FALSE)*AA322</f>
        <v>172.45076351353381</v>
      </c>
      <c r="AI322">
        <f>VLOOKUP($AC322,'2017 Seattle Tracts'!$C$2:$Z$399,AI$1,FALSE)*AA322</f>
        <v>26.722973295699969</v>
      </c>
      <c r="AJ322">
        <f>VLOOKUP($AC322,'2017 Seattle Tracts'!$C$2:$Z$399,AJ$1,FALSE)*AA322</f>
        <v>135.10568786180249</v>
      </c>
      <c r="AK322">
        <f>VLOOKUP($AC322,'2017 Seattle Tracts'!$C$2:$Z$399,AK$1,FALSE)*AA322</f>
        <v>15.504542386347541</v>
      </c>
      <c r="AL322">
        <f>VLOOKUP($AC322,'2017 Seattle Tracts'!$C$2:$Z$399,AL$1,FALSE)*AA322</f>
        <v>14.423696883453122</v>
      </c>
      <c r="AM322">
        <f>VLOOKUP($AC322,'2017 Seattle Tracts'!$C$2:$Z$399,AM$1,FALSE)*AA322</f>
        <v>2.7580195591098993</v>
      </c>
      <c r="AN322">
        <f>VLOOKUP($AC322,'2017 Seattle Tracts'!$C$2:$Z$399,AN$1,FALSE)*AA322</f>
        <v>10.21212647562314</v>
      </c>
      <c r="AO322">
        <f>VLOOKUP($AC322,'2017 Seattle Tracts'!$C$2:$Z$399,AO$1,FALSE)*AA322</f>
        <v>2.7580195591098993</v>
      </c>
      <c r="AP322">
        <f>VLOOKUP($AC322,'2017 Seattle Tracts'!$C$2:$Z$399,AP$1,FALSE)*AA322</f>
        <v>0.74541069165132412</v>
      </c>
      <c r="AQ322">
        <f>VLOOKUP($AC322,'2017 Seattle Tracts'!$C$2:$Z$399,AQ$1,FALSE)*AA322</f>
        <v>0</v>
      </c>
      <c r="AR322">
        <f>VLOOKUP($AC322,'2017 Seattle Tracts'!$C$2:$Z$399,AR$1,FALSE)*AA322</f>
        <v>2.5716668861970682</v>
      </c>
      <c r="AS322">
        <f>VLOOKUP($AC322,'2017 Seattle Tracts'!$C$2:$Z$399,AS$1,FALSE)*AA322</f>
        <v>5.7023917911326292</v>
      </c>
      <c r="AT322">
        <f>VLOOKUP($AC322,'2017 Seattle Tracts'!$C$2:$Z$399,AT$1,FALSE)*AA322</f>
        <v>0</v>
      </c>
      <c r="AU322">
        <f>VLOOKUP($AC322,'2017 Seattle Tracts'!$C$2:$Z$399,AU$1,FALSE)*AA322</f>
        <v>0</v>
      </c>
      <c r="AV322">
        <f>VLOOKUP($AC322,'2017 Seattle Tracts'!$C$2:$Z$399,AV$1,FALSE)*AA322</f>
        <v>0</v>
      </c>
      <c r="AW322">
        <f>VLOOKUP($AC322,'2017 Seattle Tracts'!$C$2:$Z$399,AW$1,FALSE)*AA322</f>
        <v>0</v>
      </c>
      <c r="AX322">
        <f>VLOOKUP($AC322,'2017 Seattle Tracts'!$C$2:$Z$399,AX$1,FALSE)*AA322</f>
        <v>9.3921747148066839</v>
      </c>
      <c r="AY322">
        <f>VLOOKUP($AC322,'2017 Seattle Tracts'!$C$2:$Z$399,AY$1,FALSE)*AA322</f>
        <v>0</v>
      </c>
    </row>
    <row r="323" spans="1:51" x14ac:dyDescent="0.25">
      <c r="A323" t="s">
        <v>2917</v>
      </c>
      <c r="B323" t="s">
        <v>2918</v>
      </c>
      <c r="C323" t="s">
        <v>3164</v>
      </c>
      <c r="D323" t="s">
        <v>2644</v>
      </c>
      <c r="E323" t="s">
        <v>2645</v>
      </c>
      <c r="F323" t="s">
        <v>2646</v>
      </c>
      <c r="G323" t="s">
        <v>2920</v>
      </c>
      <c r="H323" t="s">
        <v>2921</v>
      </c>
      <c r="I323">
        <v>1814668</v>
      </c>
      <c r="J323">
        <v>264894</v>
      </c>
      <c r="K323" t="s">
        <v>3165</v>
      </c>
      <c r="L323" t="s">
        <v>3166</v>
      </c>
      <c r="M323">
        <v>1806690</v>
      </c>
      <c r="N323">
        <v>50</v>
      </c>
      <c r="O323">
        <v>38766.065999999999</v>
      </c>
      <c r="P323" t="s">
        <v>145</v>
      </c>
      <c r="Q323">
        <v>8</v>
      </c>
      <c r="R323">
        <v>4</v>
      </c>
      <c r="S323">
        <v>23</v>
      </c>
      <c r="T323">
        <v>55091524</v>
      </c>
      <c r="U323">
        <v>52</v>
      </c>
      <c r="V323">
        <v>134</v>
      </c>
      <c r="W323">
        <v>38766.06733491068</v>
      </c>
      <c r="X323">
        <v>55091525.290939339</v>
      </c>
      <c r="Y323">
        <v>911620.45200000005</v>
      </c>
      <c r="Z323">
        <f>VLOOKUP($AC323,'2017 Seattle Tracts'!$C$2:$Z$399,24,FALSE)</f>
        <v>1806689.7819999999</v>
      </c>
      <c r="AA323">
        <f t="shared" si="9"/>
        <v>0.50458051021401085</v>
      </c>
      <c r="AB323" t="s">
        <v>144</v>
      </c>
      <c r="AC323" t="str">
        <f t="shared" ref="AC323:AC386" si="10">_xlfn.CONCAT(F323, ", King County, Washington")</f>
        <v>Census Tract 58.01, King County, Washington</v>
      </c>
      <c r="AD323">
        <f>VLOOKUP($AC323,'2017 Seattle Tracts'!$C$2:$Z$399,AD$1,FALSE)*AA323</f>
        <v>2696.4782465836738</v>
      </c>
      <c r="AE323">
        <f>VLOOKUP($AC323,'2017 Seattle Tracts'!$C$2:$Z$399,AE$1,FALSE)*AA323</f>
        <v>2334.6940207602283</v>
      </c>
      <c r="AF323">
        <f>VLOOKUP($AC323,'2017 Seattle Tracts'!$C$2:$Z$399,AF$1,FALSE)*AA323</f>
        <v>361.78422582344575</v>
      </c>
      <c r="AG323">
        <f>VLOOKUP($AC323,'2017 Seattle Tracts'!$C$2:$Z$399,AG$1,FALSE)*AA323</f>
        <v>2696.4782465836738</v>
      </c>
      <c r="AH323">
        <f>VLOOKUP($AC323,'2017 Seattle Tracts'!$C$2:$Z$399,AH$1,FALSE)*AA323</f>
        <v>2334.6940207602283</v>
      </c>
      <c r="AI323">
        <f>VLOOKUP($AC323,'2017 Seattle Tracts'!$C$2:$Z$399,AI$1,FALSE)*AA323</f>
        <v>361.78422582344575</v>
      </c>
      <c r="AJ323">
        <f>VLOOKUP($AC323,'2017 Seattle Tracts'!$C$2:$Z$399,AJ$1,FALSE)*AA323</f>
        <v>1829.1043495257893</v>
      </c>
      <c r="AK323">
        <f>VLOOKUP($AC323,'2017 Seattle Tracts'!$C$2:$Z$399,AK$1,FALSE)*AA323</f>
        <v>209.9054922490285</v>
      </c>
      <c r="AL323">
        <f>VLOOKUP($AC323,'2017 Seattle Tracts'!$C$2:$Z$399,AL$1,FALSE)*AA323</f>
        <v>195.27265745282219</v>
      </c>
      <c r="AM323">
        <f>VLOOKUP($AC323,'2017 Seattle Tracts'!$C$2:$Z$399,AM$1,FALSE)*AA323</f>
        <v>37.338957755836802</v>
      </c>
      <c r="AN323">
        <f>VLOOKUP($AC323,'2017 Seattle Tracts'!$C$2:$Z$399,AN$1,FALSE)*AA323</f>
        <v>138.25505979863897</v>
      </c>
      <c r="AO323">
        <f>VLOOKUP($AC323,'2017 Seattle Tracts'!$C$2:$Z$399,AO$1,FALSE)*AA323</f>
        <v>37.338957755836802</v>
      </c>
      <c r="AP323">
        <f>VLOOKUP($AC323,'2017 Seattle Tracts'!$C$2:$Z$399,AP$1,FALSE)*AA323</f>
        <v>10.091610204280217</v>
      </c>
      <c r="AQ323">
        <f>VLOOKUP($AC323,'2017 Seattle Tracts'!$C$2:$Z$399,AQ$1,FALSE)*AA323</f>
        <v>0</v>
      </c>
      <c r="AR323">
        <f>VLOOKUP($AC323,'2017 Seattle Tracts'!$C$2:$Z$399,AR$1,FALSE)*AA323</f>
        <v>34.816055204766748</v>
      </c>
      <c r="AS323">
        <f>VLOOKUP($AC323,'2017 Seattle Tracts'!$C$2:$Z$399,AS$1,FALSE)*AA323</f>
        <v>77.200818062743664</v>
      </c>
      <c r="AT323">
        <f>VLOOKUP($AC323,'2017 Seattle Tracts'!$C$2:$Z$399,AT$1,FALSE)*AA323</f>
        <v>0</v>
      </c>
      <c r="AU323">
        <f>VLOOKUP($AC323,'2017 Seattle Tracts'!$C$2:$Z$399,AU$1,FALSE)*AA323</f>
        <v>0</v>
      </c>
      <c r="AV323">
        <f>VLOOKUP($AC323,'2017 Seattle Tracts'!$C$2:$Z$399,AV$1,FALSE)*AA323</f>
        <v>0</v>
      </c>
      <c r="AW323">
        <f>VLOOKUP($AC323,'2017 Seattle Tracts'!$C$2:$Z$399,AW$1,FALSE)*AA323</f>
        <v>0</v>
      </c>
      <c r="AX323">
        <f>VLOOKUP($AC323,'2017 Seattle Tracts'!$C$2:$Z$399,AX$1,FALSE)*AA323</f>
        <v>127.15428857393073</v>
      </c>
      <c r="AY323">
        <f>VLOOKUP($AC323,'2017 Seattle Tracts'!$C$2:$Z$399,AY$1,FALSE)*AA323</f>
        <v>0</v>
      </c>
    </row>
    <row r="324" spans="1:51" x14ac:dyDescent="0.25">
      <c r="A324" t="s">
        <v>2917</v>
      </c>
      <c r="B324" t="s">
        <v>2918</v>
      </c>
      <c r="C324" t="s">
        <v>3164</v>
      </c>
      <c r="D324" t="s">
        <v>2644</v>
      </c>
      <c r="E324" t="s">
        <v>2645</v>
      </c>
      <c r="F324" t="s">
        <v>2646</v>
      </c>
      <c r="G324" t="s">
        <v>2920</v>
      </c>
      <c r="H324" t="s">
        <v>2921</v>
      </c>
      <c r="I324">
        <v>1814668</v>
      </c>
      <c r="J324">
        <v>264894</v>
      </c>
      <c r="K324" t="s">
        <v>3165</v>
      </c>
      <c r="L324" t="s">
        <v>3166</v>
      </c>
      <c r="M324">
        <v>1806690</v>
      </c>
      <c r="N324">
        <v>52</v>
      </c>
      <c r="O324">
        <v>20223.18</v>
      </c>
      <c r="P324" t="s">
        <v>145</v>
      </c>
      <c r="Q324">
        <v>8</v>
      </c>
      <c r="R324">
        <v>4</v>
      </c>
      <c r="S324">
        <v>24</v>
      </c>
      <c r="T324">
        <v>18469264</v>
      </c>
      <c r="U324">
        <v>54</v>
      </c>
      <c r="V324">
        <v>144</v>
      </c>
      <c r="W324">
        <v>20223.18015015221</v>
      </c>
      <c r="X324">
        <v>18469263.88812134</v>
      </c>
      <c r="Y324">
        <v>277.03100000000001</v>
      </c>
      <c r="Z324">
        <f>VLOOKUP($AC324,'2017 Seattle Tracts'!$C$2:$Z$399,24,FALSE)</f>
        <v>1806689.7819999999</v>
      </c>
      <c r="AA324">
        <f t="shared" ref="AA324:AA387" si="11">Y324/Z324</f>
        <v>1.5333623002689901E-4</v>
      </c>
      <c r="AB324" t="s">
        <v>147</v>
      </c>
      <c r="AC324" t="str">
        <f t="shared" si="10"/>
        <v>Census Tract 58.01, King County, Washington</v>
      </c>
      <c r="AD324">
        <f>VLOOKUP($AC324,'2017 Seattle Tracts'!$C$2:$Z$399,AD$1,FALSE)*AA324</f>
        <v>0.81942881326374839</v>
      </c>
      <c r="AE324">
        <f>VLOOKUP($AC324,'2017 Seattle Tracts'!$C$2:$Z$399,AE$1,FALSE)*AA324</f>
        <v>0.70948673633446169</v>
      </c>
      <c r="AF324">
        <f>VLOOKUP($AC324,'2017 Seattle Tracts'!$C$2:$Z$399,AF$1,FALSE)*AA324</f>
        <v>0.10994207692928659</v>
      </c>
      <c r="AG324">
        <f>VLOOKUP($AC324,'2017 Seattle Tracts'!$C$2:$Z$399,AG$1,FALSE)*AA324</f>
        <v>0.81942881326374839</v>
      </c>
      <c r="AH324">
        <f>VLOOKUP($AC324,'2017 Seattle Tracts'!$C$2:$Z$399,AH$1,FALSE)*AA324</f>
        <v>0.70948673633446169</v>
      </c>
      <c r="AI324">
        <f>VLOOKUP($AC324,'2017 Seattle Tracts'!$C$2:$Z$399,AI$1,FALSE)*AA324</f>
        <v>0.10994207692928659</v>
      </c>
      <c r="AJ324">
        <f>VLOOKUP($AC324,'2017 Seattle Tracts'!$C$2:$Z$399,AJ$1,FALSE)*AA324</f>
        <v>0.55584383384750891</v>
      </c>
      <c r="AK324">
        <f>VLOOKUP($AC324,'2017 Seattle Tracts'!$C$2:$Z$399,AK$1,FALSE)*AA324</f>
        <v>6.378787169118999E-2</v>
      </c>
      <c r="AL324">
        <f>VLOOKUP($AC324,'2017 Seattle Tracts'!$C$2:$Z$399,AL$1,FALSE)*AA324</f>
        <v>5.934112102040992E-2</v>
      </c>
      <c r="AM324">
        <f>VLOOKUP($AC324,'2017 Seattle Tracts'!$C$2:$Z$399,AM$1,FALSE)*AA324</f>
        <v>1.1346881021990527E-2</v>
      </c>
      <c r="AN324">
        <f>VLOOKUP($AC324,'2017 Seattle Tracts'!$C$2:$Z$399,AN$1,FALSE)*AA324</f>
        <v>4.2014127027370327E-2</v>
      </c>
      <c r="AO324">
        <f>VLOOKUP($AC324,'2017 Seattle Tracts'!$C$2:$Z$399,AO$1,FALSE)*AA324</f>
        <v>1.1346881021990527E-2</v>
      </c>
      <c r="AP324">
        <f>VLOOKUP($AC324,'2017 Seattle Tracts'!$C$2:$Z$399,AP$1,FALSE)*AA324</f>
        <v>3.0667246005379803E-3</v>
      </c>
      <c r="AQ324">
        <f>VLOOKUP($AC324,'2017 Seattle Tracts'!$C$2:$Z$399,AQ$1,FALSE)*AA324</f>
        <v>0</v>
      </c>
      <c r="AR324">
        <f>VLOOKUP($AC324,'2017 Seattle Tracts'!$C$2:$Z$399,AR$1,FALSE)*AA324</f>
        <v>1.0580199871856032E-2</v>
      </c>
      <c r="AS324">
        <f>VLOOKUP($AC324,'2017 Seattle Tracts'!$C$2:$Z$399,AS$1,FALSE)*AA324</f>
        <v>2.3460443194115548E-2</v>
      </c>
      <c r="AT324">
        <f>VLOOKUP($AC324,'2017 Seattle Tracts'!$C$2:$Z$399,AT$1,FALSE)*AA324</f>
        <v>0</v>
      </c>
      <c r="AU324">
        <f>VLOOKUP($AC324,'2017 Seattle Tracts'!$C$2:$Z$399,AU$1,FALSE)*AA324</f>
        <v>0</v>
      </c>
      <c r="AV324">
        <f>VLOOKUP($AC324,'2017 Seattle Tracts'!$C$2:$Z$399,AV$1,FALSE)*AA324</f>
        <v>0</v>
      </c>
      <c r="AW324">
        <f>VLOOKUP($AC324,'2017 Seattle Tracts'!$C$2:$Z$399,AW$1,FALSE)*AA324</f>
        <v>0</v>
      </c>
      <c r="AX324">
        <f>VLOOKUP($AC324,'2017 Seattle Tracts'!$C$2:$Z$399,AX$1,FALSE)*AA324</f>
        <v>3.8640729966778552E-2</v>
      </c>
      <c r="AY324">
        <f>VLOOKUP($AC324,'2017 Seattle Tracts'!$C$2:$Z$399,AY$1,FALSE)*AA324</f>
        <v>0</v>
      </c>
    </row>
    <row r="325" spans="1:51" x14ac:dyDescent="0.25">
      <c r="A325" t="s">
        <v>2917</v>
      </c>
      <c r="B325" t="s">
        <v>2918</v>
      </c>
      <c r="C325" t="s">
        <v>3164</v>
      </c>
      <c r="D325" t="s">
        <v>2644</v>
      </c>
      <c r="E325" t="s">
        <v>2645</v>
      </c>
      <c r="F325" t="s">
        <v>2646</v>
      </c>
      <c r="G325" t="s">
        <v>2920</v>
      </c>
      <c r="H325" t="s">
        <v>2921</v>
      </c>
      <c r="I325">
        <v>1814668</v>
      </c>
      <c r="J325">
        <v>264894</v>
      </c>
      <c r="K325" t="s">
        <v>3165</v>
      </c>
      <c r="L325" t="s">
        <v>3166</v>
      </c>
      <c r="M325">
        <v>1806690</v>
      </c>
      <c r="N325">
        <v>66</v>
      </c>
      <c r="O325">
        <v>64207.586000000003</v>
      </c>
      <c r="P325" t="s">
        <v>164</v>
      </c>
      <c r="Q325">
        <v>9</v>
      </c>
      <c r="R325">
        <v>12</v>
      </c>
      <c r="S325">
        <v>95</v>
      </c>
      <c r="T325">
        <v>33503942</v>
      </c>
      <c r="U325">
        <v>68</v>
      </c>
      <c r="V325">
        <v>199</v>
      </c>
      <c r="W325">
        <v>64207.586761171791</v>
      </c>
      <c r="X325">
        <v>33503941.092720222</v>
      </c>
      <c r="Y325">
        <v>823371.84900000005</v>
      </c>
      <c r="Z325">
        <f>VLOOKUP($AC325,'2017 Seattle Tracts'!$C$2:$Z$399,24,FALSE)</f>
        <v>1806689.7819999999</v>
      </c>
      <c r="AA325">
        <f t="shared" si="11"/>
        <v>0.45573504494420175</v>
      </c>
      <c r="AB325" t="s">
        <v>163</v>
      </c>
      <c r="AC325" t="str">
        <f t="shared" si="10"/>
        <v>Census Tract 58.01, King County, Washington</v>
      </c>
      <c r="AD325">
        <f>VLOOKUP($AC325,'2017 Seattle Tracts'!$C$2:$Z$399,AD$1,FALSE)*AA325</f>
        <v>2435.448080181814</v>
      </c>
      <c r="AE325">
        <f>VLOOKUP($AC325,'2017 Seattle Tracts'!$C$2:$Z$399,AE$1,FALSE)*AA325</f>
        <v>2108.6860529568216</v>
      </c>
      <c r="AF325">
        <f>VLOOKUP($AC325,'2017 Seattle Tracts'!$C$2:$Z$399,AF$1,FALSE)*AA325</f>
        <v>326.76202722499266</v>
      </c>
      <c r="AG325">
        <f>VLOOKUP($AC325,'2017 Seattle Tracts'!$C$2:$Z$399,AG$1,FALSE)*AA325</f>
        <v>2435.448080181814</v>
      </c>
      <c r="AH325">
        <f>VLOOKUP($AC325,'2017 Seattle Tracts'!$C$2:$Z$399,AH$1,FALSE)*AA325</f>
        <v>2108.6860529568216</v>
      </c>
      <c r="AI325">
        <f>VLOOKUP($AC325,'2017 Seattle Tracts'!$C$2:$Z$399,AI$1,FALSE)*AA325</f>
        <v>326.76202722499266</v>
      </c>
      <c r="AJ325">
        <f>VLOOKUP($AC325,'2017 Seattle Tracts'!$C$2:$Z$399,AJ$1,FALSE)*AA325</f>
        <v>1652.0395379227314</v>
      </c>
      <c r="AK325">
        <f>VLOOKUP($AC325,'2017 Seattle Tracts'!$C$2:$Z$399,AK$1,FALSE)*AA325</f>
        <v>189.58577869678794</v>
      </c>
      <c r="AL325">
        <f>VLOOKUP($AC325,'2017 Seattle Tracts'!$C$2:$Z$399,AL$1,FALSE)*AA325</f>
        <v>176.36946239340608</v>
      </c>
      <c r="AM325">
        <f>VLOOKUP($AC325,'2017 Seattle Tracts'!$C$2:$Z$399,AM$1,FALSE)*AA325</f>
        <v>33.724393325870928</v>
      </c>
      <c r="AN325">
        <f>VLOOKUP($AC325,'2017 Seattle Tracts'!$C$2:$Z$399,AN$1,FALSE)*AA325</f>
        <v>124.87140231471128</v>
      </c>
      <c r="AO325">
        <f>VLOOKUP($AC325,'2017 Seattle Tracts'!$C$2:$Z$399,AO$1,FALSE)*AA325</f>
        <v>33.724393325870928</v>
      </c>
      <c r="AP325">
        <f>VLOOKUP($AC325,'2017 Seattle Tracts'!$C$2:$Z$399,AP$1,FALSE)*AA325</f>
        <v>9.1147008988840348</v>
      </c>
      <c r="AQ325">
        <f>VLOOKUP($AC325,'2017 Seattle Tracts'!$C$2:$Z$399,AQ$1,FALSE)*AA325</f>
        <v>0</v>
      </c>
      <c r="AR325">
        <f>VLOOKUP($AC325,'2017 Seattle Tracts'!$C$2:$Z$399,AR$1,FALSE)*AA325</f>
        <v>31.445718101149922</v>
      </c>
      <c r="AS325">
        <f>VLOOKUP($AC325,'2017 Seattle Tracts'!$C$2:$Z$399,AS$1,FALSE)*AA325</f>
        <v>69.727461876462868</v>
      </c>
      <c r="AT325">
        <f>VLOOKUP($AC325,'2017 Seattle Tracts'!$C$2:$Z$399,AT$1,FALSE)*AA325</f>
        <v>0</v>
      </c>
      <c r="AU325">
        <f>VLOOKUP($AC325,'2017 Seattle Tracts'!$C$2:$Z$399,AU$1,FALSE)*AA325</f>
        <v>0</v>
      </c>
      <c r="AV325">
        <f>VLOOKUP($AC325,'2017 Seattle Tracts'!$C$2:$Z$399,AV$1,FALSE)*AA325</f>
        <v>0</v>
      </c>
      <c r="AW325">
        <f>VLOOKUP($AC325,'2017 Seattle Tracts'!$C$2:$Z$399,AW$1,FALSE)*AA325</f>
        <v>0</v>
      </c>
      <c r="AX325">
        <f>VLOOKUP($AC325,'2017 Seattle Tracts'!$C$2:$Z$399,AX$1,FALSE)*AA325</f>
        <v>114.84523132593884</v>
      </c>
      <c r="AY325">
        <f>VLOOKUP($AC325,'2017 Seattle Tracts'!$C$2:$Z$399,AY$1,FALSE)*AA325</f>
        <v>0</v>
      </c>
    </row>
    <row r="326" spans="1:51" x14ac:dyDescent="0.25">
      <c r="A326" t="s">
        <v>2917</v>
      </c>
      <c r="B326" t="s">
        <v>2918</v>
      </c>
      <c r="C326" t="s">
        <v>3167</v>
      </c>
      <c r="D326" t="s">
        <v>2575</v>
      </c>
      <c r="E326" t="s">
        <v>2576</v>
      </c>
      <c r="F326" t="s">
        <v>2577</v>
      </c>
      <c r="G326" t="s">
        <v>2920</v>
      </c>
      <c r="H326" t="s">
        <v>2921</v>
      </c>
      <c r="I326">
        <v>1058324</v>
      </c>
      <c r="J326">
        <v>0</v>
      </c>
      <c r="K326" t="s">
        <v>3168</v>
      </c>
      <c r="L326" t="s">
        <v>3169</v>
      </c>
      <c r="M326">
        <v>1058325</v>
      </c>
      <c r="N326">
        <v>53</v>
      </c>
      <c r="O326">
        <v>17052.942999999999</v>
      </c>
      <c r="P326" t="s">
        <v>149</v>
      </c>
      <c r="Q326">
        <v>14</v>
      </c>
      <c r="R326">
        <v>8</v>
      </c>
      <c r="S326">
        <v>0</v>
      </c>
      <c r="T326">
        <v>13845483</v>
      </c>
      <c r="U326">
        <v>55</v>
      </c>
      <c r="V326">
        <v>158</v>
      </c>
      <c r="W326">
        <v>17052.94270676927</v>
      </c>
      <c r="X326">
        <v>13845482.808370169</v>
      </c>
      <c r="Y326">
        <v>186382.69699999999</v>
      </c>
      <c r="Z326">
        <f>VLOOKUP($AC326,'2017 Seattle Tracts'!$C$2:$Z$399,24,FALSE)</f>
        <v>1058324.871</v>
      </c>
      <c r="AA326">
        <f t="shared" si="11"/>
        <v>0.17611104312789033</v>
      </c>
      <c r="AB326" t="s">
        <v>148</v>
      </c>
      <c r="AC326" t="str">
        <f t="shared" si="10"/>
        <v>Census Tract 77, King County, Washington</v>
      </c>
      <c r="AD326">
        <f>VLOOKUP($AC326,'2017 Seattle Tracts'!$C$2:$Z$399,AD$1,FALSE)*AA326</f>
        <v>934.79741692284188</v>
      </c>
      <c r="AE326">
        <f>VLOOKUP($AC326,'2017 Seattle Tracts'!$C$2:$Z$399,AE$1,FALSE)*AA326</f>
        <v>833.00523399492124</v>
      </c>
      <c r="AF326">
        <f>VLOOKUP($AC326,'2017 Seattle Tracts'!$C$2:$Z$399,AF$1,FALSE)*AA326</f>
        <v>101.79218292792061</v>
      </c>
      <c r="AG326">
        <f>VLOOKUP($AC326,'2017 Seattle Tracts'!$C$2:$Z$399,AG$1,FALSE)*AA326</f>
        <v>934.79741692284188</v>
      </c>
      <c r="AH326">
        <f>VLOOKUP($AC326,'2017 Seattle Tracts'!$C$2:$Z$399,AH$1,FALSE)*AA326</f>
        <v>833.00523399492124</v>
      </c>
      <c r="AI326">
        <f>VLOOKUP($AC326,'2017 Seattle Tracts'!$C$2:$Z$399,AI$1,FALSE)*AA326</f>
        <v>101.79218292792061</v>
      </c>
      <c r="AJ326">
        <f>VLOOKUP($AC326,'2017 Seattle Tracts'!$C$2:$Z$399,AJ$1,FALSE)*AA326</f>
        <v>601.94754541112911</v>
      </c>
      <c r="AK326">
        <f>VLOOKUP($AC326,'2017 Seattle Tracts'!$C$2:$Z$399,AK$1,FALSE)*AA326</f>
        <v>47.72609268765828</v>
      </c>
      <c r="AL326">
        <f>VLOOKUP($AC326,'2017 Seattle Tracts'!$C$2:$Z$399,AL$1,FALSE)*AA326</f>
        <v>15.673882838382239</v>
      </c>
      <c r="AM326">
        <f>VLOOKUP($AC326,'2017 Seattle Tracts'!$C$2:$Z$399,AM$1,FALSE)*AA326</f>
        <v>10.21444050141764</v>
      </c>
      <c r="AN326">
        <f>VLOOKUP($AC326,'2017 Seattle Tracts'!$C$2:$Z$399,AN$1,FALSE)*AA326</f>
        <v>94.219408073421334</v>
      </c>
      <c r="AO326">
        <f>VLOOKUP($AC326,'2017 Seattle Tracts'!$C$2:$Z$399,AO$1,FALSE)*AA326</f>
        <v>11.799439889568653</v>
      </c>
      <c r="AP326">
        <f>VLOOKUP($AC326,'2017 Seattle Tracts'!$C$2:$Z$399,AP$1,FALSE)*AA326</f>
        <v>7.7488858976271748</v>
      </c>
      <c r="AQ326">
        <f>VLOOKUP($AC326,'2017 Seattle Tracts'!$C$2:$Z$399,AQ$1,FALSE)*AA326</f>
        <v>0</v>
      </c>
      <c r="AR326">
        <f>VLOOKUP($AC326,'2017 Seattle Tracts'!$C$2:$Z$399,AR$1,FALSE)*AA326</f>
        <v>36.631096970601192</v>
      </c>
      <c r="AS326">
        <f>VLOOKUP($AC326,'2017 Seattle Tracts'!$C$2:$Z$399,AS$1,FALSE)*AA326</f>
        <v>32.052209849276039</v>
      </c>
      <c r="AT326">
        <f>VLOOKUP($AC326,'2017 Seattle Tracts'!$C$2:$Z$399,AT$1,FALSE)*AA326</f>
        <v>0</v>
      </c>
      <c r="AU326">
        <f>VLOOKUP($AC326,'2017 Seattle Tracts'!$C$2:$Z$399,AU$1,FALSE)*AA326</f>
        <v>0</v>
      </c>
      <c r="AV326">
        <f>VLOOKUP($AC326,'2017 Seattle Tracts'!$C$2:$Z$399,AV$1,FALSE)*AA326</f>
        <v>8.6294411132666262</v>
      </c>
      <c r="AW326">
        <f>VLOOKUP($AC326,'2017 Seattle Tracts'!$C$2:$Z$399,AW$1,FALSE)*AA326</f>
        <v>0</v>
      </c>
      <c r="AX326">
        <f>VLOOKUP($AC326,'2017 Seattle Tracts'!$C$2:$Z$399,AX$1,FALSE)*AA326</f>
        <v>68.154973690493563</v>
      </c>
      <c r="AY326">
        <f>VLOOKUP($AC326,'2017 Seattle Tracts'!$C$2:$Z$399,AY$1,FALSE)*AA326</f>
        <v>0</v>
      </c>
    </row>
    <row r="327" spans="1:51" x14ac:dyDescent="0.25">
      <c r="A327" t="s">
        <v>2917</v>
      </c>
      <c r="B327" t="s">
        <v>2918</v>
      </c>
      <c r="C327" t="s">
        <v>3167</v>
      </c>
      <c r="D327" t="s">
        <v>2575</v>
      </c>
      <c r="E327" t="s">
        <v>2576</v>
      </c>
      <c r="F327" t="s">
        <v>2577</v>
      </c>
      <c r="G327" t="s">
        <v>2920</v>
      </c>
      <c r="H327" t="s">
        <v>2921</v>
      </c>
      <c r="I327">
        <v>1058324</v>
      </c>
      <c r="J327">
        <v>0</v>
      </c>
      <c r="K327" t="s">
        <v>3168</v>
      </c>
      <c r="L327" t="s">
        <v>3169</v>
      </c>
      <c r="M327">
        <v>1058325</v>
      </c>
      <c r="N327">
        <v>54</v>
      </c>
      <c r="O327">
        <v>17241.273000000001</v>
      </c>
      <c r="P327" t="s">
        <v>149</v>
      </c>
      <c r="Q327">
        <v>14</v>
      </c>
      <c r="R327">
        <v>8</v>
      </c>
      <c r="S327">
        <v>94</v>
      </c>
      <c r="T327">
        <v>13603396</v>
      </c>
      <c r="U327">
        <v>56</v>
      </c>
      <c r="V327">
        <v>153</v>
      </c>
      <c r="W327">
        <v>17241.274319159489</v>
      </c>
      <c r="X327">
        <v>13603395.67284916</v>
      </c>
      <c r="Y327">
        <v>209003.234</v>
      </c>
      <c r="Z327">
        <f>VLOOKUP($AC327,'2017 Seattle Tracts'!$C$2:$Z$399,24,FALSE)</f>
        <v>1058324.871</v>
      </c>
      <c r="AA327">
        <f t="shared" si="11"/>
        <v>0.19748494977965986</v>
      </c>
      <c r="AB327" t="s">
        <v>150</v>
      </c>
      <c r="AC327" t="str">
        <f t="shared" si="10"/>
        <v>Census Tract 77, King County, Washington</v>
      </c>
      <c r="AD327">
        <f>VLOOKUP($AC327,'2017 Seattle Tracts'!$C$2:$Z$399,AD$1,FALSE)*AA327</f>
        <v>1048.2501134304346</v>
      </c>
      <c r="AE327">
        <f>VLOOKUP($AC327,'2017 Seattle Tracts'!$C$2:$Z$399,AE$1,FALSE)*AA327</f>
        <v>934.10381245779115</v>
      </c>
      <c r="AF327">
        <f>VLOOKUP($AC327,'2017 Seattle Tracts'!$C$2:$Z$399,AF$1,FALSE)*AA327</f>
        <v>114.1463009726434</v>
      </c>
      <c r="AG327">
        <f>VLOOKUP($AC327,'2017 Seattle Tracts'!$C$2:$Z$399,AG$1,FALSE)*AA327</f>
        <v>1048.2501134304346</v>
      </c>
      <c r="AH327">
        <f>VLOOKUP($AC327,'2017 Seattle Tracts'!$C$2:$Z$399,AH$1,FALSE)*AA327</f>
        <v>934.10381245779115</v>
      </c>
      <c r="AI327">
        <f>VLOOKUP($AC327,'2017 Seattle Tracts'!$C$2:$Z$399,AI$1,FALSE)*AA327</f>
        <v>114.1463009726434</v>
      </c>
      <c r="AJ327">
        <f>VLOOKUP($AC327,'2017 Seattle Tracts'!$C$2:$Z$399,AJ$1,FALSE)*AA327</f>
        <v>675.00355834687741</v>
      </c>
      <c r="AK327">
        <f>VLOOKUP($AC327,'2017 Seattle Tracts'!$C$2:$Z$399,AK$1,FALSE)*AA327</f>
        <v>53.51842139028782</v>
      </c>
      <c r="AL327">
        <f>VLOOKUP($AC327,'2017 Seattle Tracts'!$C$2:$Z$399,AL$1,FALSE)*AA327</f>
        <v>17.576160530389728</v>
      </c>
      <c r="AM327">
        <f>VLOOKUP($AC327,'2017 Seattle Tracts'!$C$2:$Z$399,AM$1,FALSE)*AA327</f>
        <v>11.454127087220272</v>
      </c>
      <c r="AN327">
        <f>VLOOKUP($AC327,'2017 Seattle Tracts'!$C$2:$Z$399,AN$1,FALSE)*AA327</f>
        <v>105.65444813211802</v>
      </c>
      <c r="AO327">
        <f>VLOOKUP($AC327,'2017 Seattle Tracts'!$C$2:$Z$399,AO$1,FALSE)*AA327</f>
        <v>13.231491635237211</v>
      </c>
      <c r="AP327">
        <f>VLOOKUP($AC327,'2017 Seattle Tracts'!$C$2:$Z$399,AP$1,FALSE)*AA327</f>
        <v>8.6893377903050339</v>
      </c>
      <c r="AQ327">
        <f>VLOOKUP($AC327,'2017 Seattle Tracts'!$C$2:$Z$399,AQ$1,FALSE)*AA327</f>
        <v>0</v>
      </c>
      <c r="AR327">
        <f>VLOOKUP($AC327,'2017 Seattle Tracts'!$C$2:$Z$399,AR$1,FALSE)*AA327</f>
        <v>41.076869554169249</v>
      </c>
      <c r="AS327">
        <f>VLOOKUP($AC327,'2017 Seattle Tracts'!$C$2:$Z$399,AS$1,FALSE)*AA327</f>
        <v>35.942260859898091</v>
      </c>
      <c r="AT327">
        <f>VLOOKUP($AC327,'2017 Seattle Tracts'!$C$2:$Z$399,AT$1,FALSE)*AA327</f>
        <v>0</v>
      </c>
      <c r="AU327">
        <f>VLOOKUP($AC327,'2017 Seattle Tracts'!$C$2:$Z$399,AU$1,FALSE)*AA327</f>
        <v>0</v>
      </c>
      <c r="AV327">
        <f>VLOOKUP($AC327,'2017 Seattle Tracts'!$C$2:$Z$399,AV$1,FALSE)*AA327</f>
        <v>9.6767625392033327</v>
      </c>
      <c r="AW327">
        <f>VLOOKUP($AC327,'2017 Seattle Tracts'!$C$2:$Z$399,AW$1,FALSE)*AA327</f>
        <v>0</v>
      </c>
      <c r="AX327">
        <f>VLOOKUP($AC327,'2017 Seattle Tracts'!$C$2:$Z$399,AX$1,FALSE)*AA327</f>
        <v>76.42667556472837</v>
      </c>
      <c r="AY327">
        <f>VLOOKUP($AC327,'2017 Seattle Tracts'!$C$2:$Z$399,AY$1,FALSE)*AA327</f>
        <v>0</v>
      </c>
    </row>
    <row r="328" spans="1:51" x14ac:dyDescent="0.25">
      <c r="A328" t="s">
        <v>2917</v>
      </c>
      <c r="B328" t="s">
        <v>2918</v>
      </c>
      <c r="C328" t="s">
        <v>3167</v>
      </c>
      <c r="D328" t="s">
        <v>2575</v>
      </c>
      <c r="E328" t="s">
        <v>2576</v>
      </c>
      <c r="F328" t="s">
        <v>2577</v>
      </c>
      <c r="G328" t="s">
        <v>2920</v>
      </c>
      <c r="H328" t="s">
        <v>2921</v>
      </c>
      <c r="I328">
        <v>1058324</v>
      </c>
      <c r="J328">
        <v>0</v>
      </c>
      <c r="K328" t="s">
        <v>3168</v>
      </c>
      <c r="L328" t="s">
        <v>3169</v>
      </c>
      <c r="M328">
        <v>1058325</v>
      </c>
      <c r="N328">
        <v>55</v>
      </c>
      <c r="O328">
        <v>18241.548999999999</v>
      </c>
      <c r="P328" t="s">
        <v>149</v>
      </c>
      <c r="Q328">
        <v>14</v>
      </c>
      <c r="R328">
        <v>8</v>
      </c>
      <c r="S328">
        <v>94</v>
      </c>
      <c r="T328">
        <v>17933144</v>
      </c>
      <c r="U328">
        <v>57</v>
      </c>
      <c r="V328">
        <v>157</v>
      </c>
      <c r="W328">
        <v>18241.548785981169</v>
      </c>
      <c r="X328">
        <v>17933144.708401948</v>
      </c>
      <c r="Y328">
        <v>342.423</v>
      </c>
      <c r="Z328">
        <f>VLOOKUP($AC328,'2017 Seattle Tracts'!$C$2:$Z$399,24,FALSE)</f>
        <v>1058324.871</v>
      </c>
      <c r="AA328">
        <f t="shared" si="11"/>
        <v>3.2355187842883075E-4</v>
      </c>
      <c r="AB328" t="s">
        <v>151</v>
      </c>
      <c r="AC328" t="str">
        <f t="shared" si="10"/>
        <v>Census Tract 77, King County, Washington</v>
      </c>
      <c r="AD328">
        <f>VLOOKUP($AC328,'2017 Seattle Tracts'!$C$2:$Z$399,AD$1,FALSE)*AA328</f>
        <v>1.7174133707002337</v>
      </c>
      <c r="AE328">
        <f>VLOOKUP($AC328,'2017 Seattle Tracts'!$C$2:$Z$399,AE$1,FALSE)*AA328</f>
        <v>1.5304003849683694</v>
      </c>
      <c r="AF328">
        <f>VLOOKUP($AC328,'2017 Seattle Tracts'!$C$2:$Z$399,AF$1,FALSE)*AA328</f>
        <v>0.18701298573186417</v>
      </c>
      <c r="AG328">
        <f>VLOOKUP($AC328,'2017 Seattle Tracts'!$C$2:$Z$399,AG$1,FALSE)*AA328</f>
        <v>1.7174133707002337</v>
      </c>
      <c r="AH328">
        <f>VLOOKUP($AC328,'2017 Seattle Tracts'!$C$2:$Z$399,AH$1,FALSE)*AA328</f>
        <v>1.5304003849683694</v>
      </c>
      <c r="AI328">
        <f>VLOOKUP($AC328,'2017 Seattle Tracts'!$C$2:$Z$399,AI$1,FALSE)*AA328</f>
        <v>0.18701298573186417</v>
      </c>
      <c r="AJ328">
        <f>VLOOKUP($AC328,'2017 Seattle Tracts'!$C$2:$Z$399,AJ$1,FALSE)*AA328</f>
        <v>1.1059003204697435</v>
      </c>
      <c r="AK328">
        <f>VLOOKUP($AC328,'2017 Seattle Tracts'!$C$2:$Z$399,AK$1,FALSE)*AA328</f>
        <v>8.7682559054213127E-2</v>
      </c>
      <c r="AL328">
        <f>VLOOKUP($AC328,'2017 Seattle Tracts'!$C$2:$Z$399,AL$1,FALSE)*AA328</f>
        <v>2.8796117180165937E-2</v>
      </c>
      <c r="AM328">
        <f>VLOOKUP($AC328,'2017 Seattle Tracts'!$C$2:$Z$399,AM$1,FALSE)*AA328</f>
        <v>1.8766008948872183E-2</v>
      </c>
      <c r="AN328">
        <f>VLOOKUP($AC328,'2017 Seattle Tracts'!$C$2:$Z$399,AN$1,FALSE)*AA328</f>
        <v>0.17310025495942447</v>
      </c>
      <c r="AO328">
        <f>VLOOKUP($AC328,'2017 Seattle Tracts'!$C$2:$Z$399,AO$1,FALSE)*AA328</f>
        <v>2.1677975854731659E-2</v>
      </c>
      <c r="AP328">
        <f>VLOOKUP($AC328,'2017 Seattle Tracts'!$C$2:$Z$399,AP$1,FALSE)*AA328</f>
        <v>1.4236282650868553E-2</v>
      </c>
      <c r="AQ328">
        <f>VLOOKUP($AC328,'2017 Seattle Tracts'!$C$2:$Z$399,AQ$1,FALSE)*AA328</f>
        <v>0</v>
      </c>
      <c r="AR328">
        <f>VLOOKUP($AC328,'2017 Seattle Tracts'!$C$2:$Z$399,AR$1,FALSE)*AA328</f>
        <v>6.7298790713196791E-2</v>
      </c>
      <c r="AS328">
        <f>VLOOKUP($AC328,'2017 Seattle Tracts'!$C$2:$Z$399,AS$1,FALSE)*AA328</f>
        <v>5.88864418740472E-2</v>
      </c>
      <c r="AT328">
        <f>VLOOKUP($AC328,'2017 Seattle Tracts'!$C$2:$Z$399,AT$1,FALSE)*AA328</f>
        <v>0</v>
      </c>
      <c r="AU328">
        <f>VLOOKUP($AC328,'2017 Seattle Tracts'!$C$2:$Z$399,AU$1,FALSE)*AA328</f>
        <v>0</v>
      </c>
      <c r="AV328">
        <f>VLOOKUP($AC328,'2017 Seattle Tracts'!$C$2:$Z$399,AV$1,FALSE)*AA328</f>
        <v>1.5854042043012707E-2</v>
      </c>
      <c r="AW328">
        <f>VLOOKUP($AC328,'2017 Seattle Tracts'!$C$2:$Z$399,AW$1,FALSE)*AA328</f>
        <v>0</v>
      </c>
      <c r="AX328">
        <f>VLOOKUP($AC328,'2017 Seattle Tracts'!$C$2:$Z$399,AX$1,FALSE)*AA328</f>
        <v>0.12521457695195751</v>
      </c>
      <c r="AY328">
        <f>VLOOKUP($AC328,'2017 Seattle Tracts'!$C$2:$Z$399,AY$1,FALSE)*AA328</f>
        <v>0</v>
      </c>
    </row>
    <row r="329" spans="1:51" x14ac:dyDescent="0.25">
      <c r="A329" t="s">
        <v>2917</v>
      </c>
      <c r="B329" t="s">
        <v>2918</v>
      </c>
      <c r="C329" t="s">
        <v>3167</v>
      </c>
      <c r="D329" t="s">
        <v>2575</v>
      </c>
      <c r="E329" t="s">
        <v>2576</v>
      </c>
      <c r="F329" t="s">
        <v>2577</v>
      </c>
      <c r="G329" t="s">
        <v>2920</v>
      </c>
      <c r="H329" t="s">
        <v>2921</v>
      </c>
      <c r="I329">
        <v>1058324</v>
      </c>
      <c r="J329">
        <v>0</v>
      </c>
      <c r="K329" t="s">
        <v>3168</v>
      </c>
      <c r="L329" t="s">
        <v>3169</v>
      </c>
      <c r="M329">
        <v>1058325</v>
      </c>
      <c r="N329">
        <v>57</v>
      </c>
      <c r="O329">
        <v>17843.105</v>
      </c>
      <c r="P329" t="s">
        <v>149</v>
      </c>
      <c r="Q329">
        <v>14</v>
      </c>
      <c r="R329">
        <v>8</v>
      </c>
      <c r="S329">
        <v>95</v>
      </c>
      <c r="T329">
        <v>11133829</v>
      </c>
      <c r="U329">
        <v>59</v>
      </c>
      <c r="V329">
        <v>155</v>
      </c>
      <c r="W329">
        <v>17843.105758736041</v>
      </c>
      <c r="X329">
        <v>11133828.86204724</v>
      </c>
      <c r="Y329">
        <v>453271.94699999999</v>
      </c>
      <c r="Z329">
        <f>VLOOKUP($AC329,'2017 Seattle Tracts'!$C$2:$Z$399,24,FALSE)</f>
        <v>1058324.871</v>
      </c>
      <c r="AA329">
        <f t="shared" si="11"/>
        <v>0.42829187843965916</v>
      </c>
      <c r="AB329" t="s">
        <v>153</v>
      </c>
      <c r="AC329" t="str">
        <f t="shared" si="10"/>
        <v>Census Tract 77, King County, Washington</v>
      </c>
      <c r="AD329">
        <f>VLOOKUP($AC329,'2017 Seattle Tracts'!$C$2:$Z$399,AD$1,FALSE)*AA329</f>
        <v>2273.3732907577109</v>
      </c>
      <c r="AE329">
        <f>VLOOKUP($AC329,'2017 Seattle Tracts'!$C$2:$Z$399,AE$1,FALSE)*AA329</f>
        <v>2025.8205850195877</v>
      </c>
      <c r="AF329">
        <f>VLOOKUP($AC329,'2017 Seattle Tracts'!$C$2:$Z$399,AF$1,FALSE)*AA329</f>
        <v>247.552705738123</v>
      </c>
      <c r="AG329">
        <f>VLOOKUP($AC329,'2017 Seattle Tracts'!$C$2:$Z$399,AG$1,FALSE)*AA329</f>
        <v>2273.3732907577109</v>
      </c>
      <c r="AH329">
        <f>VLOOKUP($AC329,'2017 Seattle Tracts'!$C$2:$Z$399,AH$1,FALSE)*AA329</f>
        <v>2025.8205850195877</v>
      </c>
      <c r="AI329">
        <f>VLOOKUP($AC329,'2017 Seattle Tracts'!$C$2:$Z$399,AI$1,FALSE)*AA329</f>
        <v>247.552705738123</v>
      </c>
      <c r="AJ329">
        <f>VLOOKUP($AC329,'2017 Seattle Tracts'!$C$2:$Z$399,AJ$1,FALSE)*AA329</f>
        <v>1463.901640506755</v>
      </c>
      <c r="AK329">
        <f>VLOOKUP($AC329,'2017 Seattle Tracts'!$C$2:$Z$399,AK$1,FALSE)*AA329</f>
        <v>116.06709905714763</v>
      </c>
      <c r="AL329">
        <f>VLOOKUP($AC329,'2017 Seattle Tracts'!$C$2:$Z$399,AL$1,FALSE)*AA329</f>
        <v>38.117977181129667</v>
      </c>
      <c r="AM329">
        <f>VLOOKUP($AC329,'2017 Seattle Tracts'!$C$2:$Z$399,AM$1,FALSE)*AA329</f>
        <v>24.840928949500231</v>
      </c>
      <c r="AN329">
        <f>VLOOKUP($AC329,'2017 Seattle Tracts'!$C$2:$Z$399,AN$1,FALSE)*AA329</f>
        <v>229.13615496521766</v>
      </c>
      <c r="AO329">
        <f>VLOOKUP($AC329,'2017 Seattle Tracts'!$C$2:$Z$399,AO$1,FALSE)*AA329</f>
        <v>28.695555855457165</v>
      </c>
      <c r="AP329">
        <f>VLOOKUP($AC329,'2017 Seattle Tracts'!$C$2:$Z$399,AP$1,FALSE)*AA329</f>
        <v>18.844842651345004</v>
      </c>
      <c r="AQ329">
        <f>VLOOKUP($AC329,'2017 Seattle Tracts'!$C$2:$Z$399,AQ$1,FALSE)*AA329</f>
        <v>0</v>
      </c>
      <c r="AR329">
        <f>VLOOKUP($AC329,'2017 Seattle Tracts'!$C$2:$Z$399,AR$1,FALSE)*AA329</f>
        <v>89.084710715449106</v>
      </c>
      <c r="AS329">
        <f>VLOOKUP($AC329,'2017 Seattle Tracts'!$C$2:$Z$399,AS$1,FALSE)*AA329</f>
        <v>77.949121876017969</v>
      </c>
      <c r="AT329">
        <f>VLOOKUP($AC329,'2017 Seattle Tracts'!$C$2:$Z$399,AT$1,FALSE)*AA329</f>
        <v>0</v>
      </c>
      <c r="AU329">
        <f>VLOOKUP($AC329,'2017 Seattle Tracts'!$C$2:$Z$399,AU$1,FALSE)*AA329</f>
        <v>0</v>
      </c>
      <c r="AV329">
        <f>VLOOKUP($AC329,'2017 Seattle Tracts'!$C$2:$Z$399,AV$1,FALSE)*AA329</f>
        <v>20.986302043543297</v>
      </c>
      <c r="AW329">
        <f>VLOOKUP($AC329,'2017 Seattle Tracts'!$C$2:$Z$399,AW$1,FALSE)*AA329</f>
        <v>0</v>
      </c>
      <c r="AX329">
        <f>VLOOKUP($AC329,'2017 Seattle Tracts'!$C$2:$Z$399,AX$1,FALSE)*AA329</f>
        <v>165.74895695614811</v>
      </c>
      <c r="AY329">
        <f>VLOOKUP($AC329,'2017 Seattle Tracts'!$C$2:$Z$399,AY$1,FALSE)*AA329</f>
        <v>0</v>
      </c>
    </row>
    <row r="330" spans="1:51" x14ac:dyDescent="0.25">
      <c r="A330" t="s">
        <v>2917</v>
      </c>
      <c r="B330" t="s">
        <v>2918</v>
      </c>
      <c r="C330" t="s">
        <v>3167</v>
      </c>
      <c r="D330" t="s">
        <v>2575</v>
      </c>
      <c r="E330" t="s">
        <v>2576</v>
      </c>
      <c r="F330" t="s">
        <v>2577</v>
      </c>
      <c r="G330" t="s">
        <v>2920</v>
      </c>
      <c r="H330" t="s">
        <v>2921</v>
      </c>
      <c r="I330">
        <v>1058324</v>
      </c>
      <c r="J330">
        <v>0</v>
      </c>
      <c r="K330" t="s">
        <v>3168</v>
      </c>
      <c r="L330" t="s">
        <v>3169</v>
      </c>
      <c r="M330">
        <v>1058325</v>
      </c>
      <c r="N330">
        <v>101</v>
      </c>
      <c r="O330">
        <v>25522.346000000001</v>
      </c>
      <c r="P330" t="s">
        <v>201</v>
      </c>
      <c r="Q330">
        <v>11</v>
      </c>
      <c r="R330">
        <v>3</v>
      </c>
      <c r="S330">
        <v>23</v>
      </c>
      <c r="T330">
        <v>26039592</v>
      </c>
      <c r="U330">
        <v>103</v>
      </c>
      <c r="V330">
        <v>149</v>
      </c>
      <c r="W330">
        <v>25522.345636876809</v>
      </c>
      <c r="X330">
        <v>26039592.07912118</v>
      </c>
      <c r="Y330">
        <v>209324.57</v>
      </c>
      <c r="Z330">
        <f>VLOOKUP($AC330,'2017 Seattle Tracts'!$C$2:$Z$399,24,FALSE)</f>
        <v>1058324.871</v>
      </c>
      <c r="AA330">
        <f t="shared" si="11"/>
        <v>0.19778857677436176</v>
      </c>
      <c r="AB330" t="s">
        <v>205</v>
      </c>
      <c r="AC330" t="str">
        <f t="shared" si="10"/>
        <v>Census Tract 77, King County, Washington</v>
      </c>
      <c r="AD330">
        <f>VLOOKUP($AC330,'2017 Seattle Tracts'!$C$2:$Z$399,AD$1,FALSE)*AA330</f>
        <v>1049.8617655183123</v>
      </c>
      <c r="AE330">
        <f>VLOOKUP($AC330,'2017 Seattle Tracts'!$C$2:$Z$399,AE$1,FALSE)*AA330</f>
        <v>935.53996814273114</v>
      </c>
      <c r="AF330">
        <f>VLOOKUP($AC330,'2017 Seattle Tracts'!$C$2:$Z$399,AF$1,FALSE)*AA330</f>
        <v>114.3217973755811</v>
      </c>
      <c r="AG330">
        <f>VLOOKUP($AC330,'2017 Seattle Tracts'!$C$2:$Z$399,AG$1,FALSE)*AA330</f>
        <v>1049.8617655183123</v>
      </c>
      <c r="AH330">
        <f>VLOOKUP($AC330,'2017 Seattle Tracts'!$C$2:$Z$399,AH$1,FALSE)*AA330</f>
        <v>935.53996814273114</v>
      </c>
      <c r="AI330">
        <f>VLOOKUP($AC330,'2017 Seattle Tracts'!$C$2:$Z$399,AI$1,FALSE)*AA330</f>
        <v>114.3217973755811</v>
      </c>
      <c r="AJ330">
        <f>VLOOKUP($AC330,'2017 Seattle Tracts'!$C$2:$Z$399,AJ$1,FALSE)*AA330</f>
        <v>676.04135541476853</v>
      </c>
      <c r="AK330">
        <f>VLOOKUP($AC330,'2017 Seattle Tracts'!$C$2:$Z$399,AK$1,FALSE)*AA330</f>
        <v>53.600704305852041</v>
      </c>
      <c r="AL330">
        <f>VLOOKUP($AC330,'2017 Seattle Tracts'!$C$2:$Z$399,AL$1,FALSE)*AA330</f>
        <v>17.603183332918196</v>
      </c>
      <c r="AM330">
        <f>VLOOKUP($AC330,'2017 Seattle Tracts'!$C$2:$Z$399,AM$1,FALSE)*AA330</f>
        <v>11.471737452912983</v>
      </c>
      <c r="AN330">
        <f>VLOOKUP($AC330,'2017 Seattle Tracts'!$C$2:$Z$399,AN$1,FALSE)*AA330</f>
        <v>105.81688857428354</v>
      </c>
      <c r="AO330">
        <f>VLOOKUP($AC330,'2017 Seattle Tracts'!$C$2:$Z$399,AO$1,FALSE)*AA330</f>
        <v>13.251834643882239</v>
      </c>
      <c r="AP330">
        <f>VLOOKUP($AC330,'2017 Seattle Tracts'!$C$2:$Z$399,AP$1,FALSE)*AA330</f>
        <v>8.7026973780719175</v>
      </c>
      <c r="AQ330">
        <f>VLOOKUP($AC330,'2017 Seattle Tracts'!$C$2:$Z$399,AQ$1,FALSE)*AA330</f>
        <v>0</v>
      </c>
      <c r="AR330">
        <f>VLOOKUP($AC330,'2017 Seattle Tracts'!$C$2:$Z$399,AR$1,FALSE)*AA330</f>
        <v>41.140023969067244</v>
      </c>
      <c r="AS330">
        <f>VLOOKUP($AC330,'2017 Seattle Tracts'!$C$2:$Z$399,AS$1,FALSE)*AA330</f>
        <v>35.997520972933842</v>
      </c>
      <c r="AT330">
        <f>VLOOKUP($AC330,'2017 Seattle Tracts'!$C$2:$Z$399,AT$1,FALSE)*AA330</f>
        <v>0</v>
      </c>
      <c r="AU330">
        <f>VLOOKUP($AC330,'2017 Seattle Tracts'!$C$2:$Z$399,AU$1,FALSE)*AA330</f>
        <v>0</v>
      </c>
      <c r="AV330">
        <f>VLOOKUP($AC330,'2017 Seattle Tracts'!$C$2:$Z$399,AV$1,FALSE)*AA330</f>
        <v>9.6916402619437267</v>
      </c>
      <c r="AW330">
        <f>VLOOKUP($AC330,'2017 Seattle Tracts'!$C$2:$Z$399,AW$1,FALSE)*AA330</f>
        <v>0</v>
      </c>
      <c r="AX330">
        <f>VLOOKUP($AC330,'2017 Seattle Tracts'!$C$2:$Z$399,AX$1,FALSE)*AA330</f>
        <v>76.544179211677999</v>
      </c>
      <c r="AY330">
        <f>VLOOKUP($AC330,'2017 Seattle Tracts'!$C$2:$Z$399,AY$1,FALSE)*AA330</f>
        <v>0</v>
      </c>
    </row>
    <row r="331" spans="1:51" x14ac:dyDescent="0.25">
      <c r="A331" t="s">
        <v>2917</v>
      </c>
      <c r="B331" t="s">
        <v>2918</v>
      </c>
      <c r="C331" t="s">
        <v>3170</v>
      </c>
      <c r="D331" t="s">
        <v>2578</v>
      </c>
      <c r="E331" t="s">
        <v>2579</v>
      </c>
      <c r="F331" t="s">
        <v>2580</v>
      </c>
      <c r="G331" t="s">
        <v>2920</v>
      </c>
      <c r="H331" t="s">
        <v>2921</v>
      </c>
      <c r="I331">
        <v>571879</v>
      </c>
      <c r="J331">
        <v>0</v>
      </c>
      <c r="K331" t="s">
        <v>3171</v>
      </c>
      <c r="L331" t="s">
        <v>3172</v>
      </c>
      <c r="M331">
        <v>571878</v>
      </c>
      <c r="N331">
        <v>100</v>
      </c>
      <c r="O331">
        <v>26851.947</v>
      </c>
      <c r="P331" t="s">
        <v>201</v>
      </c>
      <c r="Q331">
        <v>11</v>
      </c>
      <c r="R331">
        <v>3</v>
      </c>
      <c r="S331">
        <v>0</v>
      </c>
      <c r="T331">
        <v>30239240</v>
      </c>
      <c r="U331">
        <v>102</v>
      </c>
      <c r="V331">
        <v>151</v>
      </c>
      <c r="W331">
        <v>26851.9474418256</v>
      </c>
      <c r="X331">
        <v>30239240.52129779</v>
      </c>
      <c r="Y331">
        <v>324.44200000000001</v>
      </c>
      <c r="Z331">
        <f>VLOOKUP($AC331,'2017 Seattle Tracts'!$C$2:$Z$399,24,FALSE)</f>
        <v>571877.54700000002</v>
      </c>
      <c r="AA331">
        <f t="shared" si="11"/>
        <v>5.6732774647646729E-4</v>
      </c>
      <c r="AB331" t="s">
        <v>204</v>
      </c>
      <c r="AC331" t="str">
        <f t="shared" si="10"/>
        <v>Census Tract 76, King County, Washington</v>
      </c>
      <c r="AD331">
        <f>VLOOKUP($AC331,'2017 Seattle Tracts'!$C$2:$Z$399,AD$1,FALSE)*AA331</f>
        <v>2.4151142167503212</v>
      </c>
      <c r="AE331">
        <f>VLOOKUP($AC331,'2017 Seattle Tracts'!$C$2:$Z$399,AE$1,FALSE)*AA331</f>
        <v>2.0497551480194764</v>
      </c>
      <c r="AF331">
        <f>VLOOKUP($AC331,'2017 Seattle Tracts'!$C$2:$Z$399,AF$1,FALSE)*AA331</f>
        <v>0.36535906873084495</v>
      </c>
      <c r="AG331">
        <f>VLOOKUP($AC331,'2017 Seattle Tracts'!$C$2:$Z$399,AG$1,FALSE)*AA331</f>
        <v>2.4151142167503212</v>
      </c>
      <c r="AH331">
        <f>VLOOKUP($AC331,'2017 Seattle Tracts'!$C$2:$Z$399,AH$1,FALSE)*AA331</f>
        <v>2.0497551480194764</v>
      </c>
      <c r="AI331">
        <f>VLOOKUP($AC331,'2017 Seattle Tracts'!$C$2:$Z$399,AI$1,FALSE)*AA331</f>
        <v>0.36535906873084495</v>
      </c>
      <c r="AJ331">
        <f>VLOOKUP($AC331,'2017 Seattle Tracts'!$C$2:$Z$399,AJ$1,FALSE)*AA331</f>
        <v>1.6826940960492021</v>
      </c>
      <c r="AK331">
        <f>VLOOKUP($AC331,'2017 Seattle Tracts'!$C$2:$Z$399,AK$1,FALSE)*AA331</f>
        <v>0.12084080999948753</v>
      </c>
      <c r="AL331">
        <f>VLOOKUP($AC331,'2017 Seattle Tracts'!$C$2:$Z$399,AL$1,FALSE)*AA331</f>
        <v>0.14863986957683442</v>
      </c>
      <c r="AM331">
        <f>VLOOKUP($AC331,'2017 Seattle Tracts'!$C$2:$Z$399,AM$1,FALSE)*AA331</f>
        <v>3.1770353802682172E-2</v>
      </c>
      <c r="AN331">
        <f>VLOOKUP($AC331,'2017 Seattle Tracts'!$C$2:$Z$399,AN$1,FALSE)*AA331</f>
        <v>5.389613591526439E-2</v>
      </c>
      <c r="AO331">
        <f>VLOOKUP($AC331,'2017 Seattle Tracts'!$C$2:$Z$399,AO$1,FALSE)*AA331</f>
        <v>4.3684236478687979E-2</v>
      </c>
      <c r="AP331">
        <f>VLOOKUP($AC331,'2017 Seattle Tracts'!$C$2:$Z$399,AP$1,FALSE)*AA331</f>
        <v>5.6732774647646729E-4</v>
      </c>
      <c r="AQ331">
        <f>VLOOKUP($AC331,'2017 Seattle Tracts'!$C$2:$Z$399,AQ$1,FALSE)*AA331</f>
        <v>0</v>
      </c>
      <c r="AR331">
        <f>VLOOKUP($AC331,'2017 Seattle Tracts'!$C$2:$Z$399,AR$1,FALSE)*AA331</f>
        <v>5.9002085633552595E-2</v>
      </c>
      <c r="AS331">
        <f>VLOOKUP($AC331,'2017 Seattle Tracts'!$C$2:$Z$399,AS$1,FALSE)*AA331</f>
        <v>0.16055375225284024</v>
      </c>
      <c r="AT331">
        <f>VLOOKUP($AC331,'2017 Seattle Tracts'!$C$2:$Z$399,AT$1,FALSE)*AA331</f>
        <v>0</v>
      </c>
      <c r="AU331">
        <f>VLOOKUP($AC331,'2017 Seattle Tracts'!$C$2:$Z$399,AU$1,FALSE)*AA331</f>
        <v>0</v>
      </c>
      <c r="AV331">
        <f>VLOOKUP($AC331,'2017 Seattle Tracts'!$C$2:$Z$399,AV$1,FALSE)*AA331</f>
        <v>7.942588450670543E-3</v>
      </c>
      <c r="AW331">
        <f>VLOOKUP($AC331,'2017 Seattle Tracts'!$C$2:$Z$399,AW$1,FALSE)*AA331</f>
        <v>0</v>
      </c>
      <c r="AX331">
        <f>VLOOKUP($AC331,'2017 Seattle Tracts'!$C$2:$Z$399,AX$1,FALSE)*AA331</f>
        <v>9.7013044647475913E-2</v>
      </c>
      <c r="AY331">
        <f>VLOOKUP($AC331,'2017 Seattle Tracts'!$C$2:$Z$399,AY$1,FALSE)*AA331</f>
        <v>8.5099161971470098E-3</v>
      </c>
    </row>
    <row r="332" spans="1:51" x14ac:dyDescent="0.25">
      <c r="A332" t="s">
        <v>2917</v>
      </c>
      <c r="B332" t="s">
        <v>2918</v>
      </c>
      <c r="C332" t="s">
        <v>3170</v>
      </c>
      <c r="D332" t="s">
        <v>2578</v>
      </c>
      <c r="E332" t="s">
        <v>2579</v>
      </c>
      <c r="F332" t="s">
        <v>2580</v>
      </c>
      <c r="G332" t="s">
        <v>2920</v>
      </c>
      <c r="H332" t="s">
        <v>2921</v>
      </c>
      <c r="I332">
        <v>571879</v>
      </c>
      <c r="J332">
        <v>0</v>
      </c>
      <c r="K332" t="s">
        <v>3171</v>
      </c>
      <c r="L332" t="s">
        <v>3172</v>
      </c>
      <c r="M332">
        <v>571878</v>
      </c>
      <c r="N332">
        <v>101</v>
      </c>
      <c r="O332">
        <v>25522.346000000001</v>
      </c>
      <c r="P332" t="s">
        <v>201</v>
      </c>
      <c r="Q332">
        <v>11</v>
      </c>
      <c r="R332">
        <v>3</v>
      </c>
      <c r="S332">
        <v>23</v>
      </c>
      <c r="T332">
        <v>26039592</v>
      </c>
      <c r="U332">
        <v>103</v>
      </c>
      <c r="V332">
        <v>149</v>
      </c>
      <c r="W332">
        <v>25522.345636876809</v>
      </c>
      <c r="X332">
        <v>26039592.07912118</v>
      </c>
      <c r="Y332">
        <v>571553.10499999998</v>
      </c>
      <c r="Z332">
        <f>VLOOKUP($AC332,'2017 Seattle Tracts'!$C$2:$Z$399,24,FALSE)</f>
        <v>571877.54700000002</v>
      </c>
      <c r="AA332">
        <f t="shared" si="11"/>
        <v>0.9994326722535235</v>
      </c>
      <c r="AB332" t="s">
        <v>205</v>
      </c>
      <c r="AC332" t="str">
        <f t="shared" si="10"/>
        <v>Census Tract 76, King County, Washington</v>
      </c>
      <c r="AD332">
        <f>VLOOKUP($AC332,'2017 Seattle Tracts'!$C$2:$Z$399,AD$1,FALSE)*AA332</f>
        <v>4254.5848857832498</v>
      </c>
      <c r="AE332">
        <f>VLOOKUP($AC332,'2017 Seattle Tracts'!$C$2:$Z$399,AE$1,FALSE)*AA332</f>
        <v>3610.9502448519802</v>
      </c>
      <c r="AF332">
        <f>VLOOKUP($AC332,'2017 Seattle Tracts'!$C$2:$Z$399,AF$1,FALSE)*AA332</f>
        <v>643.63464093126913</v>
      </c>
      <c r="AG332">
        <f>VLOOKUP($AC332,'2017 Seattle Tracts'!$C$2:$Z$399,AG$1,FALSE)*AA332</f>
        <v>4254.5848857832498</v>
      </c>
      <c r="AH332">
        <f>VLOOKUP($AC332,'2017 Seattle Tracts'!$C$2:$Z$399,AH$1,FALSE)*AA332</f>
        <v>3610.9502448519802</v>
      </c>
      <c r="AI332">
        <f>VLOOKUP($AC332,'2017 Seattle Tracts'!$C$2:$Z$399,AI$1,FALSE)*AA332</f>
        <v>643.63464093126913</v>
      </c>
      <c r="AJ332">
        <f>VLOOKUP($AC332,'2017 Seattle Tracts'!$C$2:$Z$399,AJ$1,FALSE)*AA332</f>
        <v>2964.3173059039509</v>
      </c>
      <c r="AK332">
        <f>VLOOKUP($AC332,'2017 Seattle Tracts'!$C$2:$Z$399,AK$1,FALSE)*AA332</f>
        <v>212.87915919000051</v>
      </c>
      <c r="AL332">
        <f>VLOOKUP($AC332,'2017 Seattle Tracts'!$C$2:$Z$399,AL$1,FALSE)*AA332</f>
        <v>261.85136013042313</v>
      </c>
      <c r="AM332">
        <f>VLOOKUP($AC332,'2017 Seattle Tracts'!$C$2:$Z$399,AM$1,FALSE)*AA332</f>
        <v>55.968229646197315</v>
      </c>
      <c r="AN332">
        <f>VLOOKUP($AC332,'2017 Seattle Tracts'!$C$2:$Z$399,AN$1,FALSE)*AA332</f>
        <v>94.946103864084733</v>
      </c>
      <c r="AO332">
        <f>VLOOKUP($AC332,'2017 Seattle Tracts'!$C$2:$Z$399,AO$1,FALSE)*AA332</f>
        <v>76.956315763521303</v>
      </c>
      <c r="AP332">
        <f>VLOOKUP($AC332,'2017 Seattle Tracts'!$C$2:$Z$399,AP$1,FALSE)*AA332</f>
        <v>0.9994326722535235</v>
      </c>
      <c r="AQ332">
        <f>VLOOKUP($AC332,'2017 Seattle Tracts'!$C$2:$Z$399,AQ$1,FALSE)*AA332</f>
        <v>0</v>
      </c>
      <c r="AR332">
        <f>VLOOKUP($AC332,'2017 Seattle Tracts'!$C$2:$Z$399,AR$1,FALSE)*AA332</f>
        <v>103.94099791436645</v>
      </c>
      <c r="AS332">
        <f>VLOOKUP($AC332,'2017 Seattle Tracts'!$C$2:$Z$399,AS$1,FALSE)*AA332</f>
        <v>282.83944624774716</v>
      </c>
      <c r="AT332">
        <f>VLOOKUP($AC332,'2017 Seattle Tracts'!$C$2:$Z$399,AT$1,FALSE)*AA332</f>
        <v>0</v>
      </c>
      <c r="AU332">
        <f>VLOOKUP($AC332,'2017 Seattle Tracts'!$C$2:$Z$399,AU$1,FALSE)*AA332</f>
        <v>0</v>
      </c>
      <c r="AV332">
        <f>VLOOKUP($AC332,'2017 Seattle Tracts'!$C$2:$Z$399,AV$1,FALSE)*AA332</f>
        <v>13.992057411549329</v>
      </c>
      <c r="AW332">
        <f>VLOOKUP($AC332,'2017 Seattle Tracts'!$C$2:$Z$399,AW$1,FALSE)*AA332</f>
        <v>0</v>
      </c>
      <c r="AX332">
        <f>VLOOKUP($AC332,'2017 Seattle Tracts'!$C$2:$Z$399,AX$1,FALSE)*AA332</f>
        <v>170.90298695535253</v>
      </c>
      <c r="AY332">
        <f>VLOOKUP($AC332,'2017 Seattle Tracts'!$C$2:$Z$399,AY$1,FALSE)*AA332</f>
        <v>14.991490083802853</v>
      </c>
    </row>
    <row r="333" spans="1:51" x14ac:dyDescent="0.25">
      <c r="A333" t="s">
        <v>2917</v>
      </c>
      <c r="B333" t="s">
        <v>2918</v>
      </c>
      <c r="C333" t="s">
        <v>3173</v>
      </c>
      <c r="D333" t="s">
        <v>2572</v>
      </c>
      <c r="E333" t="s">
        <v>2573</v>
      </c>
      <c r="F333" t="s">
        <v>2574</v>
      </c>
      <c r="G333" t="s">
        <v>2920</v>
      </c>
      <c r="H333" t="s">
        <v>2921</v>
      </c>
      <c r="I333">
        <v>2109112</v>
      </c>
      <c r="J333">
        <v>3635278</v>
      </c>
      <c r="K333" t="s">
        <v>3174</v>
      </c>
      <c r="L333" t="s">
        <v>3175</v>
      </c>
      <c r="M333">
        <v>2085796</v>
      </c>
      <c r="N333">
        <v>53</v>
      </c>
      <c r="O333">
        <v>17052.942999999999</v>
      </c>
      <c r="P333" t="s">
        <v>149</v>
      </c>
      <c r="Q333">
        <v>14</v>
      </c>
      <c r="R333">
        <v>8</v>
      </c>
      <c r="S333">
        <v>0</v>
      </c>
      <c r="T333">
        <v>13845483</v>
      </c>
      <c r="U333">
        <v>55</v>
      </c>
      <c r="V333">
        <v>158</v>
      </c>
      <c r="W333">
        <v>17052.94270676927</v>
      </c>
      <c r="X333">
        <v>13845482.808370169</v>
      </c>
      <c r="Y333">
        <v>949378.57799999998</v>
      </c>
      <c r="Z333">
        <f>VLOOKUP($AC333,'2017 Seattle Tracts'!$C$2:$Z$399,24,FALSE)</f>
        <v>2085796.06</v>
      </c>
      <c r="AA333">
        <f t="shared" si="11"/>
        <v>0.45516366446679352</v>
      </c>
      <c r="AB333" t="s">
        <v>148</v>
      </c>
      <c r="AC333" t="str">
        <f t="shared" si="10"/>
        <v>Census Tract 78, King County, Washington</v>
      </c>
      <c r="AD333">
        <f>VLOOKUP($AC333,'2017 Seattle Tracts'!$C$2:$Z$399,AD$1,FALSE)*AA333</f>
        <v>2674.0865287424117</v>
      </c>
      <c r="AE333">
        <f>VLOOKUP($AC333,'2017 Seattle Tracts'!$C$2:$Z$399,AE$1,FALSE)*AA333</f>
        <v>2329.0724710765826</v>
      </c>
      <c r="AF333">
        <f>VLOOKUP($AC333,'2017 Seattle Tracts'!$C$2:$Z$399,AF$1,FALSE)*AA333</f>
        <v>345.01405766582951</v>
      </c>
      <c r="AG333">
        <f>VLOOKUP($AC333,'2017 Seattle Tracts'!$C$2:$Z$399,AG$1,FALSE)*AA333</f>
        <v>2674.0865287424117</v>
      </c>
      <c r="AH333">
        <f>VLOOKUP($AC333,'2017 Seattle Tracts'!$C$2:$Z$399,AH$1,FALSE)*AA333</f>
        <v>2329.0724710765826</v>
      </c>
      <c r="AI333">
        <f>VLOOKUP($AC333,'2017 Seattle Tracts'!$C$2:$Z$399,AI$1,FALSE)*AA333</f>
        <v>345.01405766582951</v>
      </c>
      <c r="AJ333">
        <f>VLOOKUP($AC333,'2017 Seattle Tracts'!$C$2:$Z$399,AJ$1,FALSE)*AA333</f>
        <v>1772.4073094336939</v>
      </c>
      <c r="AK333">
        <f>VLOOKUP($AC333,'2017 Seattle Tracts'!$C$2:$Z$399,AK$1,FALSE)*AA333</f>
        <v>185.25161143798496</v>
      </c>
      <c r="AL333">
        <f>VLOOKUP($AC333,'2017 Seattle Tracts'!$C$2:$Z$399,AL$1,FALSE)*AA333</f>
        <v>47.792184769013318</v>
      </c>
      <c r="AM333">
        <f>VLOOKUP($AC333,'2017 Seattle Tracts'!$C$2:$Z$399,AM$1,FALSE)*AA333</f>
        <v>0</v>
      </c>
      <c r="AN333">
        <f>VLOOKUP($AC333,'2017 Seattle Tracts'!$C$2:$Z$399,AN$1,FALSE)*AA333</f>
        <v>96.039533202493431</v>
      </c>
      <c r="AO333">
        <f>VLOOKUP($AC333,'2017 Seattle Tracts'!$C$2:$Z$399,AO$1,FALSE)*AA333</f>
        <v>31.861456512675545</v>
      </c>
      <c r="AP333">
        <f>VLOOKUP($AC333,'2017 Seattle Tracts'!$C$2:$Z$399,AP$1,FALSE)*AA333</f>
        <v>10.013600618269457</v>
      </c>
      <c r="AQ333">
        <f>VLOOKUP($AC333,'2017 Seattle Tracts'!$C$2:$Z$399,AQ$1,FALSE)*AA333</f>
        <v>0</v>
      </c>
      <c r="AR333">
        <f>VLOOKUP($AC333,'2017 Seattle Tracts'!$C$2:$Z$399,AR$1,FALSE)*AA333</f>
        <v>44.150875453278971</v>
      </c>
      <c r="AS333">
        <f>VLOOKUP($AC333,'2017 Seattle Tracts'!$C$2:$Z$399,AS$1,FALSE)*AA333</f>
        <v>79.198477617222068</v>
      </c>
      <c r="AT333">
        <f>VLOOKUP($AC333,'2017 Seattle Tracts'!$C$2:$Z$399,AT$1,FALSE)*AA333</f>
        <v>0</v>
      </c>
      <c r="AU333">
        <f>VLOOKUP($AC333,'2017 Seattle Tracts'!$C$2:$Z$399,AU$1,FALSE)*AA333</f>
        <v>0</v>
      </c>
      <c r="AV333">
        <f>VLOOKUP($AC333,'2017 Seattle Tracts'!$C$2:$Z$399,AV$1,FALSE)*AA333</f>
        <v>32.31662017714234</v>
      </c>
      <c r="AW333">
        <f>VLOOKUP($AC333,'2017 Seattle Tracts'!$C$2:$Z$399,AW$1,FALSE)*AA333</f>
        <v>44.150875453278971</v>
      </c>
      <c r="AX333">
        <f>VLOOKUP($AC333,'2017 Seattle Tracts'!$C$2:$Z$399,AX$1,FALSE)*AA333</f>
        <v>326.35234742269097</v>
      </c>
      <c r="AY333">
        <f>VLOOKUP($AC333,'2017 Seattle Tracts'!$C$2:$Z$399,AY$1,FALSE)*AA333</f>
        <v>4.5516366446679353</v>
      </c>
    </row>
    <row r="334" spans="1:51" x14ac:dyDescent="0.25">
      <c r="A334" t="s">
        <v>2917</v>
      </c>
      <c r="B334" t="s">
        <v>2918</v>
      </c>
      <c r="C334" t="s">
        <v>3173</v>
      </c>
      <c r="D334" t="s">
        <v>2572</v>
      </c>
      <c r="E334" t="s">
        <v>2573</v>
      </c>
      <c r="F334" t="s">
        <v>2574</v>
      </c>
      <c r="G334" t="s">
        <v>2920</v>
      </c>
      <c r="H334" t="s">
        <v>2921</v>
      </c>
      <c r="I334">
        <v>2109112</v>
      </c>
      <c r="J334">
        <v>3635278</v>
      </c>
      <c r="K334" t="s">
        <v>3174</v>
      </c>
      <c r="L334" t="s">
        <v>3175</v>
      </c>
      <c r="M334">
        <v>2085796</v>
      </c>
      <c r="N334">
        <v>54</v>
      </c>
      <c r="O334">
        <v>17241.273000000001</v>
      </c>
      <c r="P334" t="s">
        <v>149</v>
      </c>
      <c r="Q334">
        <v>14</v>
      </c>
      <c r="R334">
        <v>8</v>
      </c>
      <c r="S334">
        <v>94</v>
      </c>
      <c r="T334">
        <v>13603396</v>
      </c>
      <c r="U334">
        <v>56</v>
      </c>
      <c r="V334">
        <v>153</v>
      </c>
      <c r="W334">
        <v>17241.274319159489</v>
      </c>
      <c r="X334">
        <v>13603395.67284916</v>
      </c>
      <c r="Y334">
        <v>606048.74600000004</v>
      </c>
      <c r="Z334">
        <f>VLOOKUP($AC334,'2017 Seattle Tracts'!$C$2:$Z$399,24,FALSE)</f>
        <v>2085796.06</v>
      </c>
      <c r="AA334">
        <f t="shared" si="11"/>
        <v>0.29055992463616026</v>
      </c>
      <c r="AB334" t="s">
        <v>150</v>
      </c>
      <c r="AC334" t="str">
        <f t="shared" si="10"/>
        <v>Census Tract 78, King County, Washington</v>
      </c>
      <c r="AD334">
        <f>VLOOKUP($AC334,'2017 Seattle Tracts'!$C$2:$Z$399,AD$1,FALSE)*AA334</f>
        <v>1707.0395572374416</v>
      </c>
      <c r="AE334">
        <f>VLOOKUP($AC334,'2017 Seattle Tracts'!$C$2:$Z$399,AE$1,FALSE)*AA334</f>
        <v>1486.7951343632321</v>
      </c>
      <c r="AF334">
        <f>VLOOKUP($AC334,'2017 Seattle Tracts'!$C$2:$Z$399,AF$1,FALSE)*AA334</f>
        <v>220.24442287420948</v>
      </c>
      <c r="AG334">
        <f>VLOOKUP($AC334,'2017 Seattle Tracts'!$C$2:$Z$399,AG$1,FALSE)*AA334</f>
        <v>1707.0395572374416</v>
      </c>
      <c r="AH334">
        <f>VLOOKUP($AC334,'2017 Seattle Tracts'!$C$2:$Z$399,AH$1,FALSE)*AA334</f>
        <v>1486.7951343632321</v>
      </c>
      <c r="AI334">
        <f>VLOOKUP($AC334,'2017 Seattle Tracts'!$C$2:$Z$399,AI$1,FALSE)*AA334</f>
        <v>220.24442287420948</v>
      </c>
      <c r="AJ334">
        <f>VLOOKUP($AC334,'2017 Seattle Tracts'!$C$2:$Z$399,AJ$1,FALSE)*AA334</f>
        <v>1131.440346533208</v>
      </c>
      <c r="AK334">
        <f>VLOOKUP($AC334,'2017 Seattle Tracts'!$C$2:$Z$399,AK$1,FALSE)*AA334</f>
        <v>118.25788932691722</v>
      </c>
      <c r="AL334">
        <f>VLOOKUP($AC334,'2017 Seattle Tracts'!$C$2:$Z$399,AL$1,FALSE)*AA334</f>
        <v>30.508792086796827</v>
      </c>
      <c r="AM334">
        <f>VLOOKUP($AC334,'2017 Seattle Tracts'!$C$2:$Z$399,AM$1,FALSE)*AA334</f>
        <v>0</v>
      </c>
      <c r="AN334">
        <f>VLOOKUP($AC334,'2017 Seattle Tracts'!$C$2:$Z$399,AN$1,FALSE)*AA334</f>
        <v>61.308144098229818</v>
      </c>
      <c r="AO334">
        <f>VLOOKUP($AC334,'2017 Seattle Tracts'!$C$2:$Z$399,AO$1,FALSE)*AA334</f>
        <v>20.339194724531218</v>
      </c>
      <c r="AP334">
        <f>VLOOKUP($AC334,'2017 Seattle Tracts'!$C$2:$Z$399,AP$1,FALSE)*AA334</f>
        <v>6.3923183419955256</v>
      </c>
      <c r="AQ334">
        <f>VLOOKUP($AC334,'2017 Seattle Tracts'!$C$2:$Z$399,AQ$1,FALSE)*AA334</f>
        <v>0</v>
      </c>
      <c r="AR334">
        <f>VLOOKUP($AC334,'2017 Seattle Tracts'!$C$2:$Z$399,AR$1,FALSE)*AA334</f>
        <v>28.184312689707546</v>
      </c>
      <c r="AS334">
        <f>VLOOKUP($AC334,'2017 Seattle Tracts'!$C$2:$Z$399,AS$1,FALSE)*AA334</f>
        <v>50.557426886691886</v>
      </c>
      <c r="AT334">
        <f>VLOOKUP($AC334,'2017 Seattle Tracts'!$C$2:$Z$399,AT$1,FALSE)*AA334</f>
        <v>0</v>
      </c>
      <c r="AU334">
        <f>VLOOKUP($AC334,'2017 Seattle Tracts'!$C$2:$Z$399,AU$1,FALSE)*AA334</f>
        <v>0</v>
      </c>
      <c r="AV334">
        <f>VLOOKUP($AC334,'2017 Seattle Tracts'!$C$2:$Z$399,AV$1,FALSE)*AA334</f>
        <v>20.629754649167378</v>
      </c>
      <c r="AW334">
        <f>VLOOKUP($AC334,'2017 Seattle Tracts'!$C$2:$Z$399,AW$1,FALSE)*AA334</f>
        <v>28.184312689707546</v>
      </c>
      <c r="AX334">
        <f>VLOOKUP($AC334,'2017 Seattle Tracts'!$C$2:$Z$399,AX$1,FALSE)*AA334</f>
        <v>208.33146596412692</v>
      </c>
      <c r="AY334">
        <f>VLOOKUP($AC334,'2017 Seattle Tracts'!$C$2:$Z$399,AY$1,FALSE)*AA334</f>
        <v>2.9055992463616027</v>
      </c>
    </row>
    <row r="335" spans="1:51" x14ac:dyDescent="0.25">
      <c r="A335" t="s">
        <v>2917</v>
      </c>
      <c r="B335" t="s">
        <v>2918</v>
      </c>
      <c r="C335" t="s">
        <v>3173</v>
      </c>
      <c r="D335" t="s">
        <v>2572</v>
      </c>
      <c r="E335" t="s">
        <v>2573</v>
      </c>
      <c r="F335" t="s">
        <v>2574</v>
      </c>
      <c r="G335" t="s">
        <v>2920</v>
      </c>
      <c r="H335" t="s">
        <v>2921</v>
      </c>
      <c r="I335">
        <v>2109112</v>
      </c>
      <c r="J335">
        <v>3635278</v>
      </c>
      <c r="K335" t="s">
        <v>3174</v>
      </c>
      <c r="L335" t="s">
        <v>3175</v>
      </c>
      <c r="M335">
        <v>2085796</v>
      </c>
      <c r="N335">
        <v>56</v>
      </c>
      <c r="O335">
        <v>20413.057000000001</v>
      </c>
      <c r="P335" t="s">
        <v>149</v>
      </c>
      <c r="Q335">
        <v>14</v>
      </c>
      <c r="R335">
        <v>8</v>
      </c>
      <c r="S335">
        <v>19</v>
      </c>
      <c r="T335">
        <v>18091742</v>
      </c>
      <c r="U335">
        <v>58</v>
      </c>
      <c r="V335">
        <v>161</v>
      </c>
      <c r="W335">
        <v>20413.056051688221</v>
      </c>
      <c r="X335">
        <v>18091741.376667041</v>
      </c>
      <c r="Y335">
        <v>522154.66700000002</v>
      </c>
      <c r="Z335">
        <f>VLOOKUP($AC335,'2017 Seattle Tracts'!$C$2:$Z$399,24,FALSE)</f>
        <v>2085796.06</v>
      </c>
      <c r="AA335">
        <f t="shared" si="11"/>
        <v>0.25033831303718157</v>
      </c>
      <c r="AB335" t="s">
        <v>152</v>
      </c>
      <c r="AC335" t="str">
        <f t="shared" si="10"/>
        <v>Census Tract 78, King County, Washington</v>
      </c>
      <c r="AD335">
        <f>VLOOKUP($AC335,'2017 Seattle Tracts'!$C$2:$Z$399,AD$1,FALSE)*AA335</f>
        <v>1470.7375890934418</v>
      </c>
      <c r="AE335">
        <f>VLOOKUP($AC335,'2017 Seattle Tracts'!$C$2:$Z$399,AE$1,FALSE)*AA335</f>
        <v>1280.9811478112581</v>
      </c>
      <c r="AF335">
        <f>VLOOKUP($AC335,'2017 Seattle Tracts'!$C$2:$Z$399,AF$1,FALSE)*AA335</f>
        <v>189.75644128218363</v>
      </c>
      <c r="AG335">
        <f>VLOOKUP($AC335,'2017 Seattle Tracts'!$C$2:$Z$399,AG$1,FALSE)*AA335</f>
        <v>1470.7375890934418</v>
      </c>
      <c r="AH335">
        <f>VLOOKUP($AC335,'2017 Seattle Tracts'!$C$2:$Z$399,AH$1,FALSE)*AA335</f>
        <v>1280.9811478112581</v>
      </c>
      <c r="AI335">
        <f>VLOOKUP($AC335,'2017 Seattle Tracts'!$C$2:$Z$399,AI$1,FALSE)*AA335</f>
        <v>189.75644128218363</v>
      </c>
      <c r="AJ335">
        <f>VLOOKUP($AC335,'2017 Seattle Tracts'!$C$2:$Z$399,AJ$1,FALSE)*AA335</f>
        <v>974.81739096678507</v>
      </c>
      <c r="AK335">
        <f>VLOOKUP($AC335,'2017 Seattle Tracts'!$C$2:$Z$399,AK$1,FALSE)*AA335</f>
        <v>101.8876934061329</v>
      </c>
      <c r="AL335">
        <f>VLOOKUP($AC335,'2017 Seattle Tracts'!$C$2:$Z$399,AL$1,FALSE)*AA335</f>
        <v>26.285522868904064</v>
      </c>
      <c r="AM335">
        <f>VLOOKUP($AC335,'2017 Seattle Tracts'!$C$2:$Z$399,AM$1,FALSE)*AA335</f>
        <v>0</v>
      </c>
      <c r="AN335">
        <f>VLOOKUP($AC335,'2017 Seattle Tracts'!$C$2:$Z$399,AN$1,FALSE)*AA335</f>
        <v>52.82138405084531</v>
      </c>
      <c r="AO335">
        <f>VLOOKUP($AC335,'2017 Seattle Tracts'!$C$2:$Z$399,AO$1,FALSE)*AA335</f>
        <v>17.523681912602711</v>
      </c>
      <c r="AP335">
        <f>VLOOKUP($AC335,'2017 Seattle Tracts'!$C$2:$Z$399,AP$1,FALSE)*AA335</f>
        <v>5.5074428868179943</v>
      </c>
      <c r="AQ335">
        <f>VLOOKUP($AC335,'2017 Seattle Tracts'!$C$2:$Z$399,AQ$1,FALSE)*AA335</f>
        <v>0</v>
      </c>
      <c r="AR335">
        <f>VLOOKUP($AC335,'2017 Seattle Tracts'!$C$2:$Z$399,AR$1,FALSE)*AA335</f>
        <v>24.282816364606614</v>
      </c>
      <c r="AS335">
        <f>VLOOKUP($AC335,'2017 Seattle Tracts'!$C$2:$Z$399,AS$1,FALSE)*AA335</f>
        <v>43.558866468469596</v>
      </c>
      <c r="AT335">
        <f>VLOOKUP($AC335,'2017 Seattle Tracts'!$C$2:$Z$399,AT$1,FALSE)*AA335</f>
        <v>0</v>
      </c>
      <c r="AU335">
        <f>VLOOKUP($AC335,'2017 Seattle Tracts'!$C$2:$Z$399,AU$1,FALSE)*AA335</f>
        <v>0</v>
      </c>
      <c r="AV335">
        <f>VLOOKUP($AC335,'2017 Seattle Tracts'!$C$2:$Z$399,AV$1,FALSE)*AA335</f>
        <v>17.774020225639891</v>
      </c>
      <c r="AW335">
        <f>VLOOKUP($AC335,'2017 Seattle Tracts'!$C$2:$Z$399,AW$1,FALSE)*AA335</f>
        <v>24.282816364606614</v>
      </c>
      <c r="AX335">
        <f>VLOOKUP($AC335,'2017 Seattle Tracts'!$C$2:$Z$399,AX$1,FALSE)*AA335</f>
        <v>179.49257044765918</v>
      </c>
      <c r="AY335">
        <f>VLOOKUP($AC335,'2017 Seattle Tracts'!$C$2:$Z$399,AY$1,FALSE)*AA335</f>
        <v>2.5033831303718159</v>
      </c>
    </row>
    <row r="336" spans="1:51" x14ac:dyDescent="0.25">
      <c r="A336" t="s">
        <v>2917</v>
      </c>
      <c r="B336" t="s">
        <v>2918</v>
      </c>
      <c r="C336" t="s">
        <v>3176</v>
      </c>
      <c r="D336" t="s">
        <v>2683</v>
      </c>
      <c r="E336" t="s">
        <v>2684</v>
      </c>
      <c r="F336" t="s">
        <v>2685</v>
      </c>
      <c r="G336" t="s">
        <v>2920</v>
      </c>
      <c r="H336" t="s">
        <v>2921</v>
      </c>
      <c r="I336">
        <v>1552357</v>
      </c>
      <c r="J336">
        <v>1033231</v>
      </c>
      <c r="K336" t="s">
        <v>3177</v>
      </c>
      <c r="L336" t="s">
        <v>3178</v>
      </c>
      <c r="M336">
        <v>1574150</v>
      </c>
      <c r="N336">
        <v>31</v>
      </c>
      <c r="O336">
        <v>27120.785</v>
      </c>
      <c r="P336" t="s">
        <v>122</v>
      </c>
      <c r="Q336">
        <v>6</v>
      </c>
      <c r="R336">
        <v>9</v>
      </c>
      <c r="S336">
        <v>95</v>
      </c>
      <c r="T336">
        <v>32123118</v>
      </c>
      <c r="U336">
        <v>33</v>
      </c>
      <c r="V336">
        <v>126</v>
      </c>
      <c r="W336">
        <v>27120.785937968081</v>
      </c>
      <c r="X336">
        <v>32123117.878249042</v>
      </c>
      <c r="Y336">
        <v>424840.31</v>
      </c>
      <c r="Z336">
        <f>VLOOKUP($AC336,'2017 Seattle Tracts'!$C$2:$Z$399,24,FALSE)</f>
        <v>1574150.358</v>
      </c>
      <c r="AA336">
        <f t="shared" si="11"/>
        <v>0.26988547049582412</v>
      </c>
      <c r="AB336" t="s">
        <v>121</v>
      </c>
      <c r="AC336" t="str">
        <f t="shared" si="10"/>
        <v>Census Tract 46, King County, Washington</v>
      </c>
      <c r="AD336">
        <f>VLOOKUP($AC336,'2017 Seattle Tracts'!$C$2:$Z$399,AD$1,FALSE)*AA336</f>
        <v>991.55921860165779</v>
      </c>
      <c r="AE336">
        <f>VLOOKUP($AC336,'2017 Seattle Tracts'!$C$2:$Z$399,AE$1,FALSE)*AA336</f>
        <v>896.55953298712768</v>
      </c>
      <c r="AF336">
        <f>VLOOKUP($AC336,'2017 Seattle Tracts'!$C$2:$Z$399,AF$1,FALSE)*AA336</f>
        <v>94.999685614530094</v>
      </c>
      <c r="AG336">
        <f>VLOOKUP($AC336,'2017 Seattle Tracts'!$C$2:$Z$399,AG$1,FALSE)*AA336</f>
        <v>991.55921860165779</v>
      </c>
      <c r="AH336">
        <f>VLOOKUP($AC336,'2017 Seattle Tracts'!$C$2:$Z$399,AH$1,FALSE)*AA336</f>
        <v>896.55953298712768</v>
      </c>
      <c r="AI336">
        <f>VLOOKUP($AC336,'2017 Seattle Tracts'!$C$2:$Z$399,AI$1,FALSE)*AA336</f>
        <v>94.999685614530094</v>
      </c>
      <c r="AJ336">
        <f>VLOOKUP($AC336,'2017 Seattle Tracts'!$C$2:$Z$399,AJ$1,FALSE)*AA336</f>
        <v>833.67621836160072</v>
      </c>
      <c r="AK336">
        <f>VLOOKUP($AC336,'2017 Seattle Tracts'!$C$2:$Z$399,AK$1,FALSE)*AA336</f>
        <v>48.309499218752521</v>
      </c>
      <c r="AL336">
        <f>VLOOKUP($AC336,'2017 Seattle Tracts'!$C$2:$Z$399,AL$1,FALSE)*AA336</f>
        <v>15.923242759253624</v>
      </c>
      <c r="AM336">
        <f>VLOOKUP($AC336,'2017 Seattle Tracts'!$C$2:$Z$399,AM$1,FALSE)*AA336</f>
        <v>2.428969234462417</v>
      </c>
      <c r="AN336">
        <f>VLOOKUP($AC336,'2017 Seattle Tracts'!$C$2:$Z$399,AN$1,FALSE)*AA336</f>
        <v>6.7471367623956029</v>
      </c>
      <c r="AO336">
        <f>VLOOKUP($AC336,'2017 Seattle Tracts'!$C$2:$Z$399,AO$1,FALSE)*AA336</f>
        <v>8.9062205263621959</v>
      </c>
      <c r="AP336">
        <f>VLOOKUP($AC336,'2017 Seattle Tracts'!$C$2:$Z$399,AP$1,FALSE)*AA336</f>
        <v>0</v>
      </c>
      <c r="AQ336">
        <f>VLOOKUP($AC336,'2017 Seattle Tracts'!$C$2:$Z$399,AQ$1,FALSE)*AA336</f>
        <v>1.6193128229749447</v>
      </c>
      <c r="AR336">
        <f>VLOOKUP($AC336,'2017 Seattle Tracts'!$C$2:$Z$399,AR$1,FALSE)*AA336</f>
        <v>14.573815406774502</v>
      </c>
      <c r="AS336">
        <f>VLOOKUP($AC336,'2017 Seattle Tracts'!$C$2:$Z$399,AS$1,FALSE)*AA336</f>
        <v>33.735683811978014</v>
      </c>
      <c r="AT336">
        <f>VLOOKUP($AC336,'2017 Seattle Tracts'!$C$2:$Z$399,AT$1,FALSE)*AA336</f>
        <v>0</v>
      </c>
      <c r="AU336">
        <f>VLOOKUP($AC336,'2017 Seattle Tracts'!$C$2:$Z$399,AU$1,FALSE)*AA336</f>
        <v>0</v>
      </c>
      <c r="AV336">
        <f>VLOOKUP($AC336,'2017 Seattle Tracts'!$C$2:$Z$399,AV$1,FALSE)*AA336</f>
        <v>0</v>
      </c>
      <c r="AW336">
        <f>VLOOKUP($AC336,'2017 Seattle Tracts'!$C$2:$Z$399,AW$1,FALSE)*AA336</f>
        <v>0</v>
      </c>
      <c r="AX336">
        <f>VLOOKUP($AC336,'2017 Seattle Tracts'!$C$2:$Z$399,AX$1,FALSE)*AA336</f>
        <v>25.63911969710329</v>
      </c>
      <c r="AY336">
        <f>VLOOKUP($AC336,'2017 Seattle Tracts'!$C$2:$Z$399,AY$1,FALSE)*AA336</f>
        <v>0</v>
      </c>
    </row>
    <row r="337" spans="1:51" x14ac:dyDescent="0.25">
      <c r="A337" t="s">
        <v>2917</v>
      </c>
      <c r="B337" t="s">
        <v>2918</v>
      </c>
      <c r="C337" t="s">
        <v>3176</v>
      </c>
      <c r="D337" t="s">
        <v>2683</v>
      </c>
      <c r="E337" t="s">
        <v>2684</v>
      </c>
      <c r="F337" t="s">
        <v>2685</v>
      </c>
      <c r="G337" t="s">
        <v>2920</v>
      </c>
      <c r="H337" t="s">
        <v>2921</v>
      </c>
      <c r="I337">
        <v>1552357</v>
      </c>
      <c r="J337">
        <v>1033231</v>
      </c>
      <c r="K337" t="s">
        <v>3177</v>
      </c>
      <c r="L337" t="s">
        <v>3178</v>
      </c>
      <c r="M337">
        <v>1574150</v>
      </c>
      <c r="N337">
        <v>32</v>
      </c>
      <c r="O337">
        <v>33040.245999999999</v>
      </c>
      <c r="P337" t="s">
        <v>122</v>
      </c>
      <c r="Q337">
        <v>6</v>
      </c>
      <c r="R337">
        <v>9</v>
      </c>
      <c r="S337">
        <v>19</v>
      </c>
      <c r="T337">
        <v>42068344</v>
      </c>
      <c r="U337">
        <v>34</v>
      </c>
      <c r="V337">
        <v>133</v>
      </c>
      <c r="W337">
        <v>33040.246986119782</v>
      </c>
      <c r="X337">
        <v>42068342.613789164</v>
      </c>
      <c r="Y337">
        <v>644199.28</v>
      </c>
      <c r="Z337">
        <f>VLOOKUP($AC337,'2017 Seattle Tracts'!$C$2:$Z$399,24,FALSE)</f>
        <v>1574150.358</v>
      </c>
      <c r="AA337">
        <f t="shared" si="11"/>
        <v>0.4092361804741908</v>
      </c>
      <c r="AB337" t="s">
        <v>123</v>
      </c>
      <c r="AC337" t="str">
        <f t="shared" si="10"/>
        <v>Census Tract 46, King County, Washington</v>
      </c>
      <c r="AD337">
        <f>VLOOKUP($AC337,'2017 Seattle Tracts'!$C$2:$Z$399,AD$1,FALSE)*AA337</f>
        <v>1503.5337270621769</v>
      </c>
      <c r="AE337">
        <f>VLOOKUP($AC337,'2017 Seattle Tracts'!$C$2:$Z$399,AE$1,FALSE)*AA337</f>
        <v>1359.4825915352619</v>
      </c>
      <c r="AF337">
        <f>VLOOKUP($AC337,'2017 Seattle Tracts'!$C$2:$Z$399,AF$1,FALSE)*AA337</f>
        <v>144.05113552691517</v>
      </c>
      <c r="AG337">
        <f>VLOOKUP($AC337,'2017 Seattle Tracts'!$C$2:$Z$399,AG$1,FALSE)*AA337</f>
        <v>1503.5337270621769</v>
      </c>
      <c r="AH337">
        <f>VLOOKUP($AC337,'2017 Seattle Tracts'!$C$2:$Z$399,AH$1,FALSE)*AA337</f>
        <v>1359.4825915352619</v>
      </c>
      <c r="AI337">
        <f>VLOOKUP($AC337,'2017 Seattle Tracts'!$C$2:$Z$399,AI$1,FALSE)*AA337</f>
        <v>144.05113552691517</v>
      </c>
      <c r="AJ337">
        <f>VLOOKUP($AC337,'2017 Seattle Tracts'!$C$2:$Z$399,AJ$1,FALSE)*AA337</f>
        <v>1264.1305614847754</v>
      </c>
      <c r="AK337">
        <f>VLOOKUP($AC337,'2017 Seattle Tracts'!$C$2:$Z$399,AK$1,FALSE)*AA337</f>
        <v>73.25327630488016</v>
      </c>
      <c r="AL337">
        <f>VLOOKUP($AC337,'2017 Seattle Tracts'!$C$2:$Z$399,AL$1,FALSE)*AA337</f>
        <v>24.144934647977259</v>
      </c>
      <c r="AM337">
        <f>VLOOKUP($AC337,'2017 Seattle Tracts'!$C$2:$Z$399,AM$1,FALSE)*AA337</f>
        <v>3.6831256242677171</v>
      </c>
      <c r="AN337">
        <f>VLOOKUP($AC337,'2017 Seattle Tracts'!$C$2:$Z$399,AN$1,FALSE)*AA337</f>
        <v>10.230904511854771</v>
      </c>
      <c r="AO337">
        <f>VLOOKUP($AC337,'2017 Seattle Tracts'!$C$2:$Z$399,AO$1,FALSE)*AA337</f>
        <v>13.504793955648296</v>
      </c>
      <c r="AP337">
        <f>VLOOKUP($AC337,'2017 Seattle Tracts'!$C$2:$Z$399,AP$1,FALSE)*AA337</f>
        <v>0</v>
      </c>
      <c r="AQ337">
        <f>VLOOKUP($AC337,'2017 Seattle Tracts'!$C$2:$Z$399,AQ$1,FALSE)*AA337</f>
        <v>2.4554170828451447</v>
      </c>
      <c r="AR337">
        <f>VLOOKUP($AC337,'2017 Seattle Tracts'!$C$2:$Z$399,AR$1,FALSE)*AA337</f>
        <v>22.098753745606302</v>
      </c>
      <c r="AS337">
        <f>VLOOKUP($AC337,'2017 Seattle Tracts'!$C$2:$Z$399,AS$1,FALSE)*AA337</f>
        <v>51.15452255927385</v>
      </c>
      <c r="AT337">
        <f>VLOOKUP($AC337,'2017 Seattle Tracts'!$C$2:$Z$399,AT$1,FALSE)*AA337</f>
        <v>0</v>
      </c>
      <c r="AU337">
        <f>VLOOKUP($AC337,'2017 Seattle Tracts'!$C$2:$Z$399,AU$1,FALSE)*AA337</f>
        <v>0</v>
      </c>
      <c r="AV337">
        <f>VLOOKUP($AC337,'2017 Seattle Tracts'!$C$2:$Z$399,AV$1,FALSE)*AA337</f>
        <v>0</v>
      </c>
      <c r="AW337">
        <f>VLOOKUP($AC337,'2017 Seattle Tracts'!$C$2:$Z$399,AW$1,FALSE)*AA337</f>
        <v>0</v>
      </c>
      <c r="AX337">
        <f>VLOOKUP($AC337,'2017 Seattle Tracts'!$C$2:$Z$399,AX$1,FALSE)*AA337</f>
        <v>38.877437145048127</v>
      </c>
      <c r="AY337">
        <f>VLOOKUP($AC337,'2017 Seattle Tracts'!$C$2:$Z$399,AY$1,FALSE)*AA337</f>
        <v>0</v>
      </c>
    </row>
    <row r="338" spans="1:51" x14ac:dyDescent="0.25">
      <c r="A338" t="s">
        <v>2917</v>
      </c>
      <c r="B338" t="s">
        <v>2918</v>
      </c>
      <c r="C338" t="s">
        <v>3176</v>
      </c>
      <c r="D338" t="s">
        <v>2683</v>
      </c>
      <c r="E338" t="s">
        <v>2684</v>
      </c>
      <c r="F338" t="s">
        <v>2685</v>
      </c>
      <c r="G338" t="s">
        <v>2920</v>
      </c>
      <c r="H338" t="s">
        <v>2921</v>
      </c>
      <c r="I338">
        <v>1552357</v>
      </c>
      <c r="J338">
        <v>1033231</v>
      </c>
      <c r="K338" t="s">
        <v>3177</v>
      </c>
      <c r="L338" t="s">
        <v>3178</v>
      </c>
      <c r="M338">
        <v>1574150</v>
      </c>
      <c r="N338">
        <v>34</v>
      </c>
      <c r="O338">
        <v>25387.706999999999</v>
      </c>
      <c r="P338" t="s">
        <v>122</v>
      </c>
      <c r="Q338">
        <v>6</v>
      </c>
      <c r="R338">
        <v>9</v>
      </c>
      <c r="S338">
        <v>24</v>
      </c>
      <c r="T338">
        <v>37314628</v>
      </c>
      <c r="U338">
        <v>36</v>
      </c>
      <c r="V338">
        <v>123</v>
      </c>
      <c r="W338">
        <v>25387.707496248549</v>
      </c>
      <c r="X338">
        <v>37314629.789188273</v>
      </c>
      <c r="Y338">
        <v>505110.77100000001</v>
      </c>
      <c r="Z338">
        <f>VLOOKUP($AC338,'2017 Seattle Tracts'!$C$2:$Z$399,24,FALSE)</f>
        <v>1574150.358</v>
      </c>
      <c r="AA338">
        <f t="shared" si="11"/>
        <v>0.3208783509357751</v>
      </c>
      <c r="AB338" t="s">
        <v>125</v>
      </c>
      <c r="AC338" t="str">
        <f t="shared" si="10"/>
        <v>Census Tract 46, King County, Washington</v>
      </c>
      <c r="AD338">
        <f>VLOOKUP($AC338,'2017 Seattle Tracts'!$C$2:$Z$399,AD$1,FALSE)*AA338</f>
        <v>1178.9070613380377</v>
      </c>
      <c r="AE338">
        <f>VLOOKUP($AC338,'2017 Seattle Tracts'!$C$2:$Z$399,AE$1,FALSE)*AA338</f>
        <v>1065.957881808645</v>
      </c>
      <c r="AF338">
        <f>VLOOKUP($AC338,'2017 Seattle Tracts'!$C$2:$Z$399,AF$1,FALSE)*AA338</f>
        <v>112.94917952939284</v>
      </c>
      <c r="AG338">
        <f>VLOOKUP($AC338,'2017 Seattle Tracts'!$C$2:$Z$399,AG$1,FALSE)*AA338</f>
        <v>1178.9070613380377</v>
      </c>
      <c r="AH338">
        <f>VLOOKUP($AC338,'2017 Seattle Tracts'!$C$2:$Z$399,AH$1,FALSE)*AA338</f>
        <v>1065.957881808645</v>
      </c>
      <c r="AI338">
        <f>VLOOKUP($AC338,'2017 Seattle Tracts'!$C$2:$Z$399,AI$1,FALSE)*AA338</f>
        <v>112.94917952939284</v>
      </c>
      <c r="AJ338">
        <f>VLOOKUP($AC338,'2017 Seattle Tracts'!$C$2:$Z$399,AJ$1,FALSE)*AA338</f>
        <v>991.19322604060926</v>
      </c>
      <c r="AK338">
        <f>VLOOKUP($AC338,'2017 Seattle Tracts'!$C$2:$Z$399,AK$1,FALSE)*AA338</f>
        <v>57.437224817503747</v>
      </c>
      <c r="AL338">
        <f>VLOOKUP($AC338,'2017 Seattle Tracts'!$C$2:$Z$399,AL$1,FALSE)*AA338</f>
        <v>18.931822705210731</v>
      </c>
      <c r="AM338">
        <f>VLOOKUP($AC338,'2017 Seattle Tracts'!$C$2:$Z$399,AM$1,FALSE)*AA338</f>
        <v>2.8879051584219759</v>
      </c>
      <c r="AN338">
        <f>VLOOKUP($AC338,'2017 Seattle Tracts'!$C$2:$Z$399,AN$1,FALSE)*AA338</f>
        <v>8.0219587733943776</v>
      </c>
      <c r="AO338">
        <f>VLOOKUP($AC338,'2017 Seattle Tracts'!$C$2:$Z$399,AO$1,FALSE)*AA338</f>
        <v>10.588985580880578</v>
      </c>
      <c r="AP338">
        <f>VLOOKUP($AC338,'2017 Seattle Tracts'!$C$2:$Z$399,AP$1,FALSE)*AA338</f>
        <v>0</v>
      </c>
      <c r="AQ338">
        <f>VLOOKUP($AC338,'2017 Seattle Tracts'!$C$2:$Z$399,AQ$1,FALSE)*AA338</f>
        <v>1.9252701056146506</v>
      </c>
      <c r="AR338">
        <f>VLOOKUP($AC338,'2017 Seattle Tracts'!$C$2:$Z$399,AR$1,FALSE)*AA338</f>
        <v>17.327430950531856</v>
      </c>
      <c r="AS338">
        <f>VLOOKUP($AC338,'2017 Seattle Tracts'!$C$2:$Z$399,AS$1,FALSE)*AA338</f>
        <v>40.109793866971884</v>
      </c>
      <c r="AT338">
        <f>VLOOKUP($AC338,'2017 Seattle Tracts'!$C$2:$Z$399,AT$1,FALSE)*AA338</f>
        <v>0</v>
      </c>
      <c r="AU338">
        <f>VLOOKUP($AC338,'2017 Seattle Tracts'!$C$2:$Z$399,AU$1,FALSE)*AA338</f>
        <v>0</v>
      </c>
      <c r="AV338">
        <f>VLOOKUP($AC338,'2017 Seattle Tracts'!$C$2:$Z$399,AV$1,FALSE)*AA338</f>
        <v>0</v>
      </c>
      <c r="AW338">
        <f>VLOOKUP($AC338,'2017 Seattle Tracts'!$C$2:$Z$399,AW$1,FALSE)*AA338</f>
        <v>0</v>
      </c>
      <c r="AX338">
        <f>VLOOKUP($AC338,'2017 Seattle Tracts'!$C$2:$Z$399,AX$1,FALSE)*AA338</f>
        <v>30.483443338898635</v>
      </c>
      <c r="AY338">
        <f>VLOOKUP($AC338,'2017 Seattle Tracts'!$C$2:$Z$399,AY$1,FALSE)*AA338</f>
        <v>0</v>
      </c>
    </row>
    <row r="339" spans="1:51" x14ac:dyDescent="0.25">
      <c r="A339" t="s">
        <v>2917</v>
      </c>
      <c r="B339" t="s">
        <v>2918</v>
      </c>
      <c r="C339" t="s">
        <v>3179</v>
      </c>
      <c r="D339" t="s">
        <v>2674</v>
      </c>
      <c r="E339" t="s">
        <v>2675</v>
      </c>
      <c r="F339" t="s">
        <v>2676</v>
      </c>
      <c r="G339" t="s">
        <v>2920</v>
      </c>
      <c r="H339" t="s">
        <v>2921</v>
      </c>
      <c r="I339">
        <v>1085823</v>
      </c>
      <c r="J339">
        <v>25325</v>
      </c>
      <c r="K339" t="s">
        <v>3180</v>
      </c>
      <c r="L339" t="s">
        <v>3181</v>
      </c>
      <c r="M339">
        <v>1096632</v>
      </c>
      <c r="N339">
        <v>31</v>
      </c>
      <c r="O339">
        <v>27120.785</v>
      </c>
      <c r="P339" t="s">
        <v>122</v>
      </c>
      <c r="Q339">
        <v>6</v>
      </c>
      <c r="R339">
        <v>9</v>
      </c>
      <c r="S339">
        <v>95</v>
      </c>
      <c r="T339">
        <v>32123118</v>
      </c>
      <c r="U339">
        <v>33</v>
      </c>
      <c r="V339">
        <v>126</v>
      </c>
      <c r="W339">
        <v>27120.785937968081</v>
      </c>
      <c r="X339">
        <v>32123117.878249042</v>
      </c>
      <c r="Y339">
        <v>889.08799999999997</v>
      </c>
      <c r="Z339">
        <f>VLOOKUP($AC339,'2017 Seattle Tracts'!$C$2:$Z$399,24,FALSE)</f>
        <v>1096632.0989999999</v>
      </c>
      <c r="AA339">
        <f t="shared" si="11"/>
        <v>8.1074409622948669E-4</v>
      </c>
      <c r="AB339" t="s">
        <v>121</v>
      </c>
      <c r="AC339" t="str">
        <f t="shared" si="10"/>
        <v>Census Tract 49, King County, Washington</v>
      </c>
      <c r="AD339">
        <f>VLOOKUP($AC339,'2017 Seattle Tracts'!$C$2:$Z$399,AD$1,FALSE)*AA339</f>
        <v>6.0230178908888563</v>
      </c>
      <c r="AE339">
        <f>VLOOKUP($AC339,'2017 Seattle Tracts'!$C$2:$Z$399,AE$1,FALSE)*AA339</f>
        <v>5.4279317242564131</v>
      </c>
      <c r="AF339">
        <f>VLOOKUP($AC339,'2017 Seattle Tracts'!$C$2:$Z$399,AF$1,FALSE)*AA339</f>
        <v>0.59508616663244318</v>
      </c>
      <c r="AG339">
        <f>VLOOKUP($AC339,'2017 Seattle Tracts'!$C$2:$Z$399,AG$1,FALSE)*AA339</f>
        <v>6.0230178908888563</v>
      </c>
      <c r="AH339">
        <f>VLOOKUP($AC339,'2017 Seattle Tracts'!$C$2:$Z$399,AH$1,FALSE)*AA339</f>
        <v>5.4279317242564131</v>
      </c>
      <c r="AI339">
        <f>VLOOKUP($AC339,'2017 Seattle Tracts'!$C$2:$Z$399,AI$1,FALSE)*AA339</f>
        <v>0.59508616663244318</v>
      </c>
      <c r="AJ339">
        <f>VLOOKUP($AC339,'2017 Seattle Tracts'!$C$2:$Z$399,AJ$1,FALSE)*AA339</f>
        <v>4.9309455932677384</v>
      </c>
      <c r="AK339">
        <f>VLOOKUP($AC339,'2017 Seattle Tracts'!$C$2:$Z$399,AK$1,FALSE)*AA339</f>
        <v>0.31700094162572928</v>
      </c>
      <c r="AL339">
        <f>VLOOKUP($AC339,'2017 Seattle Tracts'!$C$2:$Z$399,AL$1,FALSE)*AA339</f>
        <v>0.11188268527966916</v>
      </c>
      <c r="AM339">
        <f>VLOOKUP($AC339,'2017 Seattle Tracts'!$C$2:$Z$399,AM$1,FALSE)*AA339</f>
        <v>0</v>
      </c>
      <c r="AN339">
        <f>VLOOKUP($AC339,'2017 Seattle Tracts'!$C$2:$Z$399,AN$1,FALSE)*AA339</f>
        <v>1.5404137828360247E-2</v>
      </c>
      <c r="AO339">
        <f>VLOOKUP($AC339,'2017 Seattle Tracts'!$C$2:$Z$399,AO$1,FALSE)*AA339</f>
        <v>0</v>
      </c>
      <c r="AP339">
        <f>VLOOKUP($AC339,'2017 Seattle Tracts'!$C$2:$Z$399,AP$1,FALSE)*AA339</f>
        <v>2.0268602405737166E-2</v>
      </c>
      <c r="AQ339">
        <f>VLOOKUP($AC339,'2017 Seattle Tracts'!$C$2:$Z$399,AQ$1,FALSE)*AA339</f>
        <v>0</v>
      </c>
      <c r="AR339">
        <f>VLOOKUP($AC339,'2017 Seattle Tracts'!$C$2:$Z$399,AR$1,FALSE)*AA339</f>
        <v>0.1159364057608166</v>
      </c>
      <c r="AS339">
        <f>VLOOKUP($AC339,'2017 Seattle Tracts'!$C$2:$Z$399,AS$1,FALSE)*AA339</f>
        <v>0.11836863804950505</v>
      </c>
      <c r="AT339">
        <f>VLOOKUP($AC339,'2017 Seattle Tracts'!$C$2:$Z$399,AT$1,FALSE)*AA339</f>
        <v>0</v>
      </c>
      <c r="AU339">
        <f>VLOOKUP($AC339,'2017 Seattle Tracts'!$C$2:$Z$399,AU$1,FALSE)*AA339</f>
        <v>0</v>
      </c>
      <c r="AV339">
        <f>VLOOKUP($AC339,'2017 Seattle Tracts'!$C$2:$Z$399,AV$1,FALSE)*AA339</f>
        <v>1.5404137828360247E-2</v>
      </c>
      <c r="AW339">
        <f>VLOOKUP($AC339,'2017 Seattle Tracts'!$C$2:$Z$399,AW$1,FALSE)*AA339</f>
        <v>3.242976384917947E-2</v>
      </c>
      <c r="AX339">
        <f>VLOOKUP($AC339,'2017 Seattle Tracts'!$C$2:$Z$399,AX$1,FALSE)*AA339</f>
        <v>0.21809016188573191</v>
      </c>
      <c r="AY339">
        <f>VLOOKUP($AC339,'2017 Seattle Tracts'!$C$2:$Z$399,AY$1,FALSE)*AA339</f>
        <v>0.12728682310802941</v>
      </c>
    </row>
    <row r="340" spans="1:51" x14ac:dyDescent="0.25">
      <c r="A340" t="s">
        <v>2917</v>
      </c>
      <c r="B340" t="s">
        <v>2918</v>
      </c>
      <c r="C340" t="s">
        <v>3179</v>
      </c>
      <c r="D340" t="s">
        <v>2674</v>
      </c>
      <c r="E340" t="s">
        <v>2675</v>
      </c>
      <c r="F340" t="s">
        <v>2676</v>
      </c>
      <c r="G340" t="s">
        <v>2920</v>
      </c>
      <c r="H340" t="s">
        <v>2921</v>
      </c>
      <c r="I340">
        <v>1085823</v>
      </c>
      <c r="J340">
        <v>25325</v>
      </c>
      <c r="K340" t="s">
        <v>3180</v>
      </c>
      <c r="L340" t="s">
        <v>3181</v>
      </c>
      <c r="M340">
        <v>1096632</v>
      </c>
      <c r="N340">
        <v>32</v>
      </c>
      <c r="O340">
        <v>33040.245999999999</v>
      </c>
      <c r="P340" t="s">
        <v>122</v>
      </c>
      <c r="Q340">
        <v>6</v>
      </c>
      <c r="R340">
        <v>9</v>
      </c>
      <c r="S340">
        <v>19</v>
      </c>
      <c r="T340">
        <v>42068344</v>
      </c>
      <c r="U340">
        <v>34</v>
      </c>
      <c r="V340">
        <v>133</v>
      </c>
      <c r="W340">
        <v>33040.246986119782</v>
      </c>
      <c r="X340">
        <v>42068342.613789164</v>
      </c>
      <c r="Y340">
        <v>1949.2</v>
      </c>
      <c r="Z340">
        <f>VLOOKUP($AC340,'2017 Seattle Tracts'!$C$2:$Z$399,24,FALSE)</f>
        <v>1096632.0989999999</v>
      </c>
      <c r="AA340">
        <f t="shared" si="11"/>
        <v>1.7774420443988847E-3</v>
      </c>
      <c r="AB340" t="s">
        <v>123</v>
      </c>
      <c r="AC340" t="str">
        <f t="shared" si="10"/>
        <v>Census Tract 49, King County, Washington</v>
      </c>
      <c r="AD340">
        <f>VLOOKUP($AC340,'2017 Seattle Tracts'!$C$2:$Z$399,AD$1,FALSE)*AA340</f>
        <v>13.204616947839314</v>
      </c>
      <c r="AE340">
        <f>VLOOKUP($AC340,'2017 Seattle Tracts'!$C$2:$Z$399,AE$1,FALSE)*AA340</f>
        <v>11.899974487250534</v>
      </c>
      <c r="AF340">
        <f>VLOOKUP($AC340,'2017 Seattle Tracts'!$C$2:$Z$399,AF$1,FALSE)*AA340</f>
        <v>1.3046424605887814</v>
      </c>
      <c r="AG340">
        <f>VLOOKUP($AC340,'2017 Seattle Tracts'!$C$2:$Z$399,AG$1,FALSE)*AA340</f>
        <v>13.204616947839314</v>
      </c>
      <c r="AH340">
        <f>VLOOKUP($AC340,'2017 Seattle Tracts'!$C$2:$Z$399,AH$1,FALSE)*AA340</f>
        <v>11.899974487250534</v>
      </c>
      <c r="AI340">
        <f>VLOOKUP($AC340,'2017 Seattle Tracts'!$C$2:$Z$399,AI$1,FALSE)*AA340</f>
        <v>1.3046424605887814</v>
      </c>
      <c r="AJ340">
        <f>VLOOKUP($AC340,'2017 Seattle Tracts'!$C$2:$Z$399,AJ$1,FALSE)*AA340</f>
        <v>10.810402514034017</v>
      </c>
      <c r="AK340">
        <f>VLOOKUP($AC340,'2017 Seattle Tracts'!$C$2:$Z$399,AK$1,FALSE)*AA340</f>
        <v>0.69497983935996388</v>
      </c>
      <c r="AL340">
        <f>VLOOKUP($AC340,'2017 Seattle Tracts'!$C$2:$Z$399,AL$1,FALSE)*AA340</f>
        <v>0.2452870021270461</v>
      </c>
      <c r="AM340">
        <f>VLOOKUP($AC340,'2017 Seattle Tracts'!$C$2:$Z$399,AM$1,FALSE)*AA340</f>
        <v>0</v>
      </c>
      <c r="AN340">
        <f>VLOOKUP($AC340,'2017 Seattle Tracts'!$C$2:$Z$399,AN$1,FALSE)*AA340</f>
        <v>3.3771398843578812E-2</v>
      </c>
      <c r="AO340">
        <f>VLOOKUP($AC340,'2017 Seattle Tracts'!$C$2:$Z$399,AO$1,FALSE)*AA340</f>
        <v>0</v>
      </c>
      <c r="AP340">
        <f>VLOOKUP($AC340,'2017 Seattle Tracts'!$C$2:$Z$399,AP$1,FALSE)*AA340</f>
        <v>4.4436051109972119E-2</v>
      </c>
      <c r="AQ340">
        <f>VLOOKUP($AC340,'2017 Seattle Tracts'!$C$2:$Z$399,AQ$1,FALSE)*AA340</f>
        <v>0</v>
      </c>
      <c r="AR340">
        <f>VLOOKUP($AC340,'2017 Seattle Tracts'!$C$2:$Z$399,AR$1,FALSE)*AA340</f>
        <v>0.25417421234904053</v>
      </c>
      <c r="AS340">
        <f>VLOOKUP($AC340,'2017 Seattle Tracts'!$C$2:$Z$399,AS$1,FALSE)*AA340</f>
        <v>0.25950653848223715</v>
      </c>
      <c r="AT340">
        <f>VLOOKUP($AC340,'2017 Seattle Tracts'!$C$2:$Z$399,AT$1,FALSE)*AA340</f>
        <v>0</v>
      </c>
      <c r="AU340">
        <f>VLOOKUP($AC340,'2017 Seattle Tracts'!$C$2:$Z$399,AU$1,FALSE)*AA340</f>
        <v>0</v>
      </c>
      <c r="AV340">
        <f>VLOOKUP($AC340,'2017 Seattle Tracts'!$C$2:$Z$399,AV$1,FALSE)*AA340</f>
        <v>3.3771398843578812E-2</v>
      </c>
      <c r="AW340">
        <f>VLOOKUP($AC340,'2017 Seattle Tracts'!$C$2:$Z$399,AW$1,FALSE)*AA340</f>
        <v>7.1097681775955393E-2</v>
      </c>
      <c r="AX340">
        <f>VLOOKUP($AC340,'2017 Seattle Tracts'!$C$2:$Z$399,AX$1,FALSE)*AA340</f>
        <v>0.47813190994329996</v>
      </c>
      <c r="AY340">
        <f>VLOOKUP($AC340,'2017 Seattle Tracts'!$C$2:$Z$399,AY$1,FALSE)*AA340</f>
        <v>0.2790584009706249</v>
      </c>
    </row>
    <row r="341" spans="1:51" x14ac:dyDescent="0.25">
      <c r="A341" t="s">
        <v>2917</v>
      </c>
      <c r="B341" t="s">
        <v>2918</v>
      </c>
      <c r="C341" t="s">
        <v>3179</v>
      </c>
      <c r="D341" t="s">
        <v>2674</v>
      </c>
      <c r="E341" t="s">
        <v>2675</v>
      </c>
      <c r="F341" t="s">
        <v>2676</v>
      </c>
      <c r="G341" t="s">
        <v>2920</v>
      </c>
      <c r="H341" t="s">
        <v>2921</v>
      </c>
      <c r="I341">
        <v>1085823</v>
      </c>
      <c r="J341">
        <v>25325</v>
      </c>
      <c r="K341" t="s">
        <v>3180</v>
      </c>
      <c r="L341" t="s">
        <v>3181</v>
      </c>
      <c r="M341">
        <v>1096632</v>
      </c>
      <c r="N341">
        <v>33</v>
      </c>
      <c r="O341">
        <v>25999.285</v>
      </c>
      <c r="P341" t="s">
        <v>122</v>
      </c>
      <c r="Q341">
        <v>6</v>
      </c>
      <c r="R341">
        <v>9</v>
      </c>
      <c r="S341">
        <v>94</v>
      </c>
      <c r="T341">
        <v>26503756</v>
      </c>
      <c r="U341">
        <v>35</v>
      </c>
      <c r="V341">
        <v>137</v>
      </c>
      <c r="W341">
        <v>25999.284935718741</v>
      </c>
      <c r="X341">
        <v>26503756.57148983</v>
      </c>
      <c r="Y341">
        <v>1091923.8810000001</v>
      </c>
      <c r="Z341">
        <f>VLOOKUP($AC341,'2017 Seattle Tracts'!$C$2:$Z$399,24,FALSE)</f>
        <v>1096632.0989999999</v>
      </c>
      <c r="AA341">
        <f t="shared" si="11"/>
        <v>0.9957066567682149</v>
      </c>
      <c r="AB341" t="s">
        <v>124</v>
      </c>
      <c r="AC341" t="str">
        <f t="shared" si="10"/>
        <v>Census Tract 49, King County, Washington</v>
      </c>
      <c r="AD341">
        <f>VLOOKUP($AC341,'2017 Seattle Tracts'!$C$2:$Z$399,AD$1,FALSE)*AA341</f>
        <v>7397.1047531310687</v>
      </c>
      <c r="AE341">
        <f>VLOOKUP($AC341,'2017 Seattle Tracts'!$C$2:$Z$399,AE$1,FALSE)*AA341</f>
        <v>6666.2560670631992</v>
      </c>
      <c r="AF341">
        <f>VLOOKUP($AC341,'2017 Seattle Tracts'!$C$2:$Z$399,AF$1,FALSE)*AA341</f>
        <v>730.84868606786972</v>
      </c>
      <c r="AG341">
        <f>VLOOKUP($AC341,'2017 Seattle Tracts'!$C$2:$Z$399,AG$1,FALSE)*AA341</f>
        <v>7397.1047531310687</v>
      </c>
      <c r="AH341">
        <f>VLOOKUP($AC341,'2017 Seattle Tracts'!$C$2:$Z$399,AH$1,FALSE)*AA341</f>
        <v>6666.2560670631992</v>
      </c>
      <c r="AI341">
        <f>VLOOKUP($AC341,'2017 Seattle Tracts'!$C$2:$Z$399,AI$1,FALSE)*AA341</f>
        <v>730.84868606786972</v>
      </c>
      <c r="AJ341">
        <f>VLOOKUP($AC341,'2017 Seattle Tracts'!$C$2:$Z$399,AJ$1,FALSE)*AA341</f>
        <v>6055.8878864642829</v>
      </c>
      <c r="AK341">
        <f>VLOOKUP($AC341,'2017 Seattle Tracts'!$C$2:$Z$399,AK$1,FALSE)*AA341</f>
        <v>389.32130279637204</v>
      </c>
      <c r="AL341">
        <f>VLOOKUP($AC341,'2017 Seattle Tracts'!$C$2:$Z$399,AL$1,FALSE)*AA341</f>
        <v>137.40751863401366</v>
      </c>
      <c r="AM341">
        <f>VLOOKUP($AC341,'2017 Seattle Tracts'!$C$2:$Z$399,AM$1,FALSE)*AA341</f>
        <v>0</v>
      </c>
      <c r="AN341">
        <f>VLOOKUP($AC341,'2017 Seattle Tracts'!$C$2:$Z$399,AN$1,FALSE)*AA341</f>
        <v>18.918426478596082</v>
      </c>
      <c r="AO341">
        <f>VLOOKUP($AC341,'2017 Seattle Tracts'!$C$2:$Z$399,AO$1,FALSE)*AA341</f>
        <v>0</v>
      </c>
      <c r="AP341">
        <f>VLOOKUP($AC341,'2017 Seattle Tracts'!$C$2:$Z$399,AP$1,FALSE)*AA341</f>
        <v>24.892666419205373</v>
      </c>
      <c r="AQ341">
        <f>VLOOKUP($AC341,'2017 Seattle Tracts'!$C$2:$Z$399,AQ$1,FALSE)*AA341</f>
        <v>0</v>
      </c>
      <c r="AR341">
        <f>VLOOKUP($AC341,'2017 Seattle Tracts'!$C$2:$Z$399,AR$1,FALSE)*AA341</f>
        <v>142.38605191785473</v>
      </c>
      <c r="AS341">
        <f>VLOOKUP($AC341,'2017 Seattle Tracts'!$C$2:$Z$399,AS$1,FALSE)*AA341</f>
        <v>145.37317188815936</v>
      </c>
      <c r="AT341">
        <f>VLOOKUP($AC341,'2017 Seattle Tracts'!$C$2:$Z$399,AT$1,FALSE)*AA341</f>
        <v>0</v>
      </c>
      <c r="AU341">
        <f>VLOOKUP($AC341,'2017 Seattle Tracts'!$C$2:$Z$399,AU$1,FALSE)*AA341</f>
        <v>0</v>
      </c>
      <c r="AV341">
        <f>VLOOKUP($AC341,'2017 Seattle Tracts'!$C$2:$Z$399,AV$1,FALSE)*AA341</f>
        <v>18.918426478596082</v>
      </c>
      <c r="AW341">
        <f>VLOOKUP($AC341,'2017 Seattle Tracts'!$C$2:$Z$399,AW$1,FALSE)*AA341</f>
        <v>39.828266270728598</v>
      </c>
      <c r="AX341">
        <f>VLOOKUP($AC341,'2017 Seattle Tracts'!$C$2:$Z$399,AX$1,FALSE)*AA341</f>
        <v>267.84509067064982</v>
      </c>
      <c r="AY341">
        <f>VLOOKUP($AC341,'2017 Seattle Tracts'!$C$2:$Z$399,AY$1,FALSE)*AA341</f>
        <v>156.32594511260973</v>
      </c>
    </row>
    <row r="342" spans="1:51" x14ac:dyDescent="0.25">
      <c r="A342" t="s">
        <v>2917</v>
      </c>
      <c r="B342" t="s">
        <v>2918</v>
      </c>
      <c r="C342" t="s">
        <v>3182</v>
      </c>
      <c r="D342" t="s">
        <v>2668</v>
      </c>
      <c r="E342" t="s">
        <v>2669</v>
      </c>
      <c r="F342" t="s">
        <v>2670</v>
      </c>
      <c r="G342" t="s">
        <v>2920</v>
      </c>
      <c r="H342" t="s">
        <v>2921</v>
      </c>
      <c r="I342">
        <v>757380</v>
      </c>
      <c r="J342">
        <v>0</v>
      </c>
      <c r="K342" t="s">
        <v>3183</v>
      </c>
      <c r="L342" t="s">
        <v>3184</v>
      </c>
      <c r="M342">
        <v>757383</v>
      </c>
      <c r="N342">
        <v>31</v>
      </c>
      <c r="O342">
        <v>27120.785</v>
      </c>
      <c r="P342" t="s">
        <v>122</v>
      </c>
      <c r="Q342">
        <v>6</v>
      </c>
      <c r="R342">
        <v>9</v>
      </c>
      <c r="S342">
        <v>95</v>
      </c>
      <c r="T342">
        <v>32123118</v>
      </c>
      <c r="U342">
        <v>33</v>
      </c>
      <c r="V342">
        <v>126</v>
      </c>
      <c r="W342">
        <v>27120.785937968081</v>
      </c>
      <c r="X342">
        <v>32123117.878249042</v>
      </c>
      <c r="Y342">
        <v>530.36400000000003</v>
      </c>
      <c r="Z342">
        <f>VLOOKUP($AC342,'2017 Seattle Tracts'!$C$2:$Z$399,24,FALSE)</f>
        <v>757383.10100000002</v>
      </c>
      <c r="AA342">
        <f t="shared" si="11"/>
        <v>7.0025856042964447E-4</v>
      </c>
      <c r="AB342" t="s">
        <v>121</v>
      </c>
      <c r="AC342" t="str">
        <f t="shared" si="10"/>
        <v>Census Tract 50, King County, Washington</v>
      </c>
      <c r="AD342">
        <f>VLOOKUP($AC342,'2017 Seattle Tracts'!$C$2:$Z$399,AD$1,FALSE)*AA342</f>
        <v>2.9368844024419287</v>
      </c>
      <c r="AE342">
        <f>VLOOKUP($AC342,'2017 Seattle Tracts'!$C$2:$Z$399,AE$1,FALSE)*AA342</f>
        <v>2.5916569321501144</v>
      </c>
      <c r="AF342">
        <f>VLOOKUP($AC342,'2017 Seattle Tracts'!$C$2:$Z$399,AF$1,FALSE)*AA342</f>
        <v>0.34522747029181472</v>
      </c>
      <c r="AG342">
        <f>VLOOKUP($AC342,'2017 Seattle Tracts'!$C$2:$Z$399,AG$1,FALSE)*AA342</f>
        <v>2.9368844024419287</v>
      </c>
      <c r="AH342">
        <f>VLOOKUP($AC342,'2017 Seattle Tracts'!$C$2:$Z$399,AH$1,FALSE)*AA342</f>
        <v>2.5916569321501144</v>
      </c>
      <c r="AI342">
        <f>VLOOKUP($AC342,'2017 Seattle Tracts'!$C$2:$Z$399,AI$1,FALSE)*AA342</f>
        <v>0.34522747029181472</v>
      </c>
      <c r="AJ342">
        <f>VLOOKUP($AC342,'2017 Seattle Tracts'!$C$2:$Z$399,AJ$1,FALSE)*AA342</f>
        <v>2.1820056742987721</v>
      </c>
      <c r="AK342">
        <f>VLOOKUP($AC342,'2017 Seattle Tracts'!$C$2:$Z$399,AK$1,FALSE)*AA342</f>
        <v>0.15335662473409215</v>
      </c>
      <c r="AL342">
        <f>VLOOKUP($AC342,'2017 Seattle Tracts'!$C$2:$Z$399,AL$1,FALSE)*AA342</f>
        <v>0.10013697414143916</v>
      </c>
      <c r="AM342">
        <f>VLOOKUP($AC342,'2017 Seattle Tracts'!$C$2:$Z$399,AM$1,FALSE)*AA342</f>
        <v>5.4620167713512267E-2</v>
      </c>
      <c r="AN342">
        <f>VLOOKUP($AC342,'2017 Seattle Tracts'!$C$2:$Z$399,AN$1,FALSE)*AA342</f>
        <v>1.400517120859289E-2</v>
      </c>
      <c r="AO342">
        <f>VLOOKUP($AC342,'2017 Seattle Tracts'!$C$2:$Z$399,AO$1,FALSE)*AA342</f>
        <v>2.9410859538045068E-2</v>
      </c>
      <c r="AP342">
        <f>VLOOKUP($AC342,'2017 Seattle Tracts'!$C$2:$Z$399,AP$1,FALSE)*AA342</f>
        <v>9.8036198460150232E-3</v>
      </c>
      <c r="AQ342">
        <f>VLOOKUP($AC342,'2017 Seattle Tracts'!$C$2:$Z$399,AQ$1,FALSE)*AA342</f>
        <v>0</v>
      </c>
      <c r="AR342">
        <f>VLOOKUP($AC342,'2017 Seattle Tracts'!$C$2:$Z$399,AR$1,FALSE)*AA342</f>
        <v>0.10783981830616525</v>
      </c>
      <c r="AS342">
        <f>VLOOKUP($AC342,'2017 Seattle Tracts'!$C$2:$Z$399,AS$1,FALSE)*AA342</f>
        <v>0.10783981830616525</v>
      </c>
      <c r="AT342">
        <f>VLOOKUP($AC342,'2017 Seattle Tracts'!$C$2:$Z$399,AT$1,FALSE)*AA342</f>
        <v>2.0307498252459689E-2</v>
      </c>
      <c r="AU342">
        <f>VLOOKUP($AC342,'2017 Seattle Tracts'!$C$2:$Z$399,AU$1,FALSE)*AA342</f>
        <v>0</v>
      </c>
      <c r="AV342">
        <f>VLOOKUP($AC342,'2017 Seattle Tracts'!$C$2:$Z$399,AV$1,FALSE)*AA342</f>
        <v>0</v>
      </c>
      <c r="AW342">
        <f>VLOOKUP($AC342,'2017 Seattle Tracts'!$C$2:$Z$399,AW$1,FALSE)*AA342</f>
        <v>0</v>
      </c>
      <c r="AX342">
        <f>VLOOKUP($AC342,'2017 Seattle Tracts'!$C$2:$Z$399,AX$1,FALSE)*AA342</f>
        <v>0.15755817609667</v>
      </c>
      <c r="AY342">
        <f>VLOOKUP($AC342,'2017 Seattle Tracts'!$C$2:$Z$399,AY$1,FALSE)*AA342</f>
        <v>0</v>
      </c>
    </row>
    <row r="343" spans="1:51" x14ac:dyDescent="0.25">
      <c r="A343" t="s">
        <v>2917</v>
      </c>
      <c r="B343" t="s">
        <v>2918</v>
      </c>
      <c r="C343" t="s">
        <v>3182</v>
      </c>
      <c r="D343" t="s">
        <v>2668</v>
      </c>
      <c r="E343" t="s">
        <v>2669</v>
      </c>
      <c r="F343" t="s">
        <v>2670</v>
      </c>
      <c r="G343" t="s">
        <v>2920</v>
      </c>
      <c r="H343" t="s">
        <v>2921</v>
      </c>
      <c r="I343">
        <v>757380</v>
      </c>
      <c r="J343">
        <v>0</v>
      </c>
      <c r="K343" t="s">
        <v>3183</v>
      </c>
      <c r="L343" t="s">
        <v>3184</v>
      </c>
      <c r="M343">
        <v>757383</v>
      </c>
      <c r="N343">
        <v>32</v>
      </c>
      <c r="O343">
        <v>33040.245999999999</v>
      </c>
      <c r="P343" t="s">
        <v>122</v>
      </c>
      <c r="Q343">
        <v>6</v>
      </c>
      <c r="R343">
        <v>9</v>
      </c>
      <c r="S343">
        <v>19</v>
      </c>
      <c r="T343">
        <v>42068344</v>
      </c>
      <c r="U343">
        <v>34</v>
      </c>
      <c r="V343">
        <v>133</v>
      </c>
      <c r="W343">
        <v>33040.246986119782</v>
      </c>
      <c r="X343">
        <v>42068342.613789164</v>
      </c>
      <c r="Y343">
        <v>559194.66</v>
      </c>
      <c r="Z343">
        <f>VLOOKUP($AC343,'2017 Seattle Tracts'!$C$2:$Z$399,24,FALSE)</f>
        <v>757383.10100000002</v>
      </c>
      <c r="AA343">
        <f t="shared" si="11"/>
        <v>0.73832471210629769</v>
      </c>
      <c r="AB343" t="s">
        <v>123</v>
      </c>
      <c r="AC343" t="str">
        <f t="shared" si="10"/>
        <v>Census Tract 50, King County, Washington</v>
      </c>
      <c r="AD343">
        <f>VLOOKUP($AC343,'2017 Seattle Tracts'!$C$2:$Z$399,AD$1,FALSE)*AA343</f>
        <v>3096.5338425738123</v>
      </c>
      <c r="AE343">
        <f>VLOOKUP($AC343,'2017 Seattle Tracts'!$C$2:$Z$399,AE$1,FALSE)*AA343</f>
        <v>2732.5397595054078</v>
      </c>
      <c r="AF343">
        <f>VLOOKUP($AC343,'2017 Seattle Tracts'!$C$2:$Z$399,AF$1,FALSE)*AA343</f>
        <v>363.99408306840473</v>
      </c>
      <c r="AG343">
        <f>VLOOKUP($AC343,'2017 Seattle Tracts'!$C$2:$Z$399,AG$1,FALSE)*AA343</f>
        <v>3096.5338425738123</v>
      </c>
      <c r="AH343">
        <f>VLOOKUP($AC343,'2017 Seattle Tracts'!$C$2:$Z$399,AH$1,FALSE)*AA343</f>
        <v>2732.5397595054078</v>
      </c>
      <c r="AI343">
        <f>VLOOKUP($AC343,'2017 Seattle Tracts'!$C$2:$Z$399,AI$1,FALSE)*AA343</f>
        <v>363.99408306840473</v>
      </c>
      <c r="AJ343">
        <f>VLOOKUP($AC343,'2017 Seattle Tracts'!$C$2:$Z$399,AJ$1,FALSE)*AA343</f>
        <v>2300.6198029232237</v>
      </c>
      <c r="AK343">
        <f>VLOOKUP($AC343,'2017 Seattle Tracts'!$C$2:$Z$399,AK$1,FALSE)*AA343</f>
        <v>161.69311195127921</v>
      </c>
      <c r="AL343">
        <f>VLOOKUP($AC343,'2017 Seattle Tracts'!$C$2:$Z$399,AL$1,FALSE)*AA343</f>
        <v>105.58043383120057</v>
      </c>
      <c r="AM343">
        <f>VLOOKUP($AC343,'2017 Seattle Tracts'!$C$2:$Z$399,AM$1,FALSE)*AA343</f>
        <v>57.589327544291223</v>
      </c>
      <c r="AN343">
        <f>VLOOKUP($AC343,'2017 Seattle Tracts'!$C$2:$Z$399,AN$1,FALSE)*AA343</f>
        <v>14.766494242125955</v>
      </c>
      <c r="AO343">
        <f>VLOOKUP($AC343,'2017 Seattle Tracts'!$C$2:$Z$399,AO$1,FALSE)*AA343</f>
        <v>31.009637908464502</v>
      </c>
      <c r="AP343">
        <f>VLOOKUP($AC343,'2017 Seattle Tracts'!$C$2:$Z$399,AP$1,FALSE)*AA343</f>
        <v>10.336545969488167</v>
      </c>
      <c r="AQ343">
        <f>VLOOKUP($AC343,'2017 Seattle Tracts'!$C$2:$Z$399,AQ$1,FALSE)*AA343</f>
        <v>0</v>
      </c>
      <c r="AR343">
        <f>VLOOKUP($AC343,'2017 Seattle Tracts'!$C$2:$Z$399,AR$1,FALSE)*AA343</f>
        <v>113.70200566436985</v>
      </c>
      <c r="AS343">
        <f>VLOOKUP($AC343,'2017 Seattle Tracts'!$C$2:$Z$399,AS$1,FALSE)*AA343</f>
        <v>113.70200566436985</v>
      </c>
      <c r="AT343">
        <f>VLOOKUP($AC343,'2017 Seattle Tracts'!$C$2:$Z$399,AT$1,FALSE)*AA343</f>
        <v>21.411416651082632</v>
      </c>
      <c r="AU343">
        <f>VLOOKUP($AC343,'2017 Seattle Tracts'!$C$2:$Z$399,AU$1,FALSE)*AA343</f>
        <v>0</v>
      </c>
      <c r="AV343">
        <f>VLOOKUP($AC343,'2017 Seattle Tracts'!$C$2:$Z$399,AV$1,FALSE)*AA343</f>
        <v>0</v>
      </c>
      <c r="AW343">
        <f>VLOOKUP($AC343,'2017 Seattle Tracts'!$C$2:$Z$399,AW$1,FALSE)*AA343</f>
        <v>0</v>
      </c>
      <c r="AX343">
        <f>VLOOKUP($AC343,'2017 Seattle Tracts'!$C$2:$Z$399,AX$1,FALSE)*AA343</f>
        <v>166.12306022391698</v>
      </c>
      <c r="AY343">
        <f>VLOOKUP($AC343,'2017 Seattle Tracts'!$C$2:$Z$399,AY$1,FALSE)*AA343</f>
        <v>0</v>
      </c>
    </row>
    <row r="344" spans="1:51" x14ac:dyDescent="0.25">
      <c r="A344" t="s">
        <v>2917</v>
      </c>
      <c r="B344" t="s">
        <v>2918</v>
      </c>
      <c r="C344" t="s">
        <v>3182</v>
      </c>
      <c r="D344" t="s">
        <v>2668</v>
      </c>
      <c r="E344" t="s">
        <v>2669</v>
      </c>
      <c r="F344" t="s">
        <v>2670</v>
      </c>
      <c r="G344" t="s">
        <v>2920</v>
      </c>
      <c r="H344" t="s">
        <v>2921</v>
      </c>
      <c r="I344">
        <v>757380</v>
      </c>
      <c r="J344">
        <v>0</v>
      </c>
      <c r="K344" t="s">
        <v>3183</v>
      </c>
      <c r="L344" t="s">
        <v>3184</v>
      </c>
      <c r="M344">
        <v>757383</v>
      </c>
      <c r="N344">
        <v>33</v>
      </c>
      <c r="O344">
        <v>25999.285</v>
      </c>
      <c r="P344" t="s">
        <v>122</v>
      </c>
      <c r="Q344">
        <v>6</v>
      </c>
      <c r="R344">
        <v>9</v>
      </c>
      <c r="S344">
        <v>94</v>
      </c>
      <c r="T344">
        <v>26503756</v>
      </c>
      <c r="U344">
        <v>35</v>
      </c>
      <c r="V344">
        <v>137</v>
      </c>
      <c r="W344">
        <v>25999.284935718741</v>
      </c>
      <c r="X344">
        <v>26503756.57148983</v>
      </c>
      <c r="Y344">
        <v>197658.07800000001</v>
      </c>
      <c r="Z344">
        <f>VLOOKUP($AC344,'2017 Seattle Tracts'!$C$2:$Z$399,24,FALSE)</f>
        <v>757383.10100000002</v>
      </c>
      <c r="AA344">
        <f t="shared" si="11"/>
        <v>0.26097503065360844</v>
      </c>
      <c r="AB344" t="s">
        <v>124</v>
      </c>
      <c r="AC344" t="str">
        <f t="shared" si="10"/>
        <v>Census Tract 50, King County, Washington</v>
      </c>
      <c r="AD344">
        <f>VLOOKUP($AC344,'2017 Seattle Tracts'!$C$2:$Z$399,AD$1,FALSE)*AA344</f>
        <v>1094.5292785612337</v>
      </c>
      <c r="AE344">
        <f>VLOOKUP($AC344,'2017 Seattle Tracts'!$C$2:$Z$399,AE$1,FALSE)*AA344</f>
        <v>965.86858844900485</v>
      </c>
      <c r="AF344">
        <f>VLOOKUP($AC344,'2017 Seattle Tracts'!$C$2:$Z$399,AF$1,FALSE)*AA344</f>
        <v>128.66069011222896</v>
      </c>
      <c r="AG344">
        <f>VLOOKUP($AC344,'2017 Seattle Tracts'!$C$2:$Z$399,AG$1,FALSE)*AA344</f>
        <v>1094.5292785612337</v>
      </c>
      <c r="AH344">
        <f>VLOOKUP($AC344,'2017 Seattle Tracts'!$C$2:$Z$399,AH$1,FALSE)*AA344</f>
        <v>965.86858844900485</v>
      </c>
      <c r="AI344">
        <f>VLOOKUP($AC344,'2017 Seattle Tracts'!$C$2:$Z$399,AI$1,FALSE)*AA344</f>
        <v>128.66069011222896</v>
      </c>
      <c r="AJ344">
        <f>VLOOKUP($AC344,'2017 Seattle Tracts'!$C$2:$Z$399,AJ$1,FALSE)*AA344</f>
        <v>813.19819551664386</v>
      </c>
      <c r="AK344">
        <f>VLOOKUP($AC344,'2017 Seattle Tracts'!$C$2:$Z$399,AK$1,FALSE)*AA344</f>
        <v>57.153531713140246</v>
      </c>
      <c r="AL344">
        <f>VLOOKUP($AC344,'2017 Seattle Tracts'!$C$2:$Z$399,AL$1,FALSE)*AA344</f>
        <v>37.319429383466009</v>
      </c>
      <c r="AM344">
        <f>VLOOKUP($AC344,'2017 Seattle Tracts'!$C$2:$Z$399,AM$1,FALSE)*AA344</f>
        <v>20.356052390981457</v>
      </c>
      <c r="AN344">
        <f>VLOOKUP($AC344,'2017 Seattle Tracts'!$C$2:$Z$399,AN$1,FALSE)*AA344</f>
        <v>5.2195006130721691</v>
      </c>
      <c r="AO344">
        <f>VLOOKUP($AC344,'2017 Seattle Tracts'!$C$2:$Z$399,AO$1,FALSE)*AA344</f>
        <v>10.960951287451554</v>
      </c>
      <c r="AP344">
        <f>VLOOKUP($AC344,'2017 Seattle Tracts'!$C$2:$Z$399,AP$1,FALSE)*AA344</f>
        <v>3.6536504291505181</v>
      </c>
      <c r="AQ344">
        <f>VLOOKUP($AC344,'2017 Seattle Tracts'!$C$2:$Z$399,AQ$1,FALSE)*AA344</f>
        <v>0</v>
      </c>
      <c r="AR344">
        <f>VLOOKUP($AC344,'2017 Seattle Tracts'!$C$2:$Z$399,AR$1,FALSE)*AA344</f>
        <v>40.190154720655698</v>
      </c>
      <c r="AS344">
        <f>VLOOKUP($AC344,'2017 Seattle Tracts'!$C$2:$Z$399,AS$1,FALSE)*AA344</f>
        <v>40.190154720655698</v>
      </c>
      <c r="AT344">
        <f>VLOOKUP($AC344,'2017 Seattle Tracts'!$C$2:$Z$399,AT$1,FALSE)*AA344</f>
        <v>7.5682758889546449</v>
      </c>
      <c r="AU344">
        <f>VLOOKUP($AC344,'2017 Seattle Tracts'!$C$2:$Z$399,AU$1,FALSE)*AA344</f>
        <v>0</v>
      </c>
      <c r="AV344">
        <f>VLOOKUP($AC344,'2017 Seattle Tracts'!$C$2:$Z$399,AV$1,FALSE)*AA344</f>
        <v>0</v>
      </c>
      <c r="AW344">
        <f>VLOOKUP($AC344,'2017 Seattle Tracts'!$C$2:$Z$399,AW$1,FALSE)*AA344</f>
        <v>0</v>
      </c>
      <c r="AX344">
        <f>VLOOKUP($AC344,'2017 Seattle Tracts'!$C$2:$Z$399,AX$1,FALSE)*AA344</f>
        <v>58.719381897061901</v>
      </c>
      <c r="AY344">
        <f>VLOOKUP($AC344,'2017 Seattle Tracts'!$C$2:$Z$399,AY$1,FALSE)*AA344</f>
        <v>0</v>
      </c>
    </row>
    <row r="345" spans="1:51" x14ac:dyDescent="0.25">
      <c r="A345" t="s">
        <v>2917</v>
      </c>
      <c r="B345" t="s">
        <v>2918</v>
      </c>
      <c r="C345" t="s">
        <v>3185</v>
      </c>
      <c r="D345" t="s">
        <v>2659</v>
      </c>
      <c r="E345" t="s">
        <v>2660</v>
      </c>
      <c r="F345" t="s">
        <v>2661</v>
      </c>
      <c r="G345" t="s">
        <v>2920</v>
      </c>
      <c r="H345" t="s">
        <v>2921</v>
      </c>
      <c r="I345">
        <v>543486</v>
      </c>
      <c r="J345">
        <v>0</v>
      </c>
      <c r="K345" t="s">
        <v>3186</v>
      </c>
      <c r="L345" t="s">
        <v>3187</v>
      </c>
      <c r="M345">
        <v>543483</v>
      </c>
      <c r="N345">
        <v>42</v>
      </c>
      <c r="O345">
        <v>41446.940999999999</v>
      </c>
      <c r="P345" t="s">
        <v>134</v>
      </c>
      <c r="Q345">
        <v>5</v>
      </c>
      <c r="R345">
        <v>12</v>
      </c>
      <c r="S345">
        <v>33</v>
      </c>
      <c r="T345">
        <v>49348388</v>
      </c>
      <c r="U345">
        <v>44</v>
      </c>
      <c r="V345">
        <v>139</v>
      </c>
      <c r="W345">
        <v>41446.941321259314</v>
      </c>
      <c r="X345">
        <v>49348387.058142804</v>
      </c>
      <c r="Y345">
        <v>543482.87100000004</v>
      </c>
      <c r="Z345">
        <f>VLOOKUP($AC345,'2017 Seattle Tracts'!$C$2:$Z$399,24,FALSE)</f>
        <v>543482.87100000004</v>
      </c>
      <c r="AA345">
        <f t="shared" si="11"/>
        <v>1</v>
      </c>
      <c r="AB345" t="s">
        <v>133</v>
      </c>
      <c r="AC345" t="str">
        <f t="shared" si="10"/>
        <v>Census Tract 53.01, King County, Washington</v>
      </c>
      <c r="AD345">
        <f>VLOOKUP($AC345,'2017 Seattle Tracts'!$C$2:$Z$399,AD$1,FALSE)*AA345</f>
        <v>7792</v>
      </c>
      <c r="AE345">
        <f>VLOOKUP($AC345,'2017 Seattle Tracts'!$C$2:$Z$399,AE$1,FALSE)*AA345</f>
        <v>5115</v>
      </c>
      <c r="AF345">
        <f>VLOOKUP($AC345,'2017 Seattle Tracts'!$C$2:$Z$399,AF$1,FALSE)*AA345</f>
        <v>2677</v>
      </c>
      <c r="AG345">
        <f>VLOOKUP($AC345,'2017 Seattle Tracts'!$C$2:$Z$399,AG$1,FALSE)*AA345</f>
        <v>7792</v>
      </c>
      <c r="AH345">
        <f>VLOOKUP($AC345,'2017 Seattle Tracts'!$C$2:$Z$399,AH$1,FALSE)*AA345</f>
        <v>5115</v>
      </c>
      <c r="AI345">
        <f>VLOOKUP($AC345,'2017 Seattle Tracts'!$C$2:$Z$399,AI$1,FALSE)*AA345</f>
        <v>2677</v>
      </c>
      <c r="AJ345">
        <f>VLOOKUP($AC345,'2017 Seattle Tracts'!$C$2:$Z$399,AJ$1,FALSE)*AA345</f>
        <v>3344</v>
      </c>
      <c r="AK345">
        <f>VLOOKUP($AC345,'2017 Seattle Tracts'!$C$2:$Z$399,AK$1,FALSE)*AA345</f>
        <v>382</v>
      </c>
      <c r="AL345">
        <f>VLOOKUP($AC345,'2017 Seattle Tracts'!$C$2:$Z$399,AL$1,FALSE)*AA345</f>
        <v>132</v>
      </c>
      <c r="AM345">
        <f>VLOOKUP($AC345,'2017 Seattle Tracts'!$C$2:$Z$399,AM$1,FALSE)*AA345</f>
        <v>23</v>
      </c>
      <c r="AN345">
        <f>VLOOKUP($AC345,'2017 Seattle Tracts'!$C$2:$Z$399,AN$1,FALSE)*AA345</f>
        <v>131</v>
      </c>
      <c r="AO345">
        <f>VLOOKUP($AC345,'2017 Seattle Tracts'!$C$2:$Z$399,AO$1,FALSE)*AA345</f>
        <v>69</v>
      </c>
      <c r="AP345">
        <f>VLOOKUP($AC345,'2017 Seattle Tracts'!$C$2:$Z$399,AP$1,FALSE)*AA345</f>
        <v>184</v>
      </c>
      <c r="AQ345">
        <f>VLOOKUP($AC345,'2017 Seattle Tracts'!$C$2:$Z$399,AQ$1,FALSE)*AA345</f>
        <v>0</v>
      </c>
      <c r="AR345">
        <f>VLOOKUP($AC345,'2017 Seattle Tracts'!$C$2:$Z$399,AR$1,FALSE)*AA345</f>
        <v>531</v>
      </c>
      <c r="AS345">
        <f>VLOOKUP($AC345,'2017 Seattle Tracts'!$C$2:$Z$399,AS$1,FALSE)*AA345</f>
        <v>2033</v>
      </c>
      <c r="AT345">
        <f>VLOOKUP($AC345,'2017 Seattle Tracts'!$C$2:$Z$399,AT$1,FALSE)*AA345</f>
        <v>16</v>
      </c>
      <c r="AU345">
        <f>VLOOKUP($AC345,'2017 Seattle Tracts'!$C$2:$Z$399,AU$1,FALSE)*AA345</f>
        <v>14</v>
      </c>
      <c r="AV345">
        <f>VLOOKUP($AC345,'2017 Seattle Tracts'!$C$2:$Z$399,AV$1,FALSE)*AA345</f>
        <v>80</v>
      </c>
      <c r="AW345">
        <f>VLOOKUP($AC345,'2017 Seattle Tracts'!$C$2:$Z$399,AW$1,FALSE)*AA345</f>
        <v>56</v>
      </c>
      <c r="AX345">
        <f>VLOOKUP($AC345,'2017 Seattle Tracts'!$C$2:$Z$399,AX$1,FALSE)*AA345</f>
        <v>697</v>
      </c>
      <c r="AY345">
        <f>VLOOKUP($AC345,'2017 Seattle Tracts'!$C$2:$Z$399,AY$1,FALSE)*AA345</f>
        <v>100</v>
      </c>
    </row>
    <row r="346" spans="1:51" x14ac:dyDescent="0.25">
      <c r="A346" t="s">
        <v>2917</v>
      </c>
      <c r="B346" t="s">
        <v>2918</v>
      </c>
      <c r="C346" t="s">
        <v>3188</v>
      </c>
      <c r="D346" t="s">
        <v>2656</v>
      </c>
      <c r="E346" t="s">
        <v>2657</v>
      </c>
      <c r="F346" t="s">
        <v>2658</v>
      </c>
      <c r="G346" t="s">
        <v>2920</v>
      </c>
      <c r="H346" t="s">
        <v>2921</v>
      </c>
      <c r="I346">
        <v>2507220</v>
      </c>
      <c r="J346">
        <v>749224</v>
      </c>
      <c r="K346" t="s">
        <v>3189</v>
      </c>
      <c r="L346" t="s">
        <v>3190</v>
      </c>
      <c r="M346">
        <v>2405162</v>
      </c>
      <c r="N346">
        <v>6</v>
      </c>
      <c r="O346">
        <v>408.58600000000001</v>
      </c>
      <c r="Q346">
        <v>0</v>
      </c>
      <c r="R346">
        <v>0</v>
      </c>
      <c r="S346">
        <v>0</v>
      </c>
      <c r="T346">
        <v>11371.064</v>
      </c>
      <c r="U346">
        <v>8</v>
      </c>
      <c r="V346">
        <v>0</v>
      </c>
      <c r="W346">
        <v>408.58655743365171</v>
      </c>
      <c r="X346">
        <v>11371.06663516377</v>
      </c>
      <c r="Y346">
        <v>502.89299999999997</v>
      </c>
      <c r="Z346">
        <f>VLOOKUP($AC346,'2017 Seattle Tracts'!$C$2:$Z$399,24,FALSE)</f>
        <v>2405162.0649999999</v>
      </c>
      <c r="AA346">
        <f t="shared" si="11"/>
        <v>2.0908902868464291E-4</v>
      </c>
      <c r="AB346" t="s">
        <v>115</v>
      </c>
      <c r="AC346" t="str">
        <f t="shared" si="10"/>
        <v>Census Tract 53.02, King County, Washington</v>
      </c>
      <c r="AD346">
        <f>VLOOKUP($AC346,'2017 Seattle Tracts'!$C$2:$Z$399,AD$1,FALSE)*AA346</f>
        <v>0.98627294830546064</v>
      </c>
      <c r="AE346">
        <f>VLOOKUP($AC346,'2017 Seattle Tracts'!$C$2:$Z$399,AE$1,FALSE)*AA346</f>
        <v>0.71382994392937094</v>
      </c>
      <c r="AF346">
        <f>VLOOKUP($AC346,'2017 Seattle Tracts'!$C$2:$Z$399,AF$1,FALSE)*AA346</f>
        <v>0.2724430043760897</v>
      </c>
      <c r="AG346">
        <f>VLOOKUP($AC346,'2017 Seattle Tracts'!$C$2:$Z$399,AG$1,FALSE)*AA346</f>
        <v>0.98627294830546064</v>
      </c>
      <c r="AH346">
        <f>VLOOKUP($AC346,'2017 Seattle Tracts'!$C$2:$Z$399,AH$1,FALSE)*AA346</f>
        <v>0.71382994392937094</v>
      </c>
      <c r="AI346">
        <f>VLOOKUP($AC346,'2017 Seattle Tracts'!$C$2:$Z$399,AI$1,FALSE)*AA346</f>
        <v>0.2724430043760897</v>
      </c>
      <c r="AJ346">
        <f>VLOOKUP($AC346,'2017 Seattle Tracts'!$C$2:$Z$399,AJ$1,FALSE)*AA346</f>
        <v>0.40333273633267619</v>
      </c>
      <c r="AK346">
        <f>VLOOKUP($AC346,'2017 Seattle Tracts'!$C$2:$Z$399,AK$1,FALSE)*AA346</f>
        <v>3.5545134876389294E-2</v>
      </c>
      <c r="AL346">
        <f>VLOOKUP($AC346,'2017 Seattle Tracts'!$C$2:$Z$399,AL$1,FALSE)*AA346</f>
        <v>1.881801258161786E-2</v>
      </c>
      <c r="AM346">
        <f>VLOOKUP($AC346,'2017 Seattle Tracts'!$C$2:$Z$399,AM$1,FALSE)*AA346</f>
        <v>1.4008964921871075E-2</v>
      </c>
      <c r="AN346">
        <f>VLOOKUP($AC346,'2017 Seattle Tracts'!$C$2:$Z$399,AN$1,FALSE)*AA346</f>
        <v>1.3799875893186432E-2</v>
      </c>
      <c r="AO346">
        <f>VLOOKUP($AC346,'2017 Seattle Tracts'!$C$2:$Z$399,AO$1,FALSE)*AA346</f>
        <v>7.1090269752778585E-3</v>
      </c>
      <c r="AP346">
        <f>VLOOKUP($AC346,'2017 Seattle Tracts'!$C$2:$Z$399,AP$1,FALSE)*AA346</f>
        <v>3.3454244589542865E-3</v>
      </c>
      <c r="AQ346">
        <f>VLOOKUP($AC346,'2017 Seattle Tracts'!$C$2:$Z$399,AQ$1,FALSE)*AA346</f>
        <v>0</v>
      </c>
      <c r="AR346">
        <f>VLOOKUP($AC346,'2017 Seattle Tracts'!$C$2:$Z$399,AR$1,FALSE)*AA346</f>
        <v>0.14615323105056538</v>
      </c>
      <c r="AS346">
        <f>VLOOKUP($AC346,'2017 Seattle Tracts'!$C$2:$Z$399,AS$1,FALSE)*AA346</f>
        <v>0.20386180296752685</v>
      </c>
      <c r="AT346">
        <f>VLOOKUP($AC346,'2017 Seattle Tracts'!$C$2:$Z$399,AT$1,FALSE)*AA346</f>
        <v>2.7181573729003579E-3</v>
      </c>
      <c r="AU346">
        <f>VLOOKUP($AC346,'2017 Seattle Tracts'!$C$2:$Z$399,AU$1,FALSE)*AA346</f>
        <v>2.9272464015850006E-3</v>
      </c>
      <c r="AV346">
        <f>VLOOKUP($AC346,'2017 Seattle Tracts'!$C$2:$Z$399,AV$1,FALSE)*AA346</f>
        <v>2.3208882183995364E-2</v>
      </c>
      <c r="AW346">
        <f>VLOOKUP($AC346,'2017 Seattle Tracts'!$C$2:$Z$399,AW$1,FALSE)*AA346</f>
        <v>1.2545341721078573E-3</v>
      </c>
      <c r="AX346">
        <f>VLOOKUP($AC346,'2017 Seattle Tracts'!$C$2:$Z$399,AX$1,FALSE)*AA346</f>
        <v>0.10245362405547502</v>
      </c>
      <c r="AY346">
        <f>VLOOKUP($AC346,'2017 Seattle Tracts'!$C$2:$Z$399,AY$1,FALSE)*AA346</f>
        <v>7.7362940613317872E-3</v>
      </c>
    </row>
    <row r="347" spans="1:51" x14ac:dyDescent="0.25">
      <c r="A347" t="s">
        <v>2917</v>
      </c>
      <c r="B347" t="s">
        <v>2918</v>
      </c>
      <c r="C347" t="s">
        <v>3188</v>
      </c>
      <c r="D347" t="s">
        <v>2656</v>
      </c>
      <c r="E347" t="s">
        <v>2657</v>
      </c>
      <c r="F347" t="s">
        <v>2658</v>
      </c>
      <c r="G347" t="s">
        <v>2920</v>
      </c>
      <c r="H347" t="s">
        <v>2921</v>
      </c>
      <c r="I347">
        <v>2507220</v>
      </c>
      <c r="J347">
        <v>749224</v>
      </c>
      <c r="K347" t="s">
        <v>3189</v>
      </c>
      <c r="L347" t="s">
        <v>3190</v>
      </c>
      <c r="M347">
        <v>2405162</v>
      </c>
      <c r="N347">
        <v>7</v>
      </c>
      <c r="O347">
        <v>474.93099999999998</v>
      </c>
      <c r="Q347">
        <v>0</v>
      </c>
      <c r="R347">
        <v>0</v>
      </c>
      <c r="S347">
        <v>0</v>
      </c>
      <c r="T347">
        <v>13157.798000000001</v>
      </c>
      <c r="U347">
        <v>9</v>
      </c>
      <c r="V347">
        <v>0</v>
      </c>
      <c r="W347">
        <v>474.93119023150228</v>
      </c>
      <c r="X347">
        <v>13157.79965980863</v>
      </c>
      <c r="Y347">
        <v>1019.134</v>
      </c>
      <c r="Z347">
        <f>VLOOKUP($AC347,'2017 Seattle Tracts'!$C$2:$Z$399,24,FALSE)</f>
        <v>2405162.0649999999</v>
      </c>
      <c r="AA347">
        <f t="shared" si="11"/>
        <v>4.2372778734143222E-4</v>
      </c>
      <c r="AB347" t="s">
        <v>115</v>
      </c>
      <c r="AC347" t="str">
        <f t="shared" si="10"/>
        <v>Census Tract 53.02, King County, Washington</v>
      </c>
      <c r="AD347">
        <f>VLOOKUP($AC347,'2017 Seattle Tracts'!$C$2:$Z$399,AD$1,FALSE)*AA347</f>
        <v>1.9987239728895358</v>
      </c>
      <c r="AE347">
        <f>VLOOKUP($AC347,'2017 Seattle Tracts'!$C$2:$Z$399,AE$1,FALSE)*AA347</f>
        <v>1.4466066659836496</v>
      </c>
      <c r="AF347">
        <f>VLOOKUP($AC347,'2017 Seattle Tracts'!$C$2:$Z$399,AF$1,FALSE)*AA347</f>
        <v>0.55211730690588623</v>
      </c>
      <c r="AG347">
        <f>VLOOKUP($AC347,'2017 Seattle Tracts'!$C$2:$Z$399,AG$1,FALSE)*AA347</f>
        <v>1.9987239728895358</v>
      </c>
      <c r="AH347">
        <f>VLOOKUP($AC347,'2017 Seattle Tracts'!$C$2:$Z$399,AH$1,FALSE)*AA347</f>
        <v>1.4466066659836496</v>
      </c>
      <c r="AI347">
        <f>VLOOKUP($AC347,'2017 Seattle Tracts'!$C$2:$Z$399,AI$1,FALSE)*AA347</f>
        <v>0.55211730690588623</v>
      </c>
      <c r="AJ347">
        <f>VLOOKUP($AC347,'2017 Seattle Tracts'!$C$2:$Z$399,AJ$1,FALSE)*AA347</f>
        <v>0.81737090178162275</v>
      </c>
      <c r="AK347">
        <f>VLOOKUP($AC347,'2017 Seattle Tracts'!$C$2:$Z$399,AK$1,FALSE)*AA347</f>
        <v>7.2033723848043477E-2</v>
      </c>
      <c r="AL347">
        <f>VLOOKUP($AC347,'2017 Seattle Tracts'!$C$2:$Z$399,AL$1,FALSE)*AA347</f>
        <v>3.8135500860728901E-2</v>
      </c>
      <c r="AM347">
        <f>VLOOKUP($AC347,'2017 Seattle Tracts'!$C$2:$Z$399,AM$1,FALSE)*AA347</f>
        <v>2.838976175187596E-2</v>
      </c>
      <c r="AN347">
        <f>VLOOKUP($AC347,'2017 Seattle Tracts'!$C$2:$Z$399,AN$1,FALSE)*AA347</f>
        <v>2.7966033964534526E-2</v>
      </c>
      <c r="AO347">
        <f>VLOOKUP($AC347,'2017 Seattle Tracts'!$C$2:$Z$399,AO$1,FALSE)*AA347</f>
        <v>1.4406744769608695E-2</v>
      </c>
      <c r="AP347">
        <f>VLOOKUP($AC347,'2017 Seattle Tracts'!$C$2:$Z$399,AP$1,FALSE)*AA347</f>
        <v>6.7796445974629155E-3</v>
      </c>
      <c r="AQ347">
        <f>VLOOKUP($AC347,'2017 Seattle Tracts'!$C$2:$Z$399,AQ$1,FALSE)*AA347</f>
        <v>0</v>
      </c>
      <c r="AR347">
        <f>VLOOKUP($AC347,'2017 Seattle Tracts'!$C$2:$Z$399,AR$1,FALSE)*AA347</f>
        <v>0.2961857233516611</v>
      </c>
      <c r="AS347">
        <f>VLOOKUP($AC347,'2017 Seattle Tracts'!$C$2:$Z$399,AS$1,FALSE)*AA347</f>
        <v>0.41313459265789643</v>
      </c>
      <c r="AT347">
        <f>VLOOKUP($AC347,'2017 Seattle Tracts'!$C$2:$Z$399,AT$1,FALSE)*AA347</f>
        <v>5.5084612354386192E-3</v>
      </c>
      <c r="AU347">
        <f>VLOOKUP($AC347,'2017 Seattle Tracts'!$C$2:$Z$399,AU$1,FALSE)*AA347</f>
        <v>5.9321890227800513E-3</v>
      </c>
      <c r="AV347">
        <f>VLOOKUP($AC347,'2017 Seattle Tracts'!$C$2:$Z$399,AV$1,FALSE)*AA347</f>
        <v>4.7033784394898977E-2</v>
      </c>
      <c r="AW347">
        <f>VLOOKUP($AC347,'2017 Seattle Tracts'!$C$2:$Z$399,AW$1,FALSE)*AA347</f>
        <v>2.5423667240485935E-3</v>
      </c>
      <c r="AX347">
        <f>VLOOKUP($AC347,'2017 Seattle Tracts'!$C$2:$Z$399,AX$1,FALSE)*AA347</f>
        <v>0.20762661579730179</v>
      </c>
      <c r="AY347">
        <f>VLOOKUP($AC347,'2017 Seattle Tracts'!$C$2:$Z$399,AY$1,FALSE)*AA347</f>
        <v>1.5677928131632993E-2</v>
      </c>
    </row>
    <row r="348" spans="1:51" x14ac:dyDescent="0.25">
      <c r="A348" t="s">
        <v>2917</v>
      </c>
      <c r="B348" t="s">
        <v>2918</v>
      </c>
      <c r="C348" t="s">
        <v>3188</v>
      </c>
      <c r="D348" t="s">
        <v>2656</v>
      </c>
      <c r="E348" t="s">
        <v>2657</v>
      </c>
      <c r="F348" t="s">
        <v>2658</v>
      </c>
      <c r="G348" t="s">
        <v>2920</v>
      </c>
      <c r="H348" t="s">
        <v>2921</v>
      </c>
      <c r="I348">
        <v>2507220</v>
      </c>
      <c r="J348">
        <v>749224</v>
      </c>
      <c r="K348" t="s">
        <v>3189</v>
      </c>
      <c r="L348" t="s">
        <v>3190</v>
      </c>
      <c r="M348">
        <v>2405162</v>
      </c>
      <c r="N348">
        <v>9</v>
      </c>
      <c r="O348">
        <v>184.87</v>
      </c>
      <c r="Q348">
        <v>0</v>
      </c>
      <c r="R348">
        <v>0</v>
      </c>
      <c r="S348">
        <v>0</v>
      </c>
      <c r="T348">
        <v>1773.268</v>
      </c>
      <c r="U348">
        <v>11</v>
      </c>
      <c r="V348">
        <v>0</v>
      </c>
      <c r="W348">
        <v>184.86951587798481</v>
      </c>
      <c r="X348">
        <v>1773.267977738122</v>
      </c>
      <c r="Y348">
        <v>158.81800000000001</v>
      </c>
      <c r="Z348">
        <f>VLOOKUP($AC348,'2017 Seattle Tracts'!$C$2:$Z$399,24,FALSE)</f>
        <v>2405162.0649999999</v>
      </c>
      <c r="AA348">
        <f t="shared" si="11"/>
        <v>6.6032140748902097E-5</v>
      </c>
      <c r="AB348" t="s">
        <v>115</v>
      </c>
      <c r="AC348" t="str">
        <f t="shared" si="10"/>
        <v>Census Tract 53.02, King County, Washington</v>
      </c>
      <c r="AD348">
        <f>VLOOKUP($AC348,'2017 Seattle Tracts'!$C$2:$Z$399,AD$1,FALSE)*AA348</f>
        <v>0.31147360791257117</v>
      </c>
      <c r="AE348">
        <f>VLOOKUP($AC348,'2017 Seattle Tracts'!$C$2:$Z$399,AE$1,FALSE)*AA348</f>
        <v>0.22543372851675175</v>
      </c>
      <c r="AF348">
        <f>VLOOKUP($AC348,'2017 Seattle Tracts'!$C$2:$Z$399,AF$1,FALSE)*AA348</f>
        <v>8.6039879395819432E-2</v>
      </c>
      <c r="AG348">
        <f>VLOOKUP($AC348,'2017 Seattle Tracts'!$C$2:$Z$399,AG$1,FALSE)*AA348</f>
        <v>0.31147360791257117</v>
      </c>
      <c r="AH348">
        <f>VLOOKUP($AC348,'2017 Seattle Tracts'!$C$2:$Z$399,AH$1,FALSE)*AA348</f>
        <v>0.22543372851675175</v>
      </c>
      <c r="AI348">
        <f>VLOOKUP($AC348,'2017 Seattle Tracts'!$C$2:$Z$399,AI$1,FALSE)*AA348</f>
        <v>8.6039879395819432E-2</v>
      </c>
      <c r="AJ348">
        <f>VLOOKUP($AC348,'2017 Seattle Tracts'!$C$2:$Z$399,AJ$1,FALSE)*AA348</f>
        <v>0.12737599950463213</v>
      </c>
      <c r="AK348">
        <f>VLOOKUP($AC348,'2017 Seattle Tracts'!$C$2:$Z$399,AK$1,FALSE)*AA348</f>
        <v>1.1225463927313356E-2</v>
      </c>
      <c r="AL348">
        <f>VLOOKUP($AC348,'2017 Seattle Tracts'!$C$2:$Z$399,AL$1,FALSE)*AA348</f>
        <v>5.942892667401189E-3</v>
      </c>
      <c r="AM348">
        <f>VLOOKUP($AC348,'2017 Seattle Tracts'!$C$2:$Z$399,AM$1,FALSE)*AA348</f>
        <v>4.4241534301764406E-3</v>
      </c>
      <c r="AN348">
        <f>VLOOKUP($AC348,'2017 Seattle Tracts'!$C$2:$Z$399,AN$1,FALSE)*AA348</f>
        <v>4.3581212894275387E-3</v>
      </c>
      <c r="AO348">
        <f>VLOOKUP($AC348,'2017 Seattle Tracts'!$C$2:$Z$399,AO$1,FALSE)*AA348</f>
        <v>2.2450927854626712E-3</v>
      </c>
      <c r="AP348">
        <f>VLOOKUP($AC348,'2017 Seattle Tracts'!$C$2:$Z$399,AP$1,FALSE)*AA348</f>
        <v>1.0565142519824336E-3</v>
      </c>
      <c r="AQ348">
        <f>VLOOKUP($AC348,'2017 Seattle Tracts'!$C$2:$Z$399,AQ$1,FALSE)*AA348</f>
        <v>0</v>
      </c>
      <c r="AR348">
        <f>VLOOKUP($AC348,'2017 Seattle Tracts'!$C$2:$Z$399,AR$1,FALSE)*AA348</f>
        <v>4.6156466383482565E-2</v>
      </c>
      <c r="AS348">
        <f>VLOOKUP($AC348,'2017 Seattle Tracts'!$C$2:$Z$399,AS$1,FALSE)*AA348</f>
        <v>6.4381337230179539E-2</v>
      </c>
      <c r="AT348">
        <f>VLOOKUP($AC348,'2017 Seattle Tracts'!$C$2:$Z$399,AT$1,FALSE)*AA348</f>
        <v>8.5841782973572727E-4</v>
      </c>
      <c r="AU348">
        <f>VLOOKUP($AC348,'2017 Seattle Tracts'!$C$2:$Z$399,AU$1,FALSE)*AA348</f>
        <v>9.2444997048462933E-4</v>
      </c>
      <c r="AV348">
        <f>VLOOKUP($AC348,'2017 Seattle Tracts'!$C$2:$Z$399,AV$1,FALSE)*AA348</f>
        <v>7.3295676231281328E-3</v>
      </c>
      <c r="AW348">
        <f>VLOOKUP($AC348,'2017 Seattle Tracts'!$C$2:$Z$399,AW$1,FALSE)*AA348</f>
        <v>3.9619284449341255E-4</v>
      </c>
      <c r="AX348">
        <f>VLOOKUP($AC348,'2017 Seattle Tracts'!$C$2:$Z$399,AX$1,FALSE)*AA348</f>
        <v>3.2355748966962028E-2</v>
      </c>
      <c r="AY348">
        <f>VLOOKUP($AC348,'2017 Seattle Tracts'!$C$2:$Z$399,AY$1,FALSE)*AA348</f>
        <v>2.4431892077093776E-3</v>
      </c>
    </row>
    <row r="349" spans="1:51" x14ac:dyDescent="0.25">
      <c r="A349" t="s">
        <v>2917</v>
      </c>
      <c r="B349" t="s">
        <v>2918</v>
      </c>
      <c r="C349" t="s">
        <v>3188</v>
      </c>
      <c r="D349" t="s">
        <v>2656</v>
      </c>
      <c r="E349" t="s">
        <v>2657</v>
      </c>
      <c r="F349" t="s">
        <v>2658</v>
      </c>
      <c r="G349" t="s">
        <v>2920</v>
      </c>
      <c r="H349" t="s">
        <v>2921</v>
      </c>
      <c r="I349">
        <v>2507220</v>
      </c>
      <c r="J349">
        <v>749224</v>
      </c>
      <c r="K349" t="s">
        <v>3189</v>
      </c>
      <c r="L349" t="s">
        <v>3190</v>
      </c>
      <c r="M349">
        <v>2405162</v>
      </c>
      <c r="N349">
        <v>10</v>
      </c>
      <c r="O349">
        <v>1688.76</v>
      </c>
      <c r="Q349">
        <v>0</v>
      </c>
      <c r="R349">
        <v>0</v>
      </c>
      <c r="S349">
        <v>0</v>
      </c>
      <c r="T349">
        <v>119022.55499999999</v>
      </c>
      <c r="U349">
        <v>12</v>
      </c>
      <c r="V349">
        <v>0</v>
      </c>
      <c r="W349">
        <v>1688.759499539053</v>
      </c>
      <c r="X349">
        <v>119022.5467645348</v>
      </c>
      <c r="Y349">
        <v>10879.933999999999</v>
      </c>
      <c r="Z349">
        <f>VLOOKUP($AC349,'2017 Seattle Tracts'!$C$2:$Z$399,24,FALSE)</f>
        <v>2405162.0649999999</v>
      </c>
      <c r="AA349">
        <f t="shared" si="11"/>
        <v>4.5235762522306371E-3</v>
      </c>
      <c r="AB349" t="s">
        <v>115</v>
      </c>
      <c r="AC349" t="str">
        <f t="shared" si="10"/>
        <v>Census Tract 53.02, King County, Washington</v>
      </c>
      <c r="AD349">
        <f>VLOOKUP($AC349,'2017 Seattle Tracts'!$C$2:$Z$399,AD$1,FALSE)*AA349</f>
        <v>21.337709181771913</v>
      </c>
      <c r="AE349">
        <f>VLOOKUP($AC349,'2017 Seattle Tracts'!$C$2:$Z$399,AE$1,FALSE)*AA349</f>
        <v>15.443489325115396</v>
      </c>
      <c r="AF349">
        <f>VLOOKUP($AC349,'2017 Seattle Tracts'!$C$2:$Z$399,AF$1,FALSE)*AA349</f>
        <v>5.8942198566565205</v>
      </c>
      <c r="AG349">
        <f>VLOOKUP($AC349,'2017 Seattle Tracts'!$C$2:$Z$399,AG$1,FALSE)*AA349</f>
        <v>21.337709181771913</v>
      </c>
      <c r="AH349">
        <f>VLOOKUP($AC349,'2017 Seattle Tracts'!$C$2:$Z$399,AH$1,FALSE)*AA349</f>
        <v>15.443489325115396</v>
      </c>
      <c r="AI349">
        <f>VLOOKUP($AC349,'2017 Seattle Tracts'!$C$2:$Z$399,AI$1,FALSE)*AA349</f>
        <v>5.8942198566565205</v>
      </c>
      <c r="AJ349">
        <f>VLOOKUP($AC349,'2017 Seattle Tracts'!$C$2:$Z$399,AJ$1,FALSE)*AA349</f>
        <v>8.7259785905528986</v>
      </c>
      <c r="AK349">
        <f>VLOOKUP($AC349,'2017 Seattle Tracts'!$C$2:$Z$399,AK$1,FALSE)*AA349</f>
        <v>0.76900796287920825</v>
      </c>
      <c r="AL349">
        <f>VLOOKUP($AC349,'2017 Seattle Tracts'!$C$2:$Z$399,AL$1,FALSE)*AA349</f>
        <v>0.40712186270075734</v>
      </c>
      <c r="AM349">
        <f>VLOOKUP($AC349,'2017 Seattle Tracts'!$C$2:$Z$399,AM$1,FALSE)*AA349</f>
        <v>0.30307960889945268</v>
      </c>
      <c r="AN349">
        <f>VLOOKUP($AC349,'2017 Seattle Tracts'!$C$2:$Z$399,AN$1,FALSE)*AA349</f>
        <v>0.29855603264722202</v>
      </c>
      <c r="AO349">
        <f>VLOOKUP($AC349,'2017 Seattle Tracts'!$C$2:$Z$399,AO$1,FALSE)*AA349</f>
        <v>0.15380159257584167</v>
      </c>
      <c r="AP349">
        <f>VLOOKUP($AC349,'2017 Seattle Tracts'!$C$2:$Z$399,AP$1,FALSE)*AA349</f>
        <v>7.2377220035690193E-2</v>
      </c>
      <c r="AQ349">
        <f>VLOOKUP($AC349,'2017 Seattle Tracts'!$C$2:$Z$399,AQ$1,FALSE)*AA349</f>
        <v>0</v>
      </c>
      <c r="AR349">
        <f>VLOOKUP($AC349,'2017 Seattle Tracts'!$C$2:$Z$399,AR$1,FALSE)*AA349</f>
        <v>3.1619798003092154</v>
      </c>
      <c r="AS349">
        <f>VLOOKUP($AC349,'2017 Seattle Tracts'!$C$2:$Z$399,AS$1,FALSE)*AA349</f>
        <v>4.4104868459248712</v>
      </c>
      <c r="AT349">
        <f>VLOOKUP($AC349,'2017 Seattle Tracts'!$C$2:$Z$399,AT$1,FALSE)*AA349</f>
        <v>5.8806491278998285E-2</v>
      </c>
      <c r="AU349">
        <f>VLOOKUP($AC349,'2017 Seattle Tracts'!$C$2:$Z$399,AU$1,FALSE)*AA349</f>
        <v>6.3330067531228912E-2</v>
      </c>
      <c r="AV349">
        <f>VLOOKUP($AC349,'2017 Seattle Tracts'!$C$2:$Z$399,AV$1,FALSE)*AA349</f>
        <v>0.50211696399760075</v>
      </c>
      <c r="AW349">
        <f>VLOOKUP($AC349,'2017 Seattle Tracts'!$C$2:$Z$399,AW$1,FALSE)*AA349</f>
        <v>2.7141457513383822E-2</v>
      </c>
      <c r="AX349">
        <f>VLOOKUP($AC349,'2017 Seattle Tracts'!$C$2:$Z$399,AX$1,FALSE)*AA349</f>
        <v>2.2165523635930122</v>
      </c>
      <c r="AY349">
        <f>VLOOKUP($AC349,'2017 Seattle Tracts'!$C$2:$Z$399,AY$1,FALSE)*AA349</f>
        <v>0.16737232133253357</v>
      </c>
    </row>
    <row r="350" spans="1:51" x14ac:dyDescent="0.25">
      <c r="A350" t="s">
        <v>2917</v>
      </c>
      <c r="B350" t="s">
        <v>2918</v>
      </c>
      <c r="C350" t="s">
        <v>3188</v>
      </c>
      <c r="D350" t="s">
        <v>2656</v>
      </c>
      <c r="E350" t="s">
        <v>2657</v>
      </c>
      <c r="F350" t="s">
        <v>2658</v>
      </c>
      <c r="G350" t="s">
        <v>2920</v>
      </c>
      <c r="H350" t="s">
        <v>2921</v>
      </c>
      <c r="I350">
        <v>2507220</v>
      </c>
      <c r="J350">
        <v>749224</v>
      </c>
      <c r="K350" t="s">
        <v>3189</v>
      </c>
      <c r="L350" t="s">
        <v>3190</v>
      </c>
      <c r="M350">
        <v>2405162</v>
      </c>
      <c r="N350">
        <v>13</v>
      </c>
      <c r="O350">
        <v>434.34500000000003</v>
      </c>
      <c r="Q350">
        <v>0</v>
      </c>
      <c r="R350">
        <v>0</v>
      </c>
      <c r="S350">
        <v>0</v>
      </c>
      <c r="T350">
        <v>6258.4769999999999</v>
      </c>
      <c r="U350">
        <v>15</v>
      </c>
      <c r="V350">
        <v>0</v>
      </c>
      <c r="W350">
        <v>434.34476842877319</v>
      </c>
      <c r="X350">
        <v>6258.4732060065699</v>
      </c>
      <c r="Y350">
        <v>581.46299999999997</v>
      </c>
      <c r="Z350">
        <f>VLOOKUP($AC350,'2017 Seattle Tracts'!$C$2:$Z$399,24,FALSE)</f>
        <v>2405162.0649999999</v>
      </c>
      <c r="AA350">
        <f t="shared" si="11"/>
        <v>2.4175626601694302E-4</v>
      </c>
      <c r="AB350" t="s">
        <v>115</v>
      </c>
      <c r="AC350" t="str">
        <f t="shared" si="10"/>
        <v>Census Tract 53.02, King County, Washington</v>
      </c>
      <c r="AD350">
        <f>VLOOKUP($AC350,'2017 Seattle Tracts'!$C$2:$Z$399,AD$1,FALSE)*AA350</f>
        <v>1.1403643068019202</v>
      </c>
      <c r="AE350">
        <f>VLOOKUP($AC350,'2017 Seattle Tracts'!$C$2:$Z$399,AE$1,FALSE)*AA350</f>
        <v>0.82535589218184346</v>
      </c>
      <c r="AF350">
        <f>VLOOKUP($AC350,'2017 Seattle Tracts'!$C$2:$Z$399,AF$1,FALSE)*AA350</f>
        <v>0.31500841462007673</v>
      </c>
      <c r="AG350">
        <f>VLOOKUP($AC350,'2017 Seattle Tracts'!$C$2:$Z$399,AG$1,FALSE)*AA350</f>
        <v>1.1403643068019202</v>
      </c>
      <c r="AH350">
        <f>VLOOKUP($AC350,'2017 Seattle Tracts'!$C$2:$Z$399,AH$1,FALSE)*AA350</f>
        <v>0.82535589218184346</v>
      </c>
      <c r="AI350">
        <f>VLOOKUP($AC350,'2017 Seattle Tracts'!$C$2:$Z$399,AI$1,FALSE)*AA350</f>
        <v>0.31500841462007673</v>
      </c>
      <c r="AJ350">
        <f>VLOOKUP($AC350,'2017 Seattle Tracts'!$C$2:$Z$399,AJ$1,FALSE)*AA350</f>
        <v>0.4663478371466831</v>
      </c>
      <c r="AK350">
        <f>VLOOKUP($AC350,'2017 Seattle Tracts'!$C$2:$Z$399,AK$1,FALSE)*AA350</f>
        <v>4.1098565222880315E-2</v>
      </c>
      <c r="AL350">
        <f>VLOOKUP($AC350,'2017 Seattle Tracts'!$C$2:$Z$399,AL$1,FALSE)*AA350</f>
        <v>2.1758063941524873E-2</v>
      </c>
      <c r="AM350">
        <f>VLOOKUP($AC350,'2017 Seattle Tracts'!$C$2:$Z$399,AM$1,FALSE)*AA350</f>
        <v>1.6197669823135183E-2</v>
      </c>
      <c r="AN350">
        <f>VLOOKUP($AC350,'2017 Seattle Tracts'!$C$2:$Z$399,AN$1,FALSE)*AA350</f>
        <v>1.5955913557118239E-2</v>
      </c>
      <c r="AO350">
        <f>VLOOKUP($AC350,'2017 Seattle Tracts'!$C$2:$Z$399,AO$1,FALSE)*AA350</f>
        <v>8.2197130445760633E-3</v>
      </c>
      <c r="AP350">
        <f>VLOOKUP($AC350,'2017 Seattle Tracts'!$C$2:$Z$399,AP$1,FALSE)*AA350</f>
        <v>3.8681002562710883E-3</v>
      </c>
      <c r="AQ350">
        <f>VLOOKUP($AC350,'2017 Seattle Tracts'!$C$2:$Z$399,AQ$1,FALSE)*AA350</f>
        <v>0</v>
      </c>
      <c r="AR350">
        <f>VLOOKUP($AC350,'2017 Seattle Tracts'!$C$2:$Z$399,AR$1,FALSE)*AA350</f>
        <v>0.16898762994584318</v>
      </c>
      <c r="AS350">
        <f>VLOOKUP($AC350,'2017 Seattle Tracts'!$C$2:$Z$399,AS$1,FALSE)*AA350</f>
        <v>0.23571235936651944</v>
      </c>
      <c r="AT350">
        <f>VLOOKUP($AC350,'2017 Seattle Tracts'!$C$2:$Z$399,AT$1,FALSE)*AA350</f>
        <v>3.1428314582202591E-3</v>
      </c>
      <c r="AU350">
        <f>VLOOKUP($AC350,'2017 Seattle Tracts'!$C$2:$Z$399,AU$1,FALSE)*AA350</f>
        <v>3.3845877242372024E-3</v>
      </c>
      <c r="AV350">
        <f>VLOOKUP($AC350,'2017 Seattle Tracts'!$C$2:$Z$399,AV$1,FALSE)*AA350</f>
        <v>2.6834945527880676E-2</v>
      </c>
      <c r="AW350">
        <f>VLOOKUP($AC350,'2017 Seattle Tracts'!$C$2:$Z$399,AW$1,FALSE)*AA350</f>
        <v>1.4505375961016581E-3</v>
      </c>
      <c r="AX350">
        <f>VLOOKUP($AC350,'2017 Seattle Tracts'!$C$2:$Z$399,AX$1,FALSE)*AA350</f>
        <v>0.11846057034830208</v>
      </c>
      <c r="AY350">
        <f>VLOOKUP($AC350,'2017 Seattle Tracts'!$C$2:$Z$399,AY$1,FALSE)*AA350</f>
        <v>8.9449818426268913E-3</v>
      </c>
    </row>
    <row r="351" spans="1:51" x14ac:dyDescent="0.25">
      <c r="A351" t="s">
        <v>2917</v>
      </c>
      <c r="B351" t="s">
        <v>2918</v>
      </c>
      <c r="C351" t="s">
        <v>3188</v>
      </c>
      <c r="D351" t="s">
        <v>2656</v>
      </c>
      <c r="E351" t="s">
        <v>2657</v>
      </c>
      <c r="F351" t="s">
        <v>2658</v>
      </c>
      <c r="G351" t="s">
        <v>2920</v>
      </c>
      <c r="H351" t="s">
        <v>2921</v>
      </c>
      <c r="I351">
        <v>2507220</v>
      </c>
      <c r="J351">
        <v>749224</v>
      </c>
      <c r="K351" t="s">
        <v>3189</v>
      </c>
      <c r="L351" t="s">
        <v>3190</v>
      </c>
      <c r="M351">
        <v>2405162</v>
      </c>
      <c r="N351">
        <v>14</v>
      </c>
      <c r="O351">
        <v>403.78699999999998</v>
      </c>
      <c r="Q351">
        <v>0</v>
      </c>
      <c r="R351">
        <v>0</v>
      </c>
      <c r="S351">
        <v>0</v>
      </c>
      <c r="T351">
        <v>11386.205</v>
      </c>
      <c r="U351">
        <v>16</v>
      </c>
      <c r="V351">
        <v>0</v>
      </c>
      <c r="W351">
        <v>403.78685404708813</v>
      </c>
      <c r="X351">
        <v>11386.205781612271</v>
      </c>
      <c r="Y351">
        <v>1057.8699999999999</v>
      </c>
      <c r="Z351">
        <f>VLOOKUP($AC351,'2017 Seattle Tracts'!$C$2:$Z$399,24,FALSE)</f>
        <v>2405162.0649999999</v>
      </c>
      <c r="AA351">
        <f t="shared" si="11"/>
        <v>4.3983314696093045E-4</v>
      </c>
      <c r="AB351" t="s">
        <v>115</v>
      </c>
      <c r="AC351" t="str">
        <f t="shared" si="10"/>
        <v>Census Tract 53.02, King County, Washington</v>
      </c>
      <c r="AD351">
        <f>VLOOKUP($AC351,'2017 Seattle Tracts'!$C$2:$Z$399,AD$1,FALSE)*AA351</f>
        <v>2.0746929542147088</v>
      </c>
      <c r="AE351">
        <f>VLOOKUP($AC351,'2017 Seattle Tracts'!$C$2:$Z$399,AE$1,FALSE)*AA351</f>
        <v>1.5015903637246166</v>
      </c>
      <c r="AF351">
        <f>VLOOKUP($AC351,'2017 Seattle Tracts'!$C$2:$Z$399,AF$1,FALSE)*AA351</f>
        <v>0.57310259049009238</v>
      </c>
      <c r="AG351">
        <f>VLOOKUP($AC351,'2017 Seattle Tracts'!$C$2:$Z$399,AG$1,FALSE)*AA351</f>
        <v>2.0746929542147088</v>
      </c>
      <c r="AH351">
        <f>VLOOKUP($AC351,'2017 Seattle Tracts'!$C$2:$Z$399,AH$1,FALSE)*AA351</f>
        <v>1.5015903637246166</v>
      </c>
      <c r="AI351">
        <f>VLOOKUP($AC351,'2017 Seattle Tracts'!$C$2:$Z$399,AI$1,FALSE)*AA351</f>
        <v>0.57310259049009238</v>
      </c>
      <c r="AJ351">
        <f>VLOOKUP($AC351,'2017 Seattle Tracts'!$C$2:$Z$399,AJ$1,FALSE)*AA351</f>
        <v>0.84843814048763488</v>
      </c>
      <c r="AK351">
        <f>VLOOKUP($AC351,'2017 Seattle Tracts'!$C$2:$Z$399,AK$1,FALSE)*AA351</f>
        <v>7.4771634983358176E-2</v>
      </c>
      <c r="AL351">
        <f>VLOOKUP($AC351,'2017 Seattle Tracts'!$C$2:$Z$399,AL$1,FALSE)*AA351</f>
        <v>3.9584983226483739E-2</v>
      </c>
      <c r="AM351">
        <f>VLOOKUP($AC351,'2017 Seattle Tracts'!$C$2:$Z$399,AM$1,FALSE)*AA351</f>
        <v>2.9468820846382339E-2</v>
      </c>
      <c r="AN351">
        <f>VLOOKUP($AC351,'2017 Seattle Tracts'!$C$2:$Z$399,AN$1,FALSE)*AA351</f>
        <v>2.9028987699421409E-2</v>
      </c>
      <c r="AO351">
        <f>VLOOKUP($AC351,'2017 Seattle Tracts'!$C$2:$Z$399,AO$1,FALSE)*AA351</f>
        <v>1.4954326996671635E-2</v>
      </c>
      <c r="AP351">
        <f>VLOOKUP($AC351,'2017 Seattle Tracts'!$C$2:$Z$399,AP$1,FALSE)*AA351</f>
        <v>7.0373303513748871E-3</v>
      </c>
      <c r="AQ351">
        <f>VLOOKUP($AC351,'2017 Seattle Tracts'!$C$2:$Z$399,AQ$1,FALSE)*AA351</f>
        <v>0</v>
      </c>
      <c r="AR351">
        <f>VLOOKUP($AC351,'2017 Seattle Tracts'!$C$2:$Z$399,AR$1,FALSE)*AA351</f>
        <v>0.30744336972569036</v>
      </c>
      <c r="AS351">
        <f>VLOOKUP($AC351,'2017 Seattle Tracts'!$C$2:$Z$399,AS$1,FALSE)*AA351</f>
        <v>0.42883731828690719</v>
      </c>
      <c r="AT351">
        <f>VLOOKUP($AC351,'2017 Seattle Tracts'!$C$2:$Z$399,AT$1,FALSE)*AA351</f>
        <v>5.7178309104920959E-3</v>
      </c>
      <c r="AU351">
        <f>VLOOKUP($AC351,'2017 Seattle Tracts'!$C$2:$Z$399,AU$1,FALSE)*AA351</f>
        <v>6.157664057453026E-3</v>
      </c>
      <c r="AV351">
        <f>VLOOKUP($AC351,'2017 Seattle Tracts'!$C$2:$Z$399,AV$1,FALSE)*AA351</f>
        <v>4.8821479312663278E-2</v>
      </c>
      <c r="AW351">
        <f>VLOOKUP($AC351,'2017 Seattle Tracts'!$C$2:$Z$399,AW$1,FALSE)*AA351</f>
        <v>2.6389988817655825E-3</v>
      </c>
      <c r="AX351">
        <f>VLOOKUP($AC351,'2017 Seattle Tracts'!$C$2:$Z$399,AX$1,FALSE)*AA351</f>
        <v>0.21551824201085593</v>
      </c>
      <c r="AY351">
        <f>VLOOKUP($AC351,'2017 Seattle Tracts'!$C$2:$Z$399,AY$1,FALSE)*AA351</f>
        <v>1.6273826437554425E-2</v>
      </c>
    </row>
    <row r="352" spans="1:51" x14ac:dyDescent="0.25">
      <c r="A352" t="s">
        <v>2917</v>
      </c>
      <c r="B352" t="s">
        <v>2918</v>
      </c>
      <c r="C352" t="s">
        <v>3188</v>
      </c>
      <c r="D352" t="s">
        <v>2656</v>
      </c>
      <c r="E352" t="s">
        <v>2657</v>
      </c>
      <c r="F352" t="s">
        <v>2658</v>
      </c>
      <c r="G352" t="s">
        <v>2920</v>
      </c>
      <c r="H352" t="s">
        <v>2921</v>
      </c>
      <c r="I352">
        <v>2507220</v>
      </c>
      <c r="J352">
        <v>749224</v>
      </c>
      <c r="K352" t="s">
        <v>3189</v>
      </c>
      <c r="L352" t="s">
        <v>3190</v>
      </c>
      <c r="M352">
        <v>2405162</v>
      </c>
      <c r="N352">
        <v>15</v>
      </c>
      <c r="O352">
        <v>666.71900000000005</v>
      </c>
      <c r="Q352">
        <v>0</v>
      </c>
      <c r="R352">
        <v>0</v>
      </c>
      <c r="S352">
        <v>0</v>
      </c>
      <c r="T352">
        <v>16989.307000000001</v>
      </c>
      <c r="U352">
        <v>17</v>
      </c>
      <c r="V352">
        <v>0</v>
      </c>
      <c r="W352">
        <v>666.71868222244677</v>
      </c>
      <c r="X352">
        <v>16989.311083938759</v>
      </c>
      <c r="Y352">
        <v>1578.3530000000001</v>
      </c>
      <c r="Z352">
        <f>VLOOKUP($AC352,'2017 Seattle Tracts'!$C$2:$Z$399,24,FALSE)</f>
        <v>2405162.0649999999</v>
      </c>
      <c r="AA352">
        <f t="shared" si="11"/>
        <v>6.5623561213119341E-4</v>
      </c>
      <c r="AB352" t="s">
        <v>115</v>
      </c>
      <c r="AC352" t="str">
        <f t="shared" si="10"/>
        <v>Census Tract 53.02, King County, Washington</v>
      </c>
      <c r="AD352">
        <f>VLOOKUP($AC352,'2017 Seattle Tracts'!$C$2:$Z$399,AD$1,FALSE)*AA352</f>
        <v>3.0954633824228392</v>
      </c>
      <c r="AE352">
        <f>VLOOKUP($AC352,'2017 Seattle Tracts'!$C$2:$Z$399,AE$1,FALSE)*AA352</f>
        <v>2.2403883798158941</v>
      </c>
      <c r="AF352">
        <f>VLOOKUP($AC352,'2017 Seattle Tracts'!$C$2:$Z$399,AF$1,FALSE)*AA352</f>
        <v>0.85507500260694502</v>
      </c>
      <c r="AG352">
        <f>VLOOKUP($AC352,'2017 Seattle Tracts'!$C$2:$Z$399,AG$1,FALSE)*AA352</f>
        <v>3.0954633824228392</v>
      </c>
      <c r="AH352">
        <f>VLOOKUP($AC352,'2017 Seattle Tracts'!$C$2:$Z$399,AH$1,FALSE)*AA352</f>
        <v>2.2403883798158941</v>
      </c>
      <c r="AI352">
        <f>VLOOKUP($AC352,'2017 Seattle Tracts'!$C$2:$Z$399,AI$1,FALSE)*AA352</f>
        <v>0.85507500260694502</v>
      </c>
      <c r="AJ352">
        <f>VLOOKUP($AC352,'2017 Seattle Tracts'!$C$2:$Z$399,AJ$1,FALSE)*AA352</f>
        <v>1.265878495801072</v>
      </c>
      <c r="AK352">
        <f>VLOOKUP($AC352,'2017 Seattle Tracts'!$C$2:$Z$399,AK$1,FALSE)*AA352</f>
        <v>0.11156005406230288</v>
      </c>
      <c r="AL352">
        <f>VLOOKUP($AC352,'2017 Seattle Tracts'!$C$2:$Z$399,AL$1,FALSE)*AA352</f>
        <v>5.9061205091807407E-2</v>
      </c>
      <c r="AM352">
        <f>VLOOKUP($AC352,'2017 Seattle Tracts'!$C$2:$Z$399,AM$1,FALSE)*AA352</f>
        <v>4.3967786012789958E-2</v>
      </c>
      <c r="AN352">
        <f>VLOOKUP($AC352,'2017 Seattle Tracts'!$C$2:$Z$399,AN$1,FALSE)*AA352</f>
        <v>4.3311550400658767E-2</v>
      </c>
      <c r="AO352">
        <f>VLOOKUP($AC352,'2017 Seattle Tracts'!$C$2:$Z$399,AO$1,FALSE)*AA352</f>
        <v>2.2312010812460575E-2</v>
      </c>
      <c r="AP352">
        <f>VLOOKUP($AC352,'2017 Seattle Tracts'!$C$2:$Z$399,AP$1,FALSE)*AA352</f>
        <v>1.0499769794099095E-2</v>
      </c>
      <c r="AQ352">
        <f>VLOOKUP($AC352,'2017 Seattle Tracts'!$C$2:$Z$399,AQ$1,FALSE)*AA352</f>
        <v>0</v>
      </c>
      <c r="AR352">
        <f>VLOOKUP($AC352,'2017 Seattle Tracts'!$C$2:$Z$399,AR$1,FALSE)*AA352</f>
        <v>0.45870869287970417</v>
      </c>
      <c r="AS352">
        <f>VLOOKUP($AC352,'2017 Seattle Tracts'!$C$2:$Z$399,AS$1,FALSE)*AA352</f>
        <v>0.63982972182791353</v>
      </c>
      <c r="AT352">
        <f>VLOOKUP($AC352,'2017 Seattle Tracts'!$C$2:$Z$399,AT$1,FALSE)*AA352</f>
        <v>8.5310629577055146E-3</v>
      </c>
      <c r="AU352">
        <f>VLOOKUP($AC352,'2017 Seattle Tracts'!$C$2:$Z$399,AU$1,FALSE)*AA352</f>
        <v>9.1872985698367073E-3</v>
      </c>
      <c r="AV352">
        <f>VLOOKUP($AC352,'2017 Seattle Tracts'!$C$2:$Z$399,AV$1,FALSE)*AA352</f>
        <v>7.2842152946562475E-2</v>
      </c>
      <c r="AW352">
        <f>VLOOKUP($AC352,'2017 Seattle Tracts'!$C$2:$Z$399,AW$1,FALSE)*AA352</f>
        <v>3.93741367278716E-3</v>
      </c>
      <c r="AX352">
        <f>VLOOKUP($AC352,'2017 Seattle Tracts'!$C$2:$Z$399,AX$1,FALSE)*AA352</f>
        <v>0.32155544994428475</v>
      </c>
      <c r="AY352">
        <f>VLOOKUP($AC352,'2017 Seattle Tracts'!$C$2:$Z$399,AY$1,FALSE)*AA352</f>
        <v>2.4280717648854155E-2</v>
      </c>
    </row>
    <row r="353" spans="1:51" x14ac:dyDescent="0.25">
      <c r="A353" t="s">
        <v>2917</v>
      </c>
      <c r="B353" t="s">
        <v>2918</v>
      </c>
      <c r="C353" t="s">
        <v>3188</v>
      </c>
      <c r="D353" t="s">
        <v>2656</v>
      </c>
      <c r="E353" t="s">
        <v>2657</v>
      </c>
      <c r="F353" t="s">
        <v>2658</v>
      </c>
      <c r="G353" t="s">
        <v>2920</v>
      </c>
      <c r="H353" t="s">
        <v>2921</v>
      </c>
      <c r="I353">
        <v>2507220</v>
      </c>
      <c r="J353">
        <v>749224</v>
      </c>
      <c r="K353" t="s">
        <v>3189</v>
      </c>
      <c r="L353" t="s">
        <v>3190</v>
      </c>
      <c r="M353">
        <v>2405162</v>
      </c>
      <c r="N353">
        <v>16</v>
      </c>
      <c r="O353">
        <v>216.947</v>
      </c>
      <c r="Q353">
        <v>0</v>
      </c>
      <c r="R353">
        <v>0</v>
      </c>
      <c r="S353">
        <v>0</v>
      </c>
      <c r="T353">
        <v>2708.875</v>
      </c>
      <c r="U353">
        <v>18</v>
      </c>
      <c r="V353">
        <v>0</v>
      </c>
      <c r="W353">
        <v>216.94722964844601</v>
      </c>
      <c r="X353">
        <v>2708.8772491515401</v>
      </c>
      <c r="Y353">
        <v>248.69</v>
      </c>
      <c r="Z353">
        <f>VLOOKUP($AC353,'2017 Seattle Tracts'!$C$2:$Z$399,24,FALSE)</f>
        <v>2405162.0649999999</v>
      </c>
      <c r="AA353">
        <f t="shared" si="11"/>
        <v>1.0339843772648227E-4</v>
      </c>
      <c r="AB353" t="s">
        <v>115</v>
      </c>
      <c r="AC353" t="str">
        <f t="shared" si="10"/>
        <v>Census Tract 53.02, King County, Washington</v>
      </c>
      <c r="AD353">
        <f>VLOOKUP($AC353,'2017 Seattle Tracts'!$C$2:$Z$399,AD$1,FALSE)*AA353</f>
        <v>0.4877304307558169</v>
      </c>
      <c r="AE353">
        <f>VLOOKUP($AC353,'2017 Seattle Tracts'!$C$2:$Z$399,AE$1,FALSE)*AA353</f>
        <v>0.35300226639821047</v>
      </c>
      <c r="AF353">
        <f>VLOOKUP($AC353,'2017 Seattle Tracts'!$C$2:$Z$399,AF$1,FALSE)*AA353</f>
        <v>0.1347281643576064</v>
      </c>
      <c r="AG353">
        <f>VLOOKUP($AC353,'2017 Seattle Tracts'!$C$2:$Z$399,AG$1,FALSE)*AA353</f>
        <v>0.4877304307558169</v>
      </c>
      <c r="AH353">
        <f>VLOOKUP($AC353,'2017 Seattle Tracts'!$C$2:$Z$399,AH$1,FALSE)*AA353</f>
        <v>0.35300226639821047</v>
      </c>
      <c r="AI353">
        <f>VLOOKUP($AC353,'2017 Seattle Tracts'!$C$2:$Z$399,AI$1,FALSE)*AA353</f>
        <v>0.1347281643576064</v>
      </c>
      <c r="AJ353">
        <f>VLOOKUP($AC353,'2017 Seattle Tracts'!$C$2:$Z$399,AJ$1,FALSE)*AA353</f>
        <v>0.19945558637438429</v>
      </c>
      <c r="AK353">
        <f>VLOOKUP($AC353,'2017 Seattle Tracts'!$C$2:$Z$399,AK$1,FALSE)*AA353</f>
        <v>1.7577734413501987E-2</v>
      </c>
      <c r="AL353">
        <f>VLOOKUP($AC353,'2017 Seattle Tracts'!$C$2:$Z$399,AL$1,FALSE)*AA353</f>
        <v>9.3058593953834045E-3</v>
      </c>
      <c r="AM353">
        <f>VLOOKUP($AC353,'2017 Seattle Tracts'!$C$2:$Z$399,AM$1,FALSE)*AA353</f>
        <v>6.9276953276743124E-3</v>
      </c>
      <c r="AN353">
        <f>VLOOKUP($AC353,'2017 Seattle Tracts'!$C$2:$Z$399,AN$1,FALSE)*AA353</f>
        <v>6.8242968899478304E-3</v>
      </c>
      <c r="AO353">
        <f>VLOOKUP($AC353,'2017 Seattle Tracts'!$C$2:$Z$399,AO$1,FALSE)*AA353</f>
        <v>3.5155468827003972E-3</v>
      </c>
      <c r="AP353">
        <f>VLOOKUP($AC353,'2017 Seattle Tracts'!$C$2:$Z$399,AP$1,FALSE)*AA353</f>
        <v>1.6543750036237164E-3</v>
      </c>
      <c r="AQ353">
        <f>VLOOKUP($AC353,'2017 Seattle Tracts'!$C$2:$Z$399,AQ$1,FALSE)*AA353</f>
        <v>0</v>
      </c>
      <c r="AR353">
        <f>VLOOKUP($AC353,'2017 Seattle Tracts'!$C$2:$Z$399,AR$1,FALSE)*AA353</f>
        <v>7.2275507970811115E-2</v>
      </c>
      <c r="AS353">
        <f>VLOOKUP($AC353,'2017 Seattle Tracts'!$C$2:$Z$399,AS$1,FALSE)*AA353</f>
        <v>0.10081347678332021</v>
      </c>
      <c r="AT353">
        <f>VLOOKUP($AC353,'2017 Seattle Tracts'!$C$2:$Z$399,AT$1,FALSE)*AA353</f>
        <v>1.3441796904442695E-3</v>
      </c>
      <c r="AU353">
        <f>VLOOKUP($AC353,'2017 Seattle Tracts'!$C$2:$Z$399,AU$1,FALSE)*AA353</f>
        <v>1.4475781281707519E-3</v>
      </c>
      <c r="AV353">
        <f>VLOOKUP($AC353,'2017 Seattle Tracts'!$C$2:$Z$399,AV$1,FALSE)*AA353</f>
        <v>1.1477226587639533E-2</v>
      </c>
      <c r="AW353">
        <f>VLOOKUP($AC353,'2017 Seattle Tracts'!$C$2:$Z$399,AW$1,FALSE)*AA353</f>
        <v>6.2039062635889364E-4</v>
      </c>
      <c r="AX353">
        <f>VLOOKUP($AC353,'2017 Seattle Tracts'!$C$2:$Z$399,AX$1,FALSE)*AA353</f>
        <v>5.0665234485976311E-2</v>
      </c>
      <c r="AY353">
        <f>VLOOKUP($AC353,'2017 Seattle Tracts'!$C$2:$Z$399,AY$1,FALSE)*AA353</f>
        <v>3.8257421958798441E-3</v>
      </c>
    </row>
    <row r="354" spans="1:51" x14ac:dyDescent="0.25">
      <c r="A354" t="s">
        <v>2917</v>
      </c>
      <c r="B354" t="s">
        <v>2918</v>
      </c>
      <c r="C354" t="s">
        <v>3188</v>
      </c>
      <c r="D354" t="s">
        <v>2656</v>
      </c>
      <c r="E354" t="s">
        <v>2657</v>
      </c>
      <c r="F354" t="s">
        <v>2658</v>
      </c>
      <c r="G354" t="s">
        <v>2920</v>
      </c>
      <c r="H354" t="s">
        <v>2921</v>
      </c>
      <c r="I354">
        <v>2507220</v>
      </c>
      <c r="J354">
        <v>749224</v>
      </c>
      <c r="K354" t="s">
        <v>3189</v>
      </c>
      <c r="L354" t="s">
        <v>3190</v>
      </c>
      <c r="M354">
        <v>2405162</v>
      </c>
      <c r="N354">
        <v>17</v>
      </c>
      <c r="O354">
        <v>143.47800000000001</v>
      </c>
      <c r="Q354">
        <v>0</v>
      </c>
      <c r="R354">
        <v>0</v>
      </c>
      <c r="S354">
        <v>0</v>
      </c>
      <c r="T354">
        <v>724.58400000000006</v>
      </c>
      <c r="U354">
        <v>19</v>
      </c>
      <c r="V354">
        <v>0</v>
      </c>
      <c r="W354">
        <v>143.47839739761611</v>
      </c>
      <c r="X354">
        <v>724.58383275054996</v>
      </c>
      <c r="Y354">
        <v>58.042000000000002</v>
      </c>
      <c r="Z354">
        <f>VLOOKUP($AC354,'2017 Seattle Tracts'!$C$2:$Z$399,24,FALSE)</f>
        <v>2405162.0649999999</v>
      </c>
      <c r="AA354">
        <f t="shared" si="11"/>
        <v>2.4132261540554441E-5</v>
      </c>
      <c r="AB354" t="s">
        <v>115</v>
      </c>
      <c r="AC354" t="str">
        <f t="shared" si="10"/>
        <v>Census Tract 53.02, King County, Washington</v>
      </c>
      <c r="AD354">
        <f>VLOOKUP($AC354,'2017 Seattle Tracts'!$C$2:$Z$399,AD$1,FALSE)*AA354</f>
        <v>0.1138318776867953</v>
      </c>
      <c r="AE354">
        <f>VLOOKUP($AC354,'2017 Seattle Tracts'!$C$2:$Z$399,AE$1,FALSE)*AA354</f>
        <v>8.2387540899452855E-2</v>
      </c>
      <c r="AF354">
        <f>VLOOKUP($AC354,'2017 Seattle Tracts'!$C$2:$Z$399,AF$1,FALSE)*AA354</f>
        <v>3.1444336787342438E-2</v>
      </c>
      <c r="AG354">
        <f>VLOOKUP($AC354,'2017 Seattle Tracts'!$C$2:$Z$399,AG$1,FALSE)*AA354</f>
        <v>0.1138318776867953</v>
      </c>
      <c r="AH354">
        <f>VLOOKUP($AC354,'2017 Seattle Tracts'!$C$2:$Z$399,AH$1,FALSE)*AA354</f>
        <v>8.2387540899452855E-2</v>
      </c>
      <c r="AI354">
        <f>VLOOKUP($AC354,'2017 Seattle Tracts'!$C$2:$Z$399,AI$1,FALSE)*AA354</f>
        <v>3.1444336787342438E-2</v>
      </c>
      <c r="AJ354">
        <f>VLOOKUP($AC354,'2017 Seattle Tracts'!$C$2:$Z$399,AJ$1,FALSE)*AA354</f>
        <v>4.6551132511729515E-2</v>
      </c>
      <c r="AK354">
        <f>VLOOKUP($AC354,'2017 Seattle Tracts'!$C$2:$Z$399,AK$1,FALSE)*AA354</f>
        <v>4.1024844618942546E-3</v>
      </c>
      <c r="AL354">
        <f>VLOOKUP($AC354,'2017 Seattle Tracts'!$C$2:$Z$399,AL$1,FALSE)*AA354</f>
        <v>2.1719035386498996E-3</v>
      </c>
      <c r="AM354">
        <f>VLOOKUP($AC354,'2017 Seattle Tracts'!$C$2:$Z$399,AM$1,FALSE)*AA354</f>
        <v>1.6168615232171476E-3</v>
      </c>
      <c r="AN354">
        <f>VLOOKUP($AC354,'2017 Seattle Tracts'!$C$2:$Z$399,AN$1,FALSE)*AA354</f>
        <v>1.5927292616765931E-3</v>
      </c>
      <c r="AO354">
        <f>VLOOKUP($AC354,'2017 Seattle Tracts'!$C$2:$Z$399,AO$1,FALSE)*AA354</f>
        <v>8.2049689237885103E-4</v>
      </c>
      <c r="AP354">
        <f>VLOOKUP($AC354,'2017 Seattle Tracts'!$C$2:$Z$399,AP$1,FALSE)*AA354</f>
        <v>3.8611618464887105E-4</v>
      </c>
      <c r="AQ354">
        <f>VLOOKUP($AC354,'2017 Seattle Tracts'!$C$2:$Z$399,AQ$1,FALSE)*AA354</f>
        <v>0</v>
      </c>
      <c r="AR354">
        <f>VLOOKUP($AC354,'2017 Seattle Tracts'!$C$2:$Z$399,AR$1,FALSE)*AA354</f>
        <v>1.6868450816847555E-2</v>
      </c>
      <c r="AS354">
        <f>VLOOKUP($AC354,'2017 Seattle Tracts'!$C$2:$Z$399,AS$1,FALSE)*AA354</f>
        <v>2.352895500204058E-2</v>
      </c>
      <c r="AT354">
        <f>VLOOKUP($AC354,'2017 Seattle Tracts'!$C$2:$Z$399,AT$1,FALSE)*AA354</f>
        <v>3.1371940002720771E-4</v>
      </c>
      <c r="AU354">
        <f>VLOOKUP($AC354,'2017 Seattle Tracts'!$C$2:$Z$399,AU$1,FALSE)*AA354</f>
        <v>3.3785166156776218E-4</v>
      </c>
      <c r="AV354">
        <f>VLOOKUP($AC354,'2017 Seattle Tracts'!$C$2:$Z$399,AV$1,FALSE)*AA354</f>
        <v>2.6786810310015429E-3</v>
      </c>
      <c r="AW354">
        <f>VLOOKUP($AC354,'2017 Seattle Tracts'!$C$2:$Z$399,AW$1,FALSE)*AA354</f>
        <v>1.4479356924332665E-4</v>
      </c>
      <c r="AX354">
        <f>VLOOKUP($AC354,'2017 Seattle Tracts'!$C$2:$Z$399,AX$1,FALSE)*AA354</f>
        <v>1.1824808154871675E-2</v>
      </c>
      <c r="AY354">
        <f>VLOOKUP($AC354,'2017 Seattle Tracts'!$C$2:$Z$399,AY$1,FALSE)*AA354</f>
        <v>8.9289367700051431E-4</v>
      </c>
    </row>
    <row r="355" spans="1:51" x14ac:dyDescent="0.25">
      <c r="A355" t="s">
        <v>2917</v>
      </c>
      <c r="B355" t="s">
        <v>2918</v>
      </c>
      <c r="C355" t="s">
        <v>3188</v>
      </c>
      <c r="D355" t="s">
        <v>2656</v>
      </c>
      <c r="E355" t="s">
        <v>2657</v>
      </c>
      <c r="F355" t="s">
        <v>2658</v>
      </c>
      <c r="G355" t="s">
        <v>2920</v>
      </c>
      <c r="H355" t="s">
        <v>2921</v>
      </c>
      <c r="I355">
        <v>2507220</v>
      </c>
      <c r="J355">
        <v>749224</v>
      </c>
      <c r="K355" t="s">
        <v>3189</v>
      </c>
      <c r="L355" t="s">
        <v>3190</v>
      </c>
      <c r="M355">
        <v>2405162</v>
      </c>
      <c r="N355">
        <v>18</v>
      </c>
      <c r="O355">
        <v>130.73500000000001</v>
      </c>
      <c r="Q355">
        <v>0</v>
      </c>
      <c r="R355">
        <v>0</v>
      </c>
      <c r="S355">
        <v>0</v>
      </c>
      <c r="T355">
        <v>771.57800000000009</v>
      </c>
      <c r="U355">
        <v>20</v>
      </c>
      <c r="V355">
        <v>0</v>
      </c>
      <c r="W355">
        <v>130.73519393442041</v>
      </c>
      <c r="X355">
        <v>771.57842556147398</v>
      </c>
      <c r="Y355">
        <v>71.686000000000007</v>
      </c>
      <c r="Z355">
        <f>VLOOKUP($AC355,'2017 Seattle Tracts'!$C$2:$Z$399,24,FALSE)</f>
        <v>2405162.0649999999</v>
      </c>
      <c r="AA355">
        <f t="shared" si="11"/>
        <v>2.9805060142589605E-5</v>
      </c>
      <c r="AB355" t="s">
        <v>115</v>
      </c>
      <c r="AC355" t="str">
        <f t="shared" si="10"/>
        <v>Census Tract 53.02, King County, Washington</v>
      </c>
      <c r="AD355">
        <f>VLOOKUP($AC355,'2017 Seattle Tracts'!$C$2:$Z$399,AD$1,FALSE)*AA355</f>
        <v>0.14059046869259517</v>
      </c>
      <c r="AE355">
        <f>VLOOKUP($AC355,'2017 Seattle Tracts'!$C$2:$Z$399,AE$1,FALSE)*AA355</f>
        <v>0.10175447532680092</v>
      </c>
      <c r="AF355">
        <f>VLOOKUP($AC355,'2017 Seattle Tracts'!$C$2:$Z$399,AF$1,FALSE)*AA355</f>
        <v>3.8835993365794255E-2</v>
      </c>
      <c r="AG355">
        <f>VLOOKUP($AC355,'2017 Seattle Tracts'!$C$2:$Z$399,AG$1,FALSE)*AA355</f>
        <v>0.14059046869259517</v>
      </c>
      <c r="AH355">
        <f>VLOOKUP($AC355,'2017 Seattle Tracts'!$C$2:$Z$399,AH$1,FALSE)*AA355</f>
        <v>0.10175447532680092</v>
      </c>
      <c r="AI355">
        <f>VLOOKUP($AC355,'2017 Seattle Tracts'!$C$2:$Z$399,AI$1,FALSE)*AA355</f>
        <v>3.8835993365794255E-2</v>
      </c>
      <c r="AJ355">
        <f>VLOOKUP($AC355,'2017 Seattle Tracts'!$C$2:$Z$399,AJ$1,FALSE)*AA355</f>
        <v>5.7493961015055349E-2</v>
      </c>
      <c r="AK355">
        <f>VLOOKUP($AC355,'2017 Seattle Tracts'!$C$2:$Z$399,AK$1,FALSE)*AA355</f>
        <v>5.0668602242402326E-3</v>
      </c>
      <c r="AL355">
        <f>VLOOKUP($AC355,'2017 Seattle Tracts'!$C$2:$Z$399,AL$1,FALSE)*AA355</f>
        <v>2.6824554128330644E-3</v>
      </c>
      <c r="AM355">
        <f>VLOOKUP($AC355,'2017 Seattle Tracts'!$C$2:$Z$399,AM$1,FALSE)*AA355</f>
        <v>1.9969390295535034E-3</v>
      </c>
      <c r="AN355">
        <f>VLOOKUP($AC355,'2017 Seattle Tracts'!$C$2:$Z$399,AN$1,FALSE)*AA355</f>
        <v>1.9671339694109138E-3</v>
      </c>
      <c r="AO355">
        <f>VLOOKUP($AC355,'2017 Seattle Tracts'!$C$2:$Z$399,AO$1,FALSE)*AA355</f>
        <v>1.0133720448480465E-3</v>
      </c>
      <c r="AP355">
        <f>VLOOKUP($AC355,'2017 Seattle Tracts'!$C$2:$Z$399,AP$1,FALSE)*AA355</f>
        <v>4.7688096228143368E-4</v>
      </c>
      <c r="AQ355">
        <f>VLOOKUP($AC355,'2017 Seattle Tracts'!$C$2:$Z$399,AQ$1,FALSE)*AA355</f>
        <v>0</v>
      </c>
      <c r="AR355">
        <f>VLOOKUP($AC355,'2017 Seattle Tracts'!$C$2:$Z$399,AR$1,FALSE)*AA355</f>
        <v>2.0833737039670133E-2</v>
      </c>
      <c r="AS355">
        <f>VLOOKUP($AC355,'2017 Seattle Tracts'!$C$2:$Z$399,AS$1,FALSE)*AA355</f>
        <v>2.9059933639024864E-2</v>
      </c>
      <c r="AT355">
        <f>VLOOKUP($AC355,'2017 Seattle Tracts'!$C$2:$Z$399,AT$1,FALSE)*AA355</f>
        <v>3.8746578185366485E-4</v>
      </c>
      <c r="AU355">
        <f>VLOOKUP($AC355,'2017 Seattle Tracts'!$C$2:$Z$399,AU$1,FALSE)*AA355</f>
        <v>4.1727084199625448E-4</v>
      </c>
      <c r="AV355">
        <f>VLOOKUP($AC355,'2017 Seattle Tracts'!$C$2:$Z$399,AV$1,FALSE)*AA355</f>
        <v>3.3083616758274462E-3</v>
      </c>
      <c r="AW355">
        <f>VLOOKUP($AC355,'2017 Seattle Tracts'!$C$2:$Z$399,AW$1,FALSE)*AA355</f>
        <v>1.7883036085553764E-4</v>
      </c>
      <c r="AX355">
        <f>VLOOKUP($AC355,'2017 Seattle Tracts'!$C$2:$Z$399,AX$1,FALSE)*AA355</f>
        <v>1.4604479469868906E-2</v>
      </c>
      <c r="AY355">
        <f>VLOOKUP($AC355,'2017 Seattle Tracts'!$C$2:$Z$399,AY$1,FALSE)*AA355</f>
        <v>1.1027872252758154E-3</v>
      </c>
    </row>
    <row r="356" spans="1:51" x14ac:dyDescent="0.25">
      <c r="A356" t="s">
        <v>2917</v>
      </c>
      <c r="B356" t="s">
        <v>2918</v>
      </c>
      <c r="C356" t="s">
        <v>3188</v>
      </c>
      <c r="D356" t="s">
        <v>2656</v>
      </c>
      <c r="E356" t="s">
        <v>2657</v>
      </c>
      <c r="F356" t="s">
        <v>2658</v>
      </c>
      <c r="G356" t="s">
        <v>2920</v>
      </c>
      <c r="H356" t="s">
        <v>2921</v>
      </c>
      <c r="I356">
        <v>2507220</v>
      </c>
      <c r="J356">
        <v>749224</v>
      </c>
      <c r="K356" t="s">
        <v>3189</v>
      </c>
      <c r="L356" t="s">
        <v>3190</v>
      </c>
      <c r="M356">
        <v>2405162</v>
      </c>
      <c r="N356">
        <v>36</v>
      </c>
      <c r="O356">
        <v>30993.599999999999</v>
      </c>
      <c r="P356" t="s">
        <v>122</v>
      </c>
      <c r="Q356">
        <v>4</v>
      </c>
      <c r="R356">
        <v>5</v>
      </c>
      <c r="S356">
        <v>81</v>
      </c>
      <c r="T356">
        <v>37020968</v>
      </c>
      <c r="U356">
        <v>38</v>
      </c>
      <c r="V356">
        <v>125</v>
      </c>
      <c r="W356">
        <v>30993.600213945359</v>
      </c>
      <c r="X356">
        <v>37020968.872468568</v>
      </c>
      <c r="Y356">
        <v>211.92699999999999</v>
      </c>
      <c r="Z356">
        <f>VLOOKUP($AC356,'2017 Seattle Tracts'!$C$2:$Z$399,24,FALSE)</f>
        <v>2405162.0649999999</v>
      </c>
      <c r="AA356">
        <f t="shared" si="11"/>
        <v>8.8113397048776413E-5</v>
      </c>
      <c r="AB356" t="s">
        <v>127</v>
      </c>
      <c r="AC356" t="str">
        <f t="shared" si="10"/>
        <v>Census Tract 53.02, King County, Washington</v>
      </c>
      <c r="AD356">
        <f>VLOOKUP($AC356,'2017 Seattle Tracts'!$C$2:$Z$399,AD$1,FALSE)*AA356</f>
        <v>0.41563089387907837</v>
      </c>
      <c r="AE356">
        <f>VLOOKUP($AC356,'2017 Seattle Tracts'!$C$2:$Z$399,AE$1,FALSE)*AA356</f>
        <v>0.30081913752452266</v>
      </c>
      <c r="AF356">
        <f>VLOOKUP($AC356,'2017 Seattle Tracts'!$C$2:$Z$399,AF$1,FALSE)*AA356</f>
        <v>0.11481175635455566</v>
      </c>
      <c r="AG356">
        <f>VLOOKUP($AC356,'2017 Seattle Tracts'!$C$2:$Z$399,AG$1,FALSE)*AA356</f>
        <v>0.41563089387907837</v>
      </c>
      <c r="AH356">
        <f>VLOOKUP($AC356,'2017 Seattle Tracts'!$C$2:$Z$399,AH$1,FALSE)*AA356</f>
        <v>0.30081913752452266</v>
      </c>
      <c r="AI356">
        <f>VLOOKUP($AC356,'2017 Seattle Tracts'!$C$2:$Z$399,AI$1,FALSE)*AA356</f>
        <v>0.11481175635455566</v>
      </c>
      <c r="AJ356">
        <f>VLOOKUP($AC356,'2017 Seattle Tracts'!$C$2:$Z$399,AJ$1,FALSE)*AA356</f>
        <v>0.16997074290708969</v>
      </c>
      <c r="AK356">
        <f>VLOOKUP($AC356,'2017 Seattle Tracts'!$C$2:$Z$399,AK$1,FALSE)*AA356</f>
        <v>1.497927749829199E-2</v>
      </c>
      <c r="AL356">
        <f>VLOOKUP($AC356,'2017 Seattle Tracts'!$C$2:$Z$399,AL$1,FALSE)*AA356</f>
        <v>7.930205734389878E-3</v>
      </c>
      <c r="AM356">
        <f>VLOOKUP($AC356,'2017 Seattle Tracts'!$C$2:$Z$399,AM$1,FALSE)*AA356</f>
        <v>5.9035976022680193E-3</v>
      </c>
      <c r="AN356">
        <f>VLOOKUP($AC356,'2017 Seattle Tracts'!$C$2:$Z$399,AN$1,FALSE)*AA356</f>
        <v>5.8154842052192436E-3</v>
      </c>
      <c r="AO356">
        <f>VLOOKUP($AC356,'2017 Seattle Tracts'!$C$2:$Z$399,AO$1,FALSE)*AA356</f>
        <v>2.9958554996583979E-3</v>
      </c>
      <c r="AP356">
        <f>VLOOKUP($AC356,'2017 Seattle Tracts'!$C$2:$Z$399,AP$1,FALSE)*AA356</f>
        <v>1.4098143527804226E-3</v>
      </c>
      <c r="AQ356">
        <f>VLOOKUP($AC356,'2017 Seattle Tracts'!$C$2:$Z$399,AQ$1,FALSE)*AA356</f>
        <v>0</v>
      </c>
      <c r="AR356">
        <f>VLOOKUP($AC356,'2017 Seattle Tracts'!$C$2:$Z$399,AR$1,FALSE)*AA356</f>
        <v>6.1591264537094716E-2</v>
      </c>
      <c r="AS356">
        <f>VLOOKUP($AC356,'2017 Seattle Tracts'!$C$2:$Z$399,AS$1,FALSE)*AA356</f>
        <v>8.5910562122557002E-2</v>
      </c>
      <c r="AT356">
        <f>VLOOKUP($AC356,'2017 Seattle Tracts'!$C$2:$Z$399,AT$1,FALSE)*AA356</f>
        <v>1.1454741616340933E-3</v>
      </c>
      <c r="AU356">
        <f>VLOOKUP($AC356,'2017 Seattle Tracts'!$C$2:$Z$399,AU$1,FALSE)*AA356</f>
        <v>1.2335875586828699E-3</v>
      </c>
      <c r="AV356">
        <f>VLOOKUP($AC356,'2017 Seattle Tracts'!$C$2:$Z$399,AV$1,FALSE)*AA356</f>
        <v>9.7805870724141826E-3</v>
      </c>
      <c r="AW356">
        <f>VLOOKUP($AC356,'2017 Seattle Tracts'!$C$2:$Z$399,AW$1,FALSE)*AA356</f>
        <v>5.2868038229265848E-4</v>
      </c>
      <c r="AX356">
        <f>VLOOKUP($AC356,'2017 Seattle Tracts'!$C$2:$Z$399,AX$1,FALSE)*AA356</f>
        <v>4.3175564553900446E-2</v>
      </c>
      <c r="AY356">
        <f>VLOOKUP($AC356,'2017 Seattle Tracts'!$C$2:$Z$399,AY$1,FALSE)*AA356</f>
        <v>3.2601956908047272E-3</v>
      </c>
    </row>
    <row r="357" spans="1:51" x14ac:dyDescent="0.25">
      <c r="A357" t="s">
        <v>2917</v>
      </c>
      <c r="B357" t="s">
        <v>2918</v>
      </c>
      <c r="C357" t="s">
        <v>3188</v>
      </c>
      <c r="D357" t="s">
        <v>2656</v>
      </c>
      <c r="E357" t="s">
        <v>2657</v>
      </c>
      <c r="F357" t="s">
        <v>2658</v>
      </c>
      <c r="G357" t="s">
        <v>2920</v>
      </c>
      <c r="H357" t="s">
        <v>2921</v>
      </c>
      <c r="I357">
        <v>2507220</v>
      </c>
      <c r="J357">
        <v>749224</v>
      </c>
      <c r="K357" t="s">
        <v>3189</v>
      </c>
      <c r="L357" t="s">
        <v>3190</v>
      </c>
      <c r="M357">
        <v>2405162</v>
      </c>
      <c r="N357">
        <v>40</v>
      </c>
      <c r="O357">
        <v>26489.241999999998</v>
      </c>
      <c r="P357" t="s">
        <v>122</v>
      </c>
      <c r="Q357">
        <v>4</v>
      </c>
      <c r="R357">
        <v>5</v>
      </c>
      <c r="S357">
        <v>95</v>
      </c>
      <c r="T357">
        <v>19051776</v>
      </c>
      <c r="U357">
        <v>42</v>
      </c>
      <c r="V357">
        <v>136</v>
      </c>
      <c r="W357">
        <v>26489.242232173649</v>
      </c>
      <c r="X357">
        <v>19051776.818690982</v>
      </c>
      <c r="Y357">
        <v>5056.0550000000003</v>
      </c>
      <c r="Z357">
        <f>VLOOKUP($AC357,'2017 Seattle Tracts'!$C$2:$Z$399,24,FALSE)</f>
        <v>2405162.0649999999</v>
      </c>
      <c r="AA357">
        <f t="shared" si="11"/>
        <v>2.102168113149581E-3</v>
      </c>
      <c r="AB357" t="s">
        <v>131</v>
      </c>
      <c r="AC357" t="str">
        <f t="shared" si="10"/>
        <v>Census Tract 53.02, King County, Washington</v>
      </c>
      <c r="AD357">
        <f>VLOOKUP($AC357,'2017 Seattle Tracts'!$C$2:$Z$399,AD$1,FALSE)*AA357</f>
        <v>9.9159269897265734</v>
      </c>
      <c r="AE357">
        <f>VLOOKUP($AC357,'2017 Seattle Tracts'!$C$2:$Z$399,AE$1,FALSE)*AA357</f>
        <v>7.1768019382926695</v>
      </c>
      <c r="AF357">
        <f>VLOOKUP($AC357,'2017 Seattle Tracts'!$C$2:$Z$399,AF$1,FALSE)*AA357</f>
        <v>2.7391250514339043</v>
      </c>
      <c r="AG357">
        <f>VLOOKUP($AC357,'2017 Seattle Tracts'!$C$2:$Z$399,AG$1,FALSE)*AA357</f>
        <v>9.9159269897265734</v>
      </c>
      <c r="AH357">
        <f>VLOOKUP($AC357,'2017 Seattle Tracts'!$C$2:$Z$399,AH$1,FALSE)*AA357</f>
        <v>7.1768019382926695</v>
      </c>
      <c r="AI357">
        <f>VLOOKUP($AC357,'2017 Seattle Tracts'!$C$2:$Z$399,AI$1,FALSE)*AA357</f>
        <v>2.7391250514339043</v>
      </c>
      <c r="AJ357">
        <f>VLOOKUP($AC357,'2017 Seattle Tracts'!$C$2:$Z$399,AJ$1,FALSE)*AA357</f>
        <v>4.0550822902655419</v>
      </c>
      <c r="AK357">
        <f>VLOOKUP($AC357,'2017 Seattle Tracts'!$C$2:$Z$399,AK$1,FALSE)*AA357</f>
        <v>0.35736857923542875</v>
      </c>
      <c r="AL357">
        <f>VLOOKUP($AC357,'2017 Seattle Tracts'!$C$2:$Z$399,AL$1,FALSE)*AA357</f>
        <v>0.18919513018346229</v>
      </c>
      <c r="AM357">
        <f>VLOOKUP($AC357,'2017 Seattle Tracts'!$C$2:$Z$399,AM$1,FALSE)*AA357</f>
        <v>0.14084526358102192</v>
      </c>
      <c r="AN357">
        <f>VLOOKUP($AC357,'2017 Seattle Tracts'!$C$2:$Z$399,AN$1,FALSE)*AA357</f>
        <v>0.13874309546787233</v>
      </c>
      <c r="AO357">
        <f>VLOOKUP($AC357,'2017 Seattle Tracts'!$C$2:$Z$399,AO$1,FALSE)*AA357</f>
        <v>7.1473715847085756E-2</v>
      </c>
      <c r="AP357">
        <f>VLOOKUP($AC357,'2017 Seattle Tracts'!$C$2:$Z$399,AP$1,FALSE)*AA357</f>
        <v>3.3634689810393296E-2</v>
      </c>
      <c r="AQ357">
        <f>VLOOKUP($AC357,'2017 Seattle Tracts'!$C$2:$Z$399,AQ$1,FALSE)*AA357</f>
        <v>0</v>
      </c>
      <c r="AR357">
        <f>VLOOKUP($AC357,'2017 Seattle Tracts'!$C$2:$Z$399,AR$1,FALSE)*AA357</f>
        <v>1.4694155110915572</v>
      </c>
      <c r="AS357">
        <f>VLOOKUP($AC357,'2017 Seattle Tracts'!$C$2:$Z$399,AS$1,FALSE)*AA357</f>
        <v>2.0496139103208417</v>
      </c>
      <c r="AT357">
        <f>VLOOKUP($AC357,'2017 Seattle Tracts'!$C$2:$Z$399,AT$1,FALSE)*AA357</f>
        <v>2.7328185470944552E-2</v>
      </c>
      <c r="AU357">
        <f>VLOOKUP($AC357,'2017 Seattle Tracts'!$C$2:$Z$399,AU$1,FALSE)*AA357</f>
        <v>2.9430353584094134E-2</v>
      </c>
      <c r="AV357">
        <f>VLOOKUP($AC357,'2017 Seattle Tracts'!$C$2:$Z$399,AV$1,FALSE)*AA357</f>
        <v>0.23334066055960351</v>
      </c>
      <c r="AW357">
        <f>VLOOKUP($AC357,'2017 Seattle Tracts'!$C$2:$Z$399,AW$1,FALSE)*AA357</f>
        <v>1.2613008678897485E-2</v>
      </c>
      <c r="AX357">
        <f>VLOOKUP($AC357,'2017 Seattle Tracts'!$C$2:$Z$399,AX$1,FALSE)*AA357</f>
        <v>1.0300623754432947</v>
      </c>
      <c r="AY357">
        <f>VLOOKUP($AC357,'2017 Seattle Tracts'!$C$2:$Z$399,AY$1,FALSE)*AA357</f>
        <v>7.7780220186534493E-2</v>
      </c>
    </row>
    <row r="358" spans="1:51" x14ac:dyDescent="0.25">
      <c r="A358" t="s">
        <v>2917</v>
      </c>
      <c r="B358" t="s">
        <v>2918</v>
      </c>
      <c r="C358" t="s">
        <v>3188</v>
      </c>
      <c r="D358" t="s">
        <v>2656</v>
      </c>
      <c r="E358" t="s">
        <v>2657</v>
      </c>
      <c r="F358" t="s">
        <v>2658</v>
      </c>
      <c r="G358" t="s">
        <v>2920</v>
      </c>
      <c r="H358" t="s">
        <v>2921</v>
      </c>
      <c r="I358">
        <v>2507220</v>
      </c>
      <c r="J358">
        <v>749224</v>
      </c>
      <c r="K358" t="s">
        <v>3189</v>
      </c>
      <c r="L358" t="s">
        <v>3190</v>
      </c>
      <c r="M358">
        <v>2405162</v>
      </c>
      <c r="N358">
        <v>42</v>
      </c>
      <c r="O358">
        <v>41446.940999999999</v>
      </c>
      <c r="P358" t="s">
        <v>134</v>
      </c>
      <c r="Q358">
        <v>5</v>
      </c>
      <c r="R358">
        <v>12</v>
      </c>
      <c r="S358">
        <v>33</v>
      </c>
      <c r="T358">
        <v>49348388</v>
      </c>
      <c r="U358">
        <v>44</v>
      </c>
      <c r="V358">
        <v>139</v>
      </c>
      <c r="W358">
        <v>41446.941321259314</v>
      </c>
      <c r="X358">
        <v>49348387.058142804</v>
      </c>
      <c r="Y358">
        <v>2317433.7429999998</v>
      </c>
      <c r="Z358">
        <f>VLOOKUP($AC358,'2017 Seattle Tracts'!$C$2:$Z$399,24,FALSE)</f>
        <v>2405162.0649999999</v>
      </c>
      <c r="AA358">
        <f t="shared" si="11"/>
        <v>0.96352498516560459</v>
      </c>
      <c r="AB358" t="s">
        <v>133</v>
      </c>
      <c r="AC358" t="str">
        <f t="shared" si="10"/>
        <v>Census Tract 53.02, King County, Washington</v>
      </c>
      <c r="AD358">
        <f>VLOOKUP($AC358,'2017 Seattle Tracts'!$C$2:$Z$399,AD$1,FALSE)*AA358</f>
        <v>4544.9473550261564</v>
      </c>
      <c r="AE358">
        <f>VLOOKUP($AC358,'2017 Seattle Tracts'!$C$2:$Z$399,AE$1,FALSE)*AA358</f>
        <v>3289.4742993553741</v>
      </c>
      <c r="AF358">
        <f>VLOOKUP($AC358,'2017 Seattle Tracts'!$C$2:$Z$399,AF$1,FALSE)*AA358</f>
        <v>1255.4730556707827</v>
      </c>
      <c r="AG358">
        <f>VLOOKUP($AC358,'2017 Seattle Tracts'!$C$2:$Z$399,AG$1,FALSE)*AA358</f>
        <v>4544.9473550261564</v>
      </c>
      <c r="AH358">
        <f>VLOOKUP($AC358,'2017 Seattle Tracts'!$C$2:$Z$399,AH$1,FALSE)*AA358</f>
        <v>3289.4742993553741</v>
      </c>
      <c r="AI358">
        <f>VLOOKUP($AC358,'2017 Seattle Tracts'!$C$2:$Z$399,AI$1,FALSE)*AA358</f>
        <v>1255.4730556707827</v>
      </c>
      <c r="AJ358">
        <f>VLOOKUP($AC358,'2017 Seattle Tracts'!$C$2:$Z$399,AJ$1,FALSE)*AA358</f>
        <v>1858.6396963844513</v>
      </c>
      <c r="AK358">
        <f>VLOOKUP($AC358,'2017 Seattle Tracts'!$C$2:$Z$399,AK$1,FALSE)*AA358</f>
        <v>163.79924747815278</v>
      </c>
      <c r="AL358">
        <f>VLOOKUP($AC358,'2017 Seattle Tracts'!$C$2:$Z$399,AL$1,FALSE)*AA358</f>
        <v>86.717248664904417</v>
      </c>
      <c r="AM358">
        <f>VLOOKUP($AC358,'2017 Seattle Tracts'!$C$2:$Z$399,AM$1,FALSE)*AA358</f>
        <v>64.556174006095503</v>
      </c>
      <c r="AN358">
        <f>VLOOKUP($AC358,'2017 Seattle Tracts'!$C$2:$Z$399,AN$1,FALSE)*AA358</f>
        <v>63.592649020929905</v>
      </c>
      <c r="AO358">
        <f>VLOOKUP($AC358,'2017 Seattle Tracts'!$C$2:$Z$399,AO$1,FALSE)*AA358</f>
        <v>32.759849495630554</v>
      </c>
      <c r="AP358">
        <f>VLOOKUP($AC358,'2017 Seattle Tracts'!$C$2:$Z$399,AP$1,FALSE)*AA358</f>
        <v>15.416399762649673</v>
      </c>
      <c r="AQ358">
        <f>VLOOKUP($AC358,'2017 Seattle Tracts'!$C$2:$Z$399,AQ$1,FALSE)*AA358</f>
        <v>0</v>
      </c>
      <c r="AR358">
        <f>VLOOKUP($AC358,'2017 Seattle Tracts'!$C$2:$Z$399,AR$1,FALSE)*AA358</f>
        <v>673.50396463075765</v>
      </c>
      <c r="AS358">
        <f>VLOOKUP($AC358,'2017 Seattle Tracts'!$C$2:$Z$399,AS$1,FALSE)*AA358</f>
        <v>939.43686053646445</v>
      </c>
      <c r="AT358">
        <f>VLOOKUP($AC358,'2017 Seattle Tracts'!$C$2:$Z$399,AT$1,FALSE)*AA358</f>
        <v>12.52582480715286</v>
      </c>
      <c r="AU358">
        <f>VLOOKUP($AC358,'2017 Seattle Tracts'!$C$2:$Z$399,AU$1,FALSE)*AA358</f>
        <v>13.489349792318464</v>
      </c>
      <c r="AV358">
        <f>VLOOKUP($AC358,'2017 Seattle Tracts'!$C$2:$Z$399,AV$1,FALSE)*AA358</f>
        <v>106.95127335338211</v>
      </c>
      <c r="AW358">
        <f>VLOOKUP($AC358,'2017 Seattle Tracts'!$C$2:$Z$399,AW$1,FALSE)*AA358</f>
        <v>5.7811499109936273</v>
      </c>
      <c r="AX358">
        <f>VLOOKUP($AC358,'2017 Seattle Tracts'!$C$2:$Z$399,AX$1,FALSE)*AA358</f>
        <v>472.12724273114623</v>
      </c>
      <c r="AY358">
        <f>VLOOKUP($AC358,'2017 Seattle Tracts'!$C$2:$Z$399,AY$1,FALSE)*AA358</f>
        <v>35.650424451127371</v>
      </c>
    </row>
    <row r="359" spans="1:51" x14ac:dyDescent="0.25">
      <c r="A359" t="s">
        <v>2917</v>
      </c>
      <c r="B359" t="s">
        <v>2918</v>
      </c>
      <c r="C359" t="s">
        <v>3191</v>
      </c>
      <c r="D359" t="s">
        <v>2647</v>
      </c>
      <c r="E359" t="s">
        <v>2648</v>
      </c>
      <c r="F359" t="s">
        <v>2649</v>
      </c>
      <c r="G359" t="s">
        <v>2920</v>
      </c>
      <c r="H359" t="s">
        <v>2921</v>
      </c>
      <c r="I359">
        <v>5109618</v>
      </c>
      <c r="J359">
        <v>2295838</v>
      </c>
      <c r="K359" t="s">
        <v>3192</v>
      </c>
      <c r="L359" t="s">
        <v>3193</v>
      </c>
      <c r="M359">
        <v>4975678</v>
      </c>
      <c r="N359">
        <v>50</v>
      </c>
      <c r="O359">
        <v>38766.065999999999</v>
      </c>
      <c r="P359" t="s">
        <v>145</v>
      </c>
      <c r="Q359">
        <v>8</v>
      </c>
      <c r="R359">
        <v>4</v>
      </c>
      <c r="S359">
        <v>23</v>
      </c>
      <c r="T359">
        <v>55091524</v>
      </c>
      <c r="U359">
        <v>52</v>
      </c>
      <c r="V359">
        <v>134</v>
      </c>
      <c r="W359">
        <v>38766.06733491068</v>
      </c>
      <c r="X359">
        <v>55091525.290939339</v>
      </c>
      <c r="Y359">
        <v>4180241.2930000001</v>
      </c>
      <c r="Z359">
        <f>VLOOKUP($AC359,'2017 Seattle Tracts'!$C$2:$Z$399,24,FALSE)</f>
        <v>4975678.3470000001</v>
      </c>
      <c r="AA359">
        <f t="shared" si="11"/>
        <v>0.84013495275883432</v>
      </c>
      <c r="AB359" t="s">
        <v>144</v>
      </c>
      <c r="AC359" t="str">
        <f t="shared" si="10"/>
        <v>Census Tract 57, King County, Washington</v>
      </c>
      <c r="AD359">
        <f>VLOOKUP($AC359,'2017 Seattle Tracts'!$C$2:$Z$399,AD$1,FALSE)*AA359</f>
        <v>5726.3598380042149</v>
      </c>
      <c r="AE359">
        <f>VLOOKUP($AC359,'2017 Seattle Tracts'!$C$2:$Z$399,AE$1,FALSE)*AA359</f>
        <v>4892.1058299146925</v>
      </c>
      <c r="AF359">
        <f>VLOOKUP($AC359,'2017 Seattle Tracts'!$C$2:$Z$399,AF$1,FALSE)*AA359</f>
        <v>834.25400808952247</v>
      </c>
      <c r="AG359">
        <f>VLOOKUP($AC359,'2017 Seattle Tracts'!$C$2:$Z$399,AG$1,FALSE)*AA359</f>
        <v>5726.3598380042149</v>
      </c>
      <c r="AH359">
        <f>VLOOKUP($AC359,'2017 Seattle Tracts'!$C$2:$Z$399,AH$1,FALSE)*AA359</f>
        <v>4892.1058299146925</v>
      </c>
      <c r="AI359">
        <f>VLOOKUP($AC359,'2017 Seattle Tracts'!$C$2:$Z$399,AI$1,FALSE)*AA359</f>
        <v>834.25400808952247</v>
      </c>
      <c r="AJ359">
        <f>VLOOKUP($AC359,'2017 Seattle Tracts'!$C$2:$Z$399,AJ$1,FALSE)*AA359</f>
        <v>4307.3719027945435</v>
      </c>
      <c r="AK359">
        <f>VLOOKUP($AC359,'2017 Seattle Tracts'!$C$2:$Z$399,AK$1,FALSE)*AA359</f>
        <v>304.12885289869803</v>
      </c>
      <c r="AL359">
        <f>VLOOKUP($AC359,'2017 Seattle Tracts'!$C$2:$Z$399,AL$1,FALSE)*AA359</f>
        <v>141.98280701624299</v>
      </c>
      <c r="AM359">
        <f>VLOOKUP($AC359,'2017 Seattle Tracts'!$C$2:$Z$399,AM$1,FALSE)*AA359</f>
        <v>13.442159244141349</v>
      </c>
      <c r="AN359">
        <f>VLOOKUP($AC359,'2017 Seattle Tracts'!$C$2:$Z$399,AN$1,FALSE)*AA359</f>
        <v>28.564588393800367</v>
      </c>
      <c r="AO359">
        <f>VLOOKUP($AC359,'2017 Seattle Tracts'!$C$2:$Z$399,AO$1,FALSE)*AA359</f>
        <v>57.969311740359565</v>
      </c>
      <c r="AP359">
        <f>VLOOKUP($AC359,'2017 Seattle Tracts'!$C$2:$Z$399,AP$1,FALSE)*AA359</f>
        <v>36.125802968629877</v>
      </c>
      <c r="AQ359">
        <f>VLOOKUP($AC359,'2017 Seattle Tracts'!$C$2:$Z$399,AQ$1,FALSE)*AA359</f>
        <v>0</v>
      </c>
      <c r="AR359">
        <f>VLOOKUP($AC359,'2017 Seattle Tracts'!$C$2:$Z$399,AR$1,FALSE)*AA359</f>
        <v>148.70388663831366</v>
      </c>
      <c r="AS359">
        <f>VLOOKUP($AC359,'2017 Seattle Tracts'!$C$2:$Z$399,AS$1,FALSE)*AA359</f>
        <v>401.58450741872281</v>
      </c>
      <c r="AT359">
        <f>VLOOKUP($AC359,'2017 Seattle Tracts'!$C$2:$Z$399,AT$1,FALSE)*AA359</f>
        <v>0</v>
      </c>
      <c r="AU359">
        <f>VLOOKUP($AC359,'2017 Seattle Tracts'!$C$2:$Z$399,AU$1,FALSE)*AA359</f>
        <v>0</v>
      </c>
      <c r="AV359">
        <f>VLOOKUP($AC359,'2017 Seattle Tracts'!$C$2:$Z$399,AV$1,FALSE)*AA359</f>
        <v>29.404723346559202</v>
      </c>
      <c r="AW359">
        <f>VLOOKUP($AC359,'2017 Seattle Tracts'!$C$2:$Z$399,AW$1,FALSE)*AA359</f>
        <v>14.282294196900184</v>
      </c>
      <c r="AX359">
        <f>VLOOKUP($AC359,'2017 Seattle Tracts'!$C$2:$Z$399,AX$1,FALSE)*AA359</f>
        <v>199.95211875660257</v>
      </c>
      <c r="AY359">
        <f>VLOOKUP($AC359,'2017 Seattle Tracts'!$C$2:$Z$399,AY$1,FALSE)*AA359</f>
        <v>42.846882590700552</v>
      </c>
    </row>
    <row r="360" spans="1:51" x14ac:dyDescent="0.25">
      <c r="A360" t="s">
        <v>2917</v>
      </c>
      <c r="B360" t="s">
        <v>2918</v>
      </c>
      <c r="C360" t="s">
        <v>3191</v>
      </c>
      <c r="D360" t="s">
        <v>2647</v>
      </c>
      <c r="E360" t="s">
        <v>2648</v>
      </c>
      <c r="F360" t="s">
        <v>2649</v>
      </c>
      <c r="G360" t="s">
        <v>2920</v>
      </c>
      <c r="H360" t="s">
        <v>2921</v>
      </c>
      <c r="I360">
        <v>5109618</v>
      </c>
      <c r="J360">
        <v>2295838</v>
      </c>
      <c r="K360" t="s">
        <v>3192</v>
      </c>
      <c r="L360" t="s">
        <v>3193</v>
      </c>
      <c r="M360">
        <v>4975678</v>
      </c>
      <c r="N360">
        <v>51</v>
      </c>
      <c r="O360">
        <v>26609.791000000001</v>
      </c>
      <c r="P360" t="s">
        <v>145</v>
      </c>
      <c r="Q360">
        <v>8</v>
      </c>
      <c r="R360">
        <v>4</v>
      </c>
      <c r="S360">
        <v>81</v>
      </c>
      <c r="T360">
        <v>26550936</v>
      </c>
      <c r="U360">
        <v>53</v>
      </c>
      <c r="V360">
        <v>141</v>
      </c>
      <c r="W360">
        <v>26609.791226113481</v>
      </c>
      <c r="X360">
        <v>26550936.578557741</v>
      </c>
      <c r="Y360">
        <v>404.05599999999998</v>
      </c>
      <c r="Z360">
        <f>VLOOKUP($AC360,'2017 Seattle Tracts'!$C$2:$Z$399,24,FALSE)</f>
        <v>4975678.3470000001</v>
      </c>
      <c r="AA360">
        <f t="shared" si="11"/>
        <v>8.1206213871043049E-5</v>
      </c>
      <c r="AB360" t="s">
        <v>146</v>
      </c>
      <c r="AC360" t="str">
        <f t="shared" si="10"/>
        <v>Census Tract 57, King County, Washington</v>
      </c>
      <c r="AD360">
        <f>VLOOKUP($AC360,'2017 Seattle Tracts'!$C$2:$Z$399,AD$1,FALSE)*AA360</f>
        <v>0.55350155374502941</v>
      </c>
      <c r="AE360">
        <f>VLOOKUP($AC360,'2017 Seattle Tracts'!$C$2:$Z$399,AE$1,FALSE)*AA360</f>
        <v>0.4728637833710837</v>
      </c>
      <c r="AF360">
        <f>VLOOKUP($AC360,'2017 Seattle Tracts'!$C$2:$Z$399,AF$1,FALSE)*AA360</f>
        <v>8.0637770373945747E-2</v>
      </c>
      <c r="AG360">
        <f>VLOOKUP($AC360,'2017 Seattle Tracts'!$C$2:$Z$399,AG$1,FALSE)*AA360</f>
        <v>0.55350155374502941</v>
      </c>
      <c r="AH360">
        <f>VLOOKUP($AC360,'2017 Seattle Tracts'!$C$2:$Z$399,AH$1,FALSE)*AA360</f>
        <v>0.4728637833710837</v>
      </c>
      <c r="AI360">
        <f>VLOOKUP($AC360,'2017 Seattle Tracts'!$C$2:$Z$399,AI$1,FALSE)*AA360</f>
        <v>8.0637770373945747E-2</v>
      </c>
      <c r="AJ360">
        <f>VLOOKUP($AC360,'2017 Seattle Tracts'!$C$2:$Z$399,AJ$1,FALSE)*AA360</f>
        <v>0.41634425851683771</v>
      </c>
      <c r="AK360">
        <f>VLOOKUP($AC360,'2017 Seattle Tracts'!$C$2:$Z$399,AK$1,FALSE)*AA360</f>
        <v>2.9396649421317585E-2</v>
      </c>
      <c r="AL360">
        <f>VLOOKUP($AC360,'2017 Seattle Tracts'!$C$2:$Z$399,AL$1,FALSE)*AA360</f>
        <v>1.3723850144206275E-2</v>
      </c>
      <c r="AM360">
        <f>VLOOKUP($AC360,'2017 Seattle Tracts'!$C$2:$Z$399,AM$1,FALSE)*AA360</f>
        <v>1.2992994219366888E-3</v>
      </c>
      <c r="AN360">
        <f>VLOOKUP($AC360,'2017 Seattle Tracts'!$C$2:$Z$399,AN$1,FALSE)*AA360</f>
        <v>2.7610112716154635E-3</v>
      </c>
      <c r="AO360">
        <f>VLOOKUP($AC360,'2017 Seattle Tracts'!$C$2:$Z$399,AO$1,FALSE)*AA360</f>
        <v>5.6032287571019706E-3</v>
      </c>
      <c r="AP360">
        <f>VLOOKUP($AC360,'2017 Seattle Tracts'!$C$2:$Z$399,AP$1,FALSE)*AA360</f>
        <v>3.4918671964548511E-3</v>
      </c>
      <c r="AQ360">
        <f>VLOOKUP($AC360,'2017 Seattle Tracts'!$C$2:$Z$399,AQ$1,FALSE)*AA360</f>
        <v>0</v>
      </c>
      <c r="AR360">
        <f>VLOOKUP($AC360,'2017 Seattle Tracts'!$C$2:$Z$399,AR$1,FALSE)*AA360</f>
        <v>1.437349985517462E-2</v>
      </c>
      <c r="AS360">
        <f>VLOOKUP($AC360,'2017 Seattle Tracts'!$C$2:$Z$399,AS$1,FALSE)*AA360</f>
        <v>3.8816570230358574E-2</v>
      </c>
      <c r="AT360">
        <f>VLOOKUP($AC360,'2017 Seattle Tracts'!$C$2:$Z$399,AT$1,FALSE)*AA360</f>
        <v>0</v>
      </c>
      <c r="AU360">
        <f>VLOOKUP($AC360,'2017 Seattle Tracts'!$C$2:$Z$399,AU$1,FALSE)*AA360</f>
        <v>0</v>
      </c>
      <c r="AV360">
        <f>VLOOKUP($AC360,'2017 Seattle Tracts'!$C$2:$Z$399,AV$1,FALSE)*AA360</f>
        <v>2.8422174854865066E-3</v>
      </c>
      <c r="AW360">
        <f>VLOOKUP($AC360,'2017 Seattle Tracts'!$C$2:$Z$399,AW$1,FALSE)*AA360</f>
        <v>1.3805056358077317E-3</v>
      </c>
      <c r="AX360">
        <f>VLOOKUP($AC360,'2017 Seattle Tracts'!$C$2:$Z$399,AX$1,FALSE)*AA360</f>
        <v>1.9327078901308244E-2</v>
      </c>
      <c r="AY360">
        <f>VLOOKUP($AC360,'2017 Seattle Tracts'!$C$2:$Z$399,AY$1,FALSE)*AA360</f>
        <v>4.1415169074231952E-3</v>
      </c>
    </row>
    <row r="361" spans="1:51" x14ac:dyDescent="0.25">
      <c r="A361" t="s">
        <v>2917</v>
      </c>
      <c r="B361" t="s">
        <v>2918</v>
      </c>
      <c r="C361" t="s">
        <v>3191</v>
      </c>
      <c r="D361" t="s">
        <v>2647</v>
      </c>
      <c r="E361" t="s">
        <v>2648</v>
      </c>
      <c r="F361" t="s">
        <v>2649</v>
      </c>
      <c r="G361" t="s">
        <v>2920</v>
      </c>
      <c r="H361" t="s">
        <v>2921</v>
      </c>
      <c r="I361">
        <v>5109618</v>
      </c>
      <c r="J361">
        <v>2295838</v>
      </c>
      <c r="K361" t="s">
        <v>3192</v>
      </c>
      <c r="L361" t="s">
        <v>3193</v>
      </c>
      <c r="M361">
        <v>4975678</v>
      </c>
      <c r="N361">
        <v>52</v>
      </c>
      <c r="O361">
        <v>20223.18</v>
      </c>
      <c r="P361" t="s">
        <v>145</v>
      </c>
      <c r="Q361">
        <v>8</v>
      </c>
      <c r="R361">
        <v>4</v>
      </c>
      <c r="S361">
        <v>24</v>
      </c>
      <c r="T361">
        <v>18469264</v>
      </c>
      <c r="U361">
        <v>54</v>
      </c>
      <c r="V361">
        <v>144</v>
      </c>
      <c r="W361">
        <v>20223.18015015221</v>
      </c>
      <c r="X361">
        <v>18469263.88812134</v>
      </c>
      <c r="Y361">
        <v>638132.41</v>
      </c>
      <c r="Z361">
        <f>VLOOKUP($AC361,'2017 Seattle Tracts'!$C$2:$Z$399,24,FALSE)</f>
        <v>4975678.3470000001</v>
      </c>
      <c r="AA361">
        <f t="shared" si="11"/>
        <v>0.1282503340242544</v>
      </c>
      <c r="AB361" t="s">
        <v>147</v>
      </c>
      <c r="AC361" t="str">
        <f t="shared" si="10"/>
        <v>Census Tract 57, King County, Washington</v>
      </c>
      <c r="AD361">
        <f>VLOOKUP($AC361,'2017 Seattle Tracts'!$C$2:$Z$399,AD$1,FALSE)*AA361</f>
        <v>874.15427670931797</v>
      </c>
      <c r="AE361">
        <f>VLOOKUP($AC361,'2017 Seattle Tracts'!$C$2:$Z$399,AE$1,FALSE)*AA361</f>
        <v>746.80169502323338</v>
      </c>
      <c r="AF361">
        <f>VLOOKUP($AC361,'2017 Seattle Tracts'!$C$2:$Z$399,AF$1,FALSE)*AA361</f>
        <v>127.35258168608462</v>
      </c>
      <c r="AG361">
        <f>VLOOKUP($AC361,'2017 Seattle Tracts'!$C$2:$Z$399,AG$1,FALSE)*AA361</f>
        <v>874.15427670931797</v>
      </c>
      <c r="AH361">
        <f>VLOOKUP($AC361,'2017 Seattle Tracts'!$C$2:$Z$399,AH$1,FALSE)*AA361</f>
        <v>746.80169502323338</v>
      </c>
      <c r="AI361">
        <f>VLOOKUP($AC361,'2017 Seattle Tracts'!$C$2:$Z$399,AI$1,FALSE)*AA361</f>
        <v>127.35258168608462</v>
      </c>
      <c r="AJ361">
        <f>VLOOKUP($AC361,'2017 Seattle Tracts'!$C$2:$Z$399,AJ$1,FALSE)*AA361</f>
        <v>657.53946254235234</v>
      </c>
      <c r="AK361">
        <f>VLOOKUP($AC361,'2017 Seattle Tracts'!$C$2:$Z$399,AK$1,FALSE)*AA361</f>
        <v>46.426620916780095</v>
      </c>
      <c r="AL361">
        <f>VLOOKUP($AC361,'2017 Seattle Tracts'!$C$2:$Z$399,AL$1,FALSE)*AA361</f>
        <v>21.674306450098992</v>
      </c>
      <c r="AM361">
        <f>VLOOKUP($AC361,'2017 Seattle Tracts'!$C$2:$Z$399,AM$1,FALSE)*AA361</f>
        <v>2.0520053443880704</v>
      </c>
      <c r="AN361">
        <f>VLOOKUP($AC361,'2017 Seattle Tracts'!$C$2:$Z$399,AN$1,FALSE)*AA361</f>
        <v>4.3605113568246496</v>
      </c>
      <c r="AO361">
        <f>VLOOKUP($AC361,'2017 Seattle Tracts'!$C$2:$Z$399,AO$1,FALSE)*AA361</f>
        <v>8.8492730476735542</v>
      </c>
      <c r="AP361">
        <f>VLOOKUP($AC361,'2017 Seattle Tracts'!$C$2:$Z$399,AP$1,FALSE)*AA361</f>
        <v>5.5147643630429393</v>
      </c>
      <c r="AQ361">
        <f>VLOOKUP($AC361,'2017 Seattle Tracts'!$C$2:$Z$399,AQ$1,FALSE)*AA361</f>
        <v>0</v>
      </c>
      <c r="AR361">
        <f>VLOOKUP($AC361,'2017 Seattle Tracts'!$C$2:$Z$399,AR$1,FALSE)*AA361</f>
        <v>22.700309122293028</v>
      </c>
      <c r="AS361">
        <f>VLOOKUP($AC361,'2017 Seattle Tracts'!$C$2:$Z$399,AS$1,FALSE)*AA361</f>
        <v>61.303659663593599</v>
      </c>
      <c r="AT361">
        <f>VLOOKUP($AC361,'2017 Seattle Tracts'!$C$2:$Z$399,AT$1,FALSE)*AA361</f>
        <v>0</v>
      </c>
      <c r="AU361">
        <f>VLOOKUP($AC361,'2017 Seattle Tracts'!$C$2:$Z$399,AU$1,FALSE)*AA361</f>
        <v>0</v>
      </c>
      <c r="AV361">
        <f>VLOOKUP($AC361,'2017 Seattle Tracts'!$C$2:$Z$399,AV$1,FALSE)*AA361</f>
        <v>4.4887616908489036</v>
      </c>
      <c r="AW361">
        <f>VLOOKUP($AC361,'2017 Seattle Tracts'!$C$2:$Z$399,AW$1,FALSE)*AA361</f>
        <v>2.1802556784123248</v>
      </c>
      <c r="AX361">
        <f>VLOOKUP($AC361,'2017 Seattle Tracts'!$C$2:$Z$399,AX$1,FALSE)*AA361</f>
        <v>30.523579497772548</v>
      </c>
      <c r="AY361">
        <f>VLOOKUP($AC361,'2017 Seattle Tracts'!$C$2:$Z$399,AY$1,FALSE)*AA361</f>
        <v>6.540767035236974</v>
      </c>
    </row>
    <row r="362" spans="1:51" x14ac:dyDescent="0.25">
      <c r="A362" t="s">
        <v>2917</v>
      </c>
      <c r="B362" t="s">
        <v>2918</v>
      </c>
      <c r="C362" t="s">
        <v>3191</v>
      </c>
      <c r="D362" t="s">
        <v>2647</v>
      </c>
      <c r="E362" t="s">
        <v>2648</v>
      </c>
      <c r="F362" t="s">
        <v>2649</v>
      </c>
      <c r="G362" t="s">
        <v>2920</v>
      </c>
      <c r="H362" t="s">
        <v>2921</v>
      </c>
      <c r="I362">
        <v>5109618</v>
      </c>
      <c r="J362">
        <v>2295838</v>
      </c>
      <c r="K362" t="s">
        <v>3192</v>
      </c>
      <c r="L362" t="s">
        <v>3193</v>
      </c>
      <c r="M362">
        <v>4975678</v>
      </c>
      <c r="N362">
        <v>66</v>
      </c>
      <c r="O362">
        <v>64207.586000000003</v>
      </c>
      <c r="P362" t="s">
        <v>164</v>
      </c>
      <c r="Q362">
        <v>9</v>
      </c>
      <c r="R362">
        <v>12</v>
      </c>
      <c r="S362">
        <v>95</v>
      </c>
      <c r="T362">
        <v>33503942</v>
      </c>
      <c r="U362">
        <v>68</v>
      </c>
      <c r="V362">
        <v>199</v>
      </c>
      <c r="W362">
        <v>64207.586761171791</v>
      </c>
      <c r="X362">
        <v>33503941.092720222</v>
      </c>
      <c r="Y362">
        <v>138729.29399999999</v>
      </c>
      <c r="Z362">
        <f>VLOOKUP($AC362,'2017 Seattle Tracts'!$C$2:$Z$399,24,FALSE)</f>
        <v>4975678.3470000001</v>
      </c>
      <c r="AA362">
        <f t="shared" si="11"/>
        <v>2.7881483553623285E-2</v>
      </c>
      <c r="AB362" t="s">
        <v>163</v>
      </c>
      <c r="AC362" t="str">
        <f t="shared" si="10"/>
        <v>Census Tract 57, King County, Washington</v>
      </c>
      <c r="AD362">
        <f>VLOOKUP($AC362,'2017 Seattle Tracts'!$C$2:$Z$399,AD$1,FALSE)*AA362</f>
        <v>190.04019190149631</v>
      </c>
      <c r="AE362">
        <f>VLOOKUP($AC362,'2017 Seattle Tracts'!$C$2:$Z$399,AE$1,FALSE)*AA362</f>
        <v>162.3538787327484</v>
      </c>
      <c r="AF362">
        <f>VLOOKUP($AC362,'2017 Seattle Tracts'!$C$2:$Z$399,AF$1,FALSE)*AA362</f>
        <v>27.686313168747922</v>
      </c>
      <c r="AG362">
        <f>VLOOKUP($AC362,'2017 Seattle Tracts'!$C$2:$Z$399,AG$1,FALSE)*AA362</f>
        <v>190.04019190149631</v>
      </c>
      <c r="AH362">
        <f>VLOOKUP($AC362,'2017 Seattle Tracts'!$C$2:$Z$399,AH$1,FALSE)*AA362</f>
        <v>162.3538787327484</v>
      </c>
      <c r="AI362">
        <f>VLOOKUP($AC362,'2017 Seattle Tracts'!$C$2:$Z$399,AI$1,FALSE)*AA362</f>
        <v>27.686313168747922</v>
      </c>
      <c r="AJ362">
        <f>VLOOKUP($AC362,'2017 Seattle Tracts'!$C$2:$Z$399,AJ$1,FALSE)*AA362</f>
        <v>142.94836617942659</v>
      </c>
      <c r="AK362">
        <f>VLOOKUP($AC362,'2017 Seattle Tracts'!$C$2:$Z$399,AK$1,FALSE)*AA362</f>
        <v>10.093097046411629</v>
      </c>
      <c r="AL362">
        <f>VLOOKUP($AC362,'2017 Seattle Tracts'!$C$2:$Z$399,AL$1,FALSE)*AA362</f>
        <v>4.7119707205623351</v>
      </c>
      <c r="AM362">
        <f>VLOOKUP($AC362,'2017 Seattle Tracts'!$C$2:$Z$399,AM$1,FALSE)*AA362</f>
        <v>0.44610373685797255</v>
      </c>
      <c r="AN362">
        <f>VLOOKUP($AC362,'2017 Seattle Tracts'!$C$2:$Z$399,AN$1,FALSE)*AA362</f>
        <v>0.94797044082319171</v>
      </c>
      <c r="AO362">
        <f>VLOOKUP($AC362,'2017 Seattle Tracts'!$C$2:$Z$399,AO$1,FALSE)*AA362</f>
        <v>1.9238223652000066</v>
      </c>
      <c r="AP362">
        <f>VLOOKUP($AC362,'2017 Seattle Tracts'!$C$2:$Z$399,AP$1,FALSE)*AA362</f>
        <v>1.1989037928058013</v>
      </c>
      <c r="AQ362">
        <f>VLOOKUP($AC362,'2017 Seattle Tracts'!$C$2:$Z$399,AQ$1,FALSE)*AA362</f>
        <v>0</v>
      </c>
      <c r="AR362">
        <f>VLOOKUP($AC362,'2017 Seattle Tracts'!$C$2:$Z$399,AR$1,FALSE)*AA362</f>
        <v>4.9350225889913215</v>
      </c>
      <c r="AS362">
        <f>VLOOKUP($AC362,'2017 Seattle Tracts'!$C$2:$Z$399,AS$1,FALSE)*AA362</f>
        <v>13.327349138631931</v>
      </c>
      <c r="AT362">
        <f>VLOOKUP($AC362,'2017 Seattle Tracts'!$C$2:$Z$399,AT$1,FALSE)*AA362</f>
        <v>0</v>
      </c>
      <c r="AU362">
        <f>VLOOKUP($AC362,'2017 Seattle Tracts'!$C$2:$Z$399,AU$1,FALSE)*AA362</f>
        <v>0</v>
      </c>
      <c r="AV362">
        <f>VLOOKUP($AC362,'2017 Seattle Tracts'!$C$2:$Z$399,AV$1,FALSE)*AA362</f>
        <v>0.97585192437681501</v>
      </c>
      <c r="AW362">
        <f>VLOOKUP($AC362,'2017 Seattle Tracts'!$C$2:$Z$399,AW$1,FALSE)*AA362</f>
        <v>0.47398522041159585</v>
      </c>
      <c r="AX362">
        <f>VLOOKUP($AC362,'2017 Seattle Tracts'!$C$2:$Z$399,AX$1,FALSE)*AA362</f>
        <v>6.6357930857623417</v>
      </c>
      <c r="AY362">
        <f>VLOOKUP($AC362,'2017 Seattle Tracts'!$C$2:$Z$399,AY$1,FALSE)*AA362</f>
        <v>1.4219556612347874</v>
      </c>
    </row>
    <row r="363" spans="1:51" x14ac:dyDescent="0.25">
      <c r="A363" t="s">
        <v>2917</v>
      </c>
      <c r="B363" t="s">
        <v>2918</v>
      </c>
      <c r="C363" t="s">
        <v>3194</v>
      </c>
      <c r="D363" t="s">
        <v>2620</v>
      </c>
      <c r="E363" t="s">
        <v>2621</v>
      </c>
      <c r="F363" t="s">
        <v>2622</v>
      </c>
      <c r="G363" t="s">
        <v>2920</v>
      </c>
      <c r="H363" t="s">
        <v>2921</v>
      </c>
      <c r="I363">
        <v>903649</v>
      </c>
      <c r="J363">
        <v>0</v>
      </c>
      <c r="K363" t="s">
        <v>3195</v>
      </c>
      <c r="L363" t="s">
        <v>3196</v>
      </c>
      <c r="M363">
        <v>903650</v>
      </c>
      <c r="N363">
        <v>100</v>
      </c>
      <c r="O363">
        <v>26851.947</v>
      </c>
      <c r="P363" t="s">
        <v>201</v>
      </c>
      <c r="Q363">
        <v>11</v>
      </c>
      <c r="R363">
        <v>3</v>
      </c>
      <c r="S363">
        <v>0</v>
      </c>
      <c r="T363">
        <v>30239240</v>
      </c>
      <c r="U363">
        <v>102</v>
      </c>
      <c r="V363">
        <v>151</v>
      </c>
      <c r="W363">
        <v>26851.9474418256</v>
      </c>
      <c r="X363">
        <v>30239240.52129779</v>
      </c>
      <c r="Y363">
        <v>573.82600000000002</v>
      </c>
      <c r="Z363">
        <f>VLOOKUP($AC363,'2017 Seattle Tracts'!$C$2:$Z$399,24,FALSE)</f>
        <v>903650.33100000001</v>
      </c>
      <c r="AA363">
        <f t="shared" si="11"/>
        <v>6.3500889704205734E-4</v>
      </c>
      <c r="AB363" t="s">
        <v>204</v>
      </c>
      <c r="AC363" t="str">
        <f t="shared" si="10"/>
        <v>Census Tract 64, King County, Washington</v>
      </c>
      <c r="AD363">
        <f>VLOOKUP($AC363,'2017 Seattle Tracts'!$C$2:$Z$399,AD$1,FALSE)*AA363</f>
        <v>2.270156806925355</v>
      </c>
      <c r="AE363">
        <f>VLOOKUP($AC363,'2017 Seattle Tracts'!$C$2:$Z$399,AE$1,FALSE)*AA363</f>
        <v>2.0282184171523312</v>
      </c>
      <c r="AF363">
        <f>VLOOKUP($AC363,'2017 Seattle Tracts'!$C$2:$Z$399,AF$1,FALSE)*AA363</f>
        <v>0.24193838977302384</v>
      </c>
      <c r="AG363">
        <f>VLOOKUP($AC363,'2017 Seattle Tracts'!$C$2:$Z$399,AG$1,FALSE)*AA363</f>
        <v>2.270156806925355</v>
      </c>
      <c r="AH363">
        <f>VLOOKUP($AC363,'2017 Seattle Tracts'!$C$2:$Z$399,AH$1,FALSE)*AA363</f>
        <v>2.0282184171523312</v>
      </c>
      <c r="AI363">
        <f>VLOOKUP($AC363,'2017 Seattle Tracts'!$C$2:$Z$399,AI$1,FALSE)*AA363</f>
        <v>0.24193838977302384</v>
      </c>
      <c r="AJ363">
        <f>VLOOKUP($AC363,'2017 Seattle Tracts'!$C$2:$Z$399,AJ$1,FALSE)*AA363</f>
        <v>1.7462744668656576</v>
      </c>
      <c r="AK363">
        <f>VLOOKUP($AC363,'2017 Seattle Tracts'!$C$2:$Z$399,AK$1,FALSE)*AA363</f>
        <v>0.16256227764276668</v>
      </c>
      <c r="AL363">
        <f>VLOOKUP($AC363,'2017 Seattle Tracts'!$C$2:$Z$399,AL$1,FALSE)*AA363</f>
        <v>5.0800711763364585E-2</v>
      </c>
      <c r="AM363">
        <f>VLOOKUP($AC363,'2017 Seattle Tracts'!$C$2:$Z$399,AM$1,FALSE)*AA363</f>
        <v>2.4765346984640235E-2</v>
      </c>
      <c r="AN363">
        <f>VLOOKUP($AC363,'2017 Seattle Tracts'!$C$2:$Z$399,AN$1,FALSE)*AA363</f>
        <v>1.9050266911261719E-2</v>
      </c>
      <c r="AO363">
        <f>VLOOKUP($AC363,'2017 Seattle Tracts'!$C$2:$Z$399,AO$1,FALSE)*AA363</f>
        <v>5.0800711763364587E-3</v>
      </c>
      <c r="AP363">
        <f>VLOOKUP($AC363,'2017 Seattle Tracts'!$C$2:$Z$399,AP$1,FALSE)*AA363</f>
        <v>5.0800711763364587E-3</v>
      </c>
      <c r="AQ363">
        <f>VLOOKUP($AC363,'2017 Seattle Tracts'!$C$2:$Z$399,AQ$1,FALSE)*AA363</f>
        <v>0</v>
      </c>
      <c r="AR363">
        <f>VLOOKUP($AC363,'2017 Seattle Tracts'!$C$2:$Z$399,AR$1,FALSE)*AA363</f>
        <v>7.6836076542088932E-2</v>
      </c>
      <c r="AS363">
        <f>VLOOKUP($AC363,'2017 Seattle Tracts'!$C$2:$Z$399,AS$1,FALSE)*AA363</f>
        <v>3.619550713139727E-2</v>
      </c>
      <c r="AT363">
        <f>VLOOKUP($AC363,'2017 Seattle Tracts'!$C$2:$Z$399,AT$1,FALSE)*AA363</f>
        <v>1.0795151249714975E-2</v>
      </c>
      <c r="AU363">
        <f>VLOOKUP($AC363,'2017 Seattle Tracts'!$C$2:$Z$399,AU$1,FALSE)*AA363</f>
        <v>0</v>
      </c>
      <c r="AV363">
        <f>VLOOKUP($AC363,'2017 Seattle Tracts'!$C$2:$Z$399,AV$1,FALSE)*AA363</f>
        <v>7.6201067645046885E-3</v>
      </c>
      <c r="AW363">
        <f>VLOOKUP($AC363,'2017 Seattle Tracts'!$C$2:$Z$399,AW$1,FALSE)*AA363</f>
        <v>6.9850978674626304E-3</v>
      </c>
      <c r="AX363">
        <f>VLOOKUP($AC363,'2017 Seattle Tracts'!$C$2:$Z$399,AX$1,FALSE)*AA363</f>
        <v>0.11176156587940209</v>
      </c>
      <c r="AY363">
        <f>VLOOKUP($AC363,'2017 Seattle Tracts'!$C$2:$Z$399,AY$1,FALSE)*AA363</f>
        <v>6.3500889704205732E-3</v>
      </c>
    </row>
    <row r="364" spans="1:51" x14ac:dyDescent="0.25">
      <c r="A364" t="s">
        <v>2917</v>
      </c>
      <c r="B364" t="s">
        <v>2918</v>
      </c>
      <c r="C364" t="s">
        <v>3194</v>
      </c>
      <c r="D364" t="s">
        <v>2620</v>
      </c>
      <c r="E364" t="s">
        <v>2621</v>
      </c>
      <c r="F364" t="s">
        <v>2622</v>
      </c>
      <c r="G364" t="s">
        <v>2920</v>
      </c>
      <c r="H364" t="s">
        <v>2921</v>
      </c>
      <c r="I364">
        <v>903649</v>
      </c>
      <c r="J364">
        <v>0</v>
      </c>
      <c r="K364" t="s">
        <v>3195</v>
      </c>
      <c r="L364" t="s">
        <v>3196</v>
      </c>
      <c r="M364">
        <v>903650</v>
      </c>
      <c r="N364">
        <v>101</v>
      </c>
      <c r="O364">
        <v>25522.346000000001</v>
      </c>
      <c r="P364" t="s">
        <v>201</v>
      </c>
      <c r="Q364">
        <v>11</v>
      </c>
      <c r="R364">
        <v>3</v>
      </c>
      <c r="S364">
        <v>23</v>
      </c>
      <c r="T364">
        <v>26039592</v>
      </c>
      <c r="U364">
        <v>103</v>
      </c>
      <c r="V364">
        <v>149</v>
      </c>
      <c r="W364">
        <v>25522.345636876809</v>
      </c>
      <c r="X364">
        <v>26039592.07912118</v>
      </c>
      <c r="Y364">
        <v>903076.505</v>
      </c>
      <c r="Z364">
        <f>VLOOKUP($AC364,'2017 Seattle Tracts'!$C$2:$Z$399,24,FALSE)</f>
        <v>903650.33100000001</v>
      </c>
      <c r="AA364">
        <f t="shared" si="11"/>
        <v>0.99936499110295796</v>
      </c>
      <c r="AB364" t="s">
        <v>205</v>
      </c>
      <c r="AC364" t="str">
        <f t="shared" si="10"/>
        <v>Census Tract 64, King County, Washington</v>
      </c>
      <c r="AD364">
        <f>VLOOKUP($AC364,'2017 Seattle Tracts'!$C$2:$Z$399,AD$1,FALSE)*AA364</f>
        <v>3572.7298431930749</v>
      </c>
      <c r="AE364">
        <f>VLOOKUP($AC364,'2017 Seattle Tracts'!$C$2:$Z$399,AE$1,FALSE)*AA364</f>
        <v>3191.9717815828476</v>
      </c>
      <c r="AF364">
        <f>VLOOKUP($AC364,'2017 Seattle Tracts'!$C$2:$Z$399,AF$1,FALSE)*AA364</f>
        <v>380.758061610227</v>
      </c>
      <c r="AG364">
        <f>VLOOKUP($AC364,'2017 Seattle Tracts'!$C$2:$Z$399,AG$1,FALSE)*AA364</f>
        <v>3572.7298431930749</v>
      </c>
      <c r="AH364">
        <f>VLOOKUP($AC364,'2017 Seattle Tracts'!$C$2:$Z$399,AH$1,FALSE)*AA364</f>
        <v>3191.9717815828476</v>
      </c>
      <c r="AI364">
        <f>VLOOKUP($AC364,'2017 Seattle Tracts'!$C$2:$Z$399,AI$1,FALSE)*AA364</f>
        <v>380.758061610227</v>
      </c>
      <c r="AJ364">
        <f>VLOOKUP($AC364,'2017 Seattle Tracts'!$C$2:$Z$399,AJ$1,FALSE)*AA364</f>
        <v>2748.2537255331345</v>
      </c>
      <c r="AK364">
        <f>VLOOKUP($AC364,'2017 Seattle Tracts'!$C$2:$Z$399,AK$1,FALSE)*AA364</f>
        <v>255.83743772235724</v>
      </c>
      <c r="AL364">
        <f>VLOOKUP($AC364,'2017 Seattle Tracts'!$C$2:$Z$399,AL$1,FALSE)*AA364</f>
        <v>79.949199288236642</v>
      </c>
      <c r="AM364">
        <f>VLOOKUP($AC364,'2017 Seattle Tracts'!$C$2:$Z$399,AM$1,FALSE)*AA364</f>
        <v>38.975234653015363</v>
      </c>
      <c r="AN364">
        <f>VLOOKUP($AC364,'2017 Seattle Tracts'!$C$2:$Z$399,AN$1,FALSE)*AA364</f>
        <v>29.980949733088739</v>
      </c>
      <c r="AO364">
        <f>VLOOKUP($AC364,'2017 Seattle Tracts'!$C$2:$Z$399,AO$1,FALSE)*AA364</f>
        <v>7.9949199288236636</v>
      </c>
      <c r="AP364">
        <f>VLOOKUP($AC364,'2017 Seattle Tracts'!$C$2:$Z$399,AP$1,FALSE)*AA364</f>
        <v>7.9949199288236636</v>
      </c>
      <c r="AQ364">
        <f>VLOOKUP($AC364,'2017 Seattle Tracts'!$C$2:$Z$399,AQ$1,FALSE)*AA364</f>
        <v>0</v>
      </c>
      <c r="AR364">
        <f>VLOOKUP($AC364,'2017 Seattle Tracts'!$C$2:$Z$399,AR$1,FALSE)*AA364</f>
        <v>120.92316392345791</v>
      </c>
      <c r="AS364">
        <f>VLOOKUP($AC364,'2017 Seattle Tracts'!$C$2:$Z$399,AS$1,FALSE)*AA364</f>
        <v>56.963804492868604</v>
      </c>
      <c r="AT364">
        <f>VLOOKUP($AC364,'2017 Seattle Tracts'!$C$2:$Z$399,AT$1,FALSE)*AA364</f>
        <v>16.989204848750287</v>
      </c>
      <c r="AU364">
        <f>VLOOKUP($AC364,'2017 Seattle Tracts'!$C$2:$Z$399,AU$1,FALSE)*AA364</f>
        <v>0</v>
      </c>
      <c r="AV364">
        <f>VLOOKUP($AC364,'2017 Seattle Tracts'!$C$2:$Z$399,AV$1,FALSE)*AA364</f>
        <v>11.992379893235496</v>
      </c>
      <c r="AW364">
        <f>VLOOKUP($AC364,'2017 Seattle Tracts'!$C$2:$Z$399,AW$1,FALSE)*AA364</f>
        <v>10.993014902132538</v>
      </c>
      <c r="AX364">
        <f>VLOOKUP($AC364,'2017 Seattle Tracts'!$C$2:$Z$399,AX$1,FALSE)*AA364</f>
        <v>175.88823843412061</v>
      </c>
      <c r="AY364">
        <f>VLOOKUP($AC364,'2017 Seattle Tracts'!$C$2:$Z$399,AY$1,FALSE)*AA364</f>
        <v>9.9936499110295802</v>
      </c>
    </row>
    <row r="365" spans="1:51" x14ac:dyDescent="0.25">
      <c r="A365" t="s">
        <v>2917</v>
      </c>
      <c r="B365" t="s">
        <v>2918</v>
      </c>
      <c r="C365" t="s">
        <v>3197</v>
      </c>
      <c r="D365" t="s">
        <v>2641</v>
      </c>
      <c r="E365" t="s">
        <v>2642</v>
      </c>
      <c r="F365" t="s">
        <v>2643</v>
      </c>
      <c r="G365" t="s">
        <v>2920</v>
      </c>
      <c r="H365" t="s">
        <v>2921</v>
      </c>
      <c r="I365">
        <v>3091585</v>
      </c>
      <c r="J365">
        <v>1156788</v>
      </c>
      <c r="K365" t="s">
        <v>3198</v>
      </c>
      <c r="L365" t="s">
        <v>3199</v>
      </c>
      <c r="M365">
        <v>2844904</v>
      </c>
      <c r="N365">
        <v>44</v>
      </c>
      <c r="O365">
        <v>20631.705000000002</v>
      </c>
      <c r="P365" t="s">
        <v>136</v>
      </c>
      <c r="Q365">
        <v>10</v>
      </c>
      <c r="R365">
        <v>7</v>
      </c>
      <c r="S365">
        <v>94</v>
      </c>
      <c r="T365">
        <v>17974986</v>
      </c>
      <c r="U365">
        <v>46</v>
      </c>
      <c r="V365">
        <v>148</v>
      </c>
      <c r="W365">
        <v>20631.70572929232</v>
      </c>
      <c r="X365">
        <v>17974985.95263635</v>
      </c>
      <c r="Y365">
        <v>467591.29800000001</v>
      </c>
      <c r="Z365">
        <f>VLOOKUP($AC365,'2017 Seattle Tracts'!$C$2:$Z$399,24,FALSE)</f>
        <v>2844904.52</v>
      </c>
      <c r="AA365">
        <f t="shared" si="11"/>
        <v>0.16436098108487662</v>
      </c>
      <c r="AB365" t="s">
        <v>137</v>
      </c>
      <c r="AC365" t="str">
        <f t="shared" si="10"/>
        <v>Census Tract 58.02, King County, Washington</v>
      </c>
      <c r="AD365">
        <f>VLOOKUP($AC365,'2017 Seattle Tracts'!$C$2:$Z$399,AD$1,FALSE)*AA365</f>
        <v>933.57037256209924</v>
      </c>
      <c r="AE365">
        <f>VLOOKUP($AC365,'2017 Seattle Tracts'!$C$2:$Z$399,AE$1,FALSE)*AA365</f>
        <v>772.3322501178352</v>
      </c>
      <c r="AF365">
        <f>VLOOKUP($AC365,'2017 Seattle Tracts'!$C$2:$Z$399,AF$1,FALSE)*AA365</f>
        <v>161.23812244426398</v>
      </c>
      <c r="AG365">
        <f>VLOOKUP($AC365,'2017 Seattle Tracts'!$C$2:$Z$399,AG$1,FALSE)*AA365</f>
        <v>933.57037256209924</v>
      </c>
      <c r="AH365">
        <f>VLOOKUP($AC365,'2017 Seattle Tracts'!$C$2:$Z$399,AH$1,FALSE)*AA365</f>
        <v>772.3322501178352</v>
      </c>
      <c r="AI365">
        <f>VLOOKUP($AC365,'2017 Seattle Tracts'!$C$2:$Z$399,AI$1,FALSE)*AA365</f>
        <v>161.23812244426398</v>
      </c>
      <c r="AJ365">
        <f>VLOOKUP($AC365,'2017 Seattle Tracts'!$C$2:$Z$399,AJ$1,FALSE)*AA365</f>
        <v>598.27397114895086</v>
      </c>
      <c r="AK365">
        <f>VLOOKUP($AC365,'2017 Seattle Tracts'!$C$2:$Z$399,AK$1,FALSE)*AA365</f>
        <v>64.922587528526265</v>
      </c>
      <c r="AL365">
        <f>VLOOKUP($AC365,'2017 Seattle Tracts'!$C$2:$Z$399,AL$1,FALSE)*AA365</f>
        <v>20.545122635609577</v>
      </c>
      <c r="AM365">
        <f>VLOOKUP($AC365,'2017 Seattle Tracts'!$C$2:$Z$399,AM$1,FALSE)*AA365</f>
        <v>9.20421494075309</v>
      </c>
      <c r="AN365">
        <f>VLOOKUP($AC365,'2017 Seattle Tracts'!$C$2:$Z$399,AN$1,FALSE)*AA365</f>
        <v>56.868899455367313</v>
      </c>
      <c r="AO365">
        <f>VLOOKUP($AC365,'2017 Seattle Tracts'!$C$2:$Z$399,AO$1,FALSE)*AA365</f>
        <v>0</v>
      </c>
      <c r="AP365">
        <f>VLOOKUP($AC365,'2017 Seattle Tracts'!$C$2:$Z$399,AP$1,FALSE)*AA365</f>
        <v>0</v>
      </c>
      <c r="AQ365">
        <f>VLOOKUP($AC365,'2017 Seattle Tracts'!$C$2:$Z$399,AQ$1,FALSE)*AA365</f>
        <v>0</v>
      </c>
      <c r="AR365">
        <f>VLOOKUP($AC365,'2017 Seattle Tracts'!$C$2:$Z$399,AR$1,FALSE)*AA365</f>
        <v>50.130099230887367</v>
      </c>
      <c r="AS365">
        <f>VLOOKUP($AC365,'2017 Seattle Tracts'!$C$2:$Z$399,AS$1,FALSE)*AA365</f>
        <v>78.728909939655907</v>
      </c>
      <c r="AT365">
        <f>VLOOKUP($AC365,'2017 Seattle Tracts'!$C$2:$Z$399,AT$1,FALSE)*AA365</f>
        <v>0</v>
      </c>
      <c r="AU365">
        <f>VLOOKUP($AC365,'2017 Seattle Tracts'!$C$2:$Z$399,AU$1,FALSE)*AA365</f>
        <v>3.6159415838672855</v>
      </c>
      <c r="AV365">
        <f>VLOOKUP($AC365,'2017 Seattle Tracts'!$C$2:$Z$399,AV$1,FALSE)*AA365</f>
        <v>0</v>
      </c>
      <c r="AW365">
        <f>VLOOKUP($AC365,'2017 Seattle Tracts'!$C$2:$Z$399,AW$1,FALSE)*AA365</f>
        <v>0</v>
      </c>
      <c r="AX365">
        <f>VLOOKUP($AC365,'2017 Seattle Tracts'!$C$2:$Z$399,AX$1,FALSE)*AA365</f>
        <v>46.514157647020085</v>
      </c>
      <c r="AY365">
        <f>VLOOKUP($AC365,'2017 Seattle Tracts'!$C$2:$Z$399,AY$1,FALSE)*AA365</f>
        <v>4.7664684514614217</v>
      </c>
    </row>
    <row r="366" spans="1:51" x14ac:dyDescent="0.25">
      <c r="A366" t="s">
        <v>2917</v>
      </c>
      <c r="B366" t="s">
        <v>2918</v>
      </c>
      <c r="C366" t="s">
        <v>3197</v>
      </c>
      <c r="D366" t="s">
        <v>2641</v>
      </c>
      <c r="E366" t="s">
        <v>2642</v>
      </c>
      <c r="F366" t="s">
        <v>2643</v>
      </c>
      <c r="G366" t="s">
        <v>2920</v>
      </c>
      <c r="H366" t="s">
        <v>2921</v>
      </c>
      <c r="I366">
        <v>3091585</v>
      </c>
      <c r="J366">
        <v>1156788</v>
      </c>
      <c r="K366" t="s">
        <v>3198</v>
      </c>
      <c r="L366" t="s">
        <v>3199</v>
      </c>
      <c r="M366">
        <v>2844904</v>
      </c>
      <c r="N366">
        <v>45</v>
      </c>
      <c r="O366">
        <v>20496.728999999999</v>
      </c>
      <c r="P366" t="s">
        <v>136</v>
      </c>
      <c r="Q366">
        <v>10</v>
      </c>
      <c r="R366">
        <v>7</v>
      </c>
      <c r="S366">
        <v>9</v>
      </c>
      <c r="T366">
        <v>17515624</v>
      </c>
      <c r="U366">
        <v>47</v>
      </c>
      <c r="V366">
        <v>152</v>
      </c>
      <c r="W366">
        <v>20496.72892223937</v>
      </c>
      <c r="X366">
        <v>17515624.457026299</v>
      </c>
      <c r="Y366">
        <v>2477.759</v>
      </c>
      <c r="Z366">
        <f>VLOOKUP($AC366,'2017 Seattle Tracts'!$C$2:$Z$399,24,FALSE)</f>
        <v>2844904.52</v>
      </c>
      <c r="AA366">
        <f t="shared" si="11"/>
        <v>8.7094627695976246E-4</v>
      </c>
      <c r="AB366" t="s">
        <v>138</v>
      </c>
      <c r="AC366" t="str">
        <f t="shared" si="10"/>
        <v>Census Tract 58.02, King County, Washington</v>
      </c>
      <c r="AD366">
        <f>VLOOKUP($AC366,'2017 Seattle Tracts'!$C$2:$Z$399,AD$1,FALSE)*AA366</f>
        <v>4.9469748531314508</v>
      </c>
      <c r="AE366">
        <f>VLOOKUP($AC366,'2017 Seattle Tracts'!$C$2:$Z$399,AE$1,FALSE)*AA366</f>
        <v>4.092576555433924</v>
      </c>
      <c r="AF366">
        <f>VLOOKUP($AC366,'2017 Seattle Tracts'!$C$2:$Z$399,AF$1,FALSE)*AA366</f>
        <v>0.85439829769752695</v>
      </c>
      <c r="AG366">
        <f>VLOOKUP($AC366,'2017 Seattle Tracts'!$C$2:$Z$399,AG$1,FALSE)*AA366</f>
        <v>4.9469748531314508</v>
      </c>
      <c r="AH366">
        <f>VLOOKUP($AC366,'2017 Seattle Tracts'!$C$2:$Z$399,AH$1,FALSE)*AA366</f>
        <v>4.092576555433924</v>
      </c>
      <c r="AI366">
        <f>VLOOKUP($AC366,'2017 Seattle Tracts'!$C$2:$Z$399,AI$1,FALSE)*AA366</f>
        <v>0.85439829769752695</v>
      </c>
      <c r="AJ366">
        <f>VLOOKUP($AC366,'2017 Seattle Tracts'!$C$2:$Z$399,AJ$1,FALSE)*AA366</f>
        <v>3.1702444481335355</v>
      </c>
      <c r="AK366">
        <f>VLOOKUP($AC366,'2017 Seattle Tracts'!$C$2:$Z$399,AK$1,FALSE)*AA366</f>
        <v>0.34402377939910617</v>
      </c>
      <c r="AL366">
        <f>VLOOKUP($AC366,'2017 Seattle Tracts'!$C$2:$Z$399,AL$1,FALSE)*AA366</f>
        <v>0.10886828461997031</v>
      </c>
      <c r="AM366">
        <f>VLOOKUP($AC366,'2017 Seattle Tracts'!$C$2:$Z$399,AM$1,FALSE)*AA366</f>
        <v>4.8772991509746698E-2</v>
      </c>
      <c r="AN366">
        <f>VLOOKUP($AC366,'2017 Seattle Tracts'!$C$2:$Z$399,AN$1,FALSE)*AA366</f>
        <v>0.30134741182807784</v>
      </c>
      <c r="AO366">
        <f>VLOOKUP($AC366,'2017 Seattle Tracts'!$C$2:$Z$399,AO$1,FALSE)*AA366</f>
        <v>0</v>
      </c>
      <c r="AP366">
        <f>VLOOKUP($AC366,'2017 Seattle Tracts'!$C$2:$Z$399,AP$1,FALSE)*AA366</f>
        <v>0</v>
      </c>
      <c r="AQ366">
        <f>VLOOKUP($AC366,'2017 Seattle Tracts'!$C$2:$Z$399,AQ$1,FALSE)*AA366</f>
        <v>0</v>
      </c>
      <c r="AR366">
        <f>VLOOKUP($AC366,'2017 Seattle Tracts'!$C$2:$Z$399,AR$1,FALSE)*AA366</f>
        <v>0.26563861447272757</v>
      </c>
      <c r="AS366">
        <f>VLOOKUP($AC366,'2017 Seattle Tracts'!$C$2:$Z$399,AS$1,FALSE)*AA366</f>
        <v>0.41718326666372624</v>
      </c>
      <c r="AT366">
        <f>VLOOKUP($AC366,'2017 Seattle Tracts'!$C$2:$Z$399,AT$1,FALSE)*AA366</f>
        <v>0</v>
      </c>
      <c r="AU366">
        <f>VLOOKUP($AC366,'2017 Seattle Tracts'!$C$2:$Z$399,AU$1,FALSE)*AA366</f>
        <v>1.9160818093114776E-2</v>
      </c>
      <c r="AV366">
        <f>VLOOKUP($AC366,'2017 Seattle Tracts'!$C$2:$Z$399,AV$1,FALSE)*AA366</f>
        <v>0</v>
      </c>
      <c r="AW366">
        <f>VLOOKUP($AC366,'2017 Seattle Tracts'!$C$2:$Z$399,AW$1,FALSE)*AA366</f>
        <v>0</v>
      </c>
      <c r="AX366">
        <f>VLOOKUP($AC366,'2017 Seattle Tracts'!$C$2:$Z$399,AX$1,FALSE)*AA366</f>
        <v>0.24647779637961278</v>
      </c>
      <c r="AY366">
        <f>VLOOKUP($AC366,'2017 Seattle Tracts'!$C$2:$Z$399,AY$1,FALSE)*AA366</f>
        <v>2.5257442031833111E-2</v>
      </c>
    </row>
    <row r="367" spans="1:51" x14ac:dyDescent="0.25">
      <c r="A367" t="s">
        <v>2917</v>
      </c>
      <c r="B367" t="s">
        <v>2918</v>
      </c>
      <c r="C367" t="s">
        <v>3197</v>
      </c>
      <c r="D367" t="s">
        <v>2641</v>
      </c>
      <c r="E367" t="s">
        <v>2642</v>
      </c>
      <c r="F367" t="s">
        <v>2643</v>
      </c>
      <c r="G367" t="s">
        <v>2920</v>
      </c>
      <c r="H367" t="s">
        <v>2921</v>
      </c>
      <c r="I367">
        <v>3091585</v>
      </c>
      <c r="J367">
        <v>1156788</v>
      </c>
      <c r="K367" t="s">
        <v>3198</v>
      </c>
      <c r="L367" t="s">
        <v>3199</v>
      </c>
      <c r="M367">
        <v>2844904</v>
      </c>
      <c r="N367">
        <v>46</v>
      </c>
      <c r="O367">
        <v>26753.555</v>
      </c>
      <c r="P367" t="s">
        <v>136</v>
      </c>
      <c r="Q367">
        <v>10</v>
      </c>
      <c r="R367">
        <v>7</v>
      </c>
      <c r="S367">
        <v>19</v>
      </c>
      <c r="T367">
        <v>29604288</v>
      </c>
      <c r="U367">
        <v>48</v>
      </c>
      <c r="V367">
        <v>140</v>
      </c>
      <c r="W367">
        <v>26753.55428174289</v>
      </c>
      <c r="X367">
        <v>29604288.332963161</v>
      </c>
      <c r="Y367">
        <v>76271.789000000004</v>
      </c>
      <c r="Z367">
        <f>VLOOKUP($AC367,'2017 Seattle Tracts'!$C$2:$Z$399,24,FALSE)</f>
        <v>2844904.52</v>
      </c>
      <c r="AA367">
        <f t="shared" si="11"/>
        <v>2.6809964434236971E-2</v>
      </c>
      <c r="AB367" t="s">
        <v>139</v>
      </c>
      <c r="AC367" t="str">
        <f t="shared" si="10"/>
        <v>Census Tract 58.02, King County, Washington</v>
      </c>
      <c r="AD367">
        <f>VLOOKUP($AC367,'2017 Seattle Tracts'!$C$2:$Z$399,AD$1,FALSE)*AA367</f>
        <v>152.28059798646601</v>
      </c>
      <c r="AE367">
        <f>VLOOKUP($AC367,'2017 Seattle Tracts'!$C$2:$Z$399,AE$1,FALSE)*AA367</f>
        <v>125.98002287647952</v>
      </c>
      <c r="AF367">
        <f>VLOOKUP($AC367,'2017 Seattle Tracts'!$C$2:$Z$399,AF$1,FALSE)*AA367</f>
        <v>26.300575109986468</v>
      </c>
      <c r="AG367">
        <f>VLOOKUP($AC367,'2017 Seattle Tracts'!$C$2:$Z$399,AG$1,FALSE)*AA367</f>
        <v>152.28059798646601</v>
      </c>
      <c r="AH367">
        <f>VLOOKUP($AC367,'2017 Seattle Tracts'!$C$2:$Z$399,AH$1,FALSE)*AA367</f>
        <v>125.98002287647952</v>
      </c>
      <c r="AI367">
        <f>VLOOKUP($AC367,'2017 Seattle Tracts'!$C$2:$Z$399,AI$1,FALSE)*AA367</f>
        <v>26.300575109986468</v>
      </c>
      <c r="AJ367">
        <f>VLOOKUP($AC367,'2017 Seattle Tracts'!$C$2:$Z$399,AJ$1,FALSE)*AA367</f>
        <v>97.588270540622574</v>
      </c>
      <c r="AK367">
        <f>VLOOKUP($AC367,'2017 Seattle Tracts'!$C$2:$Z$399,AK$1,FALSE)*AA367</f>
        <v>10.589935951523604</v>
      </c>
      <c r="AL367">
        <f>VLOOKUP($AC367,'2017 Seattle Tracts'!$C$2:$Z$399,AL$1,FALSE)*AA367</f>
        <v>3.3512455542796213</v>
      </c>
      <c r="AM367">
        <f>VLOOKUP($AC367,'2017 Seattle Tracts'!$C$2:$Z$399,AM$1,FALSE)*AA367</f>
        <v>1.5013580083172704</v>
      </c>
      <c r="AN367">
        <f>VLOOKUP($AC367,'2017 Seattle Tracts'!$C$2:$Z$399,AN$1,FALSE)*AA367</f>
        <v>9.2762476942459919</v>
      </c>
      <c r="AO367">
        <f>VLOOKUP($AC367,'2017 Seattle Tracts'!$C$2:$Z$399,AO$1,FALSE)*AA367</f>
        <v>0</v>
      </c>
      <c r="AP367">
        <f>VLOOKUP($AC367,'2017 Seattle Tracts'!$C$2:$Z$399,AP$1,FALSE)*AA367</f>
        <v>0</v>
      </c>
      <c r="AQ367">
        <f>VLOOKUP($AC367,'2017 Seattle Tracts'!$C$2:$Z$399,AQ$1,FALSE)*AA367</f>
        <v>0</v>
      </c>
      <c r="AR367">
        <f>VLOOKUP($AC367,'2017 Seattle Tracts'!$C$2:$Z$399,AR$1,FALSE)*AA367</f>
        <v>8.1770391524422763</v>
      </c>
      <c r="AS367">
        <f>VLOOKUP($AC367,'2017 Seattle Tracts'!$C$2:$Z$399,AS$1,FALSE)*AA367</f>
        <v>12.84197296399951</v>
      </c>
      <c r="AT367">
        <f>VLOOKUP($AC367,'2017 Seattle Tracts'!$C$2:$Z$399,AT$1,FALSE)*AA367</f>
        <v>0</v>
      </c>
      <c r="AU367">
        <f>VLOOKUP($AC367,'2017 Seattle Tracts'!$C$2:$Z$399,AU$1,FALSE)*AA367</f>
        <v>0.58981921755321332</v>
      </c>
      <c r="AV367">
        <f>VLOOKUP($AC367,'2017 Seattle Tracts'!$C$2:$Z$399,AV$1,FALSE)*AA367</f>
        <v>0</v>
      </c>
      <c r="AW367">
        <f>VLOOKUP($AC367,'2017 Seattle Tracts'!$C$2:$Z$399,AW$1,FALSE)*AA367</f>
        <v>0</v>
      </c>
      <c r="AX367">
        <f>VLOOKUP($AC367,'2017 Seattle Tracts'!$C$2:$Z$399,AX$1,FALSE)*AA367</f>
        <v>7.5872199348890632</v>
      </c>
      <c r="AY367">
        <f>VLOOKUP($AC367,'2017 Seattle Tracts'!$C$2:$Z$399,AY$1,FALSE)*AA367</f>
        <v>0.7774889685928722</v>
      </c>
    </row>
    <row r="368" spans="1:51" x14ac:dyDescent="0.25">
      <c r="A368" t="s">
        <v>2917</v>
      </c>
      <c r="B368" t="s">
        <v>2918</v>
      </c>
      <c r="C368" t="s">
        <v>3197</v>
      </c>
      <c r="D368" t="s">
        <v>2641</v>
      </c>
      <c r="E368" t="s">
        <v>2642</v>
      </c>
      <c r="F368" t="s">
        <v>2643</v>
      </c>
      <c r="G368" t="s">
        <v>2920</v>
      </c>
      <c r="H368" t="s">
        <v>2921</v>
      </c>
      <c r="I368">
        <v>3091585</v>
      </c>
      <c r="J368">
        <v>1156788</v>
      </c>
      <c r="K368" t="s">
        <v>3198</v>
      </c>
      <c r="L368" t="s">
        <v>3199</v>
      </c>
      <c r="M368">
        <v>2844904</v>
      </c>
      <c r="N368">
        <v>50</v>
      </c>
      <c r="O368">
        <v>38766.065999999999</v>
      </c>
      <c r="P368" t="s">
        <v>145</v>
      </c>
      <c r="Q368">
        <v>8</v>
      </c>
      <c r="R368">
        <v>4</v>
      </c>
      <c r="S368">
        <v>23</v>
      </c>
      <c r="T368">
        <v>55091524</v>
      </c>
      <c r="U368">
        <v>52</v>
      </c>
      <c r="V368">
        <v>134</v>
      </c>
      <c r="W368">
        <v>38766.06733491068</v>
      </c>
      <c r="X368">
        <v>55091525.290939339</v>
      </c>
      <c r="Y368">
        <v>38.587000000000003</v>
      </c>
      <c r="Z368">
        <f>VLOOKUP($AC368,'2017 Seattle Tracts'!$C$2:$Z$399,24,FALSE)</f>
        <v>2844904.52</v>
      </c>
      <c r="AA368">
        <f t="shared" si="11"/>
        <v>1.3563548347133984E-5</v>
      </c>
      <c r="AB368" t="s">
        <v>144</v>
      </c>
      <c r="AC368" t="str">
        <f t="shared" si="10"/>
        <v>Census Tract 58.02, King County, Washington</v>
      </c>
      <c r="AD368">
        <f>VLOOKUP($AC368,'2017 Seattle Tracts'!$C$2:$Z$399,AD$1,FALSE)*AA368</f>
        <v>7.704095461172103E-2</v>
      </c>
      <c r="AE368">
        <f>VLOOKUP($AC368,'2017 Seattle Tracts'!$C$2:$Z$399,AE$1,FALSE)*AA368</f>
        <v>6.373511368318259E-2</v>
      </c>
      <c r="AF368">
        <f>VLOOKUP($AC368,'2017 Seattle Tracts'!$C$2:$Z$399,AF$1,FALSE)*AA368</f>
        <v>1.3305840928538438E-2</v>
      </c>
      <c r="AG368">
        <f>VLOOKUP($AC368,'2017 Seattle Tracts'!$C$2:$Z$399,AG$1,FALSE)*AA368</f>
        <v>7.704095461172103E-2</v>
      </c>
      <c r="AH368">
        <f>VLOOKUP($AC368,'2017 Seattle Tracts'!$C$2:$Z$399,AH$1,FALSE)*AA368</f>
        <v>6.373511368318259E-2</v>
      </c>
      <c r="AI368">
        <f>VLOOKUP($AC368,'2017 Seattle Tracts'!$C$2:$Z$399,AI$1,FALSE)*AA368</f>
        <v>1.3305840928538438E-2</v>
      </c>
      <c r="AJ368">
        <f>VLOOKUP($AC368,'2017 Seattle Tracts'!$C$2:$Z$399,AJ$1,FALSE)*AA368</f>
        <v>4.9371315983567705E-2</v>
      </c>
      <c r="AK368">
        <f>VLOOKUP($AC368,'2017 Seattle Tracts'!$C$2:$Z$399,AK$1,FALSE)*AA368</f>
        <v>5.3576015971179237E-3</v>
      </c>
      <c r="AL368">
        <f>VLOOKUP($AC368,'2017 Seattle Tracts'!$C$2:$Z$399,AL$1,FALSE)*AA368</f>
        <v>1.6954435433917481E-3</v>
      </c>
      <c r="AM368">
        <f>VLOOKUP($AC368,'2017 Seattle Tracts'!$C$2:$Z$399,AM$1,FALSE)*AA368</f>
        <v>7.5955870743950316E-4</v>
      </c>
      <c r="AN368">
        <f>VLOOKUP($AC368,'2017 Seattle Tracts'!$C$2:$Z$399,AN$1,FALSE)*AA368</f>
        <v>4.6929877281083584E-3</v>
      </c>
      <c r="AO368">
        <f>VLOOKUP($AC368,'2017 Seattle Tracts'!$C$2:$Z$399,AO$1,FALSE)*AA368</f>
        <v>0</v>
      </c>
      <c r="AP368">
        <f>VLOOKUP($AC368,'2017 Seattle Tracts'!$C$2:$Z$399,AP$1,FALSE)*AA368</f>
        <v>0</v>
      </c>
      <c r="AQ368">
        <f>VLOOKUP($AC368,'2017 Seattle Tracts'!$C$2:$Z$399,AQ$1,FALSE)*AA368</f>
        <v>0</v>
      </c>
      <c r="AR368">
        <f>VLOOKUP($AC368,'2017 Seattle Tracts'!$C$2:$Z$399,AR$1,FALSE)*AA368</f>
        <v>4.1368822458758654E-3</v>
      </c>
      <c r="AS368">
        <f>VLOOKUP($AC368,'2017 Seattle Tracts'!$C$2:$Z$399,AS$1,FALSE)*AA368</f>
        <v>6.4969396582771786E-3</v>
      </c>
      <c r="AT368">
        <f>VLOOKUP($AC368,'2017 Seattle Tracts'!$C$2:$Z$399,AT$1,FALSE)*AA368</f>
        <v>0</v>
      </c>
      <c r="AU368">
        <f>VLOOKUP($AC368,'2017 Seattle Tracts'!$C$2:$Z$399,AU$1,FALSE)*AA368</f>
        <v>2.9839806363694767E-4</v>
      </c>
      <c r="AV368">
        <f>VLOOKUP($AC368,'2017 Seattle Tracts'!$C$2:$Z$399,AV$1,FALSE)*AA368</f>
        <v>0</v>
      </c>
      <c r="AW368">
        <f>VLOOKUP($AC368,'2017 Seattle Tracts'!$C$2:$Z$399,AW$1,FALSE)*AA368</f>
        <v>0</v>
      </c>
      <c r="AX368">
        <f>VLOOKUP($AC368,'2017 Seattle Tracts'!$C$2:$Z$399,AX$1,FALSE)*AA368</f>
        <v>3.8384841822389176E-3</v>
      </c>
      <c r="AY368">
        <f>VLOOKUP($AC368,'2017 Seattle Tracts'!$C$2:$Z$399,AY$1,FALSE)*AA368</f>
        <v>3.9334290206688557E-4</v>
      </c>
    </row>
    <row r="369" spans="1:51" x14ac:dyDescent="0.25">
      <c r="A369" t="s">
        <v>2917</v>
      </c>
      <c r="B369" t="s">
        <v>2918</v>
      </c>
      <c r="C369" t="s">
        <v>3197</v>
      </c>
      <c r="D369" t="s">
        <v>2641</v>
      </c>
      <c r="E369" t="s">
        <v>2642</v>
      </c>
      <c r="F369" t="s">
        <v>2643</v>
      </c>
      <c r="G369" t="s">
        <v>2920</v>
      </c>
      <c r="H369" t="s">
        <v>2921</v>
      </c>
      <c r="I369">
        <v>3091585</v>
      </c>
      <c r="J369">
        <v>1156788</v>
      </c>
      <c r="K369" t="s">
        <v>3198</v>
      </c>
      <c r="L369" t="s">
        <v>3199</v>
      </c>
      <c r="M369">
        <v>2844904</v>
      </c>
      <c r="N369">
        <v>52</v>
      </c>
      <c r="O369">
        <v>20223.18</v>
      </c>
      <c r="P369" t="s">
        <v>145</v>
      </c>
      <c r="Q369">
        <v>8</v>
      </c>
      <c r="R369">
        <v>4</v>
      </c>
      <c r="S369">
        <v>24</v>
      </c>
      <c r="T369">
        <v>18469264</v>
      </c>
      <c r="U369">
        <v>54</v>
      </c>
      <c r="V369">
        <v>144</v>
      </c>
      <c r="W369">
        <v>20223.18015015221</v>
      </c>
      <c r="X369">
        <v>18469263.88812134</v>
      </c>
      <c r="Y369">
        <v>629586.76899999997</v>
      </c>
      <c r="Z369">
        <f>VLOOKUP($AC369,'2017 Seattle Tracts'!$C$2:$Z$399,24,FALSE)</f>
        <v>2844904.52</v>
      </c>
      <c r="AA369">
        <f t="shared" si="11"/>
        <v>0.22130330370454751</v>
      </c>
      <c r="AB369" t="s">
        <v>147</v>
      </c>
      <c r="AC369" t="str">
        <f t="shared" si="10"/>
        <v>Census Tract 58.02, King County, Washington</v>
      </c>
      <c r="AD369">
        <f>VLOOKUP($AC369,'2017 Seattle Tracts'!$C$2:$Z$399,AD$1,FALSE)*AA369</f>
        <v>1257.0027650418299</v>
      </c>
      <c r="AE369">
        <f>VLOOKUP($AC369,'2017 Seattle Tracts'!$C$2:$Z$399,AE$1,FALSE)*AA369</f>
        <v>1039.9042241076688</v>
      </c>
      <c r="AF369">
        <f>VLOOKUP($AC369,'2017 Seattle Tracts'!$C$2:$Z$399,AF$1,FALSE)*AA369</f>
        <v>217.09854093416112</v>
      </c>
      <c r="AG369">
        <f>VLOOKUP($AC369,'2017 Seattle Tracts'!$C$2:$Z$399,AG$1,FALSE)*AA369</f>
        <v>1257.0027650418299</v>
      </c>
      <c r="AH369">
        <f>VLOOKUP($AC369,'2017 Seattle Tracts'!$C$2:$Z$399,AH$1,FALSE)*AA369</f>
        <v>1039.9042241076688</v>
      </c>
      <c r="AI369">
        <f>VLOOKUP($AC369,'2017 Seattle Tracts'!$C$2:$Z$399,AI$1,FALSE)*AA369</f>
        <v>217.09854093416112</v>
      </c>
      <c r="AJ369">
        <f>VLOOKUP($AC369,'2017 Seattle Tracts'!$C$2:$Z$399,AJ$1,FALSE)*AA369</f>
        <v>805.54402548455289</v>
      </c>
      <c r="AK369">
        <f>VLOOKUP($AC369,'2017 Seattle Tracts'!$C$2:$Z$399,AK$1,FALSE)*AA369</f>
        <v>87.414804963296262</v>
      </c>
      <c r="AL369">
        <f>VLOOKUP($AC369,'2017 Seattle Tracts'!$C$2:$Z$399,AL$1,FALSE)*AA369</f>
        <v>27.66291296306844</v>
      </c>
      <c r="AM369">
        <f>VLOOKUP($AC369,'2017 Seattle Tracts'!$C$2:$Z$399,AM$1,FALSE)*AA369</f>
        <v>12.39298500745466</v>
      </c>
      <c r="AN369">
        <f>VLOOKUP($AC369,'2017 Seattle Tracts'!$C$2:$Z$399,AN$1,FALSE)*AA369</f>
        <v>76.570943081773436</v>
      </c>
      <c r="AO369">
        <f>VLOOKUP($AC369,'2017 Seattle Tracts'!$C$2:$Z$399,AO$1,FALSE)*AA369</f>
        <v>0</v>
      </c>
      <c r="AP369">
        <f>VLOOKUP($AC369,'2017 Seattle Tracts'!$C$2:$Z$399,AP$1,FALSE)*AA369</f>
        <v>0</v>
      </c>
      <c r="AQ369">
        <f>VLOOKUP($AC369,'2017 Seattle Tracts'!$C$2:$Z$399,AQ$1,FALSE)*AA369</f>
        <v>0</v>
      </c>
      <c r="AR369">
        <f>VLOOKUP($AC369,'2017 Seattle Tracts'!$C$2:$Z$399,AR$1,FALSE)*AA369</f>
        <v>67.497507629886996</v>
      </c>
      <c r="AS369">
        <f>VLOOKUP($AC369,'2017 Seattle Tracts'!$C$2:$Z$399,AS$1,FALSE)*AA369</f>
        <v>106.00428247447826</v>
      </c>
      <c r="AT369">
        <f>VLOOKUP($AC369,'2017 Seattle Tracts'!$C$2:$Z$399,AT$1,FALSE)*AA369</f>
        <v>0</v>
      </c>
      <c r="AU369">
        <f>VLOOKUP($AC369,'2017 Seattle Tracts'!$C$2:$Z$399,AU$1,FALSE)*AA369</f>
        <v>4.868672681500045</v>
      </c>
      <c r="AV369">
        <f>VLOOKUP($AC369,'2017 Seattle Tracts'!$C$2:$Z$399,AV$1,FALSE)*AA369</f>
        <v>0</v>
      </c>
      <c r="AW369">
        <f>VLOOKUP($AC369,'2017 Seattle Tracts'!$C$2:$Z$399,AW$1,FALSE)*AA369</f>
        <v>0</v>
      </c>
      <c r="AX369">
        <f>VLOOKUP($AC369,'2017 Seattle Tracts'!$C$2:$Z$399,AX$1,FALSE)*AA369</f>
        <v>62.628834948386945</v>
      </c>
      <c r="AY369">
        <f>VLOOKUP($AC369,'2017 Seattle Tracts'!$C$2:$Z$399,AY$1,FALSE)*AA369</f>
        <v>6.4177958074318777</v>
      </c>
    </row>
    <row r="370" spans="1:51" x14ac:dyDescent="0.25">
      <c r="A370" t="s">
        <v>2917</v>
      </c>
      <c r="B370" t="s">
        <v>2918</v>
      </c>
      <c r="C370" t="s">
        <v>3197</v>
      </c>
      <c r="D370" t="s">
        <v>2641</v>
      </c>
      <c r="E370" t="s">
        <v>2642</v>
      </c>
      <c r="F370" t="s">
        <v>2643</v>
      </c>
      <c r="G370" t="s">
        <v>2920</v>
      </c>
      <c r="H370" t="s">
        <v>2921</v>
      </c>
      <c r="I370">
        <v>3091585</v>
      </c>
      <c r="J370">
        <v>1156788</v>
      </c>
      <c r="K370" t="s">
        <v>3198</v>
      </c>
      <c r="L370" t="s">
        <v>3199</v>
      </c>
      <c r="M370">
        <v>2844904</v>
      </c>
      <c r="N370">
        <v>66</v>
      </c>
      <c r="O370">
        <v>64207.586000000003</v>
      </c>
      <c r="P370" t="s">
        <v>164</v>
      </c>
      <c r="Q370">
        <v>9</v>
      </c>
      <c r="R370">
        <v>12</v>
      </c>
      <c r="S370">
        <v>95</v>
      </c>
      <c r="T370">
        <v>33503942</v>
      </c>
      <c r="U370">
        <v>68</v>
      </c>
      <c r="V370">
        <v>199</v>
      </c>
      <c r="W370">
        <v>64207.586761171791</v>
      </c>
      <c r="X370">
        <v>33503941.092720222</v>
      </c>
      <c r="Y370">
        <v>1667042.655</v>
      </c>
      <c r="Z370">
        <f>VLOOKUP($AC370,'2017 Seattle Tracts'!$C$2:$Z$399,24,FALSE)</f>
        <v>2844904.52</v>
      </c>
      <c r="AA370">
        <f t="shared" si="11"/>
        <v>0.58597490470435898</v>
      </c>
      <c r="AB370" t="s">
        <v>163</v>
      </c>
      <c r="AC370" t="str">
        <f t="shared" si="10"/>
        <v>Census Tract 58.02, King County, Washington</v>
      </c>
      <c r="AD370">
        <f>VLOOKUP($AC370,'2017 Seattle Tracts'!$C$2:$Z$399,AD$1,FALSE)*AA370</f>
        <v>3328.3374587207591</v>
      </c>
      <c r="AE370">
        <f>VLOOKUP($AC370,'2017 Seattle Tracts'!$C$2:$Z$399,AE$1,FALSE)*AA370</f>
        <v>2753.496077205783</v>
      </c>
      <c r="AF370">
        <f>VLOOKUP($AC370,'2017 Seattle Tracts'!$C$2:$Z$399,AF$1,FALSE)*AA370</f>
        <v>574.84138151497621</v>
      </c>
      <c r="AG370">
        <f>VLOOKUP($AC370,'2017 Seattle Tracts'!$C$2:$Z$399,AG$1,FALSE)*AA370</f>
        <v>3328.3374587207591</v>
      </c>
      <c r="AH370">
        <f>VLOOKUP($AC370,'2017 Seattle Tracts'!$C$2:$Z$399,AH$1,FALSE)*AA370</f>
        <v>2753.496077205783</v>
      </c>
      <c r="AI370">
        <f>VLOOKUP($AC370,'2017 Seattle Tracts'!$C$2:$Z$399,AI$1,FALSE)*AA370</f>
        <v>574.84138151497621</v>
      </c>
      <c r="AJ370">
        <f>VLOOKUP($AC370,'2017 Seattle Tracts'!$C$2:$Z$399,AJ$1,FALSE)*AA370</f>
        <v>2132.9486531238667</v>
      </c>
      <c r="AK370">
        <f>VLOOKUP($AC370,'2017 Seattle Tracts'!$C$2:$Z$399,AK$1,FALSE)*AA370</f>
        <v>231.46008735822178</v>
      </c>
      <c r="AL370">
        <f>VLOOKUP($AC370,'2017 Seattle Tracts'!$C$2:$Z$399,AL$1,FALSE)*AA370</f>
        <v>73.246863088044876</v>
      </c>
      <c r="AM370">
        <f>VLOOKUP($AC370,'2017 Seattle Tracts'!$C$2:$Z$399,AM$1,FALSE)*AA370</f>
        <v>32.814594663444105</v>
      </c>
      <c r="AN370">
        <f>VLOOKUP($AC370,'2017 Seattle Tracts'!$C$2:$Z$399,AN$1,FALSE)*AA370</f>
        <v>202.74731702770822</v>
      </c>
      <c r="AO370">
        <f>VLOOKUP($AC370,'2017 Seattle Tracts'!$C$2:$Z$399,AO$1,FALSE)*AA370</f>
        <v>0</v>
      </c>
      <c r="AP370">
        <f>VLOOKUP($AC370,'2017 Seattle Tracts'!$C$2:$Z$399,AP$1,FALSE)*AA370</f>
        <v>0</v>
      </c>
      <c r="AQ370">
        <f>VLOOKUP($AC370,'2017 Seattle Tracts'!$C$2:$Z$399,AQ$1,FALSE)*AA370</f>
        <v>0</v>
      </c>
      <c r="AR370">
        <f>VLOOKUP($AC370,'2017 Seattle Tracts'!$C$2:$Z$399,AR$1,FALSE)*AA370</f>
        <v>178.72234593482949</v>
      </c>
      <c r="AS370">
        <f>VLOOKUP($AC370,'2017 Seattle Tracts'!$C$2:$Z$399,AS$1,FALSE)*AA370</f>
        <v>280.68197935338793</v>
      </c>
      <c r="AT370">
        <f>VLOOKUP($AC370,'2017 Seattle Tracts'!$C$2:$Z$399,AT$1,FALSE)*AA370</f>
        <v>0</v>
      </c>
      <c r="AU370">
        <f>VLOOKUP($AC370,'2017 Seattle Tracts'!$C$2:$Z$399,AU$1,FALSE)*AA370</f>
        <v>12.891447903495898</v>
      </c>
      <c r="AV370">
        <f>VLOOKUP($AC370,'2017 Seattle Tracts'!$C$2:$Z$399,AV$1,FALSE)*AA370</f>
        <v>0</v>
      </c>
      <c r="AW370">
        <f>VLOOKUP($AC370,'2017 Seattle Tracts'!$C$2:$Z$399,AW$1,FALSE)*AA370</f>
        <v>0</v>
      </c>
      <c r="AX370">
        <f>VLOOKUP($AC370,'2017 Seattle Tracts'!$C$2:$Z$399,AX$1,FALSE)*AA370</f>
        <v>165.83089803133359</v>
      </c>
      <c r="AY370">
        <f>VLOOKUP($AC370,'2017 Seattle Tracts'!$C$2:$Z$399,AY$1,FALSE)*AA370</f>
        <v>16.99327223642641</v>
      </c>
    </row>
    <row r="371" spans="1:51" x14ac:dyDescent="0.25">
      <c r="A371" t="s">
        <v>2917</v>
      </c>
      <c r="B371" t="s">
        <v>2918</v>
      </c>
      <c r="C371" t="s">
        <v>3200</v>
      </c>
      <c r="D371" t="s">
        <v>2638</v>
      </c>
      <c r="E371" t="s">
        <v>2639</v>
      </c>
      <c r="F371" t="s">
        <v>2640</v>
      </c>
      <c r="G371" t="s">
        <v>2920</v>
      </c>
      <c r="H371" t="s">
        <v>2921</v>
      </c>
      <c r="I371">
        <v>1805736</v>
      </c>
      <c r="J371">
        <v>173889</v>
      </c>
      <c r="K371" t="s">
        <v>3201</v>
      </c>
      <c r="L371" t="s">
        <v>3202</v>
      </c>
      <c r="M371">
        <v>1804383</v>
      </c>
      <c r="N371">
        <v>44</v>
      </c>
      <c r="O371">
        <v>20631.705000000002</v>
      </c>
      <c r="P371" t="s">
        <v>136</v>
      </c>
      <c r="Q371">
        <v>10</v>
      </c>
      <c r="R371">
        <v>7</v>
      </c>
      <c r="S371">
        <v>94</v>
      </c>
      <c r="T371">
        <v>17974986</v>
      </c>
      <c r="U371">
        <v>46</v>
      </c>
      <c r="V371">
        <v>148</v>
      </c>
      <c r="W371">
        <v>20631.70572929232</v>
      </c>
      <c r="X371">
        <v>17974985.95263635</v>
      </c>
      <c r="Y371">
        <v>2432.799</v>
      </c>
      <c r="Z371">
        <f>VLOOKUP($AC371,'2017 Seattle Tracts'!$C$2:$Z$399,24,FALSE)</f>
        <v>1804383.4609999999</v>
      </c>
      <c r="AA371">
        <f t="shared" si="11"/>
        <v>1.3482716133142389E-3</v>
      </c>
      <c r="AB371" t="s">
        <v>137</v>
      </c>
      <c r="AC371" t="str">
        <f t="shared" si="10"/>
        <v>Census Tract 59, King County, Washington</v>
      </c>
      <c r="AD371">
        <f>VLOOKUP($AC371,'2017 Seattle Tracts'!$C$2:$Z$399,AD$1,FALSE)*AA371</f>
        <v>10.752466116181054</v>
      </c>
      <c r="AE371">
        <f>VLOOKUP($AC371,'2017 Seattle Tracts'!$C$2:$Z$399,AE$1,FALSE)*AA371</f>
        <v>9.3947566015736168</v>
      </c>
      <c r="AF371">
        <f>VLOOKUP($AC371,'2017 Seattle Tracts'!$C$2:$Z$399,AF$1,FALSE)*AA371</f>
        <v>1.3577095146074385</v>
      </c>
      <c r="AG371">
        <f>VLOOKUP($AC371,'2017 Seattle Tracts'!$C$2:$Z$399,AG$1,FALSE)*AA371</f>
        <v>10.752466116181054</v>
      </c>
      <c r="AH371">
        <f>VLOOKUP($AC371,'2017 Seattle Tracts'!$C$2:$Z$399,AH$1,FALSE)*AA371</f>
        <v>9.3947566015736168</v>
      </c>
      <c r="AI371">
        <f>VLOOKUP($AC371,'2017 Seattle Tracts'!$C$2:$Z$399,AI$1,FALSE)*AA371</f>
        <v>1.3577095146074385</v>
      </c>
      <c r="AJ371">
        <f>VLOOKUP($AC371,'2017 Seattle Tracts'!$C$2:$Z$399,AJ$1,FALSE)*AA371</f>
        <v>7.7943581965696147</v>
      </c>
      <c r="AK371">
        <f>VLOOKUP($AC371,'2017 Seattle Tracts'!$C$2:$Z$399,AK$1,FALSE)*AA371</f>
        <v>0.69840469569677577</v>
      </c>
      <c r="AL371">
        <f>VLOOKUP($AC371,'2017 Seattle Tracts'!$C$2:$Z$399,AL$1,FALSE)*AA371</f>
        <v>0.12269271681159574</v>
      </c>
      <c r="AM371">
        <f>VLOOKUP($AC371,'2017 Seattle Tracts'!$C$2:$Z$399,AM$1,FALSE)*AA371</f>
        <v>2.9661975492913255E-2</v>
      </c>
      <c r="AN371">
        <f>VLOOKUP($AC371,'2017 Seattle Tracts'!$C$2:$Z$399,AN$1,FALSE)*AA371</f>
        <v>0.2251613594234779</v>
      </c>
      <c r="AO371">
        <f>VLOOKUP($AC371,'2017 Seattle Tracts'!$C$2:$Z$399,AO$1,FALSE)*AA371</f>
        <v>2.4268889039656301E-2</v>
      </c>
      <c r="AP371">
        <f>VLOOKUP($AC371,'2017 Seattle Tracts'!$C$2:$Z$399,AP$1,FALSE)*AA371</f>
        <v>2.4268889039656301E-2</v>
      </c>
      <c r="AQ371">
        <f>VLOOKUP($AC371,'2017 Seattle Tracts'!$C$2:$Z$399,AQ$1,FALSE)*AA371</f>
        <v>0</v>
      </c>
      <c r="AR371">
        <f>VLOOKUP($AC371,'2017 Seattle Tracts'!$C$2:$Z$399,AR$1,FALSE)*AA371</f>
        <v>0.4611088917534697</v>
      </c>
      <c r="AS371">
        <f>VLOOKUP($AC371,'2017 Seattle Tracts'!$C$2:$Z$399,AS$1,FALSE)*AA371</f>
        <v>0.44897444723364155</v>
      </c>
      <c r="AT371">
        <f>VLOOKUP($AC371,'2017 Seattle Tracts'!$C$2:$Z$399,AT$1,FALSE)*AA371</f>
        <v>0</v>
      </c>
      <c r="AU371">
        <f>VLOOKUP($AC371,'2017 Seattle Tracts'!$C$2:$Z$399,AU$1,FALSE)*AA371</f>
        <v>0</v>
      </c>
      <c r="AV371">
        <f>VLOOKUP($AC371,'2017 Seattle Tracts'!$C$2:$Z$399,AV$1,FALSE)*AA371</f>
        <v>7.5503210345597371E-2</v>
      </c>
      <c r="AW371">
        <f>VLOOKUP($AC371,'2017 Seattle Tracts'!$C$2:$Z$399,AW$1,FALSE)*AA371</f>
        <v>9.5727284545310959E-2</v>
      </c>
      <c r="AX371">
        <f>VLOOKUP($AC371,'2017 Seattle Tracts'!$C$2:$Z$399,AX$1,FALSE)*AA371</f>
        <v>0.69166333763020449</v>
      </c>
      <c r="AY371">
        <f>VLOOKUP($AC371,'2017 Seattle Tracts'!$C$2:$Z$399,AY$1,FALSE)*AA371</f>
        <v>6.0672222599140749E-2</v>
      </c>
    </row>
    <row r="372" spans="1:51" x14ac:dyDescent="0.25">
      <c r="A372" t="s">
        <v>2917</v>
      </c>
      <c r="B372" t="s">
        <v>2918</v>
      </c>
      <c r="C372" t="s">
        <v>3200</v>
      </c>
      <c r="D372" t="s">
        <v>2638</v>
      </c>
      <c r="E372" t="s">
        <v>2639</v>
      </c>
      <c r="F372" t="s">
        <v>2640</v>
      </c>
      <c r="G372" t="s">
        <v>2920</v>
      </c>
      <c r="H372" t="s">
        <v>2921</v>
      </c>
      <c r="I372">
        <v>1805736</v>
      </c>
      <c r="J372">
        <v>173889</v>
      </c>
      <c r="K372" t="s">
        <v>3201</v>
      </c>
      <c r="L372" t="s">
        <v>3202</v>
      </c>
      <c r="M372">
        <v>1804383</v>
      </c>
      <c r="N372">
        <v>46</v>
      </c>
      <c r="O372">
        <v>26753.555</v>
      </c>
      <c r="P372" t="s">
        <v>136</v>
      </c>
      <c r="Q372">
        <v>10</v>
      </c>
      <c r="R372">
        <v>7</v>
      </c>
      <c r="S372">
        <v>19</v>
      </c>
      <c r="T372">
        <v>29604288</v>
      </c>
      <c r="U372">
        <v>48</v>
      </c>
      <c r="V372">
        <v>140</v>
      </c>
      <c r="W372">
        <v>26753.55428174289</v>
      </c>
      <c r="X372">
        <v>29604288.332963161</v>
      </c>
      <c r="Y372">
        <v>1799028.9990000001</v>
      </c>
      <c r="Z372">
        <f>VLOOKUP($AC372,'2017 Seattle Tracts'!$C$2:$Z$399,24,FALSE)</f>
        <v>1804383.4609999999</v>
      </c>
      <c r="AA372">
        <f t="shared" si="11"/>
        <v>0.99703252544942289</v>
      </c>
      <c r="AB372" t="s">
        <v>139</v>
      </c>
      <c r="AC372" t="str">
        <f t="shared" si="10"/>
        <v>Census Tract 59, King County, Washington</v>
      </c>
      <c r="AD372">
        <f>VLOOKUP($AC372,'2017 Seattle Tracts'!$C$2:$Z$399,AD$1,FALSE)*AA372</f>
        <v>7951.3343904591475</v>
      </c>
      <c r="AE372">
        <f>VLOOKUP($AC372,'2017 Seattle Tracts'!$C$2:$Z$399,AE$1,FALSE)*AA372</f>
        <v>6947.3226373315783</v>
      </c>
      <c r="AF372">
        <f>VLOOKUP($AC372,'2017 Seattle Tracts'!$C$2:$Z$399,AF$1,FALSE)*AA372</f>
        <v>1004.0117531275688</v>
      </c>
      <c r="AG372">
        <f>VLOOKUP($AC372,'2017 Seattle Tracts'!$C$2:$Z$399,AG$1,FALSE)*AA372</f>
        <v>7951.3343904591475</v>
      </c>
      <c r="AH372">
        <f>VLOOKUP($AC372,'2017 Seattle Tracts'!$C$2:$Z$399,AH$1,FALSE)*AA372</f>
        <v>6947.3226373315783</v>
      </c>
      <c r="AI372">
        <f>VLOOKUP($AC372,'2017 Seattle Tracts'!$C$2:$Z$399,AI$1,FALSE)*AA372</f>
        <v>1004.0117531275688</v>
      </c>
      <c r="AJ372">
        <f>VLOOKUP($AC372,'2017 Seattle Tracts'!$C$2:$Z$399,AJ$1,FALSE)*AA372</f>
        <v>5763.845029623114</v>
      </c>
      <c r="AK372">
        <f>VLOOKUP($AC372,'2017 Seattle Tracts'!$C$2:$Z$399,AK$1,FALSE)*AA372</f>
        <v>516.46284818280105</v>
      </c>
      <c r="AL372">
        <f>VLOOKUP($AC372,'2017 Seattle Tracts'!$C$2:$Z$399,AL$1,FALSE)*AA372</f>
        <v>90.729959815897487</v>
      </c>
      <c r="AM372">
        <f>VLOOKUP($AC372,'2017 Seattle Tracts'!$C$2:$Z$399,AM$1,FALSE)*AA372</f>
        <v>21.934715559887305</v>
      </c>
      <c r="AN372">
        <f>VLOOKUP($AC372,'2017 Seattle Tracts'!$C$2:$Z$399,AN$1,FALSE)*AA372</f>
        <v>166.50443175005361</v>
      </c>
      <c r="AO372">
        <f>VLOOKUP($AC372,'2017 Seattle Tracts'!$C$2:$Z$399,AO$1,FALSE)*AA372</f>
        <v>17.946585458089611</v>
      </c>
      <c r="AP372">
        <f>VLOOKUP($AC372,'2017 Seattle Tracts'!$C$2:$Z$399,AP$1,FALSE)*AA372</f>
        <v>17.946585458089611</v>
      </c>
      <c r="AQ372">
        <f>VLOOKUP($AC372,'2017 Seattle Tracts'!$C$2:$Z$399,AQ$1,FALSE)*AA372</f>
        <v>0</v>
      </c>
      <c r="AR372">
        <f>VLOOKUP($AC372,'2017 Seattle Tracts'!$C$2:$Z$399,AR$1,FALSE)*AA372</f>
        <v>340.98512370370264</v>
      </c>
      <c r="AS372">
        <f>VLOOKUP($AC372,'2017 Seattle Tracts'!$C$2:$Z$399,AS$1,FALSE)*AA372</f>
        <v>332.01183097465781</v>
      </c>
      <c r="AT372">
        <f>VLOOKUP($AC372,'2017 Seattle Tracts'!$C$2:$Z$399,AT$1,FALSE)*AA372</f>
        <v>0</v>
      </c>
      <c r="AU372">
        <f>VLOOKUP($AC372,'2017 Seattle Tracts'!$C$2:$Z$399,AU$1,FALSE)*AA372</f>
        <v>0</v>
      </c>
      <c r="AV372">
        <f>VLOOKUP($AC372,'2017 Seattle Tracts'!$C$2:$Z$399,AV$1,FALSE)*AA372</f>
        <v>55.833821425167685</v>
      </c>
      <c r="AW372">
        <f>VLOOKUP($AC372,'2017 Seattle Tracts'!$C$2:$Z$399,AW$1,FALSE)*AA372</f>
        <v>70.789309306909018</v>
      </c>
      <c r="AX372">
        <f>VLOOKUP($AC372,'2017 Seattle Tracts'!$C$2:$Z$399,AX$1,FALSE)*AA372</f>
        <v>511.47768555555393</v>
      </c>
      <c r="AY372">
        <f>VLOOKUP($AC372,'2017 Seattle Tracts'!$C$2:$Z$399,AY$1,FALSE)*AA372</f>
        <v>44.86646364522403</v>
      </c>
    </row>
    <row r="373" spans="1:51" x14ac:dyDescent="0.25">
      <c r="A373" t="s">
        <v>2917</v>
      </c>
      <c r="B373" t="s">
        <v>2918</v>
      </c>
      <c r="C373" t="s">
        <v>3200</v>
      </c>
      <c r="D373" t="s">
        <v>2638</v>
      </c>
      <c r="E373" t="s">
        <v>2639</v>
      </c>
      <c r="F373" t="s">
        <v>2640</v>
      </c>
      <c r="G373" t="s">
        <v>2920</v>
      </c>
      <c r="H373" t="s">
        <v>2921</v>
      </c>
      <c r="I373">
        <v>1805736</v>
      </c>
      <c r="J373">
        <v>173889</v>
      </c>
      <c r="K373" t="s">
        <v>3201</v>
      </c>
      <c r="L373" t="s">
        <v>3202</v>
      </c>
      <c r="M373">
        <v>1804383</v>
      </c>
      <c r="N373">
        <v>66</v>
      </c>
      <c r="O373">
        <v>64207.586000000003</v>
      </c>
      <c r="P373" t="s">
        <v>164</v>
      </c>
      <c r="Q373">
        <v>9</v>
      </c>
      <c r="R373">
        <v>12</v>
      </c>
      <c r="S373">
        <v>95</v>
      </c>
      <c r="T373">
        <v>33503942</v>
      </c>
      <c r="U373">
        <v>68</v>
      </c>
      <c r="V373">
        <v>199</v>
      </c>
      <c r="W373">
        <v>64207.586761171791</v>
      </c>
      <c r="X373">
        <v>33503941.092720222</v>
      </c>
      <c r="Y373">
        <v>319.25200000000001</v>
      </c>
      <c r="Z373">
        <f>VLOOKUP($AC373,'2017 Seattle Tracts'!$C$2:$Z$399,24,FALSE)</f>
        <v>1804383.4609999999</v>
      </c>
      <c r="AA373">
        <f t="shared" si="11"/>
        <v>1.7693134907314473E-4</v>
      </c>
      <c r="AB373" t="s">
        <v>163</v>
      </c>
      <c r="AC373" t="str">
        <f t="shared" si="10"/>
        <v>Census Tract 59, King County, Washington</v>
      </c>
      <c r="AD373">
        <f>VLOOKUP($AC373,'2017 Seattle Tracts'!$C$2:$Z$399,AD$1,FALSE)*AA373</f>
        <v>1.4110275088583293</v>
      </c>
      <c r="AE373">
        <f>VLOOKUP($AC373,'2017 Seattle Tracts'!$C$2:$Z$399,AE$1,FALSE)*AA373</f>
        <v>1.2328576403416724</v>
      </c>
      <c r="AF373">
        <f>VLOOKUP($AC373,'2017 Seattle Tracts'!$C$2:$Z$399,AF$1,FALSE)*AA373</f>
        <v>0.17816986851665675</v>
      </c>
      <c r="AG373">
        <f>VLOOKUP($AC373,'2017 Seattle Tracts'!$C$2:$Z$399,AG$1,FALSE)*AA373</f>
        <v>1.4110275088583293</v>
      </c>
      <c r="AH373">
        <f>VLOOKUP($AC373,'2017 Seattle Tracts'!$C$2:$Z$399,AH$1,FALSE)*AA373</f>
        <v>1.2328576403416724</v>
      </c>
      <c r="AI373">
        <f>VLOOKUP($AC373,'2017 Seattle Tracts'!$C$2:$Z$399,AI$1,FALSE)*AA373</f>
        <v>0.17816986851665675</v>
      </c>
      <c r="AJ373">
        <f>VLOOKUP($AC373,'2017 Seattle Tracts'!$C$2:$Z$399,AJ$1,FALSE)*AA373</f>
        <v>1.0228401289918496</v>
      </c>
      <c r="AK373">
        <f>VLOOKUP($AC373,'2017 Seattle Tracts'!$C$2:$Z$399,AK$1,FALSE)*AA373</f>
        <v>9.1650438819888963E-2</v>
      </c>
      <c r="AL373">
        <f>VLOOKUP($AC373,'2017 Seattle Tracts'!$C$2:$Z$399,AL$1,FALSE)*AA373</f>
        <v>1.610075276565617E-2</v>
      </c>
      <c r="AM373">
        <f>VLOOKUP($AC373,'2017 Seattle Tracts'!$C$2:$Z$399,AM$1,FALSE)*AA373</f>
        <v>3.8924896796091839E-3</v>
      </c>
      <c r="AN373">
        <f>VLOOKUP($AC373,'2017 Seattle Tracts'!$C$2:$Z$399,AN$1,FALSE)*AA373</f>
        <v>2.9547535295215168E-2</v>
      </c>
      <c r="AO373">
        <f>VLOOKUP($AC373,'2017 Seattle Tracts'!$C$2:$Z$399,AO$1,FALSE)*AA373</f>
        <v>3.1847642833166051E-3</v>
      </c>
      <c r="AP373">
        <f>VLOOKUP($AC373,'2017 Seattle Tracts'!$C$2:$Z$399,AP$1,FALSE)*AA373</f>
        <v>3.1847642833166051E-3</v>
      </c>
      <c r="AQ373">
        <f>VLOOKUP($AC373,'2017 Seattle Tracts'!$C$2:$Z$399,AQ$1,FALSE)*AA373</f>
        <v>0</v>
      </c>
      <c r="AR373">
        <f>VLOOKUP($AC373,'2017 Seattle Tracts'!$C$2:$Z$399,AR$1,FALSE)*AA373</f>
        <v>6.0510521383015499E-2</v>
      </c>
      <c r="AS373">
        <f>VLOOKUP($AC373,'2017 Seattle Tracts'!$C$2:$Z$399,AS$1,FALSE)*AA373</f>
        <v>5.8918139241357192E-2</v>
      </c>
      <c r="AT373">
        <f>VLOOKUP($AC373,'2017 Seattle Tracts'!$C$2:$Z$399,AT$1,FALSE)*AA373</f>
        <v>0</v>
      </c>
      <c r="AU373">
        <f>VLOOKUP($AC373,'2017 Seattle Tracts'!$C$2:$Z$399,AU$1,FALSE)*AA373</f>
        <v>0</v>
      </c>
      <c r="AV373">
        <f>VLOOKUP($AC373,'2017 Seattle Tracts'!$C$2:$Z$399,AV$1,FALSE)*AA373</f>
        <v>9.908155548096105E-3</v>
      </c>
      <c r="AW373">
        <f>VLOOKUP($AC373,'2017 Seattle Tracts'!$C$2:$Z$399,AW$1,FALSE)*AA373</f>
        <v>1.2562125784193275E-2</v>
      </c>
      <c r="AX373">
        <f>VLOOKUP($AC373,'2017 Seattle Tracts'!$C$2:$Z$399,AX$1,FALSE)*AA373</f>
        <v>9.0765782074523252E-2</v>
      </c>
      <c r="AY373">
        <f>VLOOKUP($AC373,'2017 Seattle Tracts'!$C$2:$Z$399,AY$1,FALSE)*AA373</f>
        <v>7.9619107082915131E-3</v>
      </c>
    </row>
    <row r="374" spans="1:51" x14ac:dyDescent="0.25">
      <c r="A374" t="s">
        <v>2917</v>
      </c>
      <c r="B374" t="s">
        <v>2918</v>
      </c>
      <c r="C374" t="s">
        <v>3203</v>
      </c>
      <c r="D374" t="s">
        <v>2629</v>
      </c>
      <c r="E374" t="s">
        <v>2630</v>
      </c>
      <c r="F374" t="s">
        <v>2631</v>
      </c>
      <c r="G374" t="s">
        <v>2920</v>
      </c>
      <c r="H374" t="s">
        <v>2921</v>
      </c>
      <c r="I374">
        <v>1191968</v>
      </c>
      <c r="J374">
        <v>695816</v>
      </c>
      <c r="K374" t="s">
        <v>3204</v>
      </c>
      <c r="L374" t="s">
        <v>3205</v>
      </c>
      <c r="M374">
        <v>1106777</v>
      </c>
      <c r="N374">
        <v>48</v>
      </c>
      <c r="O374">
        <v>16672.511999999999</v>
      </c>
      <c r="P374" t="s">
        <v>141</v>
      </c>
      <c r="Q374">
        <v>12</v>
      </c>
      <c r="R374">
        <v>10</v>
      </c>
      <c r="S374">
        <v>94</v>
      </c>
      <c r="T374">
        <v>7426908</v>
      </c>
      <c r="U374">
        <v>50</v>
      </c>
      <c r="V374">
        <v>142</v>
      </c>
      <c r="W374">
        <v>16672.51178374033</v>
      </c>
      <c r="X374">
        <v>7426907.9614261454</v>
      </c>
      <c r="Y374">
        <v>439393.48800000001</v>
      </c>
      <c r="Z374">
        <f>VLOOKUP($AC374,'2017 Seattle Tracts'!$C$2:$Z$399,24,FALSE)</f>
        <v>1106777.1310000001</v>
      </c>
      <c r="AA374">
        <f t="shared" si="11"/>
        <v>0.39700268075018619</v>
      </c>
      <c r="AB374" t="s">
        <v>142</v>
      </c>
      <c r="AC374" t="str">
        <f t="shared" si="10"/>
        <v>Census Tract 61, King County, Washington</v>
      </c>
      <c r="AD374">
        <f>VLOOKUP($AC374,'2017 Seattle Tracts'!$C$2:$Z$399,AD$1,FALSE)*AA374</f>
        <v>2110.4662508679899</v>
      </c>
      <c r="AE374">
        <f>VLOOKUP($AC374,'2017 Seattle Tracts'!$C$2:$Z$399,AE$1,FALSE)*AA374</f>
        <v>1830.5793609391085</v>
      </c>
      <c r="AF374">
        <f>VLOOKUP($AC374,'2017 Seattle Tracts'!$C$2:$Z$399,AF$1,FALSE)*AA374</f>
        <v>279.88688992888126</v>
      </c>
      <c r="AG374">
        <f>VLOOKUP($AC374,'2017 Seattle Tracts'!$C$2:$Z$399,AG$1,FALSE)*AA374</f>
        <v>2110.4662508679899</v>
      </c>
      <c r="AH374">
        <f>VLOOKUP($AC374,'2017 Seattle Tracts'!$C$2:$Z$399,AH$1,FALSE)*AA374</f>
        <v>1830.5793609391085</v>
      </c>
      <c r="AI374">
        <f>VLOOKUP($AC374,'2017 Seattle Tracts'!$C$2:$Z$399,AI$1,FALSE)*AA374</f>
        <v>279.88688992888126</v>
      </c>
      <c r="AJ374">
        <f>VLOOKUP($AC374,'2017 Seattle Tracts'!$C$2:$Z$399,AJ$1,FALSE)*AA374</f>
        <v>1573.7186264937382</v>
      </c>
      <c r="AK374">
        <f>VLOOKUP($AC374,'2017 Seattle Tracts'!$C$2:$Z$399,AK$1,FALSE)*AA374</f>
        <v>132.20189268981201</v>
      </c>
      <c r="AL374">
        <f>VLOOKUP($AC374,'2017 Seattle Tracts'!$C$2:$Z$399,AL$1,FALSE)*AA374</f>
        <v>28.187190333263221</v>
      </c>
      <c r="AM374">
        <f>VLOOKUP($AC374,'2017 Seattle Tracts'!$C$2:$Z$399,AM$1,FALSE)*AA374</f>
        <v>6.7490455727531655</v>
      </c>
      <c r="AN374">
        <f>VLOOKUP($AC374,'2017 Seattle Tracts'!$C$2:$Z$399,AN$1,FALSE)*AA374</f>
        <v>15.483104549257261</v>
      </c>
      <c r="AO374">
        <f>VLOOKUP($AC374,'2017 Seattle Tracts'!$C$2:$Z$399,AO$1,FALSE)*AA374</f>
        <v>0</v>
      </c>
      <c r="AP374">
        <f>VLOOKUP($AC374,'2017 Seattle Tracts'!$C$2:$Z$399,AP$1,FALSE)*AA374</f>
        <v>4.7640321690022347</v>
      </c>
      <c r="AQ374">
        <f>VLOOKUP($AC374,'2017 Seattle Tracts'!$C$2:$Z$399,AQ$1,FALSE)*AA374</f>
        <v>0</v>
      </c>
      <c r="AR374">
        <f>VLOOKUP($AC374,'2017 Seattle Tracts'!$C$2:$Z$399,AR$1,FALSE)*AA374</f>
        <v>119.49780690580604</v>
      </c>
      <c r="AS374">
        <f>VLOOKUP($AC374,'2017 Seattle Tracts'!$C$2:$Z$399,AS$1,FALSE)*AA374</f>
        <v>106.79372112180009</v>
      </c>
      <c r="AT374">
        <f>VLOOKUP($AC374,'2017 Seattle Tracts'!$C$2:$Z$399,AT$1,FALSE)*AA374</f>
        <v>0</v>
      </c>
      <c r="AU374">
        <f>VLOOKUP($AC374,'2017 Seattle Tracts'!$C$2:$Z$399,AU$1,FALSE)*AA374</f>
        <v>19.056128676008939</v>
      </c>
      <c r="AV374">
        <f>VLOOKUP($AC374,'2017 Seattle Tracts'!$C$2:$Z$399,AV$1,FALSE)*AA374</f>
        <v>5.9550402112527925</v>
      </c>
      <c r="AW374">
        <f>VLOOKUP($AC374,'2017 Seattle Tracts'!$C$2:$Z$399,AW$1,FALSE)*AA374</f>
        <v>0</v>
      </c>
      <c r="AX374">
        <f>VLOOKUP($AC374,'2017 Seattle Tracts'!$C$2:$Z$399,AX$1,FALSE)*AA374</f>
        <v>82.973560276788916</v>
      </c>
      <c r="AY374">
        <f>VLOOKUP($AC374,'2017 Seattle Tracts'!$C$2:$Z$399,AY$1,FALSE)*AA374</f>
        <v>15.086101868507075</v>
      </c>
    </row>
    <row r="375" spans="1:51" x14ac:dyDescent="0.25">
      <c r="A375" t="s">
        <v>2917</v>
      </c>
      <c r="B375" t="s">
        <v>2918</v>
      </c>
      <c r="C375" t="s">
        <v>3203</v>
      </c>
      <c r="D375" t="s">
        <v>2629</v>
      </c>
      <c r="E375" t="s">
        <v>2630</v>
      </c>
      <c r="F375" t="s">
        <v>2631</v>
      </c>
      <c r="G375" t="s">
        <v>2920</v>
      </c>
      <c r="H375" t="s">
        <v>2921</v>
      </c>
      <c r="I375">
        <v>1191968</v>
      </c>
      <c r="J375">
        <v>695816</v>
      </c>
      <c r="K375" t="s">
        <v>3204</v>
      </c>
      <c r="L375" t="s">
        <v>3205</v>
      </c>
      <c r="M375">
        <v>1106777</v>
      </c>
      <c r="N375">
        <v>97</v>
      </c>
      <c r="O375">
        <v>10013.273999999999</v>
      </c>
      <c r="P375" t="s">
        <v>201</v>
      </c>
      <c r="Q375">
        <v>11</v>
      </c>
      <c r="R375">
        <v>3</v>
      </c>
      <c r="S375">
        <v>23</v>
      </c>
      <c r="T375">
        <v>4421635.5</v>
      </c>
      <c r="U375">
        <v>99</v>
      </c>
      <c r="V375">
        <v>143</v>
      </c>
      <c r="W375">
        <v>10013.27395639886</v>
      </c>
      <c r="X375">
        <v>4421635.2673367513</v>
      </c>
      <c r="Y375">
        <v>407477.201</v>
      </c>
      <c r="Z375">
        <f>VLOOKUP($AC375,'2017 Seattle Tracts'!$C$2:$Z$399,24,FALSE)</f>
        <v>1106777.1310000001</v>
      </c>
      <c r="AA375">
        <f t="shared" si="11"/>
        <v>0.36816554081835284</v>
      </c>
      <c r="AB375" t="s">
        <v>200</v>
      </c>
      <c r="AC375" t="str">
        <f t="shared" si="10"/>
        <v>Census Tract 61, King County, Washington</v>
      </c>
      <c r="AD375">
        <f>VLOOKUP($AC375,'2017 Seattle Tracts'!$C$2:$Z$399,AD$1,FALSE)*AA375</f>
        <v>1957.1680149903636</v>
      </c>
      <c r="AE375">
        <f>VLOOKUP($AC375,'2017 Seattle Tracts'!$C$2:$Z$399,AE$1,FALSE)*AA375</f>
        <v>1697.6113087134249</v>
      </c>
      <c r="AF375">
        <f>VLOOKUP($AC375,'2017 Seattle Tracts'!$C$2:$Z$399,AF$1,FALSE)*AA375</f>
        <v>259.55670627693877</v>
      </c>
      <c r="AG375">
        <f>VLOOKUP($AC375,'2017 Seattle Tracts'!$C$2:$Z$399,AG$1,FALSE)*AA375</f>
        <v>1957.1680149903636</v>
      </c>
      <c r="AH375">
        <f>VLOOKUP($AC375,'2017 Seattle Tracts'!$C$2:$Z$399,AH$1,FALSE)*AA375</f>
        <v>1697.6113087134249</v>
      </c>
      <c r="AI375">
        <f>VLOOKUP($AC375,'2017 Seattle Tracts'!$C$2:$Z$399,AI$1,FALSE)*AA375</f>
        <v>259.55670627693877</v>
      </c>
      <c r="AJ375">
        <f>VLOOKUP($AC375,'2017 Seattle Tracts'!$C$2:$Z$399,AJ$1,FALSE)*AA375</f>
        <v>1459.4082038039508</v>
      </c>
      <c r="AK375">
        <f>VLOOKUP($AC375,'2017 Seattle Tracts'!$C$2:$Z$399,AK$1,FALSE)*AA375</f>
        <v>122.5991250925115</v>
      </c>
      <c r="AL375">
        <f>VLOOKUP($AC375,'2017 Seattle Tracts'!$C$2:$Z$399,AL$1,FALSE)*AA375</f>
        <v>26.139753398103053</v>
      </c>
      <c r="AM375">
        <f>VLOOKUP($AC375,'2017 Seattle Tracts'!$C$2:$Z$399,AM$1,FALSE)*AA375</f>
        <v>6.2588141939119986</v>
      </c>
      <c r="AN375">
        <f>VLOOKUP($AC375,'2017 Seattle Tracts'!$C$2:$Z$399,AN$1,FALSE)*AA375</f>
        <v>14.358456091915761</v>
      </c>
      <c r="AO375">
        <f>VLOOKUP($AC375,'2017 Seattle Tracts'!$C$2:$Z$399,AO$1,FALSE)*AA375</f>
        <v>0</v>
      </c>
      <c r="AP375">
        <f>VLOOKUP($AC375,'2017 Seattle Tracts'!$C$2:$Z$399,AP$1,FALSE)*AA375</f>
        <v>4.4179864898202341</v>
      </c>
      <c r="AQ375">
        <f>VLOOKUP($AC375,'2017 Seattle Tracts'!$C$2:$Z$399,AQ$1,FALSE)*AA375</f>
        <v>0</v>
      </c>
      <c r="AR375">
        <f>VLOOKUP($AC375,'2017 Seattle Tracts'!$C$2:$Z$399,AR$1,FALSE)*AA375</f>
        <v>110.8178277863242</v>
      </c>
      <c r="AS375">
        <f>VLOOKUP($AC375,'2017 Seattle Tracts'!$C$2:$Z$399,AS$1,FALSE)*AA375</f>
        <v>99.036530480136918</v>
      </c>
      <c r="AT375">
        <f>VLOOKUP($AC375,'2017 Seattle Tracts'!$C$2:$Z$399,AT$1,FALSE)*AA375</f>
        <v>0</v>
      </c>
      <c r="AU375">
        <f>VLOOKUP($AC375,'2017 Seattle Tracts'!$C$2:$Z$399,AU$1,FALSE)*AA375</f>
        <v>17.671945959280936</v>
      </c>
      <c r="AV375">
        <f>VLOOKUP($AC375,'2017 Seattle Tracts'!$C$2:$Z$399,AV$1,FALSE)*AA375</f>
        <v>5.5224831122752924</v>
      </c>
      <c r="AW375">
        <f>VLOOKUP($AC375,'2017 Seattle Tracts'!$C$2:$Z$399,AW$1,FALSE)*AA375</f>
        <v>0</v>
      </c>
      <c r="AX375">
        <f>VLOOKUP($AC375,'2017 Seattle Tracts'!$C$2:$Z$399,AX$1,FALSE)*AA375</f>
        <v>76.946598031035748</v>
      </c>
      <c r="AY375">
        <f>VLOOKUP($AC375,'2017 Seattle Tracts'!$C$2:$Z$399,AY$1,FALSE)*AA375</f>
        <v>13.990290551097408</v>
      </c>
    </row>
    <row r="376" spans="1:51" x14ac:dyDescent="0.25">
      <c r="A376" t="s">
        <v>2917</v>
      </c>
      <c r="B376" t="s">
        <v>2918</v>
      </c>
      <c r="C376" t="s">
        <v>3203</v>
      </c>
      <c r="D376" t="s">
        <v>2629</v>
      </c>
      <c r="E376" t="s">
        <v>2630</v>
      </c>
      <c r="F376" t="s">
        <v>2631</v>
      </c>
      <c r="G376" t="s">
        <v>2920</v>
      </c>
      <c r="H376" t="s">
        <v>2921</v>
      </c>
      <c r="I376">
        <v>1191968</v>
      </c>
      <c r="J376">
        <v>695816</v>
      </c>
      <c r="K376" t="s">
        <v>3204</v>
      </c>
      <c r="L376" t="s">
        <v>3205</v>
      </c>
      <c r="M376">
        <v>1106777</v>
      </c>
      <c r="N376">
        <v>98</v>
      </c>
      <c r="O376">
        <v>34138.93</v>
      </c>
      <c r="P376" t="s">
        <v>201</v>
      </c>
      <c r="Q376">
        <v>11</v>
      </c>
      <c r="R376">
        <v>3</v>
      </c>
      <c r="S376">
        <v>9</v>
      </c>
      <c r="T376">
        <v>19763186</v>
      </c>
      <c r="U376">
        <v>100</v>
      </c>
      <c r="V376">
        <v>146</v>
      </c>
      <c r="W376">
        <v>34138.92787921233</v>
      </c>
      <c r="X376">
        <v>19763186.566329598</v>
      </c>
      <c r="Y376">
        <v>241308.21</v>
      </c>
      <c r="Z376">
        <f>VLOOKUP($AC376,'2017 Seattle Tracts'!$C$2:$Z$399,24,FALSE)</f>
        <v>1106777.1310000001</v>
      </c>
      <c r="AA376">
        <f t="shared" si="11"/>
        <v>0.21802782442927074</v>
      </c>
      <c r="AB376" t="s">
        <v>202</v>
      </c>
      <c r="AC376" t="str">
        <f t="shared" si="10"/>
        <v>Census Tract 61, King County, Washington</v>
      </c>
      <c r="AD376">
        <f>VLOOKUP($AC376,'2017 Seattle Tracts'!$C$2:$Z$399,AD$1,FALSE)*AA376</f>
        <v>1159.0359146660032</v>
      </c>
      <c r="AE376">
        <f>VLOOKUP($AC376,'2017 Seattle Tracts'!$C$2:$Z$399,AE$1,FALSE)*AA376</f>
        <v>1005.3262984433674</v>
      </c>
      <c r="AF376">
        <f>VLOOKUP($AC376,'2017 Seattle Tracts'!$C$2:$Z$399,AF$1,FALSE)*AA376</f>
        <v>153.70961622263587</v>
      </c>
      <c r="AG376">
        <f>VLOOKUP($AC376,'2017 Seattle Tracts'!$C$2:$Z$399,AG$1,FALSE)*AA376</f>
        <v>1159.0359146660032</v>
      </c>
      <c r="AH376">
        <f>VLOOKUP($AC376,'2017 Seattle Tracts'!$C$2:$Z$399,AH$1,FALSE)*AA376</f>
        <v>1005.3262984433674</v>
      </c>
      <c r="AI376">
        <f>VLOOKUP($AC376,'2017 Seattle Tracts'!$C$2:$Z$399,AI$1,FALSE)*AA376</f>
        <v>153.70961622263587</v>
      </c>
      <c r="AJ376">
        <f>VLOOKUP($AC376,'2017 Seattle Tracts'!$C$2:$Z$399,AJ$1,FALSE)*AA376</f>
        <v>864.2622960376292</v>
      </c>
      <c r="AK376">
        <f>VLOOKUP($AC376,'2017 Seattle Tracts'!$C$2:$Z$399,AK$1,FALSE)*AA376</f>
        <v>72.603265534947155</v>
      </c>
      <c r="AL376">
        <f>VLOOKUP($AC376,'2017 Seattle Tracts'!$C$2:$Z$399,AL$1,FALSE)*AA376</f>
        <v>15.479975534478223</v>
      </c>
      <c r="AM376">
        <f>VLOOKUP($AC376,'2017 Seattle Tracts'!$C$2:$Z$399,AM$1,FALSE)*AA376</f>
        <v>3.7064730152976026</v>
      </c>
      <c r="AN376">
        <f>VLOOKUP($AC376,'2017 Seattle Tracts'!$C$2:$Z$399,AN$1,FALSE)*AA376</f>
        <v>8.5030851527415585</v>
      </c>
      <c r="AO376">
        <f>VLOOKUP($AC376,'2017 Seattle Tracts'!$C$2:$Z$399,AO$1,FALSE)*AA376</f>
        <v>0</v>
      </c>
      <c r="AP376">
        <f>VLOOKUP($AC376,'2017 Seattle Tracts'!$C$2:$Z$399,AP$1,FALSE)*AA376</f>
        <v>2.616333893151249</v>
      </c>
      <c r="AQ376">
        <f>VLOOKUP($AC376,'2017 Seattle Tracts'!$C$2:$Z$399,AQ$1,FALSE)*AA376</f>
        <v>0</v>
      </c>
      <c r="AR376">
        <f>VLOOKUP($AC376,'2017 Seattle Tracts'!$C$2:$Z$399,AR$1,FALSE)*AA376</f>
        <v>65.626375153210489</v>
      </c>
      <c r="AS376">
        <f>VLOOKUP($AC376,'2017 Seattle Tracts'!$C$2:$Z$399,AS$1,FALSE)*AA376</f>
        <v>58.64948477147383</v>
      </c>
      <c r="AT376">
        <f>VLOOKUP($AC376,'2017 Seattle Tracts'!$C$2:$Z$399,AT$1,FALSE)*AA376</f>
        <v>0</v>
      </c>
      <c r="AU376">
        <f>VLOOKUP($AC376,'2017 Seattle Tracts'!$C$2:$Z$399,AU$1,FALSE)*AA376</f>
        <v>10.465335572604996</v>
      </c>
      <c r="AV376">
        <f>VLOOKUP($AC376,'2017 Seattle Tracts'!$C$2:$Z$399,AV$1,FALSE)*AA376</f>
        <v>3.270417366439061</v>
      </c>
      <c r="AW376">
        <f>VLOOKUP($AC376,'2017 Seattle Tracts'!$C$2:$Z$399,AW$1,FALSE)*AA376</f>
        <v>0</v>
      </c>
      <c r="AX376">
        <f>VLOOKUP($AC376,'2017 Seattle Tracts'!$C$2:$Z$399,AX$1,FALSE)*AA376</f>
        <v>45.567815305717588</v>
      </c>
      <c r="AY376">
        <f>VLOOKUP($AC376,'2017 Seattle Tracts'!$C$2:$Z$399,AY$1,FALSE)*AA376</f>
        <v>8.2850573283122877</v>
      </c>
    </row>
    <row r="377" spans="1:51" x14ac:dyDescent="0.25">
      <c r="A377" t="s">
        <v>2917</v>
      </c>
      <c r="B377" t="s">
        <v>2918</v>
      </c>
      <c r="C377" t="s">
        <v>3203</v>
      </c>
      <c r="D377" t="s">
        <v>2629</v>
      </c>
      <c r="E377" t="s">
        <v>2630</v>
      </c>
      <c r="F377" t="s">
        <v>2631</v>
      </c>
      <c r="G377" t="s">
        <v>2920</v>
      </c>
      <c r="H377" t="s">
        <v>2921</v>
      </c>
      <c r="I377">
        <v>1191968</v>
      </c>
      <c r="J377">
        <v>695816</v>
      </c>
      <c r="K377" t="s">
        <v>3204</v>
      </c>
      <c r="L377" t="s">
        <v>3205</v>
      </c>
      <c r="M377">
        <v>1106777</v>
      </c>
      <c r="N377">
        <v>100</v>
      </c>
      <c r="O377">
        <v>26851.947</v>
      </c>
      <c r="P377" t="s">
        <v>201</v>
      </c>
      <c r="Q377">
        <v>11</v>
      </c>
      <c r="R377">
        <v>3</v>
      </c>
      <c r="S377">
        <v>0</v>
      </c>
      <c r="T377">
        <v>30239240</v>
      </c>
      <c r="U377">
        <v>102</v>
      </c>
      <c r="V377">
        <v>151</v>
      </c>
      <c r="W377">
        <v>26851.9474418256</v>
      </c>
      <c r="X377">
        <v>30239240.52129779</v>
      </c>
      <c r="Y377">
        <v>5257.0290000000005</v>
      </c>
      <c r="Z377">
        <f>VLOOKUP($AC377,'2017 Seattle Tracts'!$C$2:$Z$399,24,FALSE)</f>
        <v>1106777.1310000001</v>
      </c>
      <c r="AA377">
        <f t="shared" si="11"/>
        <v>4.7498532927312534E-3</v>
      </c>
      <c r="AB377" t="s">
        <v>204</v>
      </c>
      <c r="AC377" t="str">
        <f t="shared" si="10"/>
        <v>Census Tract 61, King County, Washington</v>
      </c>
      <c r="AD377">
        <f>VLOOKUP($AC377,'2017 Seattle Tracts'!$C$2:$Z$399,AD$1,FALSE)*AA377</f>
        <v>25.250220104159343</v>
      </c>
      <c r="AE377">
        <f>VLOOKUP($AC377,'2017 Seattle Tracts'!$C$2:$Z$399,AE$1,FALSE)*AA377</f>
        <v>21.901573532783811</v>
      </c>
      <c r="AF377">
        <f>VLOOKUP($AC377,'2017 Seattle Tracts'!$C$2:$Z$399,AF$1,FALSE)*AA377</f>
        <v>3.3486465713755336</v>
      </c>
      <c r="AG377">
        <f>VLOOKUP($AC377,'2017 Seattle Tracts'!$C$2:$Z$399,AG$1,FALSE)*AA377</f>
        <v>25.250220104159343</v>
      </c>
      <c r="AH377">
        <f>VLOOKUP($AC377,'2017 Seattle Tracts'!$C$2:$Z$399,AH$1,FALSE)*AA377</f>
        <v>21.901573532783811</v>
      </c>
      <c r="AI377">
        <f>VLOOKUP($AC377,'2017 Seattle Tracts'!$C$2:$Z$399,AI$1,FALSE)*AA377</f>
        <v>3.3486465713755336</v>
      </c>
      <c r="AJ377">
        <f>VLOOKUP($AC377,'2017 Seattle Tracts'!$C$2:$Z$399,AJ$1,FALSE)*AA377</f>
        <v>18.828418452386689</v>
      </c>
      <c r="AK377">
        <f>VLOOKUP($AC377,'2017 Seattle Tracts'!$C$2:$Z$399,AK$1,FALSE)*AA377</f>
        <v>1.5817011464795074</v>
      </c>
      <c r="AL377">
        <f>VLOOKUP($AC377,'2017 Seattle Tracts'!$C$2:$Z$399,AL$1,FALSE)*AA377</f>
        <v>0.33723958378391899</v>
      </c>
      <c r="AM377">
        <f>VLOOKUP($AC377,'2017 Seattle Tracts'!$C$2:$Z$399,AM$1,FALSE)*AA377</f>
        <v>8.0747505976431308E-2</v>
      </c>
      <c r="AN377">
        <f>VLOOKUP($AC377,'2017 Seattle Tracts'!$C$2:$Z$399,AN$1,FALSE)*AA377</f>
        <v>0.18524427841651889</v>
      </c>
      <c r="AO377">
        <f>VLOOKUP($AC377,'2017 Seattle Tracts'!$C$2:$Z$399,AO$1,FALSE)*AA377</f>
        <v>0</v>
      </c>
      <c r="AP377">
        <f>VLOOKUP($AC377,'2017 Seattle Tracts'!$C$2:$Z$399,AP$1,FALSE)*AA377</f>
        <v>5.6998239512775037E-2</v>
      </c>
      <c r="AQ377">
        <f>VLOOKUP($AC377,'2017 Seattle Tracts'!$C$2:$Z$399,AQ$1,FALSE)*AA377</f>
        <v>0</v>
      </c>
      <c r="AR377">
        <f>VLOOKUP($AC377,'2017 Seattle Tracts'!$C$2:$Z$399,AR$1,FALSE)*AA377</f>
        <v>1.4297058411121073</v>
      </c>
      <c r="AS377">
        <f>VLOOKUP($AC377,'2017 Seattle Tracts'!$C$2:$Z$399,AS$1,FALSE)*AA377</f>
        <v>1.2777105357447072</v>
      </c>
      <c r="AT377">
        <f>VLOOKUP($AC377,'2017 Seattle Tracts'!$C$2:$Z$399,AT$1,FALSE)*AA377</f>
        <v>0</v>
      </c>
      <c r="AU377">
        <f>VLOOKUP($AC377,'2017 Seattle Tracts'!$C$2:$Z$399,AU$1,FALSE)*AA377</f>
        <v>0.22799295805110015</v>
      </c>
      <c r="AV377">
        <f>VLOOKUP($AC377,'2017 Seattle Tracts'!$C$2:$Z$399,AV$1,FALSE)*AA377</f>
        <v>7.12477993909688E-2</v>
      </c>
      <c r="AW377">
        <f>VLOOKUP($AC377,'2017 Seattle Tracts'!$C$2:$Z$399,AW$1,FALSE)*AA377</f>
        <v>0</v>
      </c>
      <c r="AX377">
        <f>VLOOKUP($AC377,'2017 Seattle Tracts'!$C$2:$Z$399,AX$1,FALSE)*AA377</f>
        <v>0.99271933818083191</v>
      </c>
      <c r="AY377">
        <f>VLOOKUP($AC377,'2017 Seattle Tracts'!$C$2:$Z$399,AY$1,FALSE)*AA377</f>
        <v>0.18049442512378763</v>
      </c>
    </row>
    <row r="378" spans="1:51" x14ac:dyDescent="0.25">
      <c r="A378" t="s">
        <v>2917</v>
      </c>
      <c r="B378" t="s">
        <v>2918</v>
      </c>
      <c r="C378" t="s">
        <v>3206</v>
      </c>
      <c r="D378" t="s">
        <v>2626</v>
      </c>
      <c r="E378" t="s">
        <v>2627</v>
      </c>
      <c r="F378" t="s">
        <v>2628</v>
      </c>
      <c r="G378" t="s">
        <v>2920</v>
      </c>
      <c r="H378" t="s">
        <v>2921</v>
      </c>
      <c r="I378">
        <v>2728141</v>
      </c>
      <c r="J378">
        <v>288801</v>
      </c>
      <c r="K378" t="s">
        <v>3207</v>
      </c>
      <c r="L378" t="s">
        <v>3208</v>
      </c>
      <c r="M378">
        <v>2527641</v>
      </c>
      <c r="N378">
        <v>19</v>
      </c>
      <c r="O378">
        <v>6965.4180000000006</v>
      </c>
      <c r="Q378">
        <v>0</v>
      </c>
      <c r="R378">
        <v>0</v>
      </c>
      <c r="S378">
        <v>0</v>
      </c>
      <c r="T378">
        <v>1462592.125</v>
      </c>
      <c r="U378">
        <v>21</v>
      </c>
      <c r="V378">
        <v>0</v>
      </c>
      <c r="W378">
        <v>6965.4187025619631</v>
      </c>
      <c r="X378">
        <v>1462592.1162423079</v>
      </c>
      <c r="Y378">
        <v>102804.51300000001</v>
      </c>
      <c r="Z378">
        <f>VLOOKUP($AC378,'2017 Seattle Tracts'!$C$2:$Z$399,24,FALSE)</f>
        <v>2527641.2570000002</v>
      </c>
      <c r="AA378">
        <f t="shared" si="11"/>
        <v>4.0672113859233465E-2</v>
      </c>
      <c r="AB378" t="s">
        <v>115</v>
      </c>
      <c r="AC378" t="str">
        <f t="shared" si="10"/>
        <v>Census Tract 62, King County, Washington</v>
      </c>
      <c r="AD378">
        <f>VLOOKUP($AC378,'2017 Seattle Tracts'!$C$2:$Z$399,AD$1,FALSE)*AA378</f>
        <v>179.60805480237499</v>
      </c>
      <c r="AE378">
        <f>VLOOKUP($AC378,'2017 Seattle Tracts'!$C$2:$Z$399,AE$1,FALSE)*AA378</f>
        <v>159.55670266977287</v>
      </c>
      <c r="AF378">
        <f>VLOOKUP($AC378,'2017 Seattle Tracts'!$C$2:$Z$399,AF$1,FALSE)*AA378</f>
        <v>20.051352132602098</v>
      </c>
      <c r="AG378">
        <f>VLOOKUP($AC378,'2017 Seattle Tracts'!$C$2:$Z$399,AG$1,FALSE)*AA378</f>
        <v>179.60805480237499</v>
      </c>
      <c r="AH378">
        <f>VLOOKUP($AC378,'2017 Seattle Tracts'!$C$2:$Z$399,AH$1,FALSE)*AA378</f>
        <v>159.55670266977287</v>
      </c>
      <c r="AI378">
        <f>VLOOKUP($AC378,'2017 Seattle Tracts'!$C$2:$Z$399,AI$1,FALSE)*AA378</f>
        <v>20.051352132602098</v>
      </c>
      <c r="AJ378">
        <f>VLOOKUP($AC378,'2017 Seattle Tracts'!$C$2:$Z$399,AJ$1,FALSE)*AA378</f>
        <v>135.60082760668436</v>
      </c>
      <c r="AK378">
        <f>VLOOKUP($AC378,'2017 Seattle Tracts'!$C$2:$Z$399,AK$1,FALSE)*AA378</f>
        <v>11.713568791459238</v>
      </c>
      <c r="AL378">
        <f>VLOOKUP($AC378,'2017 Seattle Tracts'!$C$2:$Z$399,AL$1,FALSE)*AA378</f>
        <v>6.1821613066034864</v>
      </c>
      <c r="AM378">
        <f>VLOOKUP($AC378,'2017 Seattle Tracts'!$C$2:$Z$399,AM$1,FALSE)*AA378</f>
        <v>1.5455403266508716</v>
      </c>
      <c r="AN378">
        <f>VLOOKUP($AC378,'2017 Seattle Tracts'!$C$2:$Z$399,AN$1,FALSE)*AA378</f>
        <v>1.5455403266508716</v>
      </c>
      <c r="AO378">
        <f>VLOOKUP($AC378,'2017 Seattle Tracts'!$C$2:$Z$399,AO$1,FALSE)*AA378</f>
        <v>0.65075382174773544</v>
      </c>
      <c r="AP378">
        <f>VLOOKUP($AC378,'2017 Seattle Tracts'!$C$2:$Z$399,AP$1,FALSE)*AA378</f>
        <v>0</v>
      </c>
      <c r="AQ378">
        <f>VLOOKUP($AC378,'2017 Seattle Tracts'!$C$2:$Z$399,AQ$1,FALSE)*AA378</f>
        <v>0</v>
      </c>
      <c r="AR378">
        <f>VLOOKUP($AC378,'2017 Seattle Tracts'!$C$2:$Z$399,AR$1,FALSE)*AA378</f>
        <v>6.1008170788850196</v>
      </c>
      <c r="AS378">
        <f>VLOOKUP($AC378,'2017 Seattle Tracts'!$C$2:$Z$399,AS$1,FALSE)*AA378</f>
        <v>5.6127517125742186</v>
      </c>
      <c r="AT378">
        <f>VLOOKUP($AC378,'2017 Seattle Tracts'!$C$2:$Z$399,AT$1,FALSE)*AA378</f>
        <v>0</v>
      </c>
      <c r="AU378">
        <f>VLOOKUP($AC378,'2017 Seattle Tracts'!$C$2:$Z$399,AU$1,FALSE)*AA378</f>
        <v>0</v>
      </c>
      <c r="AV378">
        <f>VLOOKUP($AC378,'2017 Seattle Tracts'!$C$2:$Z$399,AV$1,FALSE)*AA378</f>
        <v>2.3589826038355408</v>
      </c>
      <c r="AW378">
        <f>VLOOKUP($AC378,'2017 Seattle Tracts'!$C$2:$Z$399,AW$1,FALSE)*AA378</f>
        <v>0.52873748017003508</v>
      </c>
      <c r="AX378">
        <f>VLOOKUP($AC378,'2017 Seattle Tracts'!$C$2:$Z$399,AX$1,FALSE)*AA378</f>
        <v>7.7683737471135919</v>
      </c>
      <c r="AY378">
        <f>VLOOKUP($AC378,'2017 Seattle Tracts'!$C$2:$Z$399,AY$1,FALSE)*AA378</f>
        <v>0</v>
      </c>
    </row>
    <row r="379" spans="1:51" x14ac:dyDescent="0.25">
      <c r="A379" t="s">
        <v>2917</v>
      </c>
      <c r="B379" t="s">
        <v>2918</v>
      </c>
      <c r="C379" t="s">
        <v>3206</v>
      </c>
      <c r="D379" t="s">
        <v>2626</v>
      </c>
      <c r="E379" t="s">
        <v>2627</v>
      </c>
      <c r="F379" t="s">
        <v>2628</v>
      </c>
      <c r="G379" t="s">
        <v>2920</v>
      </c>
      <c r="H379" t="s">
        <v>2921</v>
      </c>
      <c r="I379">
        <v>2728141</v>
      </c>
      <c r="J379">
        <v>288801</v>
      </c>
      <c r="K379" t="s">
        <v>3207</v>
      </c>
      <c r="L379" t="s">
        <v>3208</v>
      </c>
      <c r="M379">
        <v>2527641</v>
      </c>
      <c r="N379">
        <v>20</v>
      </c>
      <c r="O379">
        <v>2492.09</v>
      </c>
      <c r="Q379">
        <v>0</v>
      </c>
      <c r="R379">
        <v>0</v>
      </c>
      <c r="S379">
        <v>0</v>
      </c>
      <c r="T379">
        <v>180407.391</v>
      </c>
      <c r="U379">
        <v>22</v>
      </c>
      <c r="V379">
        <v>0</v>
      </c>
      <c r="W379">
        <v>2492.0901053322768</v>
      </c>
      <c r="X379">
        <v>180407.3846332895</v>
      </c>
      <c r="Y379">
        <v>472.47500000000002</v>
      </c>
      <c r="Z379">
        <f>VLOOKUP($AC379,'2017 Seattle Tracts'!$C$2:$Z$399,24,FALSE)</f>
        <v>2527641.2570000002</v>
      </c>
      <c r="AA379">
        <f t="shared" si="11"/>
        <v>1.8692328220689427E-4</v>
      </c>
      <c r="AB379" t="s">
        <v>115</v>
      </c>
      <c r="AC379" t="str">
        <f t="shared" si="10"/>
        <v>Census Tract 62, King County, Washington</v>
      </c>
      <c r="AD379">
        <f>VLOOKUP($AC379,'2017 Seattle Tracts'!$C$2:$Z$399,AD$1,FALSE)*AA379</f>
        <v>0.8254532142256451</v>
      </c>
      <c r="AE379">
        <f>VLOOKUP($AC379,'2017 Seattle Tracts'!$C$2:$Z$399,AE$1,FALSE)*AA379</f>
        <v>0.73330003609764627</v>
      </c>
      <c r="AF379">
        <f>VLOOKUP($AC379,'2017 Seattle Tracts'!$C$2:$Z$399,AF$1,FALSE)*AA379</f>
        <v>9.2153178127998878E-2</v>
      </c>
      <c r="AG379">
        <f>VLOOKUP($AC379,'2017 Seattle Tracts'!$C$2:$Z$399,AG$1,FALSE)*AA379</f>
        <v>0.8254532142256451</v>
      </c>
      <c r="AH379">
        <f>VLOOKUP($AC379,'2017 Seattle Tracts'!$C$2:$Z$399,AH$1,FALSE)*AA379</f>
        <v>0.73330003609764627</v>
      </c>
      <c r="AI379">
        <f>VLOOKUP($AC379,'2017 Seattle Tracts'!$C$2:$Z$399,AI$1,FALSE)*AA379</f>
        <v>9.2153178127998878E-2</v>
      </c>
      <c r="AJ379">
        <f>VLOOKUP($AC379,'2017 Seattle Tracts'!$C$2:$Z$399,AJ$1,FALSE)*AA379</f>
        <v>0.62320222287778548</v>
      </c>
      <c r="AK379">
        <f>VLOOKUP($AC379,'2017 Seattle Tracts'!$C$2:$Z$399,AK$1,FALSE)*AA379</f>
        <v>5.3833905275585549E-2</v>
      </c>
      <c r="AL379">
        <f>VLOOKUP($AC379,'2017 Seattle Tracts'!$C$2:$Z$399,AL$1,FALSE)*AA379</f>
        <v>2.841233889544793E-2</v>
      </c>
      <c r="AM379">
        <f>VLOOKUP($AC379,'2017 Seattle Tracts'!$C$2:$Z$399,AM$1,FALSE)*AA379</f>
        <v>7.1030847238619825E-3</v>
      </c>
      <c r="AN379">
        <f>VLOOKUP($AC379,'2017 Seattle Tracts'!$C$2:$Z$399,AN$1,FALSE)*AA379</f>
        <v>7.1030847238619825E-3</v>
      </c>
      <c r="AO379">
        <f>VLOOKUP($AC379,'2017 Seattle Tracts'!$C$2:$Z$399,AO$1,FALSE)*AA379</f>
        <v>2.9907725153103084E-3</v>
      </c>
      <c r="AP379">
        <f>VLOOKUP($AC379,'2017 Seattle Tracts'!$C$2:$Z$399,AP$1,FALSE)*AA379</f>
        <v>0</v>
      </c>
      <c r="AQ379">
        <f>VLOOKUP($AC379,'2017 Seattle Tracts'!$C$2:$Z$399,AQ$1,FALSE)*AA379</f>
        <v>0</v>
      </c>
      <c r="AR379">
        <f>VLOOKUP($AC379,'2017 Seattle Tracts'!$C$2:$Z$399,AR$1,FALSE)*AA379</f>
        <v>2.8038492331034139E-2</v>
      </c>
      <c r="AS379">
        <f>VLOOKUP($AC379,'2017 Seattle Tracts'!$C$2:$Z$399,AS$1,FALSE)*AA379</f>
        <v>2.579541294455141E-2</v>
      </c>
      <c r="AT379">
        <f>VLOOKUP($AC379,'2017 Seattle Tracts'!$C$2:$Z$399,AT$1,FALSE)*AA379</f>
        <v>0</v>
      </c>
      <c r="AU379">
        <f>VLOOKUP($AC379,'2017 Seattle Tracts'!$C$2:$Z$399,AU$1,FALSE)*AA379</f>
        <v>0</v>
      </c>
      <c r="AV379">
        <f>VLOOKUP($AC379,'2017 Seattle Tracts'!$C$2:$Z$399,AV$1,FALSE)*AA379</f>
        <v>1.0841550367999869E-2</v>
      </c>
      <c r="AW379">
        <f>VLOOKUP($AC379,'2017 Seattle Tracts'!$C$2:$Z$399,AW$1,FALSE)*AA379</f>
        <v>2.4300026686896255E-3</v>
      </c>
      <c r="AX379">
        <f>VLOOKUP($AC379,'2017 Seattle Tracts'!$C$2:$Z$399,AX$1,FALSE)*AA379</f>
        <v>3.5702346901516809E-2</v>
      </c>
      <c r="AY379">
        <f>VLOOKUP($AC379,'2017 Seattle Tracts'!$C$2:$Z$399,AY$1,FALSE)*AA379</f>
        <v>0</v>
      </c>
    </row>
    <row r="380" spans="1:51" x14ac:dyDescent="0.25">
      <c r="A380" t="s">
        <v>2917</v>
      </c>
      <c r="B380" t="s">
        <v>2918</v>
      </c>
      <c r="C380" t="s">
        <v>3206</v>
      </c>
      <c r="D380" t="s">
        <v>2626</v>
      </c>
      <c r="E380" t="s">
        <v>2627</v>
      </c>
      <c r="F380" t="s">
        <v>2628</v>
      </c>
      <c r="G380" t="s">
        <v>2920</v>
      </c>
      <c r="H380" t="s">
        <v>2921</v>
      </c>
      <c r="I380">
        <v>2728141</v>
      </c>
      <c r="J380">
        <v>288801</v>
      </c>
      <c r="K380" t="s">
        <v>3207</v>
      </c>
      <c r="L380" t="s">
        <v>3208</v>
      </c>
      <c r="M380">
        <v>2527641</v>
      </c>
      <c r="N380">
        <v>22</v>
      </c>
      <c r="O380">
        <v>567.65</v>
      </c>
      <c r="Q380">
        <v>0</v>
      </c>
      <c r="R380">
        <v>0</v>
      </c>
      <c r="S380">
        <v>0</v>
      </c>
      <c r="T380">
        <v>14182.403</v>
      </c>
      <c r="U380">
        <v>24</v>
      </c>
      <c r="V380">
        <v>0</v>
      </c>
      <c r="W380">
        <v>567.64995519397837</v>
      </c>
      <c r="X380">
        <v>14182.40744683626</v>
      </c>
      <c r="Y380">
        <v>1292.019</v>
      </c>
      <c r="Z380">
        <f>VLOOKUP($AC380,'2017 Seattle Tracts'!$C$2:$Z$399,24,FALSE)</f>
        <v>2527641.2570000002</v>
      </c>
      <c r="AA380">
        <f t="shared" si="11"/>
        <v>5.1115600223010599E-4</v>
      </c>
      <c r="AB380" t="s">
        <v>115</v>
      </c>
      <c r="AC380" t="str">
        <f t="shared" si="10"/>
        <v>Census Tract 62, King County, Washington</v>
      </c>
      <c r="AD380">
        <f>VLOOKUP($AC380,'2017 Seattle Tracts'!$C$2:$Z$399,AD$1,FALSE)*AA380</f>
        <v>2.2572649058481482</v>
      </c>
      <c r="AE380">
        <f>VLOOKUP($AC380,'2017 Seattle Tracts'!$C$2:$Z$399,AE$1,FALSE)*AA380</f>
        <v>2.0052649967487057</v>
      </c>
      <c r="AF380">
        <f>VLOOKUP($AC380,'2017 Seattle Tracts'!$C$2:$Z$399,AF$1,FALSE)*AA380</f>
        <v>0.25199990909944225</v>
      </c>
      <c r="AG380">
        <f>VLOOKUP($AC380,'2017 Seattle Tracts'!$C$2:$Z$399,AG$1,FALSE)*AA380</f>
        <v>2.2572649058481482</v>
      </c>
      <c r="AH380">
        <f>VLOOKUP($AC380,'2017 Seattle Tracts'!$C$2:$Z$399,AH$1,FALSE)*AA380</f>
        <v>2.0052649967487057</v>
      </c>
      <c r="AI380">
        <f>VLOOKUP($AC380,'2017 Seattle Tracts'!$C$2:$Z$399,AI$1,FALSE)*AA380</f>
        <v>0.25199990909944225</v>
      </c>
      <c r="AJ380">
        <f>VLOOKUP($AC380,'2017 Seattle Tracts'!$C$2:$Z$399,AJ$1,FALSE)*AA380</f>
        <v>1.7041941114351733</v>
      </c>
      <c r="AK380">
        <f>VLOOKUP($AC380,'2017 Seattle Tracts'!$C$2:$Z$399,AK$1,FALSE)*AA380</f>
        <v>0.14721292864227054</v>
      </c>
      <c r="AL380">
        <f>VLOOKUP($AC380,'2017 Seattle Tracts'!$C$2:$Z$399,AL$1,FALSE)*AA380</f>
        <v>7.7695712338976111E-2</v>
      </c>
      <c r="AM380">
        <f>VLOOKUP($AC380,'2017 Seattle Tracts'!$C$2:$Z$399,AM$1,FALSE)*AA380</f>
        <v>1.9423928084744028E-2</v>
      </c>
      <c r="AN380">
        <f>VLOOKUP($AC380,'2017 Seattle Tracts'!$C$2:$Z$399,AN$1,FALSE)*AA380</f>
        <v>1.9423928084744028E-2</v>
      </c>
      <c r="AO380">
        <f>VLOOKUP($AC380,'2017 Seattle Tracts'!$C$2:$Z$399,AO$1,FALSE)*AA380</f>
        <v>8.1784960356816958E-3</v>
      </c>
      <c r="AP380">
        <f>VLOOKUP($AC380,'2017 Seattle Tracts'!$C$2:$Z$399,AP$1,FALSE)*AA380</f>
        <v>0</v>
      </c>
      <c r="AQ380">
        <f>VLOOKUP($AC380,'2017 Seattle Tracts'!$C$2:$Z$399,AQ$1,FALSE)*AA380</f>
        <v>0</v>
      </c>
      <c r="AR380">
        <f>VLOOKUP($AC380,'2017 Seattle Tracts'!$C$2:$Z$399,AR$1,FALSE)*AA380</f>
        <v>7.6673400334515904E-2</v>
      </c>
      <c r="AS380">
        <f>VLOOKUP($AC380,'2017 Seattle Tracts'!$C$2:$Z$399,AS$1,FALSE)*AA380</f>
        <v>7.0539528307754631E-2</v>
      </c>
      <c r="AT380">
        <f>VLOOKUP($AC380,'2017 Seattle Tracts'!$C$2:$Z$399,AT$1,FALSE)*AA380</f>
        <v>0</v>
      </c>
      <c r="AU380">
        <f>VLOOKUP($AC380,'2017 Seattle Tracts'!$C$2:$Z$399,AU$1,FALSE)*AA380</f>
        <v>0</v>
      </c>
      <c r="AV380">
        <f>VLOOKUP($AC380,'2017 Seattle Tracts'!$C$2:$Z$399,AV$1,FALSE)*AA380</f>
        <v>2.9647048129346147E-2</v>
      </c>
      <c r="AW380">
        <f>VLOOKUP($AC380,'2017 Seattle Tracts'!$C$2:$Z$399,AW$1,FALSE)*AA380</f>
        <v>6.6450280289913777E-3</v>
      </c>
      <c r="AX380">
        <f>VLOOKUP($AC380,'2017 Seattle Tracts'!$C$2:$Z$399,AX$1,FALSE)*AA380</f>
        <v>9.7630796425950239E-2</v>
      </c>
      <c r="AY380">
        <f>VLOOKUP($AC380,'2017 Seattle Tracts'!$C$2:$Z$399,AY$1,FALSE)*AA380</f>
        <v>0</v>
      </c>
    </row>
    <row r="381" spans="1:51" x14ac:dyDescent="0.25">
      <c r="A381" t="s">
        <v>2917</v>
      </c>
      <c r="B381" t="s">
        <v>2918</v>
      </c>
      <c r="C381" t="s">
        <v>3206</v>
      </c>
      <c r="D381" t="s">
        <v>2626</v>
      </c>
      <c r="E381" t="s">
        <v>2627</v>
      </c>
      <c r="F381" t="s">
        <v>2628</v>
      </c>
      <c r="G381" t="s">
        <v>2920</v>
      </c>
      <c r="H381" t="s">
        <v>2921</v>
      </c>
      <c r="I381">
        <v>2728141</v>
      </c>
      <c r="J381">
        <v>288801</v>
      </c>
      <c r="K381" t="s">
        <v>3207</v>
      </c>
      <c r="L381" t="s">
        <v>3208</v>
      </c>
      <c r="M381">
        <v>2527641</v>
      </c>
      <c r="N381">
        <v>23</v>
      </c>
      <c r="O381">
        <v>577.78700000000003</v>
      </c>
      <c r="Q381">
        <v>0</v>
      </c>
      <c r="R381">
        <v>0</v>
      </c>
      <c r="S381">
        <v>0</v>
      </c>
      <c r="T381">
        <v>18946.48</v>
      </c>
      <c r="U381">
        <v>25</v>
      </c>
      <c r="V381">
        <v>0</v>
      </c>
      <c r="W381">
        <v>577.78680810751928</v>
      </c>
      <c r="X381">
        <v>18946.48120583799</v>
      </c>
      <c r="Y381">
        <v>375.45600000000002</v>
      </c>
      <c r="Z381">
        <f>VLOOKUP($AC381,'2017 Seattle Tracts'!$C$2:$Z$399,24,FALSE)</f>
        <v>2527641.2570000002</v>
      </c>
      <c r="AA381">
        <f t="shared" si="11"/>
        <v>1.4854006634059305E-4</v>
      </c>
      <c r="AB381" t="s">
        <v>115</v>
      </c>
      <c r="AC381" t="str">
        <f t="shared" si="10"/>
        <v>Census Tract 62, King County, Washington</v>
      </c>
      <c r="AD381">
        <f>VLOOKUP($AC381,'2017 Seattle Tracts'!$C$2:$Z$399,AD$1,FALSE)*AA381</f>
        <v>0.65595293296005897</v>
      </c>
      <c r="AE381">
        <f>VLOOKUP($AC381,'2017 Seattle Tracts'!$C$2:$Z$399,AE$1,FALSE)*AA381</f>
        <v>0.58272268025414653</v>
      </c>
      <c r="AF381">
        <f>VLOOKUP($AC381,'2017 Seattle Tracts'!$C$2:$Z$399,AF$1,FALSE)*AA381</f>
        <v>7.323025270591238E-2</v>
      </c>
      <c r="AG381">
        <f>VLOOKUP($AC381,'2017 Seattle Tracts'!$C$2:$Z$399,AG$1,FALSE)*AA381</f>
        <v>0.65595293296005897</v>
      </c>
      <c r="AH381">
        <f>VLOOKUP($AC381,'2017 Seattle Tracts'!$C$2:$Z$399,AH$1,FALSE)*AA381</f>
        <v>0.58272268025414653</v>
      </c>
      <c r="AI381">
        <f>VLOOKUP($AC381,'2017 Seattle Tracts'!$C$2:$Z$399,AI$1,FALSE)*AA381</f>
        <v>7.323025270591238E-2</v>
      </c>
      <c r="AJ381">
        <f>VLOOKUP($AC381,'2017 Seattle Tracts'!$C$2:$Z$399,AJ$1,FALSE)*AA381</f>
        <v>0.49523258117953722</v>
      </c>
      <c r="AK381">
        <f>VLOOKUP($AC381,'2017 Seattle Tracts'!$C$2:$Z$399,AK$1,FALSE)*AA381</f>
        <v>4.2779539106090801E-2</v>
      </c>
      <c r="AL381">
        <f>VLOOKUP($AC381,'2017 Seattle Tracts'!$C$2:$Z$399,AL$1,FALSE)*AA381</f>
        <v>2.2578090083770142E-2</v>
      </c>
      <c r="AM381">
        <f>VLOOKUP($AC381,'2017 Seattle Tracts'!$C$2:$Z$399,AM$1,FALSE)*AA381</f>
        <v>5.6445225209425355E-3</v>
      </c>
      <c r="AN381">
        <f>VLOOKUP($AC381,'2017 Seattle Tracts'!$C$2:$Z$399,AN$1,FALSE)*AA381</f>
        <v>5.6445225209425355E-3</v>
      </c>
      <c r="AO381">
        <f>VLOOKUP($AC381,'2017 Seattle Tracts'!$C$2:$Z$399,AO$1,FALSE)*AA381</f>
        <v>2.3766410614494888E-3</v>
      </c>
      <c r="AP381">
        <f>VLOOKUP($AC381,'2017 Seattle Tracts'!$C$2:$Z$399,AP$1,FALSE)*AA381</f>
        <v>0</v>
      </c>
      <c r="AQ381">
        <f>VLOOKUP($AC381,'2017 Seattle Tracts'!$C$2:$Z$399,AQ$1,FALSE)*AA381</f>
        <v>0</v>
      </c>
      <c r="AR381">
        <f>VLOOKUP($AC381,'2017 Seattle Tracts'!$C$2:$Z$399,AR$1,FALSE)*AA381</f>
        <v>2.2281009951088959E-2</v>
      </c>
      <c r="AS381">
        <f>VLOOKUP($AC381,'2017 Seattle Tracts'!$C$2:$Z$399,AS$1,FALSE)*AA381</f>
        <v>2.0498529155001843E-2</v>
      </c>
      <c r="AT381">
        <f>VLOOKUP($AC381,'2017 Seattle Tracts'!$C$2:$Z$399,AT$1,FALSE)*AA381</f>
        <v>0</v>
      </c>
      <c r="AU381">
        <f>VLOOKUP($AC381,'2017 Seattle Tracts'!$C$2:$Z$399,AU$1,FALSE)*AA381</f>
        <v>0</v>
      </c>
      <c r="AV381">
        <f>VLOOKUP($AC381,'2017 Seattle Tracts'!$C$2:$Z$399,AV$1,FALSE)*AA381</f>
        <v>8.6153238477543973E-3</v>
      </c>
      <c r="AW381">
        <f>VLOOKUP($AC381,'2017 Seattle Tracts'!$C$2:$Z$399,AW$1,FALSE)*AA381</f>
        <v>1.9310208624277096E-3</v>
      </c>
      <c r="AX381">
        <f>VLOOKUP($AC381,'2017 Seattle Tracts'!$C$2:$Z$399,AX$1,FALSE)*AA381</f>
        <v>2.8371152671053272E-2</v>
      </c>
      <c r="AY381">
        <f>VLOOKUP($AC381,'2017 Seattle Tracts'!$C$2:$Z$399,AY$1,FALSE)*AA381</f>
        <v>0</v>
      </c>
    </row>
    <row r="382" spans="1:51" x14ac:dyDescent="0.25">
      <c r="A382" t="s">
        <v>2917</v>
      </c>
      <c r="B382" t="s">
        <v>2918</v>
      </c>
      <c r="C382" t="s">
        <v>3206</v>
      </c>
      <c r="D382" t="s">
        <v>2626</v>
      </c>
      <c r="E382" t="s">
        <v>2627</v>
      </c>
      <c r="F382" t="s">
        <v>2628</v>
      </c>
      <c r="G382" t="s">
        <v>2920</v>
      </c>
      <c r="H382" t="s">
        <v>2921</v>
      </c>
      <c r="I382">
        <v>2728141</v>
      </c>
      <c r="J382">
        <v>288801</v>
      </c>
      <c r="K382" t="s">
        <v>3207</v>
      </c>
      <c r="L382" t="s">
        <v>3208</v>
      </c>
      <c r="M382">
        <v>2527641</v>
      </c>
      <c r="N382">
        <v>24</v>
      </c>
      <c r="O382">
        <v>403.76</v>
      </c>
      <c r="Q382">
        <v>0</v>
      </c>
      <c r="R382">
        <v>0</v>
      </c>
      <c r="S382">
        <v>0</v>
      </c>
      <c r="T382">
        <v>9928.9670000000006</v>
      </c>
      <c r="U382">
        <v>26</v>
      </c>
      <c r="V382">
        <v>0</v>
      </c>
      <c r="W382">
        <v>403.7598553478249</v>
      </c>
      <c r="X382">
        <v>9928.9605542622412</v>
      </c>
      <c r="Y382">
        <v>922.48</v>
      </c>
      <c r="Z382">
        <f>VLOOKUP($AC382,'2017 Seattle Tracts'!$C$2:$Z$399,24,FALSE)</f>
        <v>2527641.2570000002</v>
      </c>
      <c r="AA382">
        <f t="shared" si="11"/>
        <v>3.6495685352709844E-4</v>
      </c>
      <c r="AB382" t="s">
        <v>115</v>
      </c>
      <c r="AC382" t="str">
        <f t="shared" si="10"/>
        <v>Census Tract 62, King County, Washington</v>
      </c>
      <c r="AD382">
        <f>VLOOKUP($AC382,'2017 Seattle Tracts'!$C$2:$Z$399,AD$1,FALSE)*AA382</f>
        <v>1.6116494651756668</v>
      </c>
      <c r="AE382">
        <f>VLOOKUP($AC382,'2017 Seattle Tracts'!$C$2:$Z$399,AE$1,FALSE)*AA382</f>
        <v>1.4317257363868072</v>
      </c>
      <c r="AF382">
        <f>VLOOKUP($AC382,'2017 Seattle Tracts'!$C$2:$Z$399,AF$1,FALSE)*AA382</f>
        <v>0.17992372878885954</v>
      </c>
      <c r="AG382">
        <f>VLOOKUP($AC382,'2017 Seattle Tracts'!$C$2:$Z$399,AG$1,FALSE)*AA382</f>
        <v>1.6116494651756668</v>
      </c>
      <c r="AH382">
        <f>VLOOKUP($AC382,'2017 Seattle Tracts'!$C$2:$Z$399,AH$1,FALSE)*AA382</f>
        <v>1.4317257363868072</v>
      </c>
      <c r="AI382">
        <f>VLOOKUP($AC382,'2017 Seattle Tracts'!$C$2:$Z$399,AI$1,FALSE)*AA382</f>
        <v>0.17992372878885954</v>
      </c>
      <c r="AJ382">
        <f>VLOOKUP($AC382,'2017 Seattle Tracts'!$C$2:$Z$399,AJ$1,FALSE)*AA382</f>
        <v>1.2167661496593463</v>
      </c>
      <c r="AK382">
        <f>VLOOKUP($AC382,'2017 Seattle Tracts'!$C$2:$Z$399,AK$1,FALSE)*AA382</f>
        <v>0.10510757381580435</v>
      </c>
      <c r="AL382">
        <f>VLOOKUP($AC382,'2017 Seattle Tracts'!$C$2:$Z$399,AL$1,FALSE)*AA382</f>
        <v>5.5473441736118963E-2</v>
      </c>
      <c r="AM382">
        <f>VLOOKUP($AC382,'2017 Seattle Tracts'!$C$2:$Z$399,AM$1,FALSE)*AA382</f>
        <v>1.3868360434029741E-2</v>
      </c>
      <c r="AN382">
        <f>VLOOKUP($AC382,'2017 Seattle Tracts'!$C$2:$Z$399,AN$1,FALSE)*AA382</f>
        <v>1.3868360434029741E-2</v>
      </c>
      <c r="AO382">
        <f>VLOOKUP($AC382,'2017 Seattle Tracts'!$C$2:$Z$399,AO$1,FALSE)*AA382</f>
        <v>5.839309656433575E-3</v>
      </c>
      <c r="AP382">
        <f>VLOOKUP($AC382,'2017 Seattle Tracts'!$C$2:$Z$399,AP$1,FALSE)*AA382</f>
        <v>0</v>
      </c>
      <c r="AQ382">
        <f>VLOOKUP($AC382,'2017 Seattle Tracts'!$C$2:$Z$399,AQ$1,FALSE)*AA382</f>
        <v>0</v>
      </c>
      <c r="AR382">
        <f>VLOOKUP($AC382,'2017 Seattle Tracts'!$C$2:$Z$399,AR$1,FALSE)*AA382</f>
        <v>5.4743528029064764E-2</v>
      </c>
      <c r="AS382">
        <f>VLOOKUP($AC382,'2017 Seattle Tracts'!$C$2:$Z$399,AS$1,FALSE)*AA382</f>
        <v>5.0364045786739586E-2</v>
      </c>
      <c r="AT382">
        <f>VLOOKUP($AC382,'2017 Seattle Tracts'!$C$2:$Z$399,AT$1,FALSE)*AA382</f>
        <v>0</v>
      </c>
      <c r="AU382">
        <f>VLOOKUP($AC382,'2017 Seattle Tracts'!$C$2:$Z$399,AU$1,FALSE)*AA382</f>
        <v>0</v>
      </c>
      <c r="AV382">
        <f>VLOOKUP($AC382,'2017 Seattle Tracts'!$C$2:$Z$399,AV$1,FALSE)*AA382</f>
        <v>2.1167497504571711E-2</v>
      </c>
      <c r="AW382">
        <f>VLOOKUP($AC382,'2017 Seattle Tracts'!$C$2:$Z$399,AW$1,FALSE)*AA382</f>
        <v>4.7444390958522797E-3</v>
      </c>
      <c r="AX382">
        <f>VLOOKUP($AC382,'2017 Seattle Tracts'!$C$2:$Z$399,AX$1,FALSE)*AA382</f>
        <v>6.9706759023675804E-2</v>
      </c>
      <c r="AY382">
        <f>VLOOKUP($AC382,'2017 Seattle Tracts'!$C$2:$Z$399,AY$1,FALSE)*AA382</f>
        <v>0</v>
      </c>
    </row>
    <row r="383" spans="1:51" x14ac:dyDescent="0.25">
      <c r="A383" t="s">
        <v>2917</v>
      </c>
      <c r="B383" t="s">
        <v>2918</v>
      </c>
      <c r="C383" t="s">
        <v>3206</v>
      </c>
      <c r="D383" t="s">
        <v>2626</v>
      </c>
      <c r="E383" t="s">
        <v>2627</v>
      </c>
      <c r="F383" t="s">
        <v>2628</v>
      </c>
      <c r="G383" t="s">
        <v>2920</v>
      </c>
      <c r="H383" t="s">
        <v>2921</v>
      </c>
      <c r="I383">
        <v>2728141</v>
      </c>
      <c r="J383">
        <v>288801</v>
      </c>
      <c r="K383" t="s">
        <v>3207</v>
      </c>
      <c r="L383" t="s">
        <v>3208</v>
      </c>
      <c r="M383">
        <v>2527641</v>
      </c>
      <c r="N383">
        <v>54</v>
      </c>
      <c r="O383">
        <v>17241.273000000001</v>
      </c>
      <c r="P383" t="s">
        <v>149</v>
      </c>
      <c r="Q383">
        <v>14</v>
      </c>
      <c r="R383">
        <v>8</v>
      </c>
      <c r="S383">
        <v>94</v>
      </c>
      <c r="T383">
        <v>13603396</v>
      </c>
      <c r="U383">
        <v>56</v>
      </c>
      <c r="V383">
        <v>153</v>
      </c>
      <c r="W383">
        <v>17241.274319159489</v>
      </c>
      <c r="X383">
        <v>13603395.67284916</v>
      </c>
      <c r="Y383">
        <v>125.947</v>
      </c>
      <c r="Z383">
        <f>VLOOKUP($AC383,'2017 Seattle Tracts'!$C$2:$Z$399,24,FALSE)</f>
        <v>2527641.2570000002</v>
      </c>
      <c r="AA383">
        <f t="shared" si="11"/>
        <v>4.9827877928169137E-5</v>
      </c>
      <c r="AB383" t="s">
        <v>150</v>
      </c>
      <c r="AC383" t="str">
        <f t="shared" si="10"/>
        <v>Census Tract 62, King County, Washington</v>
      </c>
      <c r="AD383">
        <f>VLOOKUP($AC383,'2017 Seattle Tracts'!$C$2:$Z$399,AD$1,FALSE)*AA383</f>
        <v>0.22003990893079492</v>
      </c>
      <c r="AE383">
        <f>VLOOKUP($AC383,'2017 Seattle Tracts'!$C$2:$Z$399,AE$1,FALSE)*AA383</f>
        <v>0.19547476511220752</v>
      </c>
      <c r="AF383">
        <f>VLOOKUP($AC383,'2017 Seattle Tracts'!$C$2:$Z$399,AF$1,FALSE)*AA383</f>
        <v>2.4565143818587383E-2</v>
      </c>
      <c r="AG383">
        <f>VLOOKUP($AC383,'2017 Seattle Tracts'!$C$2:$Z$399,AG$1,FALSE)*AA383</f>
        <v>0.22003990893079492</v>
      </c>
      <c r="AH383">
        <f>VLOOKUP($AC383,'2017 Seattle Tracts'!$C$2:$Z$399,AH$1,FALSE)*AA383</f>
        <v>0.19547476511220752</v>
      </c>
      <c r="AI383">
        <f>VLOOKUP($AC383,'2017 Seattle Tracts'!$C$2:$Z$399,AI$1,FALSE)*AA383</f>
        <v>2.4565143818587383E-2</v>
      </c>
      <c r="AJ383">
        <f>VLOOKUP($AC383,'2017 Seattle Tracts'!$C$2:$Z$399,AJ$1,FALSE)*AA383</f>
        <v>0.16612614501251591</v>
      </c>
      <c r="AK383">
        <f>VLOOKUP($AC383,'2017 Seattle Tracts'!$C$2:$Z$399,AK$1,FALSE)*AA383</f>
        <v>1.4350428843312711E-2</v>
      </c>
      <c r="AL383">
        <f>VLOOKUP($AC383,'2017 Seattle Tracts'!$C$2:$Z$399,AL$1,FALSE)*AA383</f>
        <v>7.5738374450817093E-3</v>
      </c>
      <c r="AM383">
        <f>VLOOKUP($AC383,'2017 Seattle Tracts'!$C$2:$Z$399,AM$1,FALSE)*AA383</f>
        <v>1.8934593612704273E-3</v>
      </c>
      <c r="AN383">
        <f>VLOOKUP($AC383,'2017 Seattle Tracts'!$C$2:$Z$399,AN$1,FALSE)*AA383</f>
        <v>1.8934593612704273E-3</v>
      </c>
      <c r="AO383">
        <f>VLOOKUP($AC383,'2017 Seattle Tracts'!$C$2:$Z$399,AO$1,FALSE)*AA383</f>
        <v>7.9724604685070619E-4</v>
      </c>
      <c r="AP383">
        <f>VLOOKUP($AC383,'2017 Seattle Tracts'!$C$2:$Z$399,AP$1,FALSE)*AA383</f>
        <v>0</v>
      </c>
      <c r="AQ383">
        <f>VLOOKUP($AC383,'2017 Seattle Tracts'!$C$2:$Z$399,AQ$1,FALSE)*AA383</f>
        <v>0</v>
      </c>
      <c r="AR383">
        <f>VLOOKUP($AC383,'2017 Seattle Tracts'!$C$2:$Z$399,AR$1,FALSE)*AA383</f>
        <v>7.4741816892253702E-3</v>
      </c>
      <c r="AS383">
        <f>VLOOKUP($AC383,'2017 Seattle Tracts'!$C$2:$Z$399,AS$1,FALSE)*AA383</f>
        <v>6.8762471540873412E-3</v>
      </c>
      <c r="AT383">
        <f>VLOOKUP($AC383,'2017 Seattle Tracts'!$C$2:$Z$399,AT$1,FALSE)*AA383</f>
        <v>0</v>
      </c>
      <c r="AU383">
        <f>VLOOKUP($AC383,'2017 Seattle Tracts'!$C$2:$Z$399,AU$1,FALSE)*AA383</f>
        <v>0</v>
      </c>
      <c r="AV383">
        <f>VLOOKUP($AC383,'2017 Seattle Tracts'!$C$2:$Z$399,AV$1,FALSE)*AA383</f>
        <v>2.8900169198338098E-3</v>
      </c>
      <c r="AW383">
        <f>VLOOKUP($AC383,'2017 Seattle Tracts'!$C$2:$Z$399,AW$1,FALSE)*AA383</f>
        <v>6.4776241306619873E-4</v>
      </c>
      <c r="AX383">
        <f>VLOOKUP($AC383,'2017 Seattle Tracts'!$C$2:$Z$399,AX$1,FALSE)*AA383</f>
        <v>9.5171246842803044E-3</v>
      </c>
      <c r="AY383">
        <f>VLOOKUP($AC383,'2017 Seattle Tracts'!$C$2:$Z$399,AY$1,FALSE)*AA383</f>
        <v>0</v>
      </c>
    </row>
    <row r="384" spans="1:51" x14ac:dyDescent="0.25">
      <c r="A384" t="s">
        <v>2917</v>
      </c>
      <c r="B384" t="s">
        <v>2918</v>
      </c>
      <c r="C384" t="s">
        <v>3206</v>
      </c>
      <c r="D384" t="s">
        <v>2626</v>
      </c>
      <c r="E384" t="s">
        <v>2627</v>
      </c>
      <c r="F384" t="s">
        <v>2628</v>
      </c>
      <c r="G384" t="s">
        <v>2920</v>
      </c>
      <c r="H384" t="s">
        <v>2921</v>
      </c>
      <c r="I384">
        <v>2728141</v>
      </c>
      <c r="J384">
        <v>288801</v>
      </c>
      <c r="K384" t="s">
        <v>3207</v>
      </c>
      <c r="L384" t="s">
        <v>3208</v>
      </c>
      <c r="M384">
        <v>2527641</v>
      </c>
      <c r="N384">
        <v>98</v>
      </c>
      <c r="O384">
        <v>34138.93</v>
      </c>
      <c r="P384" t="s">
        <v>201</v>
      </c>
      <c r="Q384">
        <v>11</v>
      </c>
      <c r="R384">
        <v>3</v>
      </c>
      <c r="S384">
        <v>9</v>
      </c>
      <c r="T384">
        <v>19763186</v>
      </c>
      <c r="U384">
        <v>100</v>
      </c>
      <c r="V384">
        <v>146</v>
      </c>
      <c r="W384">
        <v>34138.92787921233</v>
      </c>
      <c r="X384">
        <v>19763186.566329598</v>
      </c>
      <c r="Y384">
        <v>1369327.3049999999</v>
      </c>
      <c r="Z384">
        <f>VLOOKUP($AC384,'2017 Seattle Tracts'!$C$2:$Z$399,24,FALSE)</f>
        <v>2527641.2570000002</v>
      </c>
      <c r="AA384">
        <f t="shared" si="11"/>
        <v>0.54174115935471923</v>
      </c>
      <c r="AB384" t="s">
        <v>202</v>
      </c>
      <c r="AC384" t="str">
        <f t="shared" si="10"/>
        <v>Census Tract 62, King County, Washington</v>
      </c>
      <c r="AD384">
        <f>VLOOKUP($AC384,'2017 Seattle Tracts'!$C$2:$Z$399,AD$1,FALSE)*AA384</f>
        <v>2392.3289597104399</v>
      </c>
      <c r="AE384">
        <f>VLOOKUP($AC384,'2017 Seattle Tracts'!$C$2:$Z$399,AE$1,FALSE)*AA384</f>
        <v>2125.2505681485636</v>
      </c>
      <c r="AF384">
        <f>VLOOKUP($AC384,'2017 Seattle Tracts'!$C$2:$Z$399,AF$1,FALSE)*AA384</f>
        <v>267.07839156187657</v>
      </c>
      <c r="AG384">
        <f>VLOOKUP($AC384,'2017 Seattle Tracts'!$C$2:$Z$399,AG$1,FALSE)*AA384</f>
        <v>2392.3289597104399</v>
      </c>
      <c r="AH384">
        <f>VLOOKUP($AC384,'2017 Seattle Tracts'!$C$2:$Z$399,AH$1,FALSE)*AA384</f>
        <v>2125.2505681485636</v>
      </c>
      <c r="AI384">
        <f>VLOOKUP($AC384,'2017 Seattle Tracts'!$C$2:$Z$399,AI$1,FALSE)*AA384</f>
        <v>267.07839156187657</v>
      </c>
      <c r="AJ384">
        <f>VLOOKUP($AC384,'2017 Seattle Tracts'!$C$2:$Z$399,AJ$1,FALSE)*AA384</f>
        <v>1806.1650252886338</v>
      </c>
      <c r="AK384">
        <f>VLOOKUP($AC384,'2017 Seattle Tracts'!$C$2:$Z$399,AK$1,FALSE)*AA384</f>
        <v>156.02145389415915</v>
      </c>
      <c r="AL384">
        <f>VLOOKUP($AC384,'2017 Seattle Tracts'!$C$2:$Z$399,AL$1,FALSE)*AA384</f>
        <v>82.344656221917319</v>
      </c>
      <c r="AM384">
        <f>VLOOKUP($AC384,'2017 Seattle Tracts'!$C$2:$Z$399,AM$1,FALSE)*AA384</f>
        <v>20.58616405547933</v>
      </c>
      <c r="AN384">
        <f>VLOOKUP($AC384,'2017 Seattle Tracts'!$C$2:$Z$399,AN$1,FALSE)*AA384</f>
        <v>20.58616405547933</v>
      </c>
      <c r="AO384">
        <f>VLOOKUP($AC384,'2017 Seattle Tracts'!$C$2:$Z$399,AO$1,FALSE)*AA384</f>
        <v>8.6678585496755076</v>
      </c>
      <c r="AP384">
        <f>VLOOKUP($AC384,'2017 Seattle Tracts'!$C$2:$Z$399,AP$1,FALSE)*AA384</f>
        <v>0</v>
      </c>
      <c r="AQ384">
        <f>VLOOKUP($AC384,'2017 Seattle Tracts'!$C$2:$Z$399,AQ$1,FALSE)*AA384</f>
        <v>0</v>
      </c>
      <c r="AR384">
        <f>VLOOKUP($AC384,'2017 Seattle Tracts'!$C$2:$Z$399,AR$1,FALSE)*AA384</f>
        <v>81.26117390320789</v>
      </c>
      <c r="AS384">
        <f>VLOOKUP($AC384,'2017 Seattle Tracts'!$C$2:$Z$399,AS$1,FALSE)*AA384</f>
        <v>74.760279990951247</v>
      </c>
      <c r="AT384">
        <f>VLOOKUP($AC384,'2017 Seattle Tracts'!$C$2:$Z$399,AT$1,FALSE)*AA384</f>
        <v>0</v>
      </c>
      <c r="AU384">
        <f>VLOOKUP($AC384,'2017 Seattle Tracts'!$C$2:$Z$399,AU$1,FALSE)*AA384</f>
        <v>0</v>
      </c>
      <c r="AV384">
        <f>VLOOKUP($AC384,'2017 Seattle Tracts'!$C$2:$Z$399,AV$1,FALSE)*AA384</f>
        <v>31.420987242573716</v>
      </c>
      <c r="AW384">
        <f>VLOOKUP($AC384,'2017 Seattle Tracts'!$C$2:$Z$399,AW$1,FALSE)*AA384</f>
        <v>7.0426350716113504</v>
      </c>
      <c r="AX384">
        <f>VLOOKUP($AC384,'2017 Seattle Tracts'!$C$2:$Z$399,AX$1,FALSE)*AA384</f>
        <v>103.47256143675138</v>
      </c>
      <c r="AY384">
        <f>VLOOKUP($AC384,'2017 Seattle Tracts'!$C$2:$Z$399,AY$1,FALSE)*AA384</f>
        <v>0</v>
      </c>
    </row>
    <row r="385" spans="1:51" x14ac:dyDescent="0.25">
      <c r="A385" t="s">
        <v>2917</v>
      </c>
      <c r="B385" t="s">
        <v>2918</v>
      </c>
      <c r="C385" t="s">
        <v>3206</v>
      </c>
      <c r="D385" t="s">
        <v>2626</v>
      </c>
      <c r="E385" t="s">
        <v>2627</v>
      </c>
      <c r="F385" t="s">
        <v>2628</v>
      </c>
      <c r="G385" t="s">
        <v>2920</v>
      </c>
      <c r="H385" t="s">
        <v>2921</v>
      </c>
      <c r="I385">
        <v>2728141</v>
      </c>
      <c r="J385">
        <v>288801</v>
      </c>
      <c r="K385" t="s">
        <v>3207</v>
      </c>
      <c r="L385" t="s">
        <v>3208</v>
      </c>
      <c r="M385">
        <v>2527641</v>
      </c>
      <c r="N385">
        <v>99</v>
      </c>
      <c r="O385">
        <v>26230.434000000001</v>
      </c>
      <c r="P385" t="s">
        <v>201</v>
      </c>
      <c r="Q385">
        <v>11</v>
      </c>
      <c r="R385">
        <v>3</v>
      </c>
      <c r="S385">
        <v>95</v>
      </c>
      <c r="T385">
        <v>24680950</v>
      </c>
      <c r="U385">
        <v>101</v>
      </c>
      <c r="V385">
        <v>147</v>
      </c>
      <c r="W385">
        <v>26230.4347480002</v>
      </c>
      <c r="X385">
        <v>24680950.222277801</v>
      </c>
      <c r="Y385">
        <v>401340.7</v>
      </c>
      <c r="Z385">
        <f>VLOOKUP($AC385,'2017 Seattle Tracts'!$C$2:$Z$399,24,FALSE)</f>
        <v>2527641.2570000002</v>
      </c>
      <c r="AA385">
        <f t="shared" si="11"/>
        <v>0.15878072051899569</v>
      </c>
      <c r="AB385" t="s">
        <v>203</v>
      </c>
      <c r="AC385" t="str">
        <f t="shared" si="10"/>
        <v>Census Tract 62, King County, Washington</v>
      </c>
      <c r="AD385">
        <f>VLOOKUP($AC385,'2017 Seattle Tracts'!$C$2:$Z$399,AD$1,FALSE)*AA385</f>
        <v>701.17566181188499</v>
      </c>
      <c r="AE385">
        <f>VLOOKUP($AC385,'2017 Seattle Tracts'!$C$2:$Z$399,AE$1,FALSE)*AA385</f>
        <v>622.89676659602014</v>
      </c>
      <c r="AF385">
        <f>VLOOKUP($AC385,'2017 Seattle Tracts'!$C$2:$Z$399,AF$1,FALSE)*AA385</f>
        <v>78.278895215864878</v>
      </c>
      <c r="AG385">
        <f>VLOOKUP($AC385,'2017 Seattle Tracts'!$C$2:$Z$399,AG$1,FALSE)*AA385</f>
        <v>701.17566181188499</v>
      </c>
      <c r="AH385">
        <f>VLOOKUP($AC385,'2017 Seattle Tracts'!$C$2:$Z$399,AH$1,FALSE)*AA385</f>
        <v>622.89676659602014</v>
      </c>
      <c r="AI385">
        <f>VLOOKUP($AC385,'2017 Seattle Tracts'!$C$2:$Z$399,AI$1,FALSE)*AA385</f>
        <v>78.278895215864878</v>
      </c>
      <c r="AJ385">
        <f>VLOOKUP($AC385,'2017 Seattle Tracts'!$C$2:$Z$399,AJ$1,FALSE)*AA385</f>
        <v>529.37492221033165</v>
      </c>
      <c r="AK385">
        <f>VLOOKUP($AC385,'2017 Seattle Tracts'!$C$2:$Z$399,AK$1,FALSE)*AA385</f>
        <v>45.728847509470761</v>
      </c>
      <c r="AL385">
        <f>VLOOKUP($AC385,'2017 Seattle Tracts'!$C$2:$Z$399,AL$1,FALSE)*AA385</f>
        <v>24.134669518887346</v>
      </c>
      <c r="AM385">
        <f>VLOOKUP($AC385,'2017 Seattle Tracts'!$C$2:$Z$399,AM$1,FALSE)*AA385</f>
        <v>6.0336673797218365</v>
      </c>
      <c r="AN385">
        <f>VLOOKUP($AC385,'2017 Seattle Tracts'!$C$2:$Z$399,AN$1,FALSE)*AA385</f>
        <v>6.0336673797218365</v>
      </c>
      <c r="AO385">
        <f>VLOOKUP($AC385,'2017 Seattle Tracts'!$C$2:$Z$399,AO$1,FALSE)*AA385</f>
        <v>2.5404915283039311</v>
      </c>
      <c r="AP385">
        <f>VLOOKUP($AC385,'2017 Seattle Tracts'!$C$2:$Z$399,AP$1,FALSE)*AA385</f>
        <v>0</v>
      </c>
      <c r="AQ385">
        <f>VLOOKUP($AC385,'2017 Seattle Tracts'!$C$2:$Z$399,AQ$1,FALSE)*AA385</f>
        <v>0</v>
      </c>
      <c r="AR385">
        <f>VLOOKUP($AC385,'2017 Seattle Tracts'!$C$2:$Z$399,AR$1,FALSE)*AA385</f>
        <v>23.817108077849355</v>
      </c>
      <c r="AS385">
        <f>VLOOKUP($AC385,'2017 Seattle Tracts'!$C$2:$Z$399,AS$1,FALSE)*AA385</f>
        <v>21.911739431621406</v>
      </c>
      <c r="AT385">
        <f>VLOOKUP($AC385,'2017 Seattle Tracts'!$C$2:$Z$399,AT$1,FALSE)*AA385</f>
        <v>0</v>
      </c>
      <c r="AU385">
        <f>VLOOKUP($AC385,'2017 Seattle Tracts'!$C$2:$Z$399,AU$1,FALSE)*AA385</f>
        <v>0</v>
      </c>
      <c r="AV385">
        <f>VLOOKUP($AC385,'2017 Seattle Tracts'!$C$2:$Z$399,AV$1,FALSE)*AA385</f>
        <v>9.2092817901017501</v>
      </c>
      <c r="AW385">
        <f>VLOOKUP($AC385,'2017 Seattle Tracts'!$C$2:$Z$399,AW$1,FALSE)*AA385</f>
        <v>2.0641493667469439</v>
      </c>
      <c r="AX385">
        <f>VLOOKUP($AC385,'2017 Seattle Tracts'!$C$2:$Z$399,AX$1,FALSE)*AA385</f>
        <v>30.327117619128177</v>
      </c>
      <c r="AY385">
        <f>VLOOKUP($AC385,'2017 Seattle Tracts'!$C$2:$Z$399,AY$1,FALSE)*AA385</f>
        <v>0</v>
      </c>
    </row>
    <row r="386" spans="1:51" x14ac:dyDescent="0.25">
      <c r="A386" t="s">
        <v>2917</v>
      </c>
      <c r="B386" t="s">
        <v>2918</v>
      </c>
      <c r="C386" t="s">
        <v>3206</v>
      </c>
      <c r="D386" t="s">
        <v>2626</v>
      </c>
      <c r="E386" t="s">
        <v>2627</v>
      </c>
      <c r="F386" t="s">
        <v>2628</v>
      </c>
      <c r="G386" t="s">
        <v>2920</v>
      </c>
      <c r="H386" t="s">
        <v>2921</v>
      </c>
      <c r="I386">
        <v>2728141</v>
      </c>
      <c r="J386">
        <v>288801</v>
      </c>
      <c r="K386" t="s">
        <v>3207</v>
      </c>
      <c r="L386" t="s">
        <v>3208</v>
      </c>
      <c r="M386">
        <v>2527641</v>
      </c>
      <c r="N386">
        <v>100</v>
      </c>
      <c r="O386">
        <v>26851.947</v>
      </c>
      <c r="P386" t="s">
        <v>201</v>
      </c>
      <c r="Q386">
        <v>11</v>
      </c>
      <c r="R386">
        <v>3</v>
      </c>
      <c r="S386">
        <v>0</v>
      </c>
      <c r="T386">
        <v>30239240</v>
      </c>
      <c r="U386">
        <v>102</v>
      </c>
      <c r="V386">
        <v>151</v>
      </c>
      <c r="W386">
        <v>26851.9474418256</v>
      </c>
      <c r="X386">
        <v>30239240.52129779</v>
      </c>
      <c r="Y386">
        <v>146.32400000000001</v>
      </c>
      <c r="Z386">
        <f>VLOOKUP($AC386,'2017 Seattle Tracts'!$C$2:$Z$399,24,FALSE)</f>
        <v>2527641.2570000002</v>
      </c>
      <c r="AA386">
        <f t="shared" si="11"/>
        <v>5.788954409363797E-5</v>
      </c>
      <c r="AB386" t="s">
        <v>204</v>
      </c>
      <c r="AC386" t="str">
        <f t="shared" si="10"/>
        <v>Census Tract 62, King County, Washington</v>
      </c>
      <c r="AD386">
        <f>VLOOKUP($AC386,'2017 Seattle Tracts'!$C$2:$Z$399,AD$1,FALSE)*AA386</f>
        <v>0.2556402267175053</v>
      </c>
      <c r="AE386">
        <f>VLOOKUP($AC386,'2017 Seattle Tracts'!$C$2:$Z$399,AE$1,FALSE)*AA386</f>
        <v>0.22710068147934176</v>
      </c>
      <c r="AF386">
        <f>VLOOKUP($AC386,'2017 Seattle Tracts'!$C$2:$Z$399,AF$1,FALSE)*AA386</f>
        <v>2.853954523816352E-2</v>
      </c>
      <c r="AG386">
        <f>VLOOKUP($AC386,'2017 Seattle Tracts'!$C$2:$Z$399,AG$1,FALSE)*AA386</f>
        <v>0.2556402267175053</v>
      </c>
      <c r="AH386">
        <f>VLOOKUP($AC386,'2017 Seattle Tracts'!$C$2:$Z$399,AH$1,FALSE)*AA386</f>
        <v>0.22710068147934176</v>
      </c>
      <c r="AI386">
        <f>VLOOKUP($AC386,'2017 Seattle Tracts'!$C$2:$Z$399,AI$1,FALSE)*AA386</f>
        <v>2.853954523816352E-2</v>
      </c>
      <c r="AJ386">
        <f>VLOOKUP($AC386,'2017 Seattle Tracts'!$C$2:$Z$399,AJ$1,FALSE)*AA386</f>
        <v>0.19300374000818898</v>
      </c>
      <c r="AK386">
        <f>VLOOKUP($AC386,'2017 Seattle Tracts'!$C$2:$Z$399,AK$1,FALSE)*AA386</f>
        <v>1.6672188698967735E-2</v>
      </c>
      <c r="AL386">
        <f>VLOOKUP($AC386,'2017 Seattle Tracts'!$C$2:$Z$399,AL$1,FALSE)*AA386</f>
        <v>8.7992107022329714E-3</v>
      </c>
      <c r="AM386">
        <f>VLOOKUP($AC386,'2017 Seattle Tracts'!$C$2:$Z$399,AM$1,FALSE)*AA386</f>
        <v>2.1998026755582429E-3</v>
      </c>
      <c r="AN386">
        <f>VLOOKUP($AC386,'2017 Seattle Tracts'!$C$2:$Z$399,AN$1,FALSE)*AA386</f>
        <v>2.1998026755582429E-3</v>
      </c>
      <c r="AO386">
        <f>VLOOKUP($AC386,'2017 Seattle Tracts'!$C$2:$Z$399,AO$1,FALSE)*AA386</f>
        <v>9.2623270549820752E-4</v>
      </c>
      <c r="AP386">
        <f>VLOOKUP($AC386,'2017 Seattle Tracts'!$C$2:$Z$399,AP$1,FALSE)*AA386</f>
        <v>0</v>
      </c>
      <c r="AQ386">
        <f>VLOOKUP($AC386,'2017 Seattle Tracts'!$C$2:$Z$399,AQ$1,FALSE)*AA386</f>
        <v>0</v>
      </c>
      <c r="AR386">
        <f>VLOOKUP($AC386,'2017 Seattle Tracts'!$C$2:$Z$399,AR$1,FALSE)*AA386</f>
        <v>8.6834316140456946E-3</v>
      </c>
      <c r="AS386">
        <f>VLOOKUP($AC386,'2017 Seattle Tracts'!$C$2:$Z$399,AS$1,FALSE)*AA386</f>
        <v>7.9887570849220407E-3</v>
      </c>
      <c r="AT386">
        <f>VLOOKUP($AC386,'2017 Seattle Tracts'!$C$2:$Z$399,AT$1,FALSE)*AA386</f>
        <v>0</v>
      </c>
      <c r="AU386">
        <f>VLOOKUP($AC386,'2017 Seattle Tracts'!$C$2:$Z$399,AU$1,FALSE)*AA386</f>
        <v>0</v>
      </c>
      <c r="AV386">
        <f>VLOOKUP($AC386,'2017 Seattle Tracts'!$C$2:$Z$399,AV$1,FALSE)*AA386</f>
        <v>3.3575935574310023E-3</v>
      </c>
      <c r="AW386">
        <f>VLOOKUP($AC386,'2017 Seattle Tracts'!$C$2:$Z$399,AW$1,FALSE)*AA386</f>
        <v>7.5256407321729361E-4</v>
      </c>
      <c r="AX386">
        <f>VLOOKUP($AC386,'2017 Seattle Tracts'!$C$2:$Z$399,AX$1,FALSE)*AA386</f>
        <v>1.1056902921884852E-2</v>
      </c>
      <c r="AY386">
        <f>VLOOKUP($AC386,'2017 Seattle Tracts'!$C$2:$Z$399,AY$1,FALSE)*AA386</f>
        <v>0</v>
      </c>
    </row>
    <row r="387" spans="1:51" x14ac:dyDescent="0.25">
      <c r="A387" t="s">
        <v>2917</v>
      </c>
      <c r="B387" t="s">
        <v>2918</v>
      </c>
      <c r="C387" t="s">
        <v>3206</v>
      </c>
      <c r="D387" t="s">
        <v>2626</v>
      </c>
      <c r="E387" t="s">
        <v>2627</v>
      </c>
      <c r="F387" t="s">
        <v>2628</v>
      </c>
      <c r="G387" t="s">
        <v>2920</v>
      </c>
      <c r="H387" t="s">
        <v>2921</v>
      </c>
      <c r="I387">
        <v>2728141</v>
      </c>
      <c r="J387">
        <v>288801</v>
      </c>
      <c r="K387" t="s">
        <v>3207</v>
      </c>
      <c r="L387" t="s">
        <v>3208</v>
      </c>
      <c r="M387">
        <v>2527641</v>
      </c>
      <c r="N387">
        <v>101</v>
      </c>
      <c r="O387">
        <v>25522.346000000001</v>
      </c>
      <c r="P387" t="s">
        <v>201</v>
      </c>
      <c r="Q387">
        <v>11</v>
      </c>
      <c r="R387">
        <v>3</v>
      </c>
      <c r="S387">
        <v>23</v>
      </c>
      <c r="T387">
        <v>26039592</v>
      </c>
      <c r="U387">
        <v>103</v>
      </c>
      <c r="V387">
        <v>149</v>
      </c>
      <c r="W387">
        <v>25522.345636876809</v>
      </c>
      <c r="X387">
        <v>26039592.07912118</v>
      </c>
      <c r="Y387">
        <v>576829.58400000003</v>
      </c>
      <c r="Z387">
        <f>VLOOKUP($AC387,'2017 Seattle Tracts'!$C$2:$Z$399,24,FALSE)</f>
        <v>2527641.2570000002</v>
      </c>
      <c r="AA387">
        <f t="shared" si="11"/>
        <v>0.22820864408766056</v>
      </c>
      <c r="AB387" t="s">
        <v>205</v>
      </c>
      <c r="AC387" t="str">
        <f t="shared" ref="AC387:AC450" si="12">_xlfn.CONCAT(F387, ", King County, Washington")</f>
        <v>Census Tract 62, King County, Washington</v>
      </c>
      <c r="AD387">
        <f>VLOOKUP($AC387,'2017 Seattle Tracts'!$C$2:$Z$399,AD$1,FALSE)*AA387</f>
        <v>1007.769372291109</v>
      </c>
      <c r="AE387">
        <f>VLOOKUP($AC387,'2017 Seattle Tracts'!$C$2:$Z$399,AE$1,FALSE)*AA387</f>
        <v>895.26251075589244</v>
      </c>
      <c r="AF387">
        <f>VLOOKUP($AC387,'2017 Seattle Tracts'!$C$2:$Z$399,AF$1,FALSE)*AA387</f>
        <v>112.50686153521666</v>
      </c>
      <c r="AG387">
        <f>VLOOKUP($AC387,'2017 Seattle Tracts'!$C$2:$Z$399,AG$1,FALSE)*AA387</f>
        <v>1007.769372291109</v>
      </c>
      <c r="AH387">
        <f>VLOOKUP($AC387,'2017 Seattle Tracts'!$C$2:$Z$399,AH$1,FALSE)*AA387</f>
        <v>895.26251075589244</v>
      </c>
      <c r="AI387">
        <f>VLOOKUP($AC387,'2017 Seattle Tracts'!$C$2:$Z$399,AI$1,FALSE)*AA387</f>
        <v>112.50686153521666</v>
      </c>
      <c r="AJ387">
        <f>VLOOKUP($AC387,'2017 Seattle Tracts'!$C$2:$Z$399,AJ$1,FALSE)*AA387</f>
        <v>760.84761938826034</v>
      </c>
      <c r="AK387">
        <f>VLOOKUP($AC387,'2017 Seattle Tracts'!$C$2:$Z$399,AK$1,FALSE)*AA387</f>
        <v>65.72408949724624</v>
      </c>
      <c r="AL387">
        <f>VLOOKUP($AC387,'2017 Seattle Tracts'!$C$2:$Z$399,AL$1,FALSE)*AA387</f>
        <v>34.687713901324408</v>
      </c>
      <c r="AM387">
        <f>VLOOKUP($AC387,'2017 Seattle Tracts'!$C$2:$Z$399,AM$1,FALSE)*AA387</f>
        <v>8.6719284753311019</v>
      </c>
      <c r="AN387">
        <f>VLOOKUP($AC387,'2017 Seattle Tracts'!$C$2:$Z$399,AN$1,FALSE)*AA387</f>
        <v>8.6719284753311019</v>
      </c>
      <c r="AO387">
        <f>VLOOKUP($AC387,'2017 Seattle Tracts'!$C$2:$Z$399,AO$1,FALSE)*AA387</f>
        <v>3.651338305402569</v>
      </c>
      <c r="AP387">
        <f>VLOOKUP($AC387,'2017 Seattle Tracts'!$C$2:$Z$399,AP$1,FALSE)*AA387</f>
        <v>0</v>
      </c>
      <c r="AQ387">
        <f>VLOOKUP($AC387,'2017 Seattle Tracts'!$C$2:$Z$399,AQ$1,FALSE)*AA387</f>
        <v>0</v>
      </c>
      <c r="AR387">
        <f>VLOOKUP($AC387,'2017 Seattle Tracts'!$C$2:$Z$399,AR$1,FALSE)*AA387</f>
        <v>34.231296613149084</v>
      </c>
      <c r="AS387">
        <f>VLOOKUP($AC387,'2017 Seattle Tracts'!$C$2:$Z$399,AS$1,FALSE)*AA387</f>
        <v>31.492792884097156</v>
      </c>
      <c r="AT387">
        <f>VLOOKUP($AC387,'2017 Seattle Tracts'!$C$2:$Z$399,AT$1,FALSE)*AA387</f>
        <v>0</v>
      </c>
      <c r="AU387">
        <f>VLOOKUP($AC387,'2017 Seattle Tracts'!$C$2:$Z$399,AU$1,FALSE)*AA387</f>
        <v>0</v>
      </c>
      <c r="AV387">
        <f>VLOOKUP($AC387,'2017 Seattle Tracts'!$C$2:$Z$399,AV$1,FALSE)*AA387</f>
        <v>13.236101357084312</v>
      </c>
      <c r="AW387">
        <f>VLOOKUP($AC387,'2017 Seattle Tracts'!$C$2:$Z$399,AW$1,FALSE)*AA387</f>
        <v>2.9667123731395875</v>
      </c>
      <c r="AX387">
        <f>VLOOKUP($AC387,'2017 Seattle Tracts'!$C$2:$Z$399,AX$1,FALSE)*AA387</f>
        <v>43.587851020743166</v>
      </c>
      <c r="AY387">
        <f>VLOOKUP($AC387,'2017 Seattle Tracts'!$C$2:$Z$399,AY$1,FALSE)*AA387</f>
        <v>0</v>
      </c>
    </row>
    <row r="388" spans="1:51" x14ac:dyDescent="0.25">
      <c r="A388" t="s">
        <v>2917</v>
      </c>
      <c r="B388" t="s">
        <v>2918</v>
      </c>
      <c r="C388" t="s">
        <v>3209</v>
      </c>
      <c r="D388" t="s">
        <v>2623</v>
      </c>
      <c r="E388" t="s">
        <v>2624</v>
      </c>
      <c r="F388" t="s">
        <v>2625</v>
      </c>
      <c r="G388" t="s">
        <v>2920</v>
      </c>
      <c r="H388" t="s">
        <v>2921</v>
      </c>
      <c r="I388">
        <v>2306076</v>
      </c>
      <c r="J388">
        <v>3484113</v>
      </c>
      <c r="K388" t="s">
        <v>3210</v>
      </c>
      <c r="L388" t="s">
        <v>3211</v>
      </c>
      <c r="M388">
        <v>2321807</v>
      </c>
      <c r="N388">
        <v>54</v>
      </c>
      <c r="O388">
        <v>17241.273000000001</v>
      </c>
      <c r="P388" t="s">
        <v>149</v>
      </c>
      <c r="Q388">
        <v>14</v>
      </c>
      <c r="R388">
        <v>8</v>
      </c>
      <c r="S388">
        <v>94</v>
      </c>
      <c r="T388">
        <v>13603396</v>
      </c>
      <c r="U388">
        <v>56</v>
      </c>
      <c r="V388">
        <v>153</v>
      </c>
      <c r="W388">
        <v>17241.274319159489</v>
      </c>
      <c r="X388">
        <v>13603395.67284916</v>
      </c>
      <c r="Y388">
        <v>446969.49</v>
      </c>
      <c r="Z388">
        <f>VLOOKUP($AC388,'2017 Seattle Tracts'!$C$2:$Z$399,24,FALSE)</f>
        <v>2321807.1039999998</v>
      </c>
      <c r="AA388">
        <f t="shared" ref="AA388:AA451" si="13">Y388/Z388</f>
        <v>0.19250931278053321</v>
      </c>
      <c r="AB388" t="s">
        <v>150</v>
      </c>
      <c r="AC388" t="str">
        <f t="shared" si="12"/>
        <v>Census Tract 63, King County, Washington</v>
      </c>
      <c r="AD388">
        <f>VLOOKUP($AC388,'2017 Seattle Tracts'!$C$2:$Z$399,AD$1,FALSE)*AA388</f>
        <v>1060.7263134207381</v>
      </c>
      <c r="AE388">
        <f>VLOOKUP($AC388,'2017 Seattle Tracts'!$C$2:$Z$399,AE$1,FALSE)*AA388</f>
        <v>925.00724791046207</v>
      </c>
      <c r="AF388">
        <f>VLOOKUP($AC388,'2017 Seattle Tracts'!$C$2:$Z$399,AF$1,FALSE)*AA388</f>
        <v>135.71906551027593</v>
      </c>
      <c r="AG388">
        <f>VLOOKUP($AC388,'2017 Seattle Tracts'!$C$2:$Z$399,AG$1,FALSE)*AA388</f>
        <v>1060.7263134207381</v>
      </c>
      <c r="AH388">
        <f>VLOOKUP($AC388,'2017 Seattle Tracts'!$C$2:$Z$399,AH$1,FALSE)*AA388</f>
        <v>925.00724791046207</v>
      </c>
      <c r="AI388">
        <f>VLOOKUP($AC388,'2017 Seattle Tracts'!$C$2:$Z$399,AI$1,FALSE)*AA388</f>
        <v>135.71906551027593</v>
      </c>
      <c r="AJ388">
        <f>VLOOKUP($AC388,'2017 Seattle Tracts'!$C$2:$Z$399,AJ$1,FALSE)*AA388</f>
        <v>845.6934110448824</v>
      </c>
      <c r="AK388">
        <f>VLOOKUP($AC388,'2017 Seattle Tracts'!$C$2:$Z$399,AK$1,FALSE)*AA388</f>
        <v>80.468892742262881</v>
      </c>
      <c r="AL388">
        <f>VLOOKUP($AC388,'2017 Seattle Tracts'!$C$2:$Z$399,AL$1,FALSE)*AA388</f>
        <v>10.010484264587728</v>
      </c>
      <c r="AM388">
        <f>VLOOKUP($AC388,'2017 Seattle Tracts'!$C$2:$Z$399,AM$1,FALSE)*AA388</f>
        <v>3.4651676300495979</v>
      </c>
      <c r="AN388">
        <f>VLOOKUP($AC388,'2017 Seattle Tracts'!$C$2:$Z$399,AN$1,FALSE)*AA388</f>
        <v>15.785763648003723</v>
      </c>
      <c r="AO388">
        <f>VLOOKUP($AC388,'2017 Seattle Tracts'!$C$2:$Z$399,AO$1,FALSE)*AA388</f>
        <v>2.8876396917079981</v>
      </c>
      <c r="AP388">
        <f>VLOOKUP($AC388,'2017 Seattle Tracts'!$C$2:$Z$399,AP$1,FALSE)*AA388</f>
        <v>0</v>
      </c>
      <c r="AQ388">
        <f>VLOOKUP($AC388,'2017 Seattle Tracts'!$C$2:$Z$399,AQ$1,FALSE)*AA388</f>
        <v>0</v>
      </c>
      <c r="AR388">
        <f>VLOOKUP($AC388,'2017 Seattle Tracts'!$C$2:$Z$399,AR$1,FALSE)*AA388</f>
        <v>4.8127328195133305</v>
      </c>
      <c r="AS388">
        <f>VLOOKUP($AC388,'2017 Seattle Tracts'!$C$2:$Z$399,AS$1,FALSE)*AA388</f>
        <v>34.651676300495978</v>
      </c>
      <c r="AT388">
        <f>VLOOKUP($AC388,'2017 Seattle Tracts'!$C$2:$Z$399,AT$1,FALSE)*AA388</f>
        <v>0</v>
      </c>
      <c r="AU388">
        <f>VLOOKUP($AC388,'2017 Seattle Tracts'!$C$2:$Z$399,AU$1,FALSE)*AA388</f>
        <v>0</v>
      </c>
      <c r="AV388">
        <f>VLOOKUP($AC388,'2017 Seattle Tracts'!$C$2:$Z$399,AV$1,FALSE)*AA388</f>
        <v>3.6576769428301308</v>
      </c>
      <c r="AW388">
        <f>VLOOKUP($AC388,'2017 Seattle Tracts'!$C$2:$Z$399,AW$1,FALSE)*AA388</f>
        <v>0</v>
      </c>
      <c r="AX388">
        <f>VLOOKUP($AC388,'2017 Seattle Tracts'!$C$2:$Z$399,AX$1,FALSE)*AA388</f>
        <v>45.047179190644769</v>
      </c>
      <c r="AY388">
        <f>VLOOKUP($AC388,'2017 Seattle Tracts'!$C$2:$Z$399,AY$1,FALSE)*AA388</f>
        <v>14.245689145759458</v>
      </c>
    </row>
    <row r="389" spans="1:51" x14ac:dyDescent="0.25">
      <c r="A389" t="s">
        <v>2917</v>
      </c>
      <c r="B389" t="s">
        <v>2918</v>
      </c>
      <c r="C389" t="s">
        <v>3209</v>
      </c>
      <c r="D389" t="s">
        <v>2623</v>
      </c>
      <c r="E389" t="s">
        <v>2624</v>
      </c>
      <c r="F389" t="s">
        <v>2625</v>
      </c>
      <c r="G389" t="s">
        <v>2920</v>
      </c>
      <c r="H389" t="s">
        <v>2921</v>
      </c>
      <c r="I389">
        <v>2306076</v>
      </c>
      <c r="J389">
        <v>3484113</v>
      </c>
      <c r="K389" t="s">
        <v>3210</v>
      </c>
      <c r="L389" t="s">
        <v>3211</v>
      </c>
      <c r="M389">
        <v>2321807</v>
      </c>
      <c r="N389">
        <v>98</v>
      </c>
      <c r="O389">
        <v>34138.93</v>
      </c>
      <c r="P389" t="s">
        <v>201</v>
      </c>
      <c r="Q389">
        <v>11</v>
      </c>
      <c r="R389">
        <v>3</v>
      </c>
      <c r="S389">
        <v>9</v>
      </c>
      <c r="T389">
        <v>19763186</v>
      </c>
      <c r="U389">
        <v>100</v>
      </c>
      <c r="V389">
        <v>146</v>
      </c>
      <c r="W389">
        <v>34138.92787921233</v>
      </c>
      <c r="X389">
        <v>19763186.566329598</v>
      </c>
      <c r="Y389">
        <v>5502.277</v>
      </c>
      <c r="Z389">
        <f>VLOOKUP($AC389,'2017 Seattle Tracts'!$C$2:$Z$399,24,FALSE)</f>
        <v>2321807.1039999998</v>
      </c>
      <c r="AA389">
        <f t="shared" si="13"/>
        <v>2.3698252066335309E-3</v>
      </c>
      <c r="AB389" t="s">
        <v>202</v>
      </c>
      <c r="AC389" t="str">
        <f t="shared" si="12"/>
        <v>Census Tract 63, King County, Washington</v>
      </c>
      <c r="AD389">
        <f>VLOOKUP($AC389,'2017 Seattle Tracts'!$C$2:$Z$399,AD$1,FALSE)*AA389</f>
        <v>13.057736888550755</v>
      </c>
      <c r="AE389">
        <f>VLOOKUP($AC389,'2017 Seattle Tracts'!$C$2:$Z$399,AE$1,FALSE)*AA389</f>
        <v>11.387010117874116</v>
      </c>
      <c r="AF389">
        <f>VLOOKUP($AC389,'2017 Seattle Tracts'!$C$2:$Z$399,AF$1,FALSE)*AA389</f>
        <v>1.6707267706766393</v>
      </c>
      <c r="AG389">
        <f>VLOOKUP($AC389,'2017 Seattle Tracts'!$C$2:$Z$399,AG$1,FALSE)*AA389</f>
        <v>13.057736888550755</v>
      </c>
      <c r="AH389">
        <f>VLOOKUP($AC389,'2017 Seattle Tracts'!$C$2:$Z$399,AH$1,FALSE)*AA389</f>
        <v>11.387010117874116</v>
      </c>
      <c r="AI389">
        <f>VLOOKUP($AC389,'2017 Seattle Tracts'!$C$2:$Z$399,AI$1,FALSE)*AA389</f>
        <v>1.6707267706766393</v>
      </c>
      <c r="AJ389">
        <f>VLOOKUP($AC389,'2017 Seattle Tracts'!$C$2:$Z$399,AJ$1,FALSE)*AA389</f>
        <v>10.410642132741101</v>
      </c>
      <c r="AK389">
        <f>VLOOKUP($AC389,'2017 Seattle Tracts'!$C$2:$Z$399,AK$1,FALSE)*AA389</f>
        <v>0.99058693637281592</v>
      </c>
      <c r="AL389">
        <f>VLOOKUP($AC389,'2017 Seattle Tracts'!$C$2:$Z$399,AL$1,FALSE)*AA389</f>
        <v>0.12323091074494361</v>
      </c>
      <c r="AM389">
        <f>VLOOKUP($AC389,'2017 Seattle Tracts'!$C$2:$Z$399,AM$1,FALSE)*AA389</f>
        <v>4.2656853719403559E-2</v>
      </c>
      <c r="AN389">
        <f>VLOOKUP($AC389,'2017 Seattle Tracts'!$C$2:$Z$399,AN$1,FALSE)*AA389</f>
        <v>0.19432566694394954</v>
      </c>
      <c r="AO389">
        <f>VLOOKUP($AC389,'2017 Seattle Tracts'!$C$2:$Z$399,AO$1,FALSE)*AA389</f>
        <v>3.5547378099502966E-2</v>
      </c>
      <c r="AP389">
        <f>VLOOKUP($AC389,'2017 Seattle Tracts'!$C$2:$Z$399,AP$1,FALSE)*AA389</f>
        <v>0</v>
      </c>
      <c r="AQ389">
        <f>VLOOKUP($AC389,'2017 Seattle Tracts'!$C$2:$Z$399,AQ$1,FALSE)*AA389</f>
        <v>0</v>
      </c>
      <c r="AR389">
        <f>VLOOKUP($AC389,'2017 Seattle Tracts'!$C$2:$Z$399,AR$1,FALSE)*AA389</f>
        <v>5.9245630165838274E-2</v>
      </c>
      <c r="AS389">
        <f>VLOOKUP($AC389,'2017 Seattle Tracts'!$C$2:$Z$399,AS$1,FALSE)*AA389</f>
        <v>0.42656853719403559</v>
      </c>
      <c r="AT389">
        <f>VLOOKUP($AC389,'2017 Seattle Tracts'!$C$2:$Z$399,AT$1,FALSE)*AA389</f>
        <v>0</v>
      </c>
      <c r="AU389">
        <f>VLOOKUP($AC389,'2017 Seattle Tracts'!$C$2:$Z$399,AU$1,FALSE)*AA389</f>
        <v>0</v>
      </c>
      <c r="AV389">
        <f>VLOOKUP($AC389,'2017 Seattle Tracts'!$C$2:$Z$399,AV$1,FALSE)*AA389</f>
        <v>4.5026678926037088E-2</v>
      </c>
      <c r="AW389">
        <f>VLOOKUP($AC389,'2017 Seattle Tracts'!$C$2:$Z$399,AW$1,FALSE)*AA389</f>
        <v>0</v>
      </c>
      <c r="AX389">
        <f>VLOOKUP($AC389,'2017 Seattle Tracts'!$C$2:$Z$399,AX$1,FALSE)*AA389</f>
        <v>0.55453909835224624</v>
      </c>
      <c r="AY389">
        <f>VLOOKUP($AC389,'2017 Seattle Tracts'!$C$2:$Z$399,AY$1,FALSE)*AA389</f>
        <v>0.17536706529088128</v>
      </c>
    </row>
    <row r="390" spans="1:51" x14ac:dyDescent="0.25">
      <c r="A390" t="s">
        <v>2917</v>
      </c>
      <c r="B390" t="s">
        <v>2918</v>
      </c>
      <c r="C390" t="s">
        <v>3209</v>
      </c>
      <c r="D390" t="s">
        <v>2623</v>
      </c>
      <c r="E390" t="s">
        <v>2624</v>
      </c>
      <c r="F390" t="s">
        <v>2625</v>
      </c>
      <c r="G390" t="s">
        <v>2920</v>
      </c>
      <c r="H390" t="s">
        <v>2921</v>
      </c>
      <c r="I390">
        <v>2306076</v>
      </c>
      <c r="J390">
        <v>3484113</v>
      </c>
      <c r="K390" t="s">
        <v>3210</v>
      </c>
      <c r="L390" t="s">
        <v>3211</v>
      </c>
      <c r="M390">
        <v>2321807</v>
      </c>
      <c r="N390">
        <v>99</v>
      </c>
      <c r="O390">
        <v>26230.434000000001</v>
      </c>
      <c r="P390" t="s">
        <v>201</v>
      </c>
      <c r="Q390">
        <v>11</v>
      </c>
      <c r="R390">
        <v>3</v>
      </c>
      <c r="S390">
        <v>95</v>
      </c>
      <c r="T390">
        <v>24680950</v>
      </c>
      <c r="U390">
        <v>101</v>
      </c>
      <c r="V390">
        <v>147</v>
      </c>
      <c r="W390">
        <v>26230.4347480002</v>
      </c>
      <c r="X390">
        <v>24680950.222277801</v>
      </c>
      <c r="Y390">
        <v>1843404.8540000001</v>
      </c>
      <c r="Z390">
        <f>VLOOKUP($AC390,'2017 Seattle Tracts'!$C$2:$Z$399,24,FALSE)</f>
        <v>2321807.1039999998</v>
      </c>
      <c r="AA390">
        <f t="shared" si="13"/>
        <v>0.79395262889160334</v>
      </c>
      <c r="AB390" t="s">
        <v>203</v>
      </c>
      <c r="AC390" t="str">
        <f t="shared" si="12"/>
        <v>Census Tract 63, King County, Washington</v>
      </c>
      <c r="AD390">
        <f>VLOOKUP($AC390,'2017 Seattle Tracts'!$C$2:$Z$399,AD$1,FALSE)*AA390</f>
        <v>4374.6789851927342</v>
      </c>
      <c r="AE390">
        <f>VLOOKUP($AC390,'2017 Seattle Tracts'!$C$2:$Z$399,AE$1,FALSE)*AA390</f>
        <v>3814.9423818241539</v>
      </c>
      <c r="AF390">
        <f>VLOOKUP($AC390,'2017 Seattle Tracts'!$C$2:$Z$399,AF$1,FALSE)*AA390</f>
        <v>559.7366033685804</v>
      </c>
      <c r="AG390">
        <f>VLOOKUP($AC390,'2017 Seattle Tracts'!$C$2:$Z$399,AG$1,FALSE)*AA390</f>
        <v>4374.6789851927342</v>
      </c>
      <c r="AH390">
        <f>VLOOKUP($AC390,'2017 Seattle Tracts'!$C$2:$Z$399,AH$1,FALSE)*AA390</f>
        <v>3814.9423818241539</v>
      </c>
      <c r="AI390">
        <f>VLOOKUP($AC390,'2017 Seattle Tracts'!$C$2:$Z$399,AI$1,FALSE)*AA390</f>
        <v>559.7366033685804</v>
      </c>
      <c r="AJ390">
        <f>VLOOKUP($AC390,'2017 Seattle Tracts'!$C$2:$Z$399,AJ$1,FALSE)*AA390</f>
        <v>3487.8338987208135</v>
      </c>
      <c r="AK390">
        <f>VLOOKUP($AC390,'2017 Seattle Tracts'!$C$2:$Z$399,AK$1,FALSE)*AA390</f>
        <v>331.87219887669022</v>
      </c>
      <c r="AL390">
        <f>VLOOKUP($AC390,'2017 Seattle Tracts'!$C$2:$Z$399,AL$1,FALSE)*AA390</f>
        <v>41.285536702363373</v>
      </c>
      <c r="AM390">
        <f>VLOOKUP($AC390,'2017 Seattle Tracts'!$C$2:$Z$399,AM$1,FALSE)*AA390</f>
        <v>14.291147320048861</v>
      </c>
      <c r="AN390">
        <f>VLOOKUP($AC390,'2017 Seattle Tracts'!$C$2:$Z$399,AN$1,FALSE)*AA390</f>
        <v>65.104115569111471</v>
      </c>
      <c r="AO390">
        <f>VLOOKUP($AC390,'2017 Seattle Tracts'!$C$2:$Z$399,AO$1,FALSE)*AA390</f>
        <v>11.909289433374051</v>
      </c>
      <c r="AP390">
        <f>VLOOKUP($AC390,'2017 Seattle Tracts'!$C$2:$Z$399,AP$1,FALSE)*AA390</f>
        <v>0</v>
      </c>
      <c r="AQ390">
        <f>VLOOKUP($AC390,'2017 Seattle Tracts'!$C$2:$Z$399,AQ$1,FALSE)*AA390</f>
        <v>0</v>
      </c>
      <c r="AR390">
        <f>VLOOKUP($AC390,'2017 Seattle Tracts'!$C$2:$Z$399,AR$1,FALSE)*AA390</f>
        <v>19.848815722290084</v>
      </c>
      <c r="AS390">
        <f>VLOOKUP($AC390,'2017 Seattle Tracts'!$C$2:$Z$399,AS$1,FALSE)*AA390</f>
        <v>142.91147320048862</v>
      </c>
      <c r="AT390">
        <f>VLOOKUP($AC390,'2017 Seattle Tracts'!$C$2:$Z$399,AT$1,FALSE)*AA390</f>
        <v>0</v>
      </c>
      <c r="AU390">
        <f>VLOOKUP($AC390,'2017 Seattle Tracts'!$C$2:$Z$399,AU$1,FALSE)*AA390</f>
        <v>0</v>
      </c>
      <c r="AV390">
        <f>VLOOKUP($AC390,'2017 Seattle Tracts'!$C$2:$Z$399,AV$1,FALSE)*AA390</f>
        <v>15.085099948940464</v>
      </c>
      <c r="AW390">
        <f>VLOOKUP($AC390,'2017 Seattle Tracts'!$C$2:$Z$399,AW$1,FALSE)*AA390</f>
        <v>0</v>
      </c>
      <c r="AX390">
        <f>VLOOKUP($AC390,'2017 Seattle Tracts'!$C$2:$Z$399,AX$1,FALSE)*AA390</f>
        <v>185.78491516063519</v>
      </c>
      <c r="AY390">
        <f>VLOOKUP($AC390,'2017 Seattle Tracts'!$C$2:$Z$399,AY$1,FALSE)*AA390</f>
        <v>58.752494537978649</v>
      </c>
    </row>
    <row r="391" spans="1:51" x14ac:dyDescent="0.25">
      <c r="A391" t="s">
        <v>2917</v>
      </c>
      <c r="B391" t="s">
        <v>2918</v>
      </c>
      <c r="C391" t="s">
        <v>3209</v>
      </c>
      <c r="D391" t="s">
        <v>2623</v>
      </c>
      <c r="E391" t="s">
        <v>2624</v>
      </c>
      <c r="F391" t="s">
        <v>2625</v>
      </c>
      <c r="G391" t="s">
        <v>2920</v>
      </c>
      <c r="H391" t="s">
        <v>2921</v>
      </c>
      <c r="I391">
        <v>2306076</v>
      </c>
      <c r="J391">
        <v>3484113</v>
      </c>
      <c r="K391" t="s">
        <v>3210</v>
      </c>
      <c r="L391" t="s">
        <v>3211</v>
      </c>
      <c r="M391">
        <v>2321807</v>
      </c>
      <c r="N391">
        <v>101</v>
      </c>
      <c r="O391">
        <v>25522.346000000001</v>
      </c>
      <c r="P391" t="s">
        <v>201</v>
      </c>
      <c r="Q391">
        <v>11</v>
      </c>
      <c r="R391">
        <v>3</v>
      </c>
      <c r="S391">
        <v>23</v>
      </c>
      <c r="T391">
        <v>26039592</v>
      </c>
      <c r="U391">
        <v>103</v>
      </c>
      <c r="V391">
        <v>149</v>
      </c>
      <c r="W391">
        <v>25522.345636876809</v>
      </c>
      <c r="X391">
        <v>26039592.07912118</v>
      </c>
      <c r="Y391">
        <v>5.7809999999999997</v>
      </c>
      <c r="Z391">
        <f>VLOOKUP($AC391,'2017 Seattle Tracts'!$C$2:$Z$399,24,FALSE)</f>
        <v>2321807.1039999998</v>
      </c>
      <c r="AA391">
        <f t="shared" si="13"/>
        <v>2.4898709242643442E-6</v>
      </c>
      <c r="AB391" t="s">
        <v>205</v>
      </c>
      <c r="AC391" t="str">
        <f t="shared" si="12"/>
        <v>Census Tract 63, King County, Washington</v>
      </c>
      <c r="AD391">
        <f>VLOOKUP($AC391,'2017 Seattle Tracts'!$C$2:$Z$399,AD$1,FALSE)*AA391</f>
        <v>1.3719188792696537E-2</v>
      </c>
      <c r="AE391">
        <f>VLOOKUP($AC391,'2017 Seattle Tracts'!$C$2:$Z$399,AE$1,FALSE)*AA391</f>
        <v>1.1963829791090175E-2</v>
      </c>
      <c r="AF391">
        <f>VLOOKUP($AC391,'2017 Seattle Tracts'!$C$2:$Z$399,AF$1,FALSE)*AA391</f>
        <v>1.7553590016063628E-3</v>
      </c>
      <c r="AG391">
        <f>VLOOKUP($AC391,'2017 Seattle Tracts'!$C$2:$Z$399,AG$1,FALSE)*AA391</f>
        <v>1.3719188792696537E-2</v>
      </c>
      <c r="AH391">
        <f>VLOOKUP($AC391,'2017 Seattle Tracts'!$C$2:$Z$399,AH$1,FALSE)*AA391</f>
        <v>1.1963829791090175E-2</v>
      </c>
      <c r="AI391">
        <f>VLOOKUP($AC391,'2017 Seattle Tracts'!$C$2:$Z$399,AI$1,FALSE)*AA391</f>
        <v>1.7553590016063628E-3</v>
      </c>
      <c r="AJ391">
        <f>VLOOKUP($AC391,'2017 Seattle Tracts'!$C$2:$Z$399,AJ$1,FALSE)*AA391</f>
        <v>1.0938002970293265E-2</v>
      </c>
      <c r="AK391">
        <f>VLOOKUP($AC391,'2017 Seattle Tracts'!$C$2:$Z$399,AK$1,FALSE)*AA391</f>
        <v>1.0407660463424959E-3</v>
      </c>
      <c r="AL391">
        <f>VLOOKUP($AC391,'2017 Seattle Tracts'!$C$2:$Z$399,AL$1,FALSE)*AA391</f>
        <v>1.2947328806174591E-4</v>
      </c>
      <c r="AM391">
        <f>VLOOKUP($AC391,'2017 Seattle Tracts'!$C$2:$Z$399,AM$1,FALSE)*AA391</f>
        <v>4.4817676636758194E-5</v>
      </c>
      <c r="AN391">
        <f>VLOOKUP($AC391,'2017 Seattle Tracts'!$C$2:$Z$399,AN$1,FALSE)*AA391</f>
        <v>2.0416941578967624E-4</v>
      </c>
      <c r="AO391">
        <f>VLOOKUP($AC391,'2017 Seattle Tracts'!$C$2:$Z$399,AO$1,FALSE)*AA391</f>
        <v>3.7348063863965164E-5</v>
      </c>
      <c r="AP391">
        <f>VLOOKUP($AC391,'2017 Seattle Tracts'!$C$2:$Z$399,AP$1,FALSE)*AA391</f>
        <v>0</v>
      </c>
      <c r="AQ391">
        <f>VLOOKUP($AC391,'2017 Seattle Tracts'!$C$2:$Z$399,AQ$1,FALSE)*AA391</f>
        <v>0</v>
      </c>
      <c r="AR391">
        <f>VLOOKUP($AC391,'2017 Seattle Tracts'!$C$2:$Z$399,AR$1,FALSE)*AA391</f>
        <v>6.2246773106608612E-5</v>
      </c>
      <c r="AS391">
        <f>VLOOKUP($AC391,'2017 Seattle Tracts'!$C$2:$Z$399,AS$1,FALSE)*AA391</f>
        <v>4.4817676636758197E-4</v>
      </c>
      <c r="AT391">
        <f>VLOOKUP($AC391,'2017 Seattle Tracts'!$C$2:$Z$399,AT$1,FALSE)*AA391</f>
        <v>0</v>
      </c>
      <c r="AU391">
        <f>VLOOKUP($AC391,'2017 Seattle Tracts'!$C$2:$Z$399,AU$1,FALSE)*AA391</f>
        <v>0</v>
      </c>
      <c r="AV391">
        <f>VLOOKUP($AC391,'2017 Seattle Tracts'!$C$2:$Z$399,AV$1,FALSE)*AA391</f>
        <v>4.7307547561022538E-5</v>
      </c>
      <c r="AW391">
        <f>VLOOKUP($AC391,'2017 Seattle Tracts'!$C$2:$Z$399,AW$1,FALSE)*AA391</f>
        <v>0</v>
      </c>
      <c r="AX391">
        <f>VLOOKUP($AC391,'2017 Seattle Tracts'!$C$2:$Z$399,AX$1,FALSE)*AA391</f>
        <v>5.8262979627785657E-4</v>
      </c>
      <c r="AY391">
        <f>VLOOKUP($AC391,'2017 Seattle Tracts'!$C$2:$Z$399,AY$1,FALSE)*AA391</f>
        <v>1.8425044839556146E-4</v>
      </c>
    </row>
    <row r="392" spans="1:51" x14ac:dyDescent="0.25">
      <c r="A392" t="s">
        <v>2917</v>
      </c>
      <c r="B392" t="s">
        <v>2918</v>
      </c>
      <c r="C392" t="s">
        <v>3212</v>
      </c>
      <c r="D392" t="s">
        <v>2599</v>
      </c>
      <c r="E392" t="s">
        <v>2600</v>
      </c>
      <c r="F392" t="s">
        <v>2601</v>
      </c>
      <c r="G392" t="s">
        <v>2920</v>
      </c>
      <c r="H392" t="s">
        <v>2921</v>
      </c>
      <c r="I392">
        <v>805962</v>
      </c>
      <c r="J392">
        <v>0</v>
      </c>
      <c r="K392" t="s">
        <v>3213</v>
      </c>
      <c r="L392" t="s">
        <v>3214</v>
      </c>
      <c r="M392">
        <v>805958</v>
      </c>
      <c r="N392">
        <v>43</v>
      </c>
      <c r="O392">
        <v>21488.398000000001</v>
      </c>
      <c r="P392" t="s">
        <v>136</v>
      </c>
      <c r="Q392">
        <v>10</v>
      </c>
      <c r="R392">
        <v>7</v>
      </c>
      <c r="S392">
        <v>23</v>
      </c>
      <c r="T392">
        <v>19354700</v>
      </c>
      <c r="U392">
        <v>45</v>
      </c>
      <c r="V392">
        <v>145</v>
      </c>
      <c r="W392">
        <v>21488.397378299011</v>
      </c>
      <c r="X392">
        <v>19354699.596078452</v>
      </c>
      <c r="Y392">
        <v>201482.15700000001</v>
      </c>
      <c r="Z392">
        <f>VLOOKUP($AC392,'2017 Seattle Tracts'!$C$2:$Z$399,24,FALSE)</f>
        <v>805957.96200000006</v>
      </c>
      <c r="AA392">
        <f t="shared" si="13"/>
        <v>0.24999090089018811</v>
      </c>
      <c r="AB392" t="s">
        <v>135</v>
      </c>
      <c r="AC392" t="str">
        <f t="shared" si="12"/>
        <v>Census Tract 70, King County, Washington</v>
      </c>
      <c r="AD392">
        <f>VLOOKUP($AC392,'2017 Seattle Tracts'!$C$2:$Z$399,AD$1,FALSE)*AA392</f>
        <v>1832.1833126241886</v>
      </c>
      <c r="AE392">
        <f>VLOOKUP($AC392,'2017 Seattle Tracts'!$C$2:$Z$399,AE$1,FALSE)*AA392</f>
        <v>1593.9419840758394</v>
      </c>
      <c r="AF392">
        <f>VLOOKUP($AC392,'2017 Seattle Tracts'!$C$2:$Z$399,AF$1,FALSE)*AA392</f>
        <v>238.24132854834926</v>
      </c>
      <c r="AG392">
        <f>VLOOKUP($AC392,'2017 Seattle Tracts'!$C$2:$Z$399,AG$1,FALSE)*AA392</f>
        <v>1832.1833126241886</v>
      </c>
      <c r="AH392">
        <f>VLOOKUP($AC392,'2017 Seattle Tracts'!$C$2:$Z$399,AH$1,FALSE)*AA392</f>
        <v>1593.9419840758394</v>
      </c>
      <c r="AI392">
        <f>VLOOKUP($AC392,'2017 Seattle Tracts'!$C$2:$Z$399,AI$1,FALSE)*AA392</f>
        <v>238.24132854834926</v>
      </c>
      <c r="AJ392">
        <f>VLOOKUP($AC392,'2017 Seattle Tracts'!$C$2:$Z$399,AJ$1,FALSE)*AA392</f>
        <v>1331.9515199429222</v>
      </c>
      <c r="AK392">
        <f>VLOOKUP($AC392,'2017 Seattle Tracts'!$C$2:$Z$399,AK$1,FALSE)*AA392</f>
        <v>150.74451323678343</v>
      </c>
      <c r="AL392">
        <f>VLOOKUP($AC392,'2017 Seattle Tracts'!$C$2:$Z$399,AL$1,FALSE)*AA392</f>
        <v>29.248935404152007</v>
      </c>
      <c r="AM392">
        <f>VLOOKUP($AC392,'2017 Seattle Tracts'!$C$2:$Z$399,AM$1,FALSE)*AA392</f>
        <v>0</v>
      </c>
      <c r="AN392">
        <f>VLOOKUP($AC392,'2017 Seattle Tracts'!$C$2:$Z$399,AN$1,FALSE)*AA392</f>
        <v>20.249262972105235</v>
      </c>
      <c r="AO392">
        <f>VLOOKUP($AC392,'2017 Seattle Tracts'!$C$2:$Z$399,AO$1,FALSE)*AA392</f>
        <v>0</v>
      </c>
      <c r="AP392">
        <f>VLOOKUP($AC392,'2017 Seattle Tracts'!$C$2:$Z$399,AP$1,FALSE)*AA392</f>
        <v>13.749499548960346</v>
      </c>
      <c r="AQ392">
        <f>VLOOKUP($AC392,'2017 Seattle Tracts'!$C$2:$Z$399,AQ$1,FALSE)*AA392</f>
        <v>0</v>
      </c>
      <c r="AR392">
        <f>VLOOKUP($AC392,'2017 Seattle Tracts'!$C$2:$Z$399,AR$1,FALSE)*AA392</f>
        <v>88.996760716906962</v>
      </c>
      <c r="AS392">
        <f>VLOOKUP($AC392,'2017 Seattle Tracts'!$C$2:$Z$399,AS$1,FALSE)*AA392</f>
        <v>87.49681531156584</v>
      </c>
      <c r="AT392">
        <f>VLOOKUP($AC392,'2017 Seattle Tracts'!$C$2:$Z$399,AT$1,FALSE)*AA392</f>
        <v>14.999454053411286</v>
      </c>
      <c r="AU392">
        <f>VLOOKUP($AC392,'2017 Seattle Tracts'!$C$2:$Z$399,AU$1,FALSE)*AA392</f>
        <v>0</v>
      </c>
      <c r="AV392">
        <f>VLOOKUP($AC392,'2017 Seattle Tracts'!$C$2:$Z$399,AV$1,FALSE)*AA392</f>
        <v>0</v>
      </c>
      <c r="AW392">
        <f>VLOOKUP($AC392,'2017 Seattle Tracts'!$C$2:$Z$399,AW$1,FALSE)*AA392</f>
        <v>0</v>
      </c>
      <c r="AX392">
        <f>VLOOKUP($AC392,'2017 Seattle Tracts'!$C$2:$Z$399,AX$1,FALSE)*AA392</f>
        <v>94.746551437381285</v>
      </c>
      <c r="AY392">
        <f>VLOOKUP($AC392,'2017 Seattle Tracts'!$C$2:$Z$399,AY$1,FALSE)*AA392</f>
        <v>0</v>
      </c>
    </row>
    <row r="393" spans="1:51" x14ac:dyDescent="0.25">
      <c r="A393" t="s">
        <v>2917</v>
      </c>
      <c r="B393" t="s">
        <v>2918</v>
      </c>
      <c r="C393" t="s">
        <v>3212</v>
      </c>
      <c r="D393" t="s">
        <v>2599</v>
      </c>
      <c r="E393" t="s">
        <v>2600</v>
      </c>
      <c r="F393" t="s">
        <v>2601</v>
      </c>
      <c r="G393" t="s">
        <v>2920</v>
      </c>
      <c r="H393" t="s">
        <v>2921</v>
      </c>
      <c r="I393">
        <v>805962</v>
      </c>
      <c r="J393">
        <v>0</v>
      </c>
      <c r="K393" t="s">
        <v>3213</v>
      </c>
      <c r="L393" t="s">
        <v>3214</v>
      </c>
      <c r="M393">
        <v>805958</v>
      </c>
      <c r="N393">
        <v>44</v>
      </c>
      <c r="O393">
        <v>20631.705000000002</v>
      </c>
      <c r="P393" t="s">
        <v>136</v>
      </c>
      <c r="Q393">
        <v>10</v>
      </c>
      <c r="R393">
        <v>7</v>
      </c>
      <c r="S393">
        <v>94</v>
      </c>
      <c r="T393">
        <v>17974986</v>
      </c>
      <c r="U393">
        <v>46</v>
      </c>
      <c r="V393">
        <v>148</v>
      </c>
      <c r="W393">
        <v>20631.70572929232</v>
      </c>
      <c r="X393">
        <v>17974985.95263635</v>
      </c>
      <c r="Y393">
        <v>888.57899999999995</v>
      </c>
      <c r="Z393">
        <f>VLOOKUP($AC393,'2017 Seattle Tracts'!$C$2:$Z$399,24,FALSE)</f>
        <v>805957.96200000006</v>
      </c>
      <c r="AA393">
        <f t="shared" si="13"/>
        <v>1.1025128380082929E-3</v>
      </c>
      <c r="AB393" t="s">
        <v>137</v>
      </c>
      <c r="AC393" t="str">
        <f t="shared" si="12"/>
        <v>Census Tract 70, King County, Washington</v>
      </c>
      <c r="AD393">
        <f>VLOOKUP($AC393,'2017 Seattle Tracts'!$C$2:$Z$399,AD$1,FALSE)*AA393</f>
        <v>8.0803165897627789</v>
      </c>
      <c r="AE393">
        <f>VLOOKUP($AC393,'2017 Seattle Tracts'!$C$2:$Z$399,AE$1,FALSE)*AA393</f>
        <v>7.0296218551408751</v>
      </c>
      <c r="AF393">
        <f>VLOOKUP($AC393,'2017 Seattle Tracts'!$C$2:$Z$399,AF$1,FALSE)*AA393</f>
        <v>1.0506947346219031</v>
      </c>
      <c r="AG393">
        <f>VLOOKUP($AC393,'2017 Seattle Tracts'!$C$2:$Z$399,AG$1,FALSE)*AA393</f>
        <v>8.0803165897627789</v>
      </c>
      <c r="AH393">
        <f>VLOOKUP($AC393,'2017 Seattle Tracts'!$C$2:$Z$399,AH$1,FALSE)*AA393</f>
        <v>7.0296218551408751</v>
      </c>
      <c r="AI393">
        <f>VLOOKUP($AC393,'2017 Seattle Tracts'!$C$2:$Z$399,AI$1,FALSE)*AA393</f>
        <v>1.0506947346219031</v>
      </c>
      <c r="AJ393">
        <f>VLOOKUP($AC393,'2017 Seattle Tracts'!$C$2:$Z$399,AJ$1,FALSE)*AA393</f>
        <v>5.8741884009081842</v>
      </c>
      <c r="AK393">
        <f>VLOOKUP($AC393,'2017 Seattle Tracts'!$C$2:$Z$399,AK$1,FALSE)*AA393</f>
        <v>0.6648152413190006</v>
      </c>
      <c r="AL393">
        <f>VLOOKUP($AC393,'2017 Seattle Tracts'!$C$2:$Z$399,AL$1,FALSE)*AA393</f>
        <v>0.12899400204697026</v>
      </c>
      <c r="AM393">
        <f>VLOOKUP($AC393,'2017 Seattle Tracts'!$C$2:$Z$399,AM$1,FALSE)*AA393</f>
        <v>0</v>
      </c>
      <c r="AN393">
        <f>VLOOKUP($AC393,'2017 Seattle Tracts'!$C$2:$Z$399,AN$1,FALSE)*AA393</f>
        <v>8.930353987867172E-2</v>
      </c>
      <c r="AO393">
        <f>VLOOKUP($AC393,'2017 Seattle Tracts'!$C$2:$Z$399,AO$1,FALSE)*AA393</f>
        <v>0</v>
      </c>
      <c r="AP393">
        <f>VLOOKUP($AC393,'2017 Seattle Tracts'!$C$2:$Z$399,AP$1,FALSE)*AA393</f>
        <v>6.0638206090456108E-2</v>
      </c>
      <c r="AQ393">
        <f>VLOOKUP($AC393,'2017 Seattle Tracts'!$C$2:$Z$399,AQ$1,FALSE)*AA393</f>
        <v>0</v>
      </c>
      <c r="AR393">
        <f>VLOOKUP($AC393,'2017 Seattle Tracts'!$C$2:$Z$399,AR$1,FALSE)*AA393</f>
        <v>0.39249457033095225</v>
      </c>
      <c r="AS393">
        <f>VLOOKUP($AC393,'2017 Seattle Tracts'!$C$2:$Z$399,AS$1,FALSE)*AA393</f>
        <v>0.3858794933029025</v>
      </c>
      <c r="AT393">
        <f>VLOOKUP($AC393,'2017 Seattle Tracts'!$C$2:$Z$399,AT$1,FALSE)*AA393</f>
        <v>6.6150770280497567E-2</v>
      </c>
      <c r="AU393">
        <f>VLOOKUP($AC393,'2017 Seattle Tracts'!$C$2:$Z$399,AU$1,FALSE)*AA393</f>
        <v>0</v>
      </c>
      <c r="AV393">
        <f>VLOOKUP($AC393,'2017 Seattle Tracts'!$C$2:$Z$399,AV$1,FALSE)*AA393</f>
        <v>0</v>
      </c>
      <c r="AW393">
        <f>VLOOKUP($AC393,'2017 Seattle Tracts'!$C$2:$Z$399,AW$1,FALSE)*AA393</f>
        <v>0</v>
      </c>
      <c r="AX393">
        <f>VLOOKUP($AC393,'2017 Seattle Tracts'!$C$2:$Z$399,AX$1,FALSE)*AA393</f>
        <v>0.41785236560514299</v>
      </c>
      <c r="AY393">
        <f>VLOOKUP($AC393,'2017 Seattle Tracts'!$C$2:$Z$399,AY$1,FALSE)*AA393</f>
        <v>0</v>
      </c>
    </row>
    <row r="394" spans="1:51" x14ac:dyDescent="0.25">
      <c r="A394" t="s">
        <v>2917</v>
      </c>
      <c r="B394" t="s">
        <v>2918</v>
      </c>
      <c r="C394" t="s">
        <v>3212</v>
      </c>
      <c r="D394" t="s">
        <v>2599</v>
      </c>
      <c r="E394" t="s">
        <v>2600</v>
      </c>
      <c r="F394" t="s">
        <v>2601</v>
      </c>
      <c r="G394" t="s">
        <v>2920</v>
      </c>
      <c r="H394" t="s">
        <v>2921</v>
      </c>
      <c r="I394">
        <v>805962</v>
      </c>
      <c r="J394">
        <v>0</v>
      </c>
      <c r="K394" t="s">
        <v>3213</v>
      </c>
      <c r="L394" t="s">
        <v>3214</v>
      </c>
      <c r="M394">
        <v>805958</v>
      </c>
      <c r="N394">
        <v>45</v>
      </c>
      <c r="O394">
        <v>20496.728999999999</v>
      </c>
      <c r="P394" t="s">
        <v>136</v>
      </c>
      <c r="Q394">
        <v>10</v>
      </c>
      <c r="R394">
        <v>7</v>
      </c>
      <c r="S394">
        <v>9</v>
      </c>
      <c r="T394">
        <v>17515624</v>
      </c>
      <c r="U394">
        <v>47</v>
      </c>
      <c r="V394">
        <v>152</v>
      </c>
      <c r="W394">
        <v>20496.72892223937</v>
      </c>
      <c r="X394">
        <v>17515624.457026299</v>
      </c>
      <c r="Y394">
        <v>603587.21</v>
      </c>
      <c r="Z394">
        <f>VLOOKUP($AC394,'2017 Seattle Tracts'!$C$2:$Z$399,24,FALSE)</f>
        <v>805957.96200000006</v>
      </c>
      <c r="AA394">
        <f t="shared" si="13"/>
        <v>0.74890656641965148</v>
      </c>
      <c r="AB394" t="s">
        <v>138</v>
      </c>
      <c r="AC394" t="str">
        <f t="shared" si="12"/>
        <v>Census Tract 70, King County, Washington</v>
      </c>
      <c r="AD394">
        <f>VLOOKUP($AC394,'2017 Seattle Tracts'!$C$2:$Z$399,AD$1,FALSE)*AA394</f>
        <v>5488.7362252896255</v>
      </c>
      <c r="AE394">
        <f>VLOOKUP($AC394,'2017 Seattle Tracts'!$C$2:$Z$399,AE$1,FALSE)*AA394</f>
        <v>4775.028267491698</v>
      </c>
      <c r="AF394">
        <f>VLOOKUP($AC394,'2017 Seattle Tracts'!$C$2:$Z$399,AF$1,FALSE)*AA394</f>
        <v>713.70795779792786</v>
      </c>
      <c r="AG394">
        <f>VLOOKUP($AC394,'2017 Seattle Tracts'!$C$2:$Z$399,AG$1,FALSE)*AA394</f>
        <v>5488.7362252896255</v>
      </c>
      <c r="AH394">
        <f>VLOOKUP($AC394,'2017 Seattle Tracts'!$C$2:$Z$399,AH$1,FALSE)*AA394</f>
        <v>4775.028267491698</v>
      </c>
      <c r="AI394">
        <f>VLOOKUP($AC394,'2017 Seattle Tracts'!$C$2:$Z$399,AI$1,FALSE)*AA394</f>
        <v>713.70795779792786</v>
      </c>
      <c r="AJ394">
        <f>VLOOKUP($AC394,'2017 Seattle Tracts'!$C$2:$Z$399,AJ$1,FALSE)*AA394</f>
        <v>3990.1741858839032</v>
      </c>
      <c r="AK394">
        <f>VLOOKUP($AC394,'2017 Seattle Tracts'!$C$2:$Z$399,AK$1,FALSE)*AA394</f>
        <v>451.59065955104984</v>
      </c>
      <c r="AL394">
        <f>VLOOKUP($AC394,'2017 Seattle Tracts'!$C$2:$Z$399,AL$1,FALSE)*AA394</f>
        <v>87.622068271099224</v>
      </c>
      <c r="AM394">
        <f>VLOOKUP($AC394,'2017 Seattle Tracts'!$C$2:$Z$399,AM$1,FALSE)*AA394</f>
        <v>0</v>
      </c>
      <c r="AN394">
        <f>VLOOKUP($AC394,'2017 Seattle Tracts'!$C$2:$Z$399,AN$1,FALSE)*AA394</f>
        <v>60.661431879991767</v>
      </c>
      <c r="AO394">
        <f>VLOOKUP($AC394,'2017 Seattle Tracts'!$C$2:$Z$399,AO$1,FALSE)*AA394</f>
        <v>0</v>
      </c>
      <c r="AP394">
        <f>VLOOKUP($AC394,'2017 Seattle Tracts'!$C$2:$Z$399,AP$1,FALSE)*AA394</f>
        <v>41.189861153080834</v>
      </c>
      <c r="AQ394">
        <f>VLOOKUP($AC394,'2017 Seattle Tracts'!$C$2:$Z$399,AQ$1,FALSE)*AA394</f>
        <v>0</v>
      </c>
      <c r="AR394">
        <f>VLOOKUP($AC394,'2017 Seattle Tracts'!$C$2:$Z$399,AR$1,FALSE)*AA394</f>
        <v>266.61073764539594</v>
      </c>
      <c r="AS394">
        <f>VLOOKUP($AC394,'2017 Seattle Tracts'!$C$2:$Z$399,AS$1,FALSE)*AA394</f>
        <v>262.11729824687802</v>
      </c>
      <c r="AT394">
        <f>VLOOKUP($AC394,'2017 Seattle Tracts'!$C$2:$Z$399,AT$1,FALSE)*AA394</f>
        <v>44.934393985179085</v>
      </c>
      <c r="AU394">
        <f>VLOOKUP($AC394,'2017 Seattle Tracts'!$C$2:$Z$399,AU$1,FALSE)*AA394</f>
        <v>0</v>
      </c>
      <c r="AV394">
        <f>VLOOKUP($AC394,'2017 Seattle Tracts'!$C$2:$Z$399,AV$1,FALSE)*AA394</f>
        <v>0</v>
      </c>
      <c r="AW394">
        <f>VLOOKUP($AC394,'2017 Seattle Tracts'!$C$2:$Z$399,AW$1,FALSE)*AA394</f>
        <v>0</v>
      </c>
      <c r="AX394">
        <f>VLOOKUP($AC394,'2017 Seattle Tracts'!$C$2:$Z$399,AX$1,FALSE)*AA394</f>
        <v>283.83558867304794</v>
      </c>
      <c r="AY394">
        <f>VLOOKUP($AC394,'2017 Seattle Tracts'!$C$2:$Z$399,AY$1,FALSE)*AA394</f>
        <v>0</v>
      </c>
    </row>
    <row r="395" spans="1:51" x14ac:dyDescent="0.25">
      <c r="A395" t="s">
        <v>2917</v>
      </c>
      <c r="B395" t="s">
        <v>2918</v>
      </c>
      <c r="C395" t="s">
        <v>3215</v>
      </c>
      <c r="D395" t="s">
        <v>2737</v>
      </c>
      <c r="E395" t="s">
        <v>2738</v>
      </c>
      <c r="F395" t="s">
        <v>2739</v>
      </c>
      <c r="G395" t="s">
        <v>2920</v>
      </c>
      <c r="H395" t="s">
        <v>2921</v>
      </c>
      <c r="I395">
        <v>1493249</v>
      </c>
      <c r="J395">
        <v>0</v>
      </c>
      <c r="K395" t="s">
        <v>3216</v>
      </c>
      <c r="L395" t="s">
        <v>3217</v>
      </c>
      <c r="M395">
        <v>1493253</v>
      </c>
      <c r="N395">
        <v>27</v>
      </c>
      <c r="O395">
        <v>18831.009999999998</v>
      </c>
      <c r="P395" t="s">
        <v>117</v>
      </c>
      <c r="Q395">
        <v>7</v>
      </c>
      <c r="R395">
        <v>11</v>
      </c>
      <c r="S395">
        <v>23</v>
      </c>
      <c r="T395">
        <v>21320656</v>
      </c>
      <c r="U395">
        <v>29</v>
      </c>
      <c r="V395">
        <v>120</v>
      </c>
      <c r="W395">
        <v>18831.00959636999</v>
      </c>
      <c r="X395">
        <v>21320655.545531079</v>
      </c>
      <c r="Y395">
        <v>492604.81699999998</v>
      </c>
      <c r="Z395">
        <f>VLOOKUP($AC395,'2017 Seattle Tracts'!$C$2:$Z$399,24,FALSE)</f>
        <v>1493252.781</v>
      </c>
      <c r="AA395">
        <f t="shared" si="13"/>
        <v>0.32988709163502306</v>
      </c>
      <c r="AB395" t="s">
        <v>116</v>
      </c>
      <c r="AC395" t="str">
        <f t="shared" si="12"/>
        <v>Census Tract 30, King County, Washington</v>
      </c>
      <c r="AD395">
        <f>VLOOKUP($AC395,'2017 Seattle Tracts'!$C$2:$Z$399,AD$1,FALSE)*AA395</f>
        <v>1959.529324312037</v>
      </c>
      <c r="AE395">
        <f>VLOOKUP($AC395,'2017 Seattle Tracts'!$C$2:$Z$399,AE$1,FALSE)*AA395</f>
        <v>1738.8348600082065</v>
      </c>
      <c r="AF395">
        <f>VLOOKUP($AC395,'2017 Seattle Tracts'!$C$2:$Z$399,AF$1,FALSE)*AA395</f>
        <v>220.69446430383042</v>
      </c>
      <c r="AG395">
        <f>VLOOKUP($AC395,'2017 Seattle Tracts'!$C$2:$Z$399,AG$1,FALSE)*AA395</f>
        <v>1959.529324312037</v>
      </c>
      <c r="AH395">
        <f>VLOOKUP($AC395,'2017 Seattle Tracts'!$C$2:$Z$399,AH$1,FALSE)*AA395</f>
        <v>1738.8348600082065</v>
      </c>
      <c r="AI395">
        <f>VLOOKUP($AC395,'2017 Seattle Tracts'!$C$2:$Z$399,AI$1,FALSE)*AA395</f>
        <v>220.69446430383042</v>
      </c>
      <c r="AJ395">
        <f>VLOOKUP($AC395,'2017 Seattle Tracts'!$C$2:$Z$399,AJ$1,FALSE)*AA395</f>
        <v>1501.6460411226249</v>
      </c>
      <c r="AK395">
        <f>VLOOKUP($AC395,'2017 Seattle Tracts'!$C$2:$Z$399,AK$1,FALSE)*AA395</f>
        <v>74.554482709515213</v>
      </c>
      <c r="AL395">
        <f>VLOOKUP($AC395,'2017 Seattle Tracts'!$C$2:$Z$399,AL$1,FALSE)*AA395</f>
        <v>40.246225179472816</v>
      </c>
      <c r="AM395">
        <f>VLOOKUP($AC395,'2017 Seattle Tracts'!$C$2:$Z$399,AM$1,FALSE)*AA395</f>
        <v>12.865596573765899</v>
      </c>
      <c r="AN395">
        <f>VLOOKUP($AC395,'2017 Seattle Tracts'!$C$2:$Z$399,AN$1,FALSE)*AA395</f>
        <v>5.9379676494304148</v>
      </c>
      <c r="AO395">
        <f>VLOOKUP($AC395,'2017 Seattle Tracts'!$C$2:$Z$399,AO$1,FALSE)*AA395</f>
        <v>0</v>
      </c>
      <c r="AP395">
        <f>VLOOKUP($AC395,'2017 Seattle Tracts'!$C$2:$Z$399,AP$1,FALSE)*AA395</f>
        <v>0</v>
      </c>
      <c r="AQ395">
        <f>VLOOKUP($AC395,'2017 Seattle Tracts'!$C$2:$Z$399,AQ$1,FALSE)*AA395</f>
        <v>0</v>
      </c>
      <c r="AR395">
        <f>VLOOKUP($AC395,'2017 Seattle Tracts'!$C$2:$Z$399,AR$1,FALSE)*AA395</f>
        <v>40.905999362742861</v>
      </c>
      <c r="AS395">
        <f>VLOOKUP($AC395,'2017 Seattle Tracts'!$C$2:$Z$399,AS$1,FALSE)*AA395</f>
        <v>50.472725020158528</v>
      </c>
      <c r="AT395">
        <f>VLOOKUP($AC395,'2017 Seattle Tracts'!$C$2:$Z$399,AT$1,FALSE)*AA395</f>
        <v>0</v>
      </c>
      <c r="AU395">
        <f>VLOOKUP($AC395,'2017 Seattle Tracts'!$C$2:$Z$399,AU$1,FALSE)*AA395</f>
        <v>7.2575160159705074</v>
      </c>
      <c r="AV395">
        <f>VLOOKUP($AC395,'2017 Seattle Tracts'!$C$2:$Z$399,AV$1,FALSE)*AA395</f>
        <v>18.473677131561292</v>
      </c>
      <c r="AW395">
        <f>VLOOKUP($AC395,'2017 Seattle Tracts'!$C$2:$Z$399,AW$1,FALSE)*AA395</f>
        <v>75.544143984420273</v>
      </c>
      <c r="AX395">
        <f>VLOOKUP($AC395,'2017 Seattle Tracts'!$C$2:$Z$399,AX$1,FALSE)*AA395</f>
        <v>131.62494956237421</v>
      </c>
      <c r="AY395">
        <f>VLOOKUP($AC395,'2017 Seattle Tracts'!$C$2:$Z$399,AY$1,FALSE)*AA395</f>
        <v>0</v>
      </c>
    </row>
    <row r="396" spans="1:51" x14ac:dyDescent="0.25">
      <c r="A396" t="s">
        <v>2917</v>
      </c>
      <c r="B396" t="s">
        <v>2918</v>
      </c>
      <c r="C396" t="s">
        <v>3215</v>
      </c>
      <c r="D396" t="s">
        <v>2737</v>
      </c>
      <c r="E396" t="s">
        <v>2738</v>
      </c>
      <c r="F396" t="s">
        <v>2739</v>
      </c>
      <c r="G396" t="s">
        <v>2920</v>
      </c>
      <c r="H396" t="s">
        <v>2921</v>
      </c>
      <c r="I396">
        <v>1493249</v>
      </c>
      <c r="J396">
        <v>0</v>
      </c>
      <c r="K396" t="s">
        <v>3216</v>
      </c>
      <c r="L396" t="s">
        <v>3217</v>
      </c>
      <c r="M396">
        <v>1493253</v>
      </c>
      <c r="N396">
        <v>29</v>
      </c>
      <c r="O396">
        <v>15934.439</v>
      </c>
      <c r="P396" t="s">
        <v>117</v>
      </c>
      <c r="Q396">
        <v>7</v>
      </c>
      <c r="R396">
        <v>11</v>
      </c>
      <c r="S396">
        <v>24</v>
      </c>
      <c r="T396">
        <v>14195687</v>
      </c>
      <c r="U396">
        <v>31</v>
      </c>
      <c r="V396">
        <v>121</v>
      </c>
      <c r="W396">
        <v>15934.4392663199</v>
      </c>
      <c r="X396">
        <v>14195687.491917299</v>
      </c>
      <c r="Y396">
        <v>997337.34299999999</v>
      </c>
      <c r="Z396">
        <f>VLOOKUP($AC396,'2017 Seattle Tracts'!$C$2:$Z$399,24,FALSE)</f>
        <v>1493252.781</v>
      </c>
      <c r="AA396">
        <f t="shared" si="13"/>
        <v>0.66789585506889471</v>
      </c>
      <c r="AB396" t="s">
        <v>119</v>
      </c>
      <c r="AC396" t="str">
        <f t="shared" si="12"/>
        <v>Census Tract 30, King County, Washington</v>
      </c>
      <c r="AD396">
        <f>VLOOKUP($AC396,'2017 Seattle Tracts'!$C$2:$Z$399,AD$1,FALSE)*AA396</f>
        <v>3967.3013791092344</v>
      </c>
      <c r="AE396">
        <f>VLOOKUP($AC396,'2017 Seattle Tracts'!$C$2:$Z$399,AE$1,FALSE)*AA396</f>
        <v>3520.479052068144</v>
      </c>
      <c r="AF396">
        <f>VLOOKUP($AC396,'2017 Seattle Tracts'!$C$2:$Z$399,AF$1,FALSE)*AA396</f>
        <v>446.82232704109055</v>
      </c>
      <c r="AG396">
        <f>VLOOKUP($AC396,'2017 Seattle Tracts'!$C$2:$Z$399,AG$1,FALSE)*AA396</f>
        <v>3967.3013791092344</v>
      </c>
      <c r="AH396">
        <f>VLOOKUP($AC396,'2017 Seattle Tracts'!$C$2:$Z$399,AH$1,FALSE)*AA396</f>
        <v>3520.479052068144</v>
      </c>
      <c r="AI396">
        <f>VLOOKUP($AC396,'2017 Seattle Tracts'!$C$2:$Z$399,AI$1,FALSE)*AA396</f>
        <v>446.82232704109055</v>
      </c>
      <c r="AJ396">
        <f>VLOOKUP($AC396,'2017 Seattle Tracts'!$C$2:$Z$399,AJ$1,FALSE)*AA396</f>
        <v>3040.2619322736086</v>
      </c>
      <c r="AK396">
        <f>VLOOKUP($AC396,'2017 Seattle Tracts'!$C$2:$Z$399,AK$1,FALSE)*AA396</f>
        <v>150.9444632455702</v>
      </c>
      <c r="AL396">
        <f>VLOOKUP($AC396,'2017 Seattle Tracts'!$C$2:$Z$399,AL$1,FALSE)*AA396</f>
        <v>81.483294318405157</v>
      </c>
      <c r="AM396">
        <f>VLOOKUP($AC396,'2017 Seattle Tracts'!$C$2:$Z$399,AM$1,FALSE)*AA396</f>
        <v>26.047938347686895</v>
      </c>
      <c r="AN396">
        <f>VLOOKUP($AC396,'2017 Seattle Tracts'!$C$2:$Z$399,AN$1,FALSE)*AA396</f>
        <v>12.022125391240104</v>
      </c>
      <c r="AO396">
        <f>VLOOKUP($AC396,'2017 Seattle Tracts'!$C$2:$Z$399,AO$1,FALSE)*AA396</f>
        <v>0</v>
      </c>
      <c r="AP396">
        <f>VLOOKUP($AC396,'2017 Seattle Tracts'!$C$2:$Z$399,AP$1,FALSE)*AA396</f>
        <v>0</v>
      </c>
      <c r="AQ396">
        <f>VLOOKUP($AC396,'2017 Seattle Tracts'!$C$2:$Z$399,AQ$1,FALSE)*AA396</f>
        <v>0</v>
      </c>
      <c r="AR396">
        <f>VLOOKUP($AC396,'2017 Seattle Tracts'!$C$2:$Z$399,AR$1,FALSE)*AA396</f>
        <v>82.819086028542941</v>
      </c>
      <c r="AS396">
        <f>VLOOKUP($AC396,'2017 Seattle Tracts'!$C$2:$Z$399,AS$1,FALSE)*AA396</f>
        <v>102.18806582554089</v>
      </c>
      <c r="AT396">
        <f>VLOOKUP($AC396,'2017 Seattle Tracts'!$C$2:$Z$399,AT$1,FALSE)*AA396</f>
        <v>0</v>
      </c>
      <c r="AU396">
        <f>VLOOKUP($AC396,'2017 Seattle Tracts'!$C$2:$Z$399,AU$1,FALSE)*AA396</f>
        <v>14.693708811515684</v>
      </c>
      <c r="AV396">
        <f>VLOOKUP($AC396,'2017 Seattle Tracts'!$C$2:$Z$399,AV$1,FALSE)*AA396</f>
        <v>37.402167883858105</v>
      </c>
      <c r="AW396">
        <f>VLOOKUP($AC396,'2017 Seattle Tracts'!$C$2:$Z$399,AW$1,FALSE)*AA396</f>
        <v>152.94815081077689</v>
      </c>
      <c r="AX396">
        <f>VLOOKUP($AC396,'2017 Seattle Tracts'!$C$2:$Z$399,AX$1,FALSE)*AA396</f>
        <v>266.49044617248899</v>
      </c>
      <c r="AY396">
        <f>VLOOKUP($AC396,'2017 Seattle Tracts'!$C$2:$Z$399,AY$1,FALSE)*AA396</f>
        <v>0</v>
      </c>
    </row>
    <row r="397" spans="1:51" x14ac:dyDescent="0.25">
      <c r="A397" t="s">
        <v>2917</v>
      </c>
      <c r="B397" t="s">
        <v>2918</v>
      </c>
      <c r="C397" t="s">
        <v>3215</v>
      </c>
      <c r="D397" t="s">
        <v>2737</v>
      </c>
      <c r="E397" t="s">
        <v>2738</v>
      </c>
      <c r="F397" t="s">
        <v>2739</v>
      </c>
      <c r="G397" t="s">
        <v>2920</v>
      </c>
      <c r="H397" t="s">
        <v>2921</v>
      </c>
      <c r="I397">
        <v>1493249</v>
      </c>
      <c r="J397">
        <v>0</v>
      </c>
      <c r="K397" t="s">
        <v>3216</v>
      </c>
      <c r="L397" t="s">
        <v>3217</v>
      </c>
      <c r="M397">
        <v>1493253</v>
      </c>
      <c r="N397">
        <v>31</v>
      </c>
      <c r="O397">
        <v>27120.785</v>
      </c>
      <c r="P397" t="s">
        <v>122</v>
      </c>
      <c r="Q397">
        <v>6</v>
      </c>
      <c r="R397">
        <v>9</v>
      </c>
      <c r="S397">
        <v>95</v>
      </c>
      <c r="T397">
        <v>32123118</v>
      </c>
      <c r="U397">
        <v>33</v>
      </c>
      <c r="V397">
        <v>126</v>
      </c>
      <c r="W397">
        <v>27120.785937968081</v>
      </c>
      <c r="X397">
        <v>32123117.878249042</v>
      </c>
      <c r="Y397">
        <v>1034.914</v>
      </c>
      <c r="Z397">
        <f>VLOOKUP($AC397,'2017 Seattle Tracts'!$C$2:$Z$399,24,FALSE)</f>
        <v>1493252.781</v>
      </c>
      <c r="AA397">
        <f t="shared" si="13"/>
        <v>6.9306015241902977E-4</v>
      </c>
      <c r="AB397" t="s">
        <v>121</v>
      </c>
      <c r="AC397" t="str">
        <f t="shared" si="12"/>
        <v>Census Tract 30, King County, Washington</v>
      </c>
      <c r="AD397">
        <f>VLOOKUP($AC397,'2017 Seattle Tracts'!$C$2:$Z$399,AD$1,FALSE)*AA397</f>
        <v>4.1167773053690366</v>
      </c>
      <c r="AE397">
        <f>VLOOKUP($AC397,'2017 Seattle Tracts'!$C$2:$Z$399,AE$1,FALSE)*AA397</f>
        <v>3.6531200634007059</v>
      </c>
      <c r="AF397">
        <f>VLOOKUP($AC397,'2017 Seattle Tracts'!$C$2:$Z$399,AF$1,FALSE)*AA397</f>
        <v>0.46365724196833091</v>
      </c>
      <c r="AG397">
        <f>VLOOKUP($AC397,'2017 Seattle Tracts'!$C$2:$Z$399,AG$1,FALSE)*AA397</f>
        <v>4.1167773053690366</v>
      </c>
      <c r="AH397">
        <f>VLOOKUP($AC397,'2017 Seattle Tracts'!$C$2:$Z$399,AH$1,FALSE)*AA397</f>
        <v>3.6531200634007059</v>
      </c>
      <c r="AI397">
        <f>VLOOKUP($AC397,'2017 Seattle Tracts'!$C$2:$Z$399,AI$1,FALSE)*AA397</f>
        <v>0.46365724196833091</v>
      </c>
      <c r="AJ397">
        <f>VLOOKUP($AC397,'2017 Seattle Tracts'!$C$2:$Z$399,AJ$1,FALSE)*AA397</f>
        <v>3.1548098138114233</v>
      </c>
      <c r="AK397">
        <f>VLOOKUP($AC397,'2017 Seattle Tracts'!$C$2:$Z$399,AK$1,FALSE)*AA397</f>
        <v>0.15663159444670072</v>
      </c>
      <c r="AL397">
        <f>VLOOKUP($AC397,'2017 Seattle Tracts'!$C$2:$Z$399,AL$1,FALSE)*AA397</f>
        <v>8.4553338595121638E-2</v>
      </c>
      <c r="AM397">
        <f>VLOOKUP($AC397,'2017 Seattle Tracts'!$C$2:$Z$399,AM$1,FALSE)*AA397</f>
        <v>2.702934594434216E-2</v>
      </c>
      <c r="AN397">
        <f>VLOOKUP($AC397,'2017 Seattle Tracts'!$C$2:$Z$399,AN$1,FALSE)*AA397</f>
        <v>1.2475082743542535E-2</v>
      </c>
      <c r="AO397">
        <f>VLOOKUP($AC397,'2017 Seattle Tracts'!$C$2:$Z$399,AO$1,FALSE)*AA397</f>
        <v>0</v>
      </c>
      <c r="AP397">
        <f>VLOOKUP($AC397,'2017 Seattle Tracts'!$C$2:$Z$399,AP$1,FALSE)*AA397</f>
        <v>0</v>
      </c>
      <c r="AQ397">
        <f>VLOOKUP($AC397,'2017 Seattle Tracts'!$C$2:$Z$399,AQ$1,FALSE)*AA397</f>
        <v>0</v>
      </c>
      <c r="AR397">
        <f>VLOOKUP($AC397,'2017 Seattle Tracts'!$C$2:$Z$399,AR$1,FALSE)*AA397</f>
        <v>8.5939458899959686E-2</v>
      </c>
      <c r="AS397">
        <f>VLOOKUP($AC397,'2017 Seattle Tracts'!$C$2:$Z$399,AS$1,FALSE)*AA397</f>
        <v>0.10603820332011156</v>
      </c>
      <c r="AT397">
        <f>VLOOKUP($AC397,'2017 Seattle Tracts'!$C$2:$Z$399,AT$1,FALSE)*AA397</f>
        <v>0</v>
      </c>
      <c r="AU397">
        <f>VLOOKUP($AC397,'2017 Seattle Tracts'!$C$2:$Z$399,AU$1,FALSE)*AA397</f>
        <v>1.5247323353218656E-2</v>
      </c>
      <c r="AV397">
        <f>VLOOKUP($AC397,'2017 Seattle Tracts'!$C$2:$Z$399,AV$1,FALSE)*AA397</f>
        <v>3.8811368535465671E-2</v>
      </c>
      <c r="AW397">
        <f>VLOOKUP($AC397,'2017 Seattle Tracts'!$C$2:$Z$399,AW$1,FALSE)*AA397</f>
        <v>0.15871077490395782</v>
      </c>
      <c r="AX397">
        <f>VLOOKUP($AC397,'2017 Seattle Tracts'!$C$2:$Z$399,AX$1,FALSE)*AA397</f>
        <v>0.27653100081519288</v>
      </c>
      <c r="AY397">
        <f>VLOOKUP($AC397,'2017 Seattle Tracts'!$C$2:$Z$399,AY$1,FALSE)*AA397</f>
        <v>0</v>
      </c>
    </row>
    <row r="398" spans="1:51" x14ac:dyDescent="0.25">
      <c r="A398" t="s">
        <v>2917</v>
      </c>
      <c r="B398" t="s">
        <v>2918</v>
      </c>
      <c r="C398" t="s">
        <v>3215</v>
      </c>
      <c r="D398" t="s">
        <v>2737</v>
      </c>
      <c r="E398" t="s">
        <v>2738</v>
      </c>
      <c r="F398" t="s">
        <v>2739</v>
      </c>
      <c r="G398" t="s">
        <v>2920</v>
      </c>
      <c r="H398" t="s">
        <v>2921</v>
      </c>
      <c r="I398">
        <v>1493249</v>
      </c>
      <c r="J398">
        <v>0</v>
      </c>
      <c r="K398" t="s">
        <v>3216</v>
      </c>
      <c r="L398" t="s">
        <v>3217</v>
      </c>
      <c r="M398">
        <v>1493253</v>
      </c>
      <c r="N398">
        <v>117</v>
      </c>
      <c r="O398">
        <v>18997.809000000001</v>
      </c>
      <c r="P398" t="s">
        <v>122</v>
      </c>
      <c r="Q398">
        <v>1</v>
      </c>
      <c r="R398">
        <v>2</v>
      </c>
      <c r="S398">
        <v>95</v>
      </c>
      <c r="T398">
        <v>15865750</v>
      </c>
      <c r="U398">
        <v>119</v>
      </c>
      <c r="V398">
        <v>113</v>
      </c>
      <c r="W398">
        <v>18997.808037941071</v>
      </c>
      <c r="X398">
        <v>15865750.419753481</v>
      </c>
      <c r="Y398">
        <v>129.821</v>
      </c>
      <c r="Z398">
        <f>VLOOKUP($AC398,'2017 Seattle Tracts'!$C$2:$Z$399,24,FALSE)</f>
        <v>1493252.781</v>
      </c>
      <c r="AA398">
        <f t="shared" si="13"/>
        <v>8.6938394926719379E-5</v>
      </c>
      <c r="AB398" t="s">
        <v>220</v>
      </c>
      <c r="AC398" t="str">
        <f t="shared" si="12"/>
        <v>Census Tract 30, King County, Washington</v>
      </c>
      <c r="AD398">
        <f>VLOOKUP($AC398,'2017 Seattle Tracts'!$C$2:$Z$399,AD$1,FALSE)*AA398</f>
        <v>0.51641406586471306</v>
      </c>
      <c r="AE398">
        <f>VLOOKUP($AC398,'2017 Seattle Tracts'!$C$2:$Z$399,AE$1,FALSE)*AA398</f>
        <v>0.45825227965873783</v>
      </c>
      <c r="AF398">
        <f>VLOOKUP($AC398,'2017 Seattle Tracts'!$C$2:$Z$399,AF$1,FALSE)*AA398</f>
        <v>5.8161786205975265E-2</v>
      </c>
      <c r="AG398">
        <f>VLOOKUP($AC398,'2017 Seattle Tracts'!$C$2:$Z$399,AG$1,FALSE)*AA398</f>
        <v>0.51641406586471306</v>
      </c>
      <c r="AH398">
        <f>VLOOKUP($AC398,'2017 Seattle Tracts'!$C$2:$Z$399,AH$1,FALSE)*AA398</f>
        <v>0.45825227965873783</v>
      </c>
      <c r="AI398">
        <f>VLOOKUP($AC398,'2017 Seattle Tracts'!$C$2:$Z$399,AI$1,FALSE)*AA398</f>
        <v>5.8161786205975265E-2</v>
      </c>
      <c r="AJ398">
        <f>VLOOKUP($AC398,'2017 Seattle Tracts'!$C$2:$Z$399,AJ$1,FALSE)*AA398</f>
        <v>0.3957435737064266</v>
      </c>
      <c r="AK398">
        <f>VLOOKUP($AC398,'2017 Seattle Tracts'!$C$2:$Z$399,AK$1,FALSE)*AA398</f>
        <v>1.9648077253438579E-2</v>
      </c>
      <c r="AL398">
        <f>VLOOKUP($AC398,'2017 Seattle Tracts'!$C$2:$Z$399,AL$1,FALSE)*AA398</f>
        <v>1.0606484181059764E-2</v>
      </c>
      <c r="AM398">
        <f>VLOOKUP($AC398,'2017 Seattle Tracts'!$C$2:$Z$399,AM$1,FALSE)*AA398</f>
        <v>3.3905974021420557E-3</v>
      </c>
      <c r="AN398">
        <f>VLOOKUP($AC398,'2017 Seattle Tracts'!$C$2:$Z$399,AN$1,FALSE)*AA398</f>
        <v>1.5648911086809489E-3</v>
      </c>
      <c r="AO398">
        <f>VLOOKUP($AC398,'2017 Seattle Tracts'!$C$2:$Z$399,AO$1,FALSE)*AA398</f>
        <v>0</v>
      </c>
      <c r="AP398">
        <f>VLOOKUP($AC398,'2017 Seattle Tracts'!$C$2:$Z$399,AP$1,FALSE)*AA398</f>
        <v>0</v>
      </c>
      <c r="AQ398">
        <f>VLOOKUP($AC398,'2017 Seattle Tracts'!$C$2:$Z$399,AQ$1,FALSE)*AA398</f>
        <v>0</v>
      </c>
      <c r="AR398">
        <f>VLOOKUP($AC398,'2017 Seattle Tracts'!$C$2:$Z$399,AR$1,FALSE)*AA398</f>
        <v>1.0780360970913203E-2</v>
      </c>
      <c r="AS398">
        <f>VLOOKUP($AC398,'2017 Seattle Tracts'!$C$2:$Z$399,AS$1,FALSE)*AA398</f>
        <v>1.3301574423788065E-2</v>
      </c>
      <c r="AT398">
        <f>VLOOKUP($AC398,'2017 Seattle Tracts'!$C$2:$Z$399,AT$1,FALSE)*AA398</f>
        <v>0</v>
      </c>
      <c r="AU398">
        <f>VLOOKUP($AC398,'2017 Seattle Tracts'!$C$2:$Z$399,AU$1,FALSE)*AA398</f>
        <v>1.9126446883878264E-3</v>
      </c>
      <c r="AV398">
        <f>VLOOKUP($AC398,'2017 Seattle Tracts'!$C$2:$Z$399,AV$1,FALSE)*AA398</f>
        <v>4.8685501158962849E-3</v>
      </c>
      <c r="AW398">
        <f>VLOOKUP($AC398,'2017 Seattle Tracts'!$C$2:$Z$399,AW$1,FALSE)*AA398</f>
        <v>1.9908892438218737E-2</v>
      </c>
      <c r="AX398">
        <f>VLOOKUP($AC398,'2017 Seattle Tracts'!$C$2:$Z$399,AX$1,FALSE)*AA398</f>
        <v>3.4688419575761034E-2</v>
      </c>
      <c r="AY398">
        <f>VLOOKUP($AC398,'2017 Seattle Tracts'!$C$2:$Z$399,AY$1,FALSE)*AA398</f>
        <v>0</v>
      </c>
    </row>
    <row r="399" spans="1:51" x14ac:dyDescent="0.25">
      <c r="A399" t="s">
        <v>2917</v>
      </c>
      <c r="B399" t="s">
        <v>2918</v>
      </c>
      <c r="C399" t="s">
        <v>3215</v>
      </c>
      <c r="D399" t="s">
        <v>2737</v>
      </c>
      <c r="E399" t="s">
        <v>2738</v>
      </c>
      <c r="F399" t="s">
        <v>2739</v>
      </c>
      <c r="G399" t="s">
        <v>2920</v>
      </c>
      <c r="H399" t="s">
        <v>2921</v>
      </c>
      <c r="I399">
        <v>1493249</v>
      </c>
      <c r="J399">
        <v>0</v>
      </c>
      <c r="K399" t="s">
        <v>3216</v>
      </c>
      <c r="L399" t="s">
        <v>3217</v>
      </c>
      <c r="M399">
        <v>1493253</v>
      </c>
      <c r="N399">
        <v>118</v>
      </c>
      <c r="O399">
        <v>26501.526999999998</v>
      </c>
      <c r="P399" t="s">
        <v>122</v>
      </c>
      <c r="Q399">
        <v>1</v>
      </c>
      <c r="R399">
        <v>2</v>
      </c>
      <c r="S399">
        <v>19</v>
      </c>
      <c r="T399">
        <v>42044564</v>
      </c>
      <c r="U399">
        <v>120</v>
      </c>
      <c r="V399">
        <v>115</v>
      </c>
      <c r="W399">
        <v>26501.526591104928</v>
      </c>
      <c r="X399">
        <v>42044563.673184253</v>
      </c>
      <c r="Y399">
        <v>2145.8850000000002</v>
      </c>
      <c r="Z399">
        <f>VLOOKUP($AC399,'2017 Seattle Tracts'!$C$2:$Z$399,24,FALSE)</f>
        <v>1493252.781</v>
      </c>
      <c r="AA399">
        <f t="shared" si="13"/>
        <v>1.4370540790574963E-3</v>
      </c>
      <c r="AB399" t="s">
        <v>221</v>
      </c>
      <c r="AC399" t="str">
        <f t="shared" si="12"/>
        <v>Census Tract 30, King County, Washington</v>
      </c>
      <c r="AD399">
        <f>VLOOKUP($AC399,'2017 Seattle Tracts'!$C$2:$Z$399,AD$1,FALSE)*AA399</f>
        <v>8.5361012296015275</v>
      </c>
      <c r="AE399">
        <f>VLOOKUP($AC399,'2017 Seattle Tracts'!$C$2:$Z$399,AE$1,FALSE)*AA399</f>
        <v>7.5747120507120629</v>
      </c>
      <c r="AF399">
        <f>VLOOKUP($AC399,'2017 Seattle Tracts'!$C$2:$Z$399,AF$1,FALSE)*AA399</f>
        <v>0.96138917888946507</v>
      </c>
      <c r="AG399">
        <f>VLOOKUP($AC399,'2017 Seattle Tracts'!$C$2:$Z$399,AG$1,FALSE)*AA399</f>
        <v>8.5361012296015275</v>
      </c>
      <c r="AH399">
        <f>VLOOKUP($AC399,'2017 Seattle Tracts'!$C$2:$Z$399,AH$1,FALSE)*AA399</f>
        <v>7.5747120507120629</v>
      </c>
      <c r="AI399">
        <f>VLOOKUP($AC399,'2017 Seattle Tracts'!$C$2:$Z$399,AI$1,FALSE)*AA399</f>
        <v>0.96138917888946507</v>
      </c>
      <c r="AJ399">
        <f>VLOOKUP($AC399,'2017 Seattle Tracts'!$C$2:$Z$399,AJ$1,FALSE)*AA399</f>
        <v>6.5414701678697229</v>
      </c>
      <c r="AK399">
        <f>VLOOKUP($AC399,'2017 Seattle Tracts'!$C$2:$Z$399,AK$1,FALSE)*AA399</f>
        <v>0.32477422186699417</v>
      </c>
      <c r="AL399">
        <f>VLOOKUP($AC399,'2017 Seattle Tracts'!$C$2:$Z$399,AL$1,FALSE)*AA399</f>
        <v>0.17532059764501456</v>
      </c>
      <c r="AM399">
        <f>VLOOKUP($AC399,'2017 Seattle Tracts'!$C$2:$Z$399,AM$1,FALSE)*AA399</f>
        <v>5.604510908324236E-2</v>
      </c>
      <c r="AN399">
        <f>VLOOKUP($AC399,'2017 Seattle Tracts'!$C$2:$Z$399,AN$1,FALSE)*AA399</f>
        <v>2.5866973423034935E-2</v>
      </c>
      <c r="AO399">
        <f>VLOOKUP($AC399,'2017 Seattle Tracts'!$C$2:$Z$399,AO$1,FALSE)*AA399</f>
        <v>0</v>
      </c>
      <c r="AP399">
        <f>VLOOKUP($AC399,'2017 Seattle Tracts'!$C$2:$Z$399,AP$1,FALSE)*AA399</f>
        <v>0</v>
      </c>
      <c r="AQ399">
        <f>VLOOKUP($AC399,'2017 Seattle Tracts'!$C$2:$Z$399,AQ$1,FALSE)*AA399</f>
        <v>0</v>
      </c>
      <c r="AR399">
        <f>VLOOKUP($AC399,'2017 Seattle Tracts'!$C$2:$Z$399,AR$1,FALSE)*AA399</f>
        <v>0.17819470580312954</v>
      </c>
      <c r="AS399">
        <f>VLOOKUP($AC399,'2017 Seattle Tracts'!$C$2:$Z$399,AS$1,FALSE)*AA399</f>
        <v>0.21986927409579693</v>
      </c>
      <c r="AT399">
        <f>VLOOKUP($AC399,'2017 Seattle Tracts'!$C$2:$Z$399,AT$1,FALSE)*AA399</f>
        <v>0</v>
      </c>
      <c r="AU399">
        <f>VLOOKUP($AC399,'2017 Seattle Tracts'!$C$2:$Z$399,AU$1,FALSE)*AA399</f>
        <v>3.1615189739264922E-2</v>
      </c>
      <c r="AV399">
        <f>VLOOKUP($AC399,'2017 Seattle Tracts'!$C$2:$Z$399,AV$1,FALSE)*AA399</f>
        <v>8.0475028427219791E-2</v>
      </c>
      <c r="AW399">
        <f>VLOOKUP($AC399,'2017 Seattle Tracts'!$C$2:$Z$399,AW$1,FALSE)*AA399</f>
        <v>0.32908538410416666</v>
      </c>
      <c r="AX399">
        <f>VLOOKUP($AC399,'2017 Seattle Tracts'!$C$2:$Z$399,AX$1,FALSE)*AA399</f>
        <v>0.57338457754394101</v>
      </c>
      <c r="AY399">
        <f>VLOOKUP($AC399,'2017 Seattle Tracts'!$C$2:$Z$399,AY$1,FALSE)*AA399</f>
        <v>0</v>
      </c>
    </row>
    <row r="400" spans="1:51" x14ac:dyDescent="0.25">
      <c r="A400" t="s">
        <v>2917</v>
      </c>
      <c r="B400" t="s">
        <v>2918</v>
      </c>
      <c r="C400" t="s">
        <v>3218</v>
      </c>
      <c r="D400" t="s">
        <v>2689</v>
      </c>
      <c r="E400" t="s">
        <v>2690</v>
      </c>
      <c r="F400" t="s">
        <v>2691</v>
      </c>
      <c r="G400" t="s">
        <v>2920</v>
      </c>
      <c r="H400" t="s">
        <v>2921</v>
      </c>
      <c r="I400">
        <v>989907</v>
      </c>
      <c r="J400">
        <v>0</v>
      </c>
      <c r="K400" t="s">
        <v>3219</v>
      </c>
      <c r="L400" t="s">
        <v>3220</v>
      </c>
      <c r="M400">
        <v>989903</v>
      </c>
      <c r="N400">
        <v>36</v>
      </c>
      <c r="O400">
        <v>30993.599999999999</v>
      </c>
      <c r="P400" t="s">
        <v>122</v>
      </c>
      <c r="Q400">
        <v>4</v>
      </c>
      <c r="R400">
        <v>5</v>
      </c>
      <c r="S400">
        <v>81</v>
      </c>
      <c r="T400">
        <v>37020968</v>
      </c>
      <c r="U400">
        <v>38</v>
      </c>
      <c r="V400">
        <v>125</v>
      </c>
      <c r="W400">
        <v>30993.600213945359</v>
      </c>
      <c r="X400">
        <v>37020968.872468568</v>
      </c>
      <c r="Y400">
        <v>206314.10800000001</v>
      </c>
      <c r="Z400">
        <f>VLOOKUP($AC400,'2017 Seattle Tracts'!$C$2:$Z$399,24,FALSE)</f>
        <v>989902.56900000002</v>
      </c>
      <c r="AA400">
        <f t="shared" si="13"/>
        <v>0.20841860043702948</v>
      </c>
      <c r="AB400" t="s">
        <v>127</v>
      </c>
      <c r="AC400" t="str">
        <f t="shared" si="12"/>
        <v>Census Tract 44, King County, Washington</v>
      </c>
      <c r="AD400">
        <f>VLOOKUP($AC400,'2017 Seattle Tracts'!$C$2:$Z$399,AD$1,FALSE)*AA400</f>
        <v>1524.3736435964336</v>
      </c>
      <c r="AE400">
        <f>VLOOKUP($AC400,'2017 Seattle Tracts'!$C$2:$Z$399,AE$1,FALSE)*AA400</f>
        <v>1284.0669972925386</v>
      </c>
      <c r="AF400">
        <f>VLOOKUP($AC400,'2017 Seattle Tracts'!$C$2:$Z$399,AF$1,FALSE)*AA400</f>
        <v>240.30664630389498</v>
      </c>
      <c r="AG400">
        <f>VLOOKUP($AC400,'2017 Seattle Tracts'!$C$2:$Z$399,AG$1,FALSE)*AA400</f>
        <v>1524.3736435964336</v>
      </c>
      <c r="AH400">
        <f>VLOOKUP($AC400,'2017 Seattle Tracts'!$C$2:$Z$399,AH$1,FALSE)*AA400</f>
        <v>1284.0669972925386</v>
      </c>
      <c r="AI400">
        <f>VLOOKUP($AC400,'2017 Seattle Tracts'!$C$2:$Z$399,AI$1,FALSE)*AA400</f>
        <v>240.30664630389498</v>
      </c>
      <c r="AJ400">
        <f>VLOOKUP($AC400,'2017 Seattle Tracts'!$C$2:$Z$399,AJ$1,FALSE)*AA400</f>
        <v>995.82407288812681</v>
      </c>
      <c r="AK400">
        <f>VLOOKUP($AC400,'2017 Seattle Tracts'!$C$2:$Z$399,AK$1,FALSE)*AA400</f>
        <v>81.700091371315551</v>
      </c>
      <c r="AL400">
        <f>VLOOKUP($AC400,'2017 Seattle Tracts'!$C$2:$Z$399,AL$1,FALSE)*AA400</f>
        <v>35.222743473857982</v>
      </c>
      <c r="AM400">
        <f>VLOOKUP($AC400,'2017 Seattle Tracts'!$C$2:$Z$399,AM$1,FALSE)*AA400</f>
        <v>21.675534445451067</v>
      </c>
      <c r="AN400">
        <f>VLOOKUP($AC400,'2017 Seattle Tracts'!$C$2:$Z$399,AN$1,FALSE)*AA400</f>
        <v>48.978371102701928</v>
      </c>
      <c r="AO400">
        <f>VLOOKUP($AC400,'2017 Seattle Tracts'!$C$2:$Z$399,AO$1,FALSE)*AA400</f>
        <v>3.3346976069924716</v>
      </c>
      <c r="AP400">
        <f>VLOOKUP($AC400,'2017 Seattle Tracts'!$C$2:$Z$399,AP$1,FALSE)*AA400</f>
        <v>0</v>
      </c>
      <c r="AQ400">
        <f>VLOOKUP($AC400,'2017 Seattle Tracts'!$C$2:$Z$399,AQ$1,FALSE)*AA400</f>
        <v>0</v>
      </c>
      <c r="AR400">
        <f>VLOOKUP($AC400,'2017 Seattle Tracts'!$C$2:$Z$399,AR$1,FALSE)*AA400</f>
        <v>108.37767222725533</v>
      </c>
      <c r="AS400">
        <f>VLOOKUP($AC400,'2017 Seattle Tracts'!$C$2:$Z$399,AS$1,FALSE)*AA400</f>
        <v>117.13125344561057</v>
      </c>
      <c r="AT400">
        <f>VLOOKUP($AC400,'2017 Seattle Tracts'!$C$2:$Z$399,AT$1,FALSE)*AA400</f>
        <v>0</v>
      </c>
      <c r="AU400">
        <f>VLOOKUP($AC400,'2017 Seattle Tracts'!$C$2:$Z$399,AU$1,FALSE)*AA400</f>
        <v>0</v>
      </c>
      <c r="AV400">
        <f>VLOOKUP($AC400,'2017 Seattle Tracts'!$C$2:$Z$399,AV$1,FALSE)*AA400</f>
        <v>29.803859862495216</v>
      </c>
      <c r="AW400">
        <f>VLOOKUP($AC400,'2017 Seattle Tracts'!$C$2:$Z$399,AW$1,FALSE)*AA400</f>
        <v>9.5872556201033561</v>
      </c>
      <c r="AX400">
        <f>VLOOKUP($AC400,'2017 Seattle Tracts'!$C$2:$Z$399,AX$1,FALSE)*AA400</f>
        <v>65.860277738101317</v>
      </c>
      <c r="AY400">
        <f>VLOOKUP($AC400,'2017 Seattle Tracts'!$C$2:$Z$399,AY$1,FALSE)*AA400</f>
        <v>6.8778138144219731</v>
      </c>
    </row>
    <row r="401" spans="1:51" x14ac:dyDescent="0.25">
      <c r="A401" t="s">
        <v>2917</v>
      </c>
      <c r="B401" t="s">
        <v>2918</v>
      </c>
      <c r="C401" t="s">
        <v>3218</v>
      </c>
      <c r="D401" t="s">
        <v>2689</v>
      </c>
      <c r="E401" t="s">
        <v>2690</v>
      </c>
      <c r="F401" t="s">
        <v>2691</v>
      </c>
      <c r="G401" t="s">
        <v>2920</v>
      </c>
      <c r="H401" t="s">
        <v>2921</v>
      </c>
      <c r="I401">
        <v>989907</v>
      </c>
      <c r="J401">
        <v>0</v>
      </c>
      <c r="K401" t="s">
        <v>3219</v>
      </c>
      <c r="L401" t="s">
        <v>3220</v>
      </c>
      <c r="M401">
        <v>989903</v>
      </c>
      <c r="N401">
        <v>41</v>
      </c>
      <c r="O401">
        <v>22865.453000000001</v>
      </c>
      <c r="P401" t="s">
        <v>122</v>
      </c>
      <c r="Q401">
        <v>4</v>
      </c>
      <c r="R401">
        <v>5</v>
      </c>
      <c r="S401">
        <v>95</v>
      </c>
      <c r="T401">
        <v>21491312</v>
      </c>
      <c r="U401">
        <v>43</v>
      </c>
      <c r="V401">
        <v>124</v>
      </c>
      <c r="W401">
        <v>22865.452635921651</v>
      </c>
      <c r="X401">
        <v>21491312.22830575</v>
      </c>
      <c r="Y401">
        <v>194180.85800000001</v>
      </c>
      <c r="Z401">
        <f>VLOOKUP($AC401,'2017 Seattle Tracts'!$C$2:$Z$399,24,FALSE)</f>
        <v>989902.56900000002</v>
      </c>
      <c r="AA401">
        <f t="shared" si="13"/>
        <v>0.19616158608029635</v>
      </c>
      <c r="AB401" t="s">
        <v>132</v>
      </c>
      <c r="AC401" t="str">
        <f t="shared" si="12"/>
        <v>Census Tract 44, King County, Washington</v>
      </c>
      <c r="AD401">
        <f>VLOOKUP($AC401,'2017 Seattle Tracts'!$C$2:$Z$399,AD$1,FALSE)*AA401</f>
        <v>1434.7258405912876</v>
      </c>
      <c r="AE401">
        <f>VLOOKUP($AC401,'2017 Seattle Tracts'!$C$2:$Z$399,AE$1,FALSE)*AA401</f>
        <v>1208.5515318407058</v>
      </c>
      <c r="AF401">
        <f>VLOOKUP($AC401,'2017 Seattle Tracts'!$C$2:$Z$399,AF$1,FALSE)*AA401</f>
        <v>226.1743087505817</v>
      </c>
      <c r="AG401">
        <f>VLOOKUP($AC401,'2017 Seattle Tracts'!$C$2:$Z$399,AG$1,FALSE)*AA401</f>
        <v>1434.7258405912876</v>
      </c>
      <c r="AH401">
        <f>VLOOKUP($AC401,'2017 Seattle Tracts'!$C$2:$Z$399,AH$1,FALSE)*AA401</f>
        <v>1208.5515318407058</v>
      </c>
      <c r="AI401">
        <f>VLOOKUP($AC401,'2017 Seattle Tracts'!$C$2:$Z$399,AI$1,FALSE)*AA401</f>
        <v>226.1743087505817</v>
      </c>
      <c r="AJ401">
        <f>VLOOKUP($AC401,'2017 Seattle Tracts'!$C$2:$Z$399,AJ$1,FALSE)*AA401</f>
        <v>937.26005829165592</v>
      </c>
      <c r="AK401">
        <f>VLOOKUP($AC401,'2017 Seattle Tracts'!$C$2:$Z$399,AK$1,FALSE)*AA401</f>
        <v>76.895341743476166</v>
      </c>
      <c r="AL401">
        <f>VLOOKUP($AC401,'2017 Seattle Tracts'!$C$2:$Z$399,AL$1,FALSE)*AA401</f>
        <v>33.151308047570083</v>
      </c>
      <c r="AM401">
        <f>VLOOKUP($AC401,'2017 Seattle Tracts'!$C$2:$Z$399,AM$1,FALSE)*AA401</f>
        <v>20.400804952350821</v>
      </c>
      <c r="AN401">
        <f>VLOOKUP($AC401,'2017 Seattle Tracts'!$C$2:$Z$399,AN$1,FALSE)*AA401</f>
        <v>46.097972728869642</v>
      </c>
      <c r="AO401">
        <f>VLOOKUP($AC401,'2017 Seattle Tracts'!$C$2:$Z$399,AO$1,FALSE)*AA401</f>
        <v>3.1385853772847416</v>
      </c>
      <c r="AP401">
        <f>VLOOKUP($AC401,'2017 Seattle Tracts'!$C$2:$Z$399,AP$1,FALSE)*AA401</f>
        <v>0</v>
      </c>
      <c r="AQ401">
        <f>VLOOKUP($AC401,'2017 Seattle Tracts'!$C$2:$Z$399,AQ$1,FALSE)*AA401</f>
        <v>0</v>
      </c>
      <c r="AR401">
        <f>VLOOKUP($AC401,'2017 Seattle Tracts'!$C$2:$Z$399,AR$1,FALSE)*AA401</f>
        <v>102.00402476175411</v>
      </c>
      <c r="AS401">
        <f>VLOOKUP($AC401,'2017 Seattle Tracts'!$C$2:$Z$399,AS$1,FALSE)*AA401</f>
        <v>110.24281137712654</v>
      </c>
      <c r="AT401">
        <f>VLOOKUP($AC401,'2017 Seattle Tracts'!$C$2:$Z$399,AT$1,FALSE)*AA401</f>
        <v>0</v>
      </c>
      <c r="AU401">
        <f>VLOOKUP($AC401,'2017 Seattle Tracts'!$C$2:$Z$399,AU$1,FALSE)*AA401</f>
        <v>0</v>
      </c>
      <c r="AV401">
        <f>VLOOKUP($AC401,'2017 Seattle Tracts'!$C$2:$Z$399,AV$1,FALSE)*AA401</f>
        <v>28.051106809482377</v>
      </c>
      <c r="AW401">
        <f>VLOOKUP($AC401,'2017 Seattle Tracts'!$C$2:$Z$399,AW$1,FALSE)*AA401</f>
        <v>9.0234329596936327</v>
      </c>
      <c r="AX401">
        <f>VLOOKUP($AC401,'2017 Seattle Tracts'!$C$2:$Z$399,AX$1,FALSE)*AA401</f>
        <v>61.987061201373649</v>
      </c>
      <c r="AY401">
        <f>VLOOKUP($AC401,'2017 Seattle Tracts'!$C$2:$Z$399,AY$1,FALSE)*AA401</f>
        <v>6.4733323406497796</v>
      </c>
    </row>
    <row r="402" spans="1:51" x14ac:dyDescent="0.25">
      <c r="A402" t="s">
        <v>2917</v>
      </c>
      <c r="B402" t="s">
        <v>2918</v>
      </c>
      <c r="C402" t="s">
        <v>3218</v>
      </c>
      <c r="D402" t="s">
        <v>2689</v>
      </c>
      <c r="E402" t="s">
        <v>2690</v>
      </c>
      <c r="F402" t="s">
        <v>2691</v>
      </c>
      <c r="G402" t="s">
        <v>2920</v>
      </c>
      <c r="H402" t="s">
        <v>2921</v>
      </c>
      <c r="I402">
        <v>989907</v>
      </c>
      <c r="J402">
        <v>0</v>
      </c>
      <c r="K402" t="s">
        <v>3219</v>
      </c>
      <c r="L402" t="s">
        <v>3220</v>
      </c>
      <c r="M402">
        <v>989903</v>
      </c>
      <c r="N402">
        <v>42</v>
      </c>
      <c r="O402">
        <v>41446.940999999999</v>
      </c>
      <c r="P402" t="s">
        <v>134</v>
      </c>
      <c r="Q402">
        <v>5</v>
      </c>
      <c r="R402">
        <v>12</v>
      </c>
      <c r="S402">
        <v>33</v>
      </c>
      <c r="T402">
        <v>49348388</v>
      </c>
      <c r="U402">
        <v>44</v>
      </c>
      <c r="V402">
        <v>139</v>
      </c>
      <c r="W402">
        <v>41446.941321259314</v>
      </c>
      <c r="X402">
        <v>49348387.058142804</v>
      </c>
      <c r="Y402">
        <v>589407.603</v>
      </c>
      <c r="Z402">
        <f>VLOOKUP($AC402,'2017 Seattle Tracts'!$C$2:$Z$399,24,FALSE)</f>
        <v>989902.56900000002</v>
      </c>
      <c r="AA402">
        <f t="shared" si="13"/>
        <v>0.59541981348267414</v>
      </c>
      <c r="AB402" t="s">
        <v>133</v>
      </c>
      <c r="AC402" t="str">
        <f t="shared" si="12"/>
        <v>Census Tract 44, King County, Washington</v>
      </c>
      <c r="AD402">
        <f>VLOOKUP($AC402,'2017 Seattle Tracts'!$C$2:$Z$399,AD$1,FALSE)*AA402</f>
        <v>4354.9005158122791</v>
      </c>
      <c r="AE402">
        <f>VLOOKUP($AC402,'2017 Seattle Tracts'!$C$2:$Z$399,AE$1,FALSE)*AA402</f>
        <v>3668.3814708667555</v>
      </c>
      <c r="AF402">
        <f>VLOOKUP($AC402,'2017 Seattle Tracts'!$C$2:$Z$399,AF$1,FALSE)*AA402</f>
        <v>686.51904494552332</v>
      </c>
      <c r="AG402">
        <f>VLOOKUP($AC402,'2017 Seattle Tracts'!$C$2:$Z$399,AG$1,FALSE)*AA402</f>
        <v>4354.9005158122791</v>
      </c>
      <c r="AH402">
        <f>VLOOKUP($AC402,'2017 Seattle Tracts'!$C$2:$Z$399,AH$1,FALSE)*AA402</f>
        <v>3668.3814708667555</v>
      </c>
      <c r="AI402">
        <f>VLOOKUP($AC402,'2017 Seattle Tracts'!$C$2:$Z$399,AI$1,FALSE)*AA402</f>
        <v>686.51904494552332</v>
      </c>
      <c r="AJ402">
        <f>VLOOKUP($AC402,'2017 Seattle Tracts'!$C$2:$Z$399,AJ$1,FALSE)*AA402</f>
        <v>2844.9158688202169</v>
      </c>
      <c r="AK402">
        <f>VLOOKUP($AC402,'2017 Seattle Tracts'!$C$2:$Z$399,AK$1,FALSE)*AA402</f>
        <v>233.40456688520825</v>
      </c>
      <c r="AL402">
        <f>VLOOKUP($AC402,'2017 Seattle Tracts'!$C$2:$Z$399,AL$1,FALSE)*AA402</f>
        <v>100.62594847857193</v>
      </c>
      <c r="AM402">
        <f>VLOOKUP($AC402,'2017 Seattle Tracts'!$C$2:$Z$399,AM$1,FALSE)*AA402</f>
        <v>61.923660602198112</v>
      </c>
      <c r="AN402">
        <f>VLOOKUP($AC402,'2017 Seattle Tracts'!$C$2:$Z$399,AN$1,FALSE)*AA402</f>
        <v>139.92365616842844</v>
      </c>
      <c r="AO402">
        <f>VLOOKUP($AC402,'2017 Seattle Tracts'!$C$2:$Z$399,AO$1,FALSE)*AA402</f>
        <v>9.5267170157227863</v>
      </c>
      <c r="AP402">
        <f>VLOOKUP($AC402,'2017 Seattle Tracts'!$C$2:$Z$399,AP$1,FALSE)*AA402</f>
        <v>0</v>
      </c>
      <c r="AQ402">
        <f>VLOOKUP($AC402,'2017 Seattle Tracts'!$C$2:$Z$399,AQ$1,FALSE)*AA402</f>
        <v>0</v>
      </c>
      <c r="AR402">
        <f>VLOOKUP($AC402,'2017 Seattle Tracts'!$C$2:$Z$399,AR$1,FALSE)*AA402</f>
        <v>309.61830301099053</v>
      </c>
      <c r="AS402">
        <f>VLOOKUP($AC402,'2017 Seattle Tracts'!$C$2:$Z$399,AS$1,FALSE)*AA402</f>
        <v>334.62593517726287</v>
      </c>
      <c r="AT402">
        <f>VLOOKUP($AC402,'2017 Seattle Tracts'!$C$2:$Z$399,AT$1,FALSE)*AA402</f>
        <v>0</v>
      </c>
      <c r="AU402">
        <f>VLOOKUP($AC402,'2017 Seattle Tracts'!$C$2:$Z$399,AU$1,FALSE)*AA402</f>
        <v>0</v>
      </c>
      <c r="AV402">
        <f>VLOOKUP($AC402,'2017 Seattle Tracts'!$C$2:$Z$399,AV$1,FALSE)*AA402</f>
        <v>85.145033328022407</v>
      </c>
      <c r="AW402">
        <f>VLOOKUP($AC402,'2017 Seattle Tracts'!$C$2:$Z$399,AW$1,FALSE)*AA402</f>
        <v>27.389311420203011</v>
      </c>
      <c r="AX402">
        <f>VLOOKUP($AC402,'2017 Seattle Tracts'!$C$2:$Z$399,AX$1,FALSE)*AA402</f>
        <v>188.15266106052502</v>
      </c>
      <c r="AY402">
        <f>VLOOKUP($AC402,'2017 Seattle Tracts'!$C$2:$Z$399,AY$1,FALSE)*AA402</f>
        <v>19.648853844928247</v>
      </c>
    </row>
    <row r="403" spans="1:51" x14ac:dyDescent="0.25">
      <c r="A403" t="s">
        <v>2917</v>
      </c>
      <c r="B403" t="s">
        <v>2918</v>
      </c>
      <c r="C403" t="s">
        <v>3221</v>
      </c>
      <c r="D403" t="s">
        <v>2596</v>
      </c>
      <c r="E403" t="s">
        <v>2597</v>
      </c>
      <c r="F403" t="s">
        <v>2598</v>
      </c>
      <c r="G403" t="s">
        <v>2920</v>
      </c>
      <c r="H403" t="s">
        <v>2921</v>
      </c>
      <c r="I403">
        <v>862094</v>
      </c>
      <c r="J403">
        <v>0</v>
      </c>
      <c r="K403" t="s">
        <v>3222</v>
      </c>
      <c r="L403" t="s">
        <v>3223</v>
      </c>
      <c r="M403">
        <v>862093</v>
      </c>
      <c r="N403">
        <v>44</v>
      </c>
      <c r="O403">
        <v>20631.705000000002</v>
      </c>
      <c r="P403" t="s">
        <v>136</v>
      </c>
      <c r="Q403">
        <v>10</v>
      </c>
      <c r="R403">
        <v>7</v>
      </c>
      <c r="S403">
        <v>94</v>
      </c>
      <c r="T403">
        <v>17974986</v>
      </c>
      <c r="U403">
        <v>46</v>
      </c>
      <c r="V403">
        <v>148</v>
      </c>
      <c r="W403">
        <v>20631.70572929232</v>
      </c>
      <c r="X403">
        <v>17974985.95263635</v>
      </c>
      <c r="Y403">
        <v>64.817999999999998</v>
      </c>
      <c r="Z403">
        <f>VLOOKUP($AC403,'2017 Seattle Tracts'!$C$2:$Z$399,24,FALSE)</f>
        <v>862093.34100000001</v>
      </c>
      <c r="AA403">
        <f t="shared" si="13"/>
        <v>7.5186754052424581E-5</v>
      </c>
      <c r="AB403" t="s">
        <v>137</v>
      </c>
      <c r="AC403" t="str">
        <f t="shared" si="12"/>
        <v>Census Tract 71, King County, Washington</v>
      </c>
      <c r="AD403">
        <f>VLOOKUP($AC403,'2017 Seattle Tracts'!$C$2:$Z$399,AD$1,FALSE)*AA403</f>
        <v>0.33991931507101153</v>
      </c>
      <c r="AE403">
        <f>VLOOKUP($AC403,'2017 Seattle Tracts'!$C$2:$Z$399,AE$1,FALSE)*AA403</f>
        <v>0.23465785939761713</v>
      </c>
      <c r="AF403">
        <f>VLOOKUP($AC403,'2017 Seattle Tracts'!$C$2:$Z$399,AF$1,FALSE)*AA403</f>
        <v>0.10526145567339441</v>
      </c>
      <c r="AG403">
        <f>VLOOKUP($AC403,'2017 Seattle Tracts'!$C$2:$Z$399,AG$1,FALSE)*AA403</f>
        <v>0.33991931507101153</v>
      </c>
      <c r="AH403">
        <f>VLOOKUP($AC403,'2017 Seattle Tracts'!$C$2:$Z$399,AH$1,FALSE)*AA403</f>
        <v>0.23465785939761713</v>
      </c>
      <c r="AI403">
        <f>VLOOKUP($AC403,'2017 Seattle Tracts'!$C$2:$Z$399,AI$1,FALSE)*AA403</f>
        <v>0.10526145567339441</v>
      </c>
      <c r="AJ403">
        <f>VLOOKUP($AC403,'2017 Seattle Tracts'!$C$2:$Z$399,AJ$1,FALSE)*AA403</f>
        <v>0.19736522938761453</v>
      </c>
      <c r="AK403">
        <f>VLOOKUP($AC403,'2017 Seattle Tracts'!$C$2:$Z$399,AK$1,FALSE)*AA403</f>
        <v>2.3232707002199194E-2</v>
      </c>
      <c r="AL403">
        <f>VLOOKUP($AC403,'2017 Seattle Tracts'!$C$2:$Z$399,AL$1,FALSE)*AA403</f>
        <v>1.0601332321391866E-2</v>
      </c>
      <c r="AM403">
        <f>VLOOKUP($AC403,'2017 Seattle Tracts'!$C$2:$Z$399,AM$1,FALSE)*AA403</f>
        <v>8.6464767160288267E-3</v>
      </c>
      <c r="AN403">
        <f>VLOOKUP($AC403,'2017 Seattle Tracts'!$C$2:$Z$399,AN$1,FALSE)*AA403</f>
        <v>9.9998382889724697E-3</v>
      </c>
      <c r="AO403">
        <f>VLOOKUP($AC403,'2017 Seattle Tracts'!$C$2:$Z$399,AO$1,FALSE)*AA403</f>
        <v>1.1278013107863688E-3</v>
      </c>
      <c r="AP403">
        <f>VLOOKUP($AC403,'2017 Seattle Tracts'!$C$2:$Z$399,AP$1,FALSE)*AA403</f>
        <v>3.0074701620969832E-4</v>
      </c>
      <c r="AQ403">
        <f>VLOOKUP($AC403,'2017 Seattle Tracts'!$C$2:$Z$399,AQ$1,FALSE)*AA403</f>
        <v>0</v>
      </c>
      <c r="AR403">
        <f>VLOOKUP($AC403,'2017 Seattle Tracts'!$C$2:$Z$399,AR$1,FALSE)*AA403</f>
        <v>4.511205243145475E-3</v>
      </c>
      <c r="AS403">
        <f>VLOOKUP($AC403,'2017 Seattle Tracts'!$C$2:$Z$399,AS$1,FALSE)*AA403</f>
        <v>4.7066908036817789E-2</v>
      </c>
      <c r="AT403">
        <f>VLOOKUP($AC403,'2017 Seattle Tracts'!$C$2:$Z$399,AT$1,FALSE)*AA403</f>
        <v>6.0149403241939665E-4</v>
      </c>
      <c r="AU403">
        <f>VLOOKUP($AC403,'2017 Seattle Tracts'!$C$2:$Z$399,AU$1,FALSE)*AA403</f>
        <v>0</v>
      </c>
      <c r="AV403">
        <f>VLOOKUP($AC403,'2017 Seattle Tracts'!$C$2:$Z$399,AV$1,FALSE)*AA403</f>
        <v>1.6541085891533408E-3</v>
      </c>
      <c r="AW403">
        <f>VLOOKUP($AC403,'2017 Seattle Tracts'!$C$2:$Z$399,AW$1,FALSE)*AA403</f>
        <v>1.7744073956372203E-2</v>
      </c>
      <c r="AX403">
        <f>VLOOKUP($AC403,'2017 Seattle Tracts'!$C$2:$Z$399,AX$1,FALSE)*AA403</f>
        <v>9.6239045187103463E-3</v>
      </c>
      <c r="AY403">
        <f>VLOOKUP($AC403,'2017 Seattle Tracts'!$C$2:$Z$399,AY$1,FALSE)*AA403</f>
        <v>7.4434886511900332E-3</v>
      </c>
    </row>
    <row r="404" spans="1:51" x14ac:dyDescent="0.25">
      <c r="A404" t="s">
        <v>2917</v>
      </c>
      <c r="B404" t="s">
        <v>2918</v>
      </c>
      <c r="C404" t="s">
        <v>3221</v>
      </c>
      <c r="D404" t="s">
        <v>2596</v>
      </c>
      <c r="E404" t="s">
        <v>2597</v>
      </c>
      <c r="F404" t="s">
        <v>2598</v>
      </c>
      <c r="G404" t="s">
        <v>2920</v>
      </c>
      <c r="H404" t="s">
        <v>2921</v>
      </c>
      <c r="I404">
        <v>862094</v>
      </c>
      <c r="J404">
        <v>0</v>
      </c>
      <c r="K404" t="s">
        <v>3222</v>
      </c>
      <c r="L404" t="s">
        <v>3223</v>
      </c>
      <c r="M404">
        <v>862093</v>
      </c>
      <c r="N404">
        <v>45</v>
      </c>
      <c r="O404">
        <v>20496.728999999999</v>
      </c>
      <c r="P404" t="s">
        <v>136</v>
      </c>
      <c r="Q404">
        <v>10</v>
      </c>
      <c r="R404">
        <v>7</v>
      </c>
      <c r="S404">
        <v>9</v>
      </c>
      <c r="T404">
        <v>17515624</v>
      </c>
      <c r="U404">
        <v>47</v>
      </c>
      <c r="V404">
        <v>152</v>
      </c>
      <c r="W404">
        <v>20496.72892223937</v>
      </c>
      <c r="X404">
        <v>17515624.457026299</v>
      </c>
      <c r="Y404">
        <v>720626.255</v>
      </c>
      <c r="Z404">
        <f>VLOOKUP($AC404,'2017 Seattle Tracts'!$C$2:$Z$399,24,FALSE)</f>
        <v>862093.34100000001</v>
      </c>
      <c r="AA404">
        <f t="shared" si="13"/>
        <v>0.83590282017965378</v>
      </c>
      <c r="AB404" t="s">
        <v>138</v>
      </c>
      <c r="AC404" t="str">
        <f t="shared" si="12"/>
        <v>Census Tract 71, King County, Washington</v>
      </c>
      <c r="AD404">
        <f>VLOOKUP($AC404,'2017 Seattle Tracts'!$C$2:$Z$399,AD$1,FALSE)*AA404</f>
        <v>3779.1166500322147</v>
      </c>
      <c r="AE404">
        <f>VLOOKUP($AC404,'2017 Seattle Tracts'!$C$2:$Z$399,AE$1,FALSE)*AA404</f>
        <v>2608.8527017806996</v>
      </c>
      <c r="AF404">
        <f>VLOOKUP($AC404,'2017 Seattle Tracts'!$C$2:$Z$399,AF$1,FALSE)*AA404</f>
        <v>1170.2639482515153</v>
      </c>
      <c r="AG404">
        <f>VLOOKUP($AC404,'2017 Seattle Tracts'!$C$2:$Z$399,AG$1,FALSE)*AA404</f>
        <v>3779.1166500322147</v>
      </c>
      <c r="AH404">
        <f>VLOOKUP($AC404,'2017 Seattle Tracts'!$C$2:$Z$399,AH$1,FALSE)*AA404</f>
        <v>2608.8527017806996</v>
      </c>
      <c r="AI404">
        <f>VLOOKUP($AC404,'2017 Seattle Tracts'!$C$2:$Z$399,AI$1,FALSE)*AA404</f>
        <v>1170.2639482515153</v>
      </c>
      <c r="AJ404">
        <f>VLOOKUP($AC404,'2017 Seattle Tracts'!$C$2:$Z$399,AJ$1,FALSE)*AA404</f>
        <v>2194.2449029715913</v>
      </c>
      <c r="AK404">
        <f>VLOOKUP($AC404,'2017 Seattle Tracts'!$C$2:$Z$399,AK$1,FALSE)*AA404</f>
        <v>258.29397143551301</v>
      </c>
      <c r="AL404">
        <f>VLOOKUP($AC404,'2017 Seattle Tracts'!$C$2:$Z$399,AL$1,FALSE)*AA404</f>
        <v>117.86229764533118</v>
      </c>
      <c r="AM404">
        <f>VLOOKUP($AC404,'2017 Seattle Tracts'!$C$2:$Z$399,AM$1,FALSE)*AA404</f>
        <v>96.128824320660186</v>
      </c>
      <c r="AN404">
        <f>VLOOKUP($AC404,'2017 Seattle Tracts'!$C$2:$Z$399,AN$1,FALSE)*AA404</f>
        <v>111.17507508389396</v>
      </c>
      <c r="AO404">
        <f>VLOOKUP($AC404,'2017 Seattle Tracts'!$C$2:$Z$399,AO$1,FALSE)*AA404</f>
        <v>12.538542302694808</v>
      </c>
      <c r="AP404">
        <f>VLOOKUP($AC404,'2017 Seattle Tracts'!$C$2:$Z$399,AP$1,FALSE)*AA404</f>
        <v>3.3436112807186151</v>
      </c>
      <c r="AQ404">
        <f>VLOOKUP($AC404,'2017 Seattle Tracts'!$C$2:$Z$399,AQ$1,FALSE)*AA404</f>
        <v>0</v>
      </c>
      <c r="AR404">
        <f>VLOOKUP($AC404,'2017 Seattle Tracts'!$C$2:$Z$399,AR$1,FALSE)*AA404</f>
        <v>50.15416921077923</v>
      </c>
      <c r="AS404">
        <f>VLOOKUP($AC404,'2017 Seattle Tracts'!$C$2:$Z$399,AS$1,FALSE)*AA404</f>
        <v>523.27516543246327</v>
      </c>
      <c r="AT404">
        <f>VLOOKUP($AC404,'2017 Seattle Tracts'!$C$2:$Z$399,AT$1,FALSE)*AA404</f>
        <v>6.6872225614372303</v>
      </c>
      <c r="AU404">
        <f>VLOOKUP($AC404,'2017 Seattle Tracts'!$C$2:$Z$399,AU$1,FALSE)*AA404</f>
        <v>0</v>
      </c>
      <c r="AV404">
        <f>VLOOKUP($AC404,'2017 Seattle Tracts'!$C$2:$Z$399,AV$1,FALSE)*AA404</f>
        <v>18.389862043952384</v>
      </c>
      <c r="AW404">
        <f>VLOOKUP($AC404,'2017 Seattle Tracts'!$C$2:$Z$399,AW$1,FALSE)*AA404</f>
        <v>197.2730655623983</v>
      </c>
      <c r="AX404">
        <f>VLOOKUP($AC404,'2017 Seattle Tracts'!$C$2:$Z$399,AX$1,FALSE)*AA404</f>
        <v>106.99556098299568</v>
      </c>
      <c r="AY404">
        <f>VLOOKUP($AC404,'2017 Seattle Tracts'!$C$2:$Z$399,AY$1,FALSE)*AA404</f>
        <v>82.754379197785724</v>
      </c>
    </row>
    <row r="405" spans="1:51" x14ac:dyDescent="0.25">
      <c r="A405" t="s">
        <v>2917</v>
      </c>
      <c r="B405" t="s">
        <v>2918</v>
      </c>
      <c r="C405" t="s">
        <v>3221</v>
      </c>
      <c r="D405" t="s">
        <v>2596</v>
      </c>
      <c r="E405" t="s">
        <v>2597</v>
      </c>
      <c r="F405" t="s">
        <v>2598</v>
      </c>
      <c r="G405" t="s">
        <v>2920</v>
      </c>
      <c r="H405" t="s">
        <v>2921</v>
      </c>
      <c r="I405">
        <v>862094</v>
      </c>
      <c r="J405">
        <v>0</v>
      </c>
      <c r="K405" t="s">
        <v>3222</v>
      </c>
      <c r="L405" t="s">
        <v>3223</v>
      </c>
      <c r="M405">
        <v>862093</v>
      </c>
      <c r="N405">
        <v>49</v>
      </c>
      <c r="O405">
        <v>29323.546999999999</v>
      </c>
      <c r="P405" t="s">
        <v>141</v>
      </c>
      <c r="Q405">
        <v>12</v>
      </c>
      <c r="R405">
        <v>10</v>
      </c>
      <c r="S405">
        <v>95</v>
      </c>
      <c r="T405">
        <v>16107105</v>
      </c>
      <c r="U405">
        <v>51</v>
      </c>
      <c r="V405">
        <v>200</v>
      </c>
      <c r="W405">
        <v>29323.546284384702</v>
      </c>
      <c r="X405">
        <v>16107105.41912676</v>
      </c>
      <c r="Y405">
        <v>42.436999999999998</v>
      </c>
      <c r="Z405">
        <f>VLOOKUP($AC405,'2017 Seattle Tracts'!$C$2:$Z$399,24,FALSE)</f>
        <v>862093.34100000001</v>
      </c>
      <c r="AA405">
        <f t="shared" si="13"/>
        <v>4.9225528120626092E-5</v>
      </c>
      <c r="AB405" t="s">
        <v>143</v>
      </c>
      <c r="AC405" t="str">
        <f t="shared" si="12"/>
        <v>Census Tract 71, King County, Washington</v>
      </c>
      <c r="AD405">
        <f>VLOOKUP($AC405,'2017 Seattle Tracts'!$C$2:$Z$399,AD$1,FALSE)*AA405</f>
        <v>0.22254861263335057</v>
      </c>
      <c r="AE405">
        <f>VLOOKUP($AC405,'2017 Seattle Tracts'!$C$2:$Z$399,AE$1,FALSE)*AA405</f>
        <v>0.15363287326447403</v>
      </c>
      <c r="AF405">
        <f>VLOOKUP($AC405,'2017 Seattle Tracts'!$C$2:$Z$399,AF$1,FALSE)*AA405</f>
        <v>6.891573936887653E-2</v>
      </c>
      <c r="AG405">
        <f>VLOOKUP($AC405,'2017 Seattle Tracts'!$C$2:$Z$399,AG$1,FALSE)*AA405</f>
        <v>0.22254861263335057</v>
      </c>
      <c r="AH405">
        <f>VLOOKUP($AC405,'2017 Seattle Tracts'!$C$2:$Z$399,AH$1,FALSE)*AA405</f>
        <v>0.15363287326447403</v>
      </c>
      <c r="AI405">
        <f>VLOOKUP($AC405,'2017 Seattle Tracts'!$C$2:$Z$399,AI$1,FALSE)*AA405</f>
        <v>6.891573936887653E-2</v>
      </c>
      <c r="AJ405">
        <f>VLOOKUP($AC405,'2017 Seattle Tracts'!$C$2:$Z$399,AJ$1,FALSE)*AA405</f>
        <v>0.12921701131664348</v>
      </c>
      <c r="AK405">
        <f>VLOOKUP($AC405,'2017 Seattle Tracts'!$C$2:$Z$399,AK$1,FALSE)*AA405</f>
        <v>1.5210688189273463E-2</v>
      </c>
      <c r="AL405">
        <f>VLOOKUP($AC405,'2017 Seattle Tracts'!$C$2:$Z$399,AL$1,FALSE)*AA405</f>
        <v>6.9407994650082794E-3</v>
      </c>
      <c r="AM405">
        <f>VLOOKUP($AC405,'2017 Seattle Tracts'!$C$2:$Z$399,AM$1,FALSE)*AA405</f>
        <v>5.6609357338720002E-3</v>
      </c>
      <c r="AN405">
        <f>VLOOKUP($AC405,'2017 Seattle Tracts'!$C$2:$Z$399,AN$1,FALSE)*AA405</f>
        <v>6.5469952400432699E-3</v>
      </c>
      <c r="AO405">
        <f>VLOOKUP($AC405,'2017 Seattle Tracts'!$C$2:$Z$399,AO$1,FALSE)*AA405</f>
        <v>7.383829218093914E-4</v>
      </c>
      <c r="AP405">
        <f>VLOOKUP($AC405,'2017 Seattle Tracts'!$C$2:$Z$399,AP$1,FALSE)*AA405</f>
        <v>1.9690211248250437E-4</v>
      </c>
      <c r="AQ405">
        <f>VLOOKUP($AC405,'2017 Seattle Tracts'!$C$2:$Z$399,AQ$1,FALSE)*AA405</f>
        <v>0</v>
      </c>
      <c r="AR405">
        <f>VLOOKUP($AC405,'2017 Seattle Tracts'!$C$2:$Z$399,AR$1,FALSE)*AA405</f>
        <v>2.9535316872375656E-3</v>
      </c>
      <c r="AS405">
        <f>VLOOKUP($AC405,'2017 Seattle Tracts'!$C$2:$Z$399,AS$1,FALSE)*AA405</f>
        <v>3.0815180603511932E-2</v>
      </c>
      <c r="AT405">
        <f>VLOOKUP($AC405,'2017 Seattle Tracts'!$C$2:$Z$399,AT$1,FALSE)*AA405</f>
        <v>3.9380422496500874E-4</v>
      </c>
      <c r="AU405">
        <f>VLOOKUP($AC405,'2017 Seattle Tracts'!$C$2:$Z$399,AU$1,FALSE)*AA405</f>
        <v>0</v>
      </c>
      <c r="AV405">
        <f>VLOOKUP($AC405,'2017 Seattle Tracts'!$C$2:$Z$399,AV$1,FALSE)*AA405</f>
        <v>1.0829616186537739E-3</v>
      </c>
      <c r="AW405">
        <f>VLOOKUP($AC405,'2017 Seattle Tracts'!$C$2:$Z$399,AW$1,FALSE)*AA405</f>
        <v>1.1617224636467758E-2</v>
      </c>
      <c r="AX405">
        <f>VLOOKUP($AC405,'2017 Seattle Tracts'!$C$2:$Z$399,AX$1,FALSE)*AA405</f>
        <v>6.3008675994401398E-3</v>
      </c>
      <c r="AY405">
        <f>VLOOKUP($AC405,'2017 Seattle Tracts'!$C$2:$Z$399,AY$1,FALSE)*AA405</f>
        <v>4.873327283941983E-3</v>
      </c>
    </row>
    <row r="406" spans="1:51" x14ac:dyDescent="0.25">
      <c r="A406" t="s">
        <v>2917</v>
      </c>
      <c r="B406" t="s">
        <v>2918</v>
      </c>
      <c r="C406" t="s">
        <v>3221</v>
      </c>
      <c r="D406" t="s">
        <v>2596</v>
      </c>
      <c r="E406" t="s">
        <v>2597</v>
      </c>
      <c r="F406" t="s">
        <v>2598</v>
      </c>
      <c r="G406" t="s">
        <v>2920</v>
      </c>
      <c r="H406" t="s">
        <v>2921</v>
      </c>
      <c r="I406">
        <v>862094</v>
      </c>
      <c r="J406">
        <v>0</v>
      </c>
      <c r="K406" t="s">
        <v>3222</v>
      </c>
      <c r="L406" t="s">
        <v>3223</v>
      </c>
      <c r="M406">
        <v>862093</v>
      </c>
      <c r="N406">
        <v>60</v>
      </c>
      <c r="O406">
        <v>21967.599999999999</v>
      </c>
      <c r="P406" t="s">
        <v>156</v>
      </c>
      <c r="Q406">
        <v>13</v>
      </c>
      <c r="R406">
        <v>11</v>
      </c>
      <c r="S406">
        <v>81</v>
      </c>
      <c r="T406">
        <v>14974037</v>
      </c>
      <c r="U406">
        <v>62</v>
      </c>
      <c r="V406">
        <v>156</v>
      </c>
      <c r="W406">
        <v>21967.599459922661</v>
      </c>
      <c r="X406">
        <v>14974037.0994289</v>
      </c>
      <c r="Y406">
        <v>5.1840000000000002</v>
      </c>
      <c r="Z406">
        <f>VLOOKUP($AC406,'2017 Seattle Tracts'!$C$2:$Z$399,24,FALSE)</f>
        <v>862093.34100000001</v>
      </c>
      <c r="AA406">
        <f t="shared" si="13"/>
        <v>6.0132699714241273E-6</v>
      </c>
      <c r="AB406" t="s">
        <v>157</v>
      </c>
      <c r="AC406" t="str">
        <f t="shared" si="12"/>
        <v>Census Tract 71, King County, Washington</v>
      </c>
      <c r="AD406">
        <f>VLOOKUP($AC406,'2017 Seattle Tracts'!$C$2:$Z$399,AD$1,FALSE)*AA406</f>
        <v>2.718599354080848E-2</v>
      </c>
      <c r="AE406">
        <f>VLOOKUP($AC406,'2017 Seattle Tracts'!$C$2:$Z$399,AE$1,FALSE)*AA406</f>
        <v>1.8767415580814701E-2</v>
      </c>
      <c r="AF406">
        <f>VLOOKUP($AC406,'2017 Seattle Tracts'!$C$2:$Z$399,AF$1,FALSE)*AA406</f>
        <v>8.4185779599937789E-3</v>
      </c>
      <c r="AG406">
        <f>VLOOKUP($AC406,'2017 Seattle Tracts'!$C$2:$Z$399,AG$1,FALSE)*AA406</f>
        <v>2.718599354080848E-2</v>
      </c>
      <c r="AH406">
        <f>VLOOKUP($AC406,'2017 Seattle Tracts'!$C$2:$Z$399,AH$1,FALSE)*AA406</f>
        <v>1.8767415580814701E-2</v>
      </c>
      <c r="AI406">
        <f>VLOOKUP($AC406,'2017 Seattle Tracts'!$C$2:$Z$399,AI$1,FALSE)*AA406</f>
        <v>8.4185779599937789E-3</v>
      </c>
      <c r="AJ406">
        <f>VLOOKUP($AC406,'2017 Seattle Tracts'!$C$2:$Z$399,AJ$1,FALSE)*AA406</f>
        <v>1.5784833674988334E-2</v>
      </c>
      <c r="AK406">
        <f>VLOOKUP($AC406,'2017 Seattle Tracts'!$C$2:$Z$399,AK$1,FALSE)*AA406</f>
        <v>1.8581004211700553E-3</v>
      </c>
      <c r="AL406">
        <f>VLOOKUP($AC406,'2017 Seattle Tracts'!$C$2:$Z$399,AL$1,FALSE)*AA406</f>
        <v>8.47871065970802E-4</v>
      </c>
      <c r="AM406">
        <f>VLOOKUP($AC406,'2017 Seattle Tracts'!$C$2:$Z$399,AM$1,FALSE)*AA406</f>
        <v>6.9152604671377459E-4</v>
      </c>
      <c r="AN406">
        <f>VLOOKUP($AC406,'2017 Seattle Tracts'!$C$2:$Z$399,AN$1,FALSE)*AA406</f>
        <v>7.9976490619940892E-4</v>
      </c>
      <c r="AO406">
        <f>VLOOKUP($AC406,'2017 Seattle Tracts'!$C$2:$Z$399,AO$1,FALSE)*AA406</f>
        <v>9.0199049571361916E-5</v>
      </c>
      <c r="AP406">
        <f>VLOOKUP($AC406,'2017 Seattle Tracts'!$C$2:$Z$399,AP$1,FALSE)*AA406</f>
        <v>2.4053079885696509E-5</v>
      </c>
      <c r="AQ406">
        <f>VLOOKUP($AC406,'2017 Seattle Tracts'!$C$2:$Z$399,AQ$1,FALSE)*AA406</f>
        <v>0</v>
      </c>
      <c r="AR406">
        <f>VLOOKUP($AC406,'2017 Seattle Tracts'!$C$2:$Z$399,AR$1,FALSE)*AA406</f>
        <v>3.6079619828544766E-4</v>
      </c>
      <c r="AS406">
        <f>VLOOKUP($AC406,'2017 Seattle Tracts'!$C$2:$Z$399,AS$1,FALSE)*AA406</f>
        <v>3.7643070021115038E-3</v>
      </c>
      <c r="AT406">
        <f>VLOOKUP($AC406,'2017 Seattle Tracts'!$C$2:$Z$399,AT$1,FALSE)*AA406</f>
        <v>4.8106159771393018E-5</v>
      </c>
      <c r="AU406">
        <f>VLOOKUP($AC406,'2017 Seattle Tracts'!$C$2:$Z$399,AU$1,FALSE)*AA406</f>
        <v>0</v>
      </c>
      <c r="AV406">
        <f>VLOOKUP($AC406,'2017 Seattle Tracts'!$C$2:$Z$399,AV$1,FALSE)*AA406</f>
        <v>1.3229193937133081E-4</v>
      </c>
      <c r="AW406">
        <f>VLOOKUP($AC406,'2017 Seattle Tracts'!$C$2:$Z$399,AW$1,FALSE)*AA406</f>
        <v>1.4191317132560941E-3</v>
      </c>
      <c r="AX406">
        <f>VLOOKUP($AC406,'2017 Seattle Tracts'!$C$2:$Z$399,AX$1,FALSE)*AA406</f>
        <v>7.6969855634228829E-4</v>
      </c>
      <c r="AY406">
        <f>VLOOKUP($AC406,'2017 Seattle Tracts'!$C$2:$Z$399,AY$1,FALSE)*AA406</f>
        <v>5.9531372717098855E-4</v>
      </c>
    </row>
    <row r="407" spans="1:51" x14ac:dyDescent="0.25">
      <c r="A407" t="s">
        <v>2917</v>
      </c>
      <c r="B407" t="s">
        <v>2918</v>
      </c>
      <c r="C407" t="s">
        <v>3221</v>
      </c>
      <c r="D407" t="s">
        <v>2596</v>
      </c>
      <c r="E407" t="s">
        <v>2597</v>
      </c>
      <c r="F407" t="s">
        <v>2598</v>
      </c>
      <c r="G407" t="s">
        <v>2920</v>
      </c>
      <c r="H407" t="s">
        <v>2921</v>
      </c>
      <c r="I407">
        <v>862094</v>
      </c>
      <c r="J407">
        <v>0</v>
      </c>
      <c r="K407" t="s">
        <v>3222</v>
      </c>
      <c r="L407" t="s">
        <v>3223</v>
      </c>
      <c r="M407">
        <v>862093</v>
      </c>
      <c r="N407">
        <v>66</v>
      </c>
      <c r="O407">
        <v>64207.586000000003</v>
      </c>
      <c r="P407" t="s">
        <v>164</v>
      </c>
      <c r="Q407">
        <v>9</v>
      </c>
      <c r="R407">
        <v>12</v>
      </c>
      <c r="S407">
        <v>95</v>
      </c>
      <c r="T407">
        <v>33503942</v>
      </c>
      <c r="U407">
        <v>68</v>
      </c>
      <c r="V407">
        <v>199</v>
      </c>
      <c r="W407">
        <v>64207.586761171791</v>
      </c>
      <c r="X407">
        <v>33503941.092720222</v>
      </c>
      <c r="Y407">
        <v>141354.64499999999</v>
      </c>
      <c r="Z407">
        <f>VLOOKUP($AC407,'2017 Seattle Tracts'!$C$2:$Z$399,24,FALSE)</f>
        <v>862093.34100000001</v>
      </c>
      <c r="AA407">
        <f t="shared" si="13"/>
        <v>0.16396675194826726</v>
      </c>
      <c r="AB407" t="s">
        <v>163</v>
      </c>
      <c r="AC407" t="str">
        <f t="shared" si="12"/>
        <v>Census Tract 71, King County, Washington</v>
      </c>
      <c r="AD407">
        <f>VLOOKUP($AC407,'2017 Seattle Tracts'!$C$2:$Z$399,AD$1,FALSE)*AA407</f>
        <v>741.29368555811629</v>
      </c>
      <c r="AE407">
        <f>VLOOKUP($AC407,'2017 Seattle Tracts'!$C$2:$Z$399,AE$1,FALSE)*AA407</f>
        <v>511.74023283054214</v>
      </c>
      <c r="AF407">
        <f>VLOOKUP($AC407,'2017 Seattle Tracts'!$C$2:$Z$399,AF$1,FALSE)*AA407</f>
        <v>229.55345272757418</v>
      </c>
      <c r="AG407">
        <f>VLOOKUP($AC407,'2017 Seattle Tracts'!$C$2:$Z$399,AG$1,FALSE)*AA407</f>
        <v>741.29368555811629</v>
      </c>
      <c r="AH407">
        <f>VLOOKUP($AC407,'2017 Seattle Tracts'!$C$2:$Z$399,AH$1,FALSE)*AA407</f>
        <v>511.74023283054214</v>
      </c>
      <c r="AI407">
        <f>VLOOKUP($AC407,'2017 Seattle Tracts'!$C$2:$Z$399,AI$1,FALSE)*AA407</f>
        <v>229.55345272757418</v>
      </c>
      <c r="AJ407">
        <f>VLOOKUP($AC407,'2017 Seattle Tracts'!$C$2:$Z$399,AJ$1,FALSE)*AA407</f>
        <v>430.41272386420155</v>
      </c>
      <c r="AK407">
        <f>VLOOKUP($AC407,'2017 Seattle Tracts'!$C$2:$Z$399,AK$1,FALSE)*AA407</f>
        <v>50.665726352014588</v>
      </c>
      <c r="AL407">
        <f>VLOOKUP($AC407,'2017 Seattle Tracts'!$C$2:$Z$399,AL$1,FALSE)*AA407</f>
        <v>23.119312024705685</v>
      </c>
      <c r="AM407">
        <f>VLOOKUP($AC407,'2017 Seattle Tracts'!$C$2:$Z$399,AM$1,FALSE)*AA407</f>
        <v>18.856176474050734</v>
      </c>
      <c r="AN407">
        <f>VLOOKUP($AC407,'2017 Seattle Tracts'!$C$2:$Z$399,AN$1,FALSE)*AA407</f>
        <v>21.807578009119545</v>
      </c>
      <c r="AO407">
        <f>VLOOKUP($AC407,'2017 Seattle Tracts'!$C$2:$Z$399,AO$1,FALSE)*AA407</f>
        <v>2.4595012792240087</v>
      </c>
      <c r="AP407">
        <f>VLOOKUP($AC407,'2017 Seattle Tracts'!$C$2:$Z$399,AP$1,FALSE)*AA407</f>
        <v>0.65586700779306906</v>
      </c>
      <c r="AQ407">
        <f>VLOOKUP($AC407,'2017 Seattle Tracts'!$C$2:$Z$399,AQ$1,FALSE)*AA407</f>
        <v>0</v>
      </c>
      <c r="AR407">
        <f>VLOOKUP($AC407,'2017 Seattle Tracts'!$C$2:$Z$399,AR$1,FALSE)*AA407</f>
        <v>9.838005116896035</v>
      </c>
      <c r="AS407">
        <f>VLOOKUP($AC407,'2017 Seattle Tracts'!$C$2:$Z$399,AS$1,FALSE)*AA407</f>
        <v>102.6431867196153</v>
      </c>
      <c r="AT407">
        <f>VLOOKUP($AC407,'2017 Seattle Tracts'!$C$2:$Z$399,AT$1,FALSE)*AA407</f>
        <v>1.3117340155861381</v>
      </c>
      <c r="AU407">
        <f>VLOOKUP($AC407,'2017 Seattle Tracts'!$C$2:$Z$399,AU$1,FALSE)*AA407</f>
        <v>0</v>
      </c>
      <c r="AV407">
        <f>VLOOKUP($AC407,'2017 Seattle Tracts'!$C$2:$Z$399,AV$1,FALSE)*AA407</f>
        <v>3.6072685428618798</v>
      </c>
      <c r="AW407">
        <f>VLOOKUP($AC407,'2017 Seattle Tracts'!$C$2:$Z$399,AW$1,FALSE)*AA407</f>
        <v>38.696153459791077</v>
      </c>
      <c r="AX407">
        <f>VLOOKUP($AC407,'2017 Seattle Tracts'!$C$2:$Z$399,AX$1,FALSE)*AA407</f>
        <v>20.98774424937821</v>
      </c>
      <c r="AY407">
        <f>VLOOKUP($AC407,'2017 Seattle Tracts'!$C$2:$Z$399,AY$1,FALSE)*AA407</f>
        <v>16.232708442878458</v>
      </c>
    </row>
    <row r="408" spans="1:51" x14ac:dyDescent="0.25">
      <c r="A408" t="s">
        <v>2917</v>
      </c>
      <c r="B408" t="s">
        <v>2918</v>
      </c>
      <c r="C408" t="s">
        <v>3224</v>
      </c>
      <c r="D408" t="s">
        <v>2833</v>
      </c>
      <c r="E408" t="s">
        <v>2834</v>
      </c>
      <c r="F408" t="s">
        <v>2835</v>
      </c>
      <c r="G408" t="s">
        <v>2920</v>
      </c>
      <c r="H408" t="s">
        <v>2921</v>
      </c>
      <c r="I408">
        <v>1303226</v>
      </c>
      <c r="J408">
        <v>1143439</v>
      </c>
      <c r="K408" t="s">
        <v>3225</v>
      </c>
      <c r="L408" t="s">
        <v>3226</v>
      </c>
      <c r="M408">
        <v>1298758</v>
      </c>
      <c r="N408">
        <v>83</v>
      </c>
      <c r="O408">
        <v>18911.330000000002</v>
      </c>
      <c r="P408" t="s">
        <v>184</v>
      </c>
      <c r="Q408">
        <v>15</v>
      </c>
      <c r="R408">
        <v>4</v>
      </c>
      <c r="S408">
        <v>19</v>
      </c>
      <c r="T408">
        <v>18366938</v>
      </c>
      <c r="U408">
        <v>85</v>
      </c>
      <c r="V408">
        <v>185</v>
      </c>
      <c r="W408">
        <v>18911.329349083731</v>
      </c>
      <c r="X408">
        <v>18366938.27518687</v>
      </c>
      <c r="Y408">
        <v>506531.962</v>
      </c>
      <c r="Z408">
        <f>VLOOKUP($AC408,'2017 Seattle Tracts'!$C$2:$Z$399,24,FALSE)</f>
        <v>1298757.5330000001</v>
      </c>
      <c r="AA408">
        <f t="shared" si="13"/>
        <v>0.3900127230291876</v>
      </c>
      <c r="AB408" t="s">
        <v>183</v>
      </c>
      <c r="AC408" t="str">
        <f t="shared" si="12"/>
        <v>Census Tract 111.02, King County, Washington</v>
      </c>
      <c r="AD408">
        <f>VLOOKUP($AC408,'2017 Seattle Tracts'!$C$2:$Z$399,AD$1,FALSE)*AA408</f>
        <v>1747.2569991707605</v>
      </c>
      <c r="AE408">
        <f>VLOOKUP($AC408,'2017 Seattle Tracts'!$C$2:$Z$399,AE$1,FALSE)*AA408</f>
        <v>1093.5956753738421</v>
      </c>
      <c r="AF408">
        <f>VLOOKUP($AC408,'2017 Seattle Tracts'!$C$2:$Z$399,AF$1,FALSE)*AA408</f>
        <v>653.6613237969184</v>
      </c>
      <c r="AG408">
        <f>VLOOKUP($AC408,'2017 Seattle Tracts'!$C$2:$Z$399,AG$1,FALSE)*AA408</f>
        <v>1747.2569991707605</v>
      </c>
      <c r="AH408">
        <f>VLOOKUP($AC408,'2017 Seattle Tracts'!$C$2:$Z$399,AH$1,FALSE)*AA408</f>
        <v>1093.5956753738421</v>
      </c>
      <c r="AI408">
        <f>VLOOKUP($AC408,'2017 Seattle Tracts'!$C$2:$Z$399,AI$1,FALSE)*AA408</f>
        <v>653.6613237969184</v>
      </c>
      <c r="AJ408">
        <f>VLOOKUP($AC408,'2017 Seattle Tracts'!$C$2:$Z$399,AJ$1,FALSE)*AA408</f>
        <v>692.27258337680803</v>
      </c>
      <c r="AK408">
        <f>VLOOKUP($AC408,'2017 Seattle Tracts'!$C$2:$Z$399,AK$1,FALSE)*AA408</f>
        <v>45.241475871385759</v>
      </c>
      <c r="AL408">
        <f>VLOOKUP($AC408,'2017 Seattle Tracts'!$C$2:$Z$399,AL$1,FALSE)*AA408</f>
        <v>12.87041985996319</v>
      </c>
      <c r="AM408">
        <f>VLOOKUP($AC408,'2017 Seattle Tracts'!$C$2:$Z$399,AM$1,FALSE)*AA408</f>
        <v>16.380534367225881</v>
      </c>
      <c r="AN408">
        <f>VLOOKUP($AC408,'2017 Seattle Tracts'!$C$2:$Z$399,AN$1,FALSE)*AA408</f>
        <v>130.65426221477784</v>
      </c>
      <c r="AO408">
        <f>VLOOKUP($AC408,'2017 Seattle Tracts'!$C$2:$Z$399,AO$1,FALSE)*AA408</f>
        <v>53.821755778027892</v>
      </c>
      <c r="AP408">
        <f>VLOOKUP($AC408,'2017 Seattle Tracts'!$C$2:$Z$399,AP$1,FALSE)*AA408</f>
        <v>2.3400763381751255</v>
      </c>
      <c r="AQ408">
        <f>VLOOKUP($AC408,'2017 Seattle Tracts'!$C$2:$Z$399,AQ$1,FALSE)*AA408</f>
        <v>0</v>
      </c>
      <c r="AR408">
        <f>VLOOKUP($AC408,'2017 Seattle Tracts'!$C$2:$Z$399,AR$1,FALSE)*AA408</f>
        <v>79.952608220983464</v>
      </c>
      <c r="AS408">
        <f>VLOOKUP($AC408,'2017 Seattle Tracts'!$C$2:$Z$399,AS$1,FALSE)*AA408</f>
        <v>350.23142528021049</v>
      </c>
      <c r="AT408">
        <f>VLOOKUP($AC408,'2017 Seattle Tracts'!$C$2:$Z$399,AT$1,FALSE)*AA408</f>
        <v>0</v>
      </c>
      <c r="AU408">
        <f>VLOOKUP($AC408,'2017 Seattle Tracts'!$C$2:$Z$399,AU$1,FALSE)*AA408</f>
        <v>0</v>
      </c>
      <c r="AV408">
        <f>VLOOKUP($AC408,'2017 Seattle Tracts'!$C$2:$Z$399,AV$1,FALSE)*AA408</f>
        <v>76.052480990691578</v>
      </c>
      <c r="AW408">
        <f>VLOOKUP($AC408,'2017 Seattle Tracts'!$C$2:$Z$399,AW$1,FALSE)*AA408</f>
        <v>113.88371512452278</v>
      </c>
      <c r="AX408">
        <f>VLOOKUP($AC408,'2017 Seattle Tracts'!$C$2:$Z$399,AX$1,FALSE)*AA408</f>
        <v>99.453244372442839</v>
      </c>
      <c r="AY408">
        <f>VLOOKUP($AC408,'2017 Seattle Tracts'!$C$2:$Z$399,AY$1,FALSE)*AA408</f>
        <v>74.102417375545642</v>
      </c>
    </row>
    <row r="409" spans="1:51" x14ac:dyDescent="0.25">
      <c r="A409" t="s">
        <v>2917</v>
      </c>
      <c r="B409" t="s">
        <v>2918</v>
      </c>
      <c r="C409" t="s">
        <v>3224</v>
      </c>
      <c r="D409" t="s">
        <v>2833</v>
      </c>
      <c r="E409" t="s">
        <v>2834</v>
      </c>
      <c r="F409" t="s">
        <v>2835</v>
      </c>
      <c r="G409" t="s">
        <v>2920</v>
      </c>
      <c r="H409" t="s">
        <v>2921</v>
      </c>
      <c r="I409">
        <v>1303226</v>
      </c>
      <c r="J409">
        <v>1143439</v>
      </c>
      <c r="K409" t="s">
        <v>3225</v>
      </c>
      <c r="L409" t="s">
        <v>3226</v>
      </c>
      <c r="M409">
        <v>1298758</v>
      </c>
      <c r="N409">
        <v>84</v>
      </c>
      <c r="O409">
        <v>20847.651999999998</v>
      </c>
      <c r="P409" t="s">
        <v>184</v>
      </c>
      <c r="Q409">
        <v>15</v>
      </c>
      <c r="R409">
        <v>4</v>
      </c>
      <c r="S409">
        <v>9</v>
      </c>
      <c r="T409">
        <v>19601602</v>
      </c>
      <c r="U409">
        <v>86</v>
      </c>
      <c r="V409">
        <v>192</v>
      </c>
      <c r="W409">
        <v>20847.653192299731</v>
      </c>
      <c r="X409">
        <v>19601601.215348601</v>
      </c>
      <c r="Y409">
        <v>92.016000000000005</v>
      </c>
      <c r="Z409">
        <f>VLOOKUP($AC409,'2017 Seattle Tracts'!$C$2:$Z$399,24,FALSE)</f>
        <v>1298757.5330000001</v>
      </c>
      <c r="AA409">
        <f t="shared" si="13"/>
        <v>7.0849252198331621E-5</v>
      </c>
      <c r="AB409" t="s">
        <v>185</v>
      </c>
      <c r="AC409" t="str">
        <f t="shared" si="12"/>
        <v>Census Tract 111.02, King County, Washington</v>
      </c>
      <c r="AD409">
        <f>VLOOKUP($AC409,'2017 Seattle Tracts'!$C$2:$Z$399,AD$1,FALSE)*AA409</f>
        <v>0.31740464984852568</v>
      </c>
      <c r="AE409">
        <f>VLOOKUP($AC409,'2017 Seattle Tracts'!$C$2:$Z$399,AE$1,FALSE)*AA409</f>
        <v>0.19866130316412187</v>
      </c>
      <c r="AF409">
        <f>VLOOKUP($AC409,'2017 Seattle Tracts'!$C$2:$Z$399,AF$1,FALSE)*AA409</f>
        <v>0.1187433466844038</v>
      </c>
      <c r="AG409">
        <f>VLOOKUP($AC409,'2017 Seattle Tracts'!$C$2:$Z$399,AG$1,FALSE)*AA409</f>
        <v>0.31740464984852568</v>
      </c>
      <c r="AH409">
        <f>VLOOKUP($AC409,'2017 Seattle Tracts'!$C$2:$Z$399,AH$1,FALSE)*AA409</f>
        <v>0.19866130316412187</v>
      </c>
      <c r="AI409">
        <f>VLOOKUP($AC409,'2017 Seattle Tracts'!$C$2:$Z$399,AI$1,FALSE)*AA409</f>
        <v>0.1187433466844038</v>
      </c>
      <c r="AJ409">
        <f>VLOOKUP($AC409,'2017 Seattle Tracts'!$C$2:$Z$399,AJ$1,FALSE)*AA409</f>
        <v>0.12575742265203863</v>
      </c>
      <c r="AK409">
        <f>VLOOKUP($AC409,'2017 Seattle Tracts'!$C$2:$Z$399,AK$1,FALSE)*AA409</f>
        <v>8.2185132550064675E-3</v>
      </c>
      <c r="AL409">
        <f>VLOOKUP($AC409,'2017 Seattle Tracts'!$C$2:$Z$399,AL$1,FALSE)*AA409</f>
        <v>2.3380253225449435E-3</v>
      </c>
      <c r="AM409">
        <f>VLOOKUP($AC409,'2017 Seattle Tracts'!$C$2:$Z$399,AM$1,FALSE)*AA409</f>
        <v>2.9756685923299281E-3</v>
      </c>
      <c r="AN409">
        <f>VLOOKUP($AC409,'2017 Seattle Tracts'!$C$2:$Z$399,AN$1,FALSE)*AA409</f>
        <v>2.3734499486441091E-2</v>
      </c>
      <c r="AO409">
        <f>VLOOKUP($AC409,'2017 Seattle Tracts'!$C$2:$Z$399,AO$1,FALSE)*AA409</f>
        <v>9.7771968033697632E-3</v>
      </c>
      <c r="AP409">
        <f>VLOOKUP($AC409,'2017 Seattle Tracts'!$C$2:$Z$399,AP$1,FALSE)*AA409</f>
        <v>4.2509551318998975E-4</v>
      </c>
      <c r="AQ409">
        <f>VLOOKUP($AC409,'2017 Seattle Tracts'!$C$2:$Z$399,AQ$1,FALSE)*AA409</f>
        <v>0</v>
      </c>
      <c r="AR409">
        <f>VLOOKUP($AC409,'2017 Seattle Tracts'!$C$2:$Z$399,AR$1,FALSE)*AA409</f>
        <v>1.4524096700657982E-2</v>
      </c>
      <c r="AS409">
        <f>VLOOKUP($AC409,'2017 Seattle Tracts'!$C$2:$Z$399,AS$1,FALSE)*AA409</f>
        <v>6.36226284741018E-2</v>
      </c>
      <c r="AT409">
        <f>VLOOKUP($AC409,'2017 Seattle Tracts'!$C$2:$Z$399,AT$1,FALSE)*AA409</f>
        <v>0</v>
      </c>
      <c r="AU409">
        <f>VLOOKUP($AC409,'2017 Seattle Tracts'!$C$2:$Z$399,AU$1,FALSE)*AA409</f>
        <v>0</v>
      </c>
      <c r="AV409">
        <f>VLOOKUP($AC409,'2017 Seattle Tracts'!$C$2:$Z$399,AV$1,FALSE)*AA409</f>
        <v>1.3815604178674666E-2</v>
      </c>
      <c r="AW409">
        <f>VLOOKUP($AC409,'2017 Seattle Tracts'!$C$2:$Z$399,AW$1,FALSE)*AA409</f>
        <v>2.0687981641912833E-2</v>
      </c>
      <c r="AX409">
        <f>VLOOKUP($AC409,'2017 Seattle Tracts'!$C$2:$Z$399,AX$1,FALSE)*AA409</f>
        <v>1.8066559310574562E-2</v>
      </c>
      <c r="AY409">
        <f>VLOOKUP($AC409,'2017 Seattle Tracts'!$C$2:$Z$399,AY$1,FALSE)*AA409</f>
        <v>1.3461357917683008E-2</v>
      </c>
    </row>
    <row r="410" spans="1:51" x14ac:dyDescent="0.25">
      <c r="A410" t="s">
        <v>2917</v>
      </c>
      <c r="B410" t="s">
        <v>2918</v>
      </c>
      <c r="C410" t="s">
        <v>3224</v>
      </c>
      <c r="D410" t="s">
        <v>2833</v>
      </c>
      <c r="E410" t="s">
        <v>2834</v>
      </c>
      <c r="F410" t="s">
        <v>2835</v>
      </c>
      <c r="G410" t="s">
        <v>2920</v>
      </c>
      <c r="H410" t="s">
        <v>2921</v>
      </c>
      <c r="I410">
        <v>1303226</v>
      </c>
      <c r="J410">
        <v>1143439</v>
      </c>
      <c r="K410" t="s">
        <v>3225</v>
      </c>
      <c r="L410" t="s">
        <v>3226</v>
      </c>
      <c r="M410">
        <v>1298758</v>
      </c>
      <c r="N410">
        <v>88</v>
      </c>
      <c r="O410">
        <v>35177.063000000002</v>
      </c>
      <c r="P410" t="s">
        <v>184</v>
      </c>
      <c r="Q410">
        <v>15</v>
      </c>
      <c r="R410">
        <v>4</v>
      </c>
      <c r="S410">
        <v>94</v>
      </c>
      <c r="T410">
        <v>37406576</v>
      </c>
      <c r="U410">
        <v>90</v>
      </c>
      <c r="V410">
        <v>179</v>
      </c>
      <c r="W410">
        <v>35177.060803967521</v>
      </c>
      <c r="X410">
        <v>37406576.492632188</v>
      </c>
      <c r="Y410">
        <v>89.799000000000007</v>
      </c>
      <c r="Z410">
        <f>VLOOKUP($AC410,'2017 Seattle Tracts'!$C$2:$Z$399,24,FALSE)</f>
        <v>1298757.5330000001</v>
      </c>
      <c r="AA410">
        <f t="shared" si="13"/>
        <v>6.9142236112828003E-5</v>
      </c>
      <c r="AB410" t="s">
        <v>189</v>
      </c>
      <c r="AC410" t="str">
        <f t="shared" si="12"/>
        <v>Census Tract 111.02, King County, Washington</v>
      </c>
      <c r="AD410">
        <f>VLOOKUP($AC410,'2017 Seattle Tracts'!$C$2:$Z$399,AD$1,FALSE)*AA410</f>
        <v>0.30975721778546944</v>
      </c>
      <c r="AE410">
        <f>VLOOKUP($AC410,'2017 Seattle Tracts'!$C$2:$Z$399,AE$1,FALSE)*AA410</f>
        <v>0.19387483006036971</v>
      </c>
      <c r="AF410">
        <f>VLOOKUP($AC410,'2017 Seattle Tracts'!$C$2:$Z$399,AF$1,FALSE)*AA410</f>
        <v>0.11588238772509973</v>
      </c>
      <c r="AG410">
        <f>VLOOKUP($AC410,'2017 Seattle Tracts'!$C$2:$Z$399,AG$1,FALSE)*AA410</f>
        <v>0.30975721778546944</v>
      </c>
      <c r="AH410">
        <f>VLOOKUP($AC410,'2017 Seattle Tracts'!$C$2:$Z$399,AH$1,FALSE)*AA410</f>
        <v>0.19387483006036971</v>
      </c>
      <c r="AI410">
        <f>VLOOKUP($AC410,'2017 Seattle Tracts'!$C$2:$Z$399,AI$1,FALSE)*AA410</f>
        <v>0.11588238772509973</v>
      </c>
      <c r="AJ410">
        <f>VLOOKUP($AC410,'2017 Seattle Tracts'!$C$2:$Z$399,AJ$1,FALSE)*AA410</f>
        <v>0.1227274691002697</v>
      </c>
      <c r="AK410">
        <f>VLOOKUP($AC410,'2017 Seattle Tracts'!$C$2:$Z$399,AK$1,FALSE)*AA410</f>
        <v>8.0204993890880486E-3</v>
      </c>
      <c r="AL410">
        <f>VLOOKUP($AC410,'2017 Seattle Tracts'!$C$2:$Z$399,AL$1,FALSE)*AA410</f>
        <v>2.2816937917233241E-3</v>
      </c>
      <c r="AM410">
        <f>VLOOKUP($AC410,'2017 Seattle Tracts'!$C$2:$Z$399,AM$1,FALSE)*AA410</f>
        <v>2.9039739167387763E-3</v>
      </c>
      <c r="AN410">
        <f>VLOOKUP($AC410,'2017 Seattle Tracts'!$C$2:$Z$399,AN$1,FALSE)*AA410</f>
        <v>2.3162649097797382E-2</v>
      </c>
      <c r="AO410">
        <f>VLOOKUP($AC410,'2017 Seattle Tracts'!$C$2:$Z$399,AO$1,FALSE)*AA410</f>
        <v>9.5416285835702649E-3</v>
      </c>
      <c r="AP410">
        <f>VLOOKUP($AC410,'2017 Seattle Tracts'!$C$2:$Z$399,AP$1,FALSE)*AA410</f>
        <v>4.1485341667696802E-4</v>
      </c>
      <c r="AQ410">
        <f>VLOOKUP($AC410,'2017 Seattle Tracts'!$C$2:$Z$399,AQ$1,FALSE)*AA410</f>
        <v>0</v>
      </c>
      <c r="AR410">
        <f>VLOOKUP($AC410,'2017 Seattle Tracts'!$C$2:$Z$399,AR$1,FALSE)*AA410</f>
        <v>1.4174158403129741E-2</v>
      </c>
      <c r="AS410">
        <f>VLOOKUP($AC410,'2017 Seattle Tracts'!$C$2:$Z$399,AS$1,FALSE)*AA410</f>
        <v>6.2089728029319544E-2</v>
      </c>
      <c r="AT410">
        <f>VLOOKUP($AC410,'2017 Seattle Tracts'!$C$2:$Z$399,AT$1,FALSE)*AA410</f>
        <v>0</v>
      </c>
      <c r="AU410">
        <f>VLOOKUP($AC410,'2017 Seattle Tracts'!$C$2:$Z$399,AU$1,FALSE)*AA410</f>
        <v>0</v>
      </c>
      <c r="AV410">
        <f>VLOOKUP($AC410,'2017 Seattle Tracts'!$C$2:$Z$399,AV$1,FALSE)*AA410</f>
        <v>1.348273604200146E-2</v>
      </c>
      <c r="AW410">
        <f>VLOOKUP($AC410,'2017 Seattle Tracts'!$C$2:$Z$399,AW$1,FALSE)*AA410</f>
        <v>2.0189532944945777E-2</v>
      </c>
      <c r="AX410">
        <f>VLOOKUP($AC410,'2017 Seattle Tracts'!$C$2:$Z$399,AX$1,FALSE)*AA410</f>
        <v>1.763127020877114E-2</v>
      </c>
      <c r="AY410">
        <f>VLOOKUP($AC410,'2017 Seattle Tracts'!$C$2:$Z$399,AY$1,FALSE)*AA410</f>
        <v>1.313702486143732E-2</v>
      </c>
    </row>
    <row r="411" spans="1:51" x14ac:dyDescent="0.25">
      <c r="A411" t="s">
        <v>2917</v>
      </c>
      <c r="B411" t="s">
        <v>2918</v>
      </c>
      <c r="C411" t="s">
        <v>3224</v>
      </c>
      <c r="D411" t="s">
        <v>2833</v>
      </c>
      <c r="E411" t="s">
        <v>2834</v>
      </c>
      <c r="F411" t="s">
        <v>2835</v>
      </c>
      <c r="G411" t="s">
        <v>2920</v>
      </c>
      <c r="H411" t="s">
        <v>2921</v>
      </c>
      <c r="I411">
        <v>1303226</v>
      </c>
      <c r="J411">
        <v>1143439</v>
      </c>
      <c r="K411" t="s">
        <v>3225</v>
      </c>
      <c r="L411" t="s">
        <v>3226</v>
      </c>
      <c r="M411">
        <v>1298758</v>
      </c>
      <c r="N411">
        <v>95</v>
      </c>
      <c r="O411">
        <v>52212.785000000003</v>
      </c>
      <c r="P411" t="s">
        <v>198</v>
      </c>
      <c r="Q411">
        <v>16</v>
      </c>
      <c r="R411">
        <v>11</v>
      </c>
      <c r="S411">
        <v>95</v>
      </c>
      <c r="T411">
        <v>43835280</v>
      </c>
      <c r="U411">
        <v>97</v>
      </c>
      <c r="V411">
        <v>173</v>
      </c>
      <c r="W411">
        <v>52212.786810353093</v>
      </c>
      <c r="X411">
        <v>43835279.005916066</v>
      </c>
      <c r="Y411">
        <v>787005.03200000001</v>
      </c>
      <c r="Z411">
        <f>VLOOKUP($AC411,'2017 Seattle Tracts'!$C$2:$Z$399,24,FALSE)</f>
        <v>1298757.5330000001</v>
      </c>
      <c r="AA411">
        <f t="shared" si="13"/>
        <v>0.60596763599291481</v>
      </c>
      <c r="AB411" t="s">
        <v>197</v>
      </c>
      <c r="AC411" t="str">
        <f t="shared" si="12"/>
        <v>Census Tract 111.02, King County, Washington</v>
      </c>
      <c r="AD411">
        <f>VLOOKUP($AC411,'2017 Seattle Tracts'!$C$2:$Z$399,AD$1,FALSE)*AA411</f>
        <v>2714.7350092482584</v>
      </c>
      <c r="AE411">
        <f>VLOOKUP($AC411,'2017 Seattle Tracts'!$C$2:$Z$399,AE$1,FALSE)*AA411</f>
        <v>1699.1332513241332</v>
      </c>
      <c r="AF411">
        <f>VLOOKUP($AC411,'2017 Seattle Tracts'!$C$2:$Z$399,AF$1,FALSE)*AA411</f>
        <v>1015.6017579241252</v>
      </c>
      <c r="AG411">
        <f>VLOOKUP($AC411,'2017 Seattle Tracts'!$C$2:$Z$399,AG$1,FALSE)*AA411</f>
        <v>2714.7350092482584</v>
      </c>
      <c r="AH411">
        <f>VLOOKUP($AC411,'2017 Seattle Tracts'!$C$2:$Z$399,AH$1,FALSE)*AA411</f>
        <v>1699.1332513241332</v>
      </c>
      <c r="AI411">
        <f>VLOOKUP($AC411,'2017 Seattle Tracts'!$C$2:$Z$399,AI$1,FALSE)*AA411</f>
        <v>1015.6017579241252</v>
      </c>
      <c r="AJ411">
        <f>VLOOKUP($AC411,'2017 Seattle Tracts'!$C$2:$Z$399,AJ$1,FALSE)*AA411</f>
        <v>1075.5925538874237</v>
      </c>
      <c r="AK411">
        <f>VLOOKUP($AC411,'2017 Seattle Tracts'!$C$2:$Z$399,AK$1,FALSE)*AA411</f>
        <v>70.292245775178117</v>
      </c>
      <c r="AL411">
        <f>VLOOKUP($AC411,'2017 Seattle Tracts'!$C$2:$Z$399,AL$1,FALSE)*AA411</f>
        <v>19.996931987766189</v>
      </c>
      <c r="AM411">
        <f>VLOOKUP($AC411,'2017 Seattle Tracts'!$C$2:$Z$399,AM$1,FALSE)*AA411</f>
        <v>25.450640711702423</v>
      </c>
      <c r="AN411">
        <f>VLOOKUP($AC411,'2017 Seattle Tracts'!$C$2:$Z$399,AN$1,FALSE)*AA411</f>
        <v>202.99915805762646</v>
      </c>
      <c r="AO411">
        <f>VLOOKUP($AC411,'2017 Seattle Tracts'!$C$2:$Z$399,AO$1,FALSE)*AA411</f>
        <v>83.623533767022238</v>
      </c>
      <c r="AP411">
        <f>VLOOKUP($AC411,'2017 Seattle Tracts'!$C$2:$Z$399,AP$1,FALSE)*AA411</f>
        <v>3.6358058159574886</v>
      </c>
      <c r="AQ411">
        <f>VLOOKUP($AC411,'2017 Seattle Tracts'!$C$2:$Z$399,AQ$1,FALSE)*AA411</f>
        <v>0</v>
      </c>
      <c r="AR411">
        <f>VLOOKUP($AC411,'2017 Seattle Tracts'!$C$2:$Z$399,AR$1,FALSE)*AA411</f>
        <v>124.22336537854754</v>
      </c>
      <c r="AS411">
        <f>VLOOKUP($AC411,'2017 Seattle Tracts'!$C$2:$Z$399,AS$1,FALSE)*AA411</f>
        <v>544.15893712163745</v>
      </c>
      <c r="AT411">
        <f>VLOOKUP($AC411,'2017 Seattle Tracts'!$C$2:$Z$399,AT$1,FALSE)*AA411</f>
        <v>0</v>
      </c>
      <c r="AU411">
        <f>VLOOKUP($AC411,'2017 Seattle Tracts'!$C$2:$Z$399,AU$1,FALSE)*AA411</f>
        <v>0</v>
      </c>
      <c r="AV411">
        <f>VLOOKUP($AC411,'2017 Seattle Tracts'!$C$2:$Z$399,AV$1,FALSE)*AA411</f>
        <v>118.16368901861838</v>
      </c>
      <c r="AW411">
        <f>VLOOKUP($AC411,'2017 Seattle Tracts'!$C$2:$Z$399,AW$1,FALSE)*AA411</f>
        <v>176.94254970993111</v>
      </c>
      <c r="AX411">
        <f>VLOOKUP($AC411,'2017 Seattle Tracts'!$C$2:$Z$399,AX$1,FALSE)*AA411</f>
        <v>154.52174717819327</v>
      </c>
      <c r="AY411">
        <f>VLOOKUP($AC411,'2017 Seattle Tracts'!$C$2:$Z$399,AY$1,FALSE)*AA411</f>
        <v>115.13385083865381</v>
      </c>
    </row>
    <row r="412" spans="1:51" x14ac:dyDescent="0.25">
      <c r="A412" t="s">
        <v>2917</v>
      </c>
      <c r="B412" t="s">
        <v>2918</v>
      </c>
      <c r="C412" t="s">
        <v>3227</v>
      </c>
      <c r="D412" t="s">
        <v>2749</v>
      </c>
      <c r="E412" t="s">
        <v>2750</v>
      </c>
      <c r="F412" t="s">
        <v>2751</v>
      </c>
      <c r="G412" t="s">
        <v>2920</v>
      </c>
      <c r="H412" t="s">
        <v>2921</v>
      </c>
      <c r="I412">
        <v>1597300</v>
      </c>
      <c r="J412">
        <v>0</v>
      </c>
      <c r="K412" t="s">
        <v>3228</v>
      </c>
      <c r="L412" t="s">
        <v>3229</v>
      </c>
      <c r="M412">
        <v>1597298</v>
      </c>
      <c r="N412">
        <v>31</v>
      </c>
      <c r="O412">
        <v>27120.785</v>
      </c>
      <c r="P412" t="s">
        <v>122</v>
      </c>
      <c r="Q412">
        <v>6</v>
      </c>
      <c r="R412">
        <v>9</v>
      </c>
      <c r="S412">
        <v>95</v>
      </c>
      <c r="T412">
        <v>32123118</v>
      </c>
      <c r="U412">
        <v>33</v>
      </c>
      <c r="V412">
        <v>126</v>
      </c>
      <c r="W412">
        <v>27120.785937968081</v>
      </c>
      <c r="X412">
        <v>32123117.878249042</v>
      </c>
      <c r="Y412">
        <v>198.661</v>
      </c>
      <c r="Z412">
        <f>VLOOKUP($AC412,'2017 Seattle Tracts'!$C$2:$Z$399,24,FALSE)</f>
        <v>1597298.159</v>
      </c>
      <c r="AA412">
        <f t="shared" si="13"/>
        <v>1.2437314779375515E-4</v>
      </c>
      <c r="AB412" t="s">
        <v>121</v>
      </c>
      <c r="AC412" t="str">
        <f t="shared" si="12"/>
        <v>Census Tract 27, King County, Washington</v>
      </c>
      <c r="AD412">
        <f>VLOOKUP($AC412,'2017 Seattle Tracts'!$C$2:$Z$399,AD$1,FALSE)*AA412</f>
        <v>0.76551672467056298</v>
      </c>
      <c r="AE412">
        <f>VLOOKUP($AC412,'2017 Seattle Tracts'!$C$2:$Z$399,AE$1,FALSE)*AA412</f>
        <v>0.66788380365246514</v>
      </c>
      <c r="AF412">
        <f>VLOOKUP($AC412,'2017 Seattle Tracts'!$C$2:$Z$399,AF$1,FALSE)*AA412</f>
        <v>9.7632921018097799E-2</v>
      </c>
      <c r="AG412">
        <f>VLOOKUP($AC412,'2017 Seattle Tracts'!$C$2:$Z$399,AG$1,FALSE)*AA412</f>
        <v>0.76551672467056298</v>
      </c>
      <c r="AH412">
        <f>VLOOKUP($AC412,'2017 Seattle Tracts'!$C$2:$Z$399,AH$1,FALSE)*AA412</f>
        <v>0.66788380365246514</v>
      </c>
      <c r="AI412">
        <f>VLOOKUP($AC412,'2017 Seattle Tracts'!$C$2:$Z$399,AI$1,FALSE)*AA412</f>
        <v>9.7632921018097799E-2</v>
      </c>
      <c r="AJ412">
        <f>VLOOKUP($AC412,'2017 Seattle Tracts'!$C$2:$Z$399,AJ$1,FALSE)*AA412</f>
        <v>0.52510342998523429</v>
      </c>
      <c r="AK412">
        <f>VLOOKUP($AC412,'2017 Seattle Tracts'!$C$2:$Z$399,AK$1,FALSE)*AA412</f>
        <v>4.2784362841051769E-2</v>
      </c>
      <c r="AL412">
        <f>VLOOKUP($AC412,'2017 Seattle Tracts'!$C$2:$Z$399,AL$1,FALSE)*AA412</f>
        <v>1.1691075892612984E-2</v>
      </c>
      <c r="AM412">
        <f>VLOOKUP($AC412,'2017 Seattle Tracts'!$C$2:$Z$399,AM$1,FALSE)*AA412</f>
        <v>3.3580749904313892E-3</v>
      </c>
      <c r="AN412">
        <f>VLOOKUP($AC412,'2017 Seattle Tracts'!$C$2:$Z$399,AN$1,FALSE)*AA412</f>
        <v>8.3330009021815952E-3</v>
      </c>
      <c r="AO412">
        <f>VLOOKUP($AC412,'2017 Seattle Tracts'!$C$2:$Z$399,AO$1,FALSE)*AA412</f>
        <v>2.611836103668858E-3</v>
      </c>
      <c r="AP412">
        <f>VLOOKUP($AC412,'2017 Seattle Tracts'!$C$2:$Z$399,AP$1,FALSE)*AA412</f>
        <v>1.2437314779375515E-4</v>
      </c>
      <c r="AQ412">
        <f>VLOOKUP($AC412,'2017 Seattle Tracts'!$C$2:$Z$399,AQ$1,FALSE)*AA412</f>
        <v>0</v>
      </c>
      <c r="AR412">
        <f>VLOOKUP($AC412,'2017 Seattle Tracts'!$C$2:$Z$399,AR$1,FALSE)*AA412</f>
        <v>4.7759288752801977E-2</v>
      </c>
      <c r="AS412">
        <f>VLOOKUP($AC412,'2017 Seattle Tracts'!$C$2:$Z$399,AS$1,FALSE)*AA412</f>
        <v>3.7560690633714054E-2</v>
      </c>
      <c r="AT412">
        <f>VLOOKUP($AC412,'2017 Seattle Tracts'!$C$2:$Z$399,AT$1,FALSE)*AA412</f>
        <v>0</v>
      </c>
      <c r="AU412">
        <f>VLOOKUP($AC412,'2017 Seattle Tracts'!$C$2:$Z$399,AU$1,FALSE)*AA412</f>
        <v>0</v>
      </c>
      <c r="AV412">
        <f>VLOOKUP($AC412,'2017 Seattle Tracts'!$C$2:$Z$399,AV$1,FALSE)*AA412</f>
        <v>5.3480453551314712E-3</v>
      </c>
      <c r="AW412">
        <f>VLOOKUP($AC412,'2017 Seattle Tracts'!$C$2:$Z$399,AW$1,FALSE)*AA412</f>
        <v>1.1317956449231718E-2</v>
      </c>
      <c r="AX412">
        <f>VLOOKUP($AC412,'2017 Seattle Tracts'!$C$2:$Z$399,AX$1,FALSE)*AA412</f>
        <v>6.9524589616709126E-2</v>
      </c>
      <c r="AY412">
        <f>VLOOKUP($AC412,'2017 Seattle Tracts'!$C$2:$Z$399,AY$1,FALSE)*AA412</f>
        <v>0</v>
      </c>
    </row>
    <row r="413" spans="1:51" x14ac:dyDescent="0.25">
      <c r="A413" t="s">
        <v>2917</v>
      </c>
      <c r="B413" t="s">
        <v>2918</v>
      </c>
      <c r="C413" t="s">
        <v>3227</v>
      </c>
      <c r="D413" t="s">
        <v>2749</v>
      </c>
      <c r="E413" t="s">
        <v>2750</v>
      </c>
      <c r="F413" t="s">
        <v>2751</v>
      </c>
      <c r="G413" t="s">
        <v>2920</v>
      </c>
      <c r="H413" t="s">
        <v>2921</v>
      </c>
      <c r="I413">
        <v>1597300</v>
      </c>
      <c r="J413">
        <v>0</v>
      </c>
      <c r="K413" t="s">
        <v>3228</v>
      </c>
      <c r="L413" t="s">
        <v>3229</v>
      </c>
      <c r="M413">
        <v>1597298</v>
      </c>
      <c r="N413">
        <v>34</v>
      </c>
      <c r="O413">
        <v>25387.706999999999</v>
      </c>
      <c r="P413" t="s">
        <v>122</v>
      </c>
      <c r="Q413">
        <v>6</v>
      </c>
      <c r="R413">
        <v>9</v>
      </c>
      <c r="S413">
        <v>24</v>
      </c>
      <c r="T413">
        <v>37314628</v>
      </c>
      <c r="U413">
        <v>36</v>
      </c>
      <c r="V413">
        <v>123</v>
      </c>
      <c r="W413">
        <v>25387.707496248549</v>
      </c>
      <c r="X413">
        <v>37314629.789188273</v>
      </c>
      <c r="Y413">
        <v>1085720.0379999999</v>
      </c>
      <c r="Z413">
        <f>VLOOKUP($AC413,'2017 Seattle Tracts'!$C$2:$Z$399,24,FALSE)</f>
        <v>1597298.159</v>
      </c>
      <c r="AA413">
        <f t="shared" si="13"/>
        <v>0.67972283814546108</v>
      </c>
      <c r="AB413" t="s">
        <v>125</v>
      </c>
      <c r="AC413" t="str">
        <f t="shared" si="12"/>
        <v>Census Tract 27, King County, Washington</v>
      </c>
      <c r="AD413">
        <f>VLOOKUP($AC413,'2017 Seattle Tracts'!$C$2:$Z$399,AD$1,FALSE)*AA413</f>
        <v>4183.694068785313</v>
      </c>
      <c r="AE413">
        <f>VLOOKUP($AC413,'2017 Seattle Tracts'!$C$2:$Z$399,AE$1,FALSE)*AA413</f>
        <v>3650.1116408411262</v>
      </c>
      <c r="AF413">
        <f>VLOOKUP($AC413,'2017 Seattle Tracts'!$C$2:$Z$399,AF$1,FALSE)*AA413</f>
        <v>533.58242794418697</v>
      </c>
      <c r="AG413">
        <f>VLOOKUP($AC413,'2017 Seattle Tracts'!$C$2:$Z$399,AG$1,FALSE)*AA413</f>
        <v>4183.694068785313</v>
      </c>
      <c r="AH413">
        <f>VLOOKUP($AC413,'2017 Seattle Tracts'!$C$2:$Z$399,AH$1,FALSE)*AA413</f>
        <v>3650.1116408411262</v>
      </c>
      <c r="AI413">
        <f>VLOOKUP($AC413,'2017 Seattle Tracts'!$C$2:$Z$399,AI$1,FALSE)*AA413</f>
        <v>533.58242794418697</v>
      </c>
      <c r="AJ413">
        <f>VLOOKUP($AC413,'2017 Seattle Tracts'!$C$2:$Z$399,AJ$1,FALSE)*AA413</f>
        <v>2869.7898226501366</v>
      </c>
      <c r="AK413">
        <f>VLOOKUP($AC413,'2017 Seattle Tracts'!$C$2:$Z$399,AK$1,FALSE)*AA413</f>
        <v>233.82465632203861</v>
      </c>
      <c r="AL413">
        <f>VLOOKUP($AC413,'2017 Seattle Tracts'!$C$2:$Z$399,AL$1,FALSE)*AA413</f>
        <v>63.893946785673343</v>
      </c>
      <c r="AM413">
        <f>VLOOKUP($AC413,'2017 Seattle Tracts'!$C$2:$Z$399,AM$1,FALSE)*AA413</f>
        <v>18.35251662992745</v>
      </c>
      <c r="AN413">
        <f>VLOOKUP($AC413,'2017 Seattle Tracts'!$C$2:$Z$399,AN$1,FALSE)*AA413</f>
        <v>45.541430155745893</v>
      </c>
      <c r="AO413">
        <f>VLOOKUP($AC413,'2017 Seattle Tracts'!$C$2:$Z$399,AO$1,FALSE)*AA413</f>
        <v>14.274179601054684</v>
      </c>
      <c r="AP413">
        <f>VLOOKUP($AC413,'2017 Seattle Tracts'!$C$2:$Z$399,AP$1,FALSE)*AA413</f>
        <v>0.67972283814546108</v>
      </c>
      <c r="AQ413">
        <f>VLOOKUP($AC413,'2017 Seattle Tracts'!$C$2:$Z$399,AQ$1,FALSE)*AA413</f>
        <v>0</v>
      </c>
      <c r="AR413">
        <f>VLOOKUP($AC413,'2017 Seattle Tracts'!$C$2:$Z$399,AR$1,FALSE)*AA413</f>
        <v>261.01356984785707</v>
      </c>
      <c r="AS413">
        <f>VLOOKUP($AC413,'2017 Seattle Tracts'!$C$2:$Z$399,AS$1,FALSE)*AA413</f>
        <v>205.27629711992924</v>
      </c>
      <c r="AT413">
        <f>VLOOKUP($AC413,'2017 Seattle Tracts'!$C$2:$Z$399,AT$1,FALSE)*AA413</f>
        <v>0</v>
      </c>
      <c r="AU413">
        <f>VLOOKUP($AC413,'2017 Seattle Tracts'!$C$2:$Z$399,AU$1,FALSE)*AA413</f>
        <v>0</v>
      </c>
      <c r="AV413">
        <f>VLOOKUP($AC413,'2017 Seattle Tracts'!$C$2:$Z$399,AV$1,FALSE)*AA413</f>
        <v>29.228082040254826</v>
      </c>
      <c r="AW413">
        <f>VLOOKUP($AC413,'2017 Seattle Tracts'!$C$2:$Z$399,AW$1,FALSE)*AA413</f>
        <v>61.85477827123696</v>
      </c>
      <c r="AX413">
        <f>VLOOKUP($AC413,'2017 Seattle Tracts'!$C$2:$Z$399,AX$1,FALSE)*AA413</f>
        <v>379.96506652331277</v>
      </c>
      <c r="AY413">
        <f>VLOOKUP($AC413,'2017 Seattle Tracts'!$C$2:$Z$399,AY$1,FALSE)*AA413</f>
        <v>0</v>
      </c>
    </row>
    <row r="414" spans="1:51" x14ac:dyDescent="0.25">
      <c r="A414" t="s">
        <v>2917</v>
      </c>
      <c r="B414" t="s">
        <v>2918</v>
      </c>
      <c r="C414" t="s">
        <v>3227</v>
      </c>
      <c r="D414" t="s">
        <v>2749</v>
      </c>
      <c r="E414" t="s">
        <v>2750</v>
      </c>
      <c r="F414" t="s">
        <v>2751</v>
      </c>
      <c r="G414" t="s">
        <v>2920</v>
      </c>
      <c r="H414" t="s">
        <v>2921</v>
      </c>
      <c r="I414">
        <v>1597300</v>
      </c>
      <c r="J414">
        <v>0</v>
      </c>
      <c r="K414" t="s">
        <v>3228</v>
      </c>
      <c r="L414" t="s">
        <v>3229</v>
      </c>
      <c r="M414">
        <v>1597298</v>
      </c>
      <c r="N414">
        <v>41</v>
      </c>
      <c r="O414">
        <v>22865.453000000001</v>
      </c>
      <c r="P414" t="s">
        <v>122</v>
      </c>
      <c r="Q414">
        <v>4</v>
      </c>
      <c r="R414">
        <v>5</v>
      </c>
      <c r="S414">
        <v>95</v>
      </c>
      <c r="T414">
        <v>21491312</v>
      </c>
      <c r="U414">
        <v>43</v>
      </c>
      <c r="V414">
        <v>124</v>
      </c>
      <c r="W414">
        <v>22865.452635921651</v>
      </c>
      <c r="X414">
        <v>21491312.22830575</v>
      </c>
      <c r="Y414">
        <v>499417.95799999998</v>
      </c>
      <c r="Z414">
        <f>VLOOKUP($AC414,'2017 Seattle Tracts'!$C$2:$Z$399,24,FALSE)</f>
        <v>1597298.159</v>
      </c>
      <c r="AA414">
        <f t="shared" si="13"/>
        <v>0.31266420435409764</v>
      </c>
      <c r="AB414" t="s">
        <v>132</v>
      </c>
      <c r="AC414" t="str">
        <f t="shared" si="12"/>
        <v>Census Tract 27, King County, Washington</v>
      </c>
      <c r="AD414">
        <f>VLOOKUP($AC414,'2017 Seattle Tracts'!$C$2:$Z$399,AD$1,FALSE)*AA414</f>
        <v>1924.4481777994711</v>
      </c>
      <c r="AE414">
        <f>VLOOKUP($AC414,'2017 Seattle Tracts'!$C$2:$Z$399,AE$1,FALSE)*AA414</f>
        <v>1679.0067773815044</v>
      </c>
      <c r="AF414">
        <f>VLOOKUP($AC414,'2017 Seattle Tracts'!$C$2:$Z$399,AF$1,FALSE)*AA414</f>
        <v>245.44140041796666</v>
      </c>
      <c r="AG414">
        <f>VLOOKUP($AC414,'2017 Seattle Tracts'!$C$2:$Z$399,AG$1,FALSE)*AA414</f>
        <v>1924.4481777994711</v>
      </c>
      <c r="AH414">
        <f>VLOOKUP($AC414,'2017 Seattle Tracts'!$C$2:$Z$399,AH$1,FALSE)*AA414</f>
        <v>1679.0067773815044</v>
      </c>
      <c r="AI414">
        <f>VLOOKUP($AC414,'2017 Seattle Tracts'!$C$2:$Z$399,AI$1,FALSE)*AA414</f>
        <v>245.44140041796666</v>
      </c>
      <c r="AJ414">
        <f>VLOOKUP($AC414,'2017 Seattle Tracts'!$C$2:$Z$399,AJ$1,FALSE)*AA414</f>
        <v>1320.0682707830003</v>
      </c>
      <c r="AK414">
        <f>VLOOKUP($AC414,'2017 Seattle Tracts'!$C$2:$Z$399,AK$1,FALSE)*AA414</f>
        <v>107.55648629780958</v>
      </c>
      <c r="AL414">
        <f>VLOOKUP($AC414,'2017 Seattle Tracts'!$C$2:$Z$399,AL$1,FALSE)*AA414</f>
        <v>29.390435209285179</v>
      </c>
      <c r="AM414">
        <f>VLOOKUP($AC414,'2017 Seattle Tracts'!$C$2:$Z$399,AM$1,FALSE)*AA414</f>
        <v>8.4419335175606367</v>
      </c>
      <c r="AN414">
        <f>VLOOKUP($AC414,'2017 Seattle Tracts'!$C$2:$Z$399,AN$1,FALSE)*AA414</f>
        <v>20.948501691724541</v>
      </c>
      <c r="AO414">
        <f>VLOOKUP($AC414,'2017 Seattle Tracts'!$C$2:$Z$399,AO$1,FALSE)*AA414</f>
        <v>6.5659482914360501</v>
      </c>
      <c r="AP414">
        <f>VLOOKUP($AC414,'2017 Seattle Tracts'!$C$2:$Z$399,AP$1,FALSE)*AA414</f>
        <v>0.31266420435409764</v>
      </c>
      <c r="AQ414">
        <f>VLOOKUP($AC414,'2017 Seattle Tracts'!$C$2:$Z$399,AQ$1,FALSE)*AA414</f>
        <v>0</v>
      </c>
      <c r="AR414">
        <f>VLOOKUP($AC414,'2017 Seattle Tracts'!$C$2:$Z$399,AR$1,FALSE)*AA414</f>
        <v>120.06305447197349</v>
      </c>
      <c r="AS414">
        <f>VLOOKUP($AC414,'2017 Seattle Tracts'!$C$2:$Z$399,AS$1,FALSE)*AA414</f>
        <v>94.424589714937483</v>
      </c>
      <c r="AT414">
        <f>VLOOKUP($AC414,'2017 Seattle Tracts'!$C$2:$Z$399,AT$1,FALSE)*AA414</f>
        <v>0</v>
      </c>
      <c r="AU414">
        <f>VLOOKUP($AC414,'2017 Seattle Tracts'!$C$2:$Z$399,AU$1,FALSE)*AA414</f>
        <v>0</v>
      </c>
      <c r="AV414">
        <f>VLOOKUP($AC414,'2017 Seattle Tracts'!$C$2:$Z$399,AV$1,FALSE)*AA414</f>
        <v>13.444560787226198</v>
      </c>
      <c r="AW414">
        <f>VLOOKUP($AC414,'2017 Seattle Tracts'!$C$2:$Z$399,AW$1,FALSE)*AA414</f>
        <v>28.452442596222884</v>
      </c>
      <c r="AX414">
        <f>VLOOKUP($AC414,'2017 Seattle Tracts'!$C$2:$Z$399,AX$1,FALSE)*AA414</f>
        <v>174.77929023394057</v>
      </c>
      <c r="AY414">
        <f>VLOOKUP($AC414,'2017 Seattle Tracts'!$C$2:$Z$399,AY$1,FALSE)*AA414</f>
        <v>0</v>
      </c>
    </row>
    <row r="415" spans="1:51" x14ac:dyDescent="0.25">
      <c r="A415" t="s">
        <v>2917</v>
      </c>
      <c r="B415" t="s">
        <v>2918</v>
      </c>
      <c r="C415" t="s">
        <v>3227</v>
      </c>
      <c r="D415" t="s">
        <v>2749</v>
      </c>
      <c r="E415" t="s">
        <v>2750</v>
      </c>
      <c r="F415" t="s">
        <v>2751</v>
      </c>
      <c r="G415" t="s">
        <v>2920</v>
      </c>
      <c r="H415" t="s">
        <v>2921</v>
      </c>
      <c r="I415">
        <v>1597300</v>
      </c>
      <c r="J415">
        <v>0</v>
      </c>
      <c r="K415" t="s">
        <v>3228</v>
      </c>
      <c r="L415" t="s">
        <v>3229</v>
      </c>
      <c r="M415">
        <v>1597298</v>
      </c>
      <c r="N415">
        <v>115</v>
      </c>
      <c r="O415">
        <v>20132.898000000001</v>
      </c>
      <c r="P415" t="s">
        <v>215</v>
      </c>
      <c r="Q415">
        <v>2</v>
      </c>
      <c r="R415">
        <v>10</v>
      </c>
      <c r="S415">
        <v>9</v>
      </c>
      <c r="T415">
        <v>21704706</v>
      </c>
      <c r="U415">
        <v>117</v>
      </c>
      <c r="V415">
        <v>110</v>
      </c>
      <c r="W415">
        <v>20132.89824583329</v>
      </c>
      <c r="X415">
        <v>21704706.261455789</v>
      </c>
      <c r="Y415">
        <v>4103.4520000000002</v>
      </c>
      <c r="Z415">
        <f>VLOOKUP($AC415,'2017 Seattle Tracts'!$C$2:$Z$399,24,FALSE)</f>
        <v>1597298.159</v>
      </c>
      <c r="AA415">
        <f t="shared" si="13"/>
        <v>2.5689956360865E-3</v>
      </c>
      <c r="AB415" t="s">
        <v>218</v>
      </c>
      <c r="AC415" t="str">
        <f t="shared" si="12"/>
        <v>Census Tract 27, King County, Washington</v>
      </c>
      <c r="AD415">
        <f>VLOOKUP($AC415,'2017 Seattle Tracts'!$C$2:$Z$399,AD$1,FALSE)*AA415</f>
        <v>15.812168140112407</v>
      </c>
      <c r="AE415">
        <f>VLOOKUP($AC415,'2017 Seattle Tracts'!$C$2:$Z$399,AE$1,FALSE)*AA415</f>
        <v>13.795506565784505</v>
      </c>
      <c r="AF415">
        <f>VLOOKUP($AC415,'2017 Seattle Tracts'!$C$2:$Z$399,AF$1,FALSE)*AA415</f>
        <v>2.0166615743279026</v>
      </c>
      <c r="AG415">
        <f>VLOOKUP($AC415,'2017 Seattle Tracts'!$C$2:$Z$399,AG$1,FALSE)*AA415</f>
        <v>15.812168140112407</v>
      </c>
      <c r="AH415">
        <f>VLOOKUP($AC415,'2017 Seattle Tracts'!$C$2:$Z$399,AH$1,FALSE)*AA415</f>
        <v>13.795506565784505</v>
      </c>
      <c r="AI415">
        <f>VLOOKUP($AC415,'2017 Seattle Tracts'!$C$2:$Z$399,AI$1,FALSE)*AA415</f>
        <v>2.0166615743279026</v>
      </c>
      <c r="AJ415">
        <f>VLOOKUP($AC415,'2017 Seattle Tracts'!$C$2:$Z$399,AJ$1,FALSE)*AA415</f>
        <v>10.846299575557204</v>
      </c>
      <c r="AK415">
        <f>VLOOKUP($AC415,'2017 Seattle Tracts'!$C$2:$Z$399,AK$1,FALSE)*AA415</f>
        <v>0.88373449881375599</v>
      </c>
      <c r="AL415">
        <f>VLOOKUP($AC415,'2017 Seattle Tracts'!$C$2:$Z$399,AL$1,FALSE)*AA415</f>
        <v>0.241485589792131</v>
      </c>
      <c r="AM415">
        <f>VLOOKUP($AC415,'2017 Seattle Tracts'!$C$2:$Z$399,AM$1,FALSE)*AA415</f>
        <v>6.9362882174335505E-2</v>
      </c>
      <c r="AN415">
        <f>VLOOKUP($AC415,'2017 Seattle Tracts'!$C$2:$Z$399,AN$1,FALSE)*AA415</f>
        <v>0.1721227076177955</v>
      </c>
      <c r="AO415">
        <f>VLOOKUP($AC415,'2017 Seattle Tracts'!$C$2:$Z$399,AO$1,FALSE)*AA415</f>
        <v>5.3948908357816502E-2</v>
      </c>
      <c r="AP415">
        <f>VLOOKUP($AC415,'2017 Seattle Tracts'!$C$2:$Z$399,AP$1,FALSE)*AA415</f>
        <v>2.5689956360865E-3</v>
      </c>
      <c r="AQ415">
        <f>VLOOKUP($AC415,'2017 Seattle Tracts'!$C$2:$Z$399,AQ$1,FALSE)*AA415</f>
        <v>0</v>
      </c>
      <c r="AR415">
        <f>VLOOKUP($AC415,'2017 Seattle Tracts'!$C$2:$Z$399,AR$1,FALSE)*AA415</f>
        <v>0.98649432425721595</v>
      </c>
      <c r="AS415">
        <f>VLOOKUP($AC415,'2017 Seattle Tracts'!$C$2:$Z$399,AS$1,FALSE)*AA415</f>
        <v>0.77583668209812295</v>
      </c>
      <c r="AT415">
        <f>VLOOKUP($AC415,'2017 Seattle Tracts'!$C$2:$Z$399,AT$1,FALSE)*AA415</f>
        <v>0</v>
      </c>
      <c r="AU415">
        <f>VLOOKUP($AC415,'2017 Seattle Tracts'!$C$2:$Z$399,AU$1,FALSE)*AA415</f>
        <v>0</v>
      </c>
      <c r="AV415">
        <f>VLOOKUP($AC415,'2017 Seattle Tracts'!$C$2:$Z$399,AV$1,FALSE)*AA415</f>
        <v>0.1104668123517195</v>
      </c>
      <c r="AW415">
        <f>VLOOKUP($AC415,'2017 Seattle Tracts'!$C$2:$Z$399,AW$1,FALSE)*AA415</f>
        <v>0.23377860288387151</v>
      </c>
      <c r="AX415">
        <f>VLOOKUP($AC415,'2017 Seattle Tracts'!$C$2:$Z$399,AX$1,FALSE)*AA415</f>
        <v>1.4360685605723535</v>
      </c>
      <c r="AY415">
        <f>VLOOKUP($AC415,'2017 Seattle Tracts'!$C$2:$Z$399,AY$1,FALSE)*AA415</f>
        <v>0</v>
      </c>
    </row>
    <row r="416" spans="1:51" x14ac:dyDescent="0.25">
      <c r="A416" t="s">
        <v>2917</v>
      </c>
      <c r="B416" t="s">
        <v>2918</v>
      </c>
      <c r="C416" t="s">
        <v>3227</v>
      </c>
      <c r="D416" t="s">
        <v>2749</v>
      </c>
      <c r="E416" t="s">
        <v>2750</v>
      </c>
      <c r="F416" t="s">
        <v>2751</v>
      </c>
      <c r="G416" t="s">
        <v>2920</v>
      </c>
      <c r="H416" t="s">
        <v>2921</v>
      </c>
      <c r="I416">
        <v>1597300</v>
      </c>
      <c r="J416">
        <v>0</v>
      </c>
      <c r="K416" t="s">
        <v>3228</v>
      </c>
      <c r="L416" t="s">
        <v>3229</v>
      </c>
      <c r="M416">
        <v>1597298</v>
      </c>
      <c r="N416">
        <v>116</v>
      </c>
      <c r="O416">
        <v>25503.057000000001</v>
      </c>
      <c r="P416" t="s">
        <v>215</v>
      </c>
      <c r="Q416">
        <v>2</v>
      </c>
      <c r="R416">
        <v>10</v>
      </c>
      <c r="S416">
        <v>94</v>
      </c>
      <c r="T416">
        <v>34380472</v>
      </c>
      <c r="U416">
        <v>118</v>
      </c>
      <c r="V416">
        <v>112</v>
      </c>
      <c r="W416">
        <v>25503.057408269069</v>
      </c>
      <c r="X416">
        <v>34380470.782561153</v>
      </c>
      <c r="Y416">
        <v>4537.3040000000001</v>
      </c>
      <c r="Z416">
        <f>VLOOKUP($AC416,'2017 Seattle Tracts'!$C$2:$Z$399,24,FALSE)</f>
        <v>1597298.159</v>
      </c>
      <c r="AA416">
        <f t="shared" si="13"/>
        <v>2.8406118008929603E-3</v>
      </c>
      <c r="AB416" t="s">
        <v>219</v>
      </c>
      <c r="AC416" t="str">
        <f t="shared" si="12"/>
        <v>Census Tract 27, King County, Washington</v>
      </c>
      <c r="AD416">
        <f>VLOOKUP($AC416,'2017 Seattle Tracts'!$C$2:$Z$399,AD$1,FALSE)*AA416</f>
        <v>17.483965634496169</v>
      </c>
      <c r="AE416">
        <f>VLOOKUP($AC416,'2017 Seattle Tracts'!$C$2:$Z$399,AE$1,FALSE)*AA416</f>
        <v>15.254085370795197</v>
      </c>
      <c r="AF416">
        <f>VLOOKUP($AC416,'2017 Seattle Tracts'!$C$2:$Z$399,AF$1,FALSE)*AA416</f>
        <v>2.229880263700974</v>
      </c>
      <c r="AG416">
        <f>VLOOKUP($AC416,'2017 Seattle Tracts'!$C$2:$Z$399,AG$1,FALSE)*AA416</f>
        <v>17.483965634496169</v>
      </c>
      <c r="AH416">
        <f>VLOOKUP($AC416,'2017 Seattle Tracts'!$C$2:$Z$399,AH$1,FALSE)*AA416</f>
        <v>15.254085370795197</v>
      </c>
      <c r="AI416">
        <f>VLOOKUP($AC416,'2017 Seattle Tracts'!$C$2:$Z$399,AI$1,FALSE)*AA416</f>
        <v>2.229880263700974</v>
      </c>
      <c r="AJ416">
        <f>VLOOKUP($AC416,'2017 Seattle Tracts'!$C$2:$Z$399,AJ$1,FALSE)*AA416</f>
        <v>11.993063023370079</v>
      </c>
      <c r="AK416">
        <f>VLOOKUP($AC416,'2017 Seattle Tracts'!$C$2:$Z$399,AK$1,FALSE)*AA416</f>
        <v>0.97717045950717829</v>
      </c>
      <c r="AL416">
        <f>VLOOKUP($AC416,'2017 Seattle Tracts'!$C$2:$Z$399,AL$1,FALSE)*AA416</f>
        <v>0.26701750928393825</v>
      </c>
      <c r="AM416">
        <f>VLOOKUP($AC416,'2017 Seattle Tracts'!$C$2:$Z$399,AM$1,FALSE)*AA416</f>
        <v>7.6696518624109922E-2</v>
      </c>
      <c r="AN416">
        <f>VLOOKUP($AC416,'2017 Seattle Tracts'!$C$2:$Z$399,AN$1,FALSE)*AA416</f>
        <v>0.19032099065982833</v>
      </c>
      <c r="AO416">
        <f>VLOOKUP($AC416,'2017 Seattle Tracts'!$C$2:$Z$399,AO$1,FALSE)*AA416</f>
        <v>5.9652847818752165E-2</v>
      </c>
      <c r="AP416">
        <f>VLOOKUP($AC416,'2017 Seattle Tracts'!$C$2:$Z$399,AP$1,FALSE)*AA416</f>
        <v>2.8406118008929603E-3</v>
      </c>
      <c r="AQ416">
        <f>VLOOKUP($AC416,'2017 Seattle Tracts'!$C$2:$Z$399,AQ$1,FALSE)*AA416</f>
        <v>0</v>
      </c>
      <c r="AR416">
        <f>VLOOKUP($AC416,'2017 Seattle Tracts'!$C$2:$Z$399,AR$1,FALSE)*AA416</f>
        <v>1.0907949315428969</v>
      </c>
      <c r="AS416">
        <f>VLOOKUP($AC416,'2017 Seattle Tracts'!$C$2:$Z$399,AS$1,FALSE)*AA416</f>
        <v>0.85786476386967403</v>
      </c>
      <c r="AT416">
        <f>VLOOKUP($AC416,'2017 Seattle Tracts'!$C$2:$Z$399,AT$1,FALSE)*AA416</f>
        <v>0</v>
      </c>
      <c r="AU416">
        <f>VLOOKUP($AC416,'2017 Seattle Tracts'!$C$2:$Z$399,AU$1,FALSE)*AA416</f>
        <v>0</v>
      </c>
      <c r="AV416">
        <f>VLOOKUP($AC416,'2017 Seattle Tracts'!$C$2:$Z$399,AV$1,FALSE)*AA416</f>
        <v>0.12214630743839729</v>
      </c>
      <c r="AW416">
        <f>VLOOKUP($AC416,'2017 Seattle Tracts'!$C$2:$Z$399,AW$1,FALSE)*AA416</f>
        <v>0.25849567388125938</v>
      </c>
      <c r="AX416">
        <f>VLOOKUP($AC416,'2017 Seattle Tracts'!$C$2:$Z$399,AX$1,FALSE)*AA416</f>
        <v>1.5879019966991648</v>
      </c>
      <c r="AY416">
        <f>VLOOKUP($AC416,'2017 Seattle Tracts'!$C$2:$Z$399,AY$1,FALSE)*AA416</f>
        <v>0</v>
      </c>
    </row>
    <row r="417" spans="1:51" x14ac:dyDescent="0.25">
      <c r="A417" t="s">
        <v>2917</v>
      </c>
      <c r="B417" t="s">
        <v>2918</v>
      </c>
      <c r="C417" t="s">
        <v>3227</v>
      </c>
      <c r="D417" t="s">
        <v>2749</v>
      </c>
      <c r="E417" t="s">
        <v>2750</v>
      </c>
      <c r="F417" t="s">
        <v>2751</v>
      </c>
      <c r="G417" t="s">
        <v>2920</v>
      </c>
      <c r="H417" t="s">
        <v>2921</v>
      </c>
      <c r="I417">
        <v>1597300</v>
      </c>
      <c r="J417">
        <v>0</v>
      </c>
      <c r="K417" t="s">
        <v>3228</v>
      </c>
      <c r="L417" t="s">
        <v>3229</v>
      </c>
      <c r="M417">
        <v>1597298</v>
      </c>
      <c r="N417">
        <v>118</v>
      </c>
      <c r="O417">
        <v>26501.526999999998</v>
      </c>
      <c r="P417" t="s">
        <v>122</v>
      </c>
      <c r="Q417">
        <v>1</v>
      </c>
      <c r="R417">
        <v>2</v>
      </c>
      <c r="S417">
        <v>19</v>
      </c>
      <c r="T417">
        <v>42044564</v>
      </c>
      <c r="U417">
        <v>120</v>
      </c>
      <c r="V417">
        <v>115</v>
      </c>
      <c r="W417">
        <v>26501.526591104928</v>
      </c>
      <c r="X417">
        <v>42044563.673184253</v>
      </c>
      <c r="Y417">
        <v>3320.7449999999999</v>
      </c>
      <c r="Z417">
        <f>VLOOKUP($AC417,'2017 Seattle Tracts'!$C$2:$Z$399,24,FALSE)</f>
        <v>1597298.159</v>
      </c>
      <c r="AA417">
        <f t="shared" si="13"/>
        <v>2.0789762896108116E-3</v>
      </c>
      <c r="AB417" t="s">
        <v>221</v>
      </c>
      <c r="AC417" t="str">
        <f t="shared" si="12"/>
        <v>Census Tract 27, King County, Washington</v>
      </c>
      <c r="AD417">
        <f>VLOOKUP($AC417,'2017 Seattle Tracts'!$C$2:$Z$399,AD$1,FALSE)*AA417</f>
        <v>12.796099062554546</v>
      </c>
      <c r="AE417">
        <f>VLOOKUP($AC417,'2017 Seattle Tracts'!$C$2:$Z$399,AE$1,FALSE)*AA417</f>
        <v>11.164102675210058</v>
      </c>
      <c r="AF417">
        <f>VLOOKUP($AC417,'2017 Seattle Tracts'!$C$2:$Z$399,AF$1,FALSE)*AA417</f>
        <v>1.6319963873444872</v>
      </c>
      <c r="AG417">
        <f>VLOOKUP($AC417,'2017 Seattle Tracts'!$C$2:$Z$399,AG$1,FALSE)*AA417</f>
        <v>12.796099062554546</v>
      </c>
      <c r="AH417">
        <f>VLOOKUP($AC417,'2017 Seattle Tracts'!$C$2:$Z$399,AH$1,FALSE)*AA417</f>
        <v>11.164102675210058</v>
      </c>
      <c r="AI417">
        <f>VLOOKUP($AC417,'2017 Seattle Tracts'!$C$2:$Z$399,AI$1,FALSE)*AA417</f>
        <v>1.6319963873444872</v>
      </c>
      <c r="AJ417">
        <f>VLOOKUP($AC417,'2017 Seattle Tracts'!$C$2:$Z$399,AJ$1,FALSE)*AA417</f>
        <v>8.7774378947368472</v>
      </c>
      <c r="AK417">
        <f>VLOOKUP($AC417,'2017 Seattle Tracts'!$C$2:$Z$399,AK$1,FALSE)*AA417</f>
        <v>0.71516784362611918</v>
      </c>
      <c r="AL417">
        <f>VLOOKUP($AC417,'2017 Seattle Tracts'!$C$2:$Z$399,AL$1,FALSE)*AA417</f>
        <v>0.19542377122341628</v>
      </c>
      <c r="AM417">
        <f>VLOOKUP($AC417,'2017 Seattle Tracts'!$C$2:$Z$399,AM$1,FALSE)*AA417</f>
        <v>5.6132359819491912E-2</v>
      </c>
      <c r="AN417">
        <f>VLOOKUP($AC417,'2017 Seattle Tracts'!$C$2:$Z$399,AN$1,FALSE)*AA417</f>
        <v>0.13929141140392437</v>
      </c>
      <c r="AO417">
        <f>VLOOKUP($AC417,'2017 Seattle Tracts'!$C$2:$Z$399,AO$1,FALSE)*AA417</f>
        <v>4.3658502081827047E-2</v>
      </c>
      <c r="AP417">
        <f>VLOOKUP($AC417,'2017 Seattle Tracts'!$C$2:$Z$399,AP$1,FALSE)*AA417</f>
        <v>2.0789762896108116E-3</v>
      </c>
      <c r="AQ417">
        <f>VLOOKUP($AC417,'2017 Seattle Tracts'!$C$2:$Z$399,AQ$1,FALSE)*AA417</f>
        <v>0</v>
      </c>
      <c r="AR417">
        <f>VLOOKUP($AC417,'2017 Seattle Tracts'!$C$2:$Z$399,AR$1,FALSE)*AA417</f>
        <v>0.79832689521055167</v>
      </c>
      <c r="AS417">
        <f>VLOOKUP($AC417,'2017 Seattle Tracts'!$C$2:$Z$399,AS$1,FALSE)*AA417</f>
        <v>0.62785083946246512</v>
      </c>
      <c r="AT417">
        <f>VLOOKUP($AC417,'2017 Seattle Tracts'!$C$2:$Z$399,AT$1,FALSE)*AA417</f>
        <v>0</v>
      </c>
      <c r="AU417">
        <f>VLOOKUP($AC417,'2017 Seattle Tracts'!$C$2:$Z$399,AU$1,FALSE)*AA417</f>
        <v>0</v>
      </c>
      <c r="AV417">
        <f>VLOOKUP($AC417,'2017 Seattle Tracts'!$C$2:$Z$399,AV$1,FALSE)*AA417</f>
        <v>8.9395980453264898E-2</v>
      </c>
      <c r="AW417">
        <f>VLOOKUP($AC417,'2017 Seattle Tracts'!$C$2:$Z$399,AW$1,FALSE)*AA417</f>
        <v>0.18918684235458386</v>
      </c>
      <c r="AX417">
        <f>VLOOKUP($AC417,'2017 Seattle Tracts'!$C$2:$Z$399,AX$1,FALSE)*AA417</f>
        <v>1.1621477458924436</v>
      </c>
      <c r="AY417">
        <f>VLOOKUP($AC417,'2017 Seattle Tracts'!$C$2:$Z$399,AY$1,FALSE)*AA417</f>
        <v>0</v>
      </c>
    </row>
    <row r="418" spans="1:51" x14ac:dyDescent="0.25">
      <c r="A418" t="s">
        <v>2917</v>
      </c>
      <c r="B418" t="s">
        <v>2918</v>
      </c>
      <c r="C418" t="s">
        <v>3230</v>
      </c>
      <c r="D418" t="s">
        <v>2866</v>
      </c>
      <c r="E418" t="s">
        <v>2867</v>
      </c>
      <c r="F418" t="s">
        <v>2868</v>
      </c>
      <c r="G418" t="s">
        <v>2920</v>
      </c>
      <c r="H418" t="s">
        <v>2921</v>
      </c>
      <c r="I418">
        <v>1798893</v>
      </c>
      <c r="J418">
        <v>0</v>
      </c>
      <c r="K418" t="s">
        <v>3231</v>
      </c>
      <c r="L418" t="s">
        <v>3232</v>
      </c>
      <c r="M418">
        <v>1798894</v>
      </c>
      <c r="N418">
        <v>67</v>
      </c>
      <c r="O418">
        <v>49792.156000000003</v>
      </c>
      <c r="P418" t="s">
        <v>122</v>
      </c>
      <c r="Q418">
        <v>18</v>
      </c>
      <c r="R418">
        <v>12</v>
      </c>
      <c r="S418">
        <v>23</v>
      </c>
      <c r="T418">
        <v>82845392</v>
      </c>
      <c r="U418">
        <v>69</v>
      </c>
      <c r="V418">
        <v>167</v>
      </c>
      <c r="W418">
        <v>49792.15483538049</v>
      </c>
      <c r="X418">
        <v>82845389.347022861</v>
      </c>
      <c r="Y418">
        <v>3854.402</v>
      </c>
      <c r="Z418">
        <f>VLOOKUP($AC418,'2017 Seattle Tracts'!$C$2:$Z$399,24,FALSE)</f>
        <v>1798893.514</v>
      </c>
      <c r="AA418">
        <f t="shared" si="13"/>
        <v>2.1426515633098226E-3</v>
      </c>
      <c r="AB418" t="s">
        <v>165</v>
      </c>
      <c r="AC418" t="str">
        <f t="shared" si="12"/>
        <v>Census Tract 104.02, King County, Washington</v>
      </c>
      <c r="AD418">
        <f>VLOOKUP($AC418,'2017 Seattle Tracts'!$C$2:$Z$399,AD$1,FALSE)*AA418</f>
        <v>10.580413419623904</v>
      </c>
      <c r="AE418">
        <f>VLOOKUP($AC418,'2017 Seattle Tracts'!$C$2:$Z$399,AE$1,FALSE)*AA418</f>
        <v>5.9629993006912363</v>
      </c>
      <c r="AF418">
        <f>VLOOKUP($AC418,'2017 Seattle Tracts'!$C$2:$Z$399,AF$1,FALSE)*AA418</f>
        <v>4.6174141189326674</v>
      </c>
      <c r="AG418">
        <f>VLOOKUP($AC418,'2017 Seattle Tracts'!$C$2:$Z$399,AG$1,FALSE)*AA418</f>
        <v>10.580413419623904</v>
      </c>
      <c r="AH418">
        <f>VLOOKUP($AC418,'2017 Seattle Tracts'!$C$2:$Z$399,AH$1,FALSE)*AA418</f>
        <v>5.9629993006912363</v>
      </c>
      <c r="AI418">
        <f>VLOOKUP($AC418,'2017 Seattle Tracts'!$C$2:$Z$399,AI$1,FALSE)*AA418</f>
        <v>4.6174141189326674</v>
      </c>
      <c r="AJ418">
        <f>VLOOKUP($AC418,'2017 Seattle Tracts'!$C$2:$Z$399,AJ$1,FALSE)*AA418</f>
        <v>2.5069023290724926</v>
      </c>
      <c r="AK418">
        <f>VLOOKUP($AC418,'2017 Seattle Tracts'!$C$2:$Z$399,AK$1,FALSE)*AA418</f>
        <v>0.20140924695112333</v>
      </c>
      <c r="AL418">
        <f>VLOOKUP($AC418,'2017 Seattle Tracts'!$C$2:$Z$399,AL$1,FALSE)*AA418</f>
        <v>8.9991365659012543E-2</v>
      </c>
      <c r="AM418">
        <f>VLOOKUP($AC418,'2017 Seattle Tracts'!$C$2:$Z$399,AM$1,FALSE)*AA418</f>
        <v>0.54423349708069491</v>
      </c>
      <c r="AN418">
        <f>VLOOKUP($AC418,'2017 Seattle Tracts'!$C$2:$Z$399,AN$1,FALSE)*AA418</f>
        <v>0.6877911518224531</v>
      </c>
      <c r="AO418">
        <f>VLOOKUP($AC418,'2017 Seattle Tracts'!$C$2:$Z$399,AO$1,FALSE)*AA418</f>
        <v>0.20569455007774295</v>
      </c>
      <c r="AP418">
        <f>VLOOKUP($AC418,'2017 Seattle Tracts'!$C$2:$Z$399,AP$1,FALSE)*AA418</f>
        <v>0</v>
      </c>
      <c r="AQ418">
        <f>VLOOKUP($AC418,'2017 Seattle Tracts'!$C$2:$Z$399,AQ$1,FALSE)*AA418</f>
        <v>0</v>
      </c>
      <c r="AR418">
        <f>VLOOKUP($AC418,'2017 Seattle Tracts'!$C$2:$Z$399,AR$1,FALSE)*AA418</f>
        <v>1.8598215569529259</v>
      </c>
      <c r="AS418">
        <f>VLOOKUP($AC418,'2017 Seattle Tracts'!$C$2:$Z$399,AS$1,FALSE)*AA418</f>
        <v>3.4282425012957161</v>
      </c>
      <c r="AT418">
        <f>VLOOKUP($AC418,'2017 Seattle Tracts'!$C$2:$Z$399,AT$1,FALSE)*AA418</f>
        <v>0</v>
      </c>
      <c r="AU418">
        <f>VLOOKUP($AC418,'2017 Seattle Tracts'!$C$2:$Z$399,AU$1,FALSE)*AA418</f>
        <v>0</v>
      </c>
      <c r="AV418">
        <f>VLOOKUP($AC418,'2017 Seattle Tracts'!$C$2:$Z$399,AV$1,FALSE)*AA418</f>
        <v>0.20569455007774295</v>
      </c>
      <c r="AW418">
        <f>VLOOKUP($AC418,'2017 Seattle Tracts'!$C$2:$Z$399,AW$1,FALSE)*AA418</f>
        <v>0.13498704848851883</v>
      </c>
      <c r="AX418">
        <f>VLOOKUP($AC418,'2017 Seattle Tracts'!$C$2:$Z$399,AX$1,FALSE)*AA418</f>
        <v>0.6127983471066093</v>
      </c>
      <c r="AY418">
        <f>VLOOKUP($AC418,'2017 Seattle Tracts'!$C$2:$Z$399,AY$1,FALSE)*AA418</f>
        <v>0.10284727503887148</v>
      </c>
    </row>
    <row r="419" spans="1:51" x14ac:dyDescent="0.25">
      <c r="A419" t="s">
        <v>2917</v>
      </c>
      <c r="B419" t="s">
        <v>2918</v>
      </c>
      <c r="C419" t="s">
        <v>3230</v>
      </c>
      <c r="D419" t="s">
        <v>2866</v>
      </c>
      <c r="E419" t="s">
        <v>2867</v>
      </c>
      <c r="F419" t="s">
        <v>2868</v>
      </c>
      <c r="G419" t="s">
        <v>2920</v>
      </c>
      <c r="H419" t="s">
        <v>2921</v>
      </c>
      <c r="I419">
        <v>1798893</v>
      </c>
      <c r="J419">
        <v>0</v>
      </c>
      <c r="K419" t="s">
        <v>3231</v>
      </c>
      <c r="L419" t="s">
        <v>3232</v>
      </c>
      <c r="M419">
        <v>1798894</v>
      </c>
      <c r="N419">
        <v>68</v>
      </c>
      <c r="O419">
        <v>45963.663999999997</v>
      </c>
      <c r="P419" t="s">
        <v>122</v>
      </c>
      <c r="Q419">
        <v>18</v>
      </c>
      <c r="R419">
        <v>12</v>
      </c>
      <c r="S419">
        <v>81</v>
      </c>
      <c r="T419">
        <v>51305072</v>
      </c>
      <c r="U419">
        <v>70</v>
      </c>
      <c r="V419">
        <v>177</v>
      </c>
      <c r="W419">
        <v>45963.665676960663</v>
      </c>
      <c r="X419">
        <v>51305072.646258257</v>
      </c>
      <c r="Y419">
        <v>1064.548</v>
      </c>
      <c r="Z419">
        <f>VLOOKUP($AC419,'2017 Seattle Tracts'!$C$2:$Z$399,24,FALSE)</f>
        <v>1798893.514</v>
      </c>
      <c r="AA419">
        <f t="shared" si="13"/>
        <v>5.9177933085815778E-4</v>
      </c>
      <c r="AB419" t="s">
        <v>166</v>
      </c>
      <c r="AC419" t="str">
        <f t="shared" si="12"/>
        <v>Census Tract 104.02, King County, Washington</v>
      </c>
      <c r="AD419">
        <f>VLOOKUP($AC419,'2017 Seattle Tracts'!$C$2:$Z$399,AD$1,FALSE)*AA419</f>
        <v>2.9222063357775832</v>
      </c>
      <c r="AE419">
        <f>VLOOKUP($AC419,'2017 Seattle Tracts'!$C$2:$Z$399,AE$1,FALSE)*AA419</f>
        <v>1.6469218777782531</v>
      </c>
      <c r="AF419">
        <f>VLOOKUP($AC419,'2017 Seattle Tracts'!$C$2:$Z$399,AF$1,FALSE)*AA419</f>
        <v>1.2752844579993301</v>
      </c>
      <c r="AG419">
        <f>VLOOKUP($AC419,'2017 Seattle Tracts'!$C$2:$Z$399,AG$1,FALSE)*AA419</f>
        <v>2.9222063357775832</v>
      </c>
      <c r="AH419">
        <f>VLOOKUP($AC419,'2017 Seattle Tracts'!$C$2:$Z$399,AH$1,FALSE)*AA419</f>
        <v>1.6469218777782531</v>
      </c>
      <c r="AI419">
        <f>VLOOKUP($AC419,'2017 Seattle Tracts'!$C$2:$Z$399,AI$1,FALSE)*AA419</f>
        <v>1.2752844579993301</v>
      </c>
      <c r="AJ419">
        <f>VLOOKUP($AC419,'2017 Seattle Tracts'!$C$2:$Z$399,AJ$1,FALSE)*AA419</f>
        <v>0.69238181710404456</v>
      </c>
      <c r="AK419">
        <f>VLOOKUP($AC419,'2017 Seattle Tracts'!$C$2:$Z$399,AK$1,FALSE)*AA419</f>
        <v>5.5627257100666828E-2</v>
      </c>
      <c r="AL419">
        <f>VLOOKUP($AC419,'2017 Seattle Tracts'!$C$2:$Z$399,AL$1,FALSE)*AA419</f>
        <v>2.4854731896042627E-2</v>
      </c>
      <c r="AM419">
        <f>VLOOKUP($AC419,'2017 Seattle Tracts'!$C$2:$Z$399,AM$1,FALSE)*AA419</f>
        <v>0.15031195003797207</v>
      </c>
      <c r="AN419">
        <f>VLOOKUP($AC419,'2017 Seattle Tracts'!$C$2:$Z$399,AN$1,FALSE)*AA419</f>
        <v>0.18996116520546866</v>
      </c>
      <c r="AO419">
        <f>VLOOKUP($AC419,'2017 Seattle Tracts'!$C$2:$Z$399,AO$1,FALSE)*AA419</f>
        <v>5.6810815762383143E-2</v>
      </c>
      <c r="AP419">
        <f>VLOOKUP($AC419,'2017 Seattle Tracts'!$C$2:$Z$399,AP$1,FALSE)*AA419</f>
        <v>0</v>
      </c>
      <c r="AQ419">
        <f>VLOOKUP($AC419,'2017 Seattle Tracts'!$C$2:$Z$399,AQ$1,FALSE)*AA419</f>
        <v>0</v>
      </c>
      <c r="AR419">
        <f>VLOOKUP($AC419,'2017 Seattle Tracts'!$C$2:$Z$399,AR$1,FALSE)*AA419</f>
        <v>0.51366445918488091</v>
      </c>
      <c r="AS419">
        <f>VLOOKUP($AC419,'2017 Seattle Tracts'!$C$2:$Z$399,AS$1,FALSE)*AA419</f>
        <v>0.94684692937305248</v>
      </c>
      <c r="AT419">
        <f>VLOOKUP($AC419,'2017 Seattle Tracts'!$C$2:$Z$399,AT$1,FALSE)*AA419</f>
        <v>0</v>
      </c>
      <c r="AU419">
        <f>VLOOKUP($AC419,'2017 Seattle Tracts'!$C$2:$Z$399,AU$1,FALSE)*AA419</f>
        <v>0</v>
      </c>
      <c r="AV419">
        <f>VLOOKUP($AC419,'2017 Seattle Tracts'!$C$2:$Z$399,AV$1,FALSE)*AA419</f>
        <v>5.6810815762383143E-2</v>
      </c>
      <c r="AW419">
        <f>VLOOKUP($AC419,'2017 Seattle Tracts'!$C$2:$Z$399,AW$1,FALSE)*AA419</f>
        <v>3.7282097844063937E-2</v>
      </c>
      <c r="AX419">
        <f>VLOOKUP($AC419,'2017 Seattle Tracts'!$C$2:$Z$399,AX$1,FALSE)*AA419</f>
        <v>0.16924888862543314</v>
      </c>
      <c r="AY419">
        <f>VLOOKUP($AC419,'2017 Seattle Tracts'!$C$2:$Z$399,AY$1,FALSE)*AA419</f>
        <v>2.8405407881191572E-2</v>
      </c>
    </row>
    <row r="420" spans="1:51" x14ac:dyDescent="0.25">
      <c r="A420" t="s">
        <v>2917</v>
      </c>
      <c r="B420" t="s">
        <v>2918</v>
      </c>
      <c r="C420" t="s">
        <v>3230</v>
      </c>
      <c r="D420" t="s">
        <v>2866</v>
      </c>
      <c r="E420" t="s">
        <v>2867</v>
      </c>
      <c r="F420" t="s">
        <v>2868</v>
      </c>
      <c r="G420" t="s">
        <v>2920</v>
      </c>
      <c r="H420" t="s">
        <v>2921</v>
      </c>
      <c r="I420">
        <v>1798893</v>
      </c>
      <c r="J420">
        <v>0</v>
      </c>
      <c r="K420" t="s">
        <v>3231</v>
      </c>
      <c r="L420" t="s">
        <v>3232</v>
      </c>
      <c r="M420">
        <v>1798894</v>
      </c>
      <c r="N420">
        <v>79</v>
      </c>
      <c r="O420">
        <v>33865.487999999998</v>
      </c>
      <c r="P420" t="s">
        <v>179</v>
      </c>
      <c r="Q420">
        <v>17</v>
      </c>
      <c r="R420">
        <v>5</v>
      </c>
      <c r="S420">
        <v>9</v>
      </c>
      <c r="T420">
        <v>48475916</v>
      </c>
      <c r="U420">
        <v>81</v>
      </c>
      <c r="V420">
        <v>166</v>
      </c>
      <c r="W420">
        <v>33865.489173990143</v>
      </c>
      <c r="X420">
        <v>48475914.455668777</v>
      </c>
      <c r="Y420">
        <v>86.65</v>
      </c>
      <c r="Z420">
        <f>VLOOKUP($AC420,'2017 Seattle Tracts'!$C$2:$Z$399,24,FALSE)</f>
        <v>1798893.514</v>
      </c>
      <c r="AA420">
        <f t="shared" si="13"/>
        <v>4.816849876084439E-5</v>
      </c>
      <c r="AB420" t="s">
        <v>178</v>
      </c>
      <c r="AC420" t="str">
        <f t="shared" si="12"/>
        <v>Census Tract 104.02, King County, Washington</v>
      </c>
      <c r="AD420">
        <f>VLOOKUP($AC420,'2017 Seattle Tracts'!$C$2:$Z$399,AD$1,FALSE)*AA420</f>
        <v>0.23785604688104961</v>
      </c>
      <c r="AE420">
        <f>VLOOKUP($AC420,'2017 Seattle Tracts'!$C$2:$Z$399,AE$1,FALSE)*AA420</f>
        <v>0.13405293205142993</v>
      </c>
      <c r="AF420">
        <f>VLOOKUP($AC420,'2017 Seattle Tracts'!$C$2:$Z$399,AF$1,FALSE)*AA420</f>
        <v>0.10380311482961967</v>
      </c>
      <c r="AG420">
        <f>VLOOKUP($AC420,'2017 Seattle Tracts'!$C$2:$Z$399,AG$1,FALSE)*AA420</f>
        <v>0.23785604688104961</v>
      </c>
      <c r="AH420">
        <f>VLOOKUP($AC420,'2017 Seattle Tracts'!$C$2:$Z$399,AH$1,FALSE)*AA420</f>
        <v>0.13405293205142993</v>
      </c>
      <c r="AI420">
        <f>VLOOKUP($AC420,'2017 Seattle Tracts'!$C$2:$Z$399,AI$1,FALSE)*AA420</f>
        <v>0.10380311482961967</v>
      </c>
      <c r="AJ420">
        <f>VLOOKUP($AC420,'2017 Seattle Tracts'!$C$2:$Z$399,AJ$1,FALSE)*AA420</f>
        <v>5.6357143550187935E-2</v>
      </c>
      <c r="AK420">
        <f>VLOOKUP($AC420,'2017 Seattle Tracts'!$C$2:$Z$399,AK$1,FALSE)*AA420</f>
        <v>4.5278388835193724E-3</v>
      </c>
      <c r="AL420">
        <f>VLOOKUP($AC420,'2017 Seattle Tracts'!$C$2:$Z$399,AL$1,FALSE)*AA420</f>
        <v>2.0230769479554645E-3</v>
      </c>
      <c r="AM420">
        <f>VLOOKUP($AC420,'2017 Seattle Tracts'!$C$2:$Z$399,AM$1,FALSE)*AA420</f>
        <v>1.2234798685254475E-2</v>
      </c>
      <c r="AN420">
        <f>VLOOKUP($AC420,'2017 Seattle Tracts'!$C$2:$Z$399,AN$1,FALSE)*AA420</f>
        <v>1.5462088102231049E-2</v>
      </c>
      <c r="AO420">
        <f>VLOOKUP($AC420,'2017 Seattle Tracts'!$C$2:$Z$399,AO$1,FALSE)*AA420</f>
        <v>4.6241758810410616E-3</v>
      </c>
      <c r="AP420">
        <f>VLOOKUP($AC420,'2017 Seattle Tracts'!$C$2:$Z$399,AP$1,FALSE)*AA420</f>
        <v>0</v>
      </c>
      <c r="AQ420">
        <f>VLOOKUP($AC420,'2017 Seattle Tracts'!$C$2:$Z$399,AQ$1,FALSE)*AA420</f>
        <v>0</v>
      </c>
      <c r="AR420">
        <f>VLOOKUP($AC420,'2017 Seattle Tracts'!$C$2:$Z$399,AR$1,FALSE)*AA420</f>
        <v>4.1810256924412932E-2</v>
      </c>
      <c r="AS420">
        <f>VLOOKUP($AC420,'2017 Seattle Tracts'!$C$2:$Z$399,AS$1,FALSE)*AA420</f>
        <v>7.7069598017351026E-2</v>
      </c>
      <c r="AT420">
        <f>VLOOKUP($AC420,'2017 Seattle Tracts'!$C$2:$Z$399,AT$1,FALSE)*AA420</f>
        <v>0</v>
      </c>
      <c r="AU420">
        <f>VLOOKUP($AC420,'2017 Seattle Tracts'!$C$2:$Z$399,AU$1,FALSE)*AA420</f>
        <v>0</v>
      </c>
      <c r="AV420">
        <f>VLOOKUP($AC420,'2017 Seattle Tracts'!$C$2:$Z$399,AV$1,FALSE)*AA420</f>
        <v>4.6241758810410616E-3</v>
      </c>
      <c r="AW420">
        <f>VLOOKUP($AC420,'2017 Seattle Tracts'!$C$2:$Z$399,AW$1,FALSE)*AA420</f>
        <v>3.0346154219331963E-3</v>
      </c>
      <c r="AX420">
        <f>VLOOKUP($AC420,'2017 Seattle Tracts'!$C$2:$Z$399,AX$1,FALSE)*AA420</f>
        <v>1.3776190645601495E-2</v>
      </c>
      <c r="AY420">
        <f>VLOOKUP($AC420,'2017 Seattle Tracts'!$C$2:$Z$399,AY$1,FALSE)*AA420</f>
        <v>2.3120879405205308E-3</v>
      </c>
    </row>
    <row r="421" spans="1:51" x14ac:dyDescent="0.25">
      <c r="A421" t="s">
        <v>2917</v>
      </c>
      <c r="B421" t="s">
        <v>2918</v>
      </c>
      <c r="C421" t="s">
        <v>3230</v>
      </c>
      <c r="D421" t="s">
        <v>2866</v>
      </c>
      <c r="E421" t="s">
        <v>2867</v>
      </c>
      <c r="F421" t="s">
        <v>2868</v>
      </c>
      <c r="G421" t="s">
        <v>2920</v>
      </c>
      <c r="H421" t="s">
        <v>2921</v>
      </c>
      <c r="I421">
        <v>1798893</v>
      </c>
      <c r="J421">
        <v>0</v>
      </c>
      <c r="K421" t="s">
        <v>3231</v>
      </c>
      <c r="L421" t="s">
        <v>3232</v>
      </c>
      <c r="M421">
        <v>1798894</v>
      </c>
      <c r="N421">
        <v>80</v>
      </c>
      <c r="O421">
        <v>40522.184000000001</v>
      </c>
      <c r="P421" t="s">
        <v>179</v>
      </c>
      <c r="Q421">
        <v>17</v>
      </c>
      <c r="R421">
        <v>5</v>
      </c>
      <c r="S421">
        <v>95</v>
      </c>
      <c r="T421">
        <v>52620472</v>
      </c>
      <c r="U421">
        <v>82</v>
      </c>
      <c r="V421">
        <v>172</v>
      </c>
      <c r="W421">
        <v>40522.182927532267</v>
      </c>
      <c r="X421">
        <v>52620470.788550943</v>
      </c>
      <c r="Y421">
        <v>1749986.6610000001</v>
      </c>
      <c r="Z421">
        <f>VLOOKUP($AC421,'2017 Seattle Tracts'!$C$2:$Z$399,24,FALSE)</f>
        <v>1798893.514</v>
      </c>
      <c r="AA421">
        <f t="shared" si="13"/>
        <v>0.9728128137550226</v>
      </c>
      <c r="AB421" t="s">
        <v>180</v>
      </c>
      <c r="AC421" t="str">
        <f t="shared" si="12"/>
        <v>Census Tract 104.02, King County, Washington</v>
      </c>
      <c r="AD421">
        <f>VLOOKUP($AC421,'2017 Seattle Tracts'!$C$2:$Z$399,AD$1,FALSE)*AA421</f>
        <v>4803.7496743223019</v>
      </c>
      <c r="AE421">
        <f>VLOOKUP($AC421,'2017 Seattle Tracts'!$C$2:$Z$399,AE$1,FALSE)*AA421</f>
        <v>2707.338060680228</v>
      </c>
      <c r="AF421">
        <f>VLOOKUP($AC421,'2017 Seattle Tracts'!$C$2:$Z$399,AF$1,FALSE)*AA421</f>
        <v>2096.4116136420739</v>
      </c>
      <c r="AG421">
        <f>VLOOKUP($AC421,'2017 Seattle Tracts'!$C$2:$Z$399,AG$1,FALSE)*AA421</f>
        <v>4803.7496743223019</v>
      </c>
      <c r="AH421">
        <f>VLOOKUP($AC421,'2017 Seattle Tracts'!$C$2:$Z$399,AH$1,FALSE)*AA421</f>
        <v>2707.338060680228</v>
      </c>
      <c r="AI421">
        <f>VLOOKUP($AC421,'2017 Seattle Tracts'!$C$2:$Z$399,AI$1,FALSE)*AA421</f>
        <v>2096.4116136420739</v>
      </c>
      <c r="AJ421">
        <f>VLOOKUP($AC421,'2017 Seattle Tracts'!$C$2:$Z$399,AJ$1,FALSE)*AA421</f>
        <v>1138.1909920933765</v>
      </c>
      <c r="AK421">
        <f>VLOOKUP($AC421,'2017 Seattle Tracts'!$C$2:$Z$399,AK$1,FALSE)*AA421</f>
        <v>91.444404492972126</v>
      </c>
      <c r="AL421">
        <f>VLOOKUP($AC421,'2017 Seattle Tracts'!$C$2:$Z$399,AL$1,FALSE)*AA421</f>
        <v>40.858138177710948</v>
      </c>
      <c r="AM421">
        <f>VLOOKUP($AC421,'2017 Seattle Tracts'!$C$2:$Z$399,AM$1,FALSE)*AA421</f>
        <v>247.09445469377573</v>
      </c>
      <c r="AN421">
        <f>VLOOKUP($AC421,'2017 Seattle Tracts'!$C$2:$Z$399,AN$1,FALSE)*AA421</f>
        <v>312.27291321536228</v>
      </c>
      <c r="AO421">
        <f>VLOOKUP($AC421,'2017 Seattle Tracts'!$C$2:$Z$399,AO$1,FALSE)*AA421</f>
        <v>93.390030120482166</v>
      </c>
      <c r="AP421">
        <f>VLOOKUP($AC421,'2017 Seattle Tracts'!$C$2:$Z$399,AP$1,FALSE)*AA421</f>
        <v>0</v>
      </c>
      <c r="AQ421">
        <f>VLOOKUP($AC421,'2017 Seattle Tracts'!$C$2:$Z$399,AQ$1,FALSE)*AA421</f>
        <v>0</v>
      </c>
      <c r="AR421">
        <f>VLOOKUP($AC421,'2017 Seattle Tracts'!$C$2:$Z$399,AR$1,FALSE)*AA421</f>
        <v>844.40152233935964</v>
      </c>
      <c r="AS421">
        <f>VLOOKUP($AC421,'2017 Seattle Tracts'!$C$2:$Z$399,AS$1,FALSE)*AA421</f>
        <v>1556.5005020080362</v>
      </c>
      <c r="AT421">
        <f>VLOOKUP($AC421,'2017 Seattle Tracts'!$C$2:$Z$399,AT$1,FALSE)*AA421</f>
        <v>0</v>
      </c>
      <c r="AU421">
        <f>VLOOKUP($AC421,'2017 Seattle Tracts'!$C$2:$Z$399,AU$1,FALSE)*AA421</f>
        <v>0</v>
      </c>
      <c r="AV421">
        <f>VLOOKUP($AC421,'2017 Seattle Tracts'!$C$2:$Z$399,AV$1,FALSE)*AA421</f>
        <v>93.390030120482166</v>
      </c>
      <c r="AW421">
        <f>VLOOKUP($AC421,'2017 Seattle Tracts'!$C$2:$Z$399,AW$1,FALSE)*AA421</f>
        <v>61.287207266566426</v>
      </c>
      <c r="AX421">
        <f>VLOOKUP($AC421,'2017 Seattle Tracts'!$C$2:$Z$399,AX$1,FALSE)*AA421</f>
        <v>278.22446473393649</v>
      </c>
      <c r="AY421">
        <f>VLOOKUP($AC421,'2017 Seattle Tracts'!$C$2:$Z$399,AY$1,FALSE)*AA421</f>
        <v>46.695015060241083</v>
      </c>
    </row>
    <row r="422" spans="1:51" x14ac:dyDescent="0.25">
      <c r="A422" t="s">
        <v>2917</v>
      </c>
      <c r="B422" t="s">
        <v>2918</v>
      </c>
      <c r="C422" t="s">
        <v>3230</v>
      </c>
      <c r="D422" t="s">
        <v>2866</v>
      </c>
      <c r="E422" t="s">
        <v>2867</v>
      </c>
      <c r="F422" t="s">
        <v>2868</v>
      </c>
      <c r="G422" t="s">
        <v>2920</v>
      </c>
      <c r="H422" t="s">
        <v>2921</v>
      </c>
      <c r="I422">
        <v>1798893</v>
      </c>
      <c r="J422">
        <v>0</v>
      </c>
      <c r="K422" t="s">
        <v>3231</v>
      </c>
      <c r="L422" t="s">
        <v>3232</v>
      </c>
      <c r="M422">
        <v>1798894</v>
      </c>
      <c r="N422">
        <v>81</v>
      </c>
      <c r="O422">
        <v>38996.714999999997</v>
      </c>
      <c r="P422" t="s">
        <v>179</v>
      </c>
      <c r="Q422">
        <v>17</v>
      </c>
      <c r="R422">
        <v>5</v>
      </c>
      <c r="S422">
        <v>23</v>
      </c>
      <c r="T422">
        <v>38448828</v>
      </c>
      <c r="U422">
        <v>83</v>
      </c>
      <c r="V422">
        <v>183</v>
      </c>
      <c r="W422">
        <v>38996.715107084907</v>
      </c>
      <c r="X422">
        <v>38448826.89896398</v>
      </c>
      <c r="Y422">
        <v>43892.733</v>
      </c>
      <c r="Z422">
        <f>VLOOKUP($AC422,'2017 Seattle Tracts'!$C$2:$Z$399,24,FALSE)</f>
        <v>1798893.514</v>
      </c>
      <c r="AA422">
        <f t="shared" si="13"/>
        <v>2.4399850607277247E-2</v>
      </c>
      <c r="AB422" t="s">
        <v>181</v>
      </c>
      <c r="AC422" t="str">
        <f t="shared" si="12"/>
        <v>Census Tract 104.02, King County, Washington</v>
      </c>
      <c r="AD422">
        <f>VLOOKUP($AC422,'2017 Seattle Tracts'!$C$2:$Z$399,AD$1,FALSE)*AA422</f>
        <v>120.48646229873505</v>
      </c>
      <c r="AE422">
        <f>VLOOKUP($AC422,'2017 Seattle Tracts'!$C$2:$Z$399,AE$1,FALSE)*AA422</f>
        <v>67.904784240052578</v>
      </c>
      <c r="AF422">
        <f>VLOOKUP($AC422,'2017 Seattle Tracts'!$C$2:$Z$399,AF$1,FALSE)*AA422</f>
        <v>52.581678058682463</v>
      </c>
      <c r="AG422">
        <f>VLOOKUP($AC422,'2017 Seattle Tracts'!$C$2:$Z$399,AG$1,FALSE)*AA422</f>
        <v>120.48646229873505</v>
      </c>
      <c r="AH422">
        <f>VLOOKUP($AC422,'2017 Seattle Tracts'!$C$2:$Z$399,AH$1,FALSE)*AA422</f>
        <v>67.904784240052578</v>
      </c>
      <c r="AI422">
        <f>VLOOKUP($AC422,'2017 Seattle Tracts'!$C$2:$Z$399,AI$1,FALSE)*AA422</f>
        <v>52.581678058682463</v>
      </c>
      <c r="AJ422">
        <f>VLOOKUP($AC422,'2017 Seattle Tracts'!$C$2:$Z$399,AJ$1,FALSE)*AA422</f>
        <v>28.547825210514379</v>
      </c>
      <c r="AK422">
        <f>VLOOKUP($AC422,'2017 Seattle Tracts'!$C$2:$Z$399,AK$1,FALSE)*AA422</f>
        <v>2.2935859570840611</v>
      </c>
      <c r="AL422">
        <f>VLOOKUP($AC422,'2017 Seattle Tracts'!$C$2:$Z$399,AL$1,FALSE)*AA422</f>
        <v>1.0247937255056443</v>
      </c>
      <c r="AM422">
        <f>VLOOKUP($AC422,'2017 Seattle Tracts'!$C$2:$Z$399,AM$1,FALSE)*AA422</f>
        <v>6.1975620542484204</v>
      </c>
      <c r="AN422">
        <f>VLOOKUP($AC422,'2017 Seattle Tracts'!$C$2:$Z$399,AN$1,FALSE)*AA422</f>
        <v>7.8323520449359965</v>
      </c>
      <c r="AO422">
        <f>VLOOKUP($AC422,'2017 Seattle Tracts'!$C$2:$Z$399,AO$1,FALSE)*AA422</f>
        <v>2.3423856582986158</v>
      </c>
      <c r="AP422">
        <f>VLOOKUP($AC422,'2017 Seattle Tracts'!$C$2:$Z$399,AP$1,FALSE)*AA422</f>
        <v>0</v>
      </c>
      <c r="AQ422">
        <f>VLOOKUP($AC422,'2017 Seattle Tracts'!$C$2:$Z$399,AQ$1,FALSE)*AA422</f>
        <v>0</v>
      </c>
      <c r="AR422">
        <f>VLOOKUP($AC422,'2017 Seattle Tracts'!$C$2:$Z$399,AR$1,FALSE)*AA422</f>
        <v>21.179070327116651</v>
      </c>
      <c r="AS422">
        <f>VLOOKUP($AC422,'2017 Seattle Tracts'!$C$2:$Z$399,AS$1,FALSE)*AA422</f>
        <v>39.039760971643595</v>
      </c>
      <c r="AT422">
        <f>VLOOKUP($AC422,'2017 Seattle Tracts'!$C$2:$Z$399,AT$1,FALSE)*AA422</f>
        <v>0</v>
      </c>
      <c r="AU422">
        <f>VLOOKUP($AC422,'2017 Seattle Tracts'!$C$2:$Z$399,AU$1,FALSE)*AA422</f>
        <v>0</v>
      </c>
      <c r="AV422">
        <f>VLOOKUP($AC422,'2017 Seattle Tracts'!$C$2:$Z$399,AV$1,FALSE)*AA422</f>
        <v>2.3423856582986158</v>
      </c>
      <c r="AW422">
        <f>VLOOKUP($AC422,'2017 Seattle Tracts'!$C$2:$Z$399,AW$1,FALSE)*AA422</f>
        <v>1.5371905882584664</v>
      </c>
      <c r="AX422">
        <f>VLOOKUP($AC422,'2017 Seattle Tracts'!$C$2:$Z$399,AX$1,FALSE)*AA422</f>
        <v>6.9783572736812927</v>
      </c>
      <c r="AY422">
        <f>VLOOKUP($AC422,'2017 Seattle Tracts'!$C$2:$Z$399,AY$1,FALSE)*AA422</f>
        <v>1.1711928291493079</v>
      </c>
    </row>
    <row r="423" spans="1:51" x14ac:dyDescent="0.25">
      <c r="A423" t="s">
        <v>2917</v>
      </c>
      <c r="B423" t="s">
        <v>2918</v>
      </c>
      <c r="C423" t="s">
        <v>3230</v>
      </c>
      <c r="D423" t="s">
        <v>2866</v>
      </c>
      <c r="E423" t="s">
        <v>2867</v>
      </c>
      <c r="F423" t="s">
        <v>2868</v>
      </c>
      <c r="G423" t="s">
        <v>2920</v>
      </c>
      <c r="H423" t="s">
        <v>2921</v>
      </c>
      <c r="I423">
        <v>1798893</v>
      </c>
      <c r="J423">
        <v>0</v>
      </c>
      <c r="K423" t="s">
        <v>3231</v>
      </c>
      <c r="L423" t="s">
        <v>3232</v>
      </c>
      <c r="M423">
        <v>1798894</v>
      </c>
      <c r="N423">
        <v>88</v>
      </c>
      <c r="O423">
        <v>35177.063000000002</v>
      </c>
      <c r="P423" t="s">
        <v>184</v>
      </c>
      <c r="Q423">
        <v>15</v>
      </c>
      <c r="R423">
        <v>4</v>
      </c>
      <c r="S423">
        <v>94</v>
      </c>
      <c r="T423">
        <v>37406576</v>
      </c>
      <c r="U423">
        <v>90</v>
      </c>
      <c r="V423">
        <v>179</v>
      </c>
      <c r="W423">
        <v>35177.060803967521</v>
      </c>
      <c r="X423">
        <v>37406576.492632188</v>
      </c>
      <c r="Y423">
        <v>8.5440000000000005</v>
      </c>
      <c r="Z423">
        <f>VLOOKUP($AC423,'2017 Seattle Tracts'!$C$2:$Z$399,24,FALSE)</f>
        <v>1798893.514</v>
      </c>
      <c r="AA423">
        <f t="shared" si="13"/>
        <v>4.7495863059740845E-6</v>
      </c>
      <c r="AB423" t="s">
        <v>189</v>
      </c>
      <c r="AC423" t="str">
        <f t="shared" si="12"/>
        <v>Census Tract 104.02, King County, Washington</v>
      </c>
      <c r="AD423">
        <f>VLOOKUP($AC423,'2017 Seattle Tracts'!$C$2:$Z$399,AD$1,FALSE)*AA423</f>
        <v>2.3453457178900031E-2</v>
      </c>
      <c r="AE423">
        <f>VLOOKUP($AC423,'2017 Seattle Tracts'!$C$2:$Z$399,AE$1,FALSE)*AA423</f>
        <v>1.3218098689525877E-2</v>
      </c>
      <c r="AF423">
        <f>VLOOKUP($AC423,'2017 Seattle Tracts'!$C$2:$Z$399,AF$1,FALSE)*AA423</f>
        <v>1.0235358489374152E-2</v>
      </c>
      <c r="AG423">
        <f>VLOOKUP($AC423,'2017 Seattle Tracts'!$C$2:$Z$399,AG$1,FALSE)*AA423</f>
        <v>2.3453457178900031E-2</v>
      </c>
      <c r="AH423">
        <f>VLOOKUP($AC423,'2017 Seattle Tracts'!$C$2:$Z$399,AH$1,FALSE)*AA423</f>
        <v>1.3218098689525877E-2</v>
      </c>
      <c r="AI423">
        <f>VLOOKUP($AC423,'2017 Seattle Tracts'!$C$2:$Z$399,AI$1,FALSE)*AA423</f>
        <v>1.0235358489374152E-2</v>
      </c>
      <c r="AJ423">
        <f>VLOOKUP($AC423,'2017 Seattle Tracts'!$C$2:$Z$399,AJ$1,FALSE)*AA423</f>
        <v>5.557015977989679E-3</v>
      </c>
      <c r="AK423">
        <f>VLOOKUP($AC423,'2017 Seattle Tracts'!$C$2:$Z$399,AK$1,FALSE)*AA423</f>
        <v>4.4646111276156397E-4</v>
      </c>
      <c r="AL423">
        <f>VLOOKUP($AC423,'2017 Seattle Tracts'!$C$2:$Z$399,AL$1,FALSE)*AA423</f>
        <v>1.9948262485091156E-4</v>
      </c>
      <c r="AM423">
        <f>VLOOKUP($AC423,'2017 Seattle Tracts'!$C$2:$Z$399,AM$1,FALSE)*AA423</f>
        <v>1.2063949217174174E-3</v>
      </c>
      <c r="AN423">
        <f>VLOOKUP($AC423,'2017 Seattle Tracts'!$C$2:$Z$399,AN$1,FALSE)*AA423</f>
        <v>1.5246172042176812E-3</v>
      </c>
      <c r="AO423">
        <f>VLOOKUP($AC423,'2017 Seattle Tracts'!$C$2:$Z$399,AO$1,FALSE)*AA423</f>
        <v>4.5596028537351208E-4</v>
      </c>
      <c r="AP423">
        <f>VLOOKUP($AC423,'2017 Seattle Tracts'!$C$2:$Z$399,AP$1,FALSE)*AA423</f>
        <v>0</v>
      </c>
      <c r="AQ423">
        <f>VLOOKUP($AC423,'2017 Seattle Tracts'!$C$2:$Z$399,AQ$1,FALSE)*AA423</f>
        <v>0</v>
      </c>
      <c r="AR423">
        <f>VLOOKUP($AC423,'2017 Seattle Tracts'!$C$2:$Z$399,AR$1,FALSE)*AA423</f>
        <v>4.1226409135855053E-3</v>
      </c>
      <c r="AS423">
        <f>VLOOKUP($AC423,'2017 Seattle Tracts'!$C$2:$Z$399,AS$1,FALSE)*AA423</f>
        <v>7.5993380895585348E-3</v>
      </c>
      <c r="AT423">
        <f>VLOOKUP($AC423,'2017 Seattle Tracts'!$C$2:$Z$399,AT$1,FALSE)*AA423</f>
        <v>0</v>
      </c>
      <c r="AU423">
        <f>VLOOKUP($AC423,'2017 Seattle Tracts'!$C$2:$Z$399,AU$1,FALSE)*AA423</f>
        <v>0</v>
      </c>
      <c r="AV423">
        <f>VLOOKUP($AC423,'2017 Seattle Tracts'!$C$2:$Z$399,AV$1,FALSE)*AA423</f>
        <v>4.5596028537351208E-4</v>
      </c>
      <c r="AW423">
        <f>VLOOKUP($AC423,'2017 Seattle Tracts'!$C$2:$Z$399,AW$1,FALSE)*AA423</f>
        <v>2.9922393727636735E-4</v>
      </c>
      <c r="AX423">
        <f>VLOOKUP($AC423,'2017 Seattle Tracts'!$C$2:$Z$399,AX$1,FALSE)*AA423</f>
        <v>1.3583816835085881E-3</v>
      </c>
      <c r="AY423">
        <f>VLOOKUP($AC423,'2017 Seattle Tracts'!$C$2:$Z$399,AY$1,FALSE)*AA423</f>
        <v>2.2798014268675604E-4</v>
      </c>
    </row>
    <row r="424" spans="1:51" x14ac:dyDescent="0.25">
      <c r="A424" t="s">
        <v>2917</v>
      </c>
      <c r="B424" t="s">
        <v>2918</v>
      </c>
      <c r="C424" t="s">
        <v>3233</v>
      </c>
      <c r="D424" t="s">
        <v>2854</v>
      </c>
      <c r="E424" t="s">
        <v>2855</v>
      </c>
      <c r="F424" t="s">
        <v>2856</v>
      </c>
      <c r="G424" t="s">
        <v>2920</v>
      </c>
      <c r="H424" t="s">
        <v>2921</v>
      </c>
      <c r="I424">
        <v>784451</v>
      </c>
      <c r="J424">
        <v>0</v>
      </c>
      <c r="K424" t="s">
        <v>3234</v>
      </c>
      <c r="L424" t="s">
        <v>3235</v>
      </c>
      <c r="M424">
        <v>784451</v>
      </c>
      <c r="N424">
        <v>90</v>
      </c>
      <c r="O424">
        <v>23549.932000000001</v>
      </c>
      <c r="P424" t="s">
        <v>191</v>
      </c>
      <c r="Q424">
        <v>20</v>
      </c>
      <c r="R424">
        <v>10</v>
      </c>
      <c r="S424">
        <v>23</v>
      </c>
      <c r="T424">
        <v>29454656</v>
      </c>
      <c r="U424">
        <v>92</v>
      </c>
      <c r="V424">
        <v>174</v>
      </c>
      <c r="W424">
        <v>23549.93136663039</v>
      </c>
      <c r="X424">
        <v>29454656.567178611</v>
      </c>
      <c r="Y424">
        <v>691.89099999999996</v>
      </c>
      <c r="Z424">
        <f>VLOOKUP($AC424,'2017 Seattle Tracts'!$C$2:$Z$399,24,FALSE)</f>
        <v>784451.06200000003</v>
      </c>
      <c r="AA424">
        <f t="shared" si="13"/>
        <v>8.8200658207535185E-4</v>
      </c>
      <c r="AB424" t="s">
        <v>192</v>
      </c>
      <c r="AC424" t="str">
        <f t="shared" si="12"/>
        <v>Census Tract 107.02, King County, Washington</v>
      </c>
      <c r="AD424">
        <f>VLOOKUP($AC424,'2017 Seattle Tracts'!$C$2:$Z$399,AD$1,FALSE)*AA424</f>
        <v>4.0572302775466182</v>
      </c>
      <c r="AE424">
        <f>VLOOKUP($AC424,'2017 Seattle Tracts'!$C$2:$Z$399,AE$1,FALSE)*AA424</f>
        <v>2.5216568181534309</v>
      </c>
      <c r="AF424">
        <f>VLOOKUP($AC424,'2017 Seattle Tracts'!$C$2:$Z$399,AF$1,FALSE)*AA424</f>
        <v>1.5355734593931876</v>
      </c>
      <c r="AG424">
        <f>VLOOKUP($AC424,'2017 Seattle Tracts'!$C$2:$Z$399,AG$1,FALSE)*AA424</f>
        <v>4.0572302775466182</v>
      </c>
      <c r="AH424">
        <f>VLOOKUP($AC424,'2017 Seattle Tracts'!$C$2:$Z$399,AH$1,FALSE)*AA424</f>
        <v>2.5216568181534309</v>
      </c>
      <c r="AI424">
        <f>VLOOKUP($AC424,'2017 Seattle Tracts'!$C$2:$Z$399,AI$1,FALSE)*AA424</f>
        <v>1.5355734593931876</v>
      </c>
      <c r="AJ424">
        <f>VLOOKUP($AC424,'2017 Seattle Tracts'!$C$2:$Z$399,AJ$1,FALSE)*AA424</f>
        <v>0.99931345749137368</v>
      </c>
      <c r="AK424">
        <f>VLOOKUP($AC424,'2017 Seattle Tracts'!$C$2:$Z$399,AK$1,FALSE)*AA424</f>
        <v>0.19668746780280347</v>
      </c>
      <c r="AL424">
        <f>VLOOKUP($AC424,'2017 Seattle Tracts'!$C$2:$Z$399,AL$1,FALSE)*AA424</f>
        <v>0.10936881617734363</v>
      </c>
      <c r="AM424">
        <f>VLOOKUP($AC424,'2017 Seattle Tracts'!$C$2:$Z$399,AM$1,FALSE)*AA424</f>
        <v>2.9988223790561964E-2</v>
      </c>
      <c r="AN424">
        <f>VLOOKUP($AC424,'2017 Seattle Tracts'!$C$2:$Z$399,AN$1,FALSE)*AA424</f>
        <v>0.77704779880838493</v>
      </c>
      <c r="AO424">
        <f>VLOOKUP($AC424,'2017 Seattle Tracts'!$C$2:$Z$399,AO$1,FALSE)*AA424</f>
        <v>0.78322184488291247</v>
      </c>
      <c r="AP424">
        <f>VLOOKUP($AC424,'2017 Seattle Tracts'!$C$2:$Z$399,AP$1,FALSE)*AA424</f>
        <v>0</v>
      </c>
      <c r="AQ424">
        <f>VLOOKUP($AC424,'2017 Seattle Tracts'!$C$2:$Z$399,AQ$1,FALSE)*AA424</f>
        <v>0</v>
      </c>
      <c r="AR424">
        <f>VLOOKUP($AC424,'2017 Seattle Tracts'!$C$2:$Z$399,AR$1,FALSE)*AA424</f>
        <v>0.32281440903957875</v>
      </c>
      <c r="AS424">
        <f>VLOOKUP($AC424,'2017 Seattle Tracts'!$C$2:$Z$399,AS$1,FALSE)*AA424</f>
        <v>0.39425694218768226</v>
      </c>
      <c r="AT424">
        <f>VLOOKUP($AC424,'2017 Seattle Tracts'!$C$2:$Z$399,AT$1,FALSE)*AA424</f>
        <v>0</v>
      </c>
      <c r="AU424">
        <f>VLOOKUP($AC424,'2017 Seattle Tracts'!$C$2:$Z$399,AU$1,FALSE)*AA424</f>
        <v>0</v>
      </c>
      <c r="AV424">
        <f>VLOOKUP($AC424,'2017 Seattle Tracts'!$C$2:$Z$399,AV$1,FALSE)*AA424</f>
        <v>4.3218322521692241E-2</v>
      </c>
      <c r="AW424">
        <f>VLOOKUP($AC424,'2017 Seattle Tracts'!$C$2:$Z$399,AW$1,FALSE)*AA424</f>
        <v>0.13141898072922742</v>
      </c>
      <c r="AX424">
        <f>VLOOKUP($AC424,'2017 Seattle Tracts'!$C$2:$Z$399,AX$1,FALSE)*AA424</f>
        <v>0.26989401411505765</v>
      </c>
      <c r="AY424">
        <f>VLOOKUP($AC424,'2017 Seattle Tracts'!$C$2:$Z$399,AY$1,FALSE)*AA424</f>
        <v>0</v>
      </c>
    </row>
    <row r="425" spans="1:51" x14ac:dyDescent="0.25">
      <c r="A425" t="s">
        <v>2917</v>
      </c>
      <c r="B425" t="s">
        <v>2918</v>
      </c>
      <c r="C425" t="s">
        <v>3233</v>
      </c>
      <c r="D425" t="s">
        <v>2854</v>
      </c>
      <c r="E425" t="s">
        <v>2855</v>
      </c>
      <c r="F425" t="s">
        <v>2856</v>
      </c>
      <c r="G425" t="s">
        <v>2920</v>
      </c>
      <c r="H425" t="s">
        <v>2921</v>
      </c>
      <c r="I425">
        <v>784451</v>
      </c>
      <c r="J425">
        <v>0</v>
      </c>
      <c r="K425" t="s">
        <v>3234</v>
      </c>
      <c r="L425" t="s">
        <v>3235</v>
      </c>
      <c r="M425">
        <v>784451</v>
      </c>
      <c r="N425">
        <v>92</v>
      </c>
      <c r="O425">
        <v>23180.396000000001</v>
      </c>
      <c r="P425" t="s">
        <v>191</v>
      </c>
      <c r="Q425">
        <v>20</v>
      </c>
      <c r="R425">
        <v>10</v>
      </c>
      <c r="S425">
        <v>95</v>
      </c>
      <c r="T425">
        <v>23343008</v>
      </c>
      <c r="U425">
        <v>94</v>
      </c>
      <c r="V425">
        <v>182</v>
      </c>
      <c r="W425">
        <v>23180.396359671431</v>
      </c>
      <c r="X425">
        <v>23343008.336782061</v>
      </c>
      <c r="Y425">
        <v>783759.22400000005</v>
      </c>
      <c r="Z425">
        <f>VLOOKUP($AC425,'2017 Seattle Tracts'!$C$2:$Z$399,24,FALSE)</f>
        <v>784451.06200000003</v>
      </c>
      <c r="AA425">
        <f t="shared" si="13"/>
        <v>0.99911806098109412</v>
      </c>
      <c r="AB425" t="s">
        <v>194</v>
      </c>
      <c r="AC425" t="str">
        <f t="shared" si="12"/>
        <v>Census Tract 107.02, King County, Washington</v>
      </c>
      <c r="AD425">
        <f>VLOOKUP($AC425,'2017 Seattle Tracts'!$C$2:$Z$399,AD$1,FALSE)*AA425</f>
        <v>4595.9430805130332</v>
      </c>
      <c r="AE425">
        <f>VLOOKUP($AC425,'2017 Seattle Tracts'!$C$2:$Z$399,AE$1,FALSE)*AA425</f>
        <v>2856.4785363449482</v>
      </c>
      <c r="AF425">
        <f>VLOOKUP($AC425,'2017 Seattle Tracts'!$C$2:$Z$399,AF$1,FALSE)*AA425</f>
        <v>1739.4645441680848</v>
      </c>
      <c r="AG425">
        <f>VLOOKUP($AC425,'2017 Seattle Tracts'!$C$2:$Z$399,AG$1,FALSE)*AA425</f>
        <v>4595.9430805130332</v>
      </c>
      <c r="AH425">
        <f>VLOOKUP($AC425,'2017 Seattle Tracts'!$C$2:$Z$399,AH$1,FALSE)*AA425</f>
        <v>2856.4785363449482</v>
      </c>
      <c r="AI425">
        <f>VLOOKUP($AC425,'2017 Seattle Tracts'!$C$2:$Z$399,AI$1,FALSE)*AA425</f>
        <v>1739.4645441680848</v>
      </c>
      <c r="AJ425">
        <f>VLOOKUP($AC425,'2017 Seattle Tracts'!$C$2:$Z$399,AJ$1,FALSE)*AA425</f>
        <v>1132.0007630915798</v>
      </c>
      <c r="AK425">
        <f>VLOOKUP($AC425,'2017 Seattle Tracts'!$C$2:$Z$399,AK$1,FALSE)*AA425</f>
        <v>222.80332759878399</v>
      </c>
      <c r="AL425">
        <f>VLOOKUP($AC425,'2017 Seattle Tracts'!$C$2:$Z$399,AL$1,FALSE)*AA425</f>
        <v>123.89063956165568</v>
      </c>
      <c r="AM425">
        <f>VLOOKUP($AC425,'2017 Seattle Tracts'!$C$2:$Z$399,AM$1,FALSE)*AA425</f>
        <v>33.970014073357198</v>
      </c>
      <c r="AN425">
        <f>VLOOKUP($AC425,'2017 Seattle Tracts'!$C$2:$Z$399,AN$1,FALSE)*AA425</f>
        <v>880.22301172434391</v>
      </c>
      <c r="AO425">
        <f>VLOOKUP($AC425,'2017 Seattle Tracts'!$C$2:$Z$399,AO$1,FALSE)*AA425</f>
        <v>887.21683815121162</v>
      </c>
      <c r="AP425">
        <f>VLOOKUP($AC425,'2017 Seattle Tracts'!$C$2:$Z$399,AP$1,FALSE)*AA425</f>
        <v>0</v>
      </c>
      <c r="AQ425">
        <f>VLOOKUP($AC425,'2017 Seattle Tracts'!$C$2:$Z$399,AQ$1,FALSE)*AA425</f>
        <v>0</v>
      </c>
      <c r="AR425">
        <f>VLOOKUP($AC425,'2017 Seattle Tracts'!$C$2:$Z$399,AR$1,FALSE)*AA425</f>
        <v>365.67721031908047</v>
      </c>
      <c r="AS425">
        <f>VLOOKUP($AC425,'2017 Seattle Tracts'!$C$2:$Z$399,AS$1,FALSE)*AA425</f>
        <v>446.60577325854905</v>
      </c>
      <c r="AT425">
        <f>VLOOKUP($AC425,'2017 Seattle Tracts'!$C$2:$Z$399,AT$1,FALSE)*AA425</f>
        <v>0</v>
      </c>
      <c r="AU425">
        <f>VLOOKUP($AC425,'2017 Seattle Tracts'!$C$2:$Z$399,AU$1,FALSE)*AA425</f>
        <v>0</v>
      </c>
      <c r="AV425">
        <f>VLOOKUP($AC425,'2017 Seattle Tracts'!$C$2:$Z$399,AV$1,FALSE)*AA425</f>
        <v>48.956784988073615</v>
      </c>
      <c r="AW425">
        <f>VLOOKUP($AC425,'2017 Seattle Tracts'!$C$2:$Z$399,AW$1,FALSE)*AA425</f>
        <v>148.86859108618302</v>
      </c>
      <c r="AX425">
        <f>VLOOKUP($AC425,'2017 Seattle Tracts'!$C$2:$Z$399,AX$1,FALSE)*AA425</f>
        <v>305.73012666021481</v>
      </c>
      <c r="AY425">
        <f>VLOOKUP($AC425,'2017 Seattle Tracts'!$C$2:$Z$399,AY$1,FALSE)*AA425</f>
        <v>0</v>
      </c>
    </row>
    <row r="426" spans="1:51" x14ac:dyDescent="0.25">
      <c r="A426" t="s">
        <v>2917</v>
      </c>
      <c r="B426" t="s">
        <v>2918</v>
      </c>
      <c r="C426" t="s">
        <v>3236</v>
      </c>
      <c r="D426" t="s">
        <v>2821</v>
      </c>
      <c r="E426" t="s">
        <v>2822</v>
      </c>
      <c r="F426" t="s">
        <v>2823</v>
      </c>
      <c r="G426" t="s">
        <v>2920</v>
      </c>
      <c r="H426" t="s">
        <v>2921</v>
      </c>
      <c r="I426">
        <v>1186185</v>
      </c>
      <c r="J426">
        <v>0</v>
      </c>
      <c r="K426" t="s">
        <v>3237</v>
      </c>
      <c r="L426" t="s">
        <v>3238</v>
      </c>
      <c r="M426">
        <v>1186185</v>
      </c>
      <c r="N426">
        <v>73</v>
      </c>
      <c r="O426">
        <v>28162.436000000002</v>
      </c>
      <c r="P426" t="s">
        <v>170</v>
      </c>
      <c r="Q426">
        <v>19</v>
      </c>
      <c r="R426">
        <v>9</v>
      </c>
      <c r="S426">
        <v>95</v>
      </c>
      <c r="T426">
        <v>26197314</v>
      </c>
      <c r="U426">
        <v>75</v>
      </c>
      <c r="V426">
        <v>193</v>
      </c>
      <c r="W426">
        <v>28162.435138616551</v>
      </c>
      <c r="X426">
        <v>26197314.057339299</v>
      </c>
      <c r="Y426">
        <v>143.94800000000001</v>
      </c>
      <c r="Z426">
        <f>VLOOKUP($AC426,'2017 Seattle Tracts'!$C$2:$Z$399,24,FALSE)</f>
        <v>1186184.794</v>
      </c>
      <c r="AA426">
        <f t="shared" si="13"/>
        <v>1.2135377280852246E-4</v>
      </c>
      <c r="AB426" t="s">
        <v>172</v>
      </c>
      <c r="AC426" t="str">
        <f t="shared" si="12"/>
        <v>Census Tract 114.02, King County, Washington</v>
      </c>
      <c r="AD426">
        <f>VLOOKUP($AC426,'2017 Seattle Tracts'!$C$2:$Z$399,AD$1,FALSE)*AA426</f>
        <v>0.53043734094605166</v>
      </c>
      <c r="AE426">
        <f>VLOOKUP($AC426,'2017 Seattle Tracts'!$C$2:$Z$399,AE$1,FALSE)*AA426</f>
        <v>0.36418267219837591</v>
      </c>
      <c r="AF426">
        <f>VLOOKUP($AC426,'2017 Seattle Tracts'!$C$2:$Z$399,AF$1,FALSE)*AA426</f>
        <v>0.16625466874767578</v>
      </c>
      <c r="AG426">
        <f>VLOOKUP($AC426,'2017 Seattle Tracts'!$C$2:$Z$399,AG$1,FALSE)*AA426</f>
        <v>0.53043734094605166</v>
      </c>
      <c r="AH426">
        <f>VLOOKUP($AC426,'2017 Seattle Tracts'!$C$2:$Z$399,AH$1,FALSE)*AA426</f>
        <v>0.36418267219837591</v>
      </c>
      <c r="AI426">
        <f>VLOOKUP($AC426,'2017 Seattle Tracts'!$C$2:$Z$399,AI$1,FALSE)*AA426</f>
        <v>0.16625466874767578</v>
      </c>
      <c r="AJ426">
        <f>VLOOKUP($AC426,'2017 Seattle Tracts'!$C$2:$Z$399,AJ$1,FALSE)*AA426</f>
        <v>0.21855814482814895</v>
      </c>
      <c r="AK426">
        <f>VLOOKUP($AC426,'2017 Seattle Tracts'!$C$2:$Z$399,AK$1,FALSE)*AA426</f>
        <v>1.3712976327363038E-2</v>
      </c>
      <c r="AL426">
        <f>VLOOKUP($AC426,'2017 Seattle Tracts'!$C$2:$Z$399,AL$1,FALSE)*AA426</f>
        <v>2.4877523425747103E-2</v>
      </c>
      <c r="AM426">
        <f>VLOOKUP($AC426,'2017 Seattle Tracts'!$C$2:$Z$399,AM$1,FALSE)*AA426</f>
        <v>2.7304598881917552E-2</v>
      </c>
      <c r="AN426">
        <f>VLOOKUP($AC426,'2017 Seattle Tracts'!$C$2:$Z$399,AN$1,FALSE)*AA426</f>
        <v>3.8711853525918667E-2</v>
      </c>
      <c r="AO426">
        <f>VLOOKUP($AC426,'2017 Seattle Tracts'!$C$2:$Z$399,AO$1,FALSE)*AA426</f>
        <v>1.626140555634201E-2</v>
      </c>
      <c r="AP426">
        <f>VLOOKUP($AC426,'2017 Seattle Tracts'!$C$2:$Z$399,AP$1,FALSE)*AA426</f>
        <v>7.4025801413198696E-3</v>
      </c>
      <c r="AQ426">
        <f>VLOOKUP($AC426,'2017 Seattle Tracts'!$C$2:$Z$399,AQ$1,FALSE)*AA426</f>
        <v>3.5192594114471514E-3</v>
      </c>
      <c r="AR426">
        <f>VLOOKUP($AC426,'2017 Seattle Tracts'!$C$2:$Z$399,AR$1,FALSE)*AA426</f>
        <v>1.6868174420384623E-2</v>
      </c>
      <c r="AS426">
        <f>VLOOKUP($AC426,'2017 Seattle Tracts'!$C$2:$Z$399,AS$1,FALSE)*AA426</f>
        <v>5.1939414762047616E-2</v>
      </c>
      <c r="AT426">
        <f>VLOOKUP($AC426,'2017 Seattle Tracts'!$C$2:$Z$399,AT$1,FALSE)*AA426</f>
        <v>3.2765518658301063E-3</v>
      </c>
      <c r="AU426">
        <f>VLOOKUP($AC426,'2017 Seattle Tracts'!$C$2:$Z$399,AU$1,FALSE)*AA426</f>
        <v>1.0800485779958499E-2</v>
      </c>
      <c r="AV426">
        <f>VLOOKUP($AC426,'2017 Seattle Tracts'!$C$2:$Z$399,AV$1,FALSE)*AA426</f>
        <v>2.3178570606427789E-2</v>
      </c>
      <c r="AW426">
        <f>VLOOKUP($AC426,'2017 Seattle Tracts'!$C$2:$Z$399,AW$1,FALSE)*AA426</f>
        <v>3.8226438434684575E-2</v>
      </c>
      <c r="AX426">
        <f>VLOOKUP($AC426,'2017 Seattle Tracts'!$C$2:$Z$399,AX$1,FALSE)*AA426</f>
        <v>3.1309273384598796E-2</v>
      </c>
      <c r="AY426">
        <f>VLOOKUP($AC426,'2017 Seattle Tracts'!$C$2:$Z$399,AY$1,FALSE)*AA426</f>
        <v>4.490089593915331E-3</v>
      </c>
    </row>
    <row r="427" spans="1:51" x14ac:dyDescent="0.25">
      <c r="A427" t="s">
        <v>2917</v>
      </c>
      <c r="B427" t="s">
        <v>2918</v>
      </c>
      <c r="C427" t="s">
        <v>3236</v>
      </c>
      <c r="D427" t="s">
        <v>2821</v>
      </c>
      <c r="E427" t="s">
        <v>2822</v>
      </c>
      <c r="F427" t="s">
        <v>2823</v>
      </c>
      <c r="G427" t="s">
        <v>2920</v>
      </c>
      <c r="H427" t="s">
        <v>2921</v>
      </c>
      <c r="I427">
        <v>1186185</v>
      </c>
      <c r="J427">
        <v>0</v>
      </c>
      <c r="K427" t="s">
        <v>3237</v>
      </c>
      <c r="L427" t="s">
        <v>3238</v>
      </c>
      <c r="M427">
        <v>1186185</v>
      </c>
      <c r="N427">
        <v>89</v>
      </c>
      <c r="O427">
        <v>31111.062999999998</v>
      </c>
      <c r="P427" t="s">
        <v>191</v>
      </c>
      <c r="Q427">
        <v>20</v>
      </c>
      <c r="R427">
        <v>10</v>
      </c>
      <c r="S427">
        <v>23</v>
      </c>
      <c r="T427">
        <v>39810332</v>
      </c>
      <c r="U427">
        <v>91</v>
      </c>
      <c r="V427">
        <v>188</v>
      </c>
      <c r="W427">
        <v>31111.063083771449</v>
      </c>
      <c r="X427">
        <v>39810333.415949456</v>
      </c>
      <c r="Y427">
        <v>8.1059999999999999</v>
      </c>
      <c r="Z427">
        <f>VLOOKUP($AC427,'2017 Seattle Tracts'!$C$2:$Z$399,24,FALSE)</f>
        <v>1186184.794</v>
      </c>
      <c r="AA427">
        <f t="shared" si="13"/>
        <v>6.833673843234244E-6</v>
      </c>
      <c r="AB427" t="s">
        <v>190</v>
      </c>
      <c r="AC427" t="str">
        <f t="shared" si="12"/>
        <v>Census Tract 114.02, King County, Washington</v>
      </c>
      <c r="AD427">
        <f>VLOOKUP($AC427,'2017 Seattle Tracts'!$C$2:$Z$399,AD$1,FALSE)*AA427</f>
        <v>2.9869988368776881E-2</v>
      </c>
      <c r="AE427">
        <f>VLOOKUP($AC427,'2017 Seattle Tracts'!$C$2:$Z$399,AE$1,FALSE)*AA427</f>
        <v>2.0507855203545967E-2</v>
      </c>
      <c r="AF427">
        <f>VLOOKUP($AC427,'2017 Seattle Tracts'!$C$2:$Z$399,AF$1,FALSE)*AA427</f>
        <v>9.3621331652309139E-3</v>
      </c>
      <c r="AG427">
        <f>VLOOKUP($AC427,'2017 Seattle Tracts'!$C$2:$Z$399,AG$1,FALSE)*AA427</f>
        <v>2.9869988368776881E-2</v>
      </c>
      <c r="AH427">
        <f>VLOOKUP($AC427,'2017 Seattle Tracts'!$C$2:$Z$399,AH$1,FALSE)*AA427</f>
        <v>2.0507855203545967E-2</v>
      </c>
      <c r="AI427">
        <f>VLOOKUP($AC427,'2017 Seattle Tracts'!$C$2:$Z$399,AI$1,FALSE)*AA427</f>
        <v>9.3621331652309139E-3</v>
      </c>
      <c r="AJ427">
        <f>VLOOKUP($AC427,'2017 Seattle Tracts'!$C$2:$Z$399,AJ$1,FALSE)*AA427</f>
        <v>1.2307446591664873E-2</v>
      </c>
      <c r="AK427">
        <f>VLOOKUP($AC427,'2017 Seattle Tracts'!$C$2:$Z$399,AK$1,FALSE)*AA427</f>
        <v>7.7220514428546962E-4</v>
      </c>
      <c r="AL427">
        <f>VLOOKUP($AC427,'2017 Seattle Tracts'!$C$2:$Z$399,AL$1,FALSE)*AA427</f>
        <v>1.40090313786302E-3</v>
      </c>
      <c r="AM427">
        <f>VLOOKUP($AC427,'2017 Seattle Tracts'!$C$2:$Z$399,AM$1,FALSE)*AA427</f>
        <v>1.5375766147277049E-3</v>
      </c>
      <c r="AN427">
        <f>VLOOKUP($AC427,'2017 Seattle Tracts'!$C$2:$Z$399,AN$1,FALSE)*AA427</f>
        <v>2.1799419559917236E-3</v>
      </c>
      <c r="AO427">
        <f>VLOOKUP($AC427,'2017 Seattle Tracts'!$C$2:$Z$399,AO$1,FALSE)*AA427</f>
        <v>9.1571229499338872E-4</v>
      </c>
      <c r="AP427">
        <f>VLOOKUP($AC427,'2017 Seattle Tracts'!$C$2:$Z$399,AP$1,FALSE)*AA427</f>
        <v>4.1685410443728887E-4</v>
      </c>
      <c r="AQ427">
        <f>VLOOKUP($AC427,'2017 Seattle Tracts'!$C$2:$Z$399,AQ$1,FALSE)*AA427</f>
        <v>1.9817654145379306E-4</v>
      </c>
      <c r="AR427">
        <f>VLOOKUP($AC427,'2017 Seattle Tracts'!$C$2:$Z$399,AR$1,FALSE)*AA427</f>
        <v>9.4988066420955992E-4</v>
      </c>
      <c r="AS427">
        <f>VLOOKUP($AC427,'2017 Seattle Tracts'!$C$2:$Z$399,AS$1,FALSE)*AA427</f>
        <v>2.9248124049042565E-3</v>
      </c>
      <c r="AT427">
        <f>VLOOKUP($AC427,'2017 Seattle Tracts'!$C$2:$Z$399,AT$1,FALSE)*AA427</f>
        <v>1.8450919376732458E-4</v>
      </c>
      <c r="AU427">
        <f>VLOOKUP($AC427,'2017 Seattle Tracts'!$C$2:$Z$399,AU$1,FALSE)*AA427</f>
        <v>6.0819697204784768E-4</v>
      </c>
      <c r="AV427">
        <f>VLOOKUP($AC427,'2017 Seattle Tracts'!$C$2:$Z$399,AV$1,FALSE)*AA427</f>
        <v>1.3052317040577405E-3</v>
      </c>
      <c r="AW427">
        <f>VLOOKUP($AC427,'2017 Seattle Tracts'!$C$2:$Z$399,AW$1,FALSE)*AA427</f>
        <v>2.1526072606187869E-3</v>
      </c>
      <c r="AX427">
        <f>VLOOKUP($AC427,'2017 Seattle Tracts'!$C$2:$Z$399,AX$1,FALSE)*AA427</f>
        <v>1.763087851554435E-3</v>
      </c>
      <c r="AY427">
        <f>VLOOKUP($AC427,'2017 Seattle Tracts'!$C$2:$Z$399,AY$1,FALSE)*AA427</f>
        <v>2.5284593219966704E-4</v>
      </c>
    </row>
    <row r="428" spans="1:51" x14ac:dyDescent="0.25">
      <c r="A428" t="s">
        <v>2917</v>
      </c>
      <c r="B428" t="s">
        <v>2918</v>
      </c>
      <c r="C428" t="s">
        <v>3236</v>
      </c>
      <c r="D428" t="s">
        <v>2821</v>
      </c>
      <c r="E428" t="s">
        <v>2822</v>
      </c>
      <c r="F428" t="s">
        <v>2823</v>
      </c>
      <c r="G428" t="s">
        <v>2920</v>
      </c>
      <c r="H428" t="s">
        <v>2921</v>
      </c>
      <c r="I428">
        <v>1186185</v>
      </c>
      <c r="J428">
        <v>0</v>
      </c>
      <c r="K428" t="s">
        <v>3237</v>
      </c>
      <c r="L428" t="s">
        <v>3238</v>
      </c>
      <c r="M428">
        <v>1186185</v>
      </c>
      <c r="N428">
        <v>93</v>
      </c>
      <c r="O428">
        <v>23416.34</v>
      </c>
      <c r="P428" t="s">
        <v>191</v>
      </c>
      <c r="Q428">
        <v>20</v>
      </c>
      <c r="R428">
        <v>10</v>
      </c>
      <c r="S428">
        <v>94</v>
      </c>
      <c r="T428">
        <v>17923316</v>
      </c>
      <c r="U428">
        <v>95</v>
      </c>
      <c r="V428">
        <v>190</v>
      </c>
      <c r="W428">
        <v>23416.340535979401</v>
      </c>
      <c r="X428">
        <v>17923316.223963421</v>
      </c>
      <c r="Y428">
        <v>690086.32200000004</v>
      </c>
      <c r="Z428">
        <f>VLOOKUP($AC428,'2017 Seattle Tracts'!$C$2:$Z$399,24,FALSE)</f>
        <v>1186184.794</v>
      </c>
      <c r="AA428">
        <f t="shared" si="13"/>
        <v>0.58176965805886061</v>
      </c>
      <c r="AB428" t="s">
        <v>195</v>
      </c>
      <c r="AC428" t="str">
        <f t="shared" si="12"/>
        <v>Census Tract 114.02, King County, Washington</v>
      </c>
      <c r="AD428">
        <f>VLOOKUP($AC428,'2017 Seattle Tracts'!$C$2:$Z$399,AD$1,FALSE)*AA428</f>
        <v>2542.9151753752799</v>
      </c>
      <c r="AE428">
        <f>VLOOKUP($AC428,'2017 Seattle Tracts'!$C$2:$Z$399,AE$1,FALSE)*AA428</f>
        <v>1745.8907438346407</v>
      </c>
      <c r="AF428">
        <f>VLOOKUP($AC428,'2017 Seattle Tracts'!$C$2:$Z$399,AF$1,FALSE)*AA428</f>
        <v>797.02443154063906</v>
      </c>
      <c r="AG428">
        <f>VLOOKUP($AC428,'2017 Seattle Tracts'!$C$2:$Z$399,AG$1,FALSE)*AA428</f>
        <v>2542.9151753752799</v>
      </c>
      <c r="AH428">
        <f>VLOOKUP($AC428,'2017 Seattle Tracts'!$C$2:$Z$399,AH$1,FALSE)*AA428</f>
        <v>1745.8907438346407</v>
      </c>
      <c r="AI428">
        <f>VLOOKUP($AC428,'2017 Seattle Tracts'!$C$2:$Z$399,AI$1,FALSE)*AA428</f>
        <v>797.02443154063906</v>
      </c>
      <c r="AJ428">
        <f>VLOOKUP($AC428,'2017 Seattle Tracts'!$C$2:$Z$399,AJ$1,FALSE)*AA428</f>
        <v>1047.7671541640079</v>
      </c>
      <c r="AK428">
        <f>VLOOKUP($AC428,'2017 Seattle Tracts'!$C$2:$Z$399,AK$1,FALSE)*AA428</f>
        <v>65.739971360651253</v>
      </c>
      <c r="AL428">
        <f>VLOOKUP($AC428,'2017 Seattle Tracts'!$C$2:$Z$399,AL$1,FALSE)*AA428</f>
        <v>119.26277990206643</v>
      </c>
      <c r="AM428">
        <f>VLOOKUP($AC428,'2017 Seattle Tracts'!$C$2:$Z$399,AM$1,FALSE)*AA428</f>
        <v>130.89817306324363</v>
      </c>
      <c r="AN428">
        <f>VLOOKUP($AC428,'2017 Seattle Tracts'!$C$2:$Z$399,AN$1,FALSE)*AA428</f>
        <v>185.58452092077653</v>
      </c>
      <c r="AO428">
        <f>VLOOKUP($AC428,'2017 Seattle Tracts'!$C$2:$Z$399,AO$1,FALSE)*AA428</f>
        <v>77.957134179887319</v>
      </c>
      <c r="AP428">
        <f>VLOOKUP($AC428,'2017 Seattle Tracts'!$C$2:$Z$399,AP$1,FALSE)*AA428</f>
        <v>35.487949141590498</v>
      </c>
      <c r="AQ428">
        <f>VLOOKUP($AC428,'2017 Seattle Tracts'!$C$2:$Z$399,AQ$1,FALSE)*AA428</f>
        <v>16.871320083706959</v>
      </c>
      <c r="AR428">
        <f>VLOOKUP($AC428,'2017 Seattle Tracts'!$C$2:$Z$399,AR$1,FALSE)*AA428</f>
        <v>80.865982470181621</v>
      </c>
      <c r="AS428">
        <f>VLOOKUP($AC428,'2017 Seattle Tracts'!$C$2:$Z$399,AS$1,FALSE)*AA428</f>
        <v>248.99741364919234</v>
      </c>
      <c r="AT428">
        <f>VLOOKUP($AC428,'2017 Seattle Tracts'!$C$2:$Z$399,AT$1,FALSE)*AA428</f>
        <v>15.707780767589236</v>
      </c>
      <c r="AU428">
        <f>VLOOKUP($AC428,'2017 Seattle Tracts'!$C$2:$Z$399,AU$1,FALSE)*AA428</f>
        <v>51.777499567238593</v>
      </c>
      <c r="AV428">
        <f>VLOOKUP($AC428,'2017 Seattle Tracts'!$C$2:$Z$399,AV$1,FALSE)*AA428</f>
        <v>111.11800468924237</v>
      </c>
      <c r="AW428">
        <f>VLOOKUP($AC428,'2017 Seattle Tracts'!$C$2:$Z$399,AW$1,FALSE)*AA428</f>
        <v>183.25744228854109</v>
      </c>
      <c r="AX428">
        <f>VLOOKUP($AC428,'2017 Seattle Tracts'!$C$2:$Z$399,AX$1,FALSE)*AA428</f>
        <v>150.09657177918604</v>
      </c>
      <c r="AY428">
        <f>VLOOKUP($AC428,'2017 Seattle Tracts'!$C$2:$Z$399,AY$1,FALSE)*AA428</f>
        <v>21.525477348177841</v>
      </c>
    </row>
    <row r="429" spans="1:51" x14ac:dyDescent="0.25">
      <c r="A429" t="s">
        <v>2917</v>
      </c>
      <c r="B429" t="s">
        <v>2918</v>
      </c>
      <c r="C429" t="s">
        <v>3236</v>
      </c>
      <c r="D429" t="s">
        <v>2821</v>
      </c>
      <c r="E429" t="s">
        <v>2822</v>
      </c>
      <c r="F429" t="s">
        <v>2823</v>
      </c>
      <c r="G429" t="s">
        <v>2920</v>
      </c>
      <c r="H429" t="s">
        <v>2921</v>
      </c>
      <c r="I429">
        <v>1186185</v>
      </c>
      <c r="J429">
        <v>0</v>
      </c>
      <c r="K429" t="s">
        <v>3237</v>
      </c>
      <c r="L429" t="s">
        <v>3238</v>
      </c>
      <c r="M429">
        <v>1186185</v>
      </c>
      <c r="N429">
        <v>94</v>
      </c>
      <c r="O429">
        <v>22360.046999999999</v>
      </c>
      <c r="P429" t="s">
        <v>191</v>
      </c>
      <c r="Q429">
        <v>20</v>
      </c>
      <c r="R429">
        <v>10</v>
      </c>
      <c r="S429">
        <v>0</v>
      </c>
      <c r="T429">
        <v>18781060</v>
      </c>
      <c r="U429">
        <v>96</v>
      </c>
      <c r="V429">
        <v>191</v>
      </c>
      <c r="W429">
        <v>22360.047228914489</v>
      </c>
      <c r="X429">
        <v>18781059.844160609</v>
      </c>
      <c r="Y429">
        <v>495685.467</v>
      </c>
      <c r="Z429">
        <f>VLOOKUP($AC429,'2017 Seattle Tracts'!$C$2:$Z$399,24,FALSE)</f>
        <v>1186184.794</v>
      </c>
      <c r="AA429">
        <f t="shared" si="13"/>
        <v>0.4178821626337591</v>
      </c>
      <c r="AB429" t="s">
        <v>196</v>
      </c>
      <c r="AC429" t="str">
        <f t="shared" si="12"/>
        <v>Census Tract 114.02, King County, Washington</v>
      </c>
      <c r="AD429">
        <f>VLOOKUP($AC429,'2017 Seattle Tracts'!$C$2:$Z$399,AD$1,FALSE)*AA429</f>
        <v>1826.5629328721611</v>
      </c>
      <c r="AE429">
        <f>VLOOKUP($AC429,'2017 Seattle Tracts'!$C$2:$Z$399,AE$1,FALSE)*AA429</f>
        <v>1254.0643700639112</v>
      </c>
      <c r="AF429">
        <f>VLOOKUP($AC429,'2017 Seattle Tracts'!$C$2:$Z$399,AF$1,FALSE)*AA429</f>
        <v>572.49856280824997</v>
      </c>
      <c r="AG429">
        <f>VLOOKUP($AC429,'2017 Seattle Tracts'!$C$2:$Z$399,AG$1,FALSE)*AA429</f>
        <v>1826.5629328721611</v>
      </c>
      <c r="AH429">
        <f>VLOOKUP($AC429,'2017 Seattle Tracts'!$C$2:$Z$399,AH$1,FALSE)*AA429</f>
        <v>1254.0643700639112</v>
      </c>
      <c r="AI429">
        <f>VLOOKUP($AC429,'2017 Seattle Tracts'!$C$2:$Z$399,AI$1,FALSE)*AA429</f>
        <v>572.49856280824997</v>
      </c>
      <c r="AJ429">
        <f>VLOOKUP($AC429,'2017 Seattle Tracts'!$C$2:$Z$399,AJ$1,FALSE)*AA429</f>
        <v>752.60577490340017</v>
      </c>
      <c r="AK429">
        <f>VLOOKUP($AC429,'2017 Seattle Tracts'!$C$2:$Z$399,AK$1,FALSE)*AA429</f>
        <v>47.220684377614781</v>
      </c>
      <c r="AL429">
        <f>VLOOKUP($AC429,'2017 Seattle Tracts'!$C$2:$Z$399,AL$1,FALSE)*AA429</f>
        <v>85.665843339920613</v>
      </c>
      <c r="AM429">
        <f>VLOOKUP($AC429,'2017 Seattle Tracts'!$C$2:$Z$399,AM$1,FALSE)*AA429</f>
        <v>94.023486592595802</v>
      </c>
      <c r="AN429">
        <f>VLOOKUP($AC429,'2017 Seattle Tracts'!$C$2:$Z$399,AN$1,FALSE)*AA429</f>
        <v>133.30440988016915</v>
      </c>
      <c r="AO429">
        <f>VLOOKUP($AC429,'2017 Seattle Tracts'!$C$2:$Z$399,AO$1,FALSE)*AA429</f>
        <v>55.996209792923722</v>
      </c>
      <c r="AP429">
        <f>VLOOKUP($AC429,'2017 Seattle Tracts'!$C$2:$Z$399,AP$1,FALSE)*AA429</f>
        <v>25.490811920659304</v>
      </c>
      <c r="AQ429">
        <f>VLOOKUP($AC429,'2017 Seattle Tracts'!$C$2:$Z$399,AQ$1,FALSE)*AA429</f>
        <v>12.118582716379015</v>
      </c>
      <c r="AR429">
        <f>VLOOKUP($AC429,'2017 Seattle Tracts'!$C$2:$Z$399,AR$1,FALSE)*AA429</f>
        <v>58.085620606092512</v>
      </c>
      <c r="AS429">
        <f>VLOOKUP($AC429,'2017 Seattle Tracts'!$C$2:$Z$399,AS$1,FALSE)*AA429</f>
        <v>178.8535656072489</v>
      </c>
      <c r="AT429">
        <f>VLOOKUP($AC429,'2017 Seattle Tracts'!$C$2:$Z$399,AT$1,FALSE)*AA429</f>
        <v>11.282818391111496</v>
      </c>
      <c r="AU429">
        <f>VLOOKUP($AC429,'2017 Seattle Tracts'!$C$2:$Z$399,AU$1,FALSE)*AA429</f>
        <v>37.191512474404561</v>
      </c>
      <c r="AV429">
        <f>VLOOKUP($AC429,'2017 Seattle Tracts'!$C$2:$Z$399,AV$1,FALSE)*AA429</f>
        <v>79.815493063047995</v>
      </c>
      <c r="AW429">
        <f>VLOOKUP($AC429,'2017 Seattle Tracts'!$C$2:$Z$399,AW$1,FALSE)*AA429</f>
        <v>131.63288122963411</v>
      </c>
      <c r="AX429">
        <f>VLOOKUP($AC429,'2017 Seattle Tracts'!$C$2:$Z$399,AX$1,FALSE)*AA429</f>
        <v>107.81359795950985</v>
      </c>
      <c r="AY429">
        <f>VLOOKUP($AC429,'2017 Seattle Tracts'!$C$2:$Z$399,AY$1,FALSE)*AA429</f>
        <v>15.461640017449087</v>
      </c>
    </row>
    <row r="430" spans="1:51" x14ac:dyDescent="0.25">
      <c r="A430" t="s">
        <v>2917</v>
      </c>
      <c r="B430" t="s">
        <v>2918</v>
      </c>
      <c r="C430" t="s">
        <v>3239</v>
      </c>
      <c r="D430" t="s">
        <v>2824</v>
      </c>
      <c r="E430" t="s">
        <v>2825</v>
      </c>
      <c r="F430" t="s">
        <v>2826</v>
      </c>
      <c r="G430" t="s">
        <v>2920</v>
      </c>
      <c r="H430" t="s">
        <v>2921</v>
      </c>
      <c r="I430">
        <v>1233155</v>
      </c>
      <c r="J430">
        <v>0</v>
      </c>
      <c r="K430" t="s">
        <v>3240</v>
      </c>
      <c r="L430" t="s">
        <v>3241</v>
      </c>
      <c r="M430">
        <v>1233155</v>
      </c>
      <c r="N430">
        <v>89</v>
      </c>
      <c r="O430">
        <v>31111.062999999998</v>
      </c>
      <c r="P430" t="s">
        <v>191</v>
      </c>
      <c r="Q430">
        <v>20</v>
      </c>
      <c r="R430">
        <v>10</v>
      </c>
      <c r="S430">
        <v>23</v>
      </c>
      <c r="T430">
        <v>39810332</v>
      </c>
      <c r="U430">
        <v>91</v>
      </c>
      <c r="V430">
        <v>188</v>
      </c>
      <c r="W430">
        <v>31111.063083771449</v>
      </c>
      <c r="X430">
        <v>39810333.415949456</v>
      </c>
      <c r="Y430">
        <v>123.246</v>
      </c>
      <c r="Z430">
        <f>VLOOKUP($AC430,'2017 Seattle Tracts'!$C$2:$Z$399,24,FALSE)</f>
        <v>1233155.173</v>
      </c>
      <c r="AA430">
        <f t="shared" si="13"/>
        <v>9.9943626478222626E-5</v>
      </c>
      <c r="AB430" t="s">
        <v>190</v>
      </c>
      <c r="AC430" t="str">
        <f t="shared" si="12"/>
        <v>Census Tract 114.01, King County, Washington</v>
      </c>
      <c r="AD430">
        <f>VLOOKUP($AC430,'2017 Seattle Tracts'!$C$2:$Z$399,AD$1,FALSE)*AA430</f>
        <v>0.42506024341188081</v>
      </c>
      <c r="AE430">
        <f>VLOOKUP($AC430,'2017 Seattle Tracts'!$C$2:$Z$399,AE$1,FALSE)*AA430</f>
        <v>0.32371740616296307</v>
      </c>
      <c r="AF430">
        <f>VLOOKUP($AC430,'2017 Seattle Tracts'!$C$2:$Z$399,AF$1,FALSE)*AA430</f>
        <v>0.10134283724891774</v>
      </c>
      <c r="AG430">
        <f>VLOOKUP($AC430,'2017 Seattle Tracts'!$C$2:$Z$399,AG$1,FALSE)*AA430</f>
        <v>0.42506024341188081</v>
      </c>
      <c r="AH430">
        <f>VLOOKUP($AC430,'2017 Seattle Tracts'!$C$2:$Z$399,AH$1,FALSE)*AA430</f>
        <v>0.32371740616296307</v>
      </c>
      <c r="AI430">
        <f>VLOOKUP($AC430,'2017 Seattle Tracts'!$C$2:$Z$399,AI$1,FALSE)*AA430</f>
        <v>0.10134283724891774</v>
      </c>
      <c r="AJ430">
        <f>VLOOKUP($AC430,'2017 Seattle Tracts'!$C$2:$Z$399,AJ$1,FALSE)*AA430</f>
        <v>0.17050382677184781</v>
      </c>
      <c r="AK430">
        <f>VLOOKUP($AC430,'2017 Seattle Tracts'!$C$2:$Z$399,AK$1,FALSE)*AA430</f>
        <v>7.195941106432029E-3</v>
      </c>
      <c r="AL430">
        <f>VLOOKUP($AC430,'2017 Seattle Tracts'!$C$2:$Z$399,AL$1,FALSE)*AA430</f>
        <v>2.0688330680992083E-2</v>
      </c>
      <c r="AM430">
        <f>VLOOKUP($AC430,'2017 Seattle Tracts'!$C$2:$Z$399,AM$1,FALSE)*AA430</f>
        <v>1.4991543971733395E-2</v>
      </c>
      <c r="AN430">
        <f>VLOOKUP($AC430,'2017 Seattle Tracts'!$C$2:$Z$399,AN$1,FALSE)*AA430</f>
        <v>6.8361440511104279E-2</v>
      </c>
      <c r="AO430">
        <f>VLOOKUP($AC430,'2017 Seattle Tracts'!$C$2:$Z$399,AO$1,FALSE)*AA430</f>
        <v>1.4391882212864058E-2</v>
      </c>
      <c r="AP430">
        <f>VLOOKUP($AC430,'2017 Seattle Tracts'!$C$2:$Z$399,AP$1,FALSE)*AA430</f>
        <v>2.8983651678684561E-3</v>
      </c>
      <c r="AQ430">
        <f>VLOOKUP($AC430,'2017 Seattle Tracts'!$C$2:$Z$399,AQ$1,FALSE)*AA430</f>
        <v>0</v>
      </c>
      <c r="AR430">
        <f>VLOOKUP($AC430,'2017 Seattle Tracts'!$C$2:$Z$399,AR$1,FALSE)*AA430</f>
        <v>1.5491262104124506E-2</v>
      </c>
      <c r="AS430">
        <f>VLOOKUP($AC430,'2017 Seattle Tracts'!$C$2:$Z$399,AS$1,FALSE)*AA430</f>
        <v>3.338117124372636E-2</v>
      </c>
      <c r="AT430">
        <f>VLOOKUP($AC430,'2017 Seattle Tracts'!$C$2:$Z$399,AT$1,FALSE)*AA430</f>
        <v>6.996053853475584E-4</v>
      </c>
      <c r="AU430">
        <f>VLOOKUP($AC430,'2017 Seattle Tracts'!$C$2:$Z$399,AU$1,FALSE)*AA430</f>
        <v>0</v>
      </c>
      <c r="AV430">
        <f>VLOOKUP($AC430,'2017 Seattle Tracts'!$C$2:$Z$399,AV$1,FALSE)*AA430</f>
        <v>1.36922768275165E-2</v>
      </c>
      <c r="AW430">
        <f>VLOOKUP($AC430,'2017 Seattle Tracts'!$C$2:$Z$399,AW$1,FALSE)*AA430</f>
        <v>2.5785455631381439E-2</v>
      </c>
      <c r="AX430">
        <f>VLOOKUP($AC430,'2017 Seattle Tracts'!$C$2:$Z$399,AX$1,FALSE)*AA430</f>
        <v>3.1382298714161906E-2</v>
      </c>
      <c r="AY430">
        <f>VLOOKUP($AC430,'2017 Seattle Tracts'!$C$2:$Z$399,AY$1,FALSE)*AA430</f>
        <v>5.5968430827804672E-3</v>
      </c>
    </row>
    <row r="431" spans="1:51" x14ac:dyDescent="0.25">
      <c r="A431" t="s">
        <v>2917</v>
      </c>
      <c r="B431" t="s">
        <v>2918</v>
      </c>
      <c r="C431" t="s">
        <v>3239</v>
      </c>
      <c r="D431" t="s">
        <v>2824</v>
      </c>
      <c r="E431" t="s">
        <v>2825</v>
      </c>
      <c r="F431" t="s">
        <v>2826</v>
      </c>
      <c r="G431" t="s">
        <v>2920</v>
      </c>
      <c r="H431" t="s">
        <v>2921</v>
      </c>
      <c r="I431">
        <v>1233155</v>
      </c>
      <c r="J431">
        <v>0</v>
      </c>
      <c r="K431" t="s">
        <v>3240</v>
      </c>
      <c r="L431" t="s">
        <v>3241</v>
      </c>
      <c r="M431">
        <v>1233155</v>
      </c>
      <c r="N431">
        <v>91</v>
      </c>
      <c r="O431">
        <v>25917.116999999998</v>
      </c>
      <c r="P431" t="s">
        <v>191</v>
      </c>
      <c r="Q431">
        <v>20</v>
      </c>
      <c r="R431">
        <v>10</v>
      </c>
      <c r="S431">
        <v>24</v>
      </c>
      <c r="T431">
        <v>33038268</v>
      </c>
      <c r="U431">
        <v>93</v>
      </c>
      <c r="V431">
        <v>180</v>
      </c>
      <c r="W431">
        <v>25917.117639101471</v>
      </c>
      <c r="X431">
        <v>33038267.192843691</v>
      </c>
      <c r="Y431">
        <v>1550.5229999999999</v>
      </c>
      <c r="Z431">
        <f>VLOOKUP($AC431,'2017 Seattle Tracts'!$C$2:$Z$399,24,FALSE)</f>
        <v>1233155.173</v>
      </c>
      <c r="AA431">
        <f t="shared" si="13"/>
        <v>1.2573624422528371E-3</v>
      </c>
      <c r="AB431" t="s">
        <v>193</v>
      </c>
      <c r="AC431" t="str">
        <f t="shared" si="12"/>
        <v>Census Tract 114.01, King County, Washington</v>
      </c>
      <c r="AD431">
        <f>VLOOKUP($AC431,'2017 Seattle Tracts'!$C$2:$Z$399,AD$1,FALSE)*AA431</f>
        <v>5.3475624669013166</v>
      </c>
      <c r="AE431">
        <f>VLOOKUP($AC431,'2017 Seattle Tracts'!$C$2:$Z$399,AE$1,FALSE)*AA431</f>
        <v>4.0725969504569397</v>
      </c>
      <c r="AF431">
        <f>VLOOKUP($AC431,'2017 Seattle Tracts'!$C$2:$Z$399,AF$1,FALSE)*AA431</f>
        <v>1.2749655164443769</v>
      </c>
      <c r="AG431">
        <f>VLOOKUP($AC431,'2017 Seattle Tracts'!$C$2:$Z$399,AG$1,FALSE)*AA431</f>
        <v>5.3475624669013166</v>
      </c>
      <c r="AH431">
        <f>VLOOKUP($AC431,'2017 Seattle Tracts'!$C$2:$Z$399,AH$1,FALSE)*AA431</f>
        <v>4.0725969504569397</v>
      </c>
      <c r="AI431">
        <f>VLOOKUP($AC431,'2017 Seattle Tracts'!$C$2:$Z$399,AI$1,FALSE)*AA431</f>
        <v>1.2749655164443769</v>
      </c>
      <c r="AJ431">
        <f>VLOOKUP($AC431,'2017 Seattle Tracts'!$C$2:$Z$399,AJ$1,FALSE)*AA431</f>
        <v>2.1450603264833403</v>
      </c>
      <c r="AK431">
        <f>VLOOKUP($AC431,'2017 Seattle Tracts'!$C$2:$Z$399,AK$1,FALSE)*AA431</f>
        <v>9.053009584220427E-2</v>
      </c>
      <c r="AL431">
        <f>VLOOKUP($AC431,'2017 Seattle Tracts'!$C$2:$Z$399,AL$1,FALSE)*AA431</f>
        <v>0.26027402554633727</v>
      </c>
      <c r="AM431">
        <f>VLOOKUP($AC431,'2017 Seattle Tracts'!$C$2:$Z$399,AM$1,FALSE)*AA431</f>
        <v>0.18860436633792557</v>
      </c>
      <c r="AN431">
        <f>VLOOKUP($AC431,'2017 Seattle Tracts'!$C$2:$Z$399,AN$1,FALSE)*AA431</f>
        <v>0.86003591050094064</v>
      </c>
      <c r="AO431">
        <f>VLOOKUP($AC431,'2017 Seattle Tracts'!$C$2:$Z$399,AO$1,FALSE)*AA431</f>
        <v>0.18106019168440854</v>
      </c>
      <c r="AP431">
        <f>VLOOKUP($AC431,'2017 Seattle Tracts'!$C$2:$Z$399,AP$1,FALSE)*AA431</f>
        <v>3.6463510825332279E-2</v>
      </c>
      <c r="AQ431">
        <f>VLOOKUP($AC431,'2017 Seattle Tracts'!$C$2:$Z$399,AQ$1,FALSE)*AA431</f>
        <v>0</v>
      </c>
      <c r="AR431">
        <f>VLOOKUP($AC431,'2017 Seattle Tracts'!$C$2:$Z$399,AR$1,FALSE)*AA431</f>
        <v>0.19489117854918975</v>
      </c>
      <c r="AS431">
        <f>VLOOKUP($AC431,'2017 Seattle Tracts'!$C$2:$Z$399,AS$1,FALSE)*AA431</f>
        <v>0.41995905571244763</v>
      </c>
      <c r="AT431">
        <f>VLOOKUP($AC431,'2017 Seattle Tracts'!$C$2:$Z$399,AT$1,FALSE)*AA431</f>
        <v>8.8015370957698607E-3</v>
      </c>
      <c r="AU431">
        <f>VLOOKUP($AC431,'2017 Seattle Tracts'!$C$2:$Z$399,AU$1,FALSE)*AA431</f>
        <v>0</v>
      </c>
      <c r="AV431">
        <f>VLOOKUP($AC431,'2017 Seattle Tracts'!$C$2:$Z$399,AV$1,FALSE)*AA431</f>
        <v>0.17225865458863868</v>
      </c>
      <c r="AW431">
        <f>VLOOKUP($AC431,'2017 Seattle Tracts'!$C$2:$Z$399,AW$1,FALSE)*AA431</f>
        <v>0.32439951010123197</v>
      </c>
      <c r="AX431">
        <f>VLOOKUP($AC431,'2017 Seattle Tracts'!$C$2:$Z$399,AX$1,FALSE)*AA431</f>
        <v>0.39481180686739087</v>
      </c>
      <c r="AY431">
        <f>VLOOKUP($AC431,'2017 Seattle Tracts'!$C$2:$Z$399,AY$1,FALSE)*AA431</f>
        <v>7.0412296766158886E-2</v>
      </c>
    </row>
    <row r="432" spans="1:51" x14ac:dyDescent="0.25">
      <c r="A432" t="s">
        <v>2917</v>
      </c>
      <c r="B432" t="s">
        <v>2918</v>
      </c>
      <c r="C432" t="s">
        <v>3239</v>
      </c>
      <c r="D432" t="s">
        <v>2824</v>
      </c>
      <c r="E432" t="s">
        <v>2825</v>
      </c>
      <c r="F432" t="s">
        <v>2826</v>
      </c>
      <c r="G432" t="s">
        <v>2920</v>
      </c>
      <c r="H432" t="s">
        <v>2921</v>
      </c>
      <c r="I432">
        <v>1233155</v>
      </c>
      <c r="J432">
        <v>0</v>
      </c>
      <c r="K432" t="s">
        <v>3240</v>
      </c>
      <c r="L432" t="s">
        <v>3241</v>
      </c>
      <c r="M432">
        <v>1233155</v>
      </c>
      <c r="N432">
        <v>92</v>
      </c>
      <c r="O432">
        <v>23180.396000000001</v>
      </c>
      <c r="P432" t="s">
        <v>191</v>
      </c>
      <c r="Q432">
        <v>20</v>
      </c>
      <c r="R432">
        <v>10</v>
      </c>
      <c r="S432">
        <v>95</v>
      </c>
      <c r="T432">
        <v>23343008</v>
      </c>
      <c r="U432">
        <v>94</v>
      </c>
      <c r="V432">
        <v>182</v>
      </c>
      <c r="W432">
        <v>23180.396359671431</v>
      </c>
      <c r="X432">
        <v>23343008.336782061</v>
      </c>
      <c r="Y432">
        <v>1147.4449999999999</v>
      </c>
      <c r="Z432">
        <f>VLOOKUP($AC432,'2017 Seattle Tracts'!$C$2:$Z$399,24,FALSE)</f>
        <v>1233155.173</v>
      </c>
      <c r="AA432">
        <f t="shared" si="13"/>
        <v>9.3049522486980641E-4</v>
      </c>
      <c r="AB432" t="s">
        <v>194</v>
      </c>
      <c r="AC432" t="str">
        <f t="shared" si="12"/>
        <v>Census Tract 114.01, King County, Washington</v>
      </c>
      <c r="AD432">
        <f>VLOOKUP($AC432,'2017 Seattle Tracts'!$C$2:$Z$399,AD$1,FALSE)*AA432</f>
        <v>3.9573961913712865</v>
      </c>
      <c r="AE432">
        <f>VLOOKUP($AC432,'2017 Seattle Tracts'!$C$2:$Z$399,AE$1,FALSE)*AA432</f>
        <v>3.0138740333533032</v>
      </c>
      <c r="AF432">
        <f>VLOOKUP($AC432,'2017 Seattle Tracts'!$C$2:$Z$399,AF$1,FALSE)*AA432</f>
        <v>0.94352215801798367</v>
      </c>
      <c r="AG432">
        <f>VLOOKUP($AC432,'2017 Seattle Tracts'!$C$2:$Z$399,AG$1,FALSE)*AA432</f>
        <v>3.9573961913712865</v>
      </c>
      <c r="AH432">
        <f>VLOOKUP($AC432,'2017 Seattle Tracts'!$C$2:$Z$399,AH$1,FALSE)*AA432</f>
        <v>3.0138740333533032</v>
      </c>
      <c r="AI432">
        <f>VLOOKUP($AC432,'2017 Seattle Tracts'!$C$2:$Z$399,AI$1,FALSE)*AA432</f>
        <v>0.94352215801798367</v>
      </c>
      <c r="AJ432">
        <f>VLOOKUP($AC432,'2017 Seattle Tracts'!$C$2:$Z$399,AJ$1,FALSE)*AA432</f>
        <v>1.5874248536278897</v>
      </c>
      <c r="AK432">
        <f>VLOOKUP($AC432,'2017 Seattle Tracts'!$C$2:$Z$399,AK$1,FALSE)*AA432</f>
        <v>6.6995656190626057E-2</v>
      </c>
      <c r="AL432">
        <f>VLOOKUP($AC432,'2017 Seattle Tracts'!$C$2:$Z$399,AL$1,FALSE)*AA432</f>
        <v>0.19261251154804993</v>
      </c>
      <c r="AM432">
        <f>VLOOKUP($AC432,'2017 Seattle Tracts'!$C$2:$Z$399,AM$1,FALSE)*AA432</f>
        <v>0.13957428373047095</v>
      </c>
      <c r="AN432">
        <f>VLOOKUP($AC432,'2017 Seattle Tracts'!$C$2:$Z$399,AN$1,FALSE)*AA432</f>
        <v>0.63645873381094753</v>
      </c>
      <c r="AO432">
        <f>VLOOKUP($AC432,'2017 Seattle Tracts'!$C$2:$Z$399,AO$1,FALSE)*AA432</f>
        <v>0.13399131238125211</v>
      </c>
      <c r="AP432">
        <f>VLOOKUP($AC432,'2017 Seattle Tracts'!$C$2:$Z$399,AP$1,FALSE)*AA432</f>
        <v>2.6984361521224385E-2</v>
      </c>
      <c r="AQ432">
        <f>VLOOKUP($AC432,'2017 Seattle Tracts'!$C$2:$Z$399,AQ$1,FALSE)*AA432</f>
        <v>0</v>
      </c>
      <c r="AR432">
        <f>VLOOKUP($AC432,'2017 Seattle Tracts'!$C$2:$Z$399,AR$1,FALSE)*AA432</f>
        <v>0.14422675985482</v>
      </c>
      <c r="AS432">
        <f>VLOOKUP($AC432,'2017 Seattle Tracts'!$C$2:$Z$399,AS$1,FALSE)*AA432</f>
        <v>0.31078540510651537</v>
      </c>
      <c r="AT432">
        <f>VLOOKUP($AC432,'2017 Seattle Tracts'!$C$2:$Z$399,AT$1,FALSE)*AA432</f>
        <v>6.5134665740886446E-3</v>
      </c>
      <c r="AU432">
        <f>VLOOKUP($AC432,'2017 Seattle Tracts'!$C$2:$Z$399,AU$1,FALSE)*AA432</f>
        <v>0</v>
      </c>
      <c r="AV432">
        <f>VLOOKUP($AC432,'2017 Seattle Tracts'!$C$2:$Z$399,AV$1,FALSE)*AA432</f>
        <v>0.12747784580716348</v>
      </c>
      <c r="AW432">
        <f>VLOOKUP($AC432,'2017 Seattle Tracts'!$C$2:$Z$399,AW$1,FALSE)*AA432</f>
        <v>0.24006776801641005</v>
      </c>
      <c r="AX432">
        <f>VLOOKUP($AC432,'2017 Seattle Tracts'!$C$2:$Z$399,AX$1,FALSE)*AA432</f>
        <v>0.29217550060911923</v>
      </c>
      <c r="AY432">
        <f>VLOOKUP($AC432,'2017 Seattle Tracts'!$C$2:$Z$399,AY$1,FALSE)*AA432</f>
        <v>5.2107732592709156E-2</v>
      </c>
    </row>
    <row r="433" spans="1:51" x14ac:dyDescent="0.25">
      <c r="A433" t="s">
        <v>2917</v>
      </c>
      <c r="B433" t="s">
        <v>2918</v>
      </c>
      <c r="C433" t="s">
        <v>3239</v>
      </c>
      <c r="D433" t="s">
        <v>2824</v>
      </c>
      <c r="E433" t="s">
        <v>2825</v>
      </c>
      <c r="F433" t="s">
        <v>2826</v>
      </c>
      <c r="G433" t="s">
        <v>2920</v>
      </c>
      <c r="H433" t="s">
        <v>2921</v>
      </c>
      <c r="I433">
        <v>1233155</v>
      </c>
      <c r="J433">
        <v>0</v>
      </c>
      <c r="K433" t="s">
        <v>3240</v>
      </c>
      <c r="L433" t="s">
        <v>3241</v>
      </c>
      <c r="M433">
        <v>1233155</v>
      </c>
      <c r="N433">
        <v>93</v>
      </c>
      <c r="O433">
        <v>23416.34</v>
      </c>
      <c r="P433" t="s">
        <v>191</v>
      </c>
      <c r="Q433">
        <v>20</v>
      </c>
      <c r="R433">
        <v>10</v>
      </c>
      <c r="S433">
        <v>94</v>
      </c>
      <c r="T433">
        <v>17923316</v>
      </c>
      <c r="U433">
        <v>95</v>
      </c>
      <c r="V433">
        <v>190</v>
      </c>
      <c r="W433">
        <v>23416.340535979401</v>
      </c>
      <c r="X433">
        <v>17923316.223963421</v>
      </c>
      <c r="Y433">
        <v>964817.23800000001</v>
      </c>
      <c r="Z433">
        <f>VLOOKUP($AC433,'2017 Seattle Tracts'!$C$2:$Z$399,24,FALSE)</f>
        <v>1233155.173</v>
      </c>
      <c r="AA433">
        <f t="shared" si="13"/>
        <v>0.78239726769568529</v>
      </c>
      <c r="AB433" t="s">
        <v>195</v>
      </c>
      <c r="AC433" t="str">
        <f t="shared" si="12"/>
        <v>Census Tract 114.01, King County, Washington</v>
      </c>
      <c r="AD433">
        <f>VLOOKUP($AC433,'2017 Seattle Tracts'!$C$2:$Z$399,AD$1,FALSE)*AA433</f>
        <v>3327.5355795097494</v>
      </c>
      <c r="AE433">
        <f>VLOOKUP($AC433,'2017 Seattle Tracts'!$C$2:$Z$399,AE$1,FALSE)*AA433</f>
        <v>2534.1847500663248</v>
      </c>
      <c r="AF433">
        <f>VLOOKUP($AC433,'2017 Seattle Tracts'!$C$2:$Z$399,AF$1,FALSE)*AA433</f>
        <v>793.35082944342491</v>
      </c>
      <c r="AG433">
        <f>VLOOKUP($AC433,'2017 Seattle Tracts'!$C$2:$Z$399,AG$1,FALSE)*AA433</f>
        <v>3327.5355795097494</v>
      </c>
      <c r="AH433">
        <f>VLOOKUP($AC433,'2017 Seattle Tracts'!$C$2:$Z$399,AH$1,FALSE)*AA433</f>
        <v>2534.1847500663248</v>
      </c>
      <c r="AI433">
        <f>VLOOKUP($AC433,'2017 Seattle Tracts'!$C$2:$Z$399,AI$1,FALSE)*AA433</f>
        <v>793.35082944342491</v>
      </c>
      <c r="AJ433">
        <f>VLOOKUP($AC433,'2017 Seattle Tracts'!$C$2:$Z$399,AJ$1,FALSE)*AA433</f>
        <v>1334.7697386888392</v>
      </c>
      <c r="AK433">
        <f>VLOOKUP($AC433,'2017 Seattle Tracts'!$C$2:$Z$399,AK$1,FALSE)*AA433</f>
        <v>56.332603274089344</v>
      </c>
      <c r="AL433">
        <f>VLOOKUP($AC433,'2017 Seattle Tracts'!$C$2:$Z$399,AL$1,FALSE)*AA433</f>
        <v>161.95623441300685</v>
      </c>
      <c r="AM433">
        <f>VLOOKUP($AC433,'2017 Seattle Tracts'!$C$2:$Z$399,AM$1,FALSE)*AA433</f>
        <v>117.35959015435279</v>
      </c>
      <c r="AN433">
        <f>VLOOKUP($AC433,'2017 Seattle Tracts'!$C$2:$Z$399,AN$1,FALSE)*AA433</f>
        <v>535.15973110384869</v>
      </c>
      <c r="AO433">
        <f>VLOOKUP($AC433,'2017 Seattle Tracts'!$C$2:$Z$399,AO$1,FALSE)*AA433</f>
        <v>112.66520654817869</v>
      </c>
      <c r="AP433">
        <f>VLOOKUP($AC433,'2017 Seattle Tracts'!$C$2:$Z$399,AP$1,FALSE)*AA433</f>
        <v>22.689520763174873</v>
      </c>
      <c r="AQ433">
        <f>VLOOKUP($AC433,'2017 Seattle Tracts'!$C$2:$Z$399,AQ$1,FALSE)*AA433</f>
        <v>0</v>
      </c>
      <c r="AR433">
        <f>VLOOKUP($AC433,'2017 Seattle Tracts'!$C$2:$Z$399,AR$1,FALSE)*AA433</f>
        <v>121.27157649283122</v>
      </c>
      <c r="AS433">
        <f>VLOOKUP($AC433,'2017 Seattle Tracts'!$C$2:$Z$399,AS$1,FALSE)*AA433</f>
        <v>261.32068741035891</v>
      </c>
      <c r="AT433">
        <f>VLOOKUP($AC433,'2017 Seattle Tracts'!$C$2:$Z$399,AT$1,FALSE)*AA433</f>
        <v>5.4767808738697967</v>
      </c>
      <c r="AU433">
        <f>VLOOKUP($AC433,'2017 Seattle Tracts'!$C$2:$Z$399,AU$1,FALSE)*AA433</f>
        <v>0</v>
      </c>
      <c r="AV433">
        <f>VLOOKUP($AC433,'2017 Seattle Tracts'!$C$2:$Z$399,AV$1,FALSE)*AA433</f>
        <v>107.18842567430889</v>
      </c>
      <c r="AW433">
        <f>VLOOKUP($AC433,'2017 Seattle Tracts'!$C$2:$Z$399,AW$1,FALSE)*AA433</f>
        <v>201.85849506548681</v>
      </c>
      <c r="AX433">
        <f>VLOOKUP($AC433,'2017 Seattle Tracts'!$C$2:$Z$399,AX$1,FALSE)*AA433</f>
        <v>245.67274205644517</v>
      </c>
      <c r="AY433">
        <f>VLOOKUP($AC433,'2017 Seattle Tracts'!$C$2:$Z$399,AY$1,FALSE)*AA433</f>
        <v>43.814246990958374</v>
      </c>
    </row>
    <row r="434" spans="1:51" x14ac:dyDescent="0.25">
      <c r="A434" t="s">
        <v>2917</v>
      </c>
      <c r="B434" t="s">
        <v>2918</v>
      </c>
      <c r="C434" t="s">
        <v>3239</v>
      </c>
      <c r="D434" t="s">
        <v>2824</v>
      </c>
      <c r="E434" t="s">
        <v>2825</v>
      </c>
      <c r="F434" t="s">
        <v>2826</v>
      </c>
      <c r="G434" t="s">
        <v>2920</v>
      </c>
      <c r="H434" t="s">
        <v>2921</v>
      </c>
      <c r="I434">
        <v>1233155</v>
      </c>
      <c r="J434">
        <v>0</v>
      </c>
      <c r="K434" t="s">
        <v>3240</v>
      </c>
      <c r="L434" t="s">
        <v>3241</v>
      </c>
      <c r="M434">
        <v>1233155</v>
      </c>
      <c r="N434">
        <v>94</v>
      </c>
      <c r="O434">
        <v>22360.046999999999</v>
      </c>
      <c r="P434" t="s">
        <v>191</v>
      </c>
      <c r="Q434">
        <v>20</v>
      </c>
      <c r="R434">
        <v>10</v>
      </c>
      <c r="S434">
        <v>0</v>
      </c>
      <c r="T434">
        <v>18781060</v>
      </c>
      <c r="U434">
        <v>96</v>
      </c>
      <c r="V434">
        <v>191</v>
      </c>
      <c r="W434">
        <v>22360.047228914489</v>
      </c>
      <c r="X434">
        <v>18781059.844160609</v>
      </c>
      <c r="Y434">
        <v>265516.70899999997</v>
      </c>
      <c r="Z434">
        <f>VLOOKUP($AC434,'2017 Seattle Tracts'!$C$2:$Z$399,24,FALSE)</f>
        <v>1233155.173</v>
      </c>
      <c r="AA434">
        <f t="shared" si="13"/>
        <v>0.21531492127957849</v>
      </c>
      <c r="AB434" t="s">
        <v>196</v>
      </c>
      <c r="AC434" t="str">
        <f t="shared" si="12"/>
        <v>Census Tract 114.01, King County, Washington</v>
      </c>
      <c r="AD434">
        <f>VLOOKUP($AC434,'2017 Seattle Tracts'!$C$2:$Z$399,AD$1,FALSE)*AA434</f>
        <v>915.73436020204736</v>
      </c>
      <c r="AE434">
        <f>VLOOKUP($AC434,'2017 Seattle Tracts'!$C$2:$Z$399,AE$1,FALSE)*AA434</f>
        <v>697.40503002455478</v>
      </c>
      <c r="AF434">
        <f>VLOOKUP($AC434,'2017 Seattle Tracts'!$C$2:$Z$399,AF$1,FALSE)*AA434</f>
        <v>218.32933017749258</v>
      </c>
      <c r="AG434">
        <f>VLOOKUP($AC434,'2017 Seattle Tracts'!$C$2:$Z$399,AG$1,FALSE)*AA434</f>
        <v>915.73436020204736</v>
      </c>
      <c r="AH434">
        <f>VLOOKUP($AC434,'2017 Seattle Tracts'!$C$2:$Z$399,AH$1,FALSE)*AA434</f>
        <v>697.40503002455478</v>
      </c>
      <c r="AI434">
        <f>VLOOKUP($AC434,'2017 Seattle Tracts'!$C$2:$Z$399,AI$1,FALSE)*AA434</f>
        <v>218.32933017749258</v>
      </c>
      <c r="AJ434">
        <f>VLOOKUP($AC434,'2017 Seattle Tracts'!$C$2:$Z$399,AJ$1,FALSE)*AA434</f>
        <v>367.32725570296088</v>
      </c>
      <c r="AK434">
        <f>VLOOKUP($AC434,'2017 Seattle Tracts'!$C$2:$Z$399,AK$1,FALSE)*AA434</f>
        <v>15.502674332129651</v>
      </c>
      <c r="AL434">
        <f>VLOOKUP($AC434,'2017 Seattle Tracts'!$C$2:$Z$399,AL$1,FALSE)*AA434</f>
        <v>44.570188704872749</v>
      </c>
      <c r="AM434">
        <f>VLOOKUP($AC434,'2017 Seattle Tracts'!$C$2:$Z$399,AM$1,FALSE)*AA434</f>
        <v>32.297238191936771</v>
      </c>
      <c r="AN434">
        <f>VLOOKUP($AC434,'2017 Seattle Tracts'!$C$2:$Z$399,AN$1,FALSE)*AA434</f>
        <v>147.27540615523168</v>
      </c>
      <c r="AO434">
        <f>VLOOKUP($AC434,'2017 Seattle Tracts'!$C$2:$Z$399,AO$1,FALSE)*AA434</f>
        <v>31.005348664259301</v>
      </c>
      <c r="AP434">
        <f>VLOOKUP($AC434,'2017 Seattle Tracts'!$C$2:$Z$399,AP$1,FALSE)*AA434</f>
        <v>6.2441327171077763</v>
      </c>
      <c r="AQ434">
        <f>VLOOKUP($AC434,'2017 Seattle Tracts'!$C$2:$Z$399,AQ$1,FALSE)*AA434</f>
        <v>0</v>
      </c>
      <c r="AR434">
        <f>VLOOKUP($AC434,'2017 Seattle Tracts'!$C$2:$Z$399,AR$1,FALSE)*AA434</f>
        <v>33.373812798334669</v>
      </c>
      <c r="AS434">
        <f>VLOOKUP($AC434,'2017 Seattle Tracts'!$C$2:$Z$399,AS$1,FALSE)*AA434</f>
        <v>71.915183707379214</v>
      </c>
      <c r="AT434">
        <f>VLOOKUP($AC434,'2017 Seattle Tracts'!$C$2:$Z$399,AT$1,FALSE)*AA434</f>
        <v>1.5072044489570495</v>
      </c>
      <c r="AU434">
        <f>VLOOKUP($AC434,'2017 Seattle Tracts'!$C$2:$Z$399,AU$1,FALSE)*AA434</f>
        <v>0</v>
      </c>
      <c r="AV434">
        <f>VLOOKUP($AC434,'2017 Seattle Tracts'!$C$2:$Z$399,AV$1,FALSE)*AA434</f>
        <v>29.498144215302254</v>
      </c>
      <c r="AW434">
        <f>VLOOKUP($AC434,'2017 Seattle Tracts'!$C$2:$Z$399,AW$1,FALSE)*AA434</f>
        <v>55.55124969013125</v>
      </c>
      <c r="AX434">
        <f>VLOOKUP($AC434,'2017 Seattle Tracts'!$C$2:$Z$399,AX$1,FALSE)*AA434</f>
        <v>67.60888528178765</v>
      </c>
      <c r="AY434">
        <f>VLOOKUP($AC434,'2017 Seattle Tracts'!$C$2:$Z$399,AY$1,FALSE)*AA434</f>
        <v>12.057635591656396</v>
      </c>
    </row>
    <row r="435" spans="1:51" x14ac:dyDescent="0.25">
      <c r="A435" t="s">
        <v>2917</v>
      </c>
      <c r="B435" t="s">
        <v>2918</v>
      </c>
      <c r="C435" t="s">
        <v>3242</v>
      </c>
      <c r="D435" t="s">
        <v>2692</v>
      </c>
      <c r="E435" t="s">
        <v>2693</v>
      </c>
      <c r="F435" t="s">
        <v>2694</v>
      </c>
      <c r="G435" t="s">
        <v>2920</v>
      </c>
      <c r="H435" t="s">
        <v>2921</v>
      </c>
      <c r="I435">
        <v>330838</v>
      </c>
      <c r="J435">
        <v>0</v>
      </c>
      <c r="K435" t="s">
        <v>3243</v>
      </c>
      <c r="L435" t="s">
        <v>3244</v>
      </c>
      <c r="M435">
        <v>330838</v>
      </c>
      <c r="N435">
        <v>36</v>
      </c>
      <c r="O435">
        <v>30993.599999999999</v>
      </c>
      <c r="P435" t="s">
        <v>122</v>
      </c>
      <c r="Q435">
        <v>4</v>
      </c>
      <c r="R435">
        <v>5</v>
      </c>
      <c r="S435">
        <v>81</v>
      </c>
      <c r="T435">
        <v>37020968</v>
      </c>
      <c r="U435">
        <v>38</v>
      </c>
      <c r="V435">
        <v>125</v>
      </c>
      <c r="W435">
        <v>30993.600213945359</v>
      </c>
      <c r="X435">
        <v>37020968.872468568</v>
      </c>
      <c r="Y435">
        <v>8927.2559999999994</v>
      </c>
      <c r="Z435">
        <f>VLOOKUP($AC435,'2017 Seattle Tracts'!$C$2:$Z$399,24,FALSE)</f>
        <v>330837.75</v>
      </c>
      <c r="AA435">
        <f t="shared" si="13"/>
        <v>2.6983788881407879E-2</v>
      </c>
      <c r="AB435" t="s">
        <v>127</v>
      </c>
      <c r="AC435" t="str">
        <f t="shared" si="12"/>
        <v>Census Tract 43.02, King County, Washington</v>
      </c>
      <c r="AD435">
        <f>VLOOKUP($AC435,'2017 Seattle Tracts'!$C$2:$Z$399,AD$1,FALSE)*AA435</f>
        <v>103.99552234894597</v>
      </c>
      <c r="AE435">
        <f>VLOOKUP($AC435,'2017 Seattle Tracts'!$C$2:$Z$399,AE$1,FALSE)*AA435</f>
        <v>66.649958537077467</v>
      </c>
      <c r="AF435">
        <f>VLOOKUP($AC435,'2017 Seattle Tracts'!$C$2:$Z$399,AF$1,FALSE)*AA435</f>
        <v>37.345563811868502</v>
      </c>
      <c r="AG435">
        <f>VLOOKUP($AC435,'2017 Seattle Tracts'!$C$2:$Z$399,AG$1,FALSE)*AA435</f>
        <v>103.99552234894597</v>
      </c>
      <c r="AH435">
        <f>VLOOKUP($AC435,'2017 Seattle Tracts'!$C$2:$Z$399,AH$1,FALSE)*AA435</f>
        <v>66.649958537077467</v>
      </c>
      <c r="AI435">
        <f>VLOOKUP($AC435,'2017 Seattle Tracts'!$C$2:$Z$399,AI$1,FALSE)*AA435</f>
        <v>37.345563811868502</v>
      </c>
      <c r="AJ435">
        <f>VLOOKUP($AC435,'2017 Seattle Tracts'!$C$2:$Z$399,AJ$1,FALSE)*AA435</f>
        <v>49.137479553043747</v>
      </c>
      <c r="AK435">
        <f>VLOOKUP($AC435,'2017 Seattle Tracts'!$C$2:$Z$399,AK$1,FALSE)*AA435</f>
        <v>9.5252774751369813</v>
      </c>
      <c r="AL435">
        <f>VLOOKUP($AC435,'2017 Seattle Tracts'!$C$2:$Z$399,AL$1,FALSE)*AA435</f>
        <v>0.99840018861209157</v>
      </c>
      <c r="AM435">
        <f>VLOOKUP($AC435,'2017 Seattle Tracts'!$C$2:$Z$399,AM$1,FALSE)*AA435</f>
        <v>0</v>
      </c>
      <c r="AN435">
        <f>VLOOKUP($AC435,'2017 Seattle Tracts'!$C$2:$Z$399,AN$1,FALSE)*AA435</f>
        <v>1.3761732329518017</v>
      </c>
      <c r="AO435">
        <f>VLOOKUP($AC435,'2017 Seattle Tracts'!$C$2:$Z$399,AO$1,FALSE)*AA435</f>
        <v>1.6460111217658806</v>
      </c>
      <c r="AP435">
        <f>VLOOKUP($AC435,'2017 Seattle Tracts'!$C$2:$Z$399,AP$1,FALSE)*AA435</f>
        <v>0.21587031105126303</v>
      </c>
      <c r="AQ435">
        <f>VLOOKUP($AC435,'2017 Seattle Tracts'!$C$2:$Z$399,AQ$1,FALSE)*AA435</f>
        <v>0</v>
      </c>
      <c r="AR435">
        <f>VLOOKUP($AC435,'2017 Seattle Tracts'!$C$2:$Z$399,AR$1,FALSE)*AA435</f>
        <v>8.0681528755409566</v>
      </c>
      <c r="AS435">
        <f>VLOOKUP($AC435,'2017 Seattle Tracts'!$C$2:$Z$399,AS$1,FALSE)*AA435</f>
        <v>24.717150615369619</v>
      </c>
      <c r="AT435">
        <f>VLOOKUP($AC435,'2017 Seattle Tracts'!$C$2:$Z$399,AT$1,FALSE)*AA435</f>
        <v>0</v>
      </c>
      <c r="AU435">
        <f>VLOOKUP($AC435,'2017 Seattle Tracts'!$C$2:$Z$399,AU$1,FALSE)*AA435</f>
        <v>0</v>
      </c>
      <c r="AV435">
        <f>VLOOKUP($AC435,'2017 Seattle Tracts'!$C$2:$Z$399,AV$1,FALSE)*AA435</f>
        <v>0.51269198874674971</v>
      </c>
      <c r="AW435">
        <f>VLOOKUP($AC435,'2017 Seattle Tracts'!$C$2:$Z$399,AW$1,FALSE)*AA435</f>
        <v>0.64761093315378915</v>
      </c>
      <c r="AX435">
        <f>VLOOKUP($AC435,'2017 Seattle Tracts'!$C$2:$Z$399,AX$1,FALSE)*AA435</f>
        <v>6.3411903871308519</v>
      </c>
      <c r="AY435">
        <f>VLOOKUP($AC435,'2017 Seattle Tracts'!$C$2:$Z$399,AY$1,FALSE)*AA435</f>
        <v>0.80951366644223632</v>
      </c>
    </row>
    <row r="436" spans="1:51" x14ac:dyDescent="0.25">
      <c r="A436" t="s">
        <v>2917</v>
      </c>
      <c r="B436" t="s">
        <v>2918</v>
      </c>
      <c r="C436" t="s">
        <v>3242</v>
      </c>
      <c r="D436" t="s">
        <v>2692</v>
      </c>
      <c r="E436" t="s">
        <v>2693</v>
      </c>
      <c r="F436" t="s">
        <v>2694</v>
      </c>
      <c r="G436" t="s">
        <v>2920</v>
      </c>
      <c r="H436" t="s">
        <v>2921</v>
      </c>
      <c r="I436">
        <v>330838</v>
      </c>
      <c r="J436">
        <v>0</v>
      </c>
      <c r="K436" t="s">
        <v>3243</v>
      </c>
      <c r="L436" t="s">
        <v>3244</v>
      </c>
      <c r="M436">
        <v>330838</v>
      </c>
      <c r="N436">
        <v>42</v>
      </c>
      <c r="O436">
        <v>41446.940999999999</v>
      </c>
      <c r="P436" t="s">
        <v>134</v>
      </c>
      <c r="Q436">
        <v>5</v>
      </c>
      <c r="R436">
        <v>12</v>
      </c>
      <c r="S436">
        <v>33</v>
      </c>
      <c r="T436">
        <v>49348388</v>
      </c>
      <c r="U436">
        <v>44</v>
      </c>
      <c r="V436">
        <v>139</v>
      </c>
      <c r="W436">
        <v>41446.941321259314</v>
      </c>
      <c r="X436">
        <v>49348387.058142804</v>
      </c>
      <c r="Y436">
        <v>321910.49300000002</v>
      </c>
      <c r="Z436">
        <f>VLOOKUP($AC436,'2017 Seattle Tracts'!$C$2:$Z$399,24,FALSE)</f>
        <v>330837.75</v>
      </c>
      <c r="AA436">
        <f t="shared" si="13"/>
        <v>0.97301620809596245</v>
      </c>
      <c r="AB436" t="s">
        <v>133</v>
      </c>
      <c r="AC436" t="str">
        <f t="shared" si="12"/>
        <v>Census Tract 43.02, King County, Washington</v>
      </c>
      <c r="AD436">
        <f>VLOOKUP($AC436,'2017 Seattle Tracts'!$C$2:$Z$399,AD$1,FALSE)*AA436</f>
        <v>3750.0044660018393</v>
      </c>
      <c r="AE436">
        <f>VLOOKUP($AC436,'2017 Seattle Tracts'!$C$2:$Z$399,AE$1,FALSE)*AA436</f>
        <v>2403.3500339970274</v>
      </c>
      <c r="AF436">
        <f>VLOOKUP($AC436,'2017 Seattle Tracts'!$C$2:$Z$399,AF$1,FALSE)*AA436</f>
        <v>1346.654432004812</v>
      </c>
      <c r="AG436">
        <f>VLOOKUP($AC436,'2017 Seattle Tracts'!$C$2:$Z$399,AG$1,FALSE)*AA436</f>
        <v>3750.0044660018393</v>
      </c>
      <c r="AH436">
        <f>VLOOKUP($AC436,'2017 Seattle Tracts'!$C$2:$Z$399,AH$1,FALSE)*AA436</f>
        <v>2403.3500339970274</v>
      </c>
      <c r="AI436">
        <f>VLOOKUP($AC436,'2017 Seattle Tracts'!$C$2:$Z$399,AI$1,FALSE)*AA436</f>
        <v>1346.654432004812</v>
      </c>
      <c r="AJ436">
        <f>VLOOKUP($AC436,'2017 Seattle Tracts'!$C$2:$Z$399,AJ$1,FALSE)*AA436</f>
        <v>1771.8625149427476</v>
      </c>
      <c r="AK436">
        <f>VLOOKUP($AC436,'2017 Seattle Tracts'!$C$2:$Z$399,AK$1,FALSE)*AA436</f>
        <v>343.47472145787475</v>
      </c>
      <c r="AL436">
        <f>VLOOKUP($AC436,'2017 Seattle Tracts'!$C$2:$Z$399,AL$1,FALSE)*AA436</f>
        <v>36.00159969955061</v>
      </c>
      <c r="AM436">
        <f>VLOOKUP($AC436,'2017 Seattle Tracts'!$C$2:$Z$399,AM$1,FALSE)*AA436</f>
        <v>0</v>
      </c>
      <c r="AN436">
        <f>VLOOKUP($AC436,'2017 Seattle Tracts'!$C$2:$Z$399,AN$1,FALSE)*AA436</f>
        <v>49.623826612894085</v>
      </c>
      <c r="AO436">
        <f>VLOOKUP($AC436,'2017 Seattle Tracts'!$C$2:$Z$399,AO$1,FALSE)*AA436</f>
        <v>59.353988693853708</v>
      </c>
      <c r="AP436">
        <f>VLOOKUP($AC436,'2017 Seattle Tracts'!$C$2:$Z$399,AP$1,FALSE)*AA436</f>
        <v>7.7841296647676996</v>
      </c>
      <c r="AQ436">
        <f>VLOOKUP($AC436,'2017 Seattle Tracts'!$C$2:$Z$399,AQ$1,FALSE)*AA436</f>
        <v>0</v>
      </c>
      <c r="AR436">
        <f>VLOOKUP($AC436,'2017 Seattle Tracts'!$C$2:$Z$399,AR$1,FALSE)*AA436</f>
        <v>290.93184622069276</v>
      </c>
      <c r="AS436">
        <f>VLOOKUP($AC436,'2017 Seattle Tracts'!$C$2:$Z$399,AS$1,FALSE)*AA436</f>
        <v>891.28284661590158</v>
      </c>
      <c r="AT436">
        <f>VLOOKUP($AC436,'2017 Seattle Tracts'!$C$2:$Z$399,AT$1,FALSE)*AA436</f>
        <v>0</v>
      </c>
      <c r="AU436">
        <f>VLOOKUP($AC436,'2017 Seattle Tracts'!$C$2:$Z$399,AU$1,FALSE)*AA436</f>
        <v>0</v>
      </c>
      <c r="AV436">
        <f>VLOOKUP($AC436,'2017 Seattle Tracts'!$C$2:$Z$399,AV$1,FALSE)*AA436</f>
        <v>18.487307953823287</v>
      </c>
      <c r="AW436">
        <f>VLOOKUP($AC436,'2017 Seattle Tracts'!$C$2:$Z$399,AW$1,FALSE)*AA436</f>
        <v>23.352388994303098</v>
      </c>
      <c r="AX436">
        <f>VLOOKUP($AC436,'2017 Seattle Tracts'!$C$2:$Z$399,AX$1,FALSE)*AA436</f>
        <v>228.65880890255119</v>
      </c>
      <c r="AY436">
        <f>VLOOKUP($AC436,'2017 Seattle Tracts'!$C$2:$Z$399,AY$1,FALSE)*AA436</f>
        <v>29.190486242878873</v>
      </c>
    </row>
    <row r="437" spans="1:51" x14ac:dyDescent="0.25">
      <c r="A437" t="s">
        <v>2917</v>
      </c>
      <c r="B437" t="s">
        <v>2918</v>
      </c>
      <c r="C437" t="s">
        <v>3245</v>
      </c>
      <c r="D437" t="s">
        <v>2881</v>
      </c>
      <c r="E437" t="s">
        <v>2882</v>
      </c>
      <c r="F437" t="s">
        <v>2883</v>
      </c>
      <c r="G437" t="s">
        <v>2920</v>
      </c>
      <c r="H437" t="s">
        <v>2921</v>
      </c>
      <c r="I437">
        <v>948258</v>
      </c>
      <c r="J437">
        <v>0</v>
      </c>
      <c r="K437" t="s">
        <v>3246</v>
      </c>
      <c r="L437" t="s">
        <v>3247</v>
      </c>
      <c r="M437">
        <v>948252</v>
      </c>
      <c r="N437">
        <v>79</v>
      </c>
      <c r="O437">
        <v>33865.487999999998</v>
      </c>
      <c r="P437" t="s">
        <v>179</v>
      </c>
      <c r="Q437">
        <v>17</v>
      </c>
      <c r="R437">
        <v>5</v>
      </c>
      <c r="S437">
        <v>9</v>
      </c>
      <c r="T437">
        <v>48475916</v>
      </c>
      <c r="U437">
        <v>81</v>
      </c>
      <c r="V437">
        <v>166</v>
      </c>
      <c r="W437">
        <v>33865.489173990143</v>
      </c>
      <c r="X437">
        <v>48475914.455668777</v>
      </c>
      <c r="Y437">
        <v>947577.40099999995</v>
      </c>
      <c r="Z437">
        <f>VLOOKUP($AC437,'2017 Seattle Tracts'!$C$2:$Z$399,24,FALSE)</f>
        <v>948252.446</v>
      </c>
      <c r="AA437">
        <f t="shared" si="13"/>
        <v>0.99928811678488405</v>
      </c>
      <c r="AB437" t="s">
        <v>178</v>
      </c>
      <c r="AC437" t="str">
        <f t="shared" si="12"/>
        <v>Census Tract 100.02, King County, Washington</v>
      </c>
      <c r="AD437">
        <f>VLOOKUP($AC437,'2017 Seattle Tracts'!$C$2:$Z$399,AD$1,FALSE)*AA437</f>
        <v>4813.5708585527864</v>
      </c>
      <c r="AE437">
        <f>VLOOKUP($AC437,'2017 Seattle Tracts'!$C$2:$Z$399,AE$1,FALSE)*AA437</f>
        <v>3175.7376351423613</v>
      </c>
      <c r="AF437">
        <f>VLOOKUP($AC437,'2017 Seattle Tracts'!$C$2:$Z$399,AF$1,FALSE)*AA437</f>
        <v>1637.833223410425</v>
      </c>
      <c r="AG437">
        <f>VLOOKUP($AC437,'2017 Seattle Tracts'!$C$2:$Z$399,AG$1,FALSE)*AA437</f>
        <v>4813.5708585527864</v>
      </c>
      <c r="AH437">
        <f>VLOOKUP($AC437,'2017 Seattle Tracts'!$C$2:$Z$399,AH$1,FALSE)*AA437</f>
        <v>3175.7376351423613</v>
      </c>
      <c r="AI437">
        <f>VLOOKUP($AC437,'2017 Seattle Tracts'!$C$2:$Z$399,AI$1,FALSE)*AA437</f>
        <v>1637.833223410425</v>
      </c>
      <c r="AJ437">
        <f>VLOOKUP($AC437,'2017 Seattle Tracts'!$C$2:$Z$399,AJ$1,FALSE)*AA437</f>
        <v>1749.7534924903321</v>
      </c>
      <c r="AK437">
        <f>VLOOKUP($AC437,'2017 Seattle Tracts'!$C$2:$Z$399,AK$1,FALSE)*AA437</f>
        <v>124.91101459811051</v>
      </c>
      <c r="AL437">
        <f>VLOOKUP($AC437,'2017 Seattle Tracts'!$C$2:$Z$399,AL$1,FALSE)*AA437</f>
        <v>279.80067269976752</v>
      </c>
      <c r="AM437">
        <f>VLOOKUP($AC437,'2017 Seattle Tracts'!$C$2:$Z$399,AM$1,FALSE)*AA437</f>
        <v>256.81704601371518</v>
      </c>
      <c r="AN437">
        <f>VLOOKUP($AC437,'2017 Seattle Tracts'!$C$2:$Z$399,AN$1,FALSE)*AA437</f>
        <v>241.82772426194194</v>
      </c>
      <c r="AO437">
        <f>VLOOKUP($AC437,'2017 Seattle Tracts'!$C$2:$Z$399,AO$1,FALSE)*AA437</f>
        <v>18.986474218912797</v>
      </c>
      <c r="AP437">
        <f>VLOOKUP($AC437,'2017 Seattle Tracts'!$C$2:$Z$399,AP$1,FALSE)*AA437</f>
        <v>0</v>
      </c>
      <c r="AQ437">
        <f>VLOOKUP($AC437,'2017 Seattle Tracts'!$C$2:$Z$399,AQ$1,FALSE)*AA437</f>
        <v>97.930235444918637</v>
      </c>
      <c r="AR437">
        <f>VLOOKUP($AC437,'2017 Seattle Tracts'!$C$2:$Z$399,AR$1,FALSE)*AA437</f>
        <v>520.62910884492464</v>
      </c>
      <c r="AS437">
        <f>VLOOKUP($AC437,'2017 Seattle Tracts'!$C$2:$Z$399,AS$1,FALSE)*AA437</f>
        <v>876.37567842034332</v>
      </c>
      <c r="AT437">
        <f>VLOOKUP($AC437,'2017 Seattle Tracts'!$C$2:$Z$399,AT$1,FALSE)*AA437</f>
        <v>0</v>
      </c>
      <c r="AU437">
        <f>VLOOKUP($AC437,'2017 Seattle Tracts'!$C$2:$Z$399,AU$1,FALSE)*AA437</f>
        <v>13.990033634988377</v>
      </c>
      <c r="AV437">
        <f>VLOOKUP($AC437,'2017 Seattle Tracts'!$C$2:$Z$399,AV$1,FALSE)*AA437</f>
        <v>104.92525226241283</v>
      </c>
      <c r="AW437">
        <f>VLOOKUP($AC437,'2017 Seattle Tracts'!$C$2:$Z$399,AW$1,FALSE)*AA437</f>
        <v>206.85264017447099</v>
      </c>
      <c r="AX437">
        <f>VLOOKUP($AC437,'2017 Seattle Tracts'!$C$2:$Z$399,AX$1,FALSE)*AA437</f>
        <v>278.80138458298268</v>
      </c>
      <c r="AY437">
        <f>VLOOKUP($AC437,'2017 Seattle Tracts'!$C$2:$Z$399,AY$1,FALSE)*AA437</f>
        <v>41.970100904965129</v>
      </c>
    </row>
    <row r="438" spans="1:51" x14ac:dyDescent="0.25">
      <c r="A438" t="s">
        <v>2917</v>
      </c>
      <c r="B438" t="s">
        <v>2918</v>
      </c>
      <c r="C438" t="s">
        <v>3245</v>
      </c>
      <c r="D438" t="s">
        <v>2881</v>
      </c>
      <c r="E438" t="s">
        <v>2882</v>
      </c>
      <c r="F438" t="s">
        <v>2883</v>
      </c>
      <c r="G438" t="s">
        <v>2920</v>
      </c>
      <c r="H438" t="s">
        <v>2921</v>
      </c>
      <c r="I438">
        <v>948258</v>
      </c>
      <c r="J438">
        <v>0</v>
      </c>
      <c r="K438" t="s">
        <v>3246</v>
      </c>
      <c r="L438" t="s">
        <v>3247</v>
      </c>
      <c r="M438">
        <v>948252</v>
      </c>
      <c r="N438">
        <v>80</v>
      </c>
      <c r="O438">
        <v>40522.184000000001</v>
      </c>
      <c r="P438" t="s">
        <v>179</v>
      </c>
      <c r="Q438">
        <v>17</v>
      </c>
      <c r="R438">
        <v>5</v>
      </c>
      <c r="S438">
        <v>95</v>
      </c>
      <c r="T438">
        <v>52620472</v>
      </c>
      <c r="U438">
        <v>82</v>
      </c>
      <c r="V438">
        <v>172</v>
      </c>
      <c r="W438">
        <v>40522.182927532267</v>
      </c>
      <c r="X438">
        <v>52620470.788550943</v>
      </c>
      <c r="Y438">
        <v>675.04499999999996</v>
      </c>
      <c r="Z438">
        <f>VLOOKUP($AC438,'2017 Seattle Tracts'!$C$2:$Z$399,24,FALSE)</f>
        <v>948252.446</v>
      </c>
      <c r="AA438">
        <f t="shared" si="13"/>
        <v>7.1188321511590378E-4</v>
      </c>
      <c r="AB438" t="s">
        <v>180</v>
      </c>
      <c r="AC438" t="str">
        <f t="shared" si="12"/>
        <v>Census Tract 100.02, King County, Washington</v>
      </c>
      <c r="AD438">
        <f>VLOOKUP($AC438,'2017 Seattle Tracts'!$C$2:$Z$399,AD$1,FALSE)*AA438</f>
        <v>3.4291414472133086</v>
      </c>
      <c r="AE438">
        <f>VLOOKUP($AC438,'2017 Seattle Tracts'!$C$2:$Z$399,AE$1,FALSE)*AA438</f>
        <v>2.2623648576383424</v>
      </c>
      <c r="AF438">
        <f>VLOOKUP($AC438,'2017 Seattle Tracts'!$C$2:$Z$399,AF$1,FALSE)*AA438</f>
        <v>1.1667765895749662</v>
      </c>
      <c r="AG438">
        <f>VLOOKUP($AC438,'2017 Seattle Tracts'!$C$2:$Z$399,AG$1,FALSE)*AA438</f>
        <v>3.4291414472133086</v>
      </c>
      <c r="AH438">
        <f>VLOOKUP($AC438,'2017 Seattle Tracts'!$C$2:$Z$399,AH$1,FALSE)*AA438</f>
        <v>2.2623648576383424</v>
      </c>
      <c r="AI438">
        <f>VLOOKUP($AC438,'2017 Seattle Tracts'!$C$2:$Z$399,AI$1,FALSE)*AA438</f>
        <v>1.1667765895749662</v>
      </c>
      <c r="AJ438">
        <f>VLOOKUP($AC438,'2017 Seattle Tracts'!$C$2:$Z$399,AJ$1,FALSE)*AA438</f>
        <v>1.2465075096679474</v>
      </c>
      <c r="AK438">
        <f>VLOOKUP($AC438,'2017 Seattle Tracts'!$C$2:$Z$399,AK$1,FALSE)*AA438</f>
        <v>8.8985401889487975E-2</v>
      </c>
      <c r="AL438">
        <f>VLOOKUP($AC438,'2017 Seattle Tracts'!$C$2:$Z$399,AL$1,FALSE)*AA438</f>
        <v>0.19932730023245307</v>
      </c>
      <c r="AM438">
        <f>VLOOKUP($AC438,'2017 Seattle Tracts'!$C$2:$Z$399,AM$1,FALSE)*AA438</f>
        <v>0.18295398628478726</v>
      </c>
      <c r="AN438">
        <f>VLOOKUP($AC438,'2017 Seattle Tracts'!$C$2:$Z$399,AN$1,FALSE)*AA438</f>
        <v>0.17227573805804872</v>
      </c>
      <c r="AO438">
        <f>VLOOKUP($AC438,'2017 Seattle Tracts'!$C$2:$Z$399,AO$1,FALSE)*AA438</f>
        <v>1.3525781087202171E-2</v>
      </c>
      <c r="AP438">
        <f>VLOOKUP($AC438,'2017 Seattle Tracts'!$C$2:$Z$399,AP$1,FALSE)*AA438</f>
        <v>0</v>
      </c>
      <c r="AQ438">
        <f>VLOOKUP($AC438,'2017 Seattle Tracts'!$C$2:$Z$399,AQ$1,FALSE)*AA438</f>
        <v>6.9764555081358565E-2</v>
      </c>
      <c r="AR438">
        <f>VLOOKUP($AC438,'2017 Seattle Tracts'!$C$2:$Z$399,AR$1,FALSE)*AA438</f>
        <v>0.37089115507538589</v>
      </c>
      <c r="AS438">
        <f>VLOOKUP($AC438,'2017 Seattle Tracts'!$C$2:$Z$399,AS$1,FALSE)*AA438</f>
        <v>0.62432157965664759</v>
      </c>
      <c r="AT438">
        <f>VLOOKUP($AC438,'2017 Seattle Tracts'!$C$2:$Z$399,AT$1,FALSE)*AA438</f>
        <v>0</v>
      </c>
      <c r="AU438">
        <f>VLOOKUP($AC438,'2017 Seattle Tracts'!$C$2:$Z$399,AU$1,FALSE)*AA438</f>
        <v>9.9663650116226521E-3</v>
      </c>
      <c r="AV438">
        <f>VLOOKUP($AC438,'2017 Seattle Tracts'!$C$2:$Z$399,AV$1,FALSE)*AA438</f>
        <v>7.4747737587169891E-2</v>
      </c>
      <c r="AW438">
        <f>VLOOKUP($AC438,'2017 Seattle Tracts'!$C$2:$Z$399,AW$1,FALSE)*AA438</f>
        <v>0.14735982552899207</v>
      </c>
      <c r="AX438">
        <f>VLOOKUP($AC438,'2017 Seattle Tracts'!$C$2:$Z$399,AX$1,FALSE)*AA438</f>
        <v>0.19861541701733715</v>
      </c>
      <c r="AY438">
        <f>VLOOKUP($AC438,'2017 Seattle Tracts'!$C$2:$Z$399,AY$1,FALSE)*AA438</f>
        <v>2.989909503486796E-2</v>
      </c>
    </row>
    <row r="439" spans="1:51" x14ac:dyDescent="0.25">
      <c r="A439" t="s">
        <v>2917</v>
      </c>
      <c r="B439" t="s">
        <v>2918</v>
      </c>
      <c r="C439" t="s">
        <v>3248</v>
      </c>
      <c r="D439" t="s">
        <v>2779</v>
      </c>
      <c r="E439" t="s">
        <v>2780</v>
      </c>
      <c r="F439" t="s">
        <v>2781</v>
      </c>
      <c r="G439" t="s">
        <v>2920</v>
      </c>
      <c r="H439" t="s">
        <v>2921</v>
      </c>
      <c r="I439">
        <v>1280220</v>
      </c>
      <c r="J439">
        <v>0</v>
      </c>
      <c r="K439" t="s">
        <v>3249</v>
      </c>
      <c r="L439" t="s">
        <v>3250</v>
      </c>
      <c r="M439">
        <v>1280223</v>
      </c>
      <c r="N439">
        <v>29</v>
      </c>
      <c r="O439">
        <v>15934.439</v>
      </c>
      <c r="P439" t="s">
        <v>117</v>
      </c>
      <c r="Q439">
        <v>7</v>
      </c>
      <c r="R439">
        <v>11</v>
      </c>
      <c r="S439">
        <v>24</v>
      </c>
      <c r="T439">
        <v>14195687</v>
      </c>
      <c r="U439">
        <v>31</v>
      </c>
      <c r="V439">
        <v>121</v>
      </c>
      <c r="W439">
        <v>15934.4392663199</v>
      </c>
      <c r="X439">
        <v>14195687.491917299</v>
      </c>
      <c r="Y439">
        <v>123.866</v>
      </c>
      <c r="Z439">
        <f>VLOOKUP($AC439,'2017 Seattle Tracts'!$C$2:$Z$399,24,FALSE)</f>
        <v>1280223.344</v>
      </c>
      <c r="AA439">
        <f t="shared" si="13"/>
        <v>9.6753430235841718E-5</v>
      </c>
      <c r="AB439" t="s">
        <v>119</v>
      </c>
      <c r="AC439" t="str">
        <f t="shared" si="12"/>
        <v>Census Tract 17.02, King County, Washington</v>
      </c>
      <c r="AD439">
        <f>VLOOKUP($AC439,'2017 Seattle Tracts'!$C$2:$Z$399,AD$1,FALSE)*AA439</f>
        <v>0.4675125748995872</v>
      </c>
      <c r="AE439">
        <f>VLOOKUP($AC439,'2017 Seattle Tracts'!$C$2:$Z$399,AE$1,FALSE)*AA439</f>
        <v>0.39456048850176251</v>
      </c>
      <c r="AF439">
        <f>VLOOKUP($AC439,'2017 Seattle Tracts'!$C$2:$Z$399,AF$1,FALSE)*AA439</f>
        <v>7.2952086397824661E-2</v>
      </c>
      <c r="AG439">
        <f>VLOOKUP($AC439,'2017 Seattle Tracts'!$C$2:$Z$399,AG$1,FALSE)*AA439</f>
        <v>0.4675125748995872</v>
      </c>
      <c r="AH439">
        <f>VLOOKUP($AC439,'2017 Seattle Tracts'!$C$2:$Z$399,AH$1,FALSE)*AA439</f>
        <v>0.39456048850176251</v>
      </c>
      <c r="AI439">
        <f>VLOOKUP($AC439,'2017 Seattle Tracts'!$C$2:$Z$399,AI$1,FALSE)*AA439</f>
        <v>7.2952086397824661E-2</v>
      </c>
      <c r="AJ439">
        <f>VLOOKUP($AC439,'2017 Seattle Tracts'!$C$2:$Z$399,AJ$1,FALSE)*AA439</f>
        <v>0.31977008692945685</v>
      </c>
      <c r="AK439">
        <f>VLOOKUP($AC439,'2017 Seattle Tracts'!$C$2:$Z$399,AK$1,FALSE)*AA439</f>
        <v>2.9993563373110932E-2</v>
      </c>
      <c r="AL439">
        <f>VLOOKUP($AC439,'2017 Seattle Tracts'!$C$2:$Z$399,AL$1,FALSE)*AA439</f>
        <v>7.3532606979239707E-3</v>
      </c>
      <c r="AM439">
        <f>VLOOKUP($AC439,'2017 Seattle Tracts'!$C$2:$Z$399,AM$1,FALSE)*AA439</f>
        <v>1.3158466512074474E-2</v>
      </c>
      <c r="AN439">
        <f>VLOOKUP($AC439,'2017 Seattle Tracts'!$C$2:$Z$399,AN$1,FALSE)*AA439</f>
        <v>5.3214386629712946E-3</v>
      </c>
      <c r="AO439">
        <f>VLOOKUP($AC439,'2017 Seattle Tracts'!$C$2:$Z$399,AO$1,FALSE)*AA439</f>
        <v>1.7415617442451509E-3</v>
      </c>
      <c r="AP439">
        <f>VLOOKUP($AC439,'2017 Seattle Tracts'!$C$2:$Z$399,AP$1,FALSE)*AA439</f>
        <v>3.2896166280186184E-3</v>
      </c>
      <c r="AQ439">
        <f>VLOOKUP($AC439,'2017 Seattle Tracts'!$C$2:$Z$399,AQ$1,FALSE)*AA439</f>
        <v>0</v>
      </c>
      <c r="AR439">
        <f>VLOOKUP($AC439,'2017 Seattle Tracts'!$C$2:$Z$399,AR$1,FALSE)*AA439</f>
        <v>2.3898097268252903E-2</v>
      </c>
      <c r="AS439">
        <f>VLOOKUP($AC439,'2017 Seattle Tracts'!$C$2:$Z$399,AS$1,FALSE)*AA439</f>
        <v>2.138250808212102E-2</v>
      </c>
      <c r="AT439">
        <f>VLOOKUP($AC439,'2017 Seattle Tracts'!$C$2:$Z$399,AT$1,FALSE)*AA439</f>
        <v>0</v>
      </c>
      <c r="AU439">
        <f>VLOOKUP($AC439,'2017 Seattle Tracts'!$C$2:$Z$399,AU$1,FALSE)*AA439</f>
        <v>0</v>
      </c>
      <c r="AV439">
        <f>VLOOKUP($AC439,'2017 Seattle Tracts'!$C$2:$Z$399,AV$1,FALSE)*AA439</f>
        <v>6.8694935467447623E-3</v>
      </c>
      <c r="AW439">
        <f>VLOOKUP($AC439,'2017 Seattle Tracts'!$C$2:$Z$399,AW$1,FALSE)*AA439</f>
        <v>1.4513014535376258E-3</v>
      </c>
      <c r="AX439">
        <f>VLOOKUP($AC439,'2017 Seattle Tracts'!$C$2:$Z$399,AX$1,FALSE)*AA439</f>
        <v>2.8058494768394098E-2</v>
      </c>
      <c r="AY439">
        <f>VLOOKUP($AC439,'2017 Seattle Tracts'!$C$2:$Z$399,AY$1,FALSE)*AA439</f>
        <v>5.2246852327354531E-3</v>
      </c>
    </row>
    <row r="440" spans="1:51" x14ac:dyDescent="0.25">
      <c r="A440" t="s">
        <v>2917</v>
      </c>
      <c r="B440" t="s">
        <v>2918</v>
      </c>
      <c r="C440" t="s">
        <v>3248</v>
      </c>
      <c r="D440" t="s">
        <v>2779</v>
      </c>
      <c r="E440" t="s">
        <v>2780</v>
      </c>
      <c r="F440" t="s">
        <v>2781</v>
      </c>
      <c r="G440" t="s">
        <v>2920</v>
      </c>
      <c r="H440" t="s">
        <v>2921</v>
      </c>
      <c r="I440">
        <v>1280220</v>
      </c>
      <c r="J440">
        <v>0</v>
      </c>
      <c r="K440" t="s">
        <v>3249</v>
      </c>
      <c r="L440" t="s">
        <v>3250</v>
      </c>
      <c r="M440">
        <v>1280223</v>
      </c>
      <c r="N440">
        <v>110</v>
      </c>
      <c r="O440">
        <v>34640.309000000001</v>
      </c>
      <c r="P440" t="s">
        <v>122</v>
      </c>
      <c r="Q440">
        <v>1</v>
      </c>
      <c r="R440">
        <v>2</v>
      </c>
      <c r="S440">
        <v>95</v>
      </c>
      <c r="T440">
        <v>48113448</v>
      </c>
      <c r="U440">
        <v>112</v>
      </c>
      <c r="V440">
        <v>100</v>
      </c>
      <c r="W440">
        <v>34640.309665739042</v>
      </c>
      <c r="X440">
        <v>48113449.730149508</v>
      </c>
      <c r="Y440">
        <v>6.0000000000000001E-3</v>
      </c>
      <c r="Z440">
        <f>VLOOKUP($AC440,'2017 Seattle Tracts'!$C$2:$Z$399,24,FALSE)</f>
        <v>1280223.344</v>
      </c>
      <c r="AA440">
        <f t="shared" si="13"/>
        <v>4.6866822325339503E-9</v>
      </c>
      <c r="AB440" t="s">
        <v>212</v>
      </c>
      <c r="AC440" t="str">
        <f t="shared" si="12"/>
        <v>Census Tract 17.02, King County, Washington</v>
      </c>
      <c r="AD440">
        <f>VLOOKUP($AC440,'2017 Seattle Tracts'!$C$2:$Z$399,AD$1,FALSE)*AA440</f>
        <v>2.2646048547604047E-5</v>
      </c>
      <c r="AE440">
        <f>VLOOKUP($AC440,'2017 Seattle Tracts'!$C$2:$Z$399,AE$1,FALSE)*AA440</f>
        <v>1.9112290144273451E-5</v>
      </c>
      <c r="AF440">
        <f>VLOOKUP($AC440,'2017 Seattle Tracts'!$C$2:$Z$399,AF$1,FALSE)*AA440</f>
        <v>3.5337584033305986E-6</v>
      </c>
      <c r="AG440">
        <f>VLOOKUP($AC440,'2017 Seattle Tracts'!$C$2:$Z$399,AG$1,FALSE)*AA440</f>
        <v>2.2646048547604047E-5</v>
      </c>
      <c r="AH440">
        <f>VLOOKUP($AC440,'2017 Seattle Tracts'!$C$2:$Z$399,AH$1,FALSE)*AA440</f>
        <v>1.9112290144273451E-5</v>
      </c>
      <c r="AI440">
        <f>VLOOKUP($AC440,'2017 Seattle Tracts'!$C$2:$Z$399,AI$1,FALSE)*AA440</f>
        <v>3.5337584033305986E-6</v>
      </c>
      <c r="AJ440">
        <f>VLOOKUP($AC440,'2017 Seattle Tracts'!$C$2:$Z$399,AJ$1,FALSE)*AA440</f>
        <v>1.5489484778524707E-5</v>
      </c>
      <c r="AK440">
        <f>VLOOKUP($AC440,'2017 Seattle Tracts'!$C$2:$Z$399,AK$1,FALSE)*AA440</f>
        <v>1.4528714920855245E-6</v>
      </c>
      <c r="AL440">
        <f>VLOOKUP($AC440,'2017 Seattle Tracts'!$C$2:$Z$399,AL$1,FALSE)*AA440</f>
        <v>3.5618784967258021E-7</v>
      </c>
      <c r="AM440">
        <f>VLOOKUP($AC440,'2017 Seattle Tracts'!$C$2:$Z$399,AM$1,FALSE)*AA440</f>
        <v>6.3738878362461723E-7</v>
      </c>
      <c r="AN440">
        <f>VLOOKUP($AC440,'2017 Seattle Tracts'!$C$2:$Z$399,AN$1,FALSE)*AA440</f>
        <v>2.5776752278936728E-7</v>
      </c>
      <c r="AO440">
        <f>VLOOKUP($AC440,'2017 Seattle Tracts'!$C$2:$Z$399,AO$1,FALSE)*AA440</f>
        <v>8.4360280185611103E-8</v>
      </c>
      <c r="AP440">
        <f>VLOOKUP($AC440,'2017 Seattle Tracts'!$C$2:$Z$399,AP$1,FALSE)*AA440</f>
        <v>1.5934719590615431E-7</v>
      </c>
      <c r="AQ440">
        <f>VLOOKUP($AC440,'2017 Seattle Tracts'!$C$2:$Z$399,AQ$1,FALSE)*AA440</f>
        <v>0</v>
      </c>
      <c r="AR440">
        <f>VLOOKUP($AC440,'2017 Seattle Tracts'!$C$2:$Z$399,AR$1,FALSE)*AA440</f>
        <v>1.1576105114358858E-6</v>
      </c>
      <c r="AS440">
        <f>VLOOKUP($AC440,'2017 Seattle Tracts'!$C$2:$Z$399,AS$1,FALSE)*AA440</f>
        <v>1.0357567733900031E-6</v>
      </c>
      <c r="AT440">
        <f>VLOOKUP($AC440,'2017 Seattle Tracts'!$C$2:$Z$399,AT$1,FALSE)*AA440</f>
        <v>0</v>
      </c>
      <c r="AU440">
        <f>VLOOKUP($AC440,'2017 Seattle Tracts'!$C$2:$Z$399,AU$1,FALSE)*AA440</f>
        <v>0</v>
      </c>
      <c r="AV440">
        <f>VLOOKUP($AC440,'2017 Seattle Tracts'!$C$2:$Z$399,AV$1,FALSE)*AA440</f>
        <v>3.3275443850991046E-7</v>
      </c>
      <c r="AW440">
        <f>VLOOKUP($AC440,'2017 Seattle Tracts'!$C$2:$Z$399,AW$1,FALSE)*AA440</f>
        <v>7.0300233488009257E-8</v>
      </c>
      <c r="AX440">
        <f>VLOOKUP($AC440,'2017 Seattle Tracts'!$C$2:$Z$399,AX$1,FALSE)*AA440</f>
        <v>1.3591378474348455E-6</v>
      </c>
      <c r="AY440">
        <f>VLOOKUP($AC440,'2017 Seattle Tracts'!$C$2:$Z$399,AY$1,FALSE)*AA440</f>
        <v>2.5308084055683334E-7</v>
      </c>
    </row>
    <row r="441" spans="1:51" x14ac:dyDescent="0.25">
      <c r="A441" t="s">
        <v>2917</v>
      </c>
      <c r="B441" t="s">
        <v>2918</v>
      </c>
      <c r="C441" t="s">
        <v>3248</v>
      </c>
      <c r="D441" t="s">
        <v>2779</v>
      </c>
      <c r="E441" t="s">
        <v>2780</v>
      </c>
      <c r="F441" t="s">
        <v>2781</v>
      </c>
      <c r="G441" t="s">
        <v>2920</v>
      </c>
      <c r="H441" t="s">
        <v>2921</v>
      </c>
      <c r="I441">
        <v>1280220</v>
      </c>
      <c r="J441">
        <v>0</v>
      </c>
      <c r="K441" t="s">
        <v>3249</v>
      </c>
      <c r="L441" t="s">
        <v>3250</v>
      </c>
      <c r="M441">
        <v>1280223</v>
      </c>
      <c r="N441">
        <v>111</v>
      </c>
      <c r="O441">
        <v>26446.203000000001</v>
      </c>
      <c r="P441" t="s">
        <v>122</v>
      </c>
      <c r="Q441">
        <v>1</v>
      </c>
      <c r="R441">
        <v>2</v>
      </c>
      <c r="S441">
        <v>23</v>
      </c>
      <c r="T441">
        <v>27690336</v>
      </c>
      <c r="U441">
        <v>113</v>
      </c>
      <c r="V441">
        <v>101</v>
      </c>
      <c r="W441">
        <v>26446.20305409377</v>
      </c>
      <c r="X441">
        <v>27690336.443909489</v>
      </c>
      <c r="Y441">
        <v>1.0999999999999999E-2</v>
      </c>
      <c r="Z441">
        <f>VLOOKUP($AC441,'2017 Seattle Tracts'!$C$2:$Z$399,24,FALSE)</f>
        <v>1280223.344</v>
      </c>
      <c r="AA441">
        <f t="shared" si="13"/>
        <v>8.5922507596455759E-9</v>
      </c>
      <c r="AB441" t="s">
        <v>213</v>
      </c>
      <c r="AC441" t="str">
        <f t="shared" si="12"/>
        <v>Census Tract 17.02, King County, Washington</v>
      </c>
      <c r="AD441">
        <f>VLOOKUP($AC441,'2017 Seattle Tracts'!$C$2:$Z$399,AD$1,FALSE)*AA441</f>
        <v>4.1517755670607424E-5</v>
      </c>
      <c r="AE441">
        <f>VLOOKUP($AC441,'2017 Seattle Tracts'!$C$2:$Z$399,AE$1,FALSE)*AA441</f>
        <v>3.5039198597834658E-5</v>
      </c>
      <c r="AF441">
        <f>VLOOKUP($AC441,'2017 Seattle Tracts'!$C$2:$Z$399,AF$1,FALSE)*AA441</f>
        <v>6.4785570727727645E-6</v>
      </c>
      <c r="AG441">
        <f>VLOOKUP($AC441,'2017 Seattle Tracts'!$C$2:$Z$399,AG$1,FALSE)*AA441</f>
        <v>4.1517755670607424E-5</v>
      </c>
      <c r="AH441">
        <f>VLOOKUP($AC441,'2017 Seattle Tracts'!$C$2:$Z$399,AH$1,FALSE)*AA441</f>
        <v>3.5039198597834658E-5</v>
      </c>
      <c r="AI441">
        <f>VLOOKUP($AC441,'2017 Seattle Tracts'!$C$2:$Z$399,AI$1,FALSE)*AA441</f>
        <v>6.4785570727727645E-6</v>
      </c>
      <c r="AJ441">
        <f>VLOOKUP($AC441,'2017 Seattle Tracts'!$C$2:$Z$399,AJ$1,FALSE)*AA441</f>
        <v>2.8397388760628628E-5</v>
      </c>
      <c r="AK441">
        <f>VLOOKUP($AC441,'2017 Seattle Tracts'!$C$2:$Z$399,AK$1,FALSE)*AA441</f>
        <v>2.6635977354901286E-6</v>
      </c>
      <c r="AL441">
        <f>VLOOKUP($AC441,'2017 Seattle Tracts'!$C$2:$Z$399,AL$1,FALSE)*AA441</f>
        <v>6.5301105773306373E-7</v>
      </c>
      <c r="AM441">
        <f>VLOOKUP($AC441,'2017 Seattle Tracts'!$C$2:$Z$399,AM$1,FALSE)*AA441</f>
        <v>1.1685461033117983E-6</v>
      </c>
      <c r="AN441">
        <f>VLOOKUP($AC441,'2017 Seattle Tracts'!$C$2:$Z$399,AN$1,FALSE)*AA441</f>
        <v>4.7257379178050665E-7</v>
      </c>
      <c r="AO441">
        <f>VLOOKUP($AC441,'2017 Seattle Tracts'!$C$2:$Z$399,AO$1,FALSE)*AA441</f>
        <v>1.5466051367362036E-7</v>
      </c>
      <c r="AP441">
        <f>VLOOKUP($AC441,'2017 Seattle Tracts'!$C$2:$Z$399,AP$1,FALSE)*AA441</f>
        <v>2.9213652582794957E-7</v>
      </c>
      <c r="AQ441">
        <f>VLOOKUP($AC441,'2017 Seattle Tracts'!$C$2:$Z$399,AQ$1,FALSE)*AA441</f>
        <v>0</v>
      </c>
      <c r="AR441">
        <f>VLOOKUP($AC441,'2017 Seattle Tracts'!$C$2:$Z$399,AR$1,FALSE)*AA441</f>
        <v>2.1222859376324572E-6</v>
      </c>
      <c r="AS441">
        <f>VLOOKUP($AC441,'2017 Seattle Tracts'!$C$2:$Z$399,AS$1,FALSE)*AA441</f>
        <v>1.8988874178816723E-6</v>
      </c>
      <c r="AT441">
        <f>VLOOKUP($AC441,'2017 Seattle Tracts'!$C$2:$Z$399,AT$1,FALSE)*AA441</f>
        <v>0</v>
      </c>
      <c r="AU441">
        <f>VLOOKUP($AC441,'2017 Seattle Tracts'!$C$2:$Z$399,AU$1,FALSE)*AA441</f>
        <v>0</v>
      </c>
      <c r="AV441">
        <f>VLOOKUP($AC441,'2017 Seattle Tracts'!$C$2:$Z$399,AV$1,FALSE)*AA441</f>
        <v>6.1004980393483587E-7</v>
      </c>
      <c r="AW441">
        <f>VLOOKUP($AC441,'2017 Seattle Tracts'!$C$2:$Z$399,AW$1,FALSE)*AA441</f>
        <v>1.2888376139468364E-7</v>
      </c>
      <c r="AX441">
        <f>VLOOKUP($AC441,'2017 Seattle Tracts'!$C$2:$Z$399,AX$1,FALSE)*AA441</f>
        <v>2.4917527202972171E-6</v>
      </c>
      <c r="AY441">
        <f>VLOOKUP($AC441,'2017 Seattle Tracts'!$C$2:$Z$399,AY$1,FALSE)*AA441</f>
        <v>4.6398154102086108E-7</v>
      </c>
    </row>
    <row r="442" spans="1:51" x14ac:dyDescent="0.25">
      <c r="A442" t="s">
        <v>2917</v>
      </c>
      <c r="B442" t="s">
        <v>2918</v>
      </c>
      <c r="C442" t="s">
        <v>3248</v>
      </c>
      <c r="D442" t="s">
        <v>2779</v>
      </c>
      <c r="E442" t="s">
        <v>2780</v>
      </c>
      <c r="F442" t="s">
        <v>2781</v>
      </c>
      <c r="G442" t="s">
        <v>2920</v>
      </c>
      <c r="H442" t="s">
        <v>2921</v>
      </c>
      <c r="I442">
        <v>1280220</v>
      </c>
      <c r="J442">
        <v>0</v>
      </c>
      <c r="K442" t="s">
        <v>3249</v>
      </c>
      <c r="L442" t="s">
        <v>3250</v>
      </c>
      <c r="M442">
        <v>1280223</v>
      </c>
      <c r="N442">
        <v>117</v>
      </c>
      <c r="O442">
        <v>18997.809000000001</v>
      </c>
      <c r="P442" t="s">
        <v>122</v>
      </c>
      <c r="Q442">
        <v>1</v>
      </c>
      <c r="R442">
        <v>2</v>
      </c>
      <c r="S442">
        <v>95</v>
      </c>
      <c r="T442">
        <v>15865750</v>
      </c>
      <c r="U442">
        <v>119</v>
      </c>
      <c r="V442">
        <v>113</v>
      </c>
      <c r="W442">
        <v>18997.808037941071</v>
      </c>
      <c r="X442">
        <v>15865750.419753481</v>
      </c>
      <c r="Y442">
        <v>474025.43300000002</v>
      </c>
      <c r="Z442">
        <f>VLOOKUP($AC442,'2017 Seattle Tracts'!$C$2:$Z$399,24,FALSE)</f>
        <v>1280223.344</v>
      </c>
      <c r="AA442">
        <f t="shared" si="13"/>
        <v>0.37026776243505211</v>
      </c>
      <c r="AB442" t="s">
        <v>220</v>
      </c>
      <c r="AC442" t="str">
        <f t="shared" si="12"/>
        <v>Census Tract 17.02, King County, Washington</v>
      </c>
      <c r="AD442">
        <f>VLOOKUP($AC442,'2017 Seattle Tracts'!$C$2:$Z$399,AD$1,FALSE)*AA442</f>
        <v>1789.1338280861719</v>
      </c>
      <c r="AE442">
        <f>VLOOKUP($AC442,'2017 Seattle Tracts'!$C$2:$Z$399,AE$1,FALSE)*AA442</f>
        <v>1509.9519352101424</v>
      </c>
      <c r="AF442">
        <f>VLOOKUP($AC442,'2017 Seattle Tracts'!$C$2:$Z$399,AF$1,FALSE)*AA442</f>
        <v>279.18189287602928</v>
      </c>
      <c r="AG442">
        <f>VLOOKUP($AC442,'2017 Seattle Tracts'!$C$2:$Z$399,AG$1,FALSE)*AA442</f>
        <v>1789.1338280861719</v>
      </c>
      <c r="AH442">
        <f>VLOOKUP($AC442,'2017 Seattle Tracts'!$C$2:$Z$399,AH$1,FALSE)*AA442</f>
        <v>1509.9519352101424</v>
      </c>
      <c r="AI442">
        <f>VLOOKUP($AC442,'2017 Seattle Tracts'!$C$2:$Z$399,AI$1,FALSE)*AA442</f>
        <v>279.18189287602928</v>
      </c>
      <c r="AJ442">
        <f>VLOOKUP($AC442,'2017 Seattle Tracts'!$C$2:$Z$399,AJ$1,FALSE)*AA442</f>
        <v>1223.7349548478471</v>
      </c>
      <c r="AK442">
        <f>VLOOKUP($AC442,'2017 Seattle Tracts'!$C$2:$Z$399,AK$1,FALSE)*AA442</f>
        <v>114.78300635486616</v>
      </c>
      <c r="AL442">
        <f>VLOOKUP($AC442,'2017 Seattle Tracts'!$C$2:$Z$399,AL$1,FALSE)*AA442</f>
        <v>28.14034994506396</v>
      </c>
      <c r="AM442">
        <f>VLOOKUP($AC442,'2017 Seattle Tracts'!$C$2:$Z$399,AM$1,FALSE)*AA442</f>
        <v>50.356415691167086</v>
      </c>
      <c r="AN442">
        <f>VLOOKUP($AC442,'2017 Seattle Tracts'!$C$2:$Z$399,AN$1,FALSE)*AA442</f>
        <v>20.364726933927866</v>
      </c>
      <c r="AO442">
        <f>VLOOKUP($AC442,'2017 Seattle Tracts'!$C$2:$Z$399,AO$1,FALSE)*AA442</f>
        <v>6.6648197238309379</v>
      </c>
      <c r="AP442">
        <f>VLOOKUP($AC442,'2017 Seattle Tracts'!$C$2:$Z$399,AP$1,FALSE)*AA442</f>
        <v>12.589103922791772</v>
      </c>
      <c r="AQ442">
        <f>VLOOKUP($AC442,'2017 Seattle Tracts'!$C$2:$Z$399,AQ$1,FALSE)*AA442</f>
        <v>0</v>
      </c>
      <c r="AR442">
        <f>VLOOKUP($AC442,'2017 Seattle Tracts'!$C$2:$Z$399,AR$1,FALSE)*AA442</f>
        <v>91.456137321457874</v>
      </c>
      <c r="AS442">
        <f>VLOOKUP($AC442,'2017 Seattle Tracts'!$C$2:$Z$399,AS$1,FALSE)*AA442</f>
        <v>81.829175498146512</v>
      </c>
      <c r="AT442">
        <f>VLOOKUP($AC442,'2017 Seattle Tracts'!$C$2:$Z$399,AT$1,FALSE)*AA442</f>
        <v>0</v>
      </c>
      <c r="AU442">
        <f>VLOOKUP($AC442,'2017 Seattle Tracts'!$C$2:$Z$399,AU$1,FALSE)*AA442</f>
        <v>0</v>
      </c>
      <c r="AV442">
        <f>VLOOKUP($AC442,'2017 Seattle Tracts'!$C$2:$Z$399,AV$1,FALSE)*AA442</f>
        <v>26.2890111328887</v>
      </c>
      <c r="AW442">
        <f>VLOOKUP($AC442,'2017 Seattle Tracts'!$C$2:$Z$399,AW$1,FALSE)*AA442</f>
        <v>5.5540164365257816</v>
      </c>
      <c r="AX442">
        <f>VLOOKUP($AC442,'2017 Seattle Tracts'!$C$2:$Z$399,AX$1,FALSE)*AA442</f>
        <v>107.3776511061651</v>
      </c>
      <c r="AY442">
        <f>VLOOKUP($AC442,'2017 Seattle Tracts'!$C$2:$Z$399,AY$1,FALSE)*AA442</f>
        <v>19.994459171492814</v>
      </c>
    </row>
    <row r="443" spans="1:51" x14ac:dyDescent="0.25">
      <c r="A443" t="s">
        <v>2917</v>
      </c>
      <c r="B443" t="s">
        <v>2918</v>
      </c>
      <c r="C443" t="s">
        <v>3248</v>
      </c>
      <c r="D443" t="s">
        <v>2779</v>
      </c>
      <c r="E443" t="s">
        <v>2780</v>
      </c>
      <c r="F443" t="s">
        <v>2781</v>
      </c>
      <c r="G443" t="s">
        <v>2920</v>
      </c>
      <c r="H443" t="s">
        <v>2921</v>
      </c>
      <c r="I443">
        <v>1280220</v>
      </c>
      <c r="J443">
        <v>0</v>
      </c>
      <c r="K443" t="s">
        <v>3249</v>
      </c>
      <c r="L443" t="s">
        <v>3250</v>
      </c>
      <c r="M443">
        <v>1280223</v>
      </c>
      <c r="N443">
        <v>118</v>
      </c>
      <c r="O443">
        <v>26501.526999999998</v>
      </c>
      <c r="P443" t="s">
        <v>122</v>
      </c>
      <c r="Q443">
        <v>1</v>
      </c>
      <c r="R443">
        <v>2</v>
      </c>
      <c r="S443">
        <v>19</v>
      </c>
      <c r="T443">
        <v>42044564</v>
      </c>
      <c r="U443">
        <v>120</v>
      </c>
      <c r="V443">
        <v>115</v>
      </c>
      <c r="W443">
        <v>26501.526591104928</v>
      </c>
      <c r="X443">
        <v>42044563.673184253</v>
      </c>
      <c r="Y443">
        <v>806074.01899999997</v>
      </c>
      <c r="Z443">
        <f>VLOOKUP($AC443,'2017 Seattle Tracts'!$C$2:$Z$399,24,FALSE)</f>
        <v>1280223.344</v>
      </c>
      <c r="AA443">
        <f t="shared" si="13"/>
        <v>0.62963546382575564</v>
      </c>
      <c r="AB443" t="s">
        <v>221</v>
      </c>
      <c r="AC443" t="str">
        <f t="shared" si="12"/>
        <v>Census Tract 17.02, King County, Washington</v>
      </c>
      <c r="AD443">
        <f>VLOOKUP($AC443,'2017 Seattle Tracts'!$C$2:$Z$399,AD$1,FALSE)*AA443</f>
        <v>3042.3985612060515</v>
      </c>
      <c r="AE443">
        <f>VLOOKUP($AC443,'2017 Seattle Tracts'!$C$2:$Z$399,AE$1,FALSE)*AA443</f>
        <v>2567.6534214814315</v>
      </c>
      <c r="AF443">
        <f>VLOOKUP($AC443,'2017 Seattle Tracts'!$C$2:$Z$399,AF$1,FALSE)*AA443</f>
        <v>474.74513972461978</v>
      </c>
      <c r="AG443">
        <f>VLOOKUP($AC443,'2017 Seattle Tracts'!$C$2:$Z$399,AG$1,FALSE)*AA443</f>
        <v>3042.3985612060515</v>
      </c>
      <c r="AH443">
        <f>VLOOKUP($AC443,'2017 Seattle Tracts'!$C$2:$Z$399,AH$1,FALSE)*AA443</f>
        <v>2567.6534214814315</v>
      </c>
      <c r="AI443">
        <f>VLOOKUP($AC443,'2017 Seattle Tracts'!$C$2:$Z$399,AI$1,FALSE)*AA443</f>
        <v>474.74513972461978</v>
      </c>
      <c r="AJ443">
        <f>VLOOKUP($AC443,'2017 Seattle Tracts'!$C$2:$Z$399,AJ$1,FALSE)*AA443</f>
        <v>2080.9452079441226</v>
      </c>
      <c r="AK443">
        <f>VLOOKUP($AC443,'2017 Seattle Tracts'!$C$2:$Z$399,AK$1,FALSE)*AA443</f>
        <v>195.18699378598424</v>
      </c>
      <c r="AL443">
        <f>VLOOKUP($AC443,'2017 Seattle Tracts'!$C$2:$Z$399,AL$1,FALSE)*AA443</f>
        <v>47.852295250757429</v>
      </c>
      <c r="AM443">
        <f>VLOOKUP($AC443,'2017 Seattle Tracts'!$C$2:$Z$399,AM$1,FALSE)*AA443</f>
        <v>85.630423080302762</v>
      </c>
      <c r="AN443">
        <f>VLOOKUP($AC443,'2017 Seattle Tracts'!$C$2:$Z$399,AN$1,FALSE)*AA443</f>
        <v>34.629950510416563</v>
      </c>
      <c r="AO443">
        <f>VLOOKUP($AC443,'2017 Seattle Tracts'!$C$2:$Z$399,AO$1,FALSE)*AA443</f>
        <v>11.333438348863602</v>
      </c>
      <c r="AP443">
        <f>VLOOKUP($AC443,'2017 Seattle Tracts'!$C$2:$Z$399,AP$1,FALSE)*AA443</f>
        <v>21.407605770075691</v>
      </c>
      <c r="AQ443">
        <f>VLOOKUP($AC443,'2017 Seattle Tracts'!$C$2:$Z$399,AQ$1,FALSE)*AA443</f>
        <v>0</v>
      </c>
      <c r="AR443">
        <f>VLOOKUP($AC443,'2017 Seattle Tracts'!$C$2:$Z$399,AR$1,FALSE)*AA443</f>
        <v>155.51995956496165</v>
      </c>
      <c r="AS443">
        <f>VLOOKUP($AC443,'2017 Seattle Tracts'!$C$2:$Z$399,AS$1,FALSE)*AA443</f>
        <v>139.14943750549199</v>
      </c>
      <c r="AT443">
        <f>VLOOKUP($AC443,'2017 Seattle Tracts'!$C$2:$Z$399,AT$1,FALSE)*AA443</f>
        <v>0</v>
      </c>
      <c r="AU443">
        <f>VLOOKUP($AC443,'2017 Seattle Tracts'!$C$2:$Z$399,AU$1,FALSE)*AA443</f>
        <v>0</v>
      </c>
      <c r="AV443">
        <f>VLOOKUP($AC443,'2017 Seattle Tracts'!$C$2:$Z$399,AV$1,FALSE)*AA443</f>
        <v>44.704117931628652</v>
      </c>
      <c r="AW443">
        <f>VLOOKUP($AC443,'2017 Seattle Tracts'!$C$2:$Z$399,AW$1,FALSE)*AA443</f>
        <v>9.4445319573863351</v>
      </c>
      <c r="AX443">
        <f>VLOOKUP($AC443,'2017 Seattle Tracts'!$C$2:$Z$399,AX$1,FALSE)*AA443</f>
        <v>182.59428450946913</v>
      </c>
      <c r="AY443">
        <f>VLOOKUP($AC443,'2017 Seattle Tracts'!$C$2:$Z$399,AY$1,FALSE)*AA443</f>
        <v>34.000315046590806</v>
      </c>
    </row>
    <row r="444" spans="1:51" x14ac:dyDescent="0.25">
      <c r="A444" t="s">
        <v>2917</v>
      </c>
      <c r="B444" t="s">
        <v>2918</v>
      </c>
      <c r="C444" t="s">
        <v>3251</v>
      </c>
      <c r="D444" t="s">
        <v>2782</v>
      </c>
      <c r="E444" t="s">
        <v>2783</v>
      </c>
      <c r="F444" t="s">
        <v>2784</v>
      </c>
      <c r="G444" t="s">
        <v>2920</v>
      </c>
      <c r="H444" t="s">
        <v>2921</v>
      </c>
      <c r="I444">
        <v>892768</v>
      </c>
      <c r="J444">
        <v>0</v>
      </c>
      <c r="K444" t="s">
        <v>3252</v>
      </c>
      <c r="L444" t="s">
        <v>3253</v>
      </c>
      <c r="M444">
        <v>892767</v>
      </c>
      <c r="N444">
        <v>111</v>
      </c>
      <c r="O444">
        <v>26446.203000000001</v>
      </c>
      <c r="P444" t="s">
        <v>122</v>
      </c>
      <c r="Q444">
        <v>1</v>
      </c>
      <c r="R444">
        <v>2</v>
      </c>
      <c r="S444">
        <v>23</v>
      </c>
      <c r="T444">
        <v>27690336</v>
      </c>
      <c r="U444">
        <v>113</v>
      </c>
      <c r="V444">
        <v>101</v>
      </c>
      <c r="W444">
        <v>26446.20305409377</v>
      </c>
      <c r="X444">
        <v>27690336.443909489</v>
      </c>
      <c r="Y444">
        <v>19.571999999999999</v>
      </c>
      <c r="Z444">
        <f>VLOOKUP($AC444,'2017 Seattle Tracts'!$C$2:$Z$399,24,FALSE)</f>
        <v>892766.91899999999</v>
      </c>
      <c r="AA444">
        <f t="shared" si="13"/>
        <v>2.1922855320314572E-5</v>
      </c>
      <c r="AB444" t="s">
        <v>213</v>
      </c>
      <c r="AC444" t="str">
        <f t="shared" si="12"/>
        <v>Census Tract 17.01, King County, Washington</v>
      </c>
      <c r="AD444">
        <f>VLOOKUP($AC444,'2017 Seattle Tracts'!$C$2:$Z$399,AD$1,FALSE)*AA444</f>
        <v>8.7779112702539547E-2</v>
      </c>
      <c r="AE444">
        <f>VLOOKUP($AC444,'2017 Seattle Tracts'!$C$2:$Z$399,AE$1,FALSE)*AA444</f>
        <v>7.68834536083432E-2</v>
      </c>
      <c r="AF444">
        <f>VLOOKUP($AC444,'2017 Seattle Tracts'!$C$2:$Z$399,AF$1,FALSE)*AA444</f>
        <v>1.0895659094196342E-2</v>
      </c>
      <c r="AG444">
        <f>VLOOKUP($AC444,'2017 Seattle Tracts'!$C$2:$Z$399,AG$1,FALSE)*AA444</f>
        <v>8.7779112702539547E-2</v>
      </c>
      <c r="AH444">
        <f>VLOOKUP($AC444,'2017 Seattle Tracts'!$C$2:$Z$399,AH$1,FALSE)*AA444</f>
        <v>7.68834536083432E-2</v>
      </c>
      <c r="AI444">
        <f>VLOOKUP($AC444,'2017 Seattle Tracts'!$C$2:$Z$399,AI$1,FALSE)*AA444</f>
        <v>1.0895659094196342E-2</v>
      </c>
      <c r="AJ444">
        <f>VLOOKUP($AC444,'2017 Seattle Tracts'!$C$2:$Z$399,AJ$1,FALSE)*AA444</f>
        <v>5.8358640862677391E-2</v>
      </c>
      <c r="AK444">
        <f>VLOOKUP($AC444,'2017 Seattle Tracts'!$C$2:$Z$399,AK$1,FALSE)*AA444</f>
        <v>2.8938169022815234E-3</v>
      </c>
      <c r="AL444">
        <f>VLOOKUP($AC444,'2017 Seattle Tracts'!$C$2:$Z$399,AL$1,FALSE)*AA444</f>
        <v>2.2361312426720866E-3</v>
      </c>
      <c r="AM444">
        <f>VLOOKUP($AC444,'2017 Seattle Tracts'!$C$2:$Z$399,AM$1,FALSE)*AA444</f>
        <v>0</v>
      </c>
      <c r="AN444">
        <f>VLOOKUP($AC444,'2017 Seattle Tracts'!$C$2:$Z$399,AN$1,FALSE)*AA444</f>
        <v>4.3845710640629141E-3</v>
      </c>
      <c r="AO444">
        <f>VLOOKUP($AC444,'2017 Seattle Tracts'!$C$2:$Z$399,AO$1,FALSE)*AA444</f>
        <v>1.4030627405001326E-3</v>
      </c>
      <c r="AP444">
        <f>VLOOKUP($AC444,'2017 Seattle Tracts'!$C$2:$Z$399,AP$1,FALSE)*AA444</f>
        <v>1.1619113319766723E-3</v>
      </c>
      <c r="AQ444">
        <f>VLOOKUP($AC444,'2017 Seattle Tracts'!$C$2:$Z$399,AQ$1,FALSE)*AA444</f>
        <v>0</v>
      </c>
      <c r="AR444">
        <f>VLOOKUP($AC444,'2017 Seattle Tracts'!$C$2:$Z$399,AR$1,FALSE)*AA444</f>
        <v>3.4199654299690734E-3</v>
      </c>
      <c r="AS444">
        <f>VLOOKUP($AC444,'2017 Seattle Tracts'!$C$2:$Z$399,AS$1,FALSE)*AA444</f>
        <v>5.0422567236723514E-3</v>
      </c>
      <c r="AT444">
        <f>VLOOKUP($AC444,'2017 Seattle Tracts'!$C$2:$Z$399,AT$1,FALSE)*AA444</f>
        <v>4.1653425108597686E-4</v>
      </c>
      <c r="AU444">
        <f>VLOOKUP($AC444,'2017 Seattle Tracts'!$C$2:$Z$399,AU$1,FALSE)*AA444</f>
        <v>0</v>
      </c>
      <c r="AV444">
        <f>VLOOKUP($AC444,'2017 Seattle Tracts'!$C$2:$Z$399,AV$1,FALSE)*AA444</f>
        <v>6.7960851492975178E-4</v>
      </c>
      <c r="AW444">
        <f>VLOOKUP($AC444,'2017 Seattle Tracts'!$C$2:$Z$399,AW$1,FALSE)*AA444</f>
        <v>7.6729993621101002E-4</v>
      </c>
      <c r="AX444">
        <f>VLOOKUP($AC444,'2017 Seattle Tracts'!$C$2:$Z$399,AX$1,FALSE)*AA444</f>
        <v>6.2260909109693383E-3</v>
      </c>
      <c r="AY444">
        <f>VLOOKUP($AC444,'2017 Seattle Tracts'!$C$2:$Z$399,AY$1,FALSE)*AA444</f>
        <v>7.8922279153132466E-4</v>
      </c>
    </row>
    <row r="445" spans="1:51" x14ac:dyDescent="0.25">
      <c r="A445" t="s">
        <v>2917</v>
      </c>
      <c r="B445" t="s">
        <v>2918</v>
      </c>
      <c r="C445" t="s">
        <v>3251</v>
      </c>
      <c r="D445" t="s">
        <v>2782</v>
      </c>
      <c r="E445" t="s">
        <v>2783</v>
      </c>
      <c r="F445" t="s">
        <v>2784</v>
      </c>
      <c r="G445" t="s">
        <v>2920</v>
      </c>
      <c r="H445" t="s">
        <v>2921</v>
      </c>
      <c r="I445">
        <v>892768</v>
      </c>
      <c r="J445">
        <v>0</v>
      </c>
      <c r="K445" t="s">
        <v>3252</v>
      </c>
      <c r="L445" t="s">
        <v>3253</v>
      </c>
      <c r="M445">
        <v>892767</v>
      </c>
      <c r="N445">
        <v>118</v>
      </c>
      <c r="O445">
        <v>26501.526999999998</v>
      </c>
      <c r="P445" t="s">
        <v>122</v>
      </c>
      <c r="Q445">
        <v>1</v>
      </c>
      <c r="R445">
        <v>2</v>
      </c>
      <c r="S445">
        <v>19</v>
      </c>
      <c r="T445">
        <v>42044564</v>
      </c>
      <c r="U445">
        <v>120</v>
      </c>
      <c r="V445">
        <v>115</v>
      </c>
      <c r="W445">
        <v>26501.526591104928</v>
      </c>
      <c r="X445">
        <v>42044563.673184253</v>
      </c>
      <c r="Y445">
        <v>892747.34699999995</v>
      </c>
      <c r="Z445">
        <f>VLOOKUP($AC445,'2017 Seattle Tracts'!$C$2:$Z$399,24,FALSE)</f>
        <v>892766.91899999999</v>
      </c>
      <c r="AA445">
        <f t="shared" si="13"/>
        <v>0.99997807714467968</v>
      </c>
      <c r="AB445" t="s">
        <v>221</v>
      </c>
      <c r="AC445" t="str">
        <f t="shared" si="12"/>
        <v>Census Tract 17.01, King County, Washington</v>
      </c>
      <c r="AD445">
        <f>VLOOKUP($AC445,'2017 Seattle Tracts'!$C$2:$Z$399,AD$1,FALSE)*AA445</f>
        <v>4003.9122208872973</v>
      </c>
      <c r="AE445">
        <f>VLOOKUP($AC445,'2017 Seattle Tracts'!$C$2:$Z$399,AE$1,FALSE)*AA445</f>
        <v>3506.9231165463916</v>
      </c>
      <c r="AF445">
        <f>VLOOKUP($AC445,'2017 Seattle Tracts'!$C$2:$Z$399,AF$1,FALSE)*AA445</f>
        <v>496.98910434090578</v>
      </c>
      <c r="AG445">
        <f>VLOOKUP($AC445,'2017 Seattle Tracts'!$C$2:$Z$399,AG$1,FALSE)*AA445</f>
        <v>4003.9122208872973</v>
      </c>
      <c r="AH445">
        <f>VLOOKUP($AC445,'2017 Seattle Tracts'!$C$2:$Z$399,AH$1,FALSE)*AA445</f>
        <v>3506.9231165463916</v>
      </c>
      <c r="AI445">
        <f>VLOOKUP($AC445,'2017 Seattle Tracts'!$C$2:$Z$399,AI$1,FALSE)*AA445</f>
        <v>496.98910434090578</v>
      </c>
      <c r="AJ445">
        <f>VLOOKUP($AC445,'2017 Seattle Tracts'!$C$2:$Z$399,AJ$1,FALSE)*AA445</f>
        <v>2661.9416413591375</v>
      </c>
      <c r="AK445">
        <f>VLOOKUP($AC445,'2017 Seattle Tracts'!$C$2:$Z$399,AK$1,FALSE)*AA445</f>
        <v>131.99710618309771</v>
      </c>
      <c r="AL445">
        <f>VLOOKUP($AC445,'2017 Seattle Tracts'!$C$2:$Z$399,AL$1,FALSE)*AA445</f>
        <v>101.99776386875733</v>
      </c>
      <c r="AM445">
        <f>VLOOKUP($AC445,'2017 Seattle Tracts'!$C$2:$Z$399,AM$1,FALSE)*AA445</f>
        <v>0</v>
      </c>
      <c r="AN445">
        <f>VLOOKUP($AC445,'2017 Seattle Tracts'!$C$2:$Z$399,AN$1,FALSE)*AA445</f>
        <v>199.99561542893593</v>
      </c>
      <c r="AO445">
        <f>VLOOKUP($AC445,'2017 Seattle Tracts'!$C$2:$Z$399,AO$1,FALSE)*AA445</f>
        <v>63.998596937259499</v>
      </c>
      <c r="AP445">
        <f>VLOOKUP($AC445,'2017 Seattle Tracts'!$C$2:$Z$399,AP$1,FALSE)*AA445</f>
        <v>52.998838088668023</v>
      </c>
      <c r="AQ445">
        <f>VLOOKUP($AC445,'2017 Seattle Tracts'!$C$2:$Z$399,AQ$1,FALSE)*AA445</f>
        <v>0</v>
      </c>
      <c r="AR445">
        <f>VLOOKUP($AC445,'2017 Seattle Tracts'!$C$2:$Z$399,AR$1,FALSE)*AA445</f>
        <v>155.99658003457003</v>
      </c>
      <c r="AS445">
        <f>VLOOKUP($AC445,'2017 Seattle Tracts'!$C$2:$Z$399,AS$1,FALSE)*AA445</f>
        <v>229.99495774327633</v>
      </c>
      <c r="AT445">
        <f>VLOOKUP($AC445,'2017 Seattle Tracts'!$C$2:$Z$399,AT$1,FALSE)*AA445</f>
        <v>18.999583465748913</v>
      </c>
      <c r="AU445">
        <f>VLOOKUP($AC445,'2017 Seattle Tracts'!$C$2:$Z$399,AU$1,FALSE)*AA445</f>
        <v>0</v>
      </c>
      <c r="AV445">
        <f>VLOOKUP($AC445,'2017 Seattle Tracts'!$C$2:$Z$399,AV$1,FALSE)*AA445</f>
        <v>30.999320391485071</v>
      </c>
      <c r="AW445">
        <f>VLOOKUP($AC445,'2017 Seattle Tracts'!$C$2:$Z$399,AW$1,FALSE)*AA445</f>
        <v>34.999232700063786</v>
      </c>
      <c r="AX445">
        <f>VLOOKUP($AC445,'2017 Seattle Tracts'!$C$2:$Z$399,AX$1,FALSE)*AA445</f>
        <v>283.99377390908904</v>
      </c>
      <c r="AY445">
        <f>VLOOKUP($AC445,'2017 Seattle Tracts'!$C$2:$Z$399,AY$1,FALSE)*AA445</f>
        <v>35.999210777208468</v>
      </c>
    </row>
    <row r="446" spans="1:51" x14ac:dyDescent="0.25">
      <c r="A446" t="s">
        <v>2917</v>
      </c>
      <c r="B446" t="s">
        <v>2918</v>
      </c>
      <c r="C446" t="s">
        <v>3254</v>
      </c>
      <c r="D446" t="s">
        <v>2869</v>
      </c>
      <c r="E446" t="s">
        <v>2870</v>
      </c>
      <c r="F446" t="s">
        <v>2871</v>
      </c>
      <c r="G446" t="s">
        <v>2920</v>
      </c>
      <c r="H446" t="s">
        <v>2921</v>
      </c>
      <c r="I446">
        <v>1616685</v>
      </c>
      <c r="J446">
        <v>0</v>
      </c>
      <c r="K446" t="s">
        <v>3255</v>
      </c>
      <c r="L446" t="s">
        <v>3256</v>
      </c>
      <c r="M446">
        <v>1616686</v>
      </c>
      <c r="N446">
        <v>80</v>
      </c>
      <c r="O446">
        <v>40522.184000000001</v>
      </c>
      <c r="P446" t="s">
        <v>179</v>
      </c>
      <c r="Q446">
        <v>17</v>
      </c>
      <c r="R446">
        <v>5</v>
      </c>
      <c r="S446">
        <v>95</v>
      </c>
      <c r="T446">
        <v>52620472</v>
      </c>
      <c r="U446">
        <v>82</v>
      </c>
      <c r="V446">
        <v>172</v>
      </c>
      <c r="W446">
        <v>40522.182927532267</v>
      </c>
      <c r="X446">
        <v>52620470.788550943</v>
      </c>
      <c r="Y446">
        <v>1616174.4839999999</v>
      </c>
      <c r="Z446">
        <f>VLOOKUP($AC446,'2017 Seattle Tracts'!$C$2:$Z$399,24,FALSE)</f>
        <v>1616686.0390000001</v>
      </c>
      <c r="AA446">
        <f t="shared" si="13"/>
        <v>0.99968357801845276</v>
      </c>
      <c r="AB446" t="s">
        <v>180</v>
      </c>
      <c r="AC446" t="str">
        <f t="shared" si="12"/>
        <v>Census Tract 104.01, King County, Washington</v>
      </c>
      <c r="AD446">
        <f>VLOOKUP($AC446,'2017 Seattle Tracts'!$C$2:$Z$399,AD$1,FALSE)*AA446</f>
        <v>4301.6384362134022</v>
      </c>
      <c r="AE446">
        <f>VLOOKUP($AC446,'2017 Seattle Tracts'!$C$2:$Z$399,AE$1,FALSE)*AA446</f>
        <v>2187.3076687043745</v>
      </c>
      <c r="AF446">
        <f>VLOOKUP($AC446,'2017 Seattle Tracts'!$C$2:$Z$399,AF$1,FALSE)*AA446</f>
        <v>2114.3307675090277</v>
      </c>
      <c r="AG446">
        <f>VLOOKUP($AC446,'2017 Seattle Tracts'!$C$2:$Z$399,AG$1,FALSE)*AA446</f>
        <v>4301.6384362134022</v>
      </c>
      <c r="AH446">
        <f>VLOOKUP($AC446,'2017 Seattle Tracts'!$C$2:$Z$399,AH$1,FALSE)*AA446</f>
        <v>2187.3076687043745</v>
      </c>
      <c r="AI446">
        <f>VLOOKUP($AC446,'2017 Seattle Tracts'!$C$2:$Z$399,AI$1,FALSE)*AA446</f>
        <v>2114.3307675090277</v>
      </c>
      <c r="AJ446">
        <f>VLOOKUP($AC446,'2017 Seattle Tracts'!$C$2:$Z$399,AJ$1,FALSE)*AA446</f>
        <v>749.76268351383953</v>
      </c>
      <c r="AK446">
        <f>VLOOKUP($AC446,'2017 Seattle Tracts'!$C$2:$Z$399,AK$1,FALSE)*AA446</f>
        <v>50.983862478941091</v>
      </c>
      <c r="AL446">
        <f>VLOOKUP($AC446,'2017 Seattle Tracts'!$C$2:$Z$399,AL$1,FALSE)*AA446</f>
        <v>69.977850461291695</v>
      </c>
      <c r="AM446">
        <f>VLOOKUP($AC446,'2017 Seattle Tracts'!$C$2:$Z$399,AM$1,FALSE)*AA446</f>
        <v>11.996202936221433</v>
      </c>
      <c r="AN446">
        <f>VLOOKUP($AC446,'2017 Seattle Tracts'!$C$2:$Z$399,AN$1,FALSE)*AA446</f>
        <v>491.84432038507873</v>
      </c>
      <c r="AO446">
        <f>VLOOKUP($AC446,'2017 Seattle Tracts'!$C$2:$Z$399,AO$1,FALSE)*AA446</f>
        <v>232.92627367829948</v>
      </c>
      <c r="AP446">
        <f>VLOOKUP($AC446,'2017 Seattle Tracts'!$C$2:$Z$399,AP$1,FALSE)*AA446</f>
        <v>0</v>
      </c>
      <c r="AQ446">
        <f>VLOOKUP($AC446,'2017 Seattle Tracts'!$C$2:$Z$399,AQ$1,FALSE)*AA446</f>
        <v>0</v>
      </c>
      <c r="AR446">
        <f>VLOOKUP($AC446,'2017 Seattle Tracts'!$C$2:$Z$399,AR$1,FALSE)*AA446</f>
        <v>632.79970488568063</v>
      </c>
      <c r="AS446">
        <f>VLOOKUP($AC446,'2017 Seattle Tracts'!$C$2:$Z$399,AS$1,FALSE)*AA446</f>
        <v>1719.4557541917388</v>
      </c>
      <c r="AT446">
        <f>VLOOKUP($AC446,'2017 Seattle Tracts'!$C$2:$Z$399,AT$1,FALSE)*AA446</f>
        <v>0</v>
      </c>
      <c r="AU446">
        <f>VLOOKUP($AC446,'2017 Seattle Tracts'!$C$2:$Z$399,AU$1,FALSE)*AA446</f>
        <v>0</v>
      </c>
      <c r="AV446">
        <f>VLOOKUP($AC446,'2017 Seattle Tracts'!$C$2:$Z$399,AV$1,FALSE)*AA446</f>
        <v>96.969307067789913</v>
      </c>
      <c r="AW446">
        <f>VLOOKUP($AC446,'2017 Seattle Tracts'!$C$2:$Z$399,AW$1,FALSE)*AA446</f>
        <v>93.970256333734554</v>
      </c>
      <c r="AX446">
        <f>VLOOKUP($AC446,'2017 Seattle Tracts'!$C$2:$Z$399,AX$1,FALSE)*AA446</f>
        <v>145.95380239069411</v>
      </c>
      <c r="AY446">
        <f>VLOOKUP($AC446,'2017 Seattle Tracts'!$C$2:$Z$399,AY$1,FALSE)*AA446</f>
        <v>4.9984178900922638</v>
      </c>
    </row>
    <row r="447" spans="1:51" x14ac:dyDescent="0.25">
      <c r="A447" t="s">
        <v>2917</v>
      </c>
      <c r="B447" t="s">
        <v>2918</v>
      </c>
      <c r="C447" t="s">
        <v>3254</v>
      </c>
      <c r="D447" t="s">
        <v>2869</v>
      </c>
      <c r="E447" t="s">
        <v>2870</v>
      </c>
      <c r="F447" t="s">
        <v>2871</v>
      </c>
      <c r="G447" t="s">
        <v>2920</v>
      </c>
      <c r="H447" t="s">
        <v>2921</v>
      </c>
      <c r="I447">
        <v>1616685</v>
      </c>
      <c r="J447">
        <v>0</v>
      </c>
      <c r="K447" t="s">
        <v>3255</v>
      </c>
      <c r="L447" t="s">
        <v>3256</v>
      </c>
      <c r="M447">
        <v>1616686</v>
      </c>
      <c r="N447">
        <v>88</v>
      </c>
      <c r="O447">
        <v>35177.063000000002</v>
      </c>
      <c r="P447" t="s">
        <v>184</v>
      </c>
      <c r="Q447">
        <v>15</v>
      </c>
      <c r="R447">
        <v>4</v>
      </c>
      <c r="S447">
        <v>94</v>
      </c>
      <c r="T447">
        <v>37406576</v>
      </c>
      <c r="U447">
        <v>90</v>
      </c>
      <c r="V447">
        <v>179</v>
      </c>
      <c r="W447">
        <v>35177.060803967521</v>
      </c>
      <c r="X447">
        <v>37406576.492632188</v>
      </c>
      <c r="Y447">
        <v>511.577</v>
      </c>
      <c r="Z447">
        <f>VLOOKUP($AC447,'2017 Seattle Tracts'!$C$2:$Z$399,24,FALSE)</f>
        <v>1616686.0390000001</v>
      </c>
      <c r="AA447">
        <f t="shared" si="13"/>
        <v>3.1643558963151283E-4</v>
      </c>
      <c r="AB447" t="s">
        <v>189</v>
      </c>
      <c r="AC447" t="str">
        <f t="shared" si="12"/>
        <v>Census Tract 104.01, King County, Washington</v>
      </c>
      <c r="AD447">
        <f>VLOOKUP($AC447,'2017 Seattle Tracts'!$C$2:$Z$399,AD$1,FALSE)*AA447</f>
        <v>1.3616223421843998</v>
      </c>
      <c r="AE447">
        <f>VLOOKUP($AC447,'2017 Seattle Tracts'!$C$2:$Z$399,AE$1,FALSE)*AA447</f>
        <v>0.69236107011375003</v>
      </c>
      <c r="AF447">
        <f>VLOOKUP($AC447,'2017 Seattle Tracts'!$C$2:$Z$399,AF$1,FALSE)*AA447</f>
        <v>0.66926127207064967</v>
      </c>
      <c r="AG447">
        <f>VLOOKUP($AC447,'2017 Seattle Tracts'!$C$2:$Z$399,AG$1,FALSE)*AA447</f>
        <v>1.3616223421843998</v>
      </c>
      <c r="AH447">
        <f>VLOOKUP($AC447,'2017 Seattle Tracts'!$C$2:$Z$399,AH$1,FALSE)*AA447</f>
        <v>0.69236107011375003</v>
      </c>
      <c r="AI447">
        <f>VLOOKUP($AC447,'2017 Seattle Tracts'!$C$2:$Z$399,AI$1,FALSE)*AA447</f>
        <v>0.66926127207064967</v>
      </c>
      <c r="AJ447">
        <f>VLOOKUP($AC447,'2017 Seattle Tracts'!$C$2:$Z$399,AJ$1,FALSE)*AA447</f>
        <v>0.23732669222363462</v>
      </c>
      <c r="AK447">
        <f>VLOOKUP($AC447,'2017 Seattle Tracts'!$C$2:$Z$399,AK$1,FALSE)*AA447</f>
        <v>1.6138215071207156E-2</v>
      </c>
      <c r="AL447">
        <f>VLOOKUP($AC447,'2017 Seattle Tracts'!$C$2:$Z$399,AL$1,FALSE)*AA447</f>
        <v>2.2150491274205899E-2</v>
      </c>
      <c r="AM447">
        <f>VLOOKUP($AC447,'2017 Seattle Tracts'!$C$2:$Z$399,AM$1,FALSE)*AA447</f>
        <v>3.7972270755781542E-3</v>
      </c>
      <c r="AN447">
        <f>VLOOKUP($AC447,'2017 Seattle Tracts'!$C$2:$Z$399,AN$1,FALSE)*AA447</f>
        <v>0.15568631009870432</v>
      </c>
      <c r="AO447">
        <f>VLOOKUP($AC447,'2017 Seattle Tracts'!$C$2:$Z$399,AO$1,FALSE)*AA447</f>
        <v>7.3729492384142489E-2</v>
      </c>
      <c r="AP447">
        <f>VLOOKUP($AC447,'2017 Seattle Tracts'!$C$2:$Z$399,AP$1,FALSE)*AA447</f>
        <v>0</v>
      </c>
      <c r="AQ447">
        <f>VLOOKUP($AC447,'2017 Seattle Tracts'!$C$2:$Z$399,AQ$1,FALSE)*AA447</f>
        <v>0</v>
      </c>
      <c r="AR447">
        <f>VLOOKUP($AC447,'2017 Seattle Tracts'!$C$2:$Z$399,AR$1,FALSE)*AA447</f>
        <v>0.20030372823674764</v>
      </c>
      <c r="AS447">
        <f>VLOOKUP($AC447,'2017 Seattle Tracts'!$C$2:$Z$399,AS$1,FALSE)*AA447</f>
        <v>0.54426921416620211</v>
      </c>
      <c r="AT447">
        <f>VLOOKUP($AC447,'2017 Seattle Tracts'!$C$2:$Z$399,AT$1,FALSE)*AA447</f>
        <v>0</v>
      </c>
      <c r="AU447">
        <f>VLOOKUP($AC447,'2017 Seattle Tracts'!$C$2:$Z$399,AU$1,FALSE)*AA447</f>
        <v>0</v>
      </c>
      <c r="AV447">
        <f>VLOOKUP($AC447,'2017 Seattle Tracts'!$C$2:$Z$399,AV$1,FALSE)*AA447</f>
        <v>3.0694252194256744E-2</v>
      </c>
      <c r="AW447">
        <f>VLOOKUP($AC447,'2017 Seattle Tracts'!$C$2:$Z$399,AW$1,FALSE)*AA447</f>
        <v>2.9744945425362206E-2</v>
      </c>
      <c r="AX447">
        <f>VLOOKUP($AC447,'2017 Seattle Tracts'!$C$2:$Z$399,AX$1,FALSE)*AA447</f>
        <v>4.6199596086200875E-2</v>
      </c>
      <c r="AY447">
        <f>VLOOKUP($AC447,'2017 Seattle Tracts'!$C$2:$Z$399,AY$1,FALSE)*AA447</f>
        <v>1.5821779481575641E-3</v>
      </c>
    </row>
    <row r="448" spans="1:51" x14ac:dyDescent="0.25">
      <c r="A448" t="s">
        <v>2917</v>
      </c>
      <c r="B448" t="s">
        <v>2918</v>
      </c>
      <c r="C448" t="s">
        <v>3257</v>
      </c>
      <c r="D448" t="s">
        <v>2857</v>
      </c>
      <c r="E448" t="s">
        <v>2858</v>
      </c>
      <c r="F448" t="s">
        <v>2859</v>
      </c>
      <c r="G448" t="s">
        <v>2920</v>
      </c>
      <c r="H448" t="s">
        <v>2921</v>
      </c>
      <c r="I448">
        <v>1453053</v>
      </c>
      <c r="J448">
        <v>3664</v>
      </c>
      <c r="K448" t="s">
        <v>3258</v>
      </c>
      <c r="L448" t="s">
        <v>3259</v>
      </c>
      <c r="M448">
        <v>1453051</v>
      </c>
      <c r="N448">
        <v>90</v>
      </c>
      <c r="O448">
        <v>23549.932000000001</v>
      </c>
      <c r="P448" t="s">
        <v>191</v>
      </c>
      <c r="Q448">
        <v>20</v>
      </c>
      <c r="R448">
        <v>10</v>
      </c>
      <c r="S448">
        <v>23</v>
      </c>
      <c r="T448">
        <v>29454656</v>
      </c>
      <c r="U448">
        <v>92</v>
      </c>
      <c r="V448">
        <v>174</v>
      </c>
      <c r="W448">
        <v>23549.93136663039</v>
      </c>
      <c r="X448">
        <v>29454656.567178611</v>
      </c>
      <c r="Y448">
        <v>1512.1</v>
      </c>
      <c r="Z448">
        <f>VLOOKUP($AC448,'2017 Seattle Tracts'!$C$2:$Z$399,24,FALSE)</f>
        <v>1453051.3489999999</v>
      </c>
      <c r="AA448">
        <f t="shared" si="13"/>
        <v>1.0406376904991263E-3</v>
      </c>
      <c r="AB448" t="s">
        <v>192</v>
      </c>
      <c r="AC448" t="str">
        <f t="shared" si="12"/>
        <v>Census Tract 107.01, King County, Washington</v>
      </c>
      <c r="AD448">
        <f>VLOOKUP($AC448,'2017 Seattle Tracts'!$C$2:$Z$399,AD$1,FALSE)*AA448</f>
        <v>3.8878224117047355</v>
      </c>
      <c r="AE448">
        <f>VLOOKUP($AC448,'2017 Seattle Tracts'!$C$2:$Z$399,AE$1,FALSE)*AA448</f>
        <v>2.7368771260127023</v>
      </c>
      <c r="AF448">
        <f>VLOOKUP($AC448,'2017 Seattle Tracts'!$C$2:$Z$399,AF$1,FALSE)*AA448</f>
        <v>1.1509452856920337</v>
      </c>
      <c r="AG448">
        <f>VLOOKUP($AC448,'2017 Seattle Tracts'!$C$2:$Z$399,AG$1,FALSE)*AA448</f>
        <v>3.8878224117047355</v>
      </c>
      <c r="AH448">
        <f>VLOOKUP($AC448,'2017 Seattle Tracts'!$C$2:$Z$399,AH$1,FALSE)*AA448</f>
        <v>2.7368771260127023</v>
      </c>
      <c r="AI448">
        <f>VLOOKUP($AC448,'2017 Seattle Tracts'!$C$2:$Z$399,AI$1,FALSE)*AA448</f>
        <v>1.1509452856920337</v>
      </c>
      <c r="AJ448">
        <f>VLOOKUP($AC448,'2017 Seattle Tracts'!$C$2:$Z$399,AJ$1,FALSE)*AA448</f>
        <v>1.5952975795351605</v>
      </c>
      <c r="AK448">
        <f>VLOOKUP($AC448,'2017 Seattle Tracts'!$C$2:$Z$399,AK$1,FALSE)*AA448</f>
        <v>0.1186326967169004</v>
      </c>
      <c r="AL448">
        <f>VLOOKUP($AC448,'2017 Seattle Tracts'!$C$2:$Z$399,AL$1,FALSE)*AA448</f>
        <v>7.7007189096935338E-2</v>
      </c>
      <c r="AM448">
        <f>VLOOKUP($AC448,'2017 Seattle Tracts'!$C$2:$Z$399,AM$1,FALSE)*AA448</f>
        <v>6.2438261429947576E-3</v>
      </c>
      <c r="AN448">
        <f>VLOOKUP($AC448,'2017 Seattle Tracts'!$C$2:$Z$399,AN$1,FALSE)*AA448</f>
        <v>0.61813878815648104</v>
      </c>
      <c r="AO448">
        <f>VLOOKUP($AC448,'2017 Seattle Tracts'!$C$2:$Z$399,AO$1,FALSE)*AA448</f>
        <v>0.63687026658546531</v>
      </c>
      <c r="AP448">
        <f>VLOOKUP($AC448,'2017 Seattle Tracts'!$C$2:$Z$399,AP$1,FALSE)*AA448</f>
        <v>0</v>
      </c>
      <c r="AQ448">
        <f>VLOOKUP($AC448,'2017 Seattle Tracts'!$C$2:$Z$399,AQ$1,FALSE)*AA448</f>
        <v>0</v>
      </c>
      <c r="AR448">
        <f>VLOOKUP($AC448,'2017 Seattle Tracts'!$C$2:$Z$399,AR$1,FALSE)*AA448</f>
        <v>0.11447014595490389</v>
      </c>
      <c r="AS448">
        <f>VLOOKUP($AC448,'2017 Seattle Tracts'!$C$2:$Z$399,AS$1,FALSE)*AA448</f>
        <v>0.30906939407824052</v>
      </c>
      <c r="AT448">
        <f>VLOOKUP($AC448,'2017 Seattle Tracts'!$C$2:$Z$399,AT$1,FALSE)*AA448</f>
        <v>8.4291652930429228E-2</v>
      </c>
      <c r="AU448">
        <f>VLOOKUP($AC448,'2017 Seattle Tracts'!$C$2:$Z$399,AU$1,FALSE)*AA448</f>
        <v>4.7869333762959806E-2</v>
      </c>
      <c r="AV448">
        <f>VLOOKUP($AC448,'2017 Seattle Tracts'!$C$2:$Z$399,AV$1,FALSE)*AA448</f>
        <v>9.7819942906917867E-2</v>
      </c>
      <c r="AW448">
        <f>VLOOKUP($AC448,'2017 Seattle Tracts'!$C$2:$Z$399,AW$1,FALSE)*AA448</f>
        <v>3.2259768405472913E-2</v>
      </c>
      <c r="AX448">
        <f>VLOOKUP($AC448,'2017 Seattle Tracts'!$C$2:$Z$399,AX$1,FALSE)*AA448</f>
        <v>0.1498518274318742</v>
      </c>
      <c r="AY448">
        <f>VLOOKUP($AC448,'2017 Seattle Tracts'!$C$2:$Z$399,AY$1,FALSE)*AA448</f>
        <v>0</v>
      </c>
    </row>
    <row r="449" spans="1:51" x14ac:dyDescent="0.25">
      <c r="A449" t="s">
        <v>2917</v>
      </c>
      <c r="B449" t="s">
        <v>2918</v>
      </c>
      <c r="C449" t="s">
        <v>3257</v>
      </c>
      <c r="D449" t="s">
        <v>2857</v>
      </c>
      <c r="E449" t="s">
        <v>2858</v>
      </c>
      <c r="F449" t="s">
        <v>2859</v>
      </c>
      <c r="G449" t="s">
        <v>2920</v>
      </c>
      <c r="H449" t="s">
        <v>2921</v>
      </c>
      <c r="I449">
        <v>1453053</v>
      </c>
      <c r="J449">
        <v>3664</v>
      </c>
      <c r="K449" t="s">
        <v>3258</v>
      </c>
      <c r="L449" t="s">
        <v>3259</v>
      </c>
      <c r="M449">
        <v>1453051</v>
      </c>
      <c r="N449">
        <v>91</v>
      </c>
      <c r="O449">
        <v>25917.116999999998</v>
      </c>
      <c r="P449" t="s">
        <v>191</v>
      </c>
      <c r="Q449">
        <v>20</v>
      </c>
      <c r="R449">
        <v>10</v>
      </c>
      <c r="S449">
        <v>24</v>
      </c>
      <c r="T449">
        <v>33038268</v>
      </c>
      <c r="U449">
        <v>93</v>
      </c>
      <c r="V449">
        <v>180</v>
      </c>
      <c r="W449">
        <v>25917.117639101471</v>
      </c>
      <c r="X449">
        <v>33038267.192843691</v>
      </c>
      <c r="Y449">
        <v>38769.269999999997</v>
      </c>
      <c r="Z449">
        <f>VLOOKUP($AC449,'2017 Seattle Tracts'!$C$2:$Z$399,24,FALSE)</f>
        <v>1453051.3489999999</v>
      </c>
      <c r="AA449">
        <f t="shared" si="13"/>
        <v>2.6681280070853158E-2</v>
      </c>
      <c r="AB449" t="s">
        <v>193</v>
      </c>
      <c r="AC449" t="str">
        <f t="shared" si="12"/>
        <v>Census Tract 107.01, King County, Washington</v>
      </c>
      <c r="AD449">
        <f>VLOOKUP($AC449,'2017 Seattle Tracts'!$C$2:$Z$399,AD$1,FALSE)*AA449</f>
        <v>99.681262344707406</v>
      </c>
      <c r="AE449">
        <f>VLOOKUP($AC449,'2017 Seattle Tracts'!$C$2:$Z$399,AE$1,FALSE)*AA449</f>
        <v>70.171766586343807</v>
      </c>
      <c r="AF449">
        <f>VLOOKUP($AC449,'2017 Seattle Tracts'!$C$2:$Z$399,AF$1,FALSE)*AA449</f>
        <v>29.509495758363592</v>
      </c>
      <c r="AG449">
        <f>VLOOKUP($AC449,'2017 Seattle Tracts'!$C$2:$Z$399,AG$1,FALSE)*AA449</f>
        <v>99.681262344707406</v>
      </c>
      <c r="AH449">
        <f>VLOOKUP($AC449,'2017 Seattle Tracts'!$C$2:$Z$399,AH$1,FALSE)*AA449</f>
        <v>70.171766586343807</v>
      </c>
      <c r="AI449">
        <f>VLOOKUP($AC449,'2017 Seattle Tracts'!$C$2:$Z$399,AI$1,FALSE)*AA449</f>
        <v>29.509495758363592</v>
      </c>
      <c r="AJ449">
        <f>VLOOKUP($AC449,'2017 Seattle Tracts'!$C$2:$Z$399,AJ$1,FALSE)*AA449</f>
        <v>40.90240234861789</v>
      </c>
      <c r="AK449">
        <f>VLOOKUP($AC449,'2017 Seattle Tracts'!$C$2:$Z$399,AK$1,FALSE)*AA449</f>
        <v>3.04166592807726</v>
      </c>
      <c r="AL449">
        <f>VLOOKUP($AC449,'2017 Seattle Tracts'!$C$2:$Z$399,AL$1,FALSE)*AA449</f>
        <v>1.9744147252431337</v>
      </c>
      <c r="AM449">
        <f>VLOOKUP($AC449,'2017 Seattle Tracts'!$C$2:$Z$399,AM$1,FALSE)*AA449</f>
        <v>0.16008768042511895</v>
      </c>
      <c r="AN449">
        <f>VLOOKUP($AC449,'2017 Seattle Tracts'!$C$2:$Z$399,AN$1,FALSE)*AA449</f>
        <v>15.848680362086776</v>
      </c>
      <c r="AO449">
        <f>VLOOKUP($AC449,'2017 Seattle Tracts'!$C$2:$Z$399,AO$1,FALSE)*AA449</f>
        <v>16.328943403362132</v>
      </c>
      <c r="AP449">
        <f>VLOOKUP($AC449,'2017 Seattle Tracts'!$C$2:$Z$399,AP$1,FALSE)*AA449</f>
        <v>0</v>
      </c>
      <c r="AQ449">
        <f>VLOOKUP($AC449,'2017 Seattle Tracts'!$C$2:$Z$399,AQ$1,FALSE)*AA449</f>
        <v>0</v>
      </c>
      <c r="AR449">
        <f>VLOOKUP($AC449,'2017 Seattle Tracts'!$C$2:$Z$399,AR$1,FALSE)*AA449</f>
        <v>2.9349408077938475</v>
      </c>
      <c r="AS449">
        <f>VLOOKUP($AC449,'2017 Seattle Tracts'!$C$2:$Z$399,AS$1,FALSE)*AA449</f>
        <v>7.9243401810433882</v>
      </c>
      <c r="AT449">
        <f>VLOOKUP($AC449,'2017 Seattle Tracts'!$C$2:$Z$399,AT$1,FALSE)*AA449</f>
        <v>2.1611836857391058</v>
      </c>
      <c r="AU449">
        <f>VLOOKUP($AC449,'2017 Seattle Tracts'!$C$2:$Z$399,AU$1,FALSE)*AA449</f>
        <v>1.2273388832592453</v>
      </c>
      <c r="AV449">
        <f>VLOOKUP($AC449,'2017 Seattle Tracts'!$C$2:$Z$399,AV$1,FALSE)*AA449</f>
        <v>2.5080403266601969</v>
      </c>
      <c r="AW449">
        <f>VLOOKUP($AC449,'2017 Seattle Tracts'!$C$2:$Z$399,AW$1,FALSE)*AA449</f>
        <v>0.82711968219644794</v>
      </c>
      <c r="AX449">
        <f>VLOOKUP($AC449,'2017 Seattle Tracts'!$C$2:$Z$399,AX$1,FALSE)*AA449</f>
        <v>3.8421043302028548</v>
      </c>
      <c r="AY449">
        <f>VLOOKUP($AC449,'2017 Seattle Tracts'!$C$2:$Z$399,AY$1,FALSE)*AA449</f>
        <v>0</v>
      </c>
    </row>
    <row r="450" spans="1:51" x14ac:dyDescent="0.25">
      <c r="A450" t="s">
        <v>2917</v>
      </c>
      <c r="B450" t="s">
        <v>2918</v>
      </c>
      <c r="C450" t="s">
        <v>3257</v>
      </c>
      <c r="D450" t="s">
        <v>2857</v>
      </c>
      <c r="E450" t="s">
        <v>2858</v>
      </c>
      <c r="F450" t="s">
        <v>2859</v>
      </c>
      <c r="G450" t="s">
        <v>2920</v>
      </c>
      <c r="H450" t="s">
        <v>2921</v>
      </c>
      <c r="I450">
        <v>1453053</v>
      </c>
      <c r="J450">
        <v>3664</v>
      </c>
      <c r="K450" t="s">
        <v>3258</v>
      </c>
      <c r="L450" t="s">
        <v>3259</v>
      </c>
      <c r="M450">
        <v>1453051</v>
      </c>
      <c r="N450">
        <v>92</v>
      </c>
      <c r="O450">
        <v>23180.396000000001</v>
      </c>
      <c r="P450" t="s">
        <v>191</v>
      </c>
      <c r="Q450">
        <v>20</v>
      </c>
      <c r="R450">
        <v>10</v>
      </c>
      <c r="S450">
        <v>95</v>
      </c>
      <c r="T450">
        <v>23343008</v>
      </c>
      <c r="U450">
        <v>94</v>
      </c>
      <c r="V450">
        <v>182</v>
      </c>
      <c r="W450">
        <v>23180.396359671431</v>
      </c>
      <c r="X450">
        <v>23343008.336782061</v>
      </c>
      <c r="Y450">
        <v>1294144.334</v>
      </c>
      <c r="Z450">
        <f>VLOOKUP($AC450,'2017 Seattle Tracts'!$C$2:$Z$399,24,FALSE)</f>
        <v>1453051.3489999999</v>
      </c>
      <c r="AA450">
        <f t="shared" si="13"/>
        <v>0.89063909192929702</v>
      </c>
      <c r="AB450" t="s">
        <v>194</v>
      </c>
      <c r="AC450" t="str">
        <f t="shared" si="12"/>
        <v>Census Tract 107.01, King County, Washington</v>
      </c>
      <c r="AD450">
        <f>VLOOKUP($AC450,'2017 Seattle Tracts'!$C$2:$Z$399,AD$1,FALSE)*AA450</f>
        <v>3327.4276474478538</v>
      </c>
      <c r="AE450">
        <f>VLOOKUP($AC450,'2017 Seattle Tracts'!$C$2:$Z$399,AE$1,FALSE)*AA450</f>
        <v>2342.3808117740514</v>
      </c>
      <c r="AF450">
        <f>VLOOKUP($AC450,'2017 Seattle Tracts'!$C$2:$Z$399,AF$1,FALSE)*AA450</f>
        <v>985.04683567380255</v>
      </c>
      <c r="AG450">
        <f>VLOOKUP($AC450,'2017 Seattle Tracts'!$C$2:$Z$399,AG$1,FALSE)*AA450</f>
        <v>3327.4276474478538</v>
      </c>
      <c r="AH450">
        <f>VLOOKUP($AC450,'2017 Seattle Tracts'!$C$2:$Z$399,AH$1,FALSE)*AA450</f>
        <v>2342.3808117740514</v>
      </c>
      <c r="AI450">
        <f>VLOOKUP($AC450,'2017 Seattle Tracts'!$C$2:$Z$399,AI$1,FALSE)*AA450</f>
        <v>985.04683567380255</v>
      </c>
      <c r="AJ450">
        <f>VLOOKUP($AC450,'2017 Seattle Tracts'!$C$2:$Z$399,AJ$1,FALSE)*AA450</f>
        <v>1365.3497279276123</v>
      </c>
      <c r="AK450">
        <f>VLOOKUP($AC450,'2017 Seattle Tracts'!$C$2:$Z$399,AK$1,FALSE)*AA450</f>
        <v>101.53285647993987</v>
      </c>
      <c r="AL450">
        <f>VLOOKUP($AC450,'2017 Seattle Tracts'!$C$2:$Z$399,AL$1,FALSE)*AA450</f>
        <v>65.907292802767984</v>
      </c>
      <c r="AM450">
        <f>VLOOKUP($AC450,'2017 Seattle Tracts'!$C$2:$Z$399,AM$1,FALSE)*AA450</f>
        <v>5.3438345515757817</v>
      </c>
      <c r="AN450">
        <f>VLOOKUP($AC450,'2017 Seattle Tracts'!$C$2:$Z$399,AN$1,FALSE)*AA450</f>
        <v>529.03962060600247</v>
      </c>
      <c r="AO450">
        <f>VLOOKUP($AC450,'2017 Seattle Tracts'!$C$2:$Z$399,AO$1,FALSE)*AA450</f>
        <v>545.07112426072979</v>
      </c>
      <c r="AP450">
        <f>VLOOKUP($AC450,'2017 Seattle Tracts'!$C$2:$Z$399,AP$1,FALSE)*AA450</f>
        <v>0</v>
      </c>
      <c r="AQ450">
        <f>VLOOKUP($AC450,'2017 Seattle Tracts'!$C$2:$Z$399,AQ$1,FALSE)*AA450</f>
        <v>0</v>
      </c>
      <c r="AR450">
        <f>VLOOKUP($AC450,'2017 Seattle Tracts'!$C$2:$Z$399,AR$1,FALSE)*AA450</f>
        <v>97.970300112222674</v>
      </c>
      <c r="AS450">
        <f>VLOOKUP($AC450,'2017 Seattle Tracts'!$C$2:$Z$399,AS$1,FALSE)*AA450</f>
        <v>264.51981030300124</v>
      </c>
      <c r="AT450">
        <f>VLOOKUP($AC450,'2017 Seattle Tracts'!$C$2:$Z$399,AT$1,FALSE)*AA450</f>
        <v>72.141766446273053</v>
      </c>
      <c r="AU450">
        <f>VLOOKUP($AC450,'2017 Seattle Tracts'!$C$2:$Z$399,AU$1,FALSE)*AA450</f>
        <v>40.969398228747664</v>
      </c>
      <c r="AV450">
        <f>VLOOKUP($AC450,'2017 Seattle Tracts'!$C$2:$Z$399,AV$1,FALSE)*AA450</f>
        <v>83.720074641353918</v>
      </c>
      <c r="AW450">
        <f>VLOOKUP($AC450,'2017 Seattle Tracts'!$C$2:$Z$399,AW$1,FALSE)*AA450</f>
        <v>27.609811849808207</v>
      </c>
      <c r="AX450">
        <f>VLOOKUP($AC450,'2017 Seattle Tracts'!$C$2:$Z$399,AX$1,FALSE)*AA450</f>
        <v>128.25202923781876</v>
      </c>
      <c r="AY450">
        <f>VLOOKUP($AC450,'2017 Seattle Tracts'!$C$2:$Z$399,AY$1,FALSE)*AA450</f>
        <v>0</v>
      </c>
    </row>
    <row r="451" spans="1:51" x14ac:dyDescent="0.25">
      <c r="A451" t="s">
        <v>2917</v>
      </c>
      <c r="B451" t="s">
        <v>2918</v>
      </c>
      <c r="C451" t="s">
        <v>3257</v>
      </c>
      <c r="D451" t="s">
        <v>2857</v>
      </c>
      <c r="E451" t="s">
        <v>2858</v>
      </c>
      <c r="F451" t="s">
        <v>2859</v>
      </c>
      <c r="G451" t="s">
        <v>2920</v>
      </c>
      <c r="H451" t="s">
        <v>2921</v>
      </c>
      <c r="I451">
        <v>1453053</v>
      </c>
      <c r="J451">
        <v>3664</v>
      </c>
      <c r="K451" t="s">
        <v>3258</v>
      </c>
      <c r="L451" t="s">
        <v>3259</v>
      </c>
      <c r="M451">
        <v>1453051</v>
      </c>
      <c r="N451">
        <v>93</v>
      </c>
      <c r="O451">
        <v>23416.34</v>
      </c>
      <c r="P451" t="s">
        <v>191</v>
      </c>
      <c r="Q451">
        <v>20</v>
      </c>
      <c r="R451">
        <v>10</v>
      </c>
      <c r="S451">
        <v>94</v>
      </c>
      <c r="T451">
        <v>17923316</v>
      </c>
      <c r="U451">
        <v>95</v>
      </c>
      <c r="V451">
        <v>190</v>
      </c>
      <c r="W451">
        <v>23416.340535979401</v>
      </c>
      <c r="X451">
        <v>17923316.223963421</v>
      </c>
      <c r="Y451">
        <v>1746.6210000000001</v>
      </c>
      <c r="Z451">
        <f>VLOOKUP($AC451,'2017 Seattle Tracts'!$C$2:$Z$399,24,FALSE)</f>
        <v>1453051.3489999999</v>
      </c>
      <c r="AA451">
        <f t="shared" si="13"/>
        <v>1.2020366666340022E-3</v>
      </c>
      <c r="AB451" t="s">
        <v>195</v>
      </c>
      <c r="AC451" t="str">
        <f t="shared" ref="AC451:AC519" si="14">_xlfn.CONCAT(F451, ", King County, Washington")</f>
        <v>Census Tract 107.01, King County, Washington</v>
      </c>
      <c r="AD451">
        <f>VLOOKUP($AC451,'2017 Seattle Tracts'!$C$2:$Z$399,AD$1,FALSE)*AA451</f>
        <v>4.4908089865446321</v>
      </c>
      <c r="AE451">
        <f>VLOOKUP($AC451,'2017 Seattle Tracts'!$C$2:$Z$399,AE$1,FALSE)*AA451</f>
        <v>3.161356433247426</v>
      </c>
      <c r="AF451">
        <f>VLOOKUP($AC451,'2017 Seattle Tracts'!$C$2:$Z$399,AF$1,FALSE)*AA451</f>
        <v>1.3294525532972064</v>
      </c>
      <c r="AG451">
        <f>VLOOKUP($AC451,'2017 Seattle Tracts'!$C$2:$Z$399,AG$1,FALSE)*AA451</f>
        <v>4.4908089865446321</v>
      </c>
      <c r="AH451">
        <f>VLOOKUP($AC451,'2017 Seattle Tracts'!$C$2:$Z$399,AH$1,FALSE)*AA451</f>
        <v>3.161356433247426</v>
      </c>
      <c r="AI451">
        <f>VLOOKUP($AC451,'2017 Seattle Tracts'!$C$2:$Z$399,AI$1,FALSE)*AA451</f>
        <v>1.3294525532972064</v>
      </c>
      <c r="AJ451">
        <f>VLOOKUP($AC451,'2017 Seattle Tracts'!$C$2:$Z$399,AJ$1,FALSE)*AA451</f>
        <v>1.8427222099499254</v>
      </c>
      <c r="AK451">
        <f>VLOOKUP($AC451,'2017 Seattle Tracts'!$C$2:$Z$399,AK$1,FALSE)*AA451</f>
        <v>0.13703217999627626</v>
      </c>
      <c r="AL451">
        <f>VLOOKUP($AC451,'2017 Seattle Tracts'!$C$2:$Z$399,AL$1,FALSE)*AA451</f>
        <v>8.8950713330916156E-2</v>
      </c>
      <c r="AM451">
        <f>VLOOKUP($AC451,'2017 Seattle Tracts'!$C$2:$Z$399,AM$1,FALSE)*AA451</f>
        <v>7.2122199998040128E-3</v>
      </c>
      <c r="AN451">
        <f>VLOOKUP($AC451,'2017 Seattle Tracts'!$C$2:$Z$399,AN$1,FALSE)*AA451</f>
        <v>0.71400977998059734</v>
      </c>
      <c r="AO451">
        <f>VLOOKUP($AC451,'2017 Seattle Tracts'!$C$2:$Z$399,AO$1,FALSE)*AA451</f>
        <v>0.73564643998000934</v>
      </c>
      <c r="AP451">
        <f>VLOOKUP($AC451,'2017 Seattle Tracts'!$C$2:$Z$399,AP$1,FALSE)*AA451</f>
        <v>0</v>
      </c>
      <c r="AQ451">
        <f>VLOOKUP($AC451,'2017 Seattle Tracts'!$C$2:$Z$399,AQ$1,FALSE)*AA451</f>
        <v>0</v>
      </c>
      <c r="AR451">
        <f>VLOOKUP($AC451,'2017 Seattle Tracts'!$C$2:$Z$399,AR$1,FALSE)*AA451</f>
        <v>0.13222403332974025</v>
      </c>
      <c r="AS451">
        <f>VLOOKUP($AC451,'2017 Seattle Tracts'!$C$2:$Z$399,AS$1,FALSE)*AA451</f>
        <v>0.35700488999029867</v>
      </c>
      <c r="AT451">
        <f>VLOOKUP($AC451,'2017 Seattle Tracts'!$C$2:$Z$399,AT$1,FALSE)*AA451</f>
        <v>9.7364969997354181E-2</v>
      </c>
      <c r="AU451">
        <f>VLOOKUP($AC451,'2017 Seattle Tracts'!$C$2:$Z$399,AU$1,FALSE)*AA451</f>
        <v>5.5293686665164099E-2</v>
      </c>
      <c r="AV451">
        <f>VLOOKUP($AC451,'2017 Seattle Tracts'!$C$2:$Z$399,AV$1,FALSE)*AA451</f>
        <v>0.1129914466635962</v>
      </c>
      <c r="AW451">
        <f>VLOOKUP($AC451,'2017 Seattle Tracts'!$C$2:$Z$399,AW$1,FALSE)*AA451</f>
        <v>3.7263136665654069E-2</v>
      </c>
      <c r="AX451">
        <f>VLOOKUP($AC451,'2017 Seattle Tracts'!$C$2:$Z$399,AX$1,FALSE)*AA451</f>
        <v>0.17309327999529631</v>
      </c>
      <c r="AY451">
        <f>VLOOKUP($AC451,'2017 Seattle Tracts'!$C$2:$Z$399,AY$1,FALSE)*AA451</f>
        <v>0</v>
      </c>
    </row>
    <row r="452" spans="1:51" x14ac:dyDescent="0.25">
      <c r="A452" t="s">
        <v>2917</v>
      </c>
      <c r="B452" t="s">
        <v>2918</v>
      </c>
      <c r="C452" t="s">
        <v>3257</v>
      </c>
      <c r="D452" t="s">
        <v>2857</v>
      </c>
      <c r="E452" t="s">
        <v>2858</v>
      </c>
      <c r="F452" t="s">
        <v>2859</v>
      </c>
      <c r="G452" t="s">
        <v>2920</v>
      </c>
      <c r="H452" t="s">
        <v>2921</v>
      </c>
      <c r="I452">
        <v>1453053</v>
      </c>
      <c r="J452">
        <v>3664</v>
      </c>
      <c r="K452" t="s">
        <v>3258</v>
      </c>
      <c r="L452" t="s">
        <v>3259</v>
      </c>
      <c r="M452">
        <v>1453051</v>
      </c>
      <c r="N452">
        <v>94</v>
      </c>
      <c r="O452">
        <v>22360.046999999999</v>
      </c>
      <c r="P452" t="s">
        <v>191</v>
      </c>
      <c r="Q452">
        <v>20</v>
      </c>
      <c r="R452">
        <v>10</v>
      </c>
      <c r="S452">
        <v>0</v>
      </c>
      <c r="T452">
        <v>18781060</v>
      </c>
      <c r="U452">
        <v>96</v>
      </c>
      <c r="V452">
        <v>191</v>
      </c>
      <c r="W452">
        <v>22360.047228914489</v>
      </c>
      <c r="X452">
        <v>18781059.844160609</v>
      </c>
      <c r="Y452">
        <v>116879.02</v>
      </c>
      <c r="Z452">
        <f>VLOOKUP($AC452,'2017 Seattle Tracts'!$C$2:$Z$399,24,FALSE)</f>
        <v>1453051.3489999999</v>
      </c>
      <c r="AA452">
        <f t="shared" ref="AA452:AA515" si="15">Y452/Z452</f>
        <v>8.0436950889889031E-2</v>
      </c>
      <c r="AB452" t="s">
        <v>196</v>
      </c>
      <c r="AC452" t="str">
        <f t="shared" si="14"/>
        <v>Census Tract 107.01, King County, Washington</v>
      </c>
      <c r="AD452">
        <f>VLOOKUP($AC452,'2017 Seattle Tracts'!$C$2:$Z$399,AD$1,FALSE)*AA452</f>
        <v>300.51244852462543</v>
      </c>
      <c r="AE452">
        <f>VLOOKUP($AC452,'2017 Seattle Tracts'!$C$2:$Z$399,AE$1,FALSE)*AA452</f>
        <v>211.54918084040816</v>
      </c>
      <c r="AF452">
        <f>VLOOKUP($AC452,'2017 Seattle Tracts'!$C$2:$Z$399,AF$1,FALSE)*AA452</f>
        <v>88.963267684217271</v>
      </c>
      <c r="AG452">
        <f>VLOOKUP($AC452,'2017 Seattle Tracts'!$C$2:$Z$399,AG$1,FALSE)*AA452</f>
        <v>300.51244852462543</v>
      </c>
      <c r="AH452">
        <f>VLOOKUP($AC452,'2017 Seattle Tracts'!$C$2:$Z$399,AH$1,FALSE)*AA452</f>
        <v>211.54918084040816</v>
      </c>
      <c r="AI452">
        <f>VLOOKUP($AC452,'2017 Seattle Tracts'!$C$2:$Z$399,AI$1,FALSE)*AA452</f>
        <v>88.963267684217271</v>
      </c>
      <c r="AJ452">
        <f>VLOOKUP($AC452,'2017 Seattle Tracts'!$C$2:$Z$399,AJ$1,FALSE)*AA452</f>
        <v>123.30984571419988</v>
      </c>
      <c r="AK452">
        <f>VLOOKUP($AC452,'2017 Seattle Tracts'!$C$2:$Z$399,AK$1,FALSE)*AA452</f>
        <v>9.1698124014473503</v>
      </c>
      <c r="AL452">
        <f>VLOOKUP($AC452,'2017 Seattle Tracts'!$C$2:$Z$399,AL$1,FALSE)*AA452</f>
        <v>5.9523343658517884</v>
      </c>
      <c r="AM452">
        <f>VLOOKUP($AC452,'2017 Seattle Tracts'!$C$2:$Z$399,AM$1,FALSE)*AA452</f>
        <v>0.48262170533933418</v>
      </c>
      <c r="AN452">
        <f>VLOOKUP($AC452,'2017 Seattle Tracts'!$C$2:$Z$399,AN$1,FALSE)*AA452</f>
        <v>47.779548828594088</v>
      </c>
      <c r="AO452">
        <f>VLOOKUP($AC452,'2017 Seattle Tracts'!$C$2:$Z$399,AO$1,FALSE)*AA452</f>
        <v>49.227413944612088</v>
      </c>
      <c r="AP452">
        <f>VLOOKUP($AC452,'2017 Seattle Tracts'!$C$2:$Z$399,AP$1,FALSE)*AA452</f>
        <v>0</v>
      </c>
      <c r="AQ452">
        <f>VLOOKUP($AC452,'2017 Seattle Tracts'!$C$2:$Z$399,AQ$1,FALSE)*AA452</f>
        <v>0</v>
      </c>
      <c r="AR452">
        <f>VLOOKUP($AC452,'2017 Seattle Tracts'!$C$2:$Z$399,AR$1,FALSE)*AA452</f>
        <v>8.8480645978877934</v>
      </c>
      <c r="AS452">
        <f>VLOOKUP($AC452,'2017 Seattle Tracts'!$C$2:$Z$399,AS$1,FALSE)*AA452</f>
        <v>23.889774414297044</v>
      </c>
      <c r="AT452">
        <f>VLOOKUP($AC452,'2017 Seattle Tracts'!$C$2:$Z$399,AT$1,FALSE)*AA452</f>
        <v>6.5153930220810112</v>
      </c>
      <c r="AU452">
        <f>VLOOKUP($AC452,'2017 Seattle Tracts'!$C$2:$Z$399,AU$1,FALSE)*AA452</f>
        <v>3.7000997409348955</v>
      </c>
      <c r="AV452">
        <f>VLOOKUP($AC452,'2017 Seattle Tracts'!$C$2:$Z$399,AV$1,FALSE)*AA452</f>
        <v>7.5610733836495685</v>
      </c>
      <c r="AW452">
        <f>VLOOKUP($AC452,'2017 Seattle Tracts'!$C$2:$Z$399,AW$1,FALSE)*AA452</f>
        <v>2.4935454775865598</v>
      </c>
      <c r="AX452">
        <f>VLOOKUP($AC452,'2017 Seattle Tracts'!$C$2:$Z$399,AX$1,FALSE)*AA452</f>
        <v>11.58292092814402</v>
      </c>
      <c r="AY452">
        <f>VLOOKUP($AC452,'2017 Seattle Tracts'!$C$2:$Z$399,AY$1,FALSE)*AA452</f>
        <v>0</v>
      </c>
    </row>
    <row r="453" spans="1:51" x14ac:dyDescent="0.25">
      <c r="A453" t="s">
        <v>2917</v>
      </c>
      <c r="B453" t="s">
        <v>2918</v>
      </c>
      <c r="C453" t="s">
        <v>3260</v>
      </c>
      <c r="D453" t="s">
        <v>2842</v>
      </c>
      <c r="E453" t="s">
        <v>2843</v>
      </c>
      <c r="F453" t="s">
        <v>2844</v>
      </c>
      <c r="G453" t="s">
        <v>2920</v>
      </c>
      <c r="H453" t="s">
        <v>2921</v>
      </c>
      <c r="I453">
        <v>1070775</v>
      </c>
      <c r="J453">
        <v>0</v>
      </c>
      <c r="K453" t="s">
        <v>3261</v>
      </c>
      <c r="L453" t="s">
        <v>3262</v>
      </c>
      <c r="M453">
        <v>1070772</v>
      </c>
      <c r="N453">
        <v>80</v>
      </c>
      <c r="O453">
        <v>40522.184000000001</v>
      </c>
      <c r="P453" t="s">
        <v>179</v>
      </c>
      <c r="Q453">
        <v>17</v>
      </c>
      <c r="R453">
        <v>5</v>
      </c>
      <c r="S453">
        <v>95</v>
      </c>
      <c r="T453">
        <v>52620472</v>
      </c>
      <c r="U453">
        <v>82</v>
      </c>
      <c r="V453">
        <v>172</v>
      </c>
      <c r="W453">
        <v>40522.182927532267</v>
      </c>
      <c r="X453">
        <v>52620470.788550943</v>
      </c>
      <c r="Y453">
        <v>203451.58199999999</v>
      </c>
      <c r="Z453">
        <f>VLOOKUP($AC453,'2017 Seattle Tracts'!$C$2:$Z$399,24,FALSE)</f>
        <v>1070772.433</v>
      </c>
      <c r="AA453">
        <f t="shared" si="15"/>
        <v>0.1900045011711653</v>
      </c>
      <c r="AB453" t="s">
        <v>180</v>
      </c>
      <c r="AC453" t="str">
        <f t="shared" si="14"/>
        <v>Census Tract 110.01, King County, Washington</v>
      </c>
      <c r="AD453">
        <f>VLOOKUP($AC453,'2017 Seattle Tracts'!$C$2:$Z$399,AD$1,FALSE)*AA453</f>
        <v>892.45114200096339</v>
      </c>
      <c r="AE453">
        <f>VLOOKUP($AC453,'2017 Seattle Tracts'!$C$2:$Z$399,AE$1,FALSE)*AA453</f>
        <v>492.30166253448931</v>
      </c>
      <c r="AF453">
        <f>VLOOKUP($AC453,'2017 Seattle Tracts'!$C$2:$Z$399,AF$1,FALSE)*AA453</f>
        <v>400.14947946647413</v>
      </c>
      <c r="AG453">
        <f>VLOOKUP($AC453,'2017 Seattle Tracts'!$C$2:$Z$399,AG$1,FALSE)*AA453</f>
        <v>892.45114200096339</v>
      </c>
      <c r="AH453">
        <f>VLOOKUP($AC453,'2017 Seattle Tracts'!$C$2:$Z$399,AH$1,FALSE)*AA453</f>
        <v>492.30166253448931</v>
      </c>
      <c r="AI453">
        <f>VLOOKUP($AC453,'2017 Seattle Tracts'!$C$2:$Z$399,AI$1,FALSE)*AA453</f>
        <v>400.14947946647413</v>
      </c>
      <c r="AJ453">
        <f>VLOOKUP($AC453,'2017 Seattle Tracts'!$C$2:$Z$399,AJ$1,FALSE)*AA453</f>
        <v>112.67266919450103</v>
      </c>
      <c r="AK453">
        <f>VLOOKUP($AC453,'2017 Seattle Tracts'!$C$2:$Z$399,AK$1,FALSE)*AA453</f>
        <v>13.870328585495066</v>
      </c>
      <c r="AL453">
        <f>VLOOKUP($AC453,'2017 Seattle Tracts'!$C$2:$Z$399,AL$1,FALSE)*AA453</f>
        <v>12.350292576125744</v>
      </c>
      <c r="AM453">
        <f>VLOOKUP($AC453,'2017 Seattle Tracts'!$C$2:$Z$399,AM$1,FALSE)*AA453</f>
        <v>15.200360093693224</v>
      </c>
      <c r="AN453">
        <f>VLOOKUP($AC453,'2017 Seattle Tracts'!$C$2:$Z$399,AN$1,FALSE)*AA453</f>
        <v>185.82440214539966</v>
      </c>
      <c r="AO453">
        <f>VLOOKUP($AC453,'2017 Seattle Tracts'!$C$2:$Z$399,AO$1,FALSE)*AA453</f>
        <v>120.65285824368996</v>
      </c>
      <c r="AP453">
        <f>VLOOKUP($AC453,'2017 Seattle Tracts'!$C$2:$Z$399,AP$1,FALSE)*AA453</f>
        <v>1.7100405105404877</v>
      </c>
      <c r="AQ453">
        <f>VLOOKUP($AC453,'2017 Seattle Tracts'!$C$2:$Z$399,AQ$1,FALSE)*AA453</f>
        <v>0</v>
      </c>
      <c r="AR453">
        <f>VLOOKUP($AC453,'2017 Seattle Tracts'!$C$2:$Z$399,AR$1,FALSE)*AA453</f>
        <v>146.30346590179727</v>
      </c>
      <c r="AS453">
        <f>VLOOKUP($AC453,'2017 Seattle Tracts'!$C$2:$Z$399,AS$1,FALSE)*AA453</f>
        <v>227.24538340071371</v>
      </c>
      <c r="AT453">
        <f>VLOOKUP($AC453,'2017 Seattle Tracts'!$C$2:$Z$399,AT$1,FALSE)*AA453</f>
        <v>2.0900495128828185</v>
      </c>
      <c r="AU453">
        <f>VLOOKUP($AC453,'2017 Seattle Tracts'!$C$2:$Z$399,AU$1,FALSE)*AA453</f>
        <v>2.0900495128828185</v>
      </c>
      <c r="AV453">
        <f>VLOOKUP($AC453,'2017 Seattle Tracts'!$C$2:$Z$399,AV$1,FALSE)*AA453</f>
        <v>14.820351091350894</v>
      </c>
      <c r="AW453">
        <f>VLOOKUP($AC453,'2017 Seattle Tracts'!$C$2:$Z$399,AW$1,FALSE)*AA453</f>
        <v>19.000450117116529</v>
      </c>
      <c r="AX453">
        <f>VLOOKUP($AC453,'2017 Seattle Tracts'!$C$2:$Z$399,AX$1,FALSE)*AA453</f>
        <v>16.530391601891381</v>
      </c>
      <c r="AY453">
        <f>VLOOKUP($AC453,'2017 Seattle Tracts'!$C$2:$Z$399,AY$1,FALSE)*AA453</f>
        <v>2.0900495128828185</v>
      </c>
    </row>
    <row r="454" spans="1:51" x14ac:dyDescent="0.25">
      <c r="A454" t="s">
        <v>2917</v>
      </c>
      <c r="B454" t="s">
        <v>2918</v>
      </c>
      <c r="C454" t="s">
        <v>3260</v>
      </c>
      <c r="D454" t="s">
        <v>2842</v>
      </c>
      <c r="E454" t="s">
        <v>2843</v>
      </c>
      <c r="F454" t="s">
        <v>2844</v>
      </c>
      <c r="G454" t="s">
        <v>2920</v>
      </c>
      <c r="H454" t="s">
        <v>2921</v>
      </c>
      <c r="I454">
        <v>1070775</v>
      </c>
      <c r="J454">
        <v>0</v>
      </c>
      <c r="K454" t="s">
        <v>3261</v>
      </c>
      <c r="L454" t="s">
        <v>3262</v>
      </c>
      <c r="M454">
        <v>1070772</v>
      </c>
      <c r="N454">
        <v>81</v>
      </c>
      <c r="O454">
        <v>38996.714999999997</v>
      </c>
      <c r="P454" t="s">
        <v>179</v>
      </c>
      <c r="Q454">
        <v>17</v>
      </c>
      <c r="R454">
        <v>5</v>
      </c>
      <c r="S454">
        <v>23</v>
      </c>
      <c r="T454">
        <v>38448828</v>
      </c>
      <c r="U454">
        <v>83</v>
      </c>
      <c r="V454">
        <v>183</v>
      </c>
      <c r="W454">
        <v>38996.715107084907</v>
      </c>
      <c r="X454">
        <v>38448826.89896398</v>
      </c>
      <c r="Y454">
        <v>280421.52899999998</v>
      </c>
      <c r="Z454">
        <f>VLOOKUP($AC454,'2017 Seattle Tracts'!$C$2:$Z$399,24,FALSE)</f>
        <v>1070772.433</v>
      </c>
      <c r="AA454">
        <f t="shared" si="15"/>
        <v>0.26188713900145766</v>
      </c>
      <c r="AB454" t="s">
        <v>181</v>
      </c>
      <c r="AC454" t="str">
        <f t="shared" si="14"/>
        <v>Census Tract 110.01, King County, Washington</v>
      </c>
      <c r="AD454">
        <f>VLOOKUP($AC454,'2017 Seattle Tracts'!$C$2:$Z$399,AD$1,FALSE)*AA454</f>
        <v>1230.0838918898467</v>
      </c>
      <c r="AE454">
        <f>VLOOKUP($AC454,'2017 Seattle Tracts'!$C$2:$Z$399,AE$1,FALSE)*AA454</f>
        <v>678.54957715277681</v>
      </c>
      <c r="AF454">
        <f>VLOOKUP($AC454,'2017 Seattle Tracts'!$C$2:$Z$399,AF$1,FALSE)*AA454</f>
        <v>551.53431473706985</v>
      </c>
      <c r="AG454">
        <f>VLOOKUP($AC454,'2017 Seattle Tracts'!$C$2:$Z$399,AG$1,FALSE)*AA454</f>
        <v>1230.0838918898467</v>
      </c>
      <c r="AH454">
        <f>VLOOKUP($AC454,'2017 Seattle Tracts'!$C$2:$Z$399,AH$1,FALSE)*AA454</f>
        <v>678.54957715277681</v>
      </c>
      <c r="AI454">
        <f>VLOOKUP($AC454,'2017 Seattle Tracts'!$C$2:$Z$399,AI$1,FALSE)*AA454</f>
        <v>551.53431473706985</v>
      </c>
      <c r="AJ454">
        <f>VLOOKUP($AC454,'2017 Seattle Tracts'!$C$2:$Z$399,AJ$1,FALSE)*AA454</f>
        <v>155.29907342786439</v>
      </c>
      <c r="AK454">
        <f>VLOOKUP($AC454,'2017 Seattle Tracts'!$C$2:$Z$399,AK$1,FALSE)*AA454</f>
        <v>19.11776114710641</v>
      </c>
      <c r="AL454">
        <f>VLOOKUP($AC454,'2017 Seattle Tracts'!$C$2:$Z$399,AL$1,FALSE)*AA454</f>
        <v>17.022664035094749</v>
      </c>
      <c r="AM454">
        <f>VLOOKUP($AC454,'2017 Seattle Tracts'!$C$2:$Z$399,AM$1,FALSE)*AA454</f>
        <v>20.950971120116613</v>
      </c>
      <c r="AN454">
        <f>VLOOKUP($AC454,'2017 Seattle Tracts'!$C$2:$Z$399,AN$1,FALSE)*AA454</f>
        <v>256.12562194342559</v>
      </c>
      <c r="AO454">
        <f>VLOOKUP($AC454,'2017 Seattle Tracts'!$C$2:$Z$399,AO$1,FALSE)*AA454</f>
        <v>166.29833326592561</v>
      </c>
      <c r="AP454">
        <f>VLOOKUP($AC454,'2017 Seattle Tracts'!$C$2:$Z$399,AP$1,FALSE)*AA454</f>
        <v>2.3569842510131189</v>
      </c>
      <c r="AQ454">
        <f>VLOOKUP($AC454,'2017 Seattle Tracts'!$C$2:$Z$399,AQ$1,FALSE)*AA454</f>
        <v>0</v>
      </c>
      <c r="AR454">
        <f>VLOOKUP($AC454,'2017 Seattle Tracts'!$C$2:$Z$399,AR$1,FALSE)*AA454</f>
        <v>201.6530970311224</v>
      </c>
      <c r="AS454">
        <f>VLOOKUP($AC454,'2017 Seattle Tracts'!$C$2:$Z$399,AS$1,FALSE)*AA454</f>
        <v>313.21701824574336</v>
      </c>
      <c r="AT454">
        <f>VLOOKUP($AC454,'2017 Seattle Tracts'!$C$2:$Z$399,AT$1,FALSE)*AA454</f>
        <v>2.8807585290160342</v>
      </c>
      <c r="AU454">
        <f>VLOOKUP($AC454,'2017 Seattle Tracts'!$C$2:$Z$399,AU$1,FALSE)*AA454</f>
        <v>2.8807585290160342</v>
      </c>
      <c r="AV454">
        <f>VLOOKUP($AC454,'2017 Seattle Tracts'!$C$2:$Z$399,AV$1,FALSE)*AA454</f>
        <v>20.427196842113698</v>
      </c>
      <c r="AW454">
        <f>VLOOKUP($AC454,'2017 Seattle Tracts'!$C$2:$Z$399,AW$1,FALSE)*AA454</f>
        <v>26.188713900145764</v>
      </c>
      <c r="AX454">
        <f>VLOOKUP($AC454,'2017 Seattle Tracts'!$C$2:$Z$399,AX$1,FALSE)*AA454</f>
        <v>22.784181093126815</v>
      </c>
      <c r="AY454">
        <f>VLOOKUP($AC454,'2017 Seattle Tracts'!$C$2:$Z$399,AY$1,FALSE)*AA454</f>
        <v>2.8807585290160342</v>
      </c>
    </row>
    <row r="455" spans="1:51" x14ac:dyDescent="0.25">
      <c r="A455" t="s">
        <v>2917</v>
      </c>
      <c r="B455" t="s">
        <v>2918</v>
      </c>
      <c r="C455" t="s">
        <v>3260</v>
      </c>
      <c r="D455" t="s">
        <v>2842</v>
      </c>
      <c r="E455" t="s">
        <v>2843</v>
      </c>
      <c r="F455" t="s">
        <v>2844</v>
      </c>
      <c r="G455" t="s">
        <v>2920</v>
      </c>
      <c r="H455" t="s">
        <v>2921</v>
      </c>
      <c r="I455">
        <v>1070775</v>
      </c>
      <c r="J455">
        <v>0</v>
      </c>
      <c r="K455" t="s">
        <v>3261</v>
      </c>
      <c r="L455" t="s">
        <v>3262</v>
      </c>
      <c r="M455">
        <v>1070772</v>
      </c>
      <c r="N455">
        <v>82</v>
      </c>
      <c r="O455">
        <v>15848.361999999999</v>
      </c>
      <c r="P455" t="s">
        <v>179</v>
      </c>
      <c r="Q455">
        <v>17</v>
      </c>
      <c r="R455">
        <v>5</v>
      </c>
      <c r="S455">
        <v>24</v>
      </c>
      <c r="T455">
        <v>8444236</v>
      </c>
      <c r="U455">
        <v>84</v>
      </c>
      <c r="V455">
        <v>186</v>
      </c>
      <c r="W455">
        <v>15848.362418511269</v>
      </c>
      <c r="X455">
        <v>8444235.9786088634</v>
      </c>
      <c r="Y455">
        <v>537620.46699999995</v>
      </c>
      <c r="Z455">
        <f>VLOOKUP($AC455,'2017 Seattle Tracts'!$C$2:$Z$399,24,FALSE)</f>
        <v>1070772.433</v>
      </c>
      <c r="AA455">
        <f t="shared" si="15"/>
        <v>0.50208657827857994</v>
      </c>
      <c r="AB455" t="s">
        <v>182</v>
      </c>
      <c r="AC455" t="str">
        <f t="shared" si="14"/>
        <v>Census Tract 110.01, King County, Washington</v>
      </c>
      <c r="AD455">
        <f>VLOOKUP($AC455,'2017 Seattle Tracts'!$C$2:$Z$399,AD$1,FALSE)*AA455</f>
        <v>2358.3006581744899</v>
      </c>
      <c r="AE455">
        <f>VLOOKUP($AC455,'2017 Seattle Tracts'!$C$2:$Z$399,AE$1,FALSE)*AA455</f>
        <v>1300.9063243198007</v>
      </c>
      <c r="AF455">
        <f>VLOOKUP($AC455,'2017 Seattle Tracts'!$C$2:$Z$399,AF$1,FALSE)*AA455</f>
        <v>1057.3943338546894</v>
      </c>
      <c r="AG455">
        <f>VLOOKUP($AC455,'2017 Seattle Tracts'!$C$2:$Z$399,AG$1,FALSE)*AA455</f>
        <v>2358.3006581744899</v>
      </c>
      <c r="AH455">
        <f>VLOOKUP($AC455,'2017 Seattle Tracts'!$C$2:$Z$399,AH$1,FALSE)*AA455</f>
        <v>1300.9063243198007</v>
      </c>
      <c r="AI455">
        <f>VLOOKUP($AC455,'2017 Seattle Tracts'!$C$2:$Z$399,AI$1,FALSE)*AA455</f>
        <v>1057.3943338546894</v>
      </c>
      <c r="AJ455">
        <f>VLOOKUP($AC455,'2017 Seattle Tracts'!$C$2:$Z$399,AJ$1,FALSE)*AA455</f>
        <v>297.73734091919789</v>
      </c>
      <c r="AK455">
        <f>VLOOKUP($AC455,'2017 Seattle Tracts'!$C$2:$Z$399,AK$1,FALSE)*AA455</f>
        <v>36.652320214336335</v>
      </c>
      <c r="AL455">
        <f>VLOOKUP($AC455,'2017 Seattle Tracts'!$C$2:$Z$399,AL$1,FALSE)*AA455</f>
        <v>32.635627588107695</v>
      </c>
      <c r="AM455">
        <f>VLOOKUP($AC455,'2017 Seattle Tracts'!$C$2:$Z$399,AM$1,FALSE)*AA455</f>
        <v>40.166926262286395</v>
      </c>
      <c r="AN455">
        <f>VLOOKUP($AC455,'2017 Seattle Tracts'!$C$2:$Z$399,AN$1,FALSE)*AA455</f>
        <v>491.04067355645117</v>
      </c>
      <c r="AO455">
        <f>VLOOKUP($AC455,'2017 Seattle Tracts'!$C$2:$Z$399,AO$1,FALSE)*AA455</f>
        <v>318.82497720689827</v>
      </c>
      <c r="AP455">
        <f>VLOOKUP($AC455,'2017 Seattle Tracts'!$C$2:$Z$399,AP$1,FALSE)*AA455</f>
        <v>4.5187792045072195</v>
      </c>
      <c r="AQ455">
        <f>VLOOKUP($AC455,'2017 Seattle Tracts'!$C$2:$Z$399,AQ$1,FALSE)*AA455</f>
        <v>0</v>
      </c>
      <c r="AR455">
        <f>VLOOKUP($AC455,'2017 Seattle Tracts'!$C$2:$Z$399,AR$1,FALSE)*AA455</f>
        <v>386.60666527450655</v>
      </c>
      <c r="AS455">
        <f>VLOOKUP($AC455,'2017 Seattle Tracts'!$C$2:$Z$399,AS$1,FALSE)*AA455</f>
        <v>600.49554762118157</v>
      </c>
      <c r="AT455">
        <f>VLOOKUP($AC455,'2017 Seattle Tracts'!$C$2:$Z$399,AT$1,FALSE)*AA455</f>
        <v>5.5229523610643794</v>
      </c>
      <c r="AU455">
        <f>VLOOKUP($AC455,'2017 Seattle Tracts'!$C$2:$Z$399,AU$1,FALSE)*AA455</f>
        <v>5.5229523610643794</v>
      </c>
      <c r="AV455">
        <f>VLOOKUP($AC455,'2017 Seattle Tracts'!$C$2:$Z$399,AV$1,FALSE)*AA455</f>
        <v>39.162753105729237</v>
      </c>
      <c r="AW455">
        <f>VLOOKUP($AC455,'2017 Seattle Tracts'!$C$2:$Z$399,AW$1,FALSE)*AA455</f>
        <v>50.208657827857991</v>
      </c>
      <c r="AX455">
        <f>VLOOKUP($AC455,'2017 Seattle Tracts'!$C$2:$Z$399,AX$1,FALSE)*AA455</f>
        <v>43.681532310236456</v>
      </c>
      <c r="AY455">
        <f>VLOOKUP($AC455,'2017 Seattle Tracts'!$C$2:$Z$399,AY$1,FALSE)*AA455</f>
        <v>5.5229523610643794</v>
      </c>
    </row>
    <row r="456" spans="1:51" x14ac:dyDescent="0.25">
      <c r="A456" t="s">
        <v>2917</v>
      </c>
      <c r="B456" t="s">
        <v>2918</v>
      </c>
      <c r="C456" t="s">
        <v>3260</v>
      </c>
      <c r="D456" t="s">
        <v>2842</v>
      </c>
      <c r="E456" t="s">
        <v>2843</v>
      </c>
      <c r="F456" t="s">
        <v>2844</v>
      </c>
      <c r="G456" t="s">
        <v>2920</v>
      </c>
      <c r="H456" t="s">
        <v>2921</v>
      </c>
      <c r="I456">
        <v>1070775</v>
      </c>
      <c r="J456">
        <v>0</v>
      </c>
      <c r="K456" t="s">
        <v>3261</v>
      </c>
      <c r="L456" t="s">
        <v>3262</v>
      </c>
      <c r="M456">
        <v>1070772</v>
      </c>
      <c r="N456">
        <v>83</v>
      </c>
      <c r="O456">
        <v>18911.330000000002</v>
      </c>
      <c r="P456" t="s">
        <v>184</v>
      </c>
      <c r="Q456">
        <v>15</v>
      </c>
      <c r="R456">
        <v>4</v>
      </c>
      <c r="S456">
        <v>19</v>
      </c>
      <c r="T456">
        <v>18366938</v>
      </c>
      <c r="U456">
        <v>85</v>
      </c>
      <c r="V456">
        <v>185</v>
      </c>
      <c r="W456">
        <v>18911.329349083731</v>
      </c>
      <c r="X456">
        <v>18366938.27518687</v>
      </c>
      <c r="Y456">
        <v>49194.646999999997</v>
      </c>
      <c r="Z456">
        <f>VLOOKUP($AC456,'2017 Seattle Tracts'!$C$2:$Z$399,24,FALSE)</f>
        <v>1070772.433</v>
      </c>
      <c r="AA456">
        <f t="shared" si="15"/>
        <v>4.5943139255248268E-2</v>
      </c>
      <c r="AB456" t="s">
        <v>183</v>
      </c>
      <c r="AC456" t="str">
        <f t="shared" si="14"/>
        <v>Census Tract 110.01, King County, Washington</v>
      </c>
      <c r="AD456">
        <f>VLOOKUP($AC456,'2017 Seattle Tracts'!$C$2:$Z$399,AD$1,FALSE)*AA456</f>
        <v>215.79492508190111</v>
      </c>
      <c r="AE456">
        <f>VLOOKUP($AC456,'2017 Seattle Tracts'!$C$2:$Z$399,AE$1,FALSE)*AA456</f>
        <v>119.03867381034826</v>
      </c>
      <c r="AF456">
        <f>VLOOKUP($AC456,'2017 Seattle Tracts'!$C$2:$Z$399,AF$1,FALSE)*AA456</f>
        <v>96.756251271552856</v>
      </c>
      <c r="AG456">
        <f>VLOOKUP($AC456,'2017 Seattle Tracts'!$C$2:$Z$399,AG$1,FALSE)*AA456</f>
        <v>215.79492508190111</v>
      </c>
      <c r="AH456">
        <f>VLOOKUP($AC456,'2017 Seattle Tracts'!$C$2:$Z$399,AH$1,FALSE)*AA456</f>
        <v>119.03867381034826</v>
      </c>
      <c r="AI456">
        <f>VLOOKUP($AC456,'2017 Seattle Tracts'!$C$2:$Z$399,AI$1,FALSE)*AA456</f>
        <v>96.756251271552856</v>
      </c>
      <c r="AJ456">
        <f>VLOOKUP($AC456,'2017 Seattle Tracts'!$C$2:$Z$399,AJ$1,FALSE)*AA456</f>
        <v>27.244281578362223</v>
      </c>
      <c r="AK456">
        <f>VLOOKUP($AC456,'2017 Seattle Tracts'!$C$2:$Z$399,AK$1,FALSE)*AA456</f>
        <v>3.3538491656331235</v>
      </c>
      <c r="AL456">
        <f>VLOOKUP($AC456,'2017 Seattle Tracts'!$C$2:$Z$399,AL$1,FALSE)*AA456</f>
        <v>2.9863040515911372</v>
      </c>
      <c r="AM456">
        <f>VLOOKUP($AC456,'2017 Seattle Tracts'!$C$2:$Z$399,AM$1,FALSE)*AA456</f>
        <v>3.6754511404198613</v>
      </c>
      <c r="AN456">
        <f>VLOOKUP($AC456,'2017 Seattle Tracts'!$C$2:$Z$399,AN$1,FALSE)*AA456</f>
        <v>44.932390191632805</v>
      </c>
      <c r="AO456">
        <f>VLOOKUP($AC456,'2017 Seattle Tracts'!$C$2:$Z$399,AO$1,FALSE)*AA456</f>
        <v>29.17389342708265</v>
      </c>
      <c r="AP456">
        <f>VLOOKUP($AC456,'2017 Seattle Tracts'!$C$2:$Z$399,AP$1,FALSE)*AA456</f>
        <v>0.41348825329723443</v>
      </c>
      <c r="AQ456">
        <f>VLOOKUP($AC456,'2017 Seattle Tracts'!$C$2:$Z$399,AQ$1,FALSE)*AA456</f>
        <v>0</v>
      </c>
      <c r="AR456">
        <f>VLOOKUP($AC456,'2017 Seattle Tracts'!$C$2:$Z$399,AR$1,FALSE)*AA456</f>
        <v>35.376217226541165</v>
      </c>
      <c r="AS456">
        <f>VLOOKUP($AC456,'2017 Seattle Tracts'!$C$2:$Z$399,AS$1,FALSE)*AA456</f>
        <v>54.947994549276928</v>
      </c>
      <c r="AT456">
        <f>VLOOKUP($AC456,'2017 Seattle Tracts'!$C$2:$Z$399,AT$1,FALSE)*AA456</f>
        <v>0.50537453180773095</v>
      </c>
      <c r="AU456">
        <f>VLOOKUP($AC456,'2017 Seattle Tracts'!$C$2:$Z$399,AU$1,FALSE)*AA456</f>
        <v>0.50537453180773095</v>
      </c>
      <c r="AV456">
        <f>VLOOKUP($AC456,'2017 Seattle Tracts'!$C$2:$Z$399,AV$1,FALSE)*AA456</f>
        <v>3.5835648619093647</v>
      </c>
      <c r="AW456">
        <f>VLOOKUP($AC456,'2017 Seattle Tracts'!$C$2:$Z$399,AW$1,FALSE)*AA456</f>
        <v>4.5943139255248271</v>
      </c>
      <c r="AX456">
        <f>VLOOKUP($AC456,'2017 Seattle Tracts'!$C$2:$Z$399,AX$1,FALSE)*AA456</f>
        <v>3.9970531152065991</v>
      </c>
      <c r="AY456">
        <f>VLOOKUP($AC456,'2017 Seattle Tracts'!$C$2:$Z$399,AY$1,FALSE)*AA456</f>
        <v>0.50537453180773095</v>
      </c>
    </row>
    <row r="457" spans="1:51" x14ac:dyDescent="0.25">
      <c r="A457" t="s">
        <v>2917</v>
      </c>
      <c r="B457" t="s">
        <v>2918</v>
      </c>
      <c r="C457" t="s">
        <v>3260</v>
      </c>
      <c r="D457" t="s">
        <v>2842</v>
      </c>
      <c r="E457" t="s">
        <v>2843</v>
      </c>
      <c r="F457" t="s">
        <v>2844</v>
      </c>
      <c r="G457" t="s">
        <v>2920</v>
      </c>
      <c r="H457" t="s">
        <v>2921</v>
      </c>
      <c r="I457">
        <v>1070775</v>
      </c>
      <c r="J457">
        <v>0</v>
      </c>
      <c r="K457" t="s">
        <v>3261</v>
      </c>
      <c r="L457" t="s">
        <v>3262</v>
      </c>
      <c r="M457">
        <v>1070772</v>
      </c>
      <c r="N457">
        <v>84</v>
      </c>
      <c r="O457">
        <v>20847.651999999998</v>
      </c>
      <c r="P457" t="s">
        <v>184</v>
      </c>
      <c r="Q457">
        <v>15</v>
      </c>
      <c r="R457">
        <v>4</v>
      </c>
      <c r="S457">
        <v>9</v>
      </c>
      <c r="T457">
        <v>19601602</v>
      </c>
      <c r="U457">
        <v>86</v>
      </c>
      <c r="V457">
        <v>192</v>
      </c>
      <c r="W457">
        <v>20847.653192299731</v>
      </c>
      <c r="X457">
        <v>19601601.215348601</v>
      </c>
      <c r="Y457">
        <v>84.221000000000004</v>
      </c>
      <c r="Z457">
        <f>VLOOKUP($AC457,'2017 Seattle Tracts'!$C$2:$Z$399,24,FALSE)</f>
        <v>1070772.433</v>
      </c>
      <c r="AA457">
        <f t="shared" si="15"/>
        <v>7.8654434317137494E-5</v>
      </c>
      <c r="AB457" t="s">
        <v>185</v>
      </c>
      <c r="AC457" t="str">
        <f t="shared" si="14"/>
        <v>Census Tract 110.01, King County, Washington</v>
      </c>
      <c r="AD457">
        <f>VLOOKUP($AC457,'2017 Seattle Tracts'!$C$2:$Z$399,AD$1,FALSE)*AA457</f>
        <v>0.36943987798759481</v>
      </c>
      <c r="AE457">
        <f>VLOOKUP($AC457,'2017 Seattle Tracts'!$C$2:$Z$399,AE$1,FALSE)*AA457</f>
        <v>0.20379363931570324</v>
      </c>
      <c r="AF457">
        <f>VLOOKUP($AC457,'2017 Seattle Tracts'!$C$2:$Z$399,AF$1,FALSE)*AA457</f>
        <v>0.16564623867189157</v>
      </c>
      <c r="AG457">
        <f>VLOOKUP($AC457,'2017 Seattle Tracts'!$C$2:$Z$399,AG$1,FALSE)*AA457</f>
        <v>0.36943987798759481</v>
      </c>
      <c r="AH457">
        <f>VLOOKUP($AC457,'2017 Seattle Tracts'!$C$2:$Z$399,AH$1,FALSE)*AA457</f>
        <v>0.20379363931570324</v>
      </c>
      <c r="AI457">
        <f>VLOOKUP($AC457,'2017 Seattle Tracts'!$C$2:$Z$399,AI$1,FALSE)*AA457</f>
        <v>0.16564623867189157</v>
      </c>
      <c r="AJ457">
        <f>VLOOKUP($AC457,'2017 Seattle Tracts'!$C$2:$Z$399,AJ$1,FALSE)*AA457</f>
        <v>4.6642079550062533E-2</v>
      </c>
      <c r="AK457">
        <f>VLOOKUP($AC457,'2017 Seattle Tracts'!$C$2:$Z$399,AK$1,FALSE)*AA457</f>
        <v>5.7417737051510369E-3</v>
      </c>
      <c r="AL457">
        <f>VLOOKUP($AC457,'2017 Seattle Tracts'!$C$2:$Z$399,AL$1,FALSE)*AA457</f>
        <v>5.1125382306139375E-3</v>
      </c>
      <c r="AM457">
        <f>VLOOKUP($AC457,'2017 Seattle Tracts'!$C$2:$Z$399,AM$1,FALSE)*AA457</f>
        <v>6.2923547453709993E-3</v>
      </c>
      <c r="AN457">
        <f>VLOOKUP($AC457,'2017 Seattle Tracts'!$C$2:$Z$399,AN$1,FALSE)*AA457</f>
        <v>7.6924036762160475E-2</v>
      </c>
      <c r="AO457">
        <f>VLOOKUP($AC457,'2017 Seattle Tracts'!$C$2:$Z$399,AO$1,FALSE)*AA457</f>
        <v>4.9945565791382311E-2</v>
      </c>
      <c r="AP457">
        <f>VLOOKUP($AC457,'2017 Seattle Tracts'!$C$2:$Z$399,AP$1,FALSE)*AA457</f>
        <v>7.0788990885423749E-4</v>
      </c>
      <c r="AQ457">
        <f>VLOOKUP($AC457,'2017 Seattle Tracts'!$C$2:$Z$399,AQ$1,FALSE)*AA457</f>
        <v>0</v>
      </c>
      <c r="AR457">
        <f>VLOOKUP($AC457,'2017 Seattle Tracts'!$C$2:$Z$399,AR$1,FALSE)*AA457</f>
        <v>6.0563914424195869E-2</v>
      </c>
      <c r="AS457">
        <f>VLOOKUP($AC457,'2017 Seattle Tracts'!$C$2:$Z$399,AS$1,FALSE)*AA457</f>
        <v>9.4070703443296447E-2</v>
      </c>
      <c r="AT457">
        <f>VLOOKUP($AC457,'2017 Seattle Tracts'!$C$2:$Z$399,AT$1,FALSE)*AA457</f>
        <v>8.6519877748851245E-4</v>
      </c>
      <c r="AU457">
        <f>VLOOKUP($AC457,'2017 Seattle Tracts'!$C$2:$Z$399,AU$1,FALSE)*AA457</f>
        <v>8.6519877748851245E-4</v>
      </c>
      <c r="AV457">
        <f>VLOOKUP($AC457,'2017 Seattle Tracts'!$C$2:$Z$399,AV$1,FALSE)*AA457</f>
        <v>6.1350458767367244E-3</v>
      </c>
      <c r="AW457">
        <f>VLOOKUP($AC457,'2017 Seattle Tracts'!$C$2:$Z$399,AW$1,FALSE)*AA457</f>
        <v>7.8654434317137496E-3</v>
      </c>
      <c r="AX457">
        <f>VLOOKUP($AC457,'2017 Seattle Tracts'!$C$2:$Z$399,AX$1,FALSE)*AA457</f>
        <v>6.8429357855909617E-3</v>
      </c>
      <c r="AY457">
        <f>VLOOKUP($AC457,'2017 Seattle Tracts'!$C$2:$Z$399,AY$1,FALSE)*AA457</f>
        <v>8.6519877748851245E-4</v>
      </c>
    </row>
    <row r="458" spans="1:51" x14ac:dyDescent="0.25">
      <c r="A458" t="s">
        <v>2917</v>
      </c>
      <c r="B458" t="s">
        <v>2918</v>
      </c>
      <c r="C458" t="s">
        <v>3263</v>
      </c>
      <c r="D458" t="s">
        <v>2695</v>
      </c>
      <c r="E458" t="s">
        <v>2696</v>
      </c>
      <c r="F458" t="s">
        <v>2697</v>
      </c>
      <c r="G458" t="s">
        <v>2920</v>
      </c>
      <c r="H458" t="s">
        <v>2921</v>
      </c>
      <c r="I458">
        <v>979235</v>
      </c>
      <c r="J458">
        <v>0</v>
      </c>
      <c r="K458" t="s">
        <v>3264</v>
      </c>
      <c r="L458" t="s">
        <v>3265</v>
      </c>
      <c r="M458">
        <v>979235</v>
      </c>
      <c r="N458">
        <v>36</v>
      </c>
      <c r="O458">
        <v>30993.599999999999</v>
      </c>
      <c r="P458" t="s">
        <v>122</v>
      </c>
      <c r="Q458">
        <v>4</v>
      </c>
      <c r="R458">
        <v>5</v>
      </c>
      <c r="S458">
        <v>81</v>
      </c>
      <c r="T458">
        <v>37020968</v>
      </c>
      <c r="U458">
        <v>38</v>
      </c>
      <c r="V458">
        <v>125</v>
      </c>
      <c r="W458">
        <v>30993.600213945359</v>
      </c>
      <c r="X458">
        <v>37020968.872468568</v>
      </c>
      <c r="Y458">
        <v>924655.87899999996</v>
      </c>
      <c r="Z458">
        <f>VLOOKUP($AC458,'2017 Seattle Tracts'!$C$2:$Z$399,24,FALSE)</f>
        <v>979235.34600000002</v>
      </c>
      <c r="AA458">
        <f t="shared" si="15"/>
        <v>0.94426317715863983</v>
      </c>
      <c r="AB458" t="s">
        <v>127</v>
      </c>
      <c r="AC458" t="str">
        <f t="shared" si="14"/>
        <v>Census Tract 43.01, King County, Washington</v>
      </c>
      <c r="AD458">
        <f>VLOOKUP($AC458,'2017 Seattle Tracts'!$C$2:$Z$399,AD$1,FALSE)*AA458</f>
        <v>3440.8950175660834</v>
      </c>
      <c r="AE458">
        <f>VLOOKUP($AC458,'2017 Seattle Tracts'!$C$2:$Z$399,AE$1,FALSE)*AA458</f>
        <v>2773.300951314925</v>
      </c>
      <c r="AF458">
        <f>VLOOKUP($AC458,'2017 Seattle Tracts'!$C$2:$Z$399,AF$1,FALSE)*AA458</f>
        <v>667.59406625115832</v>
      </c>
      <c r="AG458">
        <f>VLOOKUP($AC458,'2017 Seattle Tracts'!$C$2:$Z$399,AG$1,FALSE)*AA458</f>
        <v>3440.8950175660834</v>
      </c>
      <c r="AH458">
        <f>VLOOKUP($AC458,'2017 Seattle Tracts'!$C$2:$Z$399,AH$1,FALSE)*AA458</f>
        <v>2773.300951314925</v>
      </c>
      <c r="AI458">
        <f>VLOOKUP($AC458,'2017 Seattle Tracts'!$C$2:$Z$399,AI$1,FALSE)*AA458</f>
        <v>667.59406625115832</v>
      </c>
      <c r="AJ458">
        <f>VLOOKUP($AC458,'2017 Seattle Tracts'!$C$2:$Z$399,AJ$1,FALSE)*AA458</f>
        <v>2225.6283085629143</v>
      </c>
      <c r="AK458">
        <f>VLOOKUP($AC458,'2017 Seattle Tracts'!$C$2:$Z$399,AK$1,FALSE)*AA458</f>
        <v>220.95758345512172</v>
      </c>
      <c r="AL458">
        <f>VLOOKUP($AC458,'2017 Seattle Tracts'!$C$2:$Z$399,AL$1,FALSE)*AA458</f>
        <v>90.649265007229417</v>
      </c>
      <c r="AM458">
        <f>VLOOKUP($AC458,'2017 Seattle Tracts'!$C$2:$Z$399,AM$1,FALSE)*AA458</f>
        <v>0</v>
      </c>
      <c r="AN458">
        <f>VLOOKUP($AC458,'2017 Seattle Tracts'!$C$2:$Z$399,AN$1,FALSE)*AA458</f>
        <v>39.659053440662873</v>
      </c>
      <c r="AO458">
        <f>VLOOKUP($AC458,'2017 Seattle Tracts'!$C$2:$Z$399,AO$1,FALSE)*AA458</f>
        <v>11.331158125903677</v>
      </c>
      <c r="AP458">
        <f>VLOOKUP($AC458,'2017 Seattle Tracts'!$C$2:$Z$399,AP$1,FALSE)*AA458</f>
        <v>0</v>
      </c>
      <c r="AQ458">
        <f>VLOOKUP($AC458,'2017 Seattle Tracts'!$C$2:$Z$399,AQ$1,FALSE)*AA458</f>
        <v>0</v>
      </c>
      <c r="AR458">
        <f>VLOOKUP($AC458,'2017 Seattle Tracts'!$C$2:$Z$399,AR$1,FALSE)*AA458</f>
        <v>179.41000366014157</v>
      </c>
      <c r="AS458">
        <f>VLOOKUP($AC458,'2017 Seattle Tracts'!$C$2:$Z$399,AS$1,FALSE)*AA458</f>
        <v>350.32163872585539</v>
      </c>
      <c r="AT458">
        <f>VLOOKUP($AC458,'2017 Seattle Tracts'!$C$2:$Z$399,AT$1,FALSE)*AA458</f>
        <v>0</v>
      </c>
      <c r="AU458">
        <f>VLOOKUP($AC458,'2017 Seattle Tracts'!$C$2:$Z$399,AU$1,FALSE)*AA458</f>
        <v>0</v>
      </c>
      <c r="AV458">
        <f>VLOOKUP($AC458,'2017 Seattle Tracts'!$C$2:$Z$399,AV$1,FALSE)*AA458</f>
        <v>68.931211932580709</v>
      </c>
      <c r="AW458">
        <f>VLOOKUP($AC458,'2017 Seattle Tracts'!$C$2:$Z$399,AW$1,FALSE)*AA458</f>
        <v>76.485317349849822</v>
      </c>
      <c r="AX458">
        <f>VLOOKUP($AC458,'2017 Seattle Tracts'!$C$2:$Z$399,AX$1,FALSE)*AA458</f>
        <v>169.02310871139653</v>
      </c>
      <c r="AY458">
        <f>VLOOKUP($AC458,'2017 Seattle Tracts'!$C$2:$Z$399,AY$1,FALSE)*AA458</f>
        <v>8.4983685944277578</v>
      </c>
    </row>
    <row r="459" spans="1:51" x14ac:dyDescent="0.25">
      <c r="A459" t="s">
        <v>2917</v>
      </c>
      <c r="B459" t="s">
        <v>2918</v>
      </c>
      <c r="C459" t="s">
        <v>3263</v>
      </c>
      <c r="D459" t="s">
        <v>2695</v>
      </c>
      <c r="E459" t="s">
        <v>2696</v>
      </c>
      <c r="F459" t="s">
        <v>2697</v>
      </c>
      <c r="G459" t="s">
        <v>2920</v>
      </c>
      <c r="H459" t="s">
        <v>2921</v>
      </c>
      <c r="I459">
        <v>979235</v>
      </c>
      <c r="J459">
        <v>0</v>
      </c>
      <c r="K459" t="s">
        <v>3264</v>
      </c>
      <c r="L459" t="s">
        <v>3265</v>
      </c>
      <c r="M459">
        <v>979235</v>
      </c>
      <c r="N459">
        <v>38</v>
      </c>
      <c r="O459">
        <v>20928.002</v>
      </c>
      <c r="P459" t="s">
        <v>122</v>
      </c>
      <c r="Q459">
        <v>4</v>
      </c>
      <c r="R459">
        <v>5</v>
      </c>
      <c r="S459">
        <v>24</v>
      </c>
      <c r="T459">
        <v>15485078</v>
      </c>
      <c r="U459">
        <v>40</v>
      </c>
      <c r="V459">
        <v>128</v>
      </c>
      <c r="W459">
        <v>20928.00172430617</v>
      </c>
      <c r="X459">
        <v>15485078.03322144</v>
      </c>
      <c r="Y459">
        <v>8.1000000000000003E-2</v>
      </c>
      <c r="Z459">
        <f>VLOOKUP($AC459,'2017 Seattle Tracts'!$C$2:$Z$399,24,FALSE)</f>
        <v>979235.34600000002</v>
      </c>
      <c r="AA459">
        <f t="shared" si="15"/>
        <v>8.27176023934087E-8</v>
      </c>
      <c r="AB459" t="s">
        <v>129</v>
      </c>
      <c r="AC459" t="str">
        <f t="shared" si="14"/>
        <v>Census Tract 43.01, King County, Washington</v>
      </c>
      <c r="AD459">
        <f>VLOOKUP($AC459,'2017 Seattle Tracts'!$C$2:$Z$399,AD$1,FALSE)*AA459</f>
        <v>3.0142294312158129E-4</v>
      </c>
      <c r="AE459">
        <f>VLOOKUP($AC459,'2017 Seattle Tracts'!$C$2:$Z$399,AE$1,FALSE)*AA459</f>
        <v>2.4294159822944134E-4</v>
      </c>
      <c r="AF459">
        <f>VLOOKUP($AC459,'2017 Seattle Tracts'!$C$2:$Z$399,AF$1,FALSE)*AA459</f>
        <v>5.8481344892139951E-5</v>
      </c>
      <c r="AG459">
        <f>VLOOKUP($AC459,'2017 Seattle Tracts'!$C$2:$Z$399,AG$1,FALSE)*AA459</f>
        <v>3.0142294312158129E-4</v>
      </c>
      <c r="AH459">
        <f>VLOOKUP($AC459,'2017 Seattle Tracts'!$C$2:$Z$399,AH$1,FALSE)*AA459</f>
        <v>2.4294159822944134E-4</v>
      </c>
      <c r="AI459">
        <f>VLOOKUP($AC459,'2017 Seattle Tracts'!$C$2:$Z$399,AI$1,FALSE)*AA459</f>
        <v>5.8481344892139951E-5</v>
      </c>
      <c r="AJ459">
        <f>VLOOKUP($AC459,'2017 Seattle Tracts'!$C$2:$Z$399,AJ$1,FALSE)*AA459</f>
        <v>1.949653888412643E-4</v>
      </c>
      <c r="AK459">
        <f>VLOOKUP($AC459,'2017 Seattle Tracts'!$C$2:$Z$399,AK$1,FALSE)*AA459</f>
        <v>1.9355918960057637E-5</v>
      </c>
      <c r="AL459">
        <f>VLOOKUP($AC459,'2017 Seattle Tracts'!$C$2:$Z$399,AL$1,FALSE)*AA459</f>
        <v>7.9408898297672347E-6</v>
      </c>
      <c r="AM459">
        <f>VLOOKUP($AC459,'2017 Seattle Tracts'!$C$2:$Z$399,AM$1,FALSE)*AA459</f>
        <v>0</v>
      </c>
      <c r="AN459">
        <f>VLOOKUP($AC459,'2017 Seattle Tracts'!$C$2:$Z$399,AN$1,FALSE)*AA459</f>
        <v>3.4741393005231654E-6</v>
      </c>
      <c r="AO459">
        <f>VLOOKUP($AC459,'2017 Seattle Tracts'!$C$2:$Z$399,AO$1,FALSE)*AA459</f>
        <v>9.9261122872090434E-7</v>
      </c>
      <c r="AP459">
        <f>VLOOKUP($AC459,'2017 Seattle Tracts'!$C$2:$Z$399,AP$1,FALSE)*AA459</f>
        <v>0</v>
      </c>
      <c r="AQ459">
        <f>VLOOKUP($AC459,'2017 Seattle Tracts'!$C$2:$Z$399,AQ$1,FALSE)*AA459</f>
        <v>0</v>
      </c>
      <c r="AR459">
        <f>VLOOKUP($AC459,'2017 Seattle Tracts'!$C$2:$Z$399,AR$1,FALSE)*AA459</f>
        <v>1.5716344454747653E-5</v>
      </c>
      <c r="AS459">
        <f>VLOOKUP($AC459,'2017 Seattle Tracts'!$C$2:$Z$399,AS$1,FALSE)*AA459</f>
        <v>3.0688230487954624E-5</v>
      </c>
      <c r="AT459">
        <f>VLOOKUP($AC459,'2017 Seattle Tracts'!$C$2:$Z$399,AT$1,FALSE)*AA459</f>
        <v>0</v>
      </c>
      <c r="AU459">
        <f>VLOOKUP($AC459,'2017 Seattle Tracts'!$C$2:$Z$399,AU$1,FALSE)*AA459</f>
        <v>0</v>
      </c>
      <c r="AV459">
        <f>VLOOKUP($AC459,'2017 Seattle Tracts'!$C$2:$Z$399,AV$1,FALSE)*AA459</f>
        <v>6.0383849747188349E-6</v>
      </c>
      <c r="AW459">
        <f>VLOOKUP($AC459,'2017 Seattle Tracts'!$C$2:$Z$399,AW$1,FALSE)*AA459</f>
        <v>6.700125793866105E-6</v>
      </c>
      <c r="AX459">
        <f>VLOOKUP($AC459,'2017 Seattle Tracts'!$C$2:$Z$399,AX$1,FALSE)*AA459</f>
        <v>1.4806450828420157E-5</v>
      </c>
      <c r="AY459">
        <f>VLOOKUP($AC459,'2017 Seattle Tracts'!$C$2:$Z$399,AY$1,FALSE)*AA459</f>
        <v>7.4445842154067826E-7</v>
      </c>
    </row>
    <row r="460" spans="1:51" x14ac:dyDescent="0.25">
      <c r="A460" t="s">
        <v>2917</v>
      </c>
      <c r="B460" t="s">
        <v>2918</v>
      </c>
      <c r="C460" t="s">
        <v>3263</v>
      </c>
      <c r="D460" t="s">
        <v>2695</v>
      </c>
      <c r="E460" t="s">
        <v>2696</v>
      </c>
      <c r="F460" t="s">
        <v>2697</v>
      </c>
      <c r="G460" t="s">
        <v>2920</v>
      </c>
      <c r="H460" t="s">
        <v>2921</v>
      </c>
      <c r="I460">
        <v>979235</v>
      </c>
      <c r="J460">
        <v>0</v>
      </c>
      <c r="K460" t="s">
        <v>3264</v>
      </c>
      <c r="L460" t="s">
        <v>3265</v>
      </c>
      <c r="M460">
        <v>979235</v>
      </c>
      <c r="N460">
        <v>42</v>
      </c>
      <c r="O460">
        <v>41446.940999999999</v>
      </c>
      <c r="P460" t="s">
        <v>134</v>
      </c>
      <c r="Q460">
        <v>5</v>
      </c>
      <c r="R460">
        <v>12</v>
      </c>
      <c r="S460">
        <v>33</v>
      </c>
      <c r="T460">
        <v>49348388</v>
      </c>
      <c r="U460">
        <v>44</v>
      </c>
      <c r="V460">
        <v>139</v>
      </c>
      <c r="W460">
        <v>41446.941321259314</v>
      </c>
      <c r="X460">
        <v>49348387.058142804</v>
      </c>
      <c r="Y460">
        <v>54579.385000000002</v>
      </c>
      <c r="Z460">
        <f>VLOOKUP($AC460,'2017 Seattle Tracts'!$C$2:$Z$399,24,FALSE)</f>
        <v>979235.34600000002</v>
      </c>
      <c r="AA460">
        <f t="shared" si="15"/>
        <v>5.5736739102552779E-2</v>
      </c>
      <c r="AB460" t="s">
        <v>133</v>
      </c>
      <c r="AC460" t="str">
        <f t="shared" si="14"/>
        <v>Census Tract 43.01, King County, Washington</v>
      </c>
      <c r="AD460">
        <f>VLOOKUP($AC460,'2017 Seattle Tracts'!$C$2:$Z$399,AD$1,FALSE)*AA460</f>
        <v>203.10467728970232</v>
      </c>
      <c r="AE460">
        <f>VLOOKUP($AC460,'2017 Seattle Tracts'!$C$2:$Z$399,AE$1,FALSE)*AA460</f>
        <v>163.69880274419751</v>
      </c>
      <c r="AF460">
        <f>VLOOKUP($AC460,'2017 Seattle Tracts'!$C$2:$Z$399,AF$1,FALSE)*AA460</f>
        <v>39.405874545504815</v>
      </c>
      <c r="AG460">
        <f>VLOOKUP($AC460,'2017 Seattle Tracts'!$C$2:$Z$399,AG$1,FALSE)*AA460</f>
        <v>203.10467728970232</v>
      </c>
      <c r="AH460">
        <f>VLOOKUP($AC460,'2017 Seattle Tracts'!$C$2:$Z$399,AH$1,FALSE)*AA460</f>
        <v>163.69880274419751</v>
      </c>
      <c r="AI460">
        <f>VLOOKUP($AC460,'2017 Seattle Tracts'!$C$2:$Z$399,AI$1,FALSE)*AA460</f>
        <v>39.405874545504815</v>
      </c>
      <c r="AJ460">
        <f>VLOOKUP($AC460,'2017 Seattle Tracts'!$C$2:$Z$399,AJ$1,FALSE)*AA460</f>
        <v>131.3714940647169</v>
      </c>
      <c r="AK460">
        <f>VLOOKUP($AC460,'2017 Seattle Tracts'!$C$2:$Z$399,AK$1,FALSE)*AA460</f>
        <v>13.04239694999735</v>
      </c>
      <c r="AL460">
        <f>VLOOKUP($AC460,'2017 Seattle Tracts'!$C$2:$Z$399,AL$1,FALSE)*AA460</f>
        <v>5.3507269538450668</v>
      </c>
      <c r="AM460">
        <f>VLOOKUP($AC460,'2017 Seattle Tracts'!$C$2:$Z$399,AM$1,FALSE)*AA460</f>
        <v>0</v>
      </c>
      <c r="AN460">
        <f>VLOOKUP($AC460,'2017 Seattle Tracts'!$C$2:$Z$399,AN$1,FALSE)*AA460</f>
        <v>2.3409430423072166</v>
      </c>
      <c r="AO460">
        <f>VLOOKUP($AC460,'2017 Seattle Tracts'!$C$2:$Z$399,AO$1,FALSE)*AA460</f>
        <v>0.66884086923063335</v>
      </c>
      <c r="AP460">
        <f>VLOOKUP($AC460,'2017 Seattle Tracts'!$C$2:$Z$399,AP$1,FALSE)*AA460</f>
        <v>0</v>
      </c>
      <c r="AQ460">
        <f>VLOOKUP($AC460,'2017 Seattle Tracts'!$C$2:$Z$399,AQ$1,FALSE)*AA460</f>
        <v>0</v>
      </c>
      <c r="AR460">
        <f>VLOOKUP($AC460,'2017 Seattle Tracts'!$C$2:$Z$399,AR$1,FALSE)*AA460</f>
        <v>10.589980429485028</v>
      </c>
      <c r="AS460">
        <f>VLOOKUP($AC460,'2017 Seattle Tracts'!$C$2:$Z$399,AS$1,FALSE)*AA460</f>
        <v>20.678330207047082</v>
      </c>
      <c r="AT460">
        <f>VLOOKUP($AC460,'2017 Seattle Tracts'!$C$2:$Z$399,AT$1,FALSE)*AA460</f>
        <v>0</v>
      </c>
      <c r="AU460">
        <f>VLOOKUP($AC460,'2017 Seattle Tracts'!$C$2:$Z$399,AU$1,FALSE)*AA460</f>
        <v>0</v>
      </c>
      <c r="AV460">
        <f>VLOOKUP($AC460,'2017 Seattle Tracts'!$C$2:$Z$399,AV$1,FALSE)*AA460</f>
        <v>4.0687819544863526</v>
      </c>
      <c r="AW460">
        <f>VLOOKUP($AC460,'2017 Seattle Tracts'!$C$2:$Z$399,AW$1,FALSE)*AA460</f>
        <v>4.5146758673067753</v>
      </c>
      <c r="AX460">
        <f>VLOOKUP($AC460,'2017 Seattle Tracts'!$C$2:$Z$399,AX$1,FALSE)*AA460</f>
        <v>9.9768762993569471</v>
      </c>
      <c r="AY460">
        <f>VLOOKUP($AC460,'2017 Seattle Tracts'!$C$2:$Z$399,AY$1,FALSE)*AA460</f>
        <v>0.50163065192297496</v>
      </c>
    </row>
    <row r="461" spans="1:51" x14ac:dyDescent="0.25">
      <c r="A461" t="s">
        <v>2917</v>
      </c>
      <c r="B461" t="s">
        <v>2918</v>
      </c>
      <c r="C461" t="s">
        <v>3266</v>
      </c>
      <c r="D461" t="s">
        <v>2584</v>
      </c>
      <c r="E461" t="s">
        <v>2585</v>
      </c>
      <c r="F461" t="s">
        <v>2586</v>
      </c>
      <c r="G461" t="s">
        <v>2920</v>
      </c>
      <c r="H461" t="s">
        <v>2921</v>
      </c>
      <c r="I461">
        <v>249281</v>
      </c>
      <c r="J461">
        <v>0</v>
      </c>
      <c r="K461" t="s">
        <v>3267</v>
      </c>
      <c r="L461" t="s">
        <v>3268</v>
      </c>
      <c r="M461">
        <v>249284</v>
      </c>
      <c r="N461">
        <v>100</v>
      </c>
      <c r="O461">
        <v>26851.947</v>
      </c>
      <c r="P461" t="s">
        <v>201</v>
      </c>
      <c r="Q461">
        <v>11</v>
      </c>
      <c r="R461">
        <v>3</v>
      </c>
      <c r="S461">
        <v>0</v>
      </c>
      <c r="T461">
        <v>30239240</v>
      </c>
      <c r="U461">
        <v>102</v>
      </c>
      <c r="V461">
        <v>151</v>
      </c>
      <c r="W461">
        <v>26851.9474418256</v>
      </c>
      <c r="X461">
        <v>30239240.52129779</v>
      </c>
      <c r="Y461">
        <v>249283.72399999999</v>
      </c>
      <c r="Z461">
        <f>VLOOKUP($AC461,'2017 Seattle Tracts'!$C$2:$Z$399,24,FALSE)</f>
        <v>249283.72399999999</v>
      </c>
      <c r="AA461">
        <f t="shared" si="15"/>
        <v>1</v>
      </c>
      <c r="AB461" t="s">
        <v>204</v>
      </c>
      <c r="AC461" t="str">
        <f t="shared" si="14"/>
        <v>Census Tract 74.02, King County, Washington</v>
      </c>
      <c r="AD461">
        <f>VLOOKUP($AC461,'2017 Seattle Tracts'!$C$2:$Z$399,AD$1,FALSE)*AA461</f>
        <v>5362</v>
      </c>
      <c r="AE461">
        <f>VLOOKUP($AC461,'2017 Seattle Tracts'!$C$2:$Z$399,AE$1,FALSE)*AA461</f>
        <v>4478</v>
      </c>
      <c r="AF461">
        <f>VLOOKUP($AC461,'2017 Seattle Tracts'!$C$2:$Z$399,AF$1,FALSE)*AA461</f>
        <v>884</v>
      </c>
      <c r="AG461">
        <f>VLOOKUP($AC461,'2017 Seattle Tracts'!$C$2:$Z$399,AG$1,FALSE)*AA461</f>
        <v>5362</v>
      </c>
      <c r="AH461">
        <f>VLOOKUP($AC461,'2017 Seattle Tracts'!$C$2:$Z$399,AH$1,FALSE)*AA461</f>
        <v>4478</v>
      </c>
      <c r="AI461">
        <f>VLOOKUP($AC461,'2017 Seattle Tracts'!$C$2:$Z$399,AI$1,FALSE)*AA461</f>
        <v>884</v>
      </c>
      <c r="AJ461">
        <f>VLOOKUP($AC461,'2017 Seattle Tracts'!$C$2:$Z$399,AJ$1,FALSE)*AA461</f>
        <v>3343</v>
      </c>
      <c r="AK461">
        <f>VLOOKUP($AC461,'2017 Seattle Tracts'!$C$2:$Z$399,AK$1,FALSE)*AA461</f>
        <v>328</v>
      </c>
      <c r="AL461">
        <f>VLOOKUP($AC461,'2017 Seattle Tracts'!$C$2:$Z$399,AL$1,FALSE)*AA461</f>
        <v>103</v>
      </c>
      <c r="AM461">
        <f>VLOOKUP($AC461,'2017 Seattle Tracts'!$C$2:$Z$399,AM$1,FALSE)*AA461</f>
        <v>18</v>
      </c>
      <c r="AN461">
        <f>VLOOKUP($AC461,'2017 Seattle Tracts'!$C$2:$Z$399,AN$1,FALSE)*AA461</f>
        <v>263</v>
      </c>
      <c r="AO461">
        <f>VLOOKUP($AC461,'2017 Seattle Tracts'!$C$2:$Z$399,AO$1,FALSE)*AA461</f>
        <v>98</v>
      </c>
      <c r="AP461">
        <f>VLOOKUP($AC461,'2017 Seattle Tracts'!$C$2:$Z$399,AP$1,FALSE)*AA461</f>
        <v>0</v>
      </c>
      <c r="AQ461">
        <f>VLOOKUP($AC461,'2017 Seattle Tracts'!$C$2:$Z$399,AQ$1,FALSE)*AA461</f>
        <v>0</v>
      </c>
      <c r="AR461">
        <f>VLOOKUP($AC461,'2017 Seattle Tracts'!$C$2:$Z$399,AR$1,FALSE)*AA461</f>
        <v>258</v>
      </c>
      <c r="AS461">
        <f>VLOOKUP($AC461,'2017 Seattle Tracts'!$C$2:$Z$399,AS$1,FALSE)*AA461</f>
        <v>334</v>
      </c>
      <c r="AT461">
        <f>VLOOKUP($AC461,'2017 Seattle Tracts'!$C$2:$Z$399,AT$1,FALSE)*AA461</f>
        <v>19</v>
      </c>
      <c r="AU461">
        <f>VLOOKUP($AC461,'2017 Seattle Tracts'!$C$2:$Z$399,AU$1,FALSE)*AA461</f>
        <v>0</v>
      </c>
      <c r="AV461">
        <f>VLOOKUP($AC461,'2017 Seattle Tracts'!$C$2:$Z$399,AV$1,FALSE)*AA461</f>
        <v>0</v>
      </c>
      <c r="AW461">
        <f>VLOOKUP($AC461,'2017 Seattle Tracts'!$C$2:$Z$399,AW$1,FALSE)*AA461</f>
        <v>83</v>
      </c>
      <c r="AX461">
        <f>VLOOKUP($AC461,'2017 Seattle Tracts'!$C$2:$Z$399,AX$1,FALSE)*AA461</f>
        <v>492</v>
      </c>
      <c r="AY461">
        <f>VLOOKUP($AC461,'2017 Seattle Tracts'!$C$2:$Z$399,AY$1,FALSE)*AA461</f>
        <v>23</v>
      </c>
    </row>
    <row r="462" spans="1:51" x14ac:dyDescent="0.25">
      <c r="A462" t="s">
        <v>2917</v>
      </c>
      <c r="B462" t="s">
        <v>2918</v>
      </c>
      <c r="C462" t="s">
        <v>3269</v>
      </c>
      <c r="D462" t="s">
        <v>2884</v>
      </c>
      <c r="E462" t="s">
        <v>2885</v>
      </c>
      <c r="F462" t="s">
        <v>2886</v>
      </c>
      <c r="G462" t="s">
        <v>2920</v>
      </c>
      <c r="H462" t="s">
        <v>2921</v>
      </c>
      <c r="I462">
        <v>2254022</v>
      </c>
      <c r="J462">
        <v>60359</v>
      </c>
      <c r="K462" t="s">
        <v>3270</v>
      </c>
      <c r="L462" t="s">
        <v>3271</v>
      </c>
      <c r="M462">
        <v>2245837</v>
      </c>
      <c r="N462">
        <v>58</v>
      </c>
      <c r="O462">
        <v>25426.23</v>
      </c>
      <c r="P462" t="s">
        <v>149</v>
      </c>
      <c r="Q462">
        <v>14</v>
      </c>
      <c r="R462">
        <v>8</v>
      </c>
      <c r="S462">
        <v>24</v>
      </c>
      <c r="T462">
        <v>20664986</v>
      </c>
      <c r="U462">
        <v>60</v>
      </c>
      <c r="V462">
        <v>165</v>
      </c>
      <c r="W462">
        <v>25426.231162667511</v>
      </c>
      <c r="X462">
        <v>20664986.272921581</v>
      </c>
      <c r="Y462">
        <v>0.52600000000000002</v>
      </c>
      <c r="Z462">
        <f>VLOOKUP($AC462,'2017 Seattle Tracts'!$C$2:$Z$399,24,FALSE)</f>
        <v>2245836.6940000001</v>
      </c>
      <c r="AA462">
        <f t="shared" si="15"/>
        <v>2.3421115230918923E-7</v>
      </c>
      <c r="AB462" t="s">
        <v>154</v>
      </c>
      <c r="AC462" t="str">
        <f t="shared" si="14"/>
        <v>Census Tract 100.01, King County, Washington</v>
      </c>
      <c r="AD462">
        <f>VLOOKUP($AC462,'2017 Seattle Tracts'!$C$2:$Z$399,AD$1,FALSE)*AA462</f>
        <v>1.0014868872740932E-3</v>
      </c>
      <c r="AE462">
        <f>VLOOKUP($AC462,'2017 Seattle Tracts'!$C$2:$Z$399,AE$1,FALSE)*AA462</f>
        <v>6.4244119078410607E-4</v>
      </c>
      <c r="AF462">
        <f>VLOOKUP($AC462,'2017 Seattle Tracts'!$C$2:$Z$399,AF$1,FALSE)*AA462</f>
        <v>3.5904569648998711E-4</v>
      </c>
      <c r="AG462">
        <f>VLOOKUP($AC462,'2017 Seattle Tracts'!$C$2:$Z$399,AG$1,FALSE)*AA462</f>
        <v>1.0014868872740932E-3</v>
      </c>
      <c r="AH462">
        <f>VLOOKUP($AC462,'2017 Seattle Tracts'!$C$2:$Z$399,AH$1,FALSE)*AA462</f>
        <v>6.4244119078410607E-4</v>
      </c>
      <c r="AI462">
        <f>VLOOKUP($AC462,'2017 Seattle Tracts'!$C$2:$Z$399,AI$1,FALSE)*AA462</f>
        <v>3.5904569648998711E-4</v>
      </c>
      <c r="AJ462">
        <f>VLOOKUP($AC462,'2017 Seattle Tracts'!$C$2:$Z$399,AJ$1,FALSE)*AA462</f>
        <v>3.2883245784210167E-4</v>
      </c>
      <c r="AK462">
        <f>VLOOKUP($AC462,'2017 Seattle Tracts'!$C$2:$Z$399,AK$1,FALSE)*AA462</f>
        <v>1.9205314489353518E-5</v>
      </c>
      <c r="AL462">
        <f>VLOOKUP($AC462,'2017 Seattle Tracts'!$C$2:$Z$399,AL$1,FALSE)*AA462</f>
        <v>3.3023772475595682E-5</v>
      </c>
      <c r="AM462">
        <f>VLOOKUP($AC462,'2017 Seattle Tracts'!$C$2:$Z$399,AM$1,FALSE)*AA462</f>
        <v>1.2413191072387029E-5</v>
      </c>
      <c r="AN462">
        <f>VLOOKUP($AC462,'2017 Seattle Tracts'!$C$2:$Z$399,AN$1,FALSE)*AA462</f>
        <v>1.4310301406091463E-4</v>
      </c>
      <c r="AO462">
        <f>VLOOKUP($AC462,'2017 Seattle Tracts'!$C$2:$Z$399,AO$1,FALSE)*AA462</f>
        <v>1.4778723710709841E-4</v>
      </c>
      <c r="AP462">
        <f>VLOOKUP($AC462,'2017 Seattle Tracts'!$C$2:$Z$399,AP$1,FALSE)*AA462</f>
        <v>5.6210676554205412E-6</v>
      </c>
      <c r="AQ462">
        <f>VLOOKUP($AC462,'2017 Seattle Tracts'!$C$2:$Z$399,AQ$1,FALSE)*AA462</f>
        <v>0</v>
      </c>
      <c r="AR462">
        <f>VLOOKUP($AC462,'2017 Seattle Tracts'!$C$2:$Z$399,AR$1,FALSE)*AA462</f>
        <v>9.8837106274477854E-5</v>
      </c>
      <c r="AS462">
        <f>VLOOKUP($AC462,'2017 Seattle Tracts'!$C$2:$Z$399,AS$1,FALSE)*AA462</f>
        <v>1.7448730847034597E-4</v>
      </c>
      <c r="AT462">
        <f>VLOOKUP($AC462,'2017 Seattle Tracts'!$C$2:$Z$399,AT$1,FALSE)*AA462</f>
        <v>0</v>
      </c>
      <c r="AU462">
        <f>VLOOKUP($AC462,'2017 Seattle Tracts'!$C$2:$Z$399,AU$1,FALSE)*AA462</f>
        <v>0</v>
      </c>
      <c r="AV462">
        <f>VLOOKUP($AC462,'2017 Seattle Tracts'!$C$2:$Z$399,AV$1,FALSE)*AA462</f>
        <v>0</v>
      </c>
      <c r="AW462">
        <f>VLOOKUP($AC462,'2017 Seattle Tracts'!$C$2:$Z$399,AW$1,FALSE)*AA462</f>
        <v>0</v>
      </c>
      <c r="AX462">
        <f>VLOOKUP($AC462,'2017 Seattle Tracts'!$C$2:$Z$399,AX$1,FALSE)*AA462</f>
        <v>3.3023772475595682E-5</v>
      </c>
      <c r="AY462">
        <f>VLOOKUP($AC462,'2017 Seattle Tracts'!$C$2:$Z$399,AY$1,FALSE)*AA462</f>
        <v>5.1526453508021631E-6</v>
      </c>
    </row>
    <row r="463" spans="1:51" x14ac:dyDescent="0.25">
      <c r="A463" t="s">
        <v>2917</v>
      </c>
      <c r="B463" t="s">
        <v>2918</v>
      </c>
      <c r="C463" t="s">
        <v>3269</v>
      </c>
      <c r="D463" t="s">
        <v>2884</v>
      </c>
      <c r="E463" t="s">
        <v>2885</v>
      </c>
      <c r="F463" t="s">
        <v>2886</v>
      </c>
      <c r="G463" t="s">
        <v>2920</v>
      </c>
      <c r="H463" t="s">
        <v>2921</v>
      </c>
      <c r="I463">
        <v>2254022</v>
      </c>
      <c r="J463">
        <v>60359</v>
      </c>
      <c r="K463" t="s">
        <v>3270</v>
      </c>
      <c r="L463" t="s">
        <v>3271</v>
      </c>
      <c r="M463">
        <v>2245837</v>
      </c>
      <c r="N463">
        <v>79</v>
      </c>
      <c r="O463">
        <v>33865.487999999998</v>
      </c>
      <c r="P463" t="s">
        <v>179</v>
      </c>
      <c r="Q463">
        <v>17</v>
      </c>
      <c r="R463">
        <v>5</v>
      </c>
      <c r="S463">
        <v>9</v>
      </c>
      <c r="T463">
        <v>48475916</v>
      </c>
      <c r="U463">
        <v>81</v>
      </c>
      <c r="V463">
        <v>166</v>
      </c>
      <c r="W463">
        <v>33865.489173990143</v>
      </c>
      <c r="X463">
        <v>48475914.455668777</v>
      </c>
      <c r="Y463">
        <v>1468780.0830000001</v>
      </c>
      <c r="Z463">
        <f>VLOOKUP($AC463,'2017 Seattle Tracts'!$C$2:$Z$399,24,FALSE)</f>
        <v>2245836.6940000001</v>
      </c>
      <c r="AA463">
        <f t="shared" si="15"/>
        <v>0.65400128465440421</v>
      </c>
      <c r="AB463" t="s">
        <v>178</v>
      </c>
      <c r="AC463" t="str">
        <f t="shared" si="14"/>
        <v>Census Tract 100.01, King County, Washington</v>
      </c>
      <c r="AD463">
        <f>VLOOKUP($AC463,'2017 Seattle Tracts'!$C$2:$Z$399,AD$1,FALSE)*AA463</f>
        <v>2796.5094931822323</v>
      </c>
      <c r="AE463">
        <f>VLOOKUP($AC463,'2017 Seattle Tracts'!$C$2:$Z$399,AE$1,FALSE)*AA463</f>
        <v>1793.9255238070307</v>
      </c>
      <c r="AF463">
        <f>VLOOKUP($AC463,'2017 Seattle Tracts'!$C$2:$Z$399,AF$1,FALSE)*AA463</f>
        <v>1002.5839693752016</v>
      </c>
      <c r="AG463">
        <f>VLOOKUP($AC463,'2017 Seattle Tracts'!$C$2:$Z$399,AG$1,FALSE)*AA463</f>
        <v>2796.5094931822323</v>
      </c>
      <c r="AH463">
        <f>VLOOKUP($AC463,'2017 Seattle Tracts'!$C$2:$Z$399,AH$1,FALSE)*AA463</f>
        <v>1793.9255238070307</v>
      </c>
      <c r="AI463">
        <f>VLOOKUP($AC463,'2017 Seattle Tracts'!$C$2:$Z$399,AI$1,FALSE)*AA463</f>
        <v>1002.5839693752016</v>
      </c>
      <c r="AJ463">
        <f>VLOOKUP($AC463,'2017 Seattle Tracts'!$C$2:$Z$399,AJ$1,FALSE)*AA463</f>
        <v>918.21780365478355</v>
      </c>
      <c r="AK463">
        <f>VLOOKUP($AC463,'2017 Seattle Tracts'!$C$2:$Z$399,AK$1,FALSE)*AA463</f>
        <v>53.628105341661147</v>
      </c>
      <c r="AL463">
        <f>VLOOKUP($AC463,'2017 Seattle Tracts'!$C$2:$Z$399,AL$1,FALSE)*AA463</f>
        <v>92.214181136270994</v>
      </c>
      <c r="AM463">
        <f>VLOOKUP($AC463,'2017 Seattle Tracts'!$C$2:$Z$399,AM$1,FALSE)*AA463</f>
        <v>34.662068086683426</v>
      </c>
      <c r="AN463">
        <f>VLOOKUP($AC463,'2017 Seattle Tracts'!$C$2:$Z$399,AN$1,FALSE)*AA463</f>
        <v>399.59478492384096</v>
      </c>
      <c r="AO463">
        <f>VLOOKUP($AC463,'2017 Seattle Tracts'!$C$2:$Z$399,AO$1,FALSE)*AA463</f>
        <v>412.67481061692905</v>
      </c>
      <c r="AP463">
        <f>VLOOKUP($AC463,'2017 Seattle Tracts'!$C$2:$Z$399,AP$1,FALSE)*AA463</f>
        <v>15.696030831705702</v>
      </c>
      <c r="AQ463">
        <f>VLOOKUP($AC463,'2017 Seattle Tracts'!$C$2:$Z$399,AQ$1,FALSE)*AA463</f>
        <v>0</v>
      </c>
      <c r="AR463">
        <f>VLOOKUP($AC463,'2017 Seattle Tracts'!$C$2:$Z$399,AR$1,FALSE)*AA463</f>
        <v>275.98854212415858</v>
      </c>
      <c r="AS463">
        <f>VLOOKUP($AC463,'2017 Seattle Tracts'!$C$2:$Z$399,AS$1,FALSE)*AA463</f>
        <v>487.23095706753116</v>
      </c>
      <c r="AT463">
        <f>VLOOKUP($AC463,'2017 Seattle Tracts'!$C$2:$Z$399,AT$1,FALSE)*AA463</f>
        <v>0</v>
      </c>
      <c r="AU463">
        <f>VLOOKUP($AC463,'2017 Seattle Tracts'!$C$2:$Z$399,AU$1,FALSE)*AA463</f>
        <v>0</v>
      </c>
      <c r="AV463">
        <f>VLOOKUP($AC463,'2017 Seattle Tracts'!$C$2:$Z$399,AV$1,FALSE)*AA463</f>
        <v>0</v>
      </c>
      <c r="AW463">
        <f>VLOOKUP($AC463,'2017 Seattle Tracts'!$C$2:$Z$399,AW$1,FALSE)*AA463</f>
        <v>0</v>
      </c>
      <c r="AX463">
        <f>VLOOKUP($AC463,'2017 Seattle Tracts'!$C$2:$Z$399,AX$1,FALSE)*AA463</f>
        <v>92.214181136270994</v>
      </c>
      <c r="AY463">
        <f>VLOOKUP($AC463,'2017 Seattle Tracts'!$C$2:$Z$399,AY$1,FALSE)*AA463</f>
        <v>14.388028262396892</v>
      </c>
    </row>
    <row r="464" spans="1:51" x14ac:dyDescent="0.25">
      <c r="A464" t="s">
        <v>2917</v>
      </c>
      <c r="B464" t="s">
        <v>2918</v>
      </c>
      <c r="C464" t="s">
        <v>3269</v>
      </c>
      <c r="D464" t="s">
        <v>2884</v>
      </c>
      <c r="E464" t="s">
        <v>2885</v>
      </c>
      <c r="F464" t="s">
        <v>2886</v>
      </c>
      <c r="G464" t="s">
        <v>2920</v>
      </c>
      <c r="H464" t="s">
        <v>2921</v>
      </c>
      <c r="I464">
        <v>2254022</v>
      </c>
      <c r="J464">
        <v>60359</v>
      </c>
      <c r="K464" t="s">
        <v>3270</v>
      </c>
      <c r="L464" t="s">
        <v>3271</v>
      </c>
      <c r="M464">
        <v>2245837</v>
      </c>
      <c r="N464">
        <v>80</v>
      </c>
      <c r="O464">
        <v>40522.184000000001</v>
      </c>
      <c r="P464" t="s">
        <v>179</v>
      </c>
      <c r="Q464">
        <v>17</v>
      </c>
      <c r="R464">
        <v>5</v>
      </c>
      <c r="S464">
        <v>95</v>
      </c>
      <c r="T464">
        <v>52620472</v>
      </c>
      <c r="U464">
        <v>82</v>
      </c>
      <c r="V464">
        <v>172</v>
      </c>
      <c r="W464">
        <v>40522.182927532267</v>
      </c>
      <c r="X464">
        <v>52620470.788550943</v>
      </c>
      <c r="Y464">
        <v>277507.97700000001</v>
      </c>
      <c r="Z464">
        <f>VLOOKUP($AC464,'2017 Seattle Tracts'!$C$2:$Z$399,24,FALSE)</f>
        <v>2245836.6940000001</v>
      </c>
      <c r="AA464">
        <f t="shared" si="15"/>
        <v>0.12356551914099236</v>
      </c>
      <c r="AB464" t="s">
        <v>180</v>
      </c>
      <c r="AC464" t="str">
        <f t="shared" si="14"/>
        <v>Census Tract 100.01, King County, Washington</v>
      </c>
      <c r="AD464">
        <f>VLOOKUP($AC464,'2017 Seattle Tracts'!$C$2:$Z$399,AD$1,FALSE)*AA464</f>
        <v>528.36615984688331</v>
      </c>
      <c r="AE464">
        <f>VLOOKUP($AC464,'2017 Seattle Tracts'!$C$2:$Z$399,AE$1,FALSE)*AA464</f>
        <v>338.94021900374202</v>
      </c>
      <c r="AF464">
        <f>VLOOKUP($AC464,'2017 Seattle Tracts'!$C$2:$Z$399,AF$1,FALSE)*AA464</f>
        <v>189.42594084314129</v>
      </c>
      <c r="AG464">
        <f>VLOOKUP($AC464,'2017 Seattle Tracts'!$C$2:$Z$399,AG$1,FALSE)*AA464</f>
        <v>528.36615984688331</v>
      </c>
      <c r="AH464">
        <f>VLOOKUP($AC464,'2017 Seattle Tracts'!$C$2:$Z$399,AH$1,FALSE)*AA464</f>
        <v>338.94021900374202</v>
      </c>
      <c r="AI464">
        <f>VLOOKUP($AC464,'2017 Seattle Tracts'!$C$2:$Z$399,AI$1,FALSE)*AA464</f>
        <v>189.42594084314129</v>
      </c>
      <c r="AJ464">
        <f>VLOOKUP($AC464,'2017 Seattle Tracts'!$C$2:$Z$399,AJ$1,FALSE)*AA464</f>
        <v>173.48598887395326</v>
      </c>
      <c r="AK464">
        <f>VLOOKUP($AC464,'2017 Seattle Tracts'!$C$2:$Z$399,AK$1,FALSE)*AA464</f>
        <v>10.132372569561372</v>
      </c>
      <c r="AL464">
        <f>VLOOKUP($AC464,'2017 Seattle Tracts'!$C$2:$Z$399,AL$1,FALSE)*AA464</f>
        <v>17.422738198879923</v>
      </c>
      <c r="AM464">
        <f>VLOOKUP($AC464,'2017 Seattle Tracts'!$C$2:$Z$399,AM$1,FALSE)*AA464</f>
        <v>6.5489725144725952</v>
      </c>
      <c r="AN464">
        <f>VLOOKUP($AC464,'2017 Seattle Tracts'!$C$2:$Z$399,AN$1,FALSE)*AA464</f>
        <v>75.498532195146325</v>
      </c>
      <c r="AO464">
        <f>VLOOKUP($AC464,'2017 Seattle Tracts'!$C$2:$Z$399,AO$1,FALSE)*AA464</f>
        <v>77.969842577966176</v>
      </c>
      <c r="AP464">
        <f>VLOOKUP($AC464,'2017 Seattle Tracts'!$C$2:$Z$399,AP$1,FALSE)*AA464</f>
        <v>2.9655724593838166</v>
      </c>
      <c r="AQ464">
        <f>VLOOKUP($AC464,'2017 Seattle Tracts'!$C$2:$Z$399,AQ$1,FALSE)*AA464</f>
        <v>0</v>
      </c>
      <c r="AR464">
        <f>VLOOKUP($AC464,'2017 Seattle Tracts'!$C$2:$Z$399,AR$1,FALSE)*AA464</f>
        <v>52.144649077498777</v>
      </c>
      <c r="AS464">
        <f>VLOOKUP($AC464,'2017 Seattle Tracts'!$C$2:$Z$399,AS$1,FALSE)*AA464</f>
        <v>92.056311760039307</v>
      </c>
      <c r="AT464">
        <f>VLOOKUP($AC464,'2017 Seattle Tracts'!$C$2:$Z$399,AT$1,FALSE)*AA464</f>
        <v>0</v>
      </c>
      <c r="AU464">
        <f>VLOOKUP($AC464,'2017 Seattle Tracts'!$C$2:$Z$399,AU$1,FALSE)*AA464</f>
        <v>0</v>
      </c>
      <c r="AV464">
        <f>VLOOKUP($AC464,'2017 Seattle Tracts'!$C$2:$Z$399,AV$1,FALSE)*AA464</f>
        <v>0</v>
      </c>
      <c r="AW464">
        <f>VLOOKUP($AC464,'2017 Seattle Tracts'!$C$2:$Z$399,AW$1,FALSE)*AA464</f>
        <v>0</v>
      </c>
      <c r="AX464">
        <f>VLOOKUP($AC464,'2017 Seattle Tracts'!$C$2:$Z$399,AX$1,FALSE)*AA464</f>
        <v>17.422738198879923</v>
      </c>
      <c r="AY464">
        <f>VLOOKUP($AC464,'2017 Seattle Tracts'!$C$2:$Z$399,AY$1,FALSE)*AA464</f>
        <v>2.718441421101832</v>
      </c>
    </row>
    <row r="465" spans="1:51" x14ac:dyDescent="0.25">
      <c r="A465" t="s">
        <v>2917</v>
      </c>
      <c r="B465" t="s">
        <v>2918</v>
      </c>
      <c r="C465" t="s">
        <v>3269</v>
      </c>
      <c r="D465" t="s">
        <v>2884</v>
      </c>
      <c r="E465" t="s">
        <v>2885</v>
      </c>
      <c r="F465" t="s">
        <v>2886</v>
      </c>
      <c r="G465" t="s">
        <v>2920</v>
      </c>
      <c r="H465" t="s">
        <v>2921</v>
      </c>
      <c r="I465">
        <v>2254022</v>
      </c>
      <c r="J465">
        <v>60359</v>
      </c>
      <c r="K465" t="s">
        <v>3270</v>
      </c>
      <c r="L465" t="s">
        <v>3271</v>
      </c>
      <c r="M465">
        <v>2245837</v>
      </c>
      <c r="N465">
        <v>88</v>
      </c>
      <c r="O465">
        <v>35177.063000000002</v>
      </c>
      <c r="P465" t="s">
        <v>184</v>
      </c>
      <c r="Q465">
        <v>15</v>
      </c>
      <c r="R465">
        <v>4</v>
      </c>
      <c r="S465">
        <v>94</v>
      </c>
      <c r="T465">
        <v>37406576</v>
      </c>
      <c r="U465">
        <v>90</v>
      </c>
      <c r="V465">
        <v>179</v>
      </c>
      <c r="W465">
        <v>35177.060803967521</v>
      </c>
      <c r="X465">
        <v>37406576.492632188</v>
      </c>
      <c r="Y465">
        <v>499548.071</v>
      </c>
      <c r="Z465">
        <f>VLOOKUP($AC465,'2017 Seattle Tracts'!$C$2:$Z$399,24,FALSE)</f>
        <v>2245836.6940000001</v>
      </c>
      <c r="AA465">
        <f t="shared" si="15"/>
        <v>0.22243294551852219</v>
      </c>
      <c r="AB465" t="s">
        <v>189</v>
      </c>
      <c r="AC465" t="str">
        <f t="shared" si="14"/>
        <v>Census Tract 100.01, King County, Washington</v>
      </c>
      <c r="AD465">
        <f>VLOOKUP($AC465,'2017 Seattle Tracts'!$C$2:$Z$399,AD$1,FALSE)*AA465</f>
        <v>951.12327503720087</v>
      </c>
      <c r="AE465">
        <f>VLOOKUP($AC465,'2017 Seattle Tracts'!$C$2:$Z$399,AE$1,FALSE)*AA465</f>
        <v>610.13356955730637</v>
      </c>
      <c r="AF465">
        <f>VLOOKUP($AC465,'2017 Seattle Tracts'!$C$2:$Z$399,AF$1,FALSE)*AA465</f>
        <v>340.9897054798945</v>
      </c>
      <c r="AG465">
        <f>VLOOKUP($AC465,'2017 Seattle Tracts'!$C$2:$Z$399,AG$1,FALSE)*AA465</f>
        <v>951.12327503720087</v>
      </c>
      <c r="AH465">
        <f>VLOOKUP($AC465,'2017 Seattle Tracts'!$C$2:$Z$399,AH$1,FALSE)*AA465</f>
        <v>610.13356955730637</v>
      </c>
      <c r="AI465">
        <f>VLOOKUP($AC465,'2017 Seattle Tracts'!$C$2:$Z$399,AI$1,FALSE)*AA465</f>
        <v>340.9897054798945</v>
      </c>
      <c r="AJ465">
        <f>VLOOKUP($AC465,'2017 Seattle Tracts'!$C$2:$Z$399,AJ$1,FALSE)*AA465</f>
        <v>312.29585550800516</v>
      </c>
      <c r="AK465">
        <f>VLOOKUP($AC465,'2017 Seattle Tracts'!$C$2:$Z$399,AK$1,FALSE)*AA465</f>
        <v>18.239501532518819</v>
      </c>
      <c r="AL465">
        <f>VLOOKUP($AC465,'2017 Seattle Tracts'!$C$2:$Z$399,AL$1,FALSE)*AA465</f>
        <v>31.363045318111627</v>
      </c>
      <c r="AM465">
        <f>VLOOKUP($AC465,'2017 Seattle Tracts'!$C$2:$Z$399,AM$1,FALSE)*AA465</f>
        <v>11.788946112481677</v>
      </c>
      <c r="AN465">
        <f>VLOOKUP($AC465,'2017 Seattle Tracts'!$C$2:$Z$399,AN$1,FALSE)*AA465</f>
        <v>135.90652971181706</v>
      </c>
      <c r="AO465">
        <f>VLOOKUP($AC465,'2017 Seattle Tracts'!$C$2:$Z$399,AO$1,FALSE)*AA465</f>
        <v>140.35518862218751</v>
      </c>
      <c r="AP465">
        <f>VLOOKUP($AC465,'2017 Seattle Tracts'!$C$2:$Z$399,AP$1,FALSE)*AA465</f>
        <v>5.3383906924445323</v>
      </c>
      <c r="AQ465">
        <f>VLOOKUP($AC465,'2017 Seattle Tracts'!$C$2:$Z$399,AQ$1,FALSE)*AA465</f>
        <v>0</v>
      </c>
      <c r="AR465">
        <f>VLOOKUP($AC465,'2017 Seattle Tracts'!$C$2:$Z$399,AR$1,FALSE)*AA465</f>
        <v>93.866703008816359</v>
      </c>
      <c r="AS465">
        <f>VLOOKUP($AC465,'2017 Seattle Tracts'!$C$2:$Z$399,AS$1,FALSE)*AA465</f>
        <v>165.71254441129904</v>
      </c>
      <c r="AT465">
        <f>VLOOKUP($AC465,'2017 Seattle Tracts'!$C$2:$Z$399,AT$1,FALSE)*AA465</f>
        <v>0</v>
      </c>
      <c r="AU465">
        <f>VLOOKUP($AC465,'2017 Seattle Tracts'!$C$2:$Z$399,AU$1,FALSE)*AA465</f>
        <v>0</v>
      </c>
      <c r="AV465">
        <f>VLOOKUP($AC465,'2017 Seattle Tracts'!$C$2:$Z$399,AV$1,FALSE)*AA465</f>
        <v>0</v>
      </c>
      <c r="AW465">
        <f>VLOOKUP($AC465,'2017 Seattle Tracts'!$C$2:$Z$399,AW$1,FALSE)*AA465</f>
        <v>0</v>
      </c>
      <c r="AX465">
        <f>VLOOKUP($AC465,'2017 Seattle Tracts'!$C$2:$Z$399,AX$1,FALSE)*AA465</f>
        <v>31.363045318111627</v>
      </c>
      <c r="AY465">
        <f>VLOOKUP($AC465,'2017 Seattle Tracts'!$C$2:$Z$399,AY$1,FALSE)*AA465</f>
        <v>4.8935248014074881</v>
      </c>
    </row>
    <row r="466" spans="1:51" x14ac:dyDescent="0.25">
      <c r="A466" t="s">
        <v>2917</v>
      </c>
      <c r="B466" t="s">
        <v>2918</v>
      </c>
      <c r="C466" t="s">
        <v>3272</v>
      </c>
      <c r="D466" t="s">
        <v>2839</v>
      </c>
      <c r="E466" t="s">
        <v>2840</v>
      </c>
      <c r="F466" t="s">
        <v>2841</v>
      </c>
      <c r="G466" t="s">
        <v>2920</v>
      </c>
      <c r="H466" t="s">
        <v>2921</v>
      </c>
      <c r="I466">
        <v>1676109</v>
      </c>
      <c r="J466">
        <v>0</v>
      </c>
      <c r="K466" t="s">
        <v>3273</v>
      </c>
      <c r="L466" t="s">
        <v>3274</v>
      </c>
      <c r="M466">
        <v>1676122</v>
      </c>
      <c r="N466">
        <v>68</v>
      </c>
      <c r="O466">
        <v>45963.663999999997</v>
      </c>
      <c r="P466" t="s">
        <v>122</v>
      </c>
      <c r="Q466">
        <v>18</v>
      </c>
      <c r="R466">
        <v>12</v>
      </c>
      <c r="S466">
        <v>81</v>
      </c>
      <c r="T466">
        <v>51305072</v>
      </c>
      <c r="U466">
        <v>70</v>
      </c>
      <c r="V466">
        <v>177</v>
      </c>
      <c r="W466">
        <v>45963.665676960663</v>
      </c>
      <c r="X466">
        <v>51305072.646258257</v>
      </c>
      <c r="Y466">
        <v>47177.366000000002</v>
      </c>
      <c r="Z466">
        <f>VLOOKUP($AC466,'2017 Seattle Tracts'!$C$2:$Z$399,24,FALSE)</f>
        <v>1676122.159</v>
      </c>
      <c r="AA466">
        <f t="shared" si="15"/>
        <v>2.8146734858601676E-2</v>
      </c>
      <c r="AB466" t="s">
        <v>166</v>
      </c>
      <c r="AC466" t="str">
        <f t="shared" si="14"/>
        <v>Census Tract 110.02, King County, Washington</v>
      </c>
      <c r="AD466">
        <f>VLOOKUP($AC466,'2017 Seattle Tracts'!$C$2:$Z$399,AD$1,FALSE)*AA466</f>
        <v>139.52336469408851</v>
      </c>
      <c r="AE466">
        <f>VLOOKUP($AC466,'2017 Seattle Tracts'!$C$2:$Z$399,AE$1,FALSE)*AA466</f>
        <v>67.861777744088641</v>
      </c>
      <c r="AF466">
        <f>VLOOKUP($AC466,'2017 Seattle Tracts'!$C$2:$Z$399,AF$1,FALSE)*AA466</f>
        <v>71.661586949999872</v>
      </c>
      <c r="AG466">
        <f>VLOOKUP($AC466,'2017 Seattle Tracts'!$C$2:$Z$399,AG$1,FALSE)*AA466</f>
        <v>139.52336469408851</v>
      </c>
      <c r="AH466">
        <f>VLOOKUP($AC466,'2017 Seattle Tracts'!$C$2:$Z$399,AH$1,FALSE)*AA466</f>
        <v>67.861777744088641</v>
      </c>
      <c r="AI466">
        <f>VLOOKUP($AC466,'2017 Seattle Tracts'!$C$2:$Z$399,AI$1,FALSE)*AA466</f>
        <v>71.661586949999872</v>
      </c>
      <c r="AJ466">
        <f>VLOOKUP($AC466,'2017 Seattle Tracts'!$C$2:$Z$399,AJ$1,FALSE)*AA466</f>
        <v>9.8513572005105861</v>
      </c>
      <c r="AK466">
        <f>VLOOKUP($AC466,'2017 Seattle Tracts'!$C$2:$Z$399,AK$1,FALSE)*AA466</f>
        <v>0.98513572005105865</v>
      </c>
      <c r="AL466">
        <f>VLOOKUP($AC466,'2017 Seattle Tracts'!$C$2:$Z$399,AL$1,FALSE)*AA466</f>
        <v>1.3510432732128805</v>
      </c>
      <c r="AM466">
        <f>VLOOKUP($AC466,'2017 Seattle Tracts'!$C$2:$Z$399,AM$1,FALSE)*AA466</f>
        <v>0</v>
      </c>
      <c r="AN466">
        <f>VLOOKUP($AC466,'2017 Seattle Tracts'!$C$2:$Z$399,AN$1,FALSE)*AA466</f>
        <v>34.704924080655864</v>
      </c>
      <c r="AO466">
        <f>VLOOKUP($AC466,'2017 Seattle Tracts'!$C$2:$Z$399,AO$1,FALSE)*AA466</f>
        <v>14.551861921897066</v>
      </c>
      <c r="AP466">
        <f>VLOOKUP($AC466,'2017 Seattle Tracts'!$C$2:$Z$399,AP$1,FALSE)*AA466</f>
        <v>1.210309598919872</v>
      </c>
      <c r="AQ466">
        <f>VLOOKUP($AC466,'2017 Seattle Tracts'!$C$2:$Z$399,AQ$1,FALSE)*AA466</f>
        <v>1.7169508263747022</v>
      </c>
      <c r="AR466">
        <f>VLOOKUP($AC466,'2017 Seattle Tracts'!$C$2:$Z$399,AR$1,FALSE)*AA466</f>
        <v>17.676149491201851</v>
      </c>
      <c r="AS466">
        <f>VLOOKUP($AC466,'2017 Seattle Tracts'!$C$2:$Z$399,AS$1,FALSE)*AA466</f>
        <v>53.7321168450706</v>
      </c>
      <c r="AT466">
        <f>VLOOKUP($AC466,'2017 Seattle Tracts'!$C$2:$Z$399,AT$1,FALSE)*AA466</f>
        <v>0.36590755316182177</v>
      </c>
      <c r="AU466">
        <f>VLOOKUP($AC466,'2017 Seattle Tracts'!$C$2:$Z$399,AU$1,FALSE)*AA466</f>
        <v>0.67552163660644027</v>
      </c>
      <c r="AV466">
        <f>VLOOKUP($AC466,'2017 Seattle Tracts'!$C$2:$Z$399,AV$1,FALSE)*AA466</f>
        <v>0.75996184118224519</v>
      </c>
      <c r="AW466">
        <f>VLOOKUP($AC466,'2017 Seattle Tracts'!$C$2:$Z$399,AW$1,FALSE)*AA466</f>
        <v>0</v>
      </c>
      <c r="AX466">
        <f>VLOOKUP($AC466,'2017 Seattle Tracts'!$C$2:$Z$399,AX$1,FALSE)*AA466</f>
        <v>1.9421247052435155</v>
      </c>
      <c r="AY466">
        <f>VLOOKUP($AC466,'2017 Seattle Tracts'!$C$2:$Z$399,AY$1,FALSE)*AA466</f>
        <v>0</v>
      </c>
    </row>
    <row r="467" spans="1:51" x14ac:dyDescent="0.25">
      <c r="A467" t="s">
        <v>2917</v>
      </c>
      <c r="B467" t="s">
        <v>2918</v>
      </c>
      <c r="C467" t="s">
        <v>3272</v>
      </c>
      <c r="D467" t="s">
        <v>2839</v>
      </c>
      <c r="E467" t="s">
        <v>2840</v>
      </c>
      <c r="F467" t="s">
        <v>2841</v>
      </c>
      <c r="G467" t="s">
        <v>2920</v>
      </c>
      <c r="H467" t="s">
        <v>2921</v>
      </c>
      <c r="I467">
        <v>1676109</v>
      </c>
      <c r="J467">
        <v>0</v>
      </c>
      <c r="K467" t="s">
        <v>3273</v>
      </c>
      <c r="L467" t="s">
        <v>3274</v>
      </c>
      <c r="M467">
        <v>1676122</v>
      </c>
      <c r="N467">
        <v>80</v>
      </c>
      <c r="O467">
        <v>40522.184000000001</v>
      </c>
      <c r="P467" t="s">
        <v>179</v>
      </c>
      <c r="Q467">
        <v>17</v>
      </c>
      <c r="R467">
        <v>5</v>
      </c>
      <c r="S467">
        <v>95</v>
      </c>
      <c r="T467">
        <v>52620472</v>
      </c>
      <c r="U467">
        <v>82</v>
      </c>
      <c r="V467">
        <v>172</v>
      </c>
      <c r="W467">
        <v>40522.182927532267</v>
      </c>
      <c r="X467">
        <v>52620470.788550943</v>
      </c>
      <c r="Y467">
        <v>473842.96100000001</v>
      </c>
      <c r="Z467">
        <f>VLOOKUP($AC467,'2017 Seattle Tracts'!$C$2:$Z$399,24,FALSE)</f>
        <v>1676122.159</v>
      </c>
      <c r="AA467">
        <f t="shared" si="15"/>
        <v>0.28270192506893527</v>
      </c>
      <c r="AB467" t="s">
        <v>180</v>
      </c>
      <c r="AC467" t="str">
        <f t="shared" si="14"/>
        <v>Census Tract 110.02, King County, Washington</v>
      </c>
      <c r="AD467">
        <f>VLOOKUP($AC467,'2017 Seattle Tracts'!$C$2:$Z$399,AD$1,FALSE)*AA467</f>
        <v>1401.3534425667121</v>
      </c>
      <c r="AE467">
        <f>VLOOKUP($AC467,'2017 Seattle Tracts'!$C$2:$Z$399,AE$1,FALSE)*AA467</f>
        <v>681.59434134120295</v>
      </c>
      <c r="AF467">
        <f>VLOOKUP($AC467,'2017 Seattle Tracts'!$C$2:$Z$399,AF$1,FALSE)*AA467</f>
        <v>719.7591012255092</v>
      </c>
      <c r="AG467">
        <f>VLOOKUP($AC467,'2017 Seattle Tracts'!$C$2:$Z$399,AG$1,FALSE)*AA467</f>
        <v>1401.3534425667121</v>
      </c>
      <c r="AH467">
        <f>VLOOKUP($AC467,'2017 Seattle Tracts'!$C$2:$Z$399,AH$1,FALSE)*AA467</f>
        <v>681.59434134120295</v>
      </c>
      <c r="AI467">
        <f>VLOOKUP($AC467,'2017 Seattle Tracts'!$C$2:$Z$399,AI$1,FALSE)*AA467</f>
        <v>719.7591012255092</v>
      </c>
      <c r="AJ467">
        <f>VLOOKUP($AC467,'2017 Seattle Tracts'!$C$2:$Z$399,AJ$1,FALSE)*AA467</f>
        <v>98.945673774127343</v>
      </c>
      <c r="AK467">
        <f>VLOOKUP($AC467,'2017 Seattle Tracts'!$C$2:$Z$399,AK$1,FALSE)*AA467</f>
        <v>9.8945673774127343</v>
      </c>
      <c r="AL467">
        <f>VLOOKUP($AC467,'2017 Seattle Tracts'!$C$2:$Z$399,AL$1,FALSE)*AA467</f>
        <v>13.569692403308892</v>
      </c>
      <c r="AM467">
        <f>VLOOKUP($AC467,'2017 Seattle Tracts'!$C$2:$Z$399,AM$1,FALSE)*AA467</f>
        <v>0</v>
      </c>
      <c r="AN467">
        <f>VLOOKUP($AC467,'2017 Seattle Tracts'!$C$2:$Z$399,AN$1,FALSE)*AA467</f>
        <v>348.57147360999716</v>
      </c>
      <c r="AO467">
        <f>VLOOKUP($AC467,'2017 Seattle Tracts'!$C$2:$Z$399,AO$1,FALSE)*AA467</f>
        <v>146.15689526063954</v>
      </c>
      <c r="AP467">
        <f>VLOOKUP($AC467,'2017 Seattle Tracts'!$C$2:$Z$399,AP$1,FALSE)*AA467</f>
        <v>12.156182777964217</v>
      </c>
      <c r="AQ467">
        <f>VLOOKUP($AC467,'2017 Seattle Tracts'!$C$2:$Z$399,AQ$1,FALSE)*AA467</f>
        <v>17.24481742920505</v>
      </c>
      <c r="AR467">
        <f>VLOOKUP($AC467,'2017 Seattle Tracts'!$C$2:$Z$399,AR$1,FALSE)*AA467</f>
        <v>177.53680894329133</v>
      </c>
      <c r="AS467">
        <f>VLOOKUP($AC467,'2017 Seattle Tracts'!$C$2:$Z$399,AS$1,FALSE)*AA467</f>
        <v>539.67797495659738</v>
      </c>
      <c r="AT467">
        <f>VLOOKUP($AC467,'2017 Seattle Tracts'!$C$2:$Z$399,AT$1,FALSE)*AA467</f>
        <v>3.6751250258961585</v>
      </c>
      <c r="AU467">
        <f>VLOOKUP($AC467,'2017 Seattle Tracts'!$C$2:$Z$399,AU$1,FALSE)*AA467</f>
        <v>6.784846201654446</v>
      </c>
      <c r="AV467">
        <f>VLOOKUP($AC467,'2017 Seattle Tracts'!$C$2:$Z$399,AV$1,FALSE)*AA467</f>
        <v>7.6329519768612526</v>
      </c>
      <c r="AW467">
        <f>VLOOKUP($AC467,'2017 Seattle Tracts'!$C$2:$Z$399,AW$1,FALSE)*AA467</f>
        <v>0</v>
      </c>
      <c r="AX467">
        <f>VLOOKUP($AC467,'2017 Seattle Tracts'!$C$2:$Z$399,AX$1,FALSE)*AA467</f>
        <v>19.506432829756534</v>
      </c>
      <c r="AY467">
        <f>VLOOKUP($AC467,'2017 Seattle Tracts'!$C$2:$Z$399,AY$1,FALSE)*AA467</f>
        <v>0</v>
      </c>
    </row>
    <row r="468" spans="1:51" x14ac:dyDescent="0.25">
      <c r="A468" t="s">
        <v>2917</v>
      </c>
      <c r="B468" t="s">
        <v>2918</v>
      </c>
      <c r="C468" t="s">
        <v>3272</v>
      </c>
      <c r="D468" t="s">
        <v>2839</v>
      </c>
      <c r="E468" t="s">
        <v>2840</v>
      </c>
      <c r="F468" t="s">
        <v>2841</v>
      </c>
      <c r="G468" t="s">
        <v>2920</v>
      </c>
      <c r="H468" t="s">
        <v>2921</v>
      </c>
      <c r="I468">
        <v>1676109</v>
      </c>
      <c r="J468">
        <v>0</v>
      </c>
      <c r="K468" t="s">
        <v>3273</v>
      </c>
      <c r="L468" t="s">
        <v>3274</v>
      </c>
      <c r="M468">
        <v>1676122</v>
      </c>
      <c r="N468">
        <v>81</v>
      </c>
      <c r="O468">
        <v>38996.714999999997</v>
      </c>
      <c r="P468" t="s">
        <v>179</v>
      </c>
      <c r="Q468">
        <v>17</v>
      </c>
      <c r="R468">
        <v>5</v>
      </c>
      <c r="S468">
        <v>23</v>
      </c>
      <c r="T468">
        <v>38448828</v>
      </c>
      <c r="U468">
        <v>83</v>
      </c>
      <c r="V468">
        <v>183</v>
      </c>
      <c r="W468">
        <v>38996.715107084907</v>
      </c>
      <c r="X468">
        <v>38448826.89896398</v>
      </c>
      <c r="Y468">
        <v>909193.054</v>
      </c>
      <c r="Z468">
        <f>VLOOKUP($AC468,'2017 Seattle Tracts'!$C$2:$Z$399,24,FALSE)</f>
        <v>1676122.159</v>
      </c>
      <c r="AA468">
        <f t="shared" si="15"/>
        <v>0.54243841901263234</v>
      </c>
      <c r="AB468" t="s">
        <v>181</v>
      </c>
      <c r="AC468" t="str">
        <f t="shared" si="14"/>
        <v>Census Tract 110.02, King County, Washington</v>
      </c>
      <c r="AD468">
        <f>VLOOKUP($AC468,'2017 Seattle Tracts'!$C$2:$Z$399,AD$1,FALSE)*AA468</f>
        <v>2688.8672430456186</v>
      </c>
      <c r="AE468">
        <f>VLOOKUP($AC468,'2017 Seattle Tracts'!$C$2:$Z$399,AE$1,FALSE)*AA468</f>
        <v>1307.8190282394567</v>
      </c>
      <c r="AF468">
        <f>VLOOKUP($AC468,'2017 Seattle Tracts'!$C$2:$Z$399,AF$1,FALSE)*AA468</f>
        <v>1381.0482148061619</v>
      </c>
      <c r="AG468">
        <f>VLOOKUP($AC468,'2017 Seattle Tracts'!$C$2:$Z$399,AG$1,FALSE)*AA468</f>
        <v>2688.8672430456186</v>
      </c>
      <c r="AH468">
        <f>VLOOKUP($AC468,'2017 Seattle Tracts'!$C$2:$Z$399,AH$1,FALSE)*AA468</f>
        <v>1307.8190282394567</v>
      </c>
      <c r="AI468">
        <f>VLOOKUP($AC468,'2017 Seattle Tracts'!$C$2:$Z$399,AI$1,FALSE)*AA468</f>
        <v>1381.0482148061619</v>
      </c>
      <c r="AJ468">
        <f>VLOOKUP($AC468,'2017 Seattle Tracts'!$C$2:$Z$399,AJ$1,FALSE)*AA468</f>
        <v>189.85344665442133</v>
      </c>
      <c r="AK468">
        <f>VLOOKUP($AC468,'2017 Seattle Tracts'!$C$2:$Z$399,AK$1,FALSE)*AA468</f>
        <v>18.985344665442131</v>
      </c>
      <c r="AL468">
        <f>VLOOKUP($AC468,'2017 Seattle Tracts'!$C$2:$Z$399,AL$1,FALSE)*AA468</f>
        <v>26.037044112606353</v>
      </c>
      <c r="AM468">
        <f>VLOOKUP($AC468,'2017 Seattle Tracts'!$C$2:$Z$399,AM$1,FALSE)*AA468</f>
        <v>0</v>
      </c>
      <c r="AN468">
        <f>VLOOKUP($AC468,'2017 Seattle Tracts'!$C$2:$Z$399,AN$1,FALSE)*AA468</f>
        <v>668.82657064257569</v>
      </c>
      <c r="AO468">
        <f>VLOOKUP($AC468,'2017 Seattle Tracts'!$C$2:$Z$399,AO$1,FALSE)*AA468</f>
        <v>280.44066262953095</v>
      </c>
      <c r="AP468">
        <f>VLOOKUP($AC468,'2017 Seattle Tracts'!$C$2:$Z$399,AP$1,FALSE)*AA468</f>
        <v>23.32485201754319</v>
      </c>
      <c r="AQ468">
        <f>VLOOKUP($AC468,'2017 Seattle Tracts'!$C$2:$Z$399,AQ$1,FALSE)*AA468</f>
        <v>33.08874355977057</v>
      </c>
      <c r="AR468">
        <f>VLOOKUP($AC468,'2017 Seattle Tracts'!$C$2:$Z$399,AR$1,FALSE)*AA468</f>
        <v>340.65132713993313</v>
      </c>
      <c r="AS468">
        <f>VLOOKUP($AC468,'2017 Seattle Tracts'!$C$2:$Z$399,AS$1,FALSE)*AA468</f>
        <v>1035.514941895115</v>
      </c>
      <c r="AT468">
        <f>VLOOKUP($AC468,'2017 Seattle Tracts'!$C$2:$Z$399,AT$1,FALSE)*AA468</f>
        <v>7.0516994471642205</v>
      </c>
      <c r="AU468">
        <f>VLOOKUP($AC468,'2017 Seattle Tracts'!$C$2:$Z$399,AU$1,FALSE)*AA468</f>
        <v>13.018522056303176</v>
      </c>
      <c r="AV468">
        <f>VLOOKUP($AC468,'2017 Seattle Tracts'!$C$2:$Z$399,AV$1,FALSE)*AA468</f>
        <v>14.645837313341072</v>
      </c>
      <c r="AW468">
        <f>VLOOKUP($AC468,'2017 Seattle Tracts'!$C$2:$Z$399,AW$1,FALSE)*AA468</f>
        <v>0</v>
      </c>
      <c r="AX468">
        <f>VLOOKUP($AC468,'2017 Seattle Tracts'!$C$2:$Z$399,AX$1,FALSE)*AA468</f>
        <v>37.428250911871629</v>
      </c>
      <c r="AY468">
        <f>VLOOKUP($AC468,'2017 Seattle Tracts'!$C$2:$Z$399,AY$1,FALSE)*AA468</f>
        <v>0</v>
      </c>
    </row>
    <row r="469" spans="1:51" x14ac:dyDescent="0.25">
      <c r="A469" t="s">
        <v>2917</v>
      </c>
      <c r="B469" t="s">
        <v>2918</v>
      </c>
      <c r="C469" t="s">
        <v>3272</v>
      </c>
      <c r="D469" t="s">
        <v>2839</v>
      </c>
      <c r="E469" t="s">
        <v>2840</v>
      </c>
      <c r="F469" t="s">
        <v>2841</v>
      </c>
      <c r="G469" t="s">
        <v>2920</v>
      </c>
      <c r="H469" t="s">
        <v>2921</v>
      </c>
      <c r="I469">
        <v>1676109</v>
      </c>
      <c r="J469">
        <v>0</v>
      </c>
      <c r="K469" t="s">
        <v>3273</v>
      </c>
      <c r="L469" t="s">
        <v>3274</v>
      </c>
      <c r="M469">
        <v>1676122</v>
      </c>
      <c r="N469">
        <v>82</v>
      </c>
      <c r="O469">
        <v>15848.361999999999</v>
      </c>
      <c r="P469" t="s">
        <v>179</v>
      </c>
      <c r="Q469">
        <v>17</v>
      </c>
      <c r="R469">
        <v>5</v>
      </c>
      <c r="S469">
        <v>24</v>
      </c>
      <c r="T469">
        <v>8444236</v>
      </c>
      <c r="U469">
        <v>84</v>
      </c>
      <c r="V469">
        <v>186</v>
      </c>
      <c r="W469">
        <v>15848.362418511269</v>
      </c>
      <c r="X469">
        <v>8444235.9786088634</v>
      </c>
      <c r="Y469">
        <v>245908.77100000001</v>
      </c>
      <c r="Z469">
        <f>VLOOKUP($AC469,'2017 Seattle Tracts'!$C$2:$Z$399,24,FALSE)</f>
        <v>1676122.159</v>
      </c>
      <c r="AA469">
        <f t="shared" si="15"/>
        <v>0.14671291688352411</v>
      </c>
      <c r="AB469" t="s">
        <v>182</v>
      </c>
      <c r="AC469" t="str">
        <f t="shared" si="14"/>
        <v>Census Tract 110.02, King County, Washington</v>
      </c>
      <c r="AD469">
        <f>VLOOKUP($AC469,'2017 Seattle Tracts'!$C$2:$Z$399,AD$1,FALSE)*AA469</f>
        <v>727.25592899162905</v>
      </c>
      <c r="AE469">
        <f>VLOOKUP($AC469,'2017 Seattle Tracts'!$C$2:$Z$399,AE$1,FALSE)*AA469</f>
        <v>353.72484260617665</v>
      </c>
      <c r="AF469">
        <f>VLOOKUP($AC469,'2017 Seattle Tracts'!$C$2:$Z$399,AF$1,FALSE)*AA469</f>
        <v>373.5310863854524</v>
      </c>
      <c r="AG469">
        <f>VLOOKUP($AC469,'2017 Seattle Tracts'!$C$2:$Z$399,AG$1,FALSE)*AA469</f>
        <v>727.25592899162905</v>
      </c>
      <c r="AH469">
        <f>VLOOKUP($AC469,'2017 Seattle Tracts'!$C$2:$Z$399,AH$1,FALSE)*AA469</f>
        <v>353.72484260617665</v>
      </c>
      <c r="AI469">
        <f>VLOOKUP($AC469,'2017 Seattle Tracts'!$C$2:$Z$399,AI$1,FALSE)*AA469</f>
        <v>373.5310863854524</v>
      </c>
      <c r="AJ469">
        <f>VLOOKUP($AC469,'2017 Seattle Tracts'!$C$2:$Z$399,AJ$1,FALSE)*AA469</f>
        <v>51.349520909233441</v>
      </c>
      <c r="AK469">
        <f>VLOOKUP($AC469,'2017 Seattle Tracts'!$C$2:$Z$399,AK$1,FALSE)*AA469</f>
        <v>5.1349520909233437</v>
      </c>
      <c r="AL469">
        <f>VLOOKUP($AC469,'2017 Seattle Tracts'!$C$2:$Z$399,AL$1,FALSE)*AA469</f>
        <v>7.0422200104091575</v>
      </c>
      <c r="AM469">
        <f>VLOOKUP($AC469,'2017 Seattle Tracts'!$C$2:$Z$399,AM$1,FALSE)*AA469</f>
        <v>0</v>
      </c>
      <c r="AN469">
        <f>VLOOKUP($AC469,'2017 Seattle Tracts'!$C$2:$Z$399,AN$1,FALSE)*AA469</f>
        <v>180.89702651738523</v>
      </c>
      <c r="AO469">
        <f>VLOOKUP($AC469,'2017 Seattle Tracts'!$C$2:$Z$399,AO$1,FALSE)*AA469</f>
        <v>75.850578028781968</v>
      </c>
      <c r="AP469">
        <f>VLOOKUP($AC469,'2017 Seattle Tracts'!$C$2:$Z$399,AP$1,FALSE)*AA469</f>
        <v>6.3086554259915371</v>
      </c>
      <c r="AQ469">
        <f>VLOOKUP($AC469,'2017 Seattle Tracts'!$C$2:$Z$399,AQ$1,FALSE)*AA469</f>
        <v>8.9494879298949712</v>
      </c>
      <c r="AR469">
        <f>VLOOKUP($AC469,'2017 Seattle Tracts'!$C$2:$Z$399,AR$1,FALSE)*AA469</f>
        <v>92.135711802853137</v>
      </c>
      <c r="AS469">
        <f>VLOOKUP($AC469,'2017 Seattle Tracts'!$C$2:$Z$399,AS$1,FALSE)*AA469</f>
        <v>280.07495833064752</v>
      </c>
      <c r="AT469">
        <f>VLOOKUP($AC469,'2017 Seattle Tracts'!$C$2:$Z$399,AT$1,FALSE)*AA469</f>
        <v>1.9072679194858135</v>
      </c>
      <c r="AU469">
        <f>VLOOKUP($AC469,'2017 Seattle Tracts'!$C$2:$Z$399,AU$1,FALSE)*AA469</f>
        <v>3.5211100052045787</v>
      </c>
      <c r="AV469">
        <f>VLOOKUP($AC469,'2017 Seattle Tracts'!$C$2:$Z$399,AV$1,FALSE)*AA469</f>
        <v>3.9612487558551512</v>
      </c>
      <c r="AW469">
        <f>VLOOKUP($AC469,'2017 Seattle Tracts'!$C$2:$Z$399,AW$1,FALSE)*AA469</f>
        <v>0</v>
      </c>
      <c r="AX469">
        <f>VLOOKUP($AC469,'2017 Seattle Tracts'!$C$2:$Z$399,AX$1,FALSE)*AA469</f>
        <v>10.123191264963165</v>
      </c>
      <c r="AY469">
        <f>VLOOKUP($AC469,'2017 Seattle Tracts'!$C$2:$Z$399,AY$1,FALSE)*AA469</f>
        <v>0</v>
      </c>
    </row>
    <row r="470" spans="1:51" x14ac:dyDescent="0.25">
      <c r="A470" t="s">
        <v>2917</v>
      </c>
      <c r="B470" t="s">
        <v>2918</v>
      </c>
      <c r="C470" t="s">
        <v>3275</v>
      </c>
      <c r="D470" t="s">
        <v>2665</v>
      </c>
      <c r="E470" t="s">
        <v>2666</v>
      </c>
      <c r="F470" t="s">
        <v>2667</v>
      </c>
      <c r="G470" t="s">
        <v>2920</v>
      </c>
      <c r="H470" t="s">
        <v>2921</v>
      </c>
      <c r="I470">
        <v>881710</v>
      </c>
      <c r="J470">
        <v>0</v>
      </c>
      <c r="K470" t="s">
        <v>3276</v>
      </c>
      <c r="L470" t="s">
        <v>3277</v>
      </c>
      <c r="M470">
        <v>881712</v>
      </c>
      <c r="N470">
        <v>32</v>
      </c>
      <c r="O470">
        <v>33040.245999999999</v>
      </c>
      <c r="P470" t="s">
        <v>122</v>
      </c>
      <c r="Q470">
        <v>6</v>
      </c>
      <c r="R470">
        <v>9</v>
      </c>
      <c r="S470">
        <v>19</v>
      </c>
      <c r="T470">
        <v>42068344</v>
      </c>
      <c r="U470">
        <v>34</v>
      </c>
      <c r="V470">
        <v>133</v>
      </c>
      <c r="W470">
        <v>33040.246986119782</v>
      </c>
      <c r="X470">
        <v>42068342.613789164</v>
      </c>
      <c r="Y470">
        <v>881712.23899999994</v>
      </c>
      <c r="Z470">
        <f>VLOOKUP($AC470,'2017 Seattle Tracts'!$C$2:$Z$399,24,FALSE)</f>
        <v>881712.23899999994</v>
      </c>
      <c r="AA470">
        <f t="shared" si="15"/>
        <v>1</v>
      </c>
      <c r="AB470" t="s">
        <v>123</v>
      </c>
      <c r="AC470" t="str">
        <f t="shared" si="14"/>
        <v>Census Tract 51, King County, Washington</v>
      </c>
      <c r="AD470">
        <f>VLOOKUP($AC470,'2017 Seattle Tracts'!$C$2:$Z$399,AD$1,FALSE)*AA470</f>
        <v>3678</v>
      </c>
      <c r="AE470">
        <f>VLOOKUP($AC470,'2017 Seattle Tracts'!$C$2:$Z$399,AE$1,FALSE)*AA470</f>
        <v>3239</v>
      </c>
      <c r="AF470">
        <f>VLOOKUP($AC470,'2017 Seattle Tracts'!$C$2:$Z$399,AF$1,FALSE)*AA470</f>
        <v>439</v>
      </c>
      <c r="AG470">
        <f>VLOOKUP($AC470,'2017 Seattle Tracts'!$C$2:$Z$399,AG$1,FALSE)*AA470</f>
        <v>3678</v>
      </c>
      <c r="AH470">
        <f>VLOOKUP($AC470,'2017 Seattle Tracts'!$C$2:$Z$399,AH$1,FALSE)*AA470</f>
        <v>3239</v>
      </c>
      <c r="AI470">
        <f>VLOOKUP($AC470,'2017 Seattle Tracts'!$C$2:$Z$399,AI$1,FALSE)*AA470</f>
        <v>439</v>
      </c>
      <c r="AJ470">
        <f>VLOOKUP($AC470,'2017 Seattle Tracts'!$C$2:$Z$399,AJ$1,FALSE)*AA470</f>
        <v>2817</v>
      </c>
      <c r="AK470">
        <f>VLOOKUP($AC470,'2017 Seattle Tracts'!$C$2:$Z$399,AK$1,FALSE)*AA470</f>
        <v>224</v>
      </c>
      <c r="AL470">
        <f>VLOOKUP($AC470,'2017 Seattle Tracts'!$C$2:$Z$399,AL$1,FALSE)*AA470</f>
        <v>90</v>
      </c>
      <c r="AM470">
        <f>VLOOKUP($AC470,'2017 Seattle Tracts'!$C$2:$Z$399,AM$1,FALSE)*AA470</f>
        <v>34</v>
      </c>
      <c r="AN470">
        <f>VLOOKUP($AC470,'2017 Seattle Tracts'!$C$2:$Z$399,AN$1,FALSE)*AA470</f>
        <v>29</v>
      </c>
      <c r="AO470">
        <f>VLOOKUP($AC470,'2017 Seattle Tracts'!$C$2:$Z$399,AO$1,FALSE)*AA470</f>
        <v>0</v>
      </c>
      <c r="AP470">
        <f>VLOOKUP($AC470,'2017 Seattle Tracts'!$C$2:$Z$399,AP$1,FALSE)*AA470</f>
        <v>5</v>
      </c>
      <c r="AQ470">
        <f>VLOOKUP($AC470,'2017 Seattle Tracts'!$C$2:$Z$399,AQ$1,FALSE)*AA470</f>
        <v>0</v>
      </c>
      <c r="AR470">
        <f>VLOOKUP($AC470,'2017 Seattle Tracts'!$C$2:$Z$399,AR$1,FALSE)*AA470</f>
        <v>139</v>
      </c>
      <c r="AS470">
        <f>VLOOKUP($AC470,'2017 Seattle Tracts'!$C$2:$Z$399,AS$1,FALSE)*AA470</f>
        <v>83</v>
      </c>
      <c r="AT470">
        <f>VLOOKUP($AC470,'2017 Seattle Tracts'!$C$2:$Z$399,AT$1,FALSE)*AA470</f>
        <v>0</v>
      </c>
      <c r="AU470">
        <f>VLOOKUP($AC470,'2017 Seattle Tracts'!$C$2:$Z$399,AU$1,FALSE)*AA470</f>
        <v>0</v>
      </c>
      <c r="AV470">
        <f>VLOOKUP($AC470,'2017 Seattle Tracts'!$C$2:$Z$399,AV$1,FALSE)*AA470</f>
        <v>53</v>
      </c>
      <c r="AW470">
        <f>VLOOKUP($AC470,'2017 Seattle Tracts'!$C$2:$Z$399,AW$1,FALSE)*AA470</f>
        <v>84</v>
      </c>
      <c r="AX470">
        <f>VLOOKUP($AC470,'2017 Seattle Tracts'!$C$2:$Z$399,AX$1,FALSE)*AA470</f>
        <v>106</v>
      </c>
      <c r="AY470">
        <f>VLOOKUP($AC470,'2017 Seattle Tracts'!$C$2:$Z$399,AY$1,FALSE)*AA470</f>
        <v>14</v>
      </c>
    </row>
    <row r="471" spans="1:51" x14ac:dyDescent="0.25">
      <c r="A471" t="s">
        <v>2917</v>
      </c>
      <c r="B471" t="s">
        <v>2918</v>
      </c>
      <c r="C471" t="s">
        <v>3278</v>
      </c>
      <c r="D471" t="s">
        <v>2662</v>
      </c>
      <c r="E471" t="s">
        <v>2663</v>
      </c>
      <c r="F471" t="s">
        <v>2664</v>
      </c>
      <c r="G471" t="s">
        <v>2920</v>
      </c>
      <c r="H471" t="s">
        <v>2921</v>
      </c>
      <c r="I471">
        <v>967022</v>
      </c>
      <c r="J471">
        <v>83285</v>
      </c>
      <c r="K471" t="s">
        <v>3279</v>
      </c>
      <c r="L471" t="s">
        <v>3280</v>
      </c>
      <c r="M471">
        <v>962010</v>
      </c>
      <c r="N471">
        <v>32</v>
      </c>
      <c r="O471">
        <v>33040.245999999999</v>
      </c>
      <c r="P471" t="s">
        <v>122</v>
      </c>
      <c r="Q471">
        <v>6</v>
      </c>
      <c r="R471">
        <v>9</v>
      </c>
      <c r="S471">
        <v>19</v>
      </c>
      <c r="T471">
        <v>42068344</v>
      </c>
      <c r="U471">
        <v>34</v>
      </c>
      <c r="V471">
        <v>133</v>
      </c>
      <c r="W471">
        <v>33040.246986119782</v>
      </c>
      <c r="X471">
        <v>42068342.613789164</v>
      </c>
      <c r="Y471">
        <v>558484.20400000003</v>
      </c>
      <c r="Z471">
        <f>VLOOKUP($AC471,'2017 Seattle Tracts'!$C$2:$Z$399,24,FALSE)</f>
        <v>962009.87100000004</v>
      </c>
      <c r="AA471">
        <f t="shared" si="15"/>
        <v>0.58053895374219089</v>
      </c>
      <c r="AB471" t="s">
        <v>123</v>
      </c>
      <c r="AC471" t="str">
        <f t="shared" si="14"/>
        <v>Census Tract 52, King County, Washington</v>
      </c>
      <c r="AD471">
        <f>VLOOKUP($AC471,'2017 Seattle Tracts'!$C$2:$Z$399,AD$1,FALSE)*AA471</f>
        <v>4087.5747732987661</v>
      </c>
      <c r="AE471">
        <f>VLOOKUP($AC471,'2017 Seattle Tracts'!$C$2:$Z$399,AE$1,FALSE)*AA471</f>
        <v>2761.0432639978599</v>
      </c>
      <c r="AF471">
        <f>VLOOKUP($AC471,'2017 Seattle Tracts'!$C$2:$Z$399,AF$1,FALSE)*AA471</f>
        <v>1326.5315093009062</v>
      </c>
      <c r="AG471">
        <f>VLOOKUP($AC471,'2017 Seattle Tracts'!$C$2:$Z$399,AG$1,FALSE)*AA471</f>
        <v>4087.5747732987661</v>
      </c>
      <c r="AH471">
        <f>VLOOKUP($AC471,'2017 Seattle Tracts'!$C$2:$Z$399,AH$1,FALSE)*AA471</f>
        <v>2761.0432639978599</v>
      </c>
      <c r="AI471">
        <f>VLOOKUP($AC471,'2017 Seattle Tracts'!$C$2:$Z$399,AI$1,FALSE)*AA471</f>
        <v>1326.5315093009062</v>
      </c>
      <c r="AJ471">
        <f>VLOOKUP($AC471,'2017 Seattle Tracts'!$C$2:$Z$399,AJ$1,FALSE)*AA471</f>
        <v>2006.3426241330117</v>
      </c>
      <c r="AK471">
        <f>VLOOKUP($AC471,'2017 Seattle Tracts'!$C$2:$Z$399,AK$1,FALSE)*AA471</f>
        <v>235.6988152193295</v>
      </c>
      <c r="AL471">
        <f>VLOOKUP($AC471,'2017 Seattle Tracts'!$C$2:$Z$399,AL$1,FALSE)*AA471</f>
        <v>83.597609338875486</v>
      </c>
      <c r="AM471">
        <f>VLOOKUP($AC471,'2017 Seattle Tracts'!$C$2:$Z$399,AM$1,FALSE)*AA471</f>
        <v>40.057187808211168</v>
      </c>
      <c r="AN471">
        <f>VLOOKUP($AC471,'2017 Seattle Tracts'!$C$2:$Z$399,AN$1,FALSE)*AA471</f>
        <v>27.865869779625164</v>
      </c>
      <c r="AO471">
        <f>VLOOKUP($AC471,'2017 Seattle Tracts'!$C$2:$Z$399,AO$1,FALSE)*AA471</f>
        <v>11.030240121101627</v>
      </c>
      <c r="AP471">
        <f>VLOOKUP($AC471,'2017 Seattle Tracts'!$C$2:$Z$399,AP$1,FALSE)*AA471</f>
        <v>0</v>
      </c>
      <c r="AQ471">
        <f>VLOOKUP($AC471,'2017 Seattle Tracts'!$C$2:$Z$399,AQ$1,FALSE)*AA471</f>
        <v>0</v>
      </c>
      <c r="AR471">
        <f>VLOOKUP($AC471,'2017 Seattle Tracts'!$C$2:$Z$399,AR$1,FALSE)*AA471</f>
        <v>371.54493039500215</v>
      </c>
      <c r="AS471">
        <f>VLOOKUP($AC471,'2017 Seattle Tracts'!$C$2:$Z$399,AS$1,FALSE)*AA471</f>
        <v>995.62430566785736</v>
      </c>
      <c r="AT471">
        <f>VLOOKUP($AC471,'2017 Seattle Tracts'!$C$2:$Z$399,AT$1,FALSE)*AA471</f>
        <v>11.030240121101627</v>
      </c>
      <c r="AU471">
        <f>VLOOKUP($AC471,'2017 Seattle Tracts'!$C$2:$Z$399,AU$1,FALSE)*AA471</f>
        <v>0</v>
      </c>
      <c r="AV471">
        <f>VLOOKUP($AC471,'2017 Seattle Tracts'!$C$2:$Z$399,AV$1,FALSE)*AA471</f>
        <v>28.446408733367353</v>
      </c>
      <c r="AW471">
        <f>VLOOKUP($AC471,'2017 Seattle Tracts'!$C$2:$Z$399,AW$1,FALSE)*AA471</f>
        <v>11.610779074843817</v>
      </c>
      <c r="AX471">
        <f>VLOOKUP($AC471,'2017 Seattle Tracts'!$C$2:$Z$399,AX$1,FALSE)*AA471</f>
        <v>232.21558149687635</v>
      </c>
      <c r="AY471">
        <f>VLOOKUP($AC471,'2017 Seattle Tracts'!$C$2:$Z$399,AY$1,FALSE)*AA471</f>
        <v>32.510181409562691</v>
      </c>
    </row>
    <row r="472" spans="1:51" x14ac:dyDescent="0.25">
      <c r="A472" t="s">
        <v>2917</v>
      </c>
      <c r="B472" t="s">
        <v>2918</v>
      </c>
      <c r="C472" t="s">
        <v>3278</v>
      </c>
      <c r="D472" t="s">
        <v>2662</v>
      </c>
      <c r="E472" t="s">
        <v>2663</v>
      </c>
      <c r="F472" t="s">
        <v>2664</v>
      </c>
      <c r="G472" t="s">
        <v>2920</v>
      </c>
      <c r="H472" t="s">
        <v>2921</v>
      </c>
      <c r="I472">
        <v>967022</v>
      </c>
      <c r="J472">
        <v>83285</v>
      </c>
      <c r="K472" t="s">
        <v>3279</v>
      </c>
      <c r="L472" t="s">
        <v>3280</v>
      </c>
      <c r="M472">
        <v>962010</v>
      </c>
      <c r="N472">
        <v>42</v>
      </c>
      <c r="O472">
        <v>41446.940999999999</v>
      </c>
      <c r="P472" t="s">
        <v>134</v>
      </c>
      <c r="Q472">
        <v>5</v>
      </c>
      <c r="R472">
        <v>12</v>
      </c>
      <c r="S472">
        <v>33</v>
      </c>
      <c r="T472">
        <v>49348388</v>
      </c>
      <c r="U472">
        <v>44</v>
      </c>
      <c r="V472">
        <v>139</v>
      </c>
      <c r="W472">
        <v>41446.941321259314</v>
      </c>
      <c r="X472">
        <v>49348387.058142804</v>
      </c>
      <c r="Y472">
        <v>402610.63199999998</v>
      </c>
      <c r="Z472">
        <f>VLOOKUP($AC472,'2017 Seattle Tracts'!$C$2:$Z$399,24,FALSE)</f>
        <v>962009.87100000004</v>
      </c>
      <c r="AA472">
        <f t="shared" si="15"/>
        <v>0.41850987618400431</v>
      </c>
      <c r="AB472" t="s">
        <v>133</v>
      </c>
      <c r="AC472" t="str">
        <f t="shared" si="14"/>
        <v>Census Tract 52, King County, Washington</v>
      </c>
      <c r="AD472">
        <f>VLOOKUP($AC472,'2017 Seattle Tracts'!$C$2:$Z$399,AD$1,FALSE)*AA472</f>
        <v>2946.7280382115746</v>
      </c>
      <c r="AE472">
        <f>VLOOKUP($AC472,'2017 Seattle Tracts'!$C$2:$Z$399,AE$1,FALSE)*AA472</f>
        <v>1990.4329711311245</v>
      </c>
      <c r="AF472">
        <f>VLOOKUP($AC472,'2017 Seattle Tracts'!$C$2:$Z$399,AF$1,FALSE)*AA472</f>
        <v>956.29506708044983</v>
      </c>
      <c r="AG472">
        <f>VLOOKUP($AC472,'2017 Seattle Tracts'!$C$2:$Z$399,AG$1,FALSE)*AA472</f>
        <v>2946.7280382115746</v>
      </c>
      <c r="AH472">
        <f>VLOOKUP($AC472,'2017 Seattle Tracts'!$C$2:$Z$399,AH$1,FALSE)*AA472</f>
        <v>1990.4329711311245</v>
      </c>
      <c r="AI472">
        <f>VLOOKUP($AC472,'2017 Seattle Tracts'!$C$2:$Z$399,AI$1,FALSE)*AA472</f>
        <v>956.29506708044983</v>
      </c>
      <c r="AJ472">
        <f>VLOOKUP($AC472,'2017 Seattle Tracts'!$C$2:$Z$399,AJ$1,FALSE)*AA472</f>
        <v>1446.370132091919</v>
      </c>
      <c r="AK472">
        <f>VLOOKUP($AC472,'2017 Seattle Tracts'!$C$2:$Z$399,AK$1,FALSE)*AA472</f>
        <v>169.91500973070575</v>
      </c>
      <c r="AL472">
        <f>VLOOKUP($AC472,'2017 Seattle Tracts'!$C$2:$Z$399,AL$1,FALSE)*AA472</f>
        <v>60.26542217049662</v>
      </c>
      <c r="AM472">
        <f>VLOOKUP($AC472,'2017 Seattle Tracts'!$C$2:$Z$399,AM$1,FALSE)*AA472</f>
        <v>28.877181456696299</v>
      </c>
      <c r="AN472">
        <f>VLOOKUP($AC472,'2017 Seattle Tracts'!$C$2:$Z$399,AN$1,FALSE)*AA472</f>
        <v>20.088474056832208</v>
      </c>
      <c r="AO472">
        <f>VLOOKUP($AC472,'2017 Seattle Tracts'!$C$2:$Z$399,AO$1,FALSE)*AA472</f>
        <v>7.9516876474960823</v>
      </c>
      <c r="AP472">
        <f>VLOOKUP($AC472,'2017 Seattle Tracts'!$C$2:$Z$399,AP$1,FALSE)*AA472</f>
        <v>0</v>
      </c>
      <c r="AQ472">
        <f>VLOOKUP($AC472,'2017 Seattle Tracts'!$C$2:$Z$399,AQ$1,FALSE)*AA472</f>
        <v>0</v>
      </c>
      <c r="AR472">
        <f>VLOOKUP($AC472,'2017 Seattle Tracts'!$C$2:$Z$399,AR$1,FALSE)*AA472</f>
        <v>267.84632075776278</v>
      </c>
      <c r="AS472">
        <f>VLOOKUP($AC472,'2017 Seattle Tracts'!$C$2:$Z$399,AS$1,FALSE)*AA472</f>
        <v>717.74443765556737</v>
      </c>
      <c r="AT472">
        <f>VLOOKUP($AC472,'2017 Seattle Tracts'!$C$2:$Z$399,AT$1,FALSE)*AA472</f>
        <v>7.9516876474960823</v>
      </c>
      <c r="AU472">
        <f>VLOOKUP($AC472,'2017 Seattle Tracts'!$C$2:$Z$399,AU$1,FALSE)*AA472</f>
        <v>0</v>
      </c>
      <c r="AV472">
        <f>VLOOKUP($AC472,'2017 Seattle Tracts'!$C$2:$Z$399,AV$1,FALSE)*AA472</f>
        <v>20.506983933016212</v>
      </c>
      <c r="AW472">
        <f>VLOOKUP($AC472,'2017 Seattle Tracts'!$C$2:$Z$399,AW$1,FALSE)*AA472</f>
        <v>8.370197523680087</v>
      </c>
      <c r="AX472">
        <f>VLOOKUP($AC472,'2017 Seattle Tracts'!$C$2:$Z$399,AX$1,FALSE)*AA472</f>
        <v>167.40395047360172</v>
      </c>
      <c r="AY472">
        <f>VLOOKUP($AC472,'2017 Seattle Tracts'!$C$2:$Z$399,AY$1,FALSE)*AA472</f>
        <v>23.436553066304242</v>
      </c>
    </row>
    <row r="473" spans="1:51" x14ac:dyDescent="0.25">
      <c r="A473" t="s">
        <v>2917</v>
      </c>
      <c r="B473" t="s">
        <v>2918</v>
      </c>
      <c r="C473" t="s">
        <v>3281</v>
      </c>
      <c r="D473" t="s">
        <v>2650</v>
      </c>
      <c r="E473" t="s">
        <v>2651</v>
      </c>
      <c r="F473" t="s">
        <v>2652</v>
      </c>
      <c r="G473" t="s">
        <v>2920</v>
      </c>
      <c r="H473" t="s">
        <v>2921</v>
      </c>
      <c r="I473">
        <v>3032928</v>
      </c>
      <c r="J473">
        <v>1587292</v>
      </c>
      <c r="K473" t="s">
        <v>3282</v>
      </c>
      <c r="L473" t="s">
        <v>3283</v>
      </c>
      <c r="M473">
        <v>2978462</v>
      </c>
      <c r="N473">
        <v>50</v>
      </c>
      <c r="O473">
        <v>38766.065999999999</v>
      </c>
      <c r="P473" t="s">
        <v>145</v>
      </c>
      <c r="Q473">
        <v>8</v>
      </c>
      <c r="R473">
        <v>4</v>
      </c>
      <c r="S473">
        <v>23</v>
      </c>
      <c r="T473">
        <v>55091524</v>
      </c>
      <c r="U473">
        <v>52</v>
      </c>
      <c r="V473">
        <v>134</v>
      </c>
      <c r="W473">
        <v>38766.06733491068</v>
      </c>
      <c r="X473">
        <v>55091525.290939339</v>
      </c>
      <c r="Y473">
        <v>2215.6480000000001</v>
      </c>
      <c r="Z473">
        <f>VLOOKUP($AC473,'2017 Seattle Tracts'!$C$2:$Z$399,24,FALSE)</f>
        <v>2978461.5959999999</v>
      </c>
      <c r="AA473">
        <f t="shared" si="15"/>
        <v>7.4389006827402454E-4</v>
      </c>
      <c r="AB473" t="s">
        <v>144</v>
      </c>
      <c r="AC473" t="str">
        <f t="shared" si="14"/>
        <v>Census Tract 56, King County, Washington</v>
      </c>
      <c r="AD473">
        <f>VLOOKUP($AC473,'2017 Seattle Tracts'!$C$2:$Z$399,AD$1,FALSE)*AA473</f>
        <v>5.1142442193839184</v>
      </c>
      <c r="AE473">
        <f>VLOOKUP($AC473,'2017 Seattle Tracts'!$C$2:$Z$399,AE$1,FALSE)*AA473</f>
        <v>4.4901204521020119</v>
      </c>
      <c r="AF473">
        <f>VLOOKUP($AC473,'2017 Seattle Tracts'!$C$2:$Z$399,AF$1,FALSE)*AA473</f>
        <v>0.62412376728190655</v>
      </c>
      <c r="AG473">
        <f>VLOOKUP($AC473,'2017 Seattle Tracts'!$C$2:$Z$399,AG$1,FALSE)*AA473</f>
        <v>5.1142442193839184</v>
      </c>
      <c r="AH473">
        <f>VLOOKUP($AC473,'2017 Seattle Tracts'!$C$2:$Z$399,AH$1,FALSE)*AA473</f>
        <v>4.4901204521020119</v>
      </c>
      <c r="AI473">
        <f>VLOOKUP($AC473,'2017 Seattle Tracts'!$C$2:$Z$399,AI$1,FALSE)*AA473</f>
        <v>0.62412376728190655</v>
      </c>
      <c r="AJ473">
        <f>VLOOKUP($AC473,'2017 Seattle Tracts'!$C$2:$Z$399,AJ$1,FALSE)*AA473</f>
        <v>4.0095674679969919</v>
      </c>
      <c r="AK473">
        <f>VLOOKUP($AC473,'2017 Seattle Tracts'!$C$2:$Z$399,AK$1,FALSE)*AA473</f>
        <v>0.29011712662686956</v>
      </c>
      <c r="AL473">
        <f>VLOOKUP($AC473,'2017 Seattle Tracts'!$C$2:$Z$399,AL$1,FALSE)*AA473</f>
        <v>0.13315632222105039</v>
      </c>
      <c r="AM473">
        <f>VLOOKUP($AC473,'2017 Seattle Tracts'!$C$2:$Z$399,AM$1,FALSE)*AA473</f>
        <v>1.2646131160658417E-2</v>
      </c>
      <c r="AN473">
        <f>VLOOKUP($AC473,'2017 Seattle Tracts'!$C$2:$Z$399,AN$1,FALSE)*AA473</f>
        <v>1.2646131160658417E-2</v>
      </c>
      <c r="AO473">
        <f>VLOOKUP($AC473,'2017 Seattle Tracts'!$C$2:$Z$399,AO$1,FALSE)*AA473</f>
        <v>0</v>
      </c>
      <c r="AP473">
        <f>VLOOKUP($AC473,'2017 Seattle Tracts'!$C$2:$Z$399,AP$1,FALSE)*AA473</f>
        <v>1.5621691433754515E-2</v>
      </c>
      <c r="AQ473">
        <f>VLOOKUP($AC473,'2017 Seattle Tracts'!$C$2:$Z$399,AQ$1,FALSE)*AA473</f>
        <v>1.1902241092384393E-2</v>
      </c>
      <c r="AR473">
        <f>VLOOKUP($AC473,'2017 Seattle Tracts'!$C$2:$Z$399,AR$1,FALSE)*AA473</f>
        <v>1.4877801365480491E-2</v>
      </c>
      <c r="AS473">
        <f>VLOOKUP($AC473,'2017 Seattle Tracts'!$C$2:$Z$399,AS$1,FALSE)*AA473</f>
        <v>0.23209370130149565</v>
      </c>
      <c r="AT473">
        <f>VLOOKUP($AC473,'2017 Seattle Tracts'!$C$2:$Z$399,AT$1,FALSE)*AA473</f>
        <v>2.1572811979946711E-2</v>
      </c>
      <c r="AU473">
        <f>VLOOKUP($AC473,'2017 Seattle Tracts'!$C$2:$Z$399,AU$1,FALSE)*AA473</f>
        <v>3.0499492799235008E-2</v>
      </c>
      <c r="AV473">
        <f>VLOOKUP($AC473,'2017 Seattle Tracts'!$C$2:$Z$399,AV$1,FALSE)*AA473</f>
        <v>3.7938393481975252E-2</v>
      </c>
      <c r="AW473">
        <f>VLOOKUP($AC473,'2017 Seattle Tracts'!$C$2:$Z$399,AW$1,FALSE)*AA473</f>
        <v>1.6365581502028541E-2</v>
      </c>
      <c r="AX473">
        <f>VLOOKUP($AC473,'2017 Seattle Tracts'!$C$2:$Z$399,AX$1,FALSE)*AA473</f>
        <v>0.24473983246215408</v>
      </c>
      <c r="AY473">
        <f>VLOOKUP($AC473,'2017 Seattle Tracts'!$C$2:$Z$399,AY$1,FALSE)*AA473</f>
        <v>3.0499492799235008E-2</v>
      </c>
    </row>
    <row r="474" spans="1:51" x14ac:dyDescent="0.25">
      <c r="A474" t="s">
        <v>2917</v>
      </c>
      <c r="B474" t="s">
        <v>2918</v>
      </c>
      <c r="C474" t="s">
        <v>3281</v>
      </c>
      <c r="D474" t="s">
        <v>2650</v>
      </c>
      <c r="E474" t="s">
        <v>2651</v>
      </c>
      <c r="F474" t="s">
        <v>2652</v>
      </c>
      <c r="G474" t="s">
        <v>2920</v>
      </c>
      <c r="H474" t="s">
        <v>2921</v>
      </c>
      <c r="I474">
        <v>3032928</v>
      </c>
      <c r="J474">
        <v>1587292</v>
      </c>
      <c r="K474" t="s">
        <v>3282</v>
      </c>
      <c r="L474" t="s">
        <v>3283</v>
      </c>
      <c r="M474">
        <v>2978462</v>
      </c>
      <c r="N474">
        <v>51</v>
      </c>
      <c r="O474">
        <v>26609.791000000001</v>
      </c>
      <c r="P474" t="s">
        <v>145</v>
      </c>
      <c r="Q474">
        <v>8</v>
      </c>
      <c r="R474">
        <v>4</v>
      </c>
      <c r="S474">
        <v>81</v>
      </c>
      <c r="T474">
        <v>26550936</v>
      </c>
      <c r="U474">
        <v>53</v>
      </c>
      <c r="V474">
        <v>141</v>
      </c>
      <c r="W474">
        <v>26609.791226113481</v>
      </c>
      <c r="X474">
        <v>26550936.578557741</v>
      </c>
      <c r="Y474">
        <v>2457051.09</v>
      </c>
      <c r="Z474">
        <f>VLOOKUP($AC474,'2017 Seattle Tracts'!$C$2:$Z$399,24,FALSE)</f>
        <v>2978461.5959999999</v>
      </c>
      <c r="AA474">
        <f t="shared" si="15"/>
        <v>0.82493965787564916</v>
      </c>
      <c r="AB474" t="s">
        <v>146</v>
      </c>
      <c r="AC474" t="str">
        <f t="shared" si="14"/>
        <v>Census Tract 56, King County, Washington</v>
      </c>
      <c r="AD474">
        <f>VLOOKUP($AC474,'2017 Seattle Tracts'!$C$2:$Z$399,AD$1,FALSE)*AA474</f>
        <v>5671.4601478950881</v>
      </c>
      <c r="AE474">
        <f>VLOOKUP($AC474,'2017 Seattle Tracts'!$C$2:$Z$399,AE$1,FALSE)*AA474</f>
        <v>4979.3357749374181</v>
      </c>
      <c r="AF474">
        <f>VLOOKUP($AC474,'2017 Seattle Tracts'!$C$2:$Z$399,AF$1,FALSE)*AA474</f>
        <v>692.12437295766961</v>
      </c>
      <c r="AG474">
        <f>VLOOKUP($AC474,'2017 Seattle Tracts'!$C$2:$Z$399,AG$1,FALSE)*AA474</f>
        <v>5671.4601478950881</v>
      </c>
      <c r="AH474">
        <f>VLOOKUP($AC474,'2017 Seattle Tracts'!$C$2:$Z$399,AH$1,FALSE)*AA474</f>
        <v>4979.3357749374181</v>
      </c>
      <c r="AI474">
        <f>VLOOKUP($AC474,'2017 Seattle Tracts'!$C$2:$Z$399,AI$1,FALSE)*AA474</f>
        <v>692.12437295766961</v>
      </c>
      <c r="AJ474">
        <f>VLOOKUP($AC474,'2017 Seattle Tracts'!$C$2:$Z$399,AJ$1,FALSE)*AA474</f>
        <v>4446.4247559497489</v>
      </c>
      <c r="AK474">
        <f>VLOOKUP($AC474,'2017 Seattle Tracts'!$C$2:$Z$399,AK$1,FALSE)*AA474</f>
        <v>321.72646657150318</v>
      </c>
      <c r="AL474">
        <f>VLOOKUP($AC474,'2017 Seattle Tracts'!$C$2:$Z$399,AL$1,FALSE)*AA474</f>
        <v>147.6641987597412</v>
      </c>
      <c r="AM474">
        <f>VLOOKUP($AC474,'2017 Seattle Tracts'!$C$2:$Z$399,AM$1,FALSE)*AA474</f>
        <v>14.023974183886036</v>
      </c>
      <c r="AN474">
        <f>VLOOKUP($AC474,'2017 Seattle Tracts'!$C$2:$Z$399,AN$1,FALSE)*AA474</f>
        <v>14.023974183886036</v>
      </c>
      <c r="AO474">
        <f>VLOOKUP($AC474,'2017 Seattle Tracts'!$C$2:$Z$399,AO$1,FALSE)*AA474</f>
        <v>0</v>
      </c>
      <c r="AP474">
        <f>VLOOKUP($AC474,'2017 Seattle Tracts'!$C$2:$Z$399,AP$1,FALSE)*AA474</f>
        <v>17.323732815388631</v>
      </c>
      <c r="AQ474">
        <f>VLOOKUP($AC474,'2017 Seattle Tracts'!$C$2:$Z$399,AQ$1,FALSE)*AA474</f>
        <v>13.199034526010387</v>
      </c>
      <c r="AR474">
        <f>VLOOKUP($AC474,'2017 Seattle Tracts'!$C$2:$Z$399,AR$1,FALSE)*AA474</f>
        <v>16.498793157512985</v>
      </c>
      <c r="AS474">
        <f>VLOOKUP($AC474,'2017 Seattle Tracts'!$C$2:$Z$399,AS$1,FALSE)*AA474</f>
        <v>257.38117325720253</v>
      </c>
      <c r="AT474">
        <f>VLOOKUP($AC474,'2017 Seattle Tracts'!$C$2:$Z$399,AT$1,FALSE)*AA474</f>
        <v>23.923250078393824</v>
      </c>
      <c r="AU474">
        <f>VLOOKUP($AC474,'2017 Seattle Tracts'!$C$2:$Z$399,AU$1,FALSE)*AA474</f>
        <v>33.822525972901616</v>
      </c>
      <c r="AV474">
        <f>VLOOKUP($AC474,'2017 Seattle Tracts'!$C$2:$Z$399,AV$1,FALSE)*AA474</f>
        <v>42.071922551658105</v>
      </c>
      <c r="AW474">
        <f>VLOOKUP($AC474,'2017 Seattle Tracts'!$C$2:$Z$399,AW$1,FALSE)*AA474</f>
        <v>18.148672473264281</v>
      </c>
      <c r="AX474">
        <f>VLOOKUP($AC474,'2017 Seattle Tracts'!$C$2:$Z$399,AX$1,FALSE)*AA474</f>
        <v>271.40514744108856</v>
      </c>
      <c r="AY474">
        <f>VLOOKUP($AC474,'2017 Seattle Tracts'!$C$2:$Z$399,AY$1,FALSE)*AA474</f>
        <v>33.822525972901616</v>
      </c>
    </row>
    <row r="475" spans="1:51" x14ac:dyDescent="0.25">
      <c r="A475" t="s">
        <v>2917</v>
      </c>
      <c r="B475" t="s">
        <v>2918</v>
      </c>
      <c r="C475" t="s">
        <v>3281</v>
      </c>
      <c r="D475" t="s">
        <v>2650</v>
      </c>
      <c r="E475" t="s">
        <v>2651</v>
      </c>
      <c r="F475" t="s">
        <v>2652</v>
      </c>
      <c r="G475" t="s">
        <v>2920</v>
      </c>
      <c r="H475" t="s">
        <v>2921</v>
      </c>
      <c r="I475">
        <v>3032928</v>
      </c>
      <c r="J475">
        <v>1587292</v>
      </c>
      <c r="K475" t="s">
        <v>3282</v>
      </c>
      <c r="L475" t="s">
        <v>3283</v>
      </c>
      <c r="M475">
        <v>2978462</v>
      </c>
      <c r="N475">
        <v>52</v>
      </c>
      <c r="O475">
        <v>20223.18</v>
      </c>
      <c r="P475" t="s">
        <v>145</v>
      </c>
      <c r="Q475">
        <v>8</v>
      </c>
      <c r="R475">
        <v>4</v>
      </c>
      <c r="S475">
        <v>24</v>
      </c>
      <c r="T475">
        <v>18469264</v>
      </c>
      <c r="U475">
        <v>54</v>
      </c>
      <c r="V475">
        <v>144</v>
      </c>
      <c r="W475">
        <v>20223.18015015221</v>
      </c>
      <c r="X475">
        <v>18469263.88812134</v>
      </c>
      <c r="Y475">
        <v>447451.397</v>
      </c>
      <c r="Z475">
        <f>VLOOKUP($AC475,'2017 Seattle Tracts'!$C$2:$Z$399,24,FALSE)</f>
        <v>2978461.5959999999</v>
      </c>
      <c r="AA475">
        <f t="shared" si="15"/>
        <v>0.15022903018152597</v>
      </c>
      <c r="AB475" t="s">
        <v>147</v>
      </c>
      <c r="AC475" t="str">
        <f t="shared" si="14"/>
        <v>Census Tract 56, King County, Washington</v>
      </c>
      <c r="AD475">
        <f>VLOOKUP($AC475,'2017 Seattle Tracts'!$C$2:$Z$399,AD$1,FALSE)*AA475</f>
        <v>1032.8245824979911</v>
      </c>
      <c r="AE475">
        <f>VLOOKUP($AC475,'2017 Seattle Tracts'!$C$2:$Z$399,AE$1,FALSE)*AA475</f>
        <v>906.78242617569083</v>
      </c>
      <c r="AF475">
        <f>VLOOKUP($AC475,'2017 Seattle Tracts'!$C$2:$Z$399,AF$1,FALSE)*AA475</f>
        <v>126.04215632230029</v>
      </c>
      <c r="AG475">
        <f>VLOOKUP($AC475,'2017 Seattle Tracts'!$C$2:$Z$399,AG$1,FALSE)*AA475</f>
        <v>1032.8245824979911</v>
      </c>
      <c r="AH475">
        <f>VLOOKUP($AC475,'2017 Seattle Tracts'!$C$2:$Z$399,AH$1,FALSE)*AA475</f>
        <v>906.78242617569083</v>
      </c>
      <c r="AI475">
        <f>VLOOKUP($AC475,'2017 Seattle Tracts'!$C$2:$Z$399,AI$1,FALSE)*AA475</f>
        <v>126.04215632230029</v>
      </c>
      <c r="AJ475">
        <f>VLOOKUP($AC475,'2017 Seattle Tracts'!$C$2:$Z$399,AJ$1,FALSE)*AA475</f>
        <v>809.73447267842505</v>
      </c>
      <c r="AK475">
        <f>VLOOKUP($AC475,'2017 Seattle Tracts'!$C$2:$Z$399,AK$1,FALSE)*AA475</f>
        <v>58.589321770795131</v>
      </c>
      <c r="AL475">
        <f>VLOOKUP($AC475,'2017 Seattle Tracts'!$C$2:$Z$399,AL$1,FALSE)*AA475</f>
        <v>26.890996402493151</v>
      </c>
      <c r="AM475">
        <f>VLOOKUP($AC475,'2017 Seattle Tracts'!$C$2:$Z$399,AM$1,FALSE)*AA475</f>
        <v>2.5538935130859417</v>
      </c>
      <c r="AN475">
        <f>VLOOKUP($AC475,'2017 Seattle Tracts'!$C$2:$Z$399,AN$1,FALSE)*AA475</f>
        <v>2.5538935130859417</v>
      </c>
      <c r="AO475">
        <f>VLOOKUP($AC475,'2017 Seattle Tracts'!$C$2:$Z$399,AO$1,FALSE)*AA475</f>
        <v>0</v>
      </c>
      <c r="AP475">
        <f>VLOOKUP($AC475,'2017 Seattle Tracts'!$C$2:$Z$399,AP$1,FALSE)*AA475</f>
        <v>3.1548096338120453</v>
      </c>
      <c r="AQ475">
        <f>VLOOKUP($AC475,'2017 Seattle Tracts'!$C$2:$Z$399,AQ$1,FALSE)*AA475</f>
        <v>2.4036644829044156</v>
      </c>
      <c r="AR475">
        <f>VLOOKUP($AC475,'2017 Seattle Tracts'!$C$2:$Z$399,AR$1,FALSE)*AA475</f>
        <v>3.0045806036305196</v>
      </c>
      <c r="AS475">
        <f>VLOOKUP($AC475,'2017 Seattle Tracts'!$C$2:$Z$399,AS$1,FALSE)*AA475</f>
        <v>46.871457416636105</v>
      </c>
      <c r="AT475">
        <f>VLOOKUP($AC475,'2017 Seattle Tracts'!$C$2:$Z$399,AT$1,FALSE)*AA475</f>
        <v>4.3566418752642528</v>
      </c>
      <c r="AU475">
        <f>VLOOKUP($AC475,'2017 Seattle Tracts'!$C$2:$Z$399,AU$1,FALSE)*AA475</f>
        <v>6.1593902374425653</v>
      </c>
      <c r="AV475">
        <f>VLOOKUP($AC475,'2017 Seattle Tracts'!$C$2:$Z$399,AV$1,FALSE)*AA475</f>
        <v>7.6616805392578247</v>
      </c>
      <c r="AW475">
        <f>VLOOKUP($AC475,'2017 Seattle Tracts'!$C$2:$Z$399,AW$1,FALSE)*AA475</f>
        <v>3.3050386639935714</v>
      </c>
      <c r="AX475">
        <f>VLOOKUP($AC475,'2017 Seattle Tracts'!$C$2:$Z$399,AX$1,FALSE)*AA475</f>
        <v>49.425350929722043</v>
      </c>
      <c r="AY475">
        <f>VLOOKUP($AC475,'2017 Seattle Tracts'!$C$2:$Z$399,AY$1,FALSE)*AA475</f>
        <v>6.1593902374425653</v>
      </c>
    </row>
    <row r="476" spans="1:51" x14ac:dyDescent="0.25">
      <c r="A476" t="s">
        <v>2917</v>
      </c>
      <c r="B476" t="s">
        <v>2918</v>
      </c>
      <c r="C476" t="s">
        <v>3281</v>
      </c>
      <c r="D476" t="s">
        <v>2650</v>
      </c>
      <c r="E476" t="s">
        <v>2651</v>
      </c>
      <c r="F476" t="s">
        <v>2652</v>
      </c>
      <c r="G476" t="s">
        <v>2920</v>
      </c>
      <c r="H476" t="s">
        <v>2921</v>
      </c>
      <c r="I476">
        <v>3032928</v>
      </c>
      <c r="J476">
        <v>1587292</v>
      </c>
      <c r="K476" t="s">
        <v>3282</v>
      </c>
      <c r="L476" t="s">
        <v>3283</v>
      </c>
      <c r="M476">
        <v>2978462</v>
      </c>
      <c r="N476">
        <v>66</v>
      </c>
      <c r="O476">
        <v>64207.586000000003</v>
      </c>
      <c r="P476" t="s">
        <v>164</v>
      </c>
      <c r="Q476">
        <v>9</v>
      </c>
      <c r="R476">
        <v>12</v>
      </c>
      <c r="S476">
        <v>95</v>
      </c>
      <c r="T476">
        <v>33503942</v>
      </c>
      <c r="U476">
        <v>68</v>
      </c>
      <c r="V476">
        <v>199</v>
      </c>
      <c r="W476">
        <v>64207.586761171791</v>
      </c>
      <c r="X476">
        <v>33503941.092720222</v>
      </c>
      <c r="Y476">
        <v>66878.116999999998</v>
      </c>
      <c r="Z476">
        <f>VLOOKUP($AC476,'2017 Seattle Tracts'!$C$2:$Z$399,24,FALSE)</f>
        <v>2978461.5959999999</v>
      </c>
      <c r="AA476">
        <f t="shared" si="15"/>
        <v>2.2453912815198172E-2</v>
      </c>
      <c r="AB476" t="s">
        <v>163</v>
      </c>
      <c r="AC476" t="str">
        <f t="shared" si="14"/>
        <v>Census Tract 56, King County, Washington</v>
      </c>
      <c r="AD476">
        <f>VLOOKUP($AC476,'2017 Seattle Tracts'!$C$2:$Z$399,AD$1,FALSE)*AA476</f>
        <v>154.37065060448742</v>
      </c>
      <c r="AE476">
        <f>VLOOKUP($AC476,'2017 Seattle Tracts'!$C$2:$Z$399,AE$1,FALSE)*AA476</f>
        <v>135.53181775253617</v>
      </c>
      <c r="AF476">
        <f>VLOOKUP($AC476,'2017 Seattle Tracts'!$C$2:$Z$399,AF$1,FALSE)*AA476</f>
        <v>18.838832851951267</v>
      </c>
      <c r="AG476">
        <f>VLOOKUP($AC476,'2017 Seattle Tracts'!$C$2:$Z$399,AG$1,FALSE)*AA476</f>
        <v>154.37065060448742</v>
      </c>
      <c r="AH476">
        <f>VLOOKUP($AC476,'2017 Seattle Tracts'!$C$2:$Z$399,AH$1,FALSE)*AA476</f>
        <v>135.53181775253617</v>
      </c>
      <c r="AI476">
        <f>VLOOKUP($AC476,'2017 Seattle Tracts'!$C$2:$Z$399,AI$1,FALSE)*AA476</f>
        <v>18.838832851951267</v>
      </c>
      <c r="AJ476">
        <f>VLOOKUP($AC476,'2017 Seattle Tracts'!$C$2:$Z$399,AJ$1,FALSE)*AA476</f>
        <v>121.02659007391814</v>
      </c>
      <c r="AK476">
        <f>VLOOKUP($AC476,'2017 Seattle Tracts'!$C$2:$Z$399,AK$1,FALSE)*AA476</f>
        <v>8.757025997927288</v>
      </c>
      <c r="AL476">
        <f>VLOOKUP($AC476,'2017 Seattle Tracts'!$C$2:$Z$399,AL$1,FALSE)*AA476</f>
        <v>4.0192503939204727</v>
      </c>
      <c r="AM476">
        <f>VLOOKUP($AC476,'2017 Seattle Tracts'!$C$2:$Z$399,AM$1,FALSE)*AA476</f>
        <v>0.38171651785836891</v>
      </c>
      <c r="AN476">
        <f>VLOOKUP($AC476,'2017 Seattle Tracts'!$C$2:$Z$399,AN$1,FALSE)*AA476</f>
        <v>0.38171651785836891</v>
      </c>
      <c r="AO476">
        <f>VLOOKUP($AC476,'2017 Seattle Tracts'!$C$2:$Z$399,AO$1,FALSE)*AA476</f>
        <v>0</v>
      </c>
      <c r="AP476">
        <f>VLOOKUP($AC476,'2017 Seattle Tracts'!$C$2:$Z$399,AP$1,FALSE)*AA476</f>
        <v>0.47153216911916163</v>
      </c>
      <c r="AQ476">
        <f>VLOOKUP($AC476,'2017 Seattle Tracts'!$C$2:$Z$399,AQ$1,FALSE)*AA476</f>
        <v>0.35926260504317076</v>
      </c>
      <c r="AR476">
        <f>VLOOKUP($AC476,'2017 Seattle Tracts'!$C$2:$Z$399,AR$1,FALSE)*AA476</f>
        <v>0.44907825630396347</v>
      </c>
      <c r="AS476">
        <f>VLOOKUP($AC476,'2017 Seattle Tracts'!$C$2:$Z$399,AS$1,FALSE)*AA476</f>
        <v>7.0056207983418295</v>
      </c>
      <c r="AT476">
        <f>VLOOKUP($AC476,'2017 Seattle Tracts'!$C$2:$Z$399,AT$1,FALSE)*AA476</f>
        <v>0.65116347164074695</v>
      </c>
      <c r="AU476">
        <f>VLOOKUP($AC476,'2017 Seattle Tracts'!$C$2:$Z$399,AU$1,FALSE)*AA476</f>
        <v>0.9206104254231251</v>
      </c>
      <c r="AV476">
        <f>VLOOKUP($AC476,'2017 Seattle Tracts'!$C$2:$Z$399,AV$1,FALSE)*AA476</f>
        <v>1.1451495535751068</v>
      </c>
      <c r="AW476">
        <f>VLOOKUP($AC476,'2017 Seattle Tracts'!$C$2:$Z$399,AW$1,FALSE)*AA476</f>
        <v>0.49398608193435978</v>
      </c>
      <c r="AX476">
        <f>VLOOKUP($AC476,'2017 Seattle Tracts'!$C$2:$Z$399,AX$1,FALSE)*AA476</f>
        <v>7.387337316200199</v>
      </c>
      <c r="AY476">
        <f>VLOOKUP($AC476,'2017 Seattle Tracts'!$C$2:$Z$399,AY$1,FALSE)*AA476</f>
        <v>0.9206104254231251</v>
      </c>
    </row>
    <row r="477" spans="1:51" x14ac:dyDescent="0.25">
      <c r="A477" t="s">
        <v>2917</v>
      </c>
      <c r="B477" t="s">
        <v>2918</v>
      </c>
      <c r="C477" t="s">
        <v>3284</v>
      </c>
      <c r="D477" t="s">
        <v>2521</v>
      </c>
      <c r="E477" t="s">
        <v>2522</v>
      </c>
      <c r="F477" t="s">
        <v>2523</v>
      </c>
      <c r="G477" t="s">
        <v>2920</v>
      </c>
      <c r="H477" t="s">
        <v>2921</v>
      </c>
      <c r="I477">
        <v>330238</v>
      </c>
      <c r="J477">
        <v>154864</v>
      </c>
      <c r="K477" t="s">
        <v>3285</v>
      </c>
      <c r="L477" t="s">
        <v>3286</v>
      </c>
      <c r="M477">
        <v>305238</v>
      </c>
      <c r="N477">
        <v>61</v>
      </c>
      <c r="O477">
        <v>11772.387000000001</v>
      </c>
      <c r="P477" t="s">
        <v>156</v>
      </c>
      <c r="Q477">
        <v>13</v>
      </c>
      <c r="R477">
        <v>11</v>
      </c>
      <c r="S477">
        <v>94</v>
      </c>
      <c r="T477">
        <v>6169376</v>
      </c>
      <c r="U477">
        <v>63</v>
      </c>
      <c r="V477">
        <v>164</v>
      </c>
      <c r="W477">
        <v>11772.387141002069</v>
      </c>
      <c r="X477">
        <v>6169375.8166330215</v>
      </c>
      <c r="Y477">
        <v>120490.95</v>
      </c>
      <c r="Z477">
        <f>VLOOKUP($AC477,'2017 Seattle Tracts'!$C$2:$Z$399,24,FALSE)</f>
        <v>305237.72899999999</v>
      </c>
      <c r="AA477">
        <f t="shared" si="15"/>
        <v>0.39474461559763474</v>
      </c>
      <c r="AB477" t="s">
        <v>158</v>
      </c>
      <c r="AC477" t="str">
        <f t="shared" si="14"/>
        <v>Census Tract 92, King County, Washington</v>
      </c>
      <c r="AD477">
        <f>VLOOKUP($AC477,'2017 Seattle Tracts'!$C$2:$Z$399,AD$1,FALSE)*AA477</f>
        <v>1132.522302149614</v>
      </c>
      <c r="AE477">
        <f>VLOOKUP($AC477,'2017 Seattle Tracts'!$C$2:$Z$399,AE$1,FALSE)*AA477</f>
        <v>705.8033726885709</v>
      </c>
      <c r="AF477">
        <f>VLOOKUP($AC477,'2017 Seattle Tracts'!$C$2:$Z$399,AF$1,FALSE)*AA477</f>
        <v>426.71892946104316</v>
      </c>
      <c r="AG477">
        <f>VLOOKUP($AC477,'2017 Seattle Tracts'!$C$2:$Z$399,AG$1,FALSE)*AA477</f>
        <v>1132.522302149614</v>
      </c>
      <c r="AH477">
        <f>VLOOKUP($AC477,'2017 Seattle Tracts'!$C$2:$Z$399,AH$1,FALSE)*AA477</f>
        <v>705.8033726885709</v>
      </c>
      <c r="AI477">
        <f>VLOOKUP($AC477,'2017 Seattle Tracts'!$C$2:$Z$399,AI$1,FALSE)*AA477</f>
        <v>426.71892946104316</v>
      </c>
      <c r="AJ477">
        <f>VLOOKUP($AC477,'2017 Seattle Tracts'!$C$2:$Z$399,AJ$1,FALSE)*AA477</f>
        <v>439.35075716016746</v>
      </c>
      <c r="AK477">
        <f>VLOOKUP($AC477,'2017 Seattle Tracts'!$C$2:$Z$399,AK$1,FALSE)*AA477</f>
        <v>52.895778490083053</v>
      </c>
      <c r="AL477">
        <f>VLOOKUP($AC477,'2017 Seattle Tracts'!$C$2:$Z$399,AL$1,FALSE)*AA477</f>
        <v>34.737526172591856</v>
      </c>
      <c r="AM477">
        <f>VLOOKUP($AC477,'2017 Seattle Tracts'!$C$2:$Z$399,AM$1,FALSE)*AA477</f>
        <v>10.263360005538503</v>
      </c>
      <c r="AN477">
        <f>VLOOKUP($AC477,'2017 Seattle Tracts'!$C$2:$Z$399,AN$1,FALSE)*AA477</f>
        <v>90.791261587455992</v>
      </c>
      <c r="AO477">
        <f>VLOOKUP($AC477,'2017 Seattle Tracts'!$C$2:$Z$399,AO$1,FALSE)*AA477</f>
        <v>13.816061545917217</v>
      </c>
      <c r="AP477">
        <f>VLOOKUP($AC477,'2017 Seattle Tracts'!$C$2:$Z$399,AP$1,FALSE)*AA477</f>
        <v>53.290523105680691</v>
      </c>
      <c r="AQ477">
        <f>VLOOKUP($AC477,'2017 Seattle Tracts'!$C$2:$Z$399,AQ$1,FALSE)*AA477</f>
        <v>11.447593852331407</v>
      </c>
      <c r="AR477">
        <f>VLOOKUP($AC477,'2017 Seattle Tracts'!$C$2:$Z$399,AR$1,FALSE)*AA477</f>
        <v>11.842338467929043</v>
      </c>
      <c r="AS477">
        <f>VLOOKUP($AC477,'2017 Seattle Tracts'!$C$2:$Z$399,AS$1,FALSE)*AA477</f>
        <v>322.11160632766996</v>
      </c>
      <c r="AT477">
        <f>VLOOKUP($AC477,'2017 Seattle Tracts'!$C$2:$Z$399,AT$1,FALSE)*AA477</f>
        <v>1.578978462390539</v>
      </c>
      <c r="AU477">
        <f>VLOOKUP($AC477,'2017 Seattle Tracts'!$C$2:$Z$399,AU$1,FALSE)*AA477</f>
        <v>0</v>
      </c>
      <c r="AV477">
        <f>VLOOKUP($AC477,'2017 Seattle Tracts'!$C$2:$Z$399,AV$1,FALSE)*AA477</f>
        <v>20.526720011077007</v>
      </c>
      <c r="AW477">
        <f>VLOOKUP($AC477,'2017 Seattle Tracts'!$C$2:$Z$399,AW$1,FALSE)*AA477</f>
        <v>3.1579569247810779</v>
      </c>
      <c r="AX477">
        <f>VLOOKUP($AC477,'2017 Seattle Tracts'!$C$2:$Z$399,AX$1,FALSE)*AA477</f>
        <v>53.685267721278322</v>
      </c>
      <c r="AY477">
        <f>VLOOKUP($AC477,'2017 Seattle Tracts'!$C$2:$Z$399,AY$1,FALSE)*AA477</f>
        <v>13.026572314721946</v>
      </c>
    </row>
    <row r="478" spans="1:51" x14ac:dyDescent="0.25">
      <c r="A478" t="s">
        <v>2917</v>
      </c>
      <c r="B478" t="s">
        <v>2918</v>
      </c>
      <c r="C478" t="s">
        <v>3284</v>
      </c>
      <c r="D478" t="s">
        <v>2521</v>
      </c>
      <c r="E478" t="s">
        <v>2522</v>
      </c>
      <c r="F478" t="s">
        <v>2523</v>
      </c>
      <c r="G478" t="s">
        <v>2920</v>
      </c>
      <c r="H478" t="s">
        <v>2921</v>
      </c>
      <c r="I478">
        <v>330238</v>
      </c>
      <c r="J478">
        <v>154864</v>
      </c>
      <c r="K478" t="s">
        <v>3285</v>
      </c>
      <c r="L478" t="s">
        <v>3286</v>
      </c>
      <c r="M478">
        <v>305238</v>
      </c>
      <c r="N478">
        <v>64</v>
      </c>
      <c r="O478">
        <v>9611.3540000000012</v>
      </c>
      <c r="P478" t="s">
        <v>156</v>
      </c>
      <c r="Q478">
        <v>13</v>
      </c>
      <c r="R478">
        <v>11</v>
      </c>
      <c r="S478">
        <v>81</v>
      </c>
      <c r="T478">
        <v>5348937.5</v>
      </c>
      <c r="U478">
        <v>66</v>
      </c>
      <c r="V478">
        <v>162</v>
      </c>
      <c r="W478">
        <v>9611.3535464166052</v>
      </c>
      <c r="X478">
        <v>5348937.2476122174</v>
      </c>
      <c r="Y478">
        <v>4244.6710000000003</v>
      </c>
      <c r="Z478">
        <f>VLOOKUP($AC478,'2017 Seattle Tracts'!$C$2:$Z$399,24,FALSE)</f>
        <v>305237.72899999999</v>
      </c>
      <c r="AA478">
        <f t="shared" si="15"/>
        <v>1.3906115125106307E-2</v>
      </c>
      <c r="AB478" t="s">
        <v>161</v>
      </c>
      <c r="AC478" t="str">
        <f t="shared" si="14"/>
        <v>Census Tract 92, King County, Washington</v>
      </c>
      <c r="AD478">
        <f>VLOOKUP($AC478,'2017 Seattle Tracts'!$C$2:$Z$399,AD$1,FALSE)*AA478</f>
        <v>39.896644293929995</v>
      </c>
      <c r="AE478">
        <f>VLOOKUP($AC478,'2017 Seattle Tracts'!$C$2:$Z$399,AE$1,FALSE)*AA478</f>
        <v>24.864133843690077</v>
      </c>
      <c r="AF478">
        <f>VLOOKUP($AC478,'2017 Seattle Tracts'!$C$2:$Z$399,AF$1,FALSE)*AA478</f>
        <v>15.032510450239918</v>
      </c>
      <c r="AG478">
        <f>VLOOKUP($AC478,'2017 Seattle Tracts'!$C$2:$Z$399,AG$1,FALSE)*AA478</f>
        <v>39.896644293929995</v>
      </c>
      <c r="AH478">
        <f>VLOOKUP($AC478,'2017 Seattle Tracts'!$C$2:$Z$399,AH$1,FALSE)*AA478</f>
        <v>24.864133843690077</v>
      </c>
      <c r="AI478">
        <f>VLOOKUP($AC478,'2017 Seattle Tracts'!$C$2:$Z$399,AI$1,FALSE)*AA478</f>
        <v>15.032510450239918</v>
      </c>
      <c r="AJ478">
        <f>VLOOKUP($AC478,'2017 Seattle Tracts'!$C$2:$Z$399,AJ$1,FALSE)*AA478</f>
        <v>15.47750613424332</v>
      </c>
      <c r="AK478">
        <f>VLOOKUP($AC478,'2017 Seattle Tracts'!$C$2:$Z$399,AK$1,FALSE)*AA478</f>
        <v>1.8634194267642452</v>
      </c>
      <c r="AL478">
        <f>VLOOKUP($AC478,'2017 Seattle Tracts'!$C$2:$Z$399,AL$1,FALSE)*AA478</f>
        <v>1.2237381310093551</v>
      </c>
      <c r="AM478">
        <f>VLOOKUP($AC478,'2017 Seattle Tracts'!$C$2:$Z$399,AM$1,FALSE)*AA478</f>
        <v>0.36155899325276397</v>
      </c>
      <c r="AN478">
        <f>VLOOKUP($AC478,'2017 Seattle Tracts'!$C$2:$Z$399,AN$1,FALSE)*AA478</f>
        <v>3.1984064787744506</v>
      </c>
      <c r="AO478">
        <f>VLOOKUP($AC478,'2017 Seattle Tracts'!$C$2:$Z$399,AO$1,FALSE)*AA478</f>
        <v>0.48671402937872077</v>
      </c>
      <c r="AP478">
        <f>VLOOKUP($AC478,'2017 Seattle Tracts'!$C$2:$Z$399,AP$1,FALSE)*AA478</f>
        <v>1.8773255418893515</v>
      </c>
      <c r="AQ478">
        <f>VLOOKUP($AC478,'2017 Seattle Tracts'!$C$2:$Z$399,AQ$1,FALSE)*AA478</f>
        <v>0.4032773386280829</v>
      </c>
      <c r="AR478">
        <f>VLOOKUP($AC478,'2017 Seattle Tracts'!$C$2:$Z$399,AR$1,FALSE)*AA478</f>
        <v>0.41718345375318922</v>
      </c>
      <c r="AS478">
        <f>VLOOKUP($AC478,'2017 Seattle Tracts'!$C$2:$Z$399,AS$1,FALSE)*AA478</f>
        <v>11.347389942086746</v>
      </c>
      <c r="AT478">
        <f>VLOOKUP($AC478,'2017 Seattle Tracts'!$C$2:$Z$399,AT$1,FALSE)*AA478</f>
        <v>5.562446050042523E-2</v>
      </c>
      <c r="AU478">
        <f>VLOOKUP($AC478,'2017 Seattle Tracts'!$C$2:$Z$399,AU$1,FALSE)*AA478</f>
        <v>0</v>
      </c>
      <c r="AV478">
        <f>VLOOKUP($AC478,'2017 Seattle Tracts'!$C$2:$Z$399,AV$1,FALSE)*AA478</f>
        <v>0.72311798650552794</v>
      </c>
      <c r="AW478">
        <f>VLOOKUP($AC478,'2017 Seattle Tracts'!$C$2:$Z$399,AW$1,FALSE)*AA478</f>
        <v>0.11124892100085046</v>
      </c>
      <c r="AX478">
        <f>VLOOKUP($AC478,'2017 Seattle Tracts'!$C$2:$Z$399,AX$1,FALSE)*AA478</f>
        <v>1.8912316570144578</v>
      </c>
      <c r="AY478">
        <f>VLOOKUP($AC478,'2017 Seattle Tracts'!$C$2:$Z$399,AY$1,FALSE)*AA478</f>
        <v>0.45890179912850815</v>
      </c>
    </row>
    <row r="479" spans="1:51" x14ac:dyDescent="0.25">
      <c r="A479" t="s">
        <v>2917</v>
      </c>
      <c r="B479" t="s">
        <v>2918</v>
      </c>
      <c r="C479" t="s">
        <v>3284</v>
      </c>
      <c r="D479" t="s">
        <v>2521</v>
      </c>
      <c r="E479" t="s">
        <v>2522</v>
      </c>
      <c r="F479" t="s">
        <v>2523</v>
      </c>
      <c r="G479" t="s">
        <v>2920</v>
      </c>
      <c r="H479" t="s">
        <v>2921</v>
      </c>
      <c r="I479">
        <v>330238</v>
      </c>
      <c r="J479">
        <v>154864</v>
      </c>
      <c r="K479" t="s">
        <v>3285</v>
      </c>
      <c r="L479" t="s">
        <v>3286</v>
      </c>
      <c r="M479">
        <v>305238</v>
      </c>
      <c r="N479">
        <v>65</v>
      </c>
      <c r="O479">
        <v>19289.812999999998</v>
      </c>
      <c r="P479" t="s">
        <v>156</v>
      </c>
      <c r="Q479">
        <v>13</v>
      </c>
      <c r="R479">
        <v>11</v>
      </c>
      <c r="S479">
        <v>33</v>
      </c>
      <c r="T479">
        <v>11474029</v>
      </c>
      <c r="U479">
        <v>67</v>
      </c>
      <c r="V479">
        <v>163</v>
      </c>
      <c r="W479">
        <v>19289.812175002899</v>
      </c>
      <c r="X479">
        <v>11474028.647624191</v>
      </c>
      <c r="Y479">
        <v>180285.71100000001</v>
      </c>
      <c r="Z479">
        <f>VLOOKUP($AC479,'2017 Seattle Tracts'!$C$2:$Z$399,24,FALSE)</f>
        <v>305237.72899999999</v>
      </c>
      <c r="AA479">
        <f t="shared" si="15"/>
        <v>0.59064032349683748</v>
      </c>
      <c r="AB479" t="s">
        <v>162</v>
      </c>
      <c r="AC479" t="str">
        <f t="shared" si="14"/>
        <v>Census Tract 92, King County, Washington</v>
      </c>
      <c r="AD479">
        <f>VLOOKUP($AC479,'2017 Seattle Tracts'!$C$2:$Z$399,AD$1,FALSE)*AA479</f>
        <v>1694.5470881124268</v>
      </c>
      <c r="AE479">
        <f>VLOOKUP($AC479,'2017 Seattle Tracts'!$C$2:$Z$399,AE$1,FALSE)*AA479</f>
        <v>1056.0648984123454</v>
      </c>
      <c r="AF479">
        <f>VLOOKUP($AC479,'2017 Seattle Tracts'!$C$2:$Z$399,AF$1,FALSE)*AA479</f>
        <v>638.48218970008134</v>
      </c>
      <c r="AG479">
        <f>VLOOKUP($AC479,'2017 Seattle Tracts'!$C$2:$Z$399,AG$1,FALSE)*AA479</f>
        <v>1694.5470881124268</v>
      </c>
      <c r="AH479">
        <f>VLOOKUP($AC479,'2017 Seattle Tracts'!$C$2:$Z$399,AH$1,FALSE)*AA479</f>
        <v>1056.0648984123454</v>
      </c>
      <c r="AI479">
        <f>VLOOKUP($AC479,'2017 Seattle Tracts'!$C$2:$Z$399,AI$1,FALSE)*AA479</f>
        <v>638.48218970008134</v>
      </c>
      <c r="AJ479">
        <f>VLOOKUP($AC479,'2017 Seattle Tracts'!$C$2:$Z$399,AJ$1,FALSE)*AA479</f>
        <v>657.38268005198017</v>
      </c>
      <c r="AK479">
        <f>VLOOKUP($AC479,'2017 Seattle Tracts'!$C$2:$Z$399,AK$1,FALSE)*AA479</f>
        <v>79.145803348576223</v>
      </c>
      <c r="AL479">
        <f>VLOOKUP($AC479,'2017 Seattle Tracts'!$C$2:$Z$399,AL$1,FALSE)*AA479</f>
        <v>51.976348467721699</v>
      </c>
      <c r="AM479">
        <f>VLOOKUP($AC479,'2017 Seattle Tracts'!$C$2:$Z$399,AM$1,FALSE)*AA479</f>
        <v>15.356648410917774</v>
      </c>
      <c r="AN479">
        <f>VLOOKUP($AC479,'2017 Seattle Tracts'!$C$2:$Z$399,AN$1,FALSE)*AA479</f>
        <v>135.84727440427261</v>
      </c>
      <c r="AO479">
        <f>VLOOKUP($AC479,'2017 Seattle Tracts'!$C$2:$Z$399,AO$1,FALSE)*AA479</f>
        <v>20.672411322389312</v>
      </c>
      <c r="AP479">
        <f>VLOOKUP($AC479,'2017 Seattle Tracts'!$C$2:$Z$399,AP$1,FALSE)*AA479</f>
        <v>79.736443672073065</v>
      </c>
      <c r="AQ479">
        <f>VLOOKUP($AC479,'2017 Seattle Tracts'!$C$2:$Z$399,AQ$1,FALSE)*AA479</f>
        <v>17.128569381408287</v>
      </c>
      <c r="AR479">
        <f>VLOOKUP($AC479,'2017 Seattle Tracts'!$C$2:$Z$399,AR$1,FALSE)*AA479</f>
        <v>17.719209704905126</v>
      </c>
      <c r="AS479">
        <f>VLOOKUP($AC479,'2017 Seattle Tracts'!$C$2:$Z$399,AS$1,FALSE)*AA479</f>
        <v>481.96250397341936</v>
      </c>
      <c r="AT479">
        <f>VLOOKUP($AC479,'2017 Seattle Tracts'!$C$2:$Z$399,AT$1,FALSE)*AA479</f>
        <v>2.3625612939873499</v>
      </c>
      <c r="AU479">
        <f>VLOOKUP($AC479,'2017 Seattle Tracts'!$C$2:$Z$399,AU$1,FALSE)*AA479</f>
        <v>0</v>
      </c>
      <c r="AV479">
        <f>VLOOKUP($AC479,'2017 Seattle Tracts'!$C$2:$Z$399,AV$1,FALSE)*AA479</f>
        <v>30.713296821835549</v>
      </c>
      <c r="AW479">
        <f>VLOOKUP($AC479,'2017 Seattle Tracts'!$C$2:$Z$399,AW$1,FALSE)*AA479</f>
        <v>4.7251225879746999</v>
      </c>
      <c r="AX479">
        <f>VLOOKUP($AC479,'2017 Seattle Tracts'!$C$2:$Z$399,AX$1,FALSE)*AA479</f>
        <v>80.327083995569893</v>
      </c>
      <c r="AY479">
        <f>VLOOKUP($AC479,'2017 Seattle Tracts'!$C$2:$Z$399,AY$1,FALSE)*AA479</f>
        <v>19.491130675395638</v>
      </c>
    </row>
    <row r="480" spans="1:51" x14ac:dyDescent="0.25">
      <c r="A480" t="s">
        <v>2917</v>
      </c>
      <c r="B480" t="s">
        <v>2918</v>
      </c>
      <c r="C480" t="s">
        <v>3287</v>
      </c>
      <c r="D480" t="s">
        <v>2518</v>
      </c>
      <c r="E480" t="s">
        <v>2519</v>
      </c>
      <c r="F480" t="s">
        <v>2520</v>
      </c>
      <c r="G480" t="s">
        <v>2920</v>
      </c>
      <c r="H480" t="s">
        <v>2921</v>
      </c>
      <c r="I480">
        <v>9429073</v>
      </c>
      <c r="J480">
        <v>719985</v>
      </c>
      <c r="K480" t="s">
        <v>3288</v>
      </c>
      <c r="L480" t="s">
        <v>3289</v>
      </c>
      <c r="M480">
        <v>9448599</v>
      </c>
      <c r="N480">
        <v>61</v>
      </c>
      <c r="O480">
        <v>11772.387000000001</v>
      </c>
      <c r="P480" t="s">
        <v>156</v>
      </c>
      <c r="Q480">
        <v>13</v>
      </c>
      <c r="R480">
        <v>11</v>
      </c>
      <c r="S480">
        <v>94</v>
      </c>
      <c r="T480">
        <v>6169376</v>
      </c>
      <c r="U480">
        <v>63</v>
      </c>
      <c r="V480">
        <v>164</v>
      </c>
      <c r="W480">
        <v>11772.387141002069</v>
      </c>
      <c r="X480">
        <v>6169375.8166330215</v>
      </c>
      <c r="Y480">
        <v>33458.114000000001</v>
      </c>
      <c r="Z480">
        <f>VLOOKUP($AC480,'2017 Seattle Tracts'!$C$2:$Z$399,24,FALSE)</f>
        <v>9448598.8049999997</v>
      </c>
      <c r="AA480">
        <f t="shared" si="15"/>
        <v>3.5410662142088909E-3</v>
      </c>
      <c r="AB480" t="s">
        <v>158</v>
      </c>
      <c r="AC480" t="str">
        <f t="shared" si="14"/>
        <v>Census Tract 93, King County, Washington</v>
      </c>
      <c r="AD480">
        <f>VLOOKUP($AC480,'2017 Seattle Tracts'!$C$2:$Z$399,AD$1,FALSE)*AA480</f>
        <v>9.4369414608666951</v>
      </c>
      <c r="AE480">
        <f>VLOOKUP($AC480,'2017 Seattle Tracts'!$C$2:$Z$399,AE$1,FALSE)*AA480</f>
        <v>7.5141425065512664</v>
      </c>
      <c r="AF480">
        <f>VLOOKUP($AC480,'2017 Seattle Tracts'!$C$2:$Z$399,AF$1,FALSE)*AA480</f>
        <v>1.9227989543154278</v>
      </c>
      <c r="AG480">
        <f>VLOOKUP($AC480,'2017 Seattle Tracts'!$C$2:$Z$399,AG$1,FALSE)*AA480</f>
        <v>9.4369414608666951</v>
      </c>
      <c r="AH480">
        <f>VLOOKUP($AC480,'2017 Seattle Tracts'!$C$2:$Z$399,AH$1,FALSE)*AA480</f>
        <v>7.5141425065512664</v>
      </c>
      <c r="AI480">
        <f>VLOOKUP($AC480,'2017 Seattle Tracts'!$C$2:$Z$399,AI$1,FALSE)*AA480</f>
        <v>1.9227989543154278</v>
      </c>
      <c r="AJ480">
        <f>VLOOKUP($AC480,'2017 Seattle Tracts'!$C$2:$Z$399,AJ$1,FALSE)*AA480</f>
        <v>4.4440380988321584</v>
      </c>
      <c r="AK480">
        <f>VLOOKUP($AC480,'2017 Seattle Tracts'!$C$2:$Z$399,AK$1,FALSE)*AA480</f>
        <v>0.29744956199354683</v>
      </c>
      <c r="AL480">
        <f>VLOOKUP($AC480,'2017 Seattle Tracts'!$C$2:$Z$399,AL$1,FALSE)*AA480</f>
        <v>0.16997117828202676</v>
      </c>
      <c r="AM480">
        <f>VLOOKUP($AC480,'2017 Seattle Tracts'!$C$2:$Z$399,AM$1,FALSE)*AA480</f>
        <v>0.19121757556728011</v>
      </c>
      <c r="AN480">
        <f>VLOOKUP($AC480,'2017 Seattle Tracts'!$C$2:$Z$399,AN$1,FALSE)*AA480</f>
        <v>0.67988471312810705</v>
      </c>
      <c r="AO480">
        <f>VLOOKUP($AC480,'2017 Seattle Tracts'!$C$2:$Z$399,AO$1,FALSE)*AA480</f>
        <v>0.46387967406136471</v>
      </c>
      <c r="AP480">
        <f>VLOOKUP($AC480,'2017 Seattle Tracts'!$C$2:$Z$399,AP$1,FALSE)*AA480</f>
        <v>0.11685518506889341</v>
      </c>
      <c r="AQ480">
        <f>VLOOKUP($AC480,'2017 Seattle Tracts'!$C$2:$Z$399,AQ$1,FALSE)*AA480</f>
        <v>0</v>
      </c>
      <c r="AR480">
        <f>VLOOKUP($AC480,'2017 Seattle Tracts'!$C$2:$Z$399,AR$1,FALSE)*AA480</f>
        <v>1.0127449372637427</v>
      </c>
      <c r="AS480">
        <f>VLOOKUP($AC480,'2017 Seattle Tracts'!$C$2:$Z$399,AS$1,FALSE)*AA480</f>
        <v>0.80382203062541824</v>
      </c>
      <c r="AT480">
        <f>VLOOKUP($AC480,'2017 Seattle Tracts'!$C$2:$Z$399,AT$1,FALSE)*AA480</f>
        <v>0</v>
      </c>
      <c r="AU480">
        <f>VLOOKUP($AC480,'2017 Seattle Tracts'!$C$2:$Z$399,AU$1,FALSE)*AA480</f>
        <v>0</v>
      </c>
      <c r="AV480">
        <f>VLOOKUP($AC480,'2017 Seattle Tracts'!$C$2:$Z$399,AV$1,FALSE)*AA480</f>
        <v>0.16997117828202676</v>
      </c>
      <c r="AW480">
        <f>VLOOKUP($AC480,'2017 Seattle Tracts'!$C$2:$Z$399,AW$1,FALSE)*AA480</f>
        <v>0.10623198642626673</v>
      </c>
      <c r="AX480">
        <f>VLOOKUP($AC480,'2017 Seattle Tracts'!$C$2:$Z$399,AX$1,FALSE)*AA480</f>
        <v>0.9206772156943116</v>
      </c>
      <c r="AY480">
        <f>VLOOKUP($AC480,'2017 Seattle Tracts'!$C$2:$Z$399,AY$1,FALSE)*AA480</f>
        <v>6.0198125641551144E-2</v>
      </c>
    </row>
    <row r="481" spans="1:51" x14ac:dyDescent="0.25">
      <c r="A481" t="s">
        <v>2917</v>
      </c>
      <c r="B481" t="s">
        <v>2918</v>
      </c>
      <c r="C481" t="s">
        <v>3287</v>
      </c>
      <c r="D481" t="s">
        <v>2518</v>
      </c>
      <c r="E481" t="s">
        <v>2519</v>
      </c>
      <c r="F481" t="s">
        <v>2520</v>
      </c>
      <c r="G481" t="s">
        <v>2920</v>
      </c>
      <c r="H481" t="s">
        <v>2921</v>
      </c>
      <c r="I481">
        <v>9429073</v>
      </c>
      <c r="J481">
        <v>719985</v>
      </c>
      <c r="K481" t="s">
        <v>3288</v>
      </c>
      <c r="L481" t="s">
        <v>3289</v>
      </c>
      <c r="M481">
        <v>9448599</v>
      </c>
      <c r="N481">
        <v>65</v>
      </c>
      <c r="O481">
        <v>19289.812999999998</v>
      </c>
      <c r="P481" t="s">
        <v>156</v>
      </c>
      <c r="Q481">
        <v>13</v>
      </c>
      <c r="R481">
        <v>11</v>
      </c>
      <c r="S481">
        <v>33</v>
      </c>
      <c r="T481">
        <v>11474029</v>
      </c>
      <c r="U481">
        <v>67</v>
      </c>
      <c r="V481">
        <v>163</v>
      </c>
      <c r="W481">
        <v>19289.812175002899</v>
      </c>
      <c r="X481">
        <v>11474028.647624191</v>
      </c>
      <c r="Y481">
        <v>686795.29200000002</v>
      </c>
      <c r="Z481">
        <f>VLOOKUP($AC481,'2017 Seattle Tracts'!$C$2:$Z$399,24,FALSE)</f>
        <v>9448598.8049999997</v>
      </c>
      <c r="AA481">
        <f t="shared" si="15"/>
        <v>7.2687528190588685E-2</v>
      </c>
      <c r="AB481" t="s">
        <v>162</v>
      </c>
      <c r="AC481" t="str">
        <f t="shared" si="14"/>
        <v>Census Tract 93, King County, Washington</v>
      </c>
      <c r="AD481">
        <f>VLOOKUP($AC481,'2017 Seattle Tracts'!$C$2:$Z$399,AD$1,FALSE)*AA481</f>
        <v>193.71226262791885</v>
      </c>
      <c r="AE481">
        <f>VLOOKUP($AC481,'2017 Seattle Tracts'!$C$2:$Z$399,AE$1,FALSE)*AA481</f>
        <v>154.24293482042918</v>
      </c>
      <c r="AF481">
        <f>VLOOKUP($AC481,'2017 Seattle Tracts'!$C$2:$Z$399,AF$1,FALSE)*AA481</f>
        <v>39.469327807489655</v>
      </c>
      <c r="AG481">
        <f>VLOOKUP($AC481,'2017 Seattle Tracts'!$C$2:$Z$399,AG$1,FALSE)*AA481</f>
        <v>193.71226262791885</v>
      </c>
      <c r="AH481">
        <f>VLOOKUP($AC481,'2017 Seattle Tracts'!$C$2:$Z$399,AH$1,FALSE)*AA481</f>
        <v>154.24293482042918</v>
      </c>
      <c r="AI481">
        <f>VLOOKUP($AC481,'2017 Seattle Tracts'!$C$2:$Z$399,AI$1,FALSE)*AA481</f>
        <v>39.469327807489655</v>
      </c>
      <c r="AJ481">
        <f>VLOOKUP($AC481,'2017 Seattle Tracts'!$C$2:$Z$399,AJ$1,FALSE)*AA481</f>
        <v>91.222847879188805</v>
      </c>
      <c r="AK481">
        <f>VLOOKUP($AC481,'2017 Seattle Tracts'!$C$2:$Z$399,AK$1,FALSE)*AA481</f>
        <v>6.1057523680094494</v>
      </c>
      <c r="AL481">
        <f>VLOOKUP($AC481,'2017 Seattle Tracts'!$C$2:$Z$399,AL$1,FALSE)*AA481</f>
        <v>3.4890013531482569</v>
      </c>
      <c r="AM481">
        <f>VLOOKUP($AC481,'2017 Seattle Tracts'!$C$2:$Z$399,AM$1,FALSE)*AA481</f>
        <v>3.925126522291789</v>
      </c>
      <c r="AN481">
        <f>VLOOKUP($AC481,'2017 Seattle Tracts'!$C$2:$Z$399,AN$1,FALSE)*AA481</f>
        <v>13.956005412593028</v>
      </c>
      <c r="AO481">
        <f>VLOOKUP($AC481,'2017 Seattle Tracts'!$C$2:$Z$399,AO$1,FALSE)*AA481</f>
        <v>9.5220661929671184</v>
      </c>
      <c r="AP481">
        <f>VLOOKUP($AC481,'2017 Seattle Tracts'!$C$2:$Z$399,AP$1,FALSE)*AA481</f>
        <v>2.3986884302894267</v>
      </c>
      <c r="AQ481">
        <f>VLOOKUP($AC481,'2017 Seattle Tracts'!$C$2:$Z$399,AQ$1,FALSE)*AA481</f>
        <v>0</v>
      </c>
      <c r="AR481">
        <f>VLOOKUP($AC481,'2017 Seattle Tracts'!$C$2:$Z$399,AR$1,FALSE)*AA481</f>
        <v>20.788633062508364</v>
      </c>
      <c r="AS481">
        <f>VLOOKUP($AC481,'2017 Seattle Tracts'!$C$2:$Z$399,AS$1,FALSE)*AA481</f>
        <v>16.500068899263631</v>
      </c>
      <c r="AT481">
        <f>VLOOKUP($AC481,'2017 Seattle Tracts'!$C$2:$Z$399,AT$1,FALSE)*AA481</f>
        <v>0</v>
      </c>
      <c r="AU481">
        <f>VLOOKUP($AC481,'2017 Seattle Tracts'!$C$2:$Z$399,AU$1,FALSE)*AA481</f>
        <v>0</v>
      </c>
      <c r="AV481">
        <f>VLOOKUP($AC481,'2017 Seattle Tracts'!$C$2:$Z$399,AV$1,FALSE)*AA481</f>
        <v>3.4890013531482569</v>
      </c>
      <c r="AW481">
        <f>VLOOKUP($AC481,'2017 Seattle Tracts'!$C$2:$Z$399,AW$1,FALSE)*AA481</f>
        <v>2.1806258457176604</v>
      </c>
      <c r="AX481">
        <f>VLOOKUP($AC481,'2017 Seattle Tracts'!$C$2:$Z$399,AX$1,FALSE)*AA481</f>
        <v>18.898757329553057</v>
      </c>
      <c r="AY481">
        <f>VLOOKUP($AC481,'2017 Seattle Tracts'!$C$2:$Z$399,AY$1,FALSE)*AA481</f>
        <v>1.2356879792400077</v>
      </c>
    </row>
    <row r="482" spans="1:51" x14ac:dyDescent="0.25">
      <c r="A482" t="s">
        <v>2917</v>
      </c>
      <c r="B482" t="s">
        <v>2918</v>
      </c>
      <c r="C482" t="s">
        <v>3287</v>
      </c>
      <c r="D482" t="s">
        <v>2518</v>
      </c>
      <c r="E482" t="s">
        <v>2519</v>
      </c>
      <c r="F482" t="s">
        <v>2520</v>
      </c>
      <c r="G482" t="s">
        <v>2920</v>
      </c>
      <c r="H482" t="s">
        <v>2921</v>
      </c>
      <c r="I482">
        <v>9429073</v>
      </c>
      <c r="J482">
        <v>719985</v>
      </c>
      <c r="K482" t="s">
        <v>3288</v>
      </c>
      <c r="L482" t="s">
        <v>3289</v>
      </c>
      <c r="M482">
        <v>9448599</v>
      </c>
      <c r="N482">
        <v>67</v>
      </c>
      <c r="O482">
        <v>49792.156000000003</v>
      </c>
      <c r="P482" t="s">
        <v>122</v>
      </c>
      <c r="Q482">
        <v>18</v>
      </c>
      <c r="R482">
        <v>12</v>
      </c>
      <c r="S482">
        <v>23</v>
      </c>
      <c r="T482">
        <v>82845392</v>
      </c>
      <c r="U482">
        <v>69</v>
      </c>
      <c r="V482">
        <v>167</v>
      </c>
      <c r="W482">
        <v>49792.15483538049</v>
      </c>
      <c r="X482">
        <v>82845389.347022861</v>
      </c>
      <c r="Y482">
        <v>7507732.6919999998</v>
      </c>
      <c r="Z482">
        <f>VLOOKUP($AC482,'2017 Seattle Tracts'!$C$2:$Z$399,24,FALSE)</f>
        <v>9448598.8049999997</v>
      </c>
      <c r="AA482">
        <f t="shared" si="15"/>
        <v>0.79458688499156782</v>
      </c>
      <c r="AB482" t="s">
        <v>165</v>
      </c>
      <c r="AC482" t="str">
        <f t="shared" si="14"/>
        <v>Census Tract 93, King County, Washington</v>
      </c>
      <c r="AD482">
        <f>VLOOKUP($AC482,'2017 Seattle Tracts'!$C$2:$Z$399,AD$1,FALSE)*AA482</f>
        <v>2117.5740485025281</v>
      </c>
      <c r="AE482">
        <f>VLOOKUP($AC482,'2017 Seattle Tracts'!$C$2:$Z$399,AE$1,FALSE)*AA482</f>
        <v>1686.113369952107</v>
      </c>
      <c r="AF482">
        <f>VLOOKUP($AC482,'2017 Seattle Tracts'!$C$2:$Z$399,AF$1,FALSE)*AA482</f>
        <v>431.46067855042133</v>
      </c>
      <c r="AG482">
        <f>VLOOKUP($AC482,'2017 Seattle Tracts'!$C$2:$Z$399,AG$1,FALSE)*AA482</f>
        <v>2117.5740485025281</v>
      </c>
      <c r="AH482">
        <f>VLOOKUP($AC482,'2017 Seattle Tracts'!$C$2:$Z$399,AH$1,FALSE)*AA482</f>
        <v>1686.113369952107</v>
      </c>
      <c r="AI482">
        <f>VLOOKUP($AC482,'2017 Seattle Tracts'!$C$2:$Z$399,AI$1,FALSE)*AA482</f>
        <v>431.46067855042133</v>
      </c>
      <c r="AJ482">
        <f>VLOOKUP($AC482,'2017 Seattle Tracts'!$C$2:$Z$399,AJ$1,FALSE)*AA482</f>
        <v>997.20654066441762</v>
      </c>
      <c r="AK482">
        <f>VLOOKUP($AC482,'2017 Seattle Tracts'!$C$2:$Z$399,AK$1,FALSE)*AA482</f>
        <v>66.745298339291693</v>
      </c>
      <c r="AL482">
        <f>VLOOKUP($AC482,'2017 Seattle Tracts'!$C$2:$Z$399,AL$1,FALSE)*AA482</f>
        <v>38.140170479595255</v>
      </c>
      <c r="AM482">
        <f>VLOOKUP($AC482,'2017 Seattle Tracts'!$C$2:$Z$399,AM$1,FALSE)*AA482</f>
        <v>42.907691789544664</v>
      </c>
      <c r="AN482">
        <f>VLOOKUP($AC482,'2017 Seattle Tracts'!$C$2:$Z$399,AN$1,FALSE)*AA482</f>
        <v>152.56068191838102</v>
      </c>
      <c r="AO482">
        <f>VLOOKUP($AC482,'2017 Seattle Tracts'!$C$2:$Z$399,AO$1,FALSE)*AA482</f>
        <v>104.09088193389539</v>
      </c>
      <c r="AP482">
        <f>VLOOKUP($AC482,'2017 Seattle Tracts'!$C$2:$Z$399,AP$1,FALSE)*AA482</f>
        <v>26.221367204721737</v>
      </c>
      <c r="AQ482">
        <f>VLOOKUP($AC482,'2017 Seattle Tracts'!$C$2:$Z$399,AQ$1,FALSE)*AA482</f>
        <v>0</v>
      </c>
      <c r="AR482">
        <f>VLOOKUP($AC482,'2017 Seattle Tracts'!$C$2:$Z$399,AR$1,FALSE)*AA482</f>
        <v>227.25184910758838</v>
      </c>
      <c r="AS482">
        <f>VLOOKUP($AC482,'2017 Seattle Tracts'!$C$2:$Z$399,AS$1,FALSE)*AA482</f>
        <v>180.3712228930859</v>
      </c>
      <c r="AT482">
        <f>VLOOKUP($AC482,'2017 Seattle Tracts'!$C$2:$Z$399,AT$1,FALSE)*AA482</f>
        <v>0</v>
      </c>
      <c r="AU482">
        <f>VLOOKUP($AC482,'2017 Seattle Tracts'!$C$2:$Z$399,AU$1,FALSE)*AA482</f>
        <v>0</v>
      </c>
      <c r="AV482">
        <f>VLOOKUP($AC482,'2017 Seattle Tracts'!$C$2:$Z$399,AV$1,FALSE)*AA482</f>
        <v>38.140170479595255</v>
      </c>
      <c r="AW482">
        <f>VLOOKUP($AC482,'2017 Seattle Tracts'!$C$2:$Z$399,AW$1,FALSE)*AA482</f>
        <v>23.837606549747036</v>
      </c>
      <c r="AX482">
        <f>VLOOKUP($AC482,'2017 Seattle Tracts'!$C$2:$Z$399,AX$1,FALSE)*AA482</f>
        <v>206.59259009780763</v>
      </c>
      <c r="AY482">
        <f>VLOOKUP($AC482,'2017 Seattle Tracts'!$C$2:$Z$399,AY$1,FALSE)*AA482</f>
        <v>13.507977044856652</v>
      </c>
    </row>
    <row r="483" spans="1:51" x14ac:dyDescent="0.25">
      <c r="A483" t="s">
        <v>2917</v>
      </c>
      <c r="B483" t="s">
        <v>2918</v>
      </c>
      <c r="C483" t="s">
        <v>3287</v>
      </c>
      <c r="D483" t="s">
        <v>2518</v>
      </c>
      <c r="E483" t="s">
        <v>2519</v>
      </c>
      <c r="F483" t="s">
        <v>2520</v>
      </c>
      <c r="G483" t="s">
        <v>2920</v>
      </c>
      <c r="H483" t="s">
        <v>2921</v>
      </c>
      <c r="I483">
        <v>9429073</v>
      </c>
      <c r="J483">
        <v>719985</v>
      </c>
      <c r="K483" t="s">
        <v>3288</v>
      </c>
      <c r="L483" t="s">
        <v>3289</v>
      </c>
      <c r="M483">
        <v>9448599</v>
      </c>
      <c r="N483">
        <v>68</v>
      </c>
      <c r="O483">
        <v>45963.663999999997</v>
      </c>
      <c r="P483" t="s">
        <v>122</v>
      </c>
      <c r="Q483">
        <v>18</v>
      </c>
      <c r="R483">
        <v>12</v>
      </c>
      <c r="S483">
        <v>81</v>
      </c>
      <c r="T483">
        <v>51305072</v>
      </c>
      <c r="U483">
        <v>70</v>
      </c>
      <c r="V483">
        <v>177</v>
      </c>
      <c r="W483">
        <v>45963.665676960663</v>
      </c>
      <c r="X483">
        <v>51305072.646258257</v>
      </c>
      <c r="Y483">
        <v>1936.489</v>
      </c>
      <c r="Z483">
        <f>VLOOKUP($AC483,'2017 Seattle Tracts'!$C$2:$Z$399,24,FALSE)</f>
        <v>9448598.8049999997</v>
      </c>
      <c r="AA483">
        <f t="shared" si="15"/>
        <v>2.049498597585973E-4</v>
      </c>
      <c r="AB483" t="s">
        <v>166</v>
      </c>
      <c r="AC483" t="str">
        <f t="shared" si="14"/>
        <v>Census Tract 93, King County, Washington</v>
      </c>
      <c r="AD483">
        <f>VLOOKUP($AC483,'2017 Seattle Tracts'!$C$2:$Z$399,AD$1,FALSE)*AA483</f>
        <v>0.54619137625666181</v>
      </c>
      <c r="AE483">
        <f>VLOOKUP($AC483,'2017 Seattle Tracts'!$C$2:$Z$399,AE$1,FALSE)*AA483</f>
        <v>0.43490360240774345</v>
      </c>
      <c r="AF483">
        <f>VLOOKUP($AC483,'2017 Seattle Tracts'!$C$2:$Z$399,AF$1,FALSE)*AA483</f>
        <v>0.11128777384891833</v>
      </c>
      <c r="AG483">
        <f>VLOOKUP($AC483,'2017 Seattle Tracts'!$C$2:$Z$399,AG$1,FALSE)*AA483</f>
        <v>0.54619137625666181</v>
      </c>
      <c r="AH483">
        <f>VLOOKUP($AC483,'2017 Seattle Tracts'!$C$2:$Z$399,AH$1,FALSE)*AA483</f>
        <v>0.43490360240774345</v>
      </c>
      <c r="AI483">
        <f>VLOOKUP($AC483,'2017 Seattle Tracts'!$C$2:$Z$399,AI$1,FALSE)*AA483</f>
        <v>0.11128777384891833</v>
      </c>
      <c r="AJ483">
        <f>VLOOKUP($AC483,'2017 Seattle Tracts'!$C$2:$Z$399,AJ$1,FALSE)*AA483</f>
        <v>0.2572120739970396</v>
      </c>
      <c r="AK483">
        <f>VLOOKUP($AC483,'2017 Seattle Tracts'!$C$2:$Z$399,AK$1,FALSE)*AA483</f>
        <v>1.7215788219722174E-2</v>
      </c>
      <c r="AL483">
        <f>VLOOKUP($AC483,'2017 Seattle Tracts'!$C$2:$Z$399,AL$1,FALSE)*AA483</f>
        <v>9.8375932684126709E-3</v>
      </c>
      <c r="AM483">
        <f>VLOOKUP($AC483,'2017 Seattle Tracts'!$C$2:$Z$399,AM$1,FALSE)*AA483</f>
        <v>1.1067292426964255E-2</v>
      </c>
      <c r="AN483">
        <f>VLOOKUP($AC483,'2017 Seattle Tracts'!$C$2:$Z$399,AN$1,FALSE)*AA483</f>
        <v>3.9350373073650684E-2</v>
      </c>
      <c r="AO483">
        <f>VLOOKUP($AC483,'2017 Seattle Tracts'!$C$2:$Z$399,AO$1,FALSE)*AA483</f>
        <v>2.6848431628376246E-2</v>
      </c>
      <c r="AP483">
        <f>VLOOKUP($AC483,'2017 Seattle Tracts'!$C$2:$Z$399,AP$1,FALSE)*AA483</f>
        <v>6.7633453720337107E-3</v>
      </c>
      <c r="AQ483">
        <f>VLOOKUP($AC483,'2017 Seattle Tracts'!$C$2:$Z$399,AQ$1,FALSE)*AA483</f>
        <v>0</v>
      </c>
      <c r="AR483">
        <f>VLOOKUP($AC483,'2017 Seattle Tracts'!$C$2:$Z$399,AR$1,FALSE)*AA483</f>
        <v>5.8615659890958828E-2</v>
      </c>
      <c r="AS483">
        <f>VLOOKUP($AC483,'2017 Seattle Tracts'!$C$2:$Z$399,AS$1,FALSE)*AA483</f>
        <v>4.6523618165201584E-2</v>
      </c>
      <c r="AT483">
        <f>VLOOKUP($AC483,'2017 Seattle Tracts'!$C$2:$Z$399,AT$1,FALSE)*AA483</f>
        <v>0</v>
      </c>
      <c r="AU483">
        <f>VLOOKUP($AC483,'2017 Seattle Tracts'!$C$2:$Z$399,AU$1,FALSE)*AA483</f>
        <v>0</v>
      </c>
      <c r="AV483">
        <f>VLOOKUP($AC483,'2017 Seattle Tracts'!$C$2:$Z$399,AV$1,FALSE)*AA483</f>
        <v>9.8375932684126709E-3</v>
      </c>
      <c r="AW483">
        <f>VLOOKUP($AC483,'2017 Seattle Tracts'!$C$2:$Z$399,AW$1,FALSE)*AA483</f>
        <v>6.1484957927579187E-3</v>
      </c>
      <c r="AX483">
        <f>VLOOKUP($AC483,'2017 Seattle Tracts'!$C$2:$Z$399,AX$1,FALSE)*AA483</f>
        <v>5.3286963537235298E-2</v>
      </c>
      <c r="AY483">
        <f>VLOOKUP($AC483,'2017 Seattle Tracts'!$C$2:$Z$399,AY$1,FALSE)*AA483</f>
        <v>3.4841476158961543E-3</v>
      </c>
    </row>
    <row r="484" spans="1:51" x14ac:dyDescent="0.25">
      <c r="A484" t="s">
        <v>2917</v>
      </c>
      <c r="B484" t="s">
        <v>2918</v>
      </c>
      <c r="C484" t="s">
        <v>3287</v>
      </c>
      <c r="D484" t="s">
        <v>2518</v>
      </c>
      <c r="E484" t="s">
        <v>2519</v>
      </c>
      <c r="F484" t="s">
        <v>2520</v>
      </c>
      <c r="G484" t="s">
        <v>2920</v>
      </c>
      <c r="H484" t="s">
        <v>2921</v>
      </c>
      <c r="I484">
        <v>9429073</v>
      </c>
      <c r="J484">
        <v>719985</v>
      </c>
      <c r="K484" t="s">
        <v>3288</v>
      </c>
      <c r="L484" t="s">
        <v>3289</v>
      </c>
      <c r="M484">
        <v>9448599</v>
      </c>
      <c r="N484">
        <v>79</v>
      </c>
      <c r="O484">
        <v>33865.487999999998</v>
      </c>
      <c r="P484" t="s">
        <v>179</v>
      </c>
      <c r="Q484">
        <v>17</v>
      </c>
      <c r="R484">
        <v>5</v>
      </c>
      <c r="S484">
        <v>9</v>
      </c>
      <c r="T484">
        <v>48475916</v>
      </c>
      <c r="U484">
        <v>81</v>
      </c>
      <c r="V484">
        <v>166</v>
      </c>
      <c r="W484">
        <v>33865.489173990143</v>
      </c>
      <c r="X484">
        <v>48475914.455668777</v>
      </c>
      <c r="Y484">
        <v>647412.01199999999</v>
      </c>
      <c r="Z484">
        <f>VLOOKUP($AC484,'2017 Seattle Tracts'!$C$2:$Z$399,24,FALSE)</f>
        <v>9448598.8049999997</v>
      </c>
      <c r="AA484">
        <f t="shared" si="15"/>
        <v>6.8519367301043951E-2</v>
      </c>
      <c r="AB484" t="s">
        <v>178</v>
      </c>
      <c r="AC484" t="str">
        <f t="shared" si="14"/>
        <v>Census Tract 93, King County, Washington</v>
      </c>
      <c r="AD484">
        <f>VLOOKUP($AC484,'2017 Seattle Tracts'!$C$2:$Z$399,AD$1,FALSE)*AA484</f>
        <v>182.60411385728213</v>
      </c>
      <c r="AE484">
        <f>VLOOKUP($AC484,'2017 Seattle Tracts'!$C$2:$Z$399,AE$1,FALSE)*AA484</f>
        <v>145.39809741281528</v>
      </c>
      <c r="AF484">
        <f>VLOOKUP($AC484,'2017 Seattle Tracts'!$C$2:$Z$399,AF$1,FALSE)*AA484</f>
        <v>37.206016444466869</v>
      </c>
      <c r="AG484">
        <f>VLOOKUP($AC484,'2017 Seattle Tracts'!$C$2:$Z$399,AG$1,FALSE)*AA484</f>
        <v>182.60411385728213</v>
      </c>
      <c r="AH484">
        <f>VLOOKUP($AC484,'2017 Seattle Tracts'!$C$2:$Z$399,AH$1,FALSE)*AA484</f>
        <v>145.39809741281528</v>
      </c>
      <c r="AI484">
        <f>VLOOKUP($AC484,'2017 Seattle Tracts'!$C$2:$Z$399,AI$1,FALSE)*AA484</f>
        <v>37.206016444466869</v>
      </c>
      <c r="AJ484">
        <f>VLOOKUP($AC484,'2017 Seattle Tracts'!$C$2:$Z$399,AJ$1,FALSE)*AA484</f>
        <v>85.991805962810162</v>
      </c>
      <c r="AK484">
        <f>VLOOKUP($AC484,'2017 Seattle Tracts'!$C$2:$Z$399,AK$1,FALSE)*AA484</f>
        <v>5.7556268532876915</v>
      </c>
      <c r="AL484">
        <f>VLOOKUP($AC484,'2017 Seattle Tracts'!$C$2:$Z$399,AL$1,FALSE)*AA484</f>
        <v>3.2889296304501094</v>
      </c>
      <c r="AM484">
        <f>VLOOKUP($AC484,'2017 Seattle Tracts'!$C$2:$Z$399,AM$1,FALSE)*AA484</f>
        <v>3.7000458342563736</v>
      </c>
      <c r="AN484">
        <f>VLOOKUP($AC484,'2017 Seattle Tracts'!$C$2:$Z$399,AN$1,FALSE)*AA484</f>
        <v>13.155718521800438</v>
      </c>
      <c r="AO484">
        <f>VLOOKUP($AC484,'2017 Seattle Tracts'!$C$2:$Z$399,AO$1,FALSE)*AA484</f>
        <v>8.9760371164367569</v>
      </c>
      <c r="AP484">
        <f>VLOOKUP($AC484,'2017 Seattle Tracts'!$C$2:$Z$399,AP$1,FALSE)*AA484</f>
        <v>2.2611391209344505</v>
      </c>
      <c r="AQ484">
        <f>VLOOKUP($AC484,'2017 Seattle Tracts'!$C$2:$Z$399,AQ$1,FALSE)*AA484</f>
        <v>0</v>
      </c>
      <c r="AR484">
        <f>VLOOKUP($AC484,'2017 Seattle Tracts'!$C$2:$Z$399,AR$1,FALSE)*AA484</f>
        <v>19.59653904809857</v>
      </c>
      <c r="AS484">
        <f>VLOOKUP($AC484,'2017 Seattle Tracts'!$C$2:$Z$399,AS$1,FALSE)*AA484</f>
        <v>15.553896377336978</v>
      </c>
      <c r="AT484">
        <f>VLOOKUP($AC484,'2017 Seattle Tracts'!$C$2:$Z$399,AT$1,FALSE)*AA484</f>
        <v>0</v>
      </c>
      <c r="AU484">
        <f>VLOOKUP($AC484,'2017 Seattle Tracts'!$C$2:$Z$399,AU$1,FALSE)*AA484</f>
        <v>0</v>
      </c>
      <c r="AV484">
        <f>VLOOKUP($AC484,'2017 Seattle Tracts'!$C$2:$Z$399,AV$1,FALSE)*AA484</f>
        <v>3.2889296304501094</v>
      </c>
      <c r="AW484">
        <f>VLOOKUP($AC484,'2017 Seattle Tracts'!$C$2:$Z$399,AW$1,FALSE)*AA484</f>
        <v>2.0555810190313184</v>
      </c>
      <c r="AX484">
        <f>VLOOKUP($AC484,'2017 Seattle Tracts'!$C$2:$Z$399,AX$1,FALSE)*AA484</f>
        <v>17.815035498271428</v>
      </c>
      <c r="AY484">
        <f>VLOOKUP($AC484,'2017 Seattle Tracts'!$C$2:$Z$399,AY$1,FALSE)*AA484</f>
        <v>1.1648292441177472</v>
      </c>
    </row>
    <row r="485" spans="1:51" x14ac:dyDescent="0.25">
      <c r="A485" t="s">
        <v>2917</v>
      </c>
      <c r="B485" t="s">
        <v>2918</v>
      </c>
      <c r="C485" t="s">
        <v>3287</v>
      </c>
      <c r="D485" t="s">
        <v>2518</v>
      </c>
      <c r="E485" t="s">
        <v>2519</v>
      </c>
      <c r="F485" t="s">
        <v>2520</v>
      </c>
      <c r="G485" t="s">
        <v>2920</v>
      </c>
      <c r="H485" t="s">
        <v>2921</v>
      </c>
      <c r="I485">
        <v>9429073</v>
      </c>
      <c r="J485">
        <v>719985</v>
      </c>
      <c r="K485" t="s">
        <v>3288</v>
      </c>
      <c r="L485" t="s">
        <v>3289</v>
      </c>
      <c r="M485">
        <v>9448599</v>
      </c>
      <c r="N485">
        <v>80</v>
      </c>
      <c r="O485">
        <v>40522.184000000001</v>
      </c>
      <c r="P485" t="s">
        <v>179</v>
      </c>
      <c r="Q485">
        <v>17</v>
      </c>
      <c r="R485">
        <v>5</v>
      </c>
      <c r="S485">
        <v>95</v>
      </c>
      <c r="T485">
        <v>52620472</v>
      </c>
      <c r="U485">
        <v>82</v>
      </c>
      <c r="V485">
        <v>172</v>
      </c>
      <c r="W485">
        <v>40522.182927532267</v>
      </c>
      <c r="X485">
        <v>52620470.788550943</v>
      </c>
      <c r="Y485">
        <v>561529.34299999999</v>
      </c>
      <c r="Z485">
        <f>VLOOKUP($AC485,'2017 Seattle Tracts'!$C$2:$Z$399,24,FALSE)</f>
        <v>9448598.8049999997</v>
      </c>
      <c r="AA485">
        <f t="shared" si="15"/>
        <v>5.9429906443149064E-2</v>
      </c>
      <c r="AB485" t="s">
        <v>180</v>
      </c>
      <c r="AC485" t="str">
        <f t="shared" si="14"/>
        <v>Census Tract 93, King County, Washington</v>
      </c>
      <c r="AD485">
        <f>VLOOKUP($AC485,'2017 Seattle Tracts'!$C$2:$Z$399,AD$1,FALSE)*AA485</f>
        <v>158.38070067099227</v>
      </c>
      <c r="AE485">
        <f>VLOOKUP($AC485,'2017 Seattle Tracts'!$C$2:$Z$399,AE$1,FALSE)*AA485</f>
        <v>126.11026147236231</v>
      </c>
      <c r="AF485">
        <f>VLOOKUP($AC485,'2017 Seattle Tracts'!$C$2:$Z$399,AF$1,FALSE)*AA485</f>
        <v>32.270439198629944</v>
      </c>
      <c r="AG485">
        <f>VLOOKUP($AC485,'2017 Seattle Tracts'!$C$2:$Z$399,AG$1,FALSE)*AA485</f>
        <v>158.38070067099227</v>
      </c>
      <c r="AH485">
        <f>VLOOKUP($AC485,'2017 Seattle Tracts'!$C$2:$Z$399,AH$1,FALSE)*AA485</f>
        <v>126.11026147236231</v>
      </c>
      <c r="AI485">
        <f>VLOOKUP($AC485,'2017 Seattle Tracts'!$C$2:$Z$399,AI$1,FALSE)*AA485</f>
        <v>32.270439198629944</v>
      </c>
      <c r="AJ485">
        <f>VLOOKUP($AC485,'2017 Seattle Tracts'!$C$2:$Z$399,AJ$1,FALSE)*AA485</f>
        <v>74.584532586152079</v>
      </c>
      <c r="AK485">
        <f>VLOOKUP($AC485,'2017 Seattle Tracts'!$C$2:$Z$399,AK$1,FALSE)*AA485</f>
        <v>4.9921121412245215</v>
      </c>
      <c r="AL485">
        <f>VLOOKUP($AC485,'2017 Seattle Tracts'!$C$2:$Z$399,AL$1,FALSE)*AA485</f>
        <v>2.8526355092711553</v>
      </c>
      <c r="AM485">
        <f>VLOOKUP($AC485,'2017 Seattle Tracts'!$C$2:$Z$399,AM$1,FALSE)*AA485</f>
        <v>3.2092149479300494</v>
      </c>
      <c r="AN485">
        <f>VLOOKUP($AC485,'2017 Seattle Tracts'!$C$2:$Z$399,AN$1,FALSE)*AA485</f>
        <v>11.410542037084621</v>
      </c>
      <c r="AO485">
        <f>VLOOKUP($AC485,'2017 Seattle Tracts'!$C$2:$Z$399,AO$1,FALSE)*AA485</f>
        <v>7.7853177440525272</v>
      </c>
      <c r="AP485">
        <f>VLOOKUP($AC485,'2017 Seattle Tracts'!$C$2:$Z$399,AP$1,FALSE)*AA485</f>
        <v>1.9611869126239192</v>
      </c>
      <c r="AQ485">
        <f>VLOOKUP($AC485,'2017 Seattle Tracts'!$C$2:$Z$399,AQ$1,FALSE)*AA485</f>
        <v>0</v>
      </c>
      <c r="AR485">
        <f>VLOOKUP($AC485,'2017 Seattle Tracts'!$C$2:$Z$399,AR$1,FALSE)*AA485</f>
        <v>16.996953242740631</v>
      </c>
      <c r="AS485">
        <f>VLOOKUP($AC485,'2017 Seattle Tracts'!$C$2:$Z$399,AS$1,FALSE)*AA485</f>
        <v>13.490588762594838</v>
      </c>
      <c r="AT485">
        <f>VLOOKUP($AC485,'2017 Seattle Tracts'!$C$2:$Z$399,AT$1,FALSE)*AA485</f>
        <v>0</v>
      </c>
      <c r="AU485">
        <f>VLOOKUP($AC485,'2017 Seattle Tracts'!$C$2:$Z$399,AU$1,FALSE)*AA485</f>
        <v>0</v>
      </c>
      <c r="AV485">
        <f>VLOOKUP($AC485,'2017 Seattle Tracts'!$C$2:$Z$399,AV$1,FALSE)*AA485</f>
        <v>2.8526355092711553</v>
      </c>
      <c r="AW485">
        <f>VLOOKUP($AC485,'2017 Seattle Tracts'!$C$2:$Z$399,AW$1,FALSE)*AA485</f>
        <v>1.7828971932944719</v>
      </c>
      <c r="AX485">
        <f>VLOOKUP($AC485,'2017 Seattle Tracts'!$C$2:$Z$399,AX$1,FALSE)*AA485</f>
        <v>15.451775675218757</v>
      </c>
      <c r="AY485">
        <f>VLOOKUP($AC485,'2017 Seattle Tracts'!$C$2:$Z$399,AY$1,FALSE)*AA485</f>
        <v>1.0103084095335342</v>
      </c>
    </row>
    <row r="486" spans="1:51" x14ac:dyDescent="0.25">
      <c r="A486" t="s">
        <v>2917</v>
      </c>
      <c r="B486" t="s">
        <v>2918</v>
      </c>
      <c r="C486" t="s">
        <v>3290</v>
      </c>
      <c r="D486" t="s">
        <v>2776</v>
      </c>
      <c r="E486" t="s">
        <v>2777</v>
      </c>
      <c r="F486" t="s">
        <v>2778</v>
      </c>
      <c r="G486" t="s">
        <v>2920</v>
      </c>
      <c r="H486" t="s">
        <v>2921</v>
      </c>
      <c r="I486">
        <v>943059</v>
      </c>
      <c r="J486">
        <v>0</v>
      </c>
      <c r="K486" t="s">
        <v>3291</v>
      </c>
      <c r="L486" t="s">
        <v>3292</v>
      </c>
      <c r="M486">
        <v>943056</v>
      </c>
      <c r="N486">
        <v>34</v>
      </c>
      <c r="O486">
        <v>25387.706999999999</v>
      </c>
      <c r="P486" t="s">
        <v>122</v>
      </c>
      <c r="Q486">
        <v>6</v>
      </c>
      <c r="R486">
        <v>9</v>
      </c>
      <c r="S486">
        <v>24</v>
      </c>
      <c r="T486">
        <v>37314628</v>
      </c>
      <c r="U486">
        <v>36</v>
      </c>
      <c r="V486">
        <v>123</v>
      </c>
      <c r="W486">
        <v>25387.707496248549</v>
      </c>
      <c r="X486">
        <v>37314629.789188273</v>
      </c>
      <c r="Y486">
        <v>115.33799999999999</v>
      </c>
      <c r="Z486">
        <f>VLOOKUP($AC486,'2017 Seattle Tracts'!$C$2:$Z$399,24,FALSE)</f>
        <v>943056.43400000001</v>
      </c>
      <c r="AA486">
        <f t="shared" si="15"/>
        <v>1.2230233084863296E-4</v>
      </c>
      <c r="AB486" t="s">
        <v>125</v>
      </c>
      <c r="AC486" t="str">
        <f t="shared" si="14"/>
        <v>Census Tract 18, King County, Washington</v>
      </c>
      <c r="AD486">
        <f>VLOOKUP($AC486,'2017 Seattle Tracts'!$C$2:$Z$399,AD$1,FALSE)*AA486</f>
        <v>0.65798653996564538</v>
      </c>
      <c r="AE486">
        <f>VLOOKUP($AC486,'2017 Seattle Tracts'!$C$2:$Z$399,AE$1,FALSE)*AA486</f>
        <v>0.53177053452985612</v>
      </c>
      <c r="AF486">
        <f>VLOOKUP($AC486,'2017 Seattle Tracts'!$C$2:$Z$399,AF$1,FALSE)*AA486</f>
        <v>0.12621600543578923</v>
      </c>
      <c r="AG486">
        <f>VLOOKUP($AC486,'2017 Seattle Tracts'!$C$2:$Z$399,AG$1,FALSE)*AA486</f>
        <v>0.65798653996564538</v>
      </c>
      <c r="AH486">
        <f>VLOOKUP($AC486,'2017 Seattle Tracts'!$C$2:$Z$399,AH$1,FALSE)*AA486</f>
        <v>0.53177053452985612</v>
      </c>
      <c r="AI486">
        <f>VLOOKUP($AC486,'2017 Seattle Tracts'!$C$2:$Z$399,AI$1,FALSE)*AA486</f>
        <v>0.12621600543578923</v>
      </c>
      <c r="AJ486">
        <f>VLOOKUP($AC486,'2017 Seattle Tracts'!$C$2:$Z$399,AJ$1,FALSE)*AA486</f>
        <v>0.40702215706425049</v>
      </c>
      <c r="AK486">
        <f>VLOOKUP($AC486,'2017 Seattle Tracts'!$C$2:$Z$399,AK$1,FALSE)*AA486</f>
        <v>3.5712280607800823E-2</v>
      </c>
      <c r="AL486">
        <f>VLOOKUP($AC486,'2017 Seattle Tracts'!$C$2:$Z$399,AL$1,FALSE)*AA486</f>
        <v>1.5654698348625019E-2</v>
      </c>
      <c r="AM486">
        <f>VLOOKUP($AC486,'2017 Seattle Tracts'!$C$2:$Z$399,AM$1,FALSE)*AA486</f>
        <v>1.5899303010322285E-3</v>
      </c>
      <c r="AN486">
        <f>VLOOKUP($AC486,'2017 Seattle Tracts'!$C$2:$Z$399,AN$1,FALSE)*AA486</f>
        <v>2.0791396244267605E-3</v>
      </c>
      <c r="AO486">
        <f>VLOOKUP($AC486,'2017 Seattle Tracts'!$C$2:$Z$399,AO$1,FALSE)*AA486</f>
        <v>2.0791396244267605E-3</v>
      </c>
      <c r="AP486">
        <f>VLOOKUP($AC486,'2017 Seattle Tracts'!$C$2:$Z$399,AP$1,FALSE)*AA486</f>
        <v>8.0719538360097751E-3</v>
      </c>
      <c r="AQ486">
        <f>VLOOKUP($AC486,'2017 Seattle Tracts'!$C$2:$Z$399,AQ$1,FALSE)*AA486</f>
        <v>0</v>
      </c>
      <c r="AR486">
        <f>VLOOKUP($AC486,'2017 Seattle Tracts'!$C$2:$Z$399,AR$1,FALSE)*AA486</f>
        <v>3.0575582712158243E-2</v>
      </c>
      <c r="AS486">
        <f>VLOOKUP($AC486,'2017 Seattle Tracts'!$C$2:$Z$399,AS$1,FALSE)*AA486</f>
        <v>6.2251886401954178E-2</v>
      </c>
      <c r="AT486">
        <f>VLOOKUP($AC486,'2017 Seattle Tracts'!$C$2:$Z$399,AT$1,FALSE)*AA486</f>
        <v>1.5899303010322285E-3</v>
      </c>
      <c r="AU486">
        <f>VLOOKUP($AC486,'2017 Seattle Tracts'!$C$2:$Z$399,AU$1,FALSE)*AA486</f>
        <v>0</v>
      </c>
      <c r="AV486">
        <f>VLOOKUP($AC486,'2017 Seattle Tracts'!$C$2:$Z$399,AV$1,FALSE)*AA486</f>
        <v>1.1496419099771499E-2</v>
      </c>
      <c r="AW486">
        <f>VLOOKUP($AC486,'2017 Seattle Tracts'!$C$2:$Z$399,AW$1,FALSE)*AA486</f>
        <v>1.1007209776376967E-2</v>
      </c>
      <c r="AX486">
        <f>VLOOKUP($AC486,'2017 Seattle Tracts'!$C$2:$Z$399,AX$1,FALSE)*AA486</f>
        <v>5.5280653543582102E-2</v>
      </c>
      <c r="AY486">
        <f>VLOOKUP($AC486,'2017 Seattle Tracts'!$C$2:$Z$399,AY$1,FALSE)*AA486</f>
        <v>1.3575558724198258E-2</v>
      </c>
    </row>
    <row r="487" spans="1:51" x14ac:dyDescent="0.25">
      <c r="A487" t="s">
        <v>2917</v>
      </c>
      <c r="B487" t="s">
        <v>2918</v>
      </c>
      <c r="C487" t="s">
        <v>3290</v>
      </c>
      <c r="D487" t="s">
        <v>2776</v>
      </c>
      <c r="E487" t="s">
        <v>2777</v>
      </c>
      <c r="F487" t="s">
        <v>2778</v>
      </c>
      <c r="G487" t="s">
        <v>2920</v>
      </c>
      <c r="H487" t="s">
        <v>2921</v>
      </c>
      <c r="I487">
        <v>943059</v>
      </c>
      <c r="J487">
        <v>0</v>
      </c>
      <c r="K487" t="s">
        <v>3291</v>
      </c>
      <c r="L487" t="s">
        <v>3292</v>
      </c>
      <c r="M487">
        <v>943056</v>
      </c>
      <c r="N487">
        <v>115</v>
      </c>
      <c r="O487">
        <v>20132.898000000001</v>
      </c>
      <c r="P487" t="s">
        <v>215</v>
      </c>
      <c r="Q487">
        <v>2</v>
      </c>
      <c r="R487">
        <v>10</v>
      </c>
      <c r="S487">
        <v>9</v>
      </c>
      <c r="T487">
        <v>21704706</v>
      </c>
      <c r="U487">
        <v>117</v>
      </c>
      <c r="V487">
        <v>110</v>
      </c>
      <c r="W487">
        <v>20132.89824583329</v>
      </c>
      <c r="X487">
        <v>21704706.261455789</v>
      </c>
      <c r="Y487">
        <v>617326.19200000004</v>
      </c>
      <c r="Z487">
        <f>VLOOKUP($AC487,'2017 Seattle Tracts'!$C$2:$Z$399,24,FALSE)</f>
        <v>943056.43400000001</v>
      </c>
      <c r="AA487">
        <f t="shared" si="15"/>
        <v>0.65460153787572806</v>
      </c>
      <c r="AB487" t="s">
        <v>218</v>
      </c>
      <c r="AC487" t="str">
        <f t="shared" si="14"/>
        <v>Census Tract 18, King County, Washington</v>
      </c>
      <c r="AD487">
        <f>VLOOKUP($AC487,'2017 Seattle Tracts'!$C$2:$Z$399,AD$1,FALSE)*AA487</f>
        <v>3521.756273771417</v>
      </c>
      <c r="AE487">
        <f>VLOOKUP($AC487,'2017 Seattle Tracts'!$C$2:$Z$399,AE$1,FALSE)*AA487</f>
        <v>2846.2074866836656</v>
      </c>
      <c r="AF487">
        <f>VLOOKUP($AC487,'2017 Seattle Tracts'!$C$2:$Z$399,AF$1,FALSE)*AA487</f>
        <v>675.54878708775141</v>
      </c>
      <c r="AG487">
        <f>VLOOKUP($AC487,'2017 Seattle Tracts'!$C$2:$Z$399,AG$1,FALSE)*AA487</f>
        <v>3521.756273771417</v>
      </c>
      <c r="AH487">
        <f>VLOOKUP($AC487,'2017 Seattle Tracts'!$C$2:$Z$399,AH$1,FALSE)*AA487</f>
        <v>2846.2074866836656</v>
      </c>
      <c r="AI487">
        <f>VLOOKUP($AC487,'2017 Seattle Tracts'!$C$2:$Z$399,AI$1,FALSE)*AA487</f>
        <v>675.54878708775141</v>
      </c>
      <c r="AJ487">
        <f>VLOOKUP($AC487,'2017 Seattle Tracts'!$C$2:$Z$399,AJ$1,FALSE)*AA487</f>
        <v>2178.5139180504229</v>
      </c>
      <c r="AK487">
        <f>VLOOKUP($AC487,'2017 Seattle Tracts'!$C$2:$Z$399,AK$1,FALSE)*AA487</f>
        <v>191.1436490597126</v>
      </c>
      <c r="AL487">
        <f>VLOOKUP($AC487,'2017 Seattle Tracts'!$C$2:$Z$399,AL$1,FALSE)*AA487</f>
        <v>83.788996848093191</v>
      </c>
      <c r="AM487">
        <f>VLOOKUP($AC487,'2017 Seattle Tracts'!$C$2:$Z$399,AM$1,FALSE)*AA487</f>
        <v>8.5098199923844646</v>
      </c>
      <c r="AN487">
        <f>VLOOKUP($AC487,'2017 Seattle Tracts'!$C$2:$Z$399,AN$1,FALSE)*AA487</f>
        <v>11.128226143887376</v>
      </c>
      <c r="AO487">
        <f>VLOOKUP($AC487,'2017 Seattle Tracts'!$C$2:$Z$399,AO$1,FALSE)*AA487</f>
        <v>11.128226143887376</v>
      </c>
      <c r="AP487">
        <f>VLOOKUP($AC487,'2017 Seattle Tracts'!$C$2:$Z$399,AP$1,FALSE)*AA487</f>
        <v>43.203701499798051</v>
      </c>
      <c r="AQ487">
        <f>VLOOKUP($AC487,'2017 Seattle Tracts'!$C$2:$Z$399,AQ$1,FALSE)*AA487</f>
        <v>0</v>
      </c>
      <c r="AR487">
        <f>VLOOKUP($AC487,'2017 Seattle Tracts'!$C$2:$Z$399,AR$1,FALSE)*AA487</f>
        <v>163.650384468932</v>
      </c>
      <c r="AS487">
        <f>VLOOKUP($AC487,'2017 Seattle Tracts'!$C$2:$Z$399,AS$1,FALSE)*AA487</f>
        <v>333.19218277874558</v>
      </c>
      <c r="AT487">
        <f>VLOOKUP($AC487,'2017 Seattle Tracts'!$C$2:$Z$399,AT$1,FALSE)*AA487</f>
        <v>8.5098199923844646</v>
      </c>
      <c r="AU487">
        <f>VLOOKUP($AC487,'2017 Seattle Tracts'!$C$2:$Z$399,AU$1,FALSE)*AA487</f>
        <v>0</v>
      </c>
      <c r="AV487">
        <f>VLOOKUP($AC487,'2017 Seattle Tracts'!$C$2:$Z$399,AV$1,FALSE)*AA487</f>
        <v>61.532544560318435</v>
      </c>
      <c r="AW487">
        <f>VLOOKUP($AC487,'2017 Seattle Tracts'!$C$2:$Z$399,AW$1,FALSE)*AA487</f>
        <v>58.914138408815525</v>
      </c>
      <c r="AX487">
        <f>VLOOKUP($AC487,'2017 Seattle Tracts'!$C$2:$Z$399,AX$1,FALSE)*AA487</f>
        <v>295.87989511982909</v>
      </c>
      <c r="AY487">
        <f>VLOOKUP($AC487,'2017 Seattle Tracts'!$C$2:$Z$399,AY$1,FALSE)*AA487</f>
        <v>72.660770704205817</v>
      </c>
    </row>
    <row r="488" spans="1:51" x14ac:dyDescent="0.25">
      <c r="A488" t="s">
        <v>2917</v>
      </c>
      <c r="B488" t="s">
        <v>2918</v>
      </c>
      <c r="C488" t="s">
        <v>3290</v>
      </c>
      <c r="D488" t="s">
        <v>2776</v>
      </c>
      <c r="E488" t="s">
        <v>2777</v>
      </c>
      <c r="F488" t="s">
        <v>2778</v>
      </c>
      <c r="G488" t="s">
        <v>2920</v>
      </c>
      <c r="H488" t="s">
        <v>2921</v>
      </c>
      <c r="I488">
        <v>943059</v>
      </c>
      <c r="J488">
        <v>0</v>
      </c>
      <c r="K488" t="s">
        <v>3291</v>
      </c>
      <c r="L488" t="s">
        <v>3292</v>
      </c>
      <c r="M488">
        <v>943056</v>
      </c>
      <c r="N488">
        <v>118</v>
      </c>
      <c r="O488">
        <v>26501.526999999998</v>
      </c>
      <c r="P488" t="s">
        <v>122</v>
      </c>
      <c r="Q488">
        <v>1</v>
      </c>
      <c r="R488">
        <v>2</v>
      </c>
      <c r="S488">
        <v>19</v>
      </c>
      <c r="T488">
        <v>42044564</v>
      </c>
      <c r="U488">
        <v>120</v>
      </c>
      <c r="V488">
        <v>115</v>
      </c>
      <c r="W488">
        <v>26501.526591104928</v>
      </c>
      <c r="X488">
        <v>42044563.673184253</v>
      </c>
      <c r="Y488">
        <v>325614.90299999999</v>
      </c>
      <c r="Z488">
        <f>VLOOKUP($AC488,'2017 Seattle Tracts'!$C$2:$Z$399,24,FALSE)</f>
        <v>943056.43400000001</v>
      </c>
      <c r="AA488">
        <f t="shared" si="15"/>
        <v>0.34527615873304141</v>
      </c>
      <c r="AB488" t="s">
        <v>221</v>
      </c>
      <c r="AC488" t="str">
        <f t="shared" si="14"/>
        <v>Census Tract 18, King County, Washington</v>
      </c>
      <c r="AD488">
        <f>VLOOKUP($AC488,'2017 Seattle Tracts'!$C$2:$Z$399,AD$1,FALSE)*AA488</f>
        <v>1857.5857339837628</v>
      </c>
      <c r="AE488">
        <f>VLOOKUP($AC488,'2017 Seattle Tracts'!$C$2:$Z$399,AE$1,FALSE)*AA488</f>
        <v>1501.2607381712639</v>
      </c>
      <c r="AF488">
        <f>VLOOKUP($AC488,'2017 Seattle Tracts'!$C$2:$Z$399,AF$1,FALSE)*AA488</f>
        <v>356.32499581249874</v>
      </c>
      <c r="AG488">
        <f>VLOOKUP($AC488,'2017 Seattle Tracts'!$C$2:$Z$399,AG$1,FALSE)*AA488</f>
        <v>1857.5857339837628</v>
      </c>
      <c r="AH488">
        <f>VLOOKUP($AC488,'2017 Seattle Tracts'!$C$2:$Z$399,AH$1,FALSE)*AA488</f>
        <v>1501.2607381712639</v>
      </c>
      <c r="AI488">
        <f>VLOOKUP($AC488,'2017 Seattle Tracts'!$C$2:$Z$399,AI$1,FALSE)*AA488</f>
        <v>356.32499581249874</v>
      </c>
      <c r="AJ488">
        <f>VLOOKUP($AC488,'2017 Seattle Tracts'!$C$2:$Z$399,AJ$1,FALSE)*AA488</f>
        <v>1149.0790562635618</v>
      </c>
      <c r="AK488">
        <f>VLOOKUP($AC488,'2017 Seattle Tracts'!$C$2:$Z$399,AK$1,FALSE)*AA488</f>
        <v>100.82063835004809</v>
      </c>
      <c r="AL488">
        <f>VLOOKUP($AC488,'2017 Seattle Tracts'!$C$2:$Z$399,AL$1,FALSE)*AA488</f>
        <v>44.1953483178293</v>
      </c>
      <c r="AM488">
        <f>VLOOKUP($AC488,'2017 Seattle Tracts'!$C$2:$Z$399,AM$1,FALSE)*AA488</f>
        <v>4.4885900635295384</v>
      </c>
      <c r="AN488">
        <f>VLOOKUP($AC488,'2017 Seattle Tracts'!$C$2:$Z$399,AN$1,FALSE)*AA488</f>
        <v>5.8696946984617036</v>
      </c>
      <c r="AO488">
        <f>VLOOKUP($AC488,'2017 Seattle Tracts'!$C$2:$Z$399,AO$1,FALSE)*AA488</f>
        <v>5.8696946984617036</v>
      </c>
      <c r="AP488">
        <f>VLOOKUP($AC488,'2017 Seattle Tracts'!$C$2:$Z$399,AP$1,FALSE)*AA488</f>
        <v>22.788226476380732</v>
      </c>
      <c r="AQ488">
        <f>VLOOKUP($AC488,'2017 Seattle Tracts'!$C$2:$Z$399,AQ$1,FALSE)*AA488</f>
        <v>0</v>
      </c>
      <c r="AR488">
        <f>VLOOKUP($AC488,'2017 Seattle Tracts'!$C$2:$Z$399,AR$1,FALSE)*AA488</f>
        <v>86.319039683260357</v>
      </c>
      <c r="AS488">
        <f>VLOOKUP($AC488,'2017 Seattle Tracts'!$C$2:$Z$399,AS$1,FALSE)*AA488</f>
        <v>175.74556479511807</v>
      </c>
      <c r="AT488">
        <f>VLOOKUP($AC488,'2017 Seattle Tracts'!$C$2:$Z$399,AT$1,FALSE)*AA488</f>
        <v>4.4885900635295384</v>
      </c>
      <c r="AU488">
        <f>VLOOKUP($AC488,'2017 Seattle Tracts'!$C$2:$Z$399,AU$1,FALSE)*AA488</f>
        <v>0</v>
      </c>
      <c r="AV488">
        <f>VLOOKUP($AC488,'2017 Seattle Tracts'!$C$2:$Z$399,AV$1,FALSE)*AA488</f>
        <v>32.455958920905893</v>
      </c>
      <c r="AW488">
        <f>VLOOKUP($AC488,'2017 Seattle Tracts'!$C$2:$Z$399,AW$1,FALSE)*AA488</f>
        <v>31.074854285973725</v>
      </c>
      <c r="AX488">
        <f>VLOOKUP($AC488,'2017 Seattle Tracts'!$C$2:$Z$399,AX$1,FALSE)*AA488</f>
        <v>156.06482374733471</v>
      </c>
      <c r="AY488">
        <f>VLOOKUP($AC488,'2017 Seattle Tracts'!$C$2:$Z$399,AY$1,FALSE)*AA488</f>
        <v>38.325653619367593</v>
      </c>
    </row>
    <row r="489" spans="1:51" x14ac:dyDescent="0.25">
      <c r="A489" t="s">
        <v>2917</v>
      </c>
      <c r="B489" t="s">
        <v>2918</v>
      </c>
      <c r="C489" t="s">
        <v>3293</v>
      </c>
      <c r="D489" t="s">
        <v>2773</v>
      </c>
      <c r="E489" t="s">
        <v>2774</v>
      </c>
      <c r="F489" t="s">
        <v>2775</v>
      </c>
      <c r="G489" t="s">
        <v>2920</v>
      </c>
      <c r="H489" t="s">
        <v>2921</v>
      </c>
      <c r="I489">
        <v>1663247</v>
      </c>
      <c r="J489">
        <v>0</v>
      </c>
      <c r="K489" t="s">
        <v>3294</v>
      </c>
      <c r="L489" t="s">
        <v>3295</v>
      </c>
      <c r="M489">
        <v>1649991</v>
      </c>
      <c r="N489">
        <v>41</v>
      </c>
      <c r="O489">
        <v>22865.453000000001</v>
      </c>
      <c r="P489" t="s">
        <v>122</v>
      </c>
      <c r="Q489">
        <v>4</v>
      </c>
      <c r="R489">
        <v>5</v>
      </c>
      <c r="S489">
        <v>95</v>
      </c>
      <c r="T489">
        <v>21491312</v>
      </c>
      <c r="U489">
        <v>43</v>
      </c>
      <c r="V489">
        <v>124</v>
      </c>
      <c r="W489">
        <v>22865.452635921651</v>
      </c>
      <c r="X489">
        <v>21491312.22830575</v>
      </c>
      <c r="Y489">
        <v>268.58100000000002</v>
      </c>
      <c r="Z489">
        <f>VLOOKUP($AC489,'2017 Seattle Tracts'!$C$2:$Z$399,24,FALSE)</f>
        <v>1649991.4350000001</v>
      </c>
      <c r="AA489">
        <f t="shared" si="15"/>
        <v>1.6277720859805554E-4</v>
      </c>
      <c r="AB489" t="s">
        <v>132</v>
      </c>
      <c r="AC489" t="str">
        <f t="shared" si="14"/>
        <v>Census Tract 19, King County, Washington</v>
      </c>
      <c r="AD489">
        <f>VLOOKUP($AC489,'2017 Seattle Tracts'!$C$2:$Z$399,AD$1,FALSE)*AA489</f>
        <v>0.7775867254729113</v>
      </c>
      <c r="AE489">
        <f>VLOOKUP($AC489,'2017 Seattle Tracts'!$C$2:$Z$399,AE$1,FALSE)*AA489</f>
        <v>0.62327393172195467</v>
      </c>
      <c r="AF489">
        <f>VLOOKUP($AC489,'2017 Seattle Tracts'!$C$2:$Z$399,AF$1,FALSE)*AA489</f>
        <v>0.15431279375095666</v>
      </c>
      <c r="AG489">
        <f>VLOOKUP($AC489,'2017 Seattle Tracts'!$C$2:$Z$399,AG$1,FALSE)*AA489</f>
        <v>0.7775867254729113</v>
      </c>
      <c r="AH489">
        <f>VLOOKUP($AC489,'2017 Seattle Tracts'!$C$2:$Z$399,AH$1,FALSE)*AA489</f>
        <v>0.62327393172195467</v>
      </c>
      <c r="AI489">
        <f>VLOOKUP($AC489,'2017 Seattle Tracts'!$C$2:$Z$399,AI$1,FALSE)*AA489</f>
        <v>0.15431279375095666</v>
      </c>
      <c r="AJ489">
        <f>VLOOKUP($AC489,'2017 Seattle Tracts'!$C$2:$Z$399,AJ$1,FALSE)*AA489</f>
        <v>0.52723537864910186</v>
      </c>
      <c r="AK489">
        <f>VLOOKUP($AC489,'2017 Seattle Tracts'!$C$2:$Z$399,AK$1,FALSE)*AA489</f>
        <v>3.3369327762601389E-2</v>
      </c>
      <c r="AL489">
        <f>VLOOKUP($AC489,'2017 Seattle Tracts'!$C$2:$Z$399,AL$1,FALSE)*AA489</f>
        <v>1.8231047362982221E-2</v>
      </c>
      <c r="AM489">
        <f>VLOOKUP($AC489,'2017 Seattle Tracts'!$C$2:$Z$399,AM$1,FALSE)*AA489</f>
        <v>8.3016376385008327E-3</v>
      </c>
      <c r="AN489">
        <f>VLOOKUP($AC489,'2017 Seattle Tracts'!$C$2:$Z$399,AN$1,FALSE)*AA489</f>
        <v>6.0227567181280551E-3</v>
      </c>
      <c r="AO489">
        <f>VLOOKUP($AC489,'2017 Seattle Tracts'!$C$2:$Z$399,AO$1,FALSE)*AA489</f>
        <v>1.2208290644854165E-2</v>
      </c>
      <c r="AP489">
        <f>VLOOKUP($AC489,'2017 Seattle Tracts'!$C$2:$Z$399,AP$1,FALSE)*AA489</f>
        <v>1.3022176687844443E-3</v>
      </c>
      <c r="AQ489">
        <f>VLOOKUP($AC489,'2017 Seattle Tracts'!$C$2:$Z$399,AQ$1,FALSE)*AA489</f>
        <v>0</v>
      </c>
      <c r="AR489">
        <f>VLOOKUP($AC489,'2017 Seattle Tracts'!$C$2:$Z$399,AR$1,FALSE)*AA489</f>
        <v>3.6787649143160552E-2</v>
      </c>
      <c r="AS489">
        <f>VLOOKUP($AC489,'2017 Seattle Tracts'!$C$2:$Z$399,AS$1,FALSE)*AA489</f>
        <v>9.0666905189116936E-2</v>
      </c>
      <c r="AT489">
        <f>VLOOKUP($AC489,'2017 Seattle Tracts'!$C$2:$Z$399,AT$1,FALSE)*AA489</f>
        <v>2.1161037117747219E-3</v>
      </c>
      <c r="AU489">
        <f>VLOOKUP($AC489,'2017 Seattle Tracts'!$C$2:$Z$399,AU$1,FALSE)*AA489</f>
        <v>0</v>
      </c>
      <c r="AV489">
        <f>VLOOKUP($AC489,'2017 Seattle Tracts'!$C$2:$Z$399,AV$1,FALSE)*AA489</f>
        <v>1.4649948773824998E-3</v>
      </c>
      <c r="AW489">
        <f>VLOOKUP($AC489,'2017 Seattle Tracts'!$C$2:$Z$399,AW$1,FALSE)*AA489</f>
        <v>1.4649948773824998E-3</v>
      </c>
      <c r="AX489">
        <f>VLOOKUP($AC489,'2017 Seattle Tracts'!$C$2:$Z$399,AX$1,FALSE)*AA489</f>
        <v>3.0113783590640274E-2</v>
      </c>
      <c r="AY489">
        <f>VLOOKUP($AC489,'2017 Seattle Tracts'!$C$2:$Z$399,AY$1,FALSE)*AA489</f>
        <v>8.3016376385008327E-3</v>
      </c>
    </row>
    <row r="490" spans="1:51" x14ac:dyDescent="0.25">
      <c r="A490" t="s">
        <v>2917</v>
      </c>
      <c r="B490" t="s">
        <v>2918</v>
      </c>
      <c r="C490" t="s">
        <v>3293</v>
      </c>
      <c r="D490" t="s">
        <v>2773</v>
      </c>
      <c r="E490" t="s">
        <v>2774</v>
      </c>
      <c r="F490" t="s">
        <v>2775</v>
      </c>
      <c r="G490" t="s">
        <v>2920</v>
      </c>
      <c r="H490" t="s">
        <v>2921</v>
      </c>
      <c r="I490">
        <v>1663247</v>
      </c>
      <c r="J490">
        <v>0</v>
      </c>
      <c r="K490" t="s">
        <v>3294</v>
      </c>
      <c r="L490" t="s">
        <v>3295</v>
      </c>
      <c r="M490">
        <v>1649991</v>
      </c>
      <c r="N490">
        <v>115</v>
      </c>
      <c r="O490">
        <v>20132.898000000001</v>
      </c>
      <c r="P490" t="s">
        <v>215</v>
      </c>
      <c r="Q490">
        <v>2</v>
      </c>
      <c r="R490">
        <v>10</v>
      </c>
      <c r="S490">
        <v>9</v>
      </c>
      <c r="T490">
        <v>21704706</v>
      </c>
      <c r="U490">
        <v>117</v>
      </c>
      <c r="V490">
        <v>110</v>
      </c>
      <c r="W490">
        <v>20132.89824583329</v>
      </c>
      <c r="X490">
        <v>21704706.261455789</v>
      </c>
      <c r="Y490">
        <v>501960.91</v>
      </c>
      <c r="Z490">
        <f>VLOOKUP($AC490,'2017 Seattle Tracts'!$C$2:$Z$399,24,FALSE)</f>
        <v>1649991.4350000001</v>
      </c>
      <c r="AA490">
        <f t="shared" si="15"/>
        <v>0.30422031251331916</v>
      </c>
      <c r="AB490" t="s">
        <v>218</v>
      </c>
      <c r="AC490" t="str">
        <f t="shared" si="14"/>
        <v>Census Tract 19, King County, Washington</v>
      </c>
      <c r="AD490">
        <f>VLOOKUP($AC490,'2017 Seattle Tracts'!$C$2:$Z$399,AD$1,FALSE)*AA490</f>
        <v>1453.2604328761256</v>
      </c>
      <c r="AE490">
        <f>VLOOKUP($AC490,'2017 Seattle Tracts'!$C$2:$Z$399,AE$1,FALSE)*AA490</f>
        <v>1164.859576613499</v>
      </c>
      <c r="AF490">
        <f>VLOOKUP($AC490,'2017 Seattle Tracts'!$C$2:$Z$399,AF$1,FALSE)*AA490</f>
        <v>288.40085626262658</v>
      </c>
      <c r="AG490">
        <f>VLOOKUP($AC490,'2017 Seattle Tracts'!$C$2:$Z$399,AG$1,FALSE)*AA490</f>
        <v>1453.2604328761256</v>
      </c>
      <c r="AH490">
        <f>VLOOKUP($AC490,'2017 Seattle Tracts'!$C$2:$Z$399,AH$1,FALSE)*AA490</f>
        <v>1164.859576613499</v>
      </c>
      <c r="AI490">
        <f>VLOOKUP($AC490,'2017 Seattle Tracts'!$C$2:$Z$399,AI$1,FALSE)*AA490</f>
        <v>288.40085626262658</v>
      </c>
      <c r="AJ490">
        <f>VLOOKUP($AC490,'2017 Seattle Tracts'!$C$2:$Z$399,AJ$1,FALSE)*AA490</f>
        <v>985.36959223064071</v>
      </c>
      <c r="AK490">
        <f>VLOOKUP($AC490,'2017 Seattle Tracts'!$C$2:$Z$399,AK$1,FALSE)*AA490</f>
        <v>62.365164065230431</v>
      </c>
      <c r="AL490">
        <f>VLOOKUP($AC490,'2017 Seattle Tracts'!$C$2:$Z$399,AL$1,FALSE)*AA490</f>
        <v>34.072675001491746</v>
      </c>
      <c r="AM490">
        <f>VLOOKUP($AC490,'2017 Seattle Tracts'!$C$2:$Z$399,AM$1,FALSE)*AA490</f>
        <v>15.515235938179277</v>
      </c>
      <c r="AN490">
        <f>VLOOKUP($AC490,'2017 Seattle Tracts'!$C$2:$Z$399,AN$1,FALSE)*AA490</f>
        <v>11.256151562992809</v>
      </c>
      <c r="AO490">
        <f>VLOOKUP($AC490,'2017 Seattle Tracts'!$C$2:$Z$399,AO$1,FALSE)*AA490</f>
        <v>22.816523438498937</v>
      </c>
      <c r="AP490">
        <f>VLOOKUP($AC490,'2017 Seattle Tracts'!$C$2:$Z$399,AP$1,FALSE)*AA490</f>
        <v>2.4337625001065533</v>
      </c>
      <c r="AQ490">
        <f>VLOOKUP($AC490,'2017 Seattle Tracts'!$C$2:$Z$399,AQ$1,FALSE)*AA490</f>
        <v>0</v>
      </c>
      <c r="AR490">
        <f>VLOOKUP($AC490,'2017 Seattle Tracts'!$C$2:$Z$399,AR$1,FALSE)*AA490</f>
        <v>68.753790628010137</v>
      </c>
      <c r="AS490">
        <f>VLOOKUP($AC490,'2017 Seattle Tracts'!$C$2:$Z$399,AS$1,FALSE)*AA490</f>
        <v>169.45071406991877</v>
      </c>
      <c r="AT490">
        <f>VLOOKUP($AC490,'2017 Seattle Tracts'!$C$2:$Z$399,AT$1,FALSE)*AA490</f>
        <v>3.954864062673149</v>
      </c>
      <c r="AU490">
        <f>VLOOKUP($AC490,'2017 Seattle Tracts'!$C$2:$Z$399,AU$1,FALSE)*AA490</f>
        <v>0</v>
      </c>
      <c r="AV490">
        <f>VLOOKUP($AC490,'2017 Seattle Tracts'!$C$2:$Z$399,AV$1,FALSE)*AA490</f>
        <v>2.7379828126198724</v>
      </c>
      <c r="AW490">
        <f>VLOOKUP($AC490,'2017 Seattle Tracts'!$C$2:$Z$399,AW$1,FALSE)*AA490</f>
        <v>2.7379828126198724</v>
      </c>
      <c r="AX490">
        <f>VLOOKUP($AC490,'2017 Seattle Tracts'!$C$2:$Z$399,AX$1,FALSE)*AA490</f>
        <v>56.280757814964048</v>
      </c>
      <c r="AY490">
        <f>VLOOKUP($AC490,'2017 Seattle Tracts'!$C$2:$Z$399,AY$1,FALSE)*AA490</f>
        <v>15.515235938179277</v>
      </c>
    </row>
    <row r="491" spans="1:51" x14ac:dyDescent="0.25">
      <c r="A491" t="s">
        <v>2917</v>
      </c>
      <c r="B491" t="s">
        <v>2918</v>
      </c>
      <c r="C491" t="s">
        <v>3293</v>
      </c>
      <c r="D491" t="s">
        <v>2773</v>
      </c>
      <c r="E491" t="s">
        <v>2774</v>
      </c>
      <c r="F491" t="s">
        <v>2775</v>
      </c>
      <c r="G491" t="s">
        <v>2920</v>
      </c>
      <c r="H491" t="s">
        <v>2921</v>
      </c>
      <c r="I491">
        <v>1663247</v>
      </c>
      <c r="J491">
        <v>0</v>
      </c>
      <c r="K491" t="s">
        <v>3294</v>
      </c>
      <c r="L491" t="s">
        <v>3295</v>
      </c>
      <c r="M491">
        <v>1649991</v>
      </c>
      <c r="N491">
        <v>116</v>
      </c>
      <c r="O491">
        <v>25503.057000000001</v>
      </c>
      <c r="P491" t="s">
        <v>215</v>
      </c>
      <c r="Q491">
        <v>2</v>
      </c>
      <c r="R491">
        <v>10</v>
      </c>
      <c r="S491">
        <v>94</v>
      </c>
      <c r="T491">
        <v>34380472</v>
      </c>
      <c r="U491">
        <v>118</v>
      </c>
      <c r="V491">
        <v>112</v>
      </c>
      <c r="W491">
        <v>25503.057408269069</v>
      </c>
      <c r="X491">
        <v>34380470.782561153</v>
      </c>
      <c r="Y491">
        <v>1147761.9439999999</v>
      </c>
      <c r="Z491">
        <f>VLOOKUP($AC491,'2017 Seattle Tracts'!$C$2:$Z$399,24,FALSE)</f>
        <v>1649991.4350000001</v>
      </c>
      <c r="AA491">
        <f t="shared" si="15"/>
        <v>0.6956169102780827</v>
      </c>
      <c r="AB491" t="s">
        <v>219</v>
      </c>
      <c r="AC491" t="str">
        <f t="shared" si="14"/>
        <v>Census Tract 19, King County, Washington</v>
      </c>
      <c r="AD491">
        <f>VLOOKUP($AC491,'2017 Seattle Tracts'!$C$2:$Z$399,AD$1,FALSE)*AA491</f>
        <v>3322.961980398401</v>
      </c>
      <c r="AE491">
        <f>VLOOKUP($AC491,'2017 Seattle Tracts'!$C$2:$Z$399,AE$1,FALSE)*AA491</f>
        <v>2663.5171494547785</v>
      </c>
      <c r="AF491">
        <f>VLOOKUP($AC491,'2017 Seattle Tracts'!$C$2:$Z$399,AF$1,FALSE)*AA491</f>
        <v>659.44483094362238</v>
      </c>
      <c r="AG491">
        <f>VLOOKUP($AC491,'2017 Seattle Tracts'!$C$2:$Z$399,AG$1,FALSE)*AA491</f>
        <v>3322.961980398401</v>
      </c>
      <c r="AH491">
        <f>VLOOKUP($AC491,'2017 Seattle Tracts'!$C$2:$Z$399,AH$1,FALSE)*AA491</f>
        <v>2663.5171494547785</v>
      </c>
      <c r="AI491">
        <f>VLOOKUP($AC491,'2017 Seattle Tracts'!$C$2:$Z$399,AI$1,FALSE)*AA491</f>
        <v>659.44483094362238</v>
      </c>
      <c r="AJ491">
        <f>VLOOKUP($AC491,'2017 Seattle Tracts'!$C$2:$Z$399,AJ$1,FALSE)*AA491</f>
        <v>2253.1031723907099</v>
      </c>
      <c r="AK491">
        <f>VLOOKUP($AC491,'2017 Seattle Tracts'!$C$2:$Z$399,AK$1,FALSE)*AA491</f>
        <v>142.60146660700696</v>
      </c>
      <c r="AL491">
        <f>VLOOKUP($AC491,'2017 Seattle Tracts'!$C$2:$Z$399,AL$1,FALSE)*AA491</f>
        <v>77.909093951145266</v>
      </c>
      <c r="AM491">
        <f>VLOOKUP($AC491,'2017 Seattle Tracts'!$C$2:$Z$399,AM$1,FALSE)*AA491</f>
        <v>35.476462424182216</v>
      </c>
      <c r="AN491">
        <f>VLOOKUP($AC491,'2017 Seattle Tracts'!$C$2:$Z$399,AN$1,FALSE)*AA491</f>
        <v>25.73782568028906</v>
      </c>
      <c r="AO491">
        <f>VLOOKUP($AC491,'2017 Seattle Tracts'!$C$2:$Z$399,AO$1,FALSE)*AA491</f>
        <v>52.171268270856203</v>
      </c>
      <c r="AP491">
        <f>VLOOKUP($AC491,'2017 Seattle Tracts'!$C$2:$Z$399,AP$1,FALSE)*AA491</f>
        <v>5.5649352822246616</v>
      </c>
      <c r="AQ491">
        <f>VLOOKUP($AC491,'2017 Seattle Tracts'!$C$2:$Z$399,AQ$1,FALSE)*AA491</f>
        <v>0</v>
      </c>
      <c r="AR491">
        <f>VLOOKUP($AC491,'2017 Seattle Tracts'!$C$2:$Z$399,AR$1,FALSE)*AA491</f>
        <v>157.20942172284668</v>
      </c>
      <c r="AS491">
        <f>VLOOKUP($AC491,'2017 Seattle Tracts'!$C$2:$Z$399,AS$1,FALSE)*AA491</f>
        <v>387.45861902489207</v>
      </c>
      <c r="AT491">
        <f>VLOOKUP($AC491,'2017 Seattle Tracts'!$C$2:$Z$399,AT$1,FALSE)*AA491</f>
        <v>9.0430198336150749</v>
      </c>
      <c r="AU491">
        <f>VLOOKUP($AC491,'2017 Seattle Tracts'!$C$2:$Z$399,AU$1,FALSE)*AA491</f>
        <v>0</v>
      </c>
      <c r="AV491">
        <f>VLOOKUP($AC491,'2017 Seattle Tracts'!$C$2:$Z$399,AV$1,FALSE)*AA491</f>
        <v>6.2605521925027441</v>
      </c>
      <c r="AW491">
        <f>VLOOKUP($AC491,'2017 Seattle Tracts'!$C$2:$Z$399,AW$1,FALSE)*AA491</f>
        <v>6.2605521925027441</v>
      </c>
      <c r="AX491">
        <f>VLOOKUP($AC491,'2017 Seattle Tracts'!$C$2:$Z$399,AX$1,FALSE)*AA491</f>
        <v>128.68912840144529</v>
      </c>
      <c r="AY491">
        <f>VLOOKUP($AC491,'2017 Seattle Tracts'!$C$2:$Z$399,AY$1,FALSE)*AA491</f>
        <v>35.476462424182216</v>
      </c>
    </row>
    <row r="492" spans="1:51" x14ac:dyDescent="0.25">
      <c r="A492" t="s">
        <v>2917</v>
      </c>
      <c r="B492" t="s">
        <v>2918</v>
      </c>
      <c r="C492" t="s">
        <v>3296</v>
      </c>
      <c r="D492" t="s">
        <v>2767</v>
      </c>
      <c r="E492" t="s">
        <v>2768</v>
      </c>
      <c r="F492" t="s">
        <v>2769</v>
      </c>
      <c r="G492" t="s">
        <v>2920</v>
      </c>
      <c r="H492" t="s">
        <v>2921</v>
      </c>
      <c r="I492">
        <v>1103320</v>
      </c>
      <c r="J492">
        <v>28680</v>
      </c>
      <c r="K492" t="s">
        <v>3297</v>
      </c>
      <c r="L492" t="s">
        <v>3298</v>
      </c>
      <c r="M492">
        <v>1099769</v>
      </c>
      <c r="N492">
        <v>41</v>
      </c>
      <c r="O492">
        <v>22865.453000000001</v>
      </c>
      <c r="P492" t="s">
        <v>122</v>
      </c>
      <c r="Q492">
        <v>4</v>
      </c>
      <c r="R492">
        <v>5</v>
      </c>
      <c r="S492">
        <v>95</v>
      </c>
      <c r="T492">
        <v>21491312</v>
      </c>
      <c r="U492">
        <v>43</v>
      </c>
      <c r="V492">
        <v>124</v>
      </c>
      <c r="W492">
        <v>22865.452635921651</v>
      </c>
      <c r="X492">
        <v>21491312.22830575</v>
      </c>
      <c r="Y492">
        <v>51757.637000000002</v>
      </c>
      <c r="Z492">
        <f>VLOOKUP($AC492,'2017 Seattle Tracts'!$C$2:$Z$399,24,FALSE)</f>
        <v>1099768.8559999999</v>
      </c>
      <c r="AA492">
        <f t="shared" si="15"/>
        <v>4.7062286513776315E-2</v>
      </c>
      <c r="AB492" t="s">
        <v>132</v>
      </c>
      <c r="AC492" t="str">
        <f t="shared" si="14"/>
        <v>Census Tract 20, King County, Washington</v>
      </c>
      <c r="AD492">
        <f>VLOOKUP($AC492,'2017 Seattle Tracts'!$C$2:$Z$399,AD$1,FALSE)*AA492</f>
        <v>179.49556076354287</v>
      </c>
      <c r="AE492">
        <f>VLOOKUP($AC492,'2017 Seattle Tracts'!$C$2:$Z$399,AE$1,FALSE)*AA492</f>
        <v>157.79984668069199</v>
      </c>
      <c r="AF492">
        <f>VLOOKUP($AC492,'2017 Seattle Tracts'!$C$2:$Z$399,AF$1,FALSE)*AA492</f>
        <v>21.695714082850881</v>
      </c>
      <c r="AG492">
        <f>VLOOKUP($AC492,'2017 Seattle Tracts'!$C$2:$Z$399,AG$1,FALSE)*AA492</f>
        <v>179.49556076354287</v>
      </c>
      <c r="AH492">
        <f>VLOOKUP($AC492,'2017 Seattle Tracts'!$C$2:$Z$399,AH$1,FALSE)*AA492</f>
        <v>157.79984668069199</v>
      </c>
      <c r="AI492">
        <f>VLOOKUP($AC492,'2017 Seattle Tracts'!$C$2:$Z$399,AI$1,FALSE)*AA492</f>
        <v>21.695714082850881</v>
      </c>
      <c r="AJ492">
        <f>VLOOKUP($AC492,'2017 Seattle Tracts'!$C$2:$Z$399,AJ$1,FALSE)*AA492</f>
        <v>138.3160600639886</v>
      </c>
      <c r="AK492">
        <f>VLOOKUP($AC492,'2017 Seattle Tracts'!$C$2:$Z$399,AK$1,FALSE)*AA492</f>
        <v>10.400765319544565</v>
      </c>
      <c r="AL492">
        <f>VLOOKUP($AC492,'2017 Seattle Tracts'!$C$2:$Z$399,AL$1,FALSE)*AA492</f>
        <v>2.2589897526612632</v>
      </c>
      <c r="AM492">
        <f>VLOOKUP($AC492,'2017 Seattle Tracts'!$C$2:$Z$399,AM$1,FALSE)*AA492</f>
        <v>0</v>
      </c>
      <c r="AN492">
        <f>VLOOKUP($AC492,'2017 Seattle Tracts'!$C$2:$Z$399,AN$1,FALSE)*AA492</f>
        <v>0</v>
      </c>
      <c r="AO492">
        <f>VLOOKUP($AC492,'2017 Seattle Tracts'!$C$2:$Z$399,AO$1,FALSE)*AA492</f>
        <v>0.18824914605510526</v>
      </c>
      <c r="AP492">
        <f>VLOOKUP($AC492,'2017 Seattle Tracts'!$C$2:$Z$399,AP$1,FALSE)*AA492</f>
        <v>0.14118685954132895</v>
      </c>
      <c r="AQ492">
        <f>VLOOKUP($AC492,'2017 Seattle Tracts'!$C$2:$Z$399,AQ$1,FALSE)*AA492</f>
        <v>0</v>
      </c>
      <c r="AR492">
        <f>VLOOKUP($AC492,'2017 Seattle Tracts'!$C$2:$Z$399,AR$1,FALSE)*AA492</f>
        <v>4.9886023704602893</v>
      </c>
      <c r="AS492">
        <f>VLOOKUP($AC492,'2017 Seattle Tracts'!$C$2:$Z$399,AS$1,FALSE)*AA492</f>
        <v>11.012575044223658</v>
      </c>
      <c r="AT492">
        <f>VLOOKUP($AC492,'2017 Seattle Tracts'!$C$2:$Z$399,AT$1,FALSE)*AA492</f>
        <v>0</v>
      </c>
      <c r="AU492">
        <f>VLOOKUP($AC492,'2017 Seattle Tracts'!$C$2:$Z$399,AU$1,FALSE)*AA492</f>
        <v>0</v>
      </c>
      <c r="AV492">
        <f>VLOOKUP($AC492,'2017 Seattle Tracts'!$C$2:$Z$399,AV$1,FALSE)*AA492</f>
        <v>2.9178617638541313</v>
      </c>
      <c r="AW492">
        <f>VLOOKUP($AC492,'2017 Seattle Tracts'!$C$2:$Z$399,AW$1,FALSE)*AA492</f>
        <v>0</v>
      </c>
      <c r="AX492">
        <f>VLOOKUP($AC492,'2017 Seattle Tracts'!$C$2:$Z$399,AX$1,FALSE)*AA492</f>
        <v>9.1771458701863811</v>
      </c>
      <c r="AY492">
        <f>VLOOKUP($AC492,'2017 Seattle Tracts'!$C$2:$Z$399,AY$1,FALSE)*AA492</f>
        <v>9.412457302755263E-2</v>
      </c>
    </row>
    <row r="493" spans="1:51" x14ac:dyDescent="0.25">
      <c r="A493" t="s">
        <v>2917</v>
      </c>
      <c r="B493" t="s">
        <v>2918</v>
      </c>
      <c r="C493" t="s">
        <v>3296</v>
      </c>
      <c r="D493" t="s">
        <v>2767</v>
      </c>
      <c r="E493" t="s">
        <v>2768</v>
      </c>
      <c r="F493" t="s">
        <v>2769</v>
      </c>
      <c r="G493" t="s">
        <v>2920</v>
      </c>
      <c r="H493" t="s">
        <v>2921</v>
      </c>
      <c r="I493">
        <v>1103320</v>
      </c>
      <c r="J493">
        <v>28680</v>
      </c>
      <c r="K493" t="s">
        <v>3297</v>
      </c>
      <c r="L493" t="s">
        <v>3298</v>
      </c>
      <c r="M493">
        <v>1099769</v>
      </c>
      <c r="N493">
        <v>96</v>
      </c>
      <c r="O493">
        <v>23840.219000000001</v>
      </c>
      <c r="P493" t="s">
        <v>122</v>
      </c>
      <c r="Q493">
        <v>4</v>
      </c>
      <c r="R493">
        <v>5</v>
      </c>
      <c r="S493">
        <v>23</v>
      </c>
      <c r="T493">
        <v>30599714</v>
      </c>
      <c r="U493">
        <v>98</v>
      </c>
      <c r="V493">
        <v>117</v>
      </c>
      <c r="W493">
        <v>23840.218727432399</v>
      </c>
      <c r="X493">
        <v>30599713.626058389</v>
      </c>
      <c r="Y493">
        <v>331.80799999999999</v>
      </c>
      <c r="Z493">
        <f>VLOOKUP($AC493,'2017 Seattle Tracts'!$C$2:$Z$399,24,FALSE)</f>
        <v>1099768.8559999999</v>
      </c>
      <c r="AA493">
        <f t="shared" si="15"/>
        <v>3.0170703433704077E-4</v>
      </c>
      <c r="AB493" t="s">
        <v>199</v>
      </c>
      <c r="AC493" t="str">
        <f t="shared" si="14"/>
        <v>Census Tract 20, King County, Washington</v>
      </c>
      <c r="AD493">
        <f>VLOOKUP($AC493,'2017 Seattle Tracts'!$C$2:$Z$399,AD$1,FALSE)*AA493</f>
        <v>1.1507106289614735</v>
      </c>
      <c r="AE493">
        <f>VLOOKUP($AC493,'2017 Seattle Tracts'!$C$2:$Z$399,AE$1,FALSE)*AA493</f>
        <v>1.0116236861320977</v>
      </c>
      <c r="AF493">
        <f>VLOOKUP($AC493,'2017 Seattle Tracts'!$C$2:$Z$399,AF$1,FALSE)*AA493</f>
        <v>0.13908694282937578</v>
      </c>
      <c r="AG493">
        <f>VLOOKUP($AC493,'2017 Seattle Tracts'!$C$2:$Z$399,AG$1,FALSE)*AA493</f>
        <v>1.1507106289614735</v>
      </c>
      <c r="AH493">
        <f>VLOOKUP($AC493,'2017 Seattle Tracts'!$C$2:$Z$399,AH$1,FALSE)*AA493</f>
        <v>1.0116236861320977</v>
      </c>
      <c r="AI493">
        <f>VLOOKUP($AC493,'2017 Seattle Tracts'!$C$2:$Z$399,AI$1,FALSE)*AA493</f>
        <v>0.13908694282937578</v>
      </c>
      <c r="AJ493">
        <f>VLOOKUP($AC493,'2017 Seattle Tracts'!$C$2:$Z$399,AJ$1,FALSE)*AA493</f>
        <v>0.88671697391656279</v>
      </c>
      <c r="AK493">
        <f>VLOOKUP($AC493,'2017 Seattle Tracts'!$C$2:$Z$399,AK$1,FALSE)*AA493</f>
        <v>6.6677254588486015E-2</v>
      </c>
      <c r="AL493">
        <f>VLOOKUP($AC493,'2017 Seattle Tracts'!$C$2:$Z$399,AL$1,FALSE)*AA493</f>
        <v>1.4481937648177956E-2</v>
      </c>
      <c r="AM493">
        <f>VLOOKUP($AC493,'2017 Seattle Tracts'!$C$2:$Z$399,AM$1,FALSE)*AA493</f>
        <v>0</v>
      </c>
      <c r="AN493">
        <f>VLOOKUP($AC493,'2017 Seattle Tracts'!$C$2:$Z$399,AN$1,FALSE)*AA493</f>
        <v>0</v>
      </c>
      <c r="AO493">
        <f>VLOOKUP($AC493,'2017 Seattle Tracts'!$C$2:$Z$399,AO$1,FALSE)*AA493</f>
        <v>1.2068281373481631E-3</v>
      </c>
      <c r="AP493">
        <f>VLOOKUP($AC493,'2017 Seattle Tracts'!$C$2:$Z$399,AP$1,FALSE)*AA493</f>
        <v>9.0512110301112225E-4</v>
      </c>
      <c r="AQ493">
        <f>VLOOKUP($AC493,'2017 Seattle Tracts'!$C$2:$Z$399,AQ$1,FALSE)*AA493</f>
        <v>0</v>
      </c>
      <c r="AR493">
        <f>VLOOKUP($AC493,'2017 Seattle Tracts'!$C$2:$Z$399,AR$1,FALSE)*AA493</f>
        <v>3.1980945639726324E-2</v>
      </c>
      <c r="AS493">
        <f>VLOOKUP($AC493,'2017 Seattle Tracts'!$C$2:$Z$399,AS$1,FALSE)*AA493</f>
        <v>7.0599446034867536E-2</v>
      </c>
      <c r="AT493">
        <f>VLOOKUP($AC493,'2017 Seattle Tracts'!$C$2:$Z$399,AT$1,FALSE)*AA493</f>
        <v>0</v>
      </c>
      <c r="AU493">
        <f>VLOOKUP($AC493,'2017 Seattle Tracts'!$C$2:$Z$399,AU$1,FALSE)*AA493</f>
        <v>0</v>
      </c>
      <c r="AV493">
        <f>VLOOKUP($AC493,'2017 Seattle Tracts'!$C$2:$Z$399,AV$1,FALSE)*AA493</f>
        <v>1.8705836128896529E-2</v>
      </c>
      <c r="AW493">
        <f>VLOOKUP($AC493,'2017 Seattle Tracts'!$C$2:$Z$399,AW$1,FALSE)*AA493</f>
        <v>0</v>
      </c>
      <c r="AX493">
        <f>VLOOKUP($AC493,'2017 Seattle Tracts'!$C$2:$Z$399,AX$1,FALSE)*AA493</f>
        <v>5.8832871695722953E-2</v>
      </c>
      <c r="AY493">
        <f>VLOOKUP($AC493,'2017 Seattle Tracts'!$C$2:$Z$399,AY$1,FALSE)*AA493</f>
        <v>6.0341406867408154E-4</v>
      </c>
    </row>
    <row r="494" spans="1:51" x14ac:dyDescent="0.25">
      <c r="A494" t="s">
        <v>2917</v>
      </c>
      <c r="B494" t="s">
        <v>2918</v>
      </c>
      <c r="C494" t="s">
        <v>3296</v>
      </c>
      <c r="D494" t="s">
        <v>2767</v>
      </c>
      <c r="E494" t="s">
        <v>2768</v>
      </c>
      <c r="F494" t="s">
        <v>2769</v>
      </c>
      <c r="G494" t="s">
        <v>2920</v>
      </c>
      <c r="H494" t="s">
        <v>2921</v>
      </c>
      <c r="I494">
        <v>1103320</v>
      </c>
      <c r="J494">
        <v>28680</v>
      </c>
      <c r="K494" t="s">
        <v>3297</v>
      </c>
      <c r="L494" t="s">
        <v>3298</v>
      </c>
      <c r="M494">
        <v>1099769</v>
      </c>
      <c r="N494">
        <v>102</v>
      </c>
      <c r="O494">
        <v>20753.002</v>
      </c>
      <c r="P494" t="s">
        <v>207</v>
      </c>
      <c r="Q494">
        <v>3</v>
      </c>
      <c r="R494">
        <v>3</v>
      </c>
      <c r="S494">
        <v>95</v>
      </c>
      <c r="T494">
        <v>21512732</v>
      </c>
      <c r="U494">
        <v>104</v>
      </c>
      <c r="V494">
        <v>106</v>
      </c>
      <c r="W494">
        <v>20753.0018992847</v>
      </c>
      <c r="X494">
        <v>21512731.489181329</v>
      </c>
      <c r="Y494">
        <v>20152.629000000001</v>
      </c>
      <c r="Z494">
        <f>VLOOKUP($AC494,'2017 Seattle Tracts'!$C$2:$Z$399,24,FALSE)</f>
        <v>1099768.8559999999</v>
      </c>
      <c r="AA494">
        <f t="shared" si="15"/>
        <v>1.8324422345707889E-2</v>
      </c>
      <c r="AB494" t="s">
        <v>206</v>
      </c>
      <c r="AC494" t="str">
        <f t="shared" si="14"/>
        <v>Census Tract 20, King County, Washington</v>
      </c>
      <c r="AD494">
        <f>VLOOKUP($AC494,'2017 Seattle Tracts'!$C$2:$Z$399,AD$1,FALSE)*AA494</f>
        <v>69.889346826529888</v>
      </c>
      <c r="AE494">
        <f>VLOOKUP($AC494,'2017 Seattle Tracts'!$C$2:$Z$399,AE$1,FALSE)*AA494</f>
        <v>61.441788125158553</v>
      </c>
      <c r="AF494">
        <f>VLOOKUP($AC494,'2017 Seattle Tracts'!$C$2:$Z$399,AF$1,FALSE)*AA494</f>
        <v>8.4475587013713369</v>
      </c>
      <c r="AG494">
        <f>VLOOKUP($AC494,'2017 Seattle Tracts'!$C$2:$Z$399,AG$1,FALSE)*AA494</f>
        <v>69.889346826529888</v>
      </c>
      <c r="AH494">
        <f>VLOOKUP($AC494,'2017 Seattle Tracts'!$C$2:$Z$399,AH$1,FALSE)*AA494</f>
        <v>61.441788125158553</v>
      </c>
      <c r="AI494">
        <f>VLOOKUP($AC494,'2017 Seattle Tracts'!$C$2:$Z$399,AI$1,FALSE)*AA494</f>
        <v>8.4475587013713369</v>
      </c>
      <c r="AJ494">
        <f>VLOOKUP($AC494,'2017 Seattle Tracts'!$C$2:$Z$399,AJ$1,FALSE)*AA494</f>
        <v>53.855477274035486</v>
      </c>
      <c r="AK494">
        <f>VLOOKUP($AC494,'2017 Seattle Tracts'!$C$2:$Z$399,AK$1,FALSE)*AA494</f>
        <v>4.0496973384014439</v>
      </c>
      <c r="AL494">
        <f>VLOOKUP($AC494,'2017 Seattle Tracts'!$C$2:$Z$399,AL$1,FALSE)*AA494</f>
        <v>0.87957227259397874</v>
      </c>
      <c r="AM494">
        <f>VLOOKUP($AC494,'2017 Seattle Tracts'!$C$2:$Z$399,AM$1,FALSE)*AA494</f>
        <v>0</v>
      </c>
      <c r="AN494">
        <f>VLOOKUP($AC494,'2017 Seattle Tracts'!$C$2:$Z$399,AN$1,FALSE)*AA494</f>
        <v>0</v>
      </c>
      <c r="AO494">
        <f>VLOOKUP($AC494,'2017 Seattle Tracts'!$C$2:$Z$399,AO$1,FALSE)*AA494</f>
        <v>7.3297689382831557E-2</v>
      </c>
      <c r="AP494">
        <f>VLOOKUP($AC494,'2017 Seattle Tracts'!$C$2:$Z$399,AP$1,FALSE)*AA494</f>
        <v>5.4973267037123671E-2</v>
      </c>
      <c r="AQ494">
        <f>VLOOKUP($AC494,'2017 Seattle Tracts'!$C$2:$Z$399,AQ$1,FALSE)*AA494</f>
        <v>0</v>
      </c>
      <c r="AR494">
        <f>VLOOKUP($AC494,'2017 Seattle Tracts'!$C$2:$Z$399,AR$1,FALSE)*AA494</f>
        <v>1.9423887686450363</v>
      </c>
      <c r="AS494">
        <f>VLOOKUP($AC494,'2017 Seattle Tracts'!$C$2:$Z$399,AS$1,FALSE)*AA494</f>
        <v>4.2879148288956461</v>
      </c>
      <c r="AT494">
        <f>VLOOKUP($AC494,'2017 Seattle Tracts'!$C$2:$Z$399,AT$1,FALSE)*AA494</f>
        <v>0</v>
      </c>
      <c r="AU494">
        <f>VLOOKUP($AC494,'2017 Seattle Tracts'!$C$2:$Z$399,AU$1,FALSE)*AA494</f>
        <v>0</v>
      </c>
      <c r="AV494">
        <f>VLOOKUP($AC494,'2017 Seattle Tracts'!$C$2:$Z$399,AV$1,FALSE)*AA494</f>
        <v>1.1361141854338892</v>
      </c>
      <c r="AW494">
        <f>VLOOKUP($AC494,'2017 Seattle Tracts'!$C$2:$Z$399,AW$1,FALSE)*AA494</f>
        <v>0</v>
      </c>
      <c r="AX494">
        <f>VLOOKUP($AC494,'2017 Seattle Tracts'!$C$2:$Z$399,AX$1,FALSE)*AA494</f>
        <v>3.5732623574130384</v>
      </c>
      <c r="AY494">
        <f>VLOOKUP($AC494,'2017 Seattle Tracts'!$C$2:$Z$399,AY$1,FALSE)*AA494</f>
        <v>3.6648844691415779E-2</v>
      </c>
    </row>
    <row r="495" spans="1:51" x14ac:dyDescent="0.25">
      <c r="A495" t="s">
        <v>2917</v>
      </c>
      <c r="B495" t="s">
        <v>2918</v>
      </c>
      <c r="C495" t="s">
        <v>3296</v>
      </c>
      <c r="D495" t="s">
        <v>2767</v>
      </c>
      <c r="E495" t="s">
        <v>2768</v>
      </c>
      <c r="F495" t="s">
        <v>2769</v>
      </c>
      <c r="G495" t="s">
        <v>2920</v>
      </c>
      <c r="H495" t="s">
        <v>2921</v>
      </c>
      <c r="I495">
        <v>1103320</v>
      </c>
      <c r="J495">
        <v>28680</v>
      </c>
      <c r="K495" t="s">
        <v>3297</v>
      </c>
      <c r="L495" t="s">
        <v>3298</v>
      </c>
      <c r="M495">
        <v>1099769</v>
      </c>
      <c r="N495">
        <v>104</v>
      </c>
      <c r="O495">
        <v>18770.280999999999</v>
      </c>
      <c r="P495" t="s">
        <v>207</v>
      </c>
      <c r="Q495">
        <v>3</v>
      </c>
      <c r="R495">
        <v>3</v>
      </c>
      <c r="S495">
        <v>24</v>
      </c>
      <c r="T495">
        <v>17034848</v>
      </c>
      <c r="U495">
        <v>106</v>
      </c>
      <c r="V495">
        <v>108</v>
      </c>
      <c r="W495">
        <v>18770.28203242151</v>
      </c>
      <c r="X495">
        <v>17034848.779124379</v>
      </c>
      <c r="Y495">
        <v>136.97</v>
      </c>
      <c r="Z495">
        <f>VLOOKUP($AC495,'2017 Seattle Tracts'!$C$2:$Z$399,24,FALSE)</f>
        <v>1099768.8559999999</v>
      </c>
      <c r="AA495">
        <f t="shared" si="15"/>
        <v>1.2454435243618137E-4</v>
      </c>
      <c r="AB495" t="s">
        <v>209</v>
      </c>
      <c r="AC495" t="str">
        <f t="shared" si="14"/>
        <v>Census Tract 20, King County, Washington</v>
      </c>
      <c r="AD495">
        <f>VLOOKUP($AC495,'2017 Seattle Tracts'!$C$2:$Z$399,AD$1,FALSE)*AA495</f>
        <v>0.47501216019159576</v>
      </c>
      <c r="AE495">
        <f>VLOOKUP($AC495,'2017 Seattle Tracts'!$C$2:$Z$399,AE$1,FALSE)*AA495</f>
        <v>0.41759721371851616</v>
      </c>
      <c r="AF495">
        <f>VLOOKUP($AC495,'2017 Seattle Tracts'!$C$2:$Z$399,AF$1,FALSE)*AA495</f>
        <v>5.7414946473079612E-2</v>
      </c>
      <c r="AG495">
        <f>VLOOKUP($AC495,'2017 Seattle Tracts'!$C$2:$Z$399,AG$1,FALSE)*AA495</f>
        <v>0.47501216019159576</v>
      </c>
      <c r="AH495">
        <f>VLOOKUP($AC495,'2017 Seattle Tracts'!$C$2:$Z$399,AH$1,FALSE)*AA495</f>
        <v>0.41759721371851616</v>
      </c>
      <c r="AI495">
        <f>VLOOKUP($AC495,'2017 Seattle Tracts'!$C$2:$Z$399,AI$1,FALSE)*AA495</f>
        <v>5.7414946473079612E-2</v>
      </c>
      <c r="AJ495">
        <f>VLOOKUP($AC495,'2017 Seattle Tracts'!$C$2:$Z$399,AJ$1,FALSE)*AA495</f>
        <v>0.36603585180993703</v>
      </c>
      <c r="AK495">
        <f>VLOOKUP($AC495,'2017 Seattle Tracts'!$C$2:$Z$399,AK$1,FALSE)*AA495</f>
        <v>2.7524301888396083E-2</v>
      </c>
      <c r="AL495">
        <f>VLOOKUP($AC495,'2017 Seattle Tracts'!$C$2:$Z$399,AL$1,FALSE)*AA495</f>
        <v>5.9781289169367063E-3</v>
      </c>
      <c r="AM495">
        <f>VLOOKUP($AC495,'2017 Seattle Tracts'!$C$2:$Z$399,AM$1,FALSE)*AA495</f>
        <v>0</v>
      </c>
      <c r="AN495">
        <f>VLOOKUP($AC495,'2017 Seattle Tracts'!$C$2:$Z$399,AN$1,FALSE)*AA495</f>
        <v>0</v>
      </c>
      <c r="AO495">
        <f>VLOOKUP($AC495,'2017 Seattle Tracts'!$C$2:$Z$399,AO$1,FALSE)*AA495</f>
        <v>4.9817740974472549E-4</v>
      </c>
      <c r="AP495">
        <f>VLOOKUP($AC495,'2017 Seattle Tracts'!$C$2:$Z$399,AP$1,FALSE)*AA495</f>
        <v>3.7363305730854415E-4</v>
      </c>
      <c r="AQ495">
        <f>VLOOKUP($AC495,'2017 Seattle Tracts'!$C$2:$Z$399,AQ$1,FALSE)*AA495</f>
        <v>0</v>
      </c>
      <c r="AR495">
        <f>VLOOKUP($AC495,'2017 Seattle Tracts'!$C$2:$Z$399,AR$1,FALSE)*AA495</f>
        <v>1.3201701358235226E-2</v>
      </c>
      <c r="AS495">
        <f>VLOOKUP($AC495,'2017 Seattle Tracts'!$C$2:$Z$399,AS$1,FALSE)*AA495</f>
        <v>2.9143378470066442E-2</v>
      </c>
      <c r="AT495">
        <f>VLOOKUP($AC495,'2017 Seattle Tracts'!$C$2:$Z$399,AT$1,FALSE)*AA495</f>
        <v>0</v>
      </c>
      <c r="AU495">
        <f>VLOOKUP($AC495,'2017 Seattle Tracts'!$C$2:$Z$399,AU$1,FALSE)*AA495</f>
        <v>0</v>
      </c>
      <c r="AV495">
        <f>VLOOKUP($AC495,'2017 Seattle Tracts'!$C$2:$Z$399,AV$1,FALSE)*AA495</f>
        <v>7.7217498510432454E-3</v>
      </c>
      <c r="AW495">
        <f>VLOOKUP($AC495,'2017 Seattle Tracts'!$C$2:$Z$399,AW$1,FALSE)*AA495</f>
        <v>0</v>
      </c>
      <c r="AX495">
        <f>VLOOKUP($AC495,'2017 Seattle Tracts'!$C$2:$Z$399,AX$1,FALSE)*AA495</f>
        <v>2.4286148725055367E-2</v>
      </c>
      <c r="AY495">
        <f>VLOOKUP($AC495,'2017 Seattle Tracts'!$C$2:$Z$399,AY$1,FALSE)*AA495</f>
        <v>2.4908870487236275E-4</v>
      </c>
    </row>
    <row r="496" spans="1:51" x14ac:dyDescent="0.25">
      <c r="A496" t="s">
        <v>2917</v>
      </c>
      <c r="B496" t="s">
        <v>2918</v>
      </c>
      <c r="C496" t="s">
        <v>3296</v>
      </c>
      <c r="D496" t="s">
        <v>2767</v>
      </c>
      <c r="E496" t="s">
        <v>2768</v>
      </c>
      <c r="F496" t="s">
        <v>2769</v>
      </c>
      <c r="G496" t="s">
        <v>2920</v>
      </c>
      <c r="H496" t="s">
        <v>2921</v>
      </c>
      <c r="I496">
        <v>1103320</v>
      </c>
      <c r="J496">
        <v>28680</v>
      </c>
      <c r="K496" t="s">
        <v>3297</v>
      </c>
      <c r="L496" t="s">
        <v>3298</v>
      </c>
      <c r="M496">
        <v>1099769</v>
      </c>
      <c r="N496">
        <v>116</v>
      </c>
      <c r="O496">
        <v>25503.057000000001</v>
      </c>
      <c r="P496" t="s">
        <v>215</v>
      </c>
      <c r="Q496">
        <v>2</v>
      </c>
      <c r="R496">
        <v>10</v>
      </c>
      <c r="S496">
        <v>94</v>
      </c>
      <c r="T496">
        <v>34380472</v>
      </c>
      <c r="U496">
        <v>118</v>
      </c>
      <c r="V496">
        <v>112</v>
      </c>
      <c r="W496">
        <v>25503.057408269069</v>
      </c>
      <c r="X496">
        <v>34380470.782561153</v>
      </c>
      <c r="Y496">
        <v>1027389.81</v>
      </c>
      <c r="Z496">
        <f>VLOOKUP($AC496,'2017 Seattle Tracts'!$C$2:$Z$399,24,FALSE)</f>
        <v>1099768.8559999999</v>
      </c>
      <c r="AA496">
        <f t="shared" si="15"/>
        <v>0.93418703793517877</v>
      </c>
      <c r="AB496" t="s">
        <v>219</v>
      </c>
      <c r="AC496" t="str">
        <f t="shared" si="14"/>
        <v>Census Tract 20, King County, Washington</v>
      </c>
      <c r="AD496">
        <f>VLOOKUP($AC496,'2017 Seattle Tracts'!$C$2:$Z$399,AD$1,FALSE)*AA496</f>
        <v>3562.989362684772</v>
      </c>
      <c r="AE496">
        <f>VLOOKUP($AC496,'2017 Seattle Tracts'!$C$2:$Z$399,AE$1,FALSE)*AA496</f>
        <v>3132.3291381966542</v>
      </c>
      <c r="AF496">
        <f>VLOOKUP($AC496,'2017 Seattle Tracts'!$C$2:$Z$399,AF$1,FALSE)*AA496</f>
        <v>430.66022448811742</v>
      </c>
      <c r="AG496">
        <f>VLOOKUP($AC496,'2017 Seattle Tracts'!$C$2:$Z$399,AG$1,FALSE)*AA496</f>
        <v>3562.989362684772</v>
      </c>
      <c r="AH496">
        <f>VLOOKUP($AC496,'2017 Seattle Tracts'!$C$2:$Z$399,AH$1,FALSE)*AA496</f>
        <v>3132.3291381966542</v>
      </c>
      <c r="AI496">
        <f>VLOOKUP($AC496,'2017 Seattle Tracts'!$C$2:$Z$399,AI$1,FALSE)*AA496</f>
        <v>430.66022448811742</v>
      </c>
      <c r="AJ496">
        <f>VLOOKUP($AC496,'2017 Seattle Tracts'!$C$2:$Z$399,AJ$1,FALSE)*AA496</f>
        <v>2745.5757044914903</v>
      </c>
      <c r="AK496">
        <f>VLOOKUP($AC496,'2017 Seattle Tracts'!$C$2:$Z$399,AK$1,FALSE)*AA496</f>
        <v>206.45533538367451</v>
      </c>
      <c r="AL496">
        <f>VLOOKUP($AC496,'2017 Seattle Tracts'!$C$2:$Z$399,AL$1,FALSE)*AA496</f>
        <v>44.840977820888583</v>
      </c>
      <c r="AM496">
        <f>VLOOKUP($AC496,'2017 Seattle Tracts'!$C$2:$Z$399,AM$1,FALSE)*AA496</f>
        <v>0</v>
      </c>
      <c r="AN496">
        <f>VLOOKUP($AC496,'2017 Seattle Tracts'!$C$2:$Z$399,AN$1,FALSE)*AA496</f>
        <v>0</v>
      </c>
      <c r="AO496">
        <f>VLOOKUP($AC496,'2017 Seattle Tracts'!$C$2:$Z$399,AO$1,FALSE)*AA496</f>
        <v>3.7367481517407151</v>
      </c>
      <c r="AP496">
        <f>VLOOKUP($AC496,'2017 Seattle Tracts'!$C$2:$Z$399,AP$1,FALSE)*AA496</f>
        <v>2.8025611138055364</v>
      </c>
      <c r="AQ496">
        <f>VLOOKUP($AC496,'2017 Seattle Tracts'!$C$2:$Z$399,AQ$1,FALSE)*AA496</f>
        <v>0</v>
      </c>
      <c r="AR496">
        <f>VLOOKUP($AC496,'2017 Seattle Tracts'!$C$2:$Z$399,AR$1,FALSE)*AA496</f>
        <v>99.023826021128954</v>
      </c>
      <c r="AS496">
        <f>VLOOKUP($AC496,'2017 Seattle Tracts'!$C$2:$Z$399,AS$1,FALSE)*AA496</f>
        <v>218.59976687683184</v>
      </c>
      <c r="AT496">
        <f>VLOOKUP($AC496,'2017 Seattle Tracts'!$C$2:$Z$399,AT$1,FALSE)*AA496</f>
        <v>0</v>
      </c>
      <c r="AU496">
        <f>VLOOKUP($AC496,'2017 Seattle Tracts'!$C$2:$Z$399,AU$1,FALSE)*AA496</f>
        <v>0</v>
      </c>
      <c r="AV496">
        <f>VLOOKUP($AC496,'2017 Seattle Tracts'!$C$2:$Z$399,AV$1,FALSE)*AA496</f>
        <v>57.919596351981085</v>
      </c>
      <c r="AW496">
        <f>VLOOKUP($AC496,'2017 Seattle Tracts'!$C$2:$Z$399,AW$1,FALSE)*AA496</f>
        <v>0</v>
      </c>
      <c r="AX496">
        <f>VLOOKUP($AC496,'2017 Seattle Tracts'!$C$2:$Z$399,AX$1,FALSE)*AA496</f>
        <v>182.16647239735985</v>
      </c>
      <c r="AY496">
        <f>VLOOKUP($AC496,'2017 Seattle Tracts'!$C$2:$Z$399,AY$1,FALSE)*AA496</f>
        <v>1.8683740758703575</v>
      </c>
    </row>
    <row r="497" spans="1:51" x14ac:dyDescent="0.25">
      <c r="A497" t="s">
        <v>2917</v>
      </c>
      <c r="B497" t="s">
        <v>2918</v>
      </c>
      <c r="C497" t="s">
        <v>3299</v>
      </c>
      <c r="D497" t="s">
        <v>2764</v>
      </c>
      <c r="E497" t="s">
        <v>2765</v>
      </c>
      <c r="F497" t="s">
        <v>2766</v>
      </c>
      <c r="G497" t="s">
        <v>2920</v>
      </c>
      <c r="H497" t="s">
        <v>2921</v>
      </c>
      <c r="I497">
        <v>1365469</v>
      </c>
      <c r="J497">
        <v>0</v>
      </c>
      <c r="K497" t="s">
        <v>3300</v>
      </c>
      <c r="L497" t="s">
        <v>3301</v>
      </c>
      <c r="M497">
        <v>1365467</v>
      </c>
      <c r="N497">
        <v>36</v>
      </c>
      <c r="O497">
        <v>30993.599999999999</v>
      </c>
      <c r="P497" t="s">
        <v>122</v>
      </c>
      <c r="Q497">
        <v>4</v>
      </c>
      <c r="R497">
        <v>5</v>
      </c>
      <c r="S497">
        <v>81</v>
      </c>
      <c r="T497">
        <v>37020968</v>
      </c>
      <c r="U497">
        <v>38</v>
      </c>
      <c r="V497">
        <v>125</v>
      </c>
      <c r="W497">
        <v>30993.600213945359</v>
      </c>
      <c r="X497">
        <v>37020968.872468568</v>
      </c>
      <c r="Y497">
        <v>196.61699999999999</v>
      </c>
      <c r="Z497">
        <f>VLOOKUP($AC497,'2017 Seattle Tracts'!$C$2:$Z$399,24,FALSE)</f>
        <v>1365467.0190000001</v>
      </c>
      <c r="AA497">
        <f t="shared" si="15"/>
        <v>1.4399249287177398E-4</v>
      </c>
      <c r="AB497" t="s">
        <v>127</v>
      </c>
      <c r="AC497" t="str">
        <f t="shared" si="14"/>
        <v>Census Tract 21, King County, Washington</v>
      </c>
      <c r="AD497">
        <f>VLOOKUP($AC497,'2017 Seattle Tracts'!$C$2:$Z$399,AD$1,FALSE)*AA497</f>
        <v>0.60620839499016843</v>
      </c>
      <c r="AE497">
        <f>VLOOKUP($AC497,'2017 Seattle Tracts'!$C$2:$Z$399,AE$1,FALSE)*AA497</f>
        <v>0.5036857400654654</v>
      </c>
      <c r="AF497">
        <f>VLOOKUP($AC497,'2017 Seattle Tracts'!$C$2:$Z$399,AF$1,FALSE)*AA497</f>
        <v>0.10252265492470307</v>
      </c>
      <c r="AG497">
        <f>VLOOKUP($AC497,'2017 Seattle Tracts'!$C$2:$Z$399,AG$1,FALSE)*AA497</f>
        <v>0.60620839499016843</v>
      </c>
      <c r="AH497">
        <f>VLOOKUP($AC497,'2017 Seattle Tracts'!$C$2:$Z$399,AH$1,FALSE)*AA497</f>
        <v>0.5036857400654654</v>
      </c>
      <c r="AI497">
        <f>VLOOKUP($AC497,'2017 Seattle Tracts'!$C$2:$Z$399,AI$1,FALSE)*AA497</f>
        <v>0.10252265492470307</v>
      </c>
      <c r="AJ497">
        <f>VLOOKUP($AC497,'2017 Seattle Tracts'!$C$2:$Z$399,AJ$1,FALSE)*AA497</f>
        <v>0.43456934348701387</v>
      </c>
      <c r="AK497">
        <f>VLOOKUP($AC497,'2017 Seattle Tracts'!$C$2:$Z$399,AK$1,FALSE)*AA497</f>
        <v>3.2542303389020921E-2</v>
      </c>
      <c r="AL497">
        <f>VLOOKUP($AC497,'2017 Seattle Tracts'!$C$2:$Z$399,AL$1,FALSE)*AA497</f>
        <v>1.1807384415485466E-2</v>
      </c>
      <c r="AM497">
        <f>VLOOKUP($AC497,'2017 Seattle Tracts'!$C$2:$Z$399,AM$1,FALSE)*AA497</f>
        <v>3.0238423503072534E-3</v>
      </c>
      <c r="AN497">
        <f>VLOOKUP($AC497,'2017 Seattle Tracts'!$C$2:$Z$399,AN$1,FALSE)*AA497</f>
        <v>2.1598873930766095E-3</v>
      </c>
      <c r="AO497">
        <f>VLOOKUP($AC497,'2017 Seattle Tracts'!$C$2:$Z$399,AO$1,FALSE)*AA497</f>
        <v>0</v>
      </c>
      <c r="AP497">
        <f>VLOOKUP($AC497,'2017 Seattle Tracts'!$C$2:$Z$399,AP$1,FALSE)*AA497</f>
        <v>8.6395495723064382E-4</v>
      </c>
      <c r="AQ497">
        <f>VLOOKUP($AC497,'2017 Seattle Tracts'!$C$2:$Z$399,AQ$1,FALSE)*AA497</f>
        <v>0</v>
      </c>
      <c r="AR497">
        <f>VLOOKUP($AC497,'2017 Seattle Tracts'!$C$2:$Z$399,AR$1,FALSE)*AA497</f>
        <v>3.6862078175174139E-2</v>
      </c>
      <c r="AS497">
        <f>VLOOKUP($AC497,'2017 Seattle Tracts'!$C$2:$Z$399,AS$1,FALSE)*AA497</f>
        <v>5.2557259898197504E-2</v>
      </c>
      <c r="AT497">
        <f>VLOOKUP($AC497,'2017 Seattle Tracts'!$C$2:$Z$399,AT$1,FALSE)*AA497</f>
        <v>0</v>
      </c>
      <c r="AU497">
        <f>VLOOKUP($AC497,'2017 Seattle Tracts'!$C$2:$Z$399,AU$1,FALSE)*AA497</f>
        <v>0</v>
      </c>
      <c r="AV497">
        <f>VLOOKUP($AC497,'2017 Seattle Tracts'!$C$2:$Z$399,AV$1,FALSE)*AA497</f>
        <v>7.487609629332247E-3</v>
      </c>
      <c r="AW497">
        <f>VLOOKUP($AC497,'2017 Seattle Tracts'!$C$2:$Z$399,AW$1,FALSE)*AA497</f>
        <v>8.4955570794346645E-3</v>
      </c>
      <c r="AX497">
        <f>VLOOKUP($AC497,'2017 Seattle Tracts'!$C$2:$Z$399,AX$1,FALSE)*AA497</f>
        <v>9.9354820081524048E-3</v>
      </c>
      <c r="AY497">
        <f>VLOOKUP($AC497,'2017 Seattle Tracts'!$C$2:$Z$399,AY$1,FALSE)*AA497</f>
        <v>5.9036922077427331E-3</v>
      </c>
    </row>
    <row r="498" spans="1:51" x14ac:dyDescent="0.25">
      <c r="A498" t="s">
        <v>2917</v>
      </c>
      <c r="B498" t="s">
        <v>2918</v>
      </c>
      <c r="C498" t="s">
        <v>3299</v>
      </c>
      <c r="D498" t="s">
        <v>2764</v>
      </c>
      <c r="E498" t="s">
        <v>2765</v>
      </c>
      <c r="F498" t="s">
        <v>2766</v>
      </c>
      <c r="G498" t="s">
        <v>2920</v>
      </c>
      <c r="H498" t="s">
        <v>2921</v>
      </c>
      <c r="I498">
        <v>1365469</v>
      </c>
      <c r="J498">
        <v>0</v>
      </c>
      <c r="K498" t="s">
        <v>3300</v>
      </c>
      <c r="L498" t="s">
        <v>3301</v>
      </c>
      <c r="M498">
        <v>1365467</v>
      </c>
      <c r="N498">
        <v>41</v>
      </c>
      <c r="O498">
        <v>22865.453000000001</v>
      </c>
      <c r="P498" t="s">
        <v>122</v>
      </c>
      <c r="Q498">
        <v>4</v>
      </c>
      <c r="R498">
        <v>5</v>
      </c>
      <c r="S498">
        <v>95</v>
      </c>
      <c r="T498">
        <v>21491312</v>
      </c>
      <c r="U498">
        <v>43</v>
      </c>
      <c r="V498">
        <v>124</v>
      </c>
      <c r="W498">
        <v>22865.452635921651</v>
      </c>
      <c r="X498">
        <v>21491312.22830575</v>
      </c>
      <c r="Y498">
        <v>9.92</v>
      </c>
      <c r="Z498">
        <f>VLOOKUP($AC498,'2017 Seattle Tracts'!$C$2:$Z$399,24,FALSE)</f>
        <v>1365467.0190000001</v>
      </c>
      <c r="AA498">
        <f t="shared" si="15"/>
        <v>7.2649136610160767E-6</v>
      </c>
      <c r="AB498" t="s">
        <v>132</v>
      </c>
      <c r="AC498" t="str">
        <f t="shared" si="14"/>
        <v>Census Tract 21, King County, Washington</v>
      </c>
      <c r="AD498">
        <f>VLOOKUP($AC498,'2017 Seattle Tracts'!$C$2:$Z$399,AD$1,FALSE)*AA498</f>
        <v>3.0585286512877684E-2</v>
      </c>
      <c r="AE498">
        <f>VLOOKUP($AC498,'2017 Seattle Tracts'!$C$2:$Z$399,AE$1,FALSE)*AA498</f>
        <v>2.5412667986234237E-2</v>
      </c>
      <c r="AF498">
        <f>VLOOKUP($AC498,'2017 Seattle Tracts'!$C$2:$Z$399,AF$1,FALSE)*AA498</f>
        <v>5.1726185266434462E-3</v>
      </c>
      <c r="AG498">
        <f>VLOOKUP($AC498,'2017 Seattle Tracts'!$C$2:$Z$399,AG$1,FALSE)*AA498</f>
        <v>3.0585286512877684E-2</v>
      </c>
      <c r="AH498">
        <f>VLOOKUP($AC498,'2017 Seattle Tracts'!$C$2:$Z$399,AH$1,FALSE)*AA498</f>
        <v>2.5412667986234237E-2</v>
      </c>
      <c r="AI498">
        <f>VLOOKUP($AC498,'2017 Seattle Tracts'!$C$2:$Z$399,AI$1,FALSE)*AA498</f>
        <v>5.1726185266434462E-3</v>
      </c>
      <c r="AJ498">
        <f>VLOOKUP($AC498,'2017 Seattle Tracts'!$C$2:$Z$399,AJ$1,FALSE)*AA498</f>
        <v>2.192550942894652E-2</v>
      </c>
      <c r="AK498">
        <f>VLOOKUP($AC498,'2017 Seattle Tracts'!$C$2:$Z$399,AK$1,FALSE)*AA498</f>
        <v>1.6418704873896333E-3</v>
      </c>
      <c r="AL498">
        <f>VLOOKUP($AC498,'2017 Seattle Tracts'!$C$2:$Z$399,AL$1,FALSE)*AA498</f>
        <v>5.957229202033183E-4</v>
      </c>
      <c r="AM498">
        <f>VLOOKUP($AC498,'2017 Seattle Tracts'!$C$2:$Z$399,AM$1,FALSE)*AA498</f>
        <v>1.5256318688133762E-4</v>
      </c>
      <c r="AN498">
        <f>VLOOKUP($AC498,'2017 Seattle Tracts'!$C$2:$Z$399,AN$1,FALSE)*AA498</f>
        <v>1.0897370491524114E-4</v>
      </c>
      <c r="AO498">
        <f>VLOOKUP($AC498,'2017 Seattle Tracts'!$C$2:$Z$399,AO$1,FALSE)*AA498</f>
        <v>0</v>
      </c>
      <c r="AP498">
        <f>VLOOKUP($AC498,'2017 Seattle Tracts'!$C$2:$Z$399,AP$1,FALSE)*AA498</f>
        <v>4.358948196609646E-5</v>
      </c>
      <c r="AQ498">
        <f>VLOOKUP($AC498,'2017 Seattle Tracts'!$C$2:$Z$399,AQ$1,FALSE)*AA498</f>
        <v>0</v>
      </c>
      <c r="AR498">
        <f>VLOOKUP($AC498,'2017 Seattle Tracts'!$C$2:$Z$399,AR$1,FALSE)*AA498</f>
        <v>1.8598178972201156E-3</v>
      </c>
      <c r="AS498">
        <f>VLOOKUP($AC498,'2017 Seattle Tracts'!$C$2:$Z$399,AS$1,FALSE)*AA498</f>
        <v>2.6516934862708679E-3</v>
      </c>
      <c r="AT498">
        <f>VLOOKUP($AC498,'2017 Seattle Tracts'!$C$2:$Z$399,AT$1,FALSE)*AA498</f>
        <v>0</v>
      </c>
      <c r="AU498">
        <f>VLOOKUP($AC498,'2017 Seattle Tracts'!$C$2:$Z$399,AU$1,FALSE)*AA498</f>
        <v>0</v>
      </c>
      <c r="AV498">
        <f>VLOOKUP($AC498,'2017 Seattle Tracts'!$C$2:$Z$399,AV$1,FALSE)*AA498</f>
        <v>3.7777551037283601E-4</v>
      </c>
      <c r="AW498">
        <f>VLOOKUP($AC498,'2017 Seattle Tracts'!$C$2:$Z$399,AW$1,FALSE)*AA498</f>
        <v>4.2862990599994854E-4</v>
      </c>
      <c r="AX498">
        <f>VLOOKUP($AC498,'2017 Seattle Tracts'!$C$2:$Z$399,AX$1,FALSE)*AA498</f>
        <v>5.0127904261010933E-4</v>
      </c>
      <c r="AY498">
        <f>VLOOKUP($AC498,'2017 Seattle Tracts'!$C$2:$Z$399,AY$1,FALSE)*AA498</f>
        <v>2.9786146010165915E-4</v>
      </c>
    </row>
    <row r="499" spans="1:51" x14ac:dyDescent="0.25">
      <c r="A499" t="s">
        <v>2917</v>
      </c>
      <c r="B499" t="s">
        <v>2918</v>
      </c>
      <c r="C499" t="s">
        <v>3299</v>
      </c>
      <c r="D499" t="s">
        <v>2764</v>
      </c>
      <c r="E499" t="s">
        <v>2765</v>
      </c>
      <c r="F499" t="s">
        <v>2766</v>
      </c>
      <c r="G499" t="s">
        <v>2920</v>
      </c>
      <c r="H499" t="s">
        <v>2921</v>
      </c>
      <c r="I499">
        <v>1365469</v>
      </c>
      <c r="J499">
        <v>0</v>
      </c>
      <c r="K499" t="s">
        <v>3300</v>
      </c>
      <c r="L499" t="s">
        <v>3301</v>
      </c>
      <c r="M499">
        <v>1365467</v>
      </c>
      <c r="N499">
        <v>96</v>
      </c>
      <c r="O499">
        <v>23840.219000000001</v>
      </c>
      <c r="P499" t="s">
        <v>122</v>
      </c>
      <c r="Q499">
        <v>4</v>
      </c>
      <c r="R499">
        <v>5</v>
      </c>
      <c r="S499">
        <v>23</v>
      </c>
      <c r="T499">
        <v>30599714</v>
      </c>
      <c r="U499">
        <v>98</v>
      </c>
      <c r="V499">
        <v>117</v>
      </c>
      <c r="W499">
        <v>23840.218727432399</v>
      </c>
      <c r="X499">
        <v>30599713.626058389</v>
      </c>
      <c r="Y499">
        <v>956641.21100000001</v>
      </c>
      <c r="Z499">
        <f>VLOOKUP($AC499,'2017 Seattle Tracts'!$C$2:$Z$399,24,FALSE)</f>
        <v>1365467.0190000001</v>
      </c>
      <c r="AA499">
        <f t="shared" si="15"/>
        <v>0.70059635105694185</v>
      </c>
      <c r="AB499" t="s">
        <v>199</v>
      </c>
      <c r="AC499" t="str">
        <f t="shared" si="14"/>
        <v>Census Tract 21, King County, Washington</v>
      </c>
      <c r="AD499">
        <f>VLOOKUP($AC499,'2017 Seattle Tracts'!$C$2:$Z$399,AD$1,FALSE)*AA499</f>
        <v>2949.5106379497252</v>
      </c>
      <c r="AE499">
        <f>VLOOKUP($AC499,'2017 Seattle Tracts'!$C$2:$Z$399,AE$1,FALSE)*AA499</f>
        <v>2450.6860359971824</v>
      </c>
      <c r="AF499">
        <f>VLOOKUP($AC499,'2017 Seattle Tracts'!$C$2:$Z$399,AF$1,FALSE)*AA499</f>
        <v>498.82460195254259</v>
      </c>
      <c r="AG499">
        <f>VLOOKUP($AC499,'2017 Seattle Tracts'!$C$2:$Z$399,AG$1,FALSE)*AA499</f>
        <v>2949.5106379497252</v>
      </c>
      <c r="AH499">
        <f>VLOOKUP($AC499,'2017 Seattle Tracts'!$C$2:$Z$399,AH$1,FALSE)*AA499</f>
        <v>2450.6860359971824</v>
      </c>
      <c r="AI499">
        <f>VLOOKUP($AC499,'2017 Seattle Tracts'!$C$2:$Z$399,AI$1,FALSE)*AA499</f>
        <v>498.82460195254259</v>
      </c>
      <c r="AJ499">
        <f>VLOOKUP($AC499,'2017 Seattle Tracts'!$C$2:$Z$399,AJ$1,FALSE)*AA499</f>
        <v>2114.3997874898505</v>
      </c>
      <c r="AK499">
        <f>VLOOKUP($AC499,'2017 Seattle Tracts'!$C$2:$Z$399,AK$1,FALSE)*AA499</f>
        <v>158.33477533886887</v>
      </c>
      <c r="AL499">
        <f>VLOOKUP($AC499,'2017 Seattle Tracts'!$C$2:$Z$399,AL$1,FALSE)*AA499</f>
        <v>57.448900786669235</v>
      </c>
      <c r="AM499">
        <f>VLOOKUP($AC499,'2017 Seattle Tracts'!$C$2:$Z$399,AM$1,FALSE)*AA499</f>
        <v>14.712523372195779</v>
      </c>
      <c r="AN499">
        <f>VLOOKUP($AC499,'2017 Seattle Tracts'!$C$2:$Z$399,AN$1,FALSE)*AA499</f>
        <v>10.508945265854127</v>
      </c>
      <c r="AO499">
        <f>VLOOKUP($AC499,'2017 Seattle Tracts'!$C$2:$Z$399,AO$1,FALSE)*AA499</f>
        <v>0</v>
      </c>
      <c r="AP499">
        <f>VLOOKUP($AC499,'2017 Seattle Tracts'!$C$2:$Z$399,AP$1,FALSE)*AA499</f>
        <v>4.2035781063416513</v>
      </c>
      <c r="AQ499">
        <f>VLOOKUP($AC499,'2017 Seattle Tracts'!$C$2:$Z$399,AQ$1,FALSE)*AA499</f>
        <v>0</v>
      </c>
      <c r="AR499">
        <f>VLOOKUP($AC499,'2017 Seattle Tracts'!$C$2:$Z$399,AR$1,FALSE)*AA499</f>
        <v>179.35266587057711</v>
      </c>
      <c r="AS499">
        <f>VLOOKUP($AC499,'2017 Seattle Tracts'!$C$2:$Z$399,AS$1,FALSE)*AA499</f>
        <v>255.71766813578378</v>
      </c>
      <c r="AT499">
        <f>VLOOKUP($AC499,'2017 Seattle Tracts'!$C$2:$Z$399,AT$1,FALSE)*AA499</f>
        <v>0</v>
      </c>
      <c r="AU499">
        <f>VLOOKUP($AC499,'2017 Seattle Tracts'!$C$2:$Z$399,AU$1,FALSE)*AA499</f>
        <v>0</v>
      </c>
      <c r="AV499">
        <f>VLOOKUP($AC499,'2017 Seattle Tracts'!$C$2:$Z$399,AV$1,FALSE)*AA499</f>
        <v>36.431010254960974</v>
      </c>
      <c r="AW499">
        <f>VLOOKUP($AC499,'2017 Seattle Tracts'!$C$2:$Z$399,AW$1,FALSE)*AA499</f>
        <v>41.33518471235957</v>
      </c>
      <c r="AX499">
        <f>VLOOKUP($AC499,'2017 Seattle Tracts'!$C$2:$Z$399,AX$1,FALSE)*AA499</f>
        <v>48.341148222928986</v>
      </c>
      <c r="AY499">
        <f>VLOOKUP($AC499,'2017 Seattle Tracts'!$C$2:$Z$399,AY$1,FALSE)*AA499</f>
        <v>28.724450393334617</v>
      </c>
    </row>
    <row r="500" spans="1:51" x14ac:dyDescent="0.25">
      <c r="A500" t="s">
        <v>2917</v>
      </c>
      <c r="B500" t="s">
        <v>2918</v>
      </c>
      <c r="C500" t="s">
        <v>3299</v>
      </c>
      <c r="D500" t="s">
        <v>2764</v>
      </c>
      <c r="E500" t="s">
        <v>2765</v>
      </c>
      <c r="F500" t="s">
        <v>2766</v>
      </c>
      <c r="G500" t="s">
        <v>2920</v>
      </c>
      <c r="H500" t="s">
        <v>2921</v>
      </c>
      <c r="I500">
        <v>1365469</v>
      </c>
      <c r="J500">
        <v>0</v>
      </c>
      <c r="K500" t="s">
        <v>3300</v>
      </c>
      <c r="L500" t="s">
        <v>3301</v>
      </c>
      <c r="M500">
        <v>1365467</v>
      </c>
      <c r="N500">
        <v>104</v>
      </c>
      <c r="O500">
        <v>18770.280999999999</v>
      </c>
      <c r="P500" t="s">
        <v>207</v>
      </c>
      <c r="Q500">
        <v>3</v>
      </c>
      <c r="R500">
        <v>3</v>
      </c>
      <c r="S500">
        <v>24</v>
      </c>
      <c r="T500">
        <v>17034848</v>
      </c>
      <c r="U500">
        <v>106</v>
      </c>
      <c r="V500">
        <v>108</v>
      </c>
      <c r="W500">
        <v>18770.28203242151</v>
      </c>
      <c r="X500">
        <v>17034848.779124379</v>
      </c>
      <c r="Y500">
        <v>408458.53700000001</v>
      </c>
      <c r="Z500">
        <f>VLOOKUP($AC500,'2017 Seattle Tracts'!$C$2:$Z$399,24,FALSE)</f>
        <v>1365467.0190000001</v>
      </c>
      <c r="AA500">
        <f t="shared" si="15"/>
        <v>0.29913467796471177</v>
      </c>
      <c r="AB500" t="s">
        <v>209</v>
      </c>
      <c r="AC500" t="str">
        <f t="shared" si="14"/>
        <v>Census Tract 21, King County, Washington</v>
      </c>
      <c r="AD500">
        <f>VLOOKUP($AC500,'2017 Seattle Tracts'!$C$2:$Z$399,AD$1,FALSE)*AA500</f>
        <v>1259.3569942314366</v>
      </c>
      <c r="AE500">
        <f>VLOOKUP($AC500,'2017 Seattle Tracts'!$C$2:$Z$399,AE$1,FALSE)*AA500</f>
        <v>1046.3731035205617</v>
      </c>
      <c r="AF500">
        <f>VLOOKUP($AC500,'2017 Seattle Tracts'!$C$2:$Z$399,AF$1,FALSE)*AA500</f>
        <v>212.98389071087479</v>
      </c>
      <c r="AG500">
        <f>VLOOKUP($AC500,'2017 Seattle Tracts'!$C$2:$Z$399,AG$1,FALSE)*AA500</f>
        <v>1259.3569942314366</v>
      </c>
      <c r="AH500">
        <f>VLOOKUP($AC500,'2017 Seattle Tracts'!$C$2:$Z$399,AH$1,FALSE)*AA500</f>
        <v>1046.3731035205617</v>
      </c>
      <c r="AI500">
        <f>VLOOKUP($AC500,'2017 Seattle Tracts'!$C$2:$Z$399,AI$1,FALSE)*AA500</f>
        <v>212.98389071087479</v>
      </c>
      <c r="AJ500">
        <f>VLOOKUP($AC500,'2017 Seattle Tracts'!$C$2:$Z$399,AJ$1,FALSE)*AA500</f>
        <v>902.7884580975001</v>
      </c>
      <c r="AK500">
        <f>VLOOKUP($AC500,'2017 Seattle Tracts'!$C$2:$Z$399,AK$1,FALSE)*AA500</f>
        <v>67.604437220024863</v>
      </c>
      <c r="AL500">
        <f>VLOOKUP($AC500,'2017 Seattle Tracts'!$C$2:$Z$399,AL$1,FALSE)*AA500</f>
        <v>24.529043593106366</v>
      </c>
      <c r="AM500">
        <f>VLOOKUP($AC500,'2017 Seattle Tracts'!$C$2:$Z$399,AM$1,FALSE)*AA500</f>
        <v>6.2818282372589476</v>
      </c>
      <c r="AN500">
        <f>VLOOKUP($AC500,'2017 Seattle Tracts'!$C$2:$Z$399,AN$1,FALSE)*AA500</f>
        <v>4.4870201694706768</v>
      </c>
      <c r="AO500">
        <f>VLOOKUP($AC500,'2017 Seattle Tracts'!$C$2:$Z$399,AO$1,FALSE)*AA500</f>
        <v>0</v>
      </c>
      <c r="AP500">
        <f>VLOOKUP($AC500,'2017 Seattle Tracts'!$C$2:$Z$399,AP$1,FALSE)*AA500</f>
        <v>1.7948080677882707</v>
      </c>
      <c r="AQ500">
        <f>VLOOKUP($AC500,'2017 Seattle Tracts'!$C$2:$Z$399,AQ$1,FALSE)*AA500</f>
        <v>0</v>
      </c>
      <c r="AR500">
        <f>VLOOKUP($AC500,'2017 Seattle Tracts'!$C$2:$Z$399,AR$1,FALSE)*AA500</f>
        <v>76.578477558966213</v>
      </c>
      <c r="AS500">
        <f>VLOOKUP($AC500,'2017 Seattle Tracts'!$C$2:$Z$399,AS$1,FALSE)*AA500</f>
        <v>109.1841574571198</v>
      </c>
      <c r="AT500">
        <f>VLOOKUP($AC500,'2017 Seattle Tracts'!$C$2:$Z$399,AT$1,FALSE)*AA500</f>
        <v>0</v>
      </c>
      <c r="AU500">
        <f>VLOOKUP($AC500,'2017 Seattle Tracts'!$C$2:$Z$399,AU$1,FALSE)*AA500</f>
        <v>0</v>
      </c>
      <c r="AV500">
        <f>VLOOKUP($AC500,'2017 Seattle Tracts'!$C$2:$Z$399,AV$1,FALSE)*AA500</f>
        <v>15.555003254165012</v>
      </c>
      <c r="AW500">
        <f>VLOOKUP($AC500,'2017 Seattle Tracts'!$C$2:$Z$399,AW$1,FALSE)*AA500</f>
        <v>17.648945999917995</v>
      </c>
      <c r="AX500">
        <f>VLOOKUP($AC500,'2017 Seattle Tracts'!$C$2:$Z$399,AX$1,FALSE)*AA500</f>
        <v>20.640292779565112</v>
      </c>
      <c r="AY500">
        <f>VLOOKUP($AC500,'2017 Seattle Tracts'!$C$2:$Z$399,AY$1,FALSE)*AA500</f>
        <v>12.264521796553183</v>
      </c>
    </row>
    <row r="501" spans="1:51" x14ac:dyDescent="0.25">
      <c r="A501" t="s">
        <v>2917</v>
      </c>
      <c r="B501" t="s">
        <v>2918</v>
      </c>
      <c r="C501" t="s">
        <v>3299</v>
      </c>
      <c r="D501" t="s">
        <v>2764</v>
      </c>
      <c r="E501" t="s">
        <v>2765</v>
      </c>
      <c r="F501" t="s">
        <v>2766</v>
      </c>
      <c r="G501" t="s">
        <v>2920</v>
      </c>
      <c r="H501" t="s">
        <v>2921</v>
      </c>
      <c r="I501">
        <v>1365469</v>
      </c>
      <c r="J501">
        <v>0</v>
      </c>
      <c r="K501" t="s">
        <v>3300</v>
      </c>
      <c r="L501" t="s">
        <v>3301</v>
      </c>
      <c r="M501">
        <v>1365467</v>
      </c>
      <c r="N501">
        <v>116</v>
      </c>
      <c r="O501">
        <v>25503.057000000001</v>
      </c>
      <c r="P501" t="s">
        <v>215</v>
      </c>
      <c r="Q501">
        <v>2</v>
      </c>
      <c r="R501">
        <v>10</v>
      </c>
      <c r="S501">
        <v>94</v>
      </c>
      <c r="T501">
        <v>34380472</v>
      </c>
      <c r="U501">
        <v>118</v>
      </c>
      <c r="V501">
        <v>112</v>
      </c>
      <c r="W501">
        <v>25503.057408269069</v>
      </c>
      <c r="X501">
        <v>34380470.782561153</v>
      </c>
      <c r="Y501">
        <v>160.73400000000001</v>
      </c>
      <c r="Z501">
        <f>VLOOKUP($AC501,'2017 Seattle Tracts'!$C$2:$Z$399,24,FALSE)</f>
        <v>1365467.0190000001</v>
      </c>
      <c r="AA501">
        <f t="shared" si="15"/>
        <v>1.1771357181348369E-4</v>
      </c>
      <c r="AB501" t="s">
        <v>219</v>
      </c>
      <c r="AC501" t="str">
        <f t="shared" si="14"/>
        <v>Census Tract 21, King County, Washington</v>
      </c>
      <c r="AD501">
        <f>VLOOKUP($AC501,'2017 Seattle Tracts'!$C$2:$Z$399,AD$1,FALSE)*AA501</f>
        <v>0.49557413733476635</v>
      </c>
      <c r="AE501">
        <f>VLOOKUP($AC501,'2017 Seattle Tracts'!$C$2:$Z$399,AE$1,FALSE)*AA501</f>
        <v>0.41176207420356598</v>
      </c>
      <c r="AF501">
        <f>VLOOKUP($AC501,'2017 Seattle Tracts'!$C$2:$Z$399,AF$1,FALSE)*AA501</f>
        <v>8.381206313120039E-2</v>
      </c>
      <c r="AG501">
        <f>VLOOKUP($AC501,'2017 Seattle Tracts'!$C$2:$Z$399,AG$1,FALSE)*AA501</f>
        <v>0.49557413733476635</v>
      </c>
      <c r="AH501">
        <f>VLOOKUP($AC501,'2017 Seattle Tracts'!$C$2:$Z$399,AH$1,FALSE)*AA501</f>
        <v>0.41176207420356598</v>
      </c>
      <c r="AI501">
        <f>VLOOKUP($AC501,'2017 Seattle Tracts'!$C$2:$Z$399,AI$1,FALSE)*AA501</f>
        <v>8.381206313120039E-2</v>
      </c>
      <c r="AJ501">
        <f>VLOOKUP($AC501,'2017 Seattle Tracts'!$C$2:$Z$399,AJ$1,FALSE)*AA501</f>
        <v>0.35525955973309375</v>
      </c>
      <c r="AK501">
        <f>VLOOKUP($AC501,'2017 Seattle Tracts'!$C$2:$Z$399,AK$1,FALSE)*AA501</f>
        <v>2.6603267229847315E-2</v>
      </c>
      <c r="AL501">
        <f>VLOOKUP($AC501,'2017 Seattle Tracts'!$C$2:$Z$399,AL$1,FALSE)*AA501</f>
        <v>9.6525128887056631E-3</v>
      </c>
      <c r="AM501">
        <f>VLOOKUP($AC501,'2017 Seattle Tracts'!$C$2:$Z$399,AM$1,FALSE)*AA501</f>
        <v>2.4719850080831577E-3</v>
      </c>
      <c r="AN501">
        <f>VLOOKUP($AC501,'2017 Seattle Tracts'!$C$2:$Z$399,AN$1,FALSE)*AA501</f>
        <v>1.7657035772022554E-3</v>
      </c>
      <c r="AO501">
        <f>VLOOKUP($AC501,'2017 Seattle Tracts'!$C$2:$Z$399,AO$1,FALSE)*AA501</f>
        <v>0</v>
      </c>
      <c r="AP501">
        <f>VLOOKUP($AC501,'2017 Seattle Tracts'!$C$2:$Z$399,AP$1,FALSE)*AA501</f>
        <v>7.0628143088090215E-4</v>
      </c>
      <c r="AQ501">
        <f>VLOOKUP($AC501,'2017 Seattle Tracts'!$C$2:$Z$399,AQ$1,FALSE)*AA501</f>
        <v>0</v>
      </c>
      <c r="AR501">
        <f>VLOOKUP($AC501,'2017 Seattle Tracts'!$C$2:$Z$399,AR$1,FALSE)*AA501</f>
        <v>3.0134674384251825E-2</v>
      </c>
      <c r="AS501">
        <f>VLOOKUP($AC501,'2017 Seattle Tracts'!$C$2:$Z$399,AS$1,FALSE)*AA501</f>
        <v>4.296545371192155E-2</v>
      </c>
      <c r="AT501">
        <f>VLOOKUP($AC501,'2017 Seattle Tracts'!$C$2:$Z$399,AT$1,FALSE)*AA501</f>
        <v>0</v>
      </c>
      <c r="AU501">
        <f>VLOOKUP($AC501,'2017 Seattle Tracts'!$C$2:$Z$399,AU$1,FALSE)*AA501</f>
        <v>0</v>
      </c>
      <c r="AV501">
        <f>VLOOKUP($AC501,'2017 Seattle Tracts'!$C$2:$Z$399,AV$1,FALSE)*AA501</f>
        <v>6.121105734301152E-3</v>
      </c>
      <c r="AW501">
        <f>VLOOKUP($AC501,'2017 Seattle Tracts'!$C$2:$Z$399,AW$1,FALSE)*AA501</f>
        <v>6.9451007369955376E-3</v>
      </c>
      <c r="AX501">
        <f>VLOOKUP($AC501,'2017 Seattle Tracts'!$C$2:$Z$399,AX$1,FALSE)*AA501</f>
        <v>8.1222364551303741E-3</v>
      </c>
      <c r="AY501">
        <f>VLOOKUP($AC501,'2017 Seattle Tracts'!$C$2:$Z$399,AY$1,FALSE)*AA501</f>
        <v>4.8262564443528316E-3</v>
      </c>
    </row>
    <row r="502" spans="1:51" x14ac:dyDescent="0.25">
      <c r="A502" t="s">
        <v>2917</v>
      </c>
      <c r="B502" t="s">
        <v>2918</v>
      </c>
      <c r="C502" t="s">
        <v>3302</v>
      </c>
      <c r="D502" t="s">
        <v>2758</v>
      </c>
      <c r="E502" t="s">
        <v>2759</v>
      </c>
      <c r="F502" t="s">
        <v>2760</v>
      </c>
      <c r="G502" t="s">
        <v>2920</v>
      </c>
      <c r="H502" t="s">
        <v>2921</v>
      </c>
      <c r="I502">
        <v>978016</v>
      </c>
      <c r="J502">
        <v>0</v>
      </c>
      <c r="K502" t="s">
        <v>3303</v>
      </c>
      <c r="L502" t="s">
        <v>3304</v>
      </c>
      <c r="M502">
        <v>978017</v>
      </c>
      <c r="N502">
        <v>35</v>
      </c>
      <c r="O502">
        <v>22657.039000000001</v>
      </c>
      <c r="P502" t="s">
        <v>122</v>
      </c>
      <c r="Q502">
        <v>4</v>
      </c>
      <c r="R502">
        <v>5</v>
      </c>
      <c r="S502">
        <v>94</v>
      </c>
      <c r="T502">
        <v>25612980</v>
      </c>
      <c r="U502">
        <v>37</v>
      </c>
      <c r="V502">
        <v>119</v>
      </c>
      <c r="W502">
        <v>22657.0394732799</v>
      </c>
      <c r="X502">
        <v>25612979.943988901</v>
      </c>
      <c r="Y502">
        <v>719.23900000000003</v>
      </c>
      <c r="Z502">
        <f>VLOOKUP($AC502,'2017 Seattle Tracts'!$C$2:$Z$399,24,FALSE)</f>
        <v>978017.196</v>
      </c>
      <c r="AA502">
        <f t="shared" si="15"/>
        <v>7.354052699089762E-4</v>
      </c>
      <c r="AB502" t="s">
        <v>126</v>
      </c>
      <c r="AC502" t="str">
        <f t="shared" si="14"/>
        <v>Census Tract 24, King County, Washington</v>
      </c>
      <c r="AD502">
        <f>VLOOKUP($AC502,'2017 Seattle Tracts'!$C$2:$Z$399,AD$1,FALSE)*AA502</f>
        <v>2.3385887583105442</v>
      </c>
      <c r="AE502">
        <f>VLOOKUP($AC502,'2017 Seattle Tracts'!$C$2:$Z$399,AE$1,FALSE)*AA502</f>
        <v>2.0297185449487745</v>
      </c>
      <c r="AF502">
        <f>VLOOKUP($AC502,'2017 Seattle Tracts'!$C$2:$Z$399,AF$1,FALSE)*AA502</f>
        <v>0.30887021336177001</v>
      </c>
      <c r="AG502">
        <f>VLOOKUP($AC502,'2017 Seattle Tracts'!$C$2:$Z$399,AG$1,FALSE)*AA502</f>
        <v>2.3385887583105442</v>
      </c>
      <c r="AH502">
        <f>VLOOKUP($AC502,'2017 Seattle Tracts'!$C$2:$Z$399,AH$1,FALSE)*AA502</f>
        <v>2.0297185449487745</v>
      </c>
      <c r="AI502">
        <f>VLOOKUP($AC502,'2017 Seattle Tracts'!$C$2:$Z$399,AI$1,FALSE)*AA502</f>
        <v>0.30887021336177001</v>
      </c>
      <c r="AJ502">
        <f>VLOOKUP($AC502,'2017 Seattle Tracts'!$C$2:$Z$399,AJ$1,FALSE)*AA502</f>
        <v>1.7782099426399045</v>
      </c>
      <c r="AK502">
        <f>VLOOKUP($AC502,'2017 Seattle Tracts'!$C$2:$Z$399,AK$1,FALSE)*AA502</f>
        <v>0.12281268007479902</v>
      </c>
      <c r="AL502">
        <f>VLOOKUP($AC502,'2017 Seattle Tracts'!$C$2:$Z$399,AL$1,FALSE)*AA502</f>
        <v>2.9416210796359046E-2</v>
      </c>
      <c r="AM502">
        <f>VLOOKUP($AC502,'2017 Seattle Tracts'!$C$2:$Z$399,AM$1,FALSE)*AA502</f>
        <v>7.3540526990897616E-3</v>
      </c>
      <c r="AN502">
        <f>VLOOKUP($AC502,'2017 Seattle Tracts'!$C$2:$Z$399,AN$1,FALSE)*AA502</f>
        <v>8.0894579689987384E-3</v>
      </c>
      <c r="AO502">
        <f>VLOOKUP($AC502,'2017 Seattle Tracts'!$C$2:$Z$399,AO$1,FALSE)*AA502</f>
        <v>0</v>
      </c>
      <c r="AP502">
        <f>VLOOKUP($AC502,'2017 Seattle Tracts'!$C$2:$Z$399,AP$1,FALSE)*AA502</f>
        <v>0</v>
      </c>
      <c r="AQ502">
        <f>VLOOKUP($AC502,'2017 Seattle Tracts'!$C$2:$Z$399,AQ$1,FALSE)*AA502</f>
        <v>0</v>
      </c>
      <c r="AR502">
        <f>VLOOKUP($AC502,'2017 Seattle Tracts'!$C$2:$Z$399,AR$1,FALSE)*AA502</f>
        <v>4.7801342544083456E-2</v>
      </c>
      <c r="AS502">
        <f>VLOOKUP($AC502,'2017 Seattle Tracts'!$C$2:$Z$399,AS$1,FALSE)*AA502</f>
        <v>0.15664132249061194</v>
      </c>
      <c r="AT502">
        <f>VLOOKUP($AC502,'2017 Seattle Tracts'!$C$2:$Z$399,AT$1,FALSE)*AA502</f>
        <v>5.8832421592718096E-3</v>
      </c>
      <c r="AU502">
        <f>VLOOKUP($AC502,'2017 Seattle Tracts'!$C$2:$Z$399,AU$1,FALSE)*AA502</f>
        <v>0</v>
      </c>
      <c r="AV502">
        <f>VLOOKUP($AC502,'2017 Seattle Tracts'!$C$2:$Z$399,AV$1,FALSE)*AA502</f>
        <v>1.8385131747724406E-2</v>
      </c>
      <c r="AW502">
        <f>VLOOKUP($AC502,'2017 Seattle Tracts'!$C$2:$Z$399,AW$1,FALSE)*AA502</f>
        <v>1.6178915937997477E-2</v>
      </c>
      <c r="AX502">
        <f>VLOOKUP($AC502,'2017 Seattle Tracts'!$C$2:$Z$399,AX$1,FALSE)*AA502</f>
        <v>0.1419332170924324</v>
      </c>
      <c r="AY502">
        <f>VLOOKUP($AC502,'2017 Seattle Tracts'!$C$2:$Z$399,AY$1,FALSE)*AA502</f>
        <v>5.8832421592718096E-3</v>
      </c>
    </row>
    <row r="503" spans="1:51" x14ac:dyDescent="0.25">
      <c r="A503" t="s">
        <v>2917</v>
      </c>
      <c r="B503" t="s">
        <v>2918</v>
      </c>
      <c r="C503" t="s">
        <v>3302</v>
      </c>
      <c r="D503" t="s">
        <v>2758</v>
      </c>
      <c r="E503" t="s">
        <v>2759</v>
      </c>
      <c r="F503" t="s">
        <v>2760</v>
      </c>
      <c r="G503" t="s">
        <v>2920</v>
      </c>
      <c r="H503" t="s">
        <v>2921</v>
      </c>
      <c r="I503">
        <v>978016</v>
      </c>
      <c r="J503">
        <v>0</v>
      </c>
      <c r="K503" t="s">
        <v>3303</v>
      </c>
      <c r="L503" t="s">
        <v>3304</v>
      </c>
      <c r="M503">
        <v>978017</v>
      </c>
      <c r="N503">
        <v>36</v>
      </c>
      <c r="O503">
        <v>30993.599999999999</v>
      </c>
      <c r="P503" t="s">
        <v>122</v>
      </c>
      <c r="Q503">
        <v>4</v>
      </c>
      <c r="R503">
        <v>5</v>
      </c>
      <c r="S503">
        <v>81</v>
      </c>
      <c r="T503">
        <v>37020968</v>
      </c>
      <c r="U503">
        <v>38</v>
      </c>
      <c r="V503">
        <v>125</v>
      </c>
      <c r="W503">
        <v>30993.600213945359</v>
      </c>
      <c r="X503">
        <v>37020968.872468568</v>
      </c>
      <c r="Y503">
        <v>41</v>
      </c>
      <c r="Z503">
        <f>VLOOKUP($AC503,'2017 Seattle Tracts'!$C$2:$Z$399,24,FALSE)</f>
        <v>978017.196</v>
      </c>
      <c r="AA503">
        <f t="shared" si="15"/>
        <v>4.192155328933501E-5</v>
      </c>
      <c r="AB503" t="s">
        <v>127</v>
      </c>
      <c r="AC503" t="str">
        <f t="shared" si="14"/>
        <v>Census Tract 24, King County, Washington</v>
      </c>
      <c r="AD503">
        <f>VLOOKUP($AC503,'2017 Seattle Tracts'!$C$2:$Z$399,AD$1,FALSE)*AA503</f>
        <v>0.13331053946008534</v>
      </c>
      <c r="AE503">
        <f>VLOOKUP($AC503,'2017 Seattle Tracts'!$C$2:$Z$399,AE$1,FALSE)*AA503</f>
        <v>0.11570348707856462</v>
      </c>
      <c r="AF503">
        <f>VLOOKUP($AC503,'2017 Seattle Tracts'!$C$2:$Z$399,AF$1,FALSE)*AA503</f>
        <v>1.7607052381520705E-2</v>
      </c>
      <c r="AG503">
        <f>VLOOKUP($AC503,'2017 Seattle Tracts'!$C$2:$Z$399,AG$1,FALSE)*AA503</f>
        <v>0.13331053946008534</v>
      </c>
      <c r="AH503">
        <f>VLOOKUP($AC503,'2017 Seattle Tracts'!$C$2:$Z$399,AH$1,FALSE)*AA503</f>
        <v>0.11570348707856462</v>
      </c>
      <c r="AI503">
        <f>VLOOKUP($AC503,'2017 Seattle Tracts'!$C$2:$Z$399,AI$1,FALSE)*AA503</f>
        <v>1.7607052381520705E-2</v>
      </c>
      <c r="AJ503">
        <f>VLOOKUP($AC503,'2017 Seattle Tracts'!$C$2:$Z$399,AJ$1,FALSE)*AA503</f>
        <v>0.10136631585361205</v>
      </c>
      <c r="AK503">
        <f>VLOOKUP($AC503,'2017 Seattle Tracts'!$C$2:$Z$399,AK$1,FALSE)*AA503</f>
        <v>7.0008993993189465E-3</v>
      </c>
      <c r="AL503">
        <f>VLOOKUP($AC503,'2017 Seattle Tracts'!$C$2:$Z$399,AL$1,FALSE)*AA503</f>
        <v>1.6768621315734005E-3</v>
      </c>
      <c r="AM503">
        <f>VLOOKUP($AC503,'2017 Seattle Tracts'!$C$2:$Z$399,AM$1,FALSE)*AA503</f>
        <v>4.1921553289335012E-4</v>
      </c>
      <c r="AN503">
        <f>VLOOKUP($AC503,'2017 Seattle Tracts'!$C$2:$Z$399,AN$1,FALSE)*AA503</f>
        <v>4.6113708618268509E-4</v>
      </c>
      <c r="AO503">
        <f>VLOOKUP($AC503,'2017 Seattle Tracts'!$C$2:$Z$399,AO$1,FALSE)*AA503</f>
        <v>0</v>
      </c>
      <c r="AP503">
        <f>VLOOKUP($AC503,'2017 Seattle Tracts'!$C$2:$Z$399,AP$1,FALSE)*AA503</f>
        <v>0</v>
      </c>
      <c r="AQ503">
        <f>VLOOKUP($AC503,'2017 Seattle Tracts'!$C$2:$Z$399,AQ$1,FALSE)*AA503</f>
        <v>0</v>
      </c>
      <c r="AR503">
        <f>VLOOKUP($AC503,'2017 Seattle Tracts'!$C$2:$Z$399,AR$1,FALSE)*AA503</f>
        <v>2.7249009638067754E-3</v>
      </c>
      <c r="AS503">
        <f>VLOOKUP($AC503,'2017 Seattle Tracts'!$C$2:$Z$399,AS$1,FALSE)*AA503</f>
        <v>8.9292908506283571E-3</v>
      </c>
      <c r="AT503">
        <f>VLOOKUP($AC503,'2017 Seattle Tracts'!$C$2:$Z$399,AT$1,FALSE)*AA503</f>
        <v>3.3537242631468008E-4</v>
      </c>
      <c r="AU503">
        <f>VLOOKUP($AC503,'2017 Seattle Tracts'!$C$2:$Z$399,AU$1,FALSE)*AA503</f>
        <v>0</v>
      </c>
      <c r="AV503">
        <f>VLOOKUP($AC503,'2017 Seattle Tracts'!$C$2:$Z$399,AV$1,FALSE)*AA503</f>
        <v>1.0480388322333751E-3</v>
      </c>
      <c r="AW503">
        <f>VLOOKUP($AC503,'2017 Seattle Tracts'!$C$2:$Z$399,AW$1,FALSE)*AA503</f>
        <v>9.2227417236537019E-4</v>
      </c>
      <c r="AX503">
        <f>VLOOKUP($AC503,'2017 Seattle Tracts'!$C$2:$Z$399,AX$1,FALSE)*AA503</f>
        <v>8.0908597848416575E-3</v>
      </c>
      <c r="AY503">
        <f>VLOOKUP($AC503,'2017 Seattle Tracts'!$C$2:$Z$399,AY$1,FALSE)*AA503</f>
        <v>3.3537242631468008E-4</v>
      </c>
    </row>
    <row r="504" spans="1:51" x14ac:dyDescent="0.25">
      <c r="A504" t="s">
        <v>2917</v>
      </c>
      <c r="B504" t="s">
        <v>2918</v>
      </c>
      <c r="C504" t="s">
        <v>3302</v>
      </c>
      <c r="D504" t="s">
        <v>2758</v>
      </c>
      <c r="E504" t="s">
        <v>2759</v>
      </c>
      <c r="F504" t="s">
        <v>2760</v>
      </c>
      <c r="G504" t="s">
        <v>2920</v>
      </c>
      <c r="H504" t="s">
        <v>2921</v>
      </c>
      <c r="I504">
        <v>978016</v>
      </c>
      <c r="J504">
        <v>0</v>
      </c>
      <c r="K504" t="s">
        <v>3303</v>
      </c>
      <c r="L504" t="s">
        <v>3304</v>
      </c>
      <c r="M504">
        <v>978017</v>
      </c>
      <c r="N504">
        <v>38</v>
      </c>
      <c r="O504">
        <v>20928.002</v>
      </c>
      <c r="P504" t="s">
        <v>122</v>
      </c>
      <c r="Q504">
        <v>4</v>
      </c>
      <c r="R504">
        <v>5</v>
      </c>
      <c r="S504">
        <v>24</v>
      </c>
      <c r="T504">
        <v>15485078</v>
      </c>
      <c r="U504">
        <v>40</v>
      </c>
      <c r="V504">
        <v>128</v>
      </c>
      <c r="W504">
        <v>20928.00172430617</v>
      </c>
      <c r="X504">
        <v>15485078.03322144</v>
      </c>
      <c r="Y504">
        <v>30.963999999999999</v>
      </c>
      <c r="Z504">
        <f>VLOOKUP($AC504,'2017 Seattle Tracts'!$C$2:$Z$399,24,FALSE)</f>
        <v>978017.196</v>
      </c>
      <c r="AA504">
        <f t="shared" si="15"/>
        <v>3.1659975025633396E-5</v>
      </c>
      <c r="AB504" t="s">
        <v>129</v>
      </c>
      <c r="AC504" t="str">
        <f t="shared" si="14"/>
        <v>Census Tract 24, King County, Washington</v>
      </c>
      <c r="AD504">
        <f>VLOOKUP($AC504,'2017 Seattle Tracts'!$C$2:$Z$399,AD$1,FALSE)*AA504</f>
        <v>0.1006787205815142</v>
      </c>
      <c r="AE504">
        <f>VLOOKUP($AC504,'2017 Seattle Tracts'!$C$2:$Z$399,AE$1,FALSE)*AA504</f>
        <v>8.738153107074817E-2</v>
      </c>
      <c r="AF504">
        <f>VLOOKUP($AC504,'2017 Seattle Tracts'!$C$2:$Z$399,AF$1,FALSE)*AA504</f>
        <v>1.3297189510766026E-2</v>
      </c>
      <c r="AG504">
        <f>VLOOKUP($AC504,'2017 Seattle Tracts'!$C$2:$Z$399,AG$1,FALSE)*AA504</f>
        <v>0.1006787205815142</v>
      </c>
      <c r="AH504">
        <f>VLOOKUP($AC504,'2017 Seattle Tracts'!$C$2:$Z$399,AH$1,FALSE)*AA504</f>
        <v>8.738153107074817E-2</v>
      </c>
      <c r="AI504">
        <f>VLOOKUP($AC504,'2017 Seattle Tracts'!$C$2:$Z$399,AI$1,FALSE)*AA504</f>
        <v>1.3297189510766026E-2</v>
      </c>
      <c r="AJ504">
        <f>VLOOKUP($AC504,'2017 Seattle Tracts'!$C$2:$Z$399,AJ$1,FALSE)*AA504</f>
        <v>7.6553819611981544E-2</v>
      </c>
      <c r="AK504">
        <f>VLOOKUP($AC504,'2017 Seattle Tracts'!$C$2:$Z$399,AK$1,FALSE)*AA504</f>
        <v>5.2872158292807774E-3</v>
      </c>
      <c r="AL504">
        <f>VLOOKUP($AC504,'2017 Seattle Tracts'!$C$2:$Z$399,AL$1,FALSE)*AA504</f>
        <v>1.2663990010253357E-3</v>
      </c>
      <c r="AM504">
        <f>VLOOKUP($AC504,'2017 Seattle Tracts'!$C$2:$Z$399,AM$1,FALSE)*AA504</f>
        <v>3.1659975025633393E-4</v>
      </c>
      <c r="AN504">
        <f>VLOOKUP($AC504,'2017 Seattle Tracts'!$C$2:$Z$399,AN$1,FALSE)*AA504</f>
        <v>3.4825972528196737E-4</v>
      </c>
      <c r="AO504">
        <f>VLOOKUP($AC504,'2017 Seattle Tracts'!$C$2:$Z$399,AO$1,FALSE)*AA504</f>
        <v>0</v>
      </c>
      <c r="AP504">
        <f>VLOOKUP($AC504,'2017 Seattle Tracts'!$C$2:$Z$399,AP$1,FALSE)*AA504</f>
        <v>0</v>
      </c>
      <c r="AQ504">
        <f>VLOOKUP($AC504,'2017 Seattle Tracts'!$C$2:$Z$399,AQ$1,FALSE)*AA504</f>
        <v>0</v>
      </c>
      <c r="AR504">
        <f>VLOOKUP($AC504,'2017 Seattle Tracts'!$C$2:$Z$399,AR$1,FALSE)*AA504</f>
        <v>2.0578983766661708E-3</v>
      </c>
      <c r="AS504">
        <f>VLOOKUP($AC504,'2017 Seattle Tracts'!$C$2:$Z$399,AS$1,FALSE)*AA504</f>
        <v>6.7435746804599137E-3</v>
      </c>
      <c r="AT504">
        <f>VLOOKUP($AC504,'2017 Seattle Tracts'!$C$2:$Z$399,AT$1,FALSE)*AA504</f>
        <v>2.5327980020506716E-4</v>
      </c>
      <c r="AU504">
        <f>VLOOKUP($AC504,'2017 Seattle Tracts'!$C$2:$Z$399,AU$1,FALSE)*AA504</f>
        <v>0</v>
      </c>
      <c r="AV504">
        <f>VLOOKUP($AC504,'2017 Seattle Tracts'!$C$2:$Z$399,AV$1,FALSE)*AA504</f>
        <v>7.9149937564083493E-4</v>
      </c>
      <c r="AW504">
        <f>VLOOKUP($AC504,'2017 Seattle Tracts'!$C$2:$Z$399,AW$1,FALSE)*AA504</f>
        <v>6.9651945056393473E-4</v>
      </c>
      <c r="AX504">
        <f>VLOOKUP($AC504,'2017 Seattle Tracts'!$C$2:$Z$399,AX$1,FALSE)*AA504</f>
        <v>6.110375179947245E-3</v>
      </c>
      <c r="AY504">
        <f>VLOOKUP($AC504,'2017 Seattle Tracts'!$C$2:$Z$399,AY$1,FALSE)*AA504</f>
        <v>2.5327980020506716E-4</v>
      </c>
    </row>
    <row r="505" spans="1:51" x14ac:dyDescent="0.25">
      <c r="A505" t="s">
        <v>2917</v>
      </c>
      <c r="B505" t="s">
        <v>2918</v>
      </c>
      <c r="C505" t="s">
        <v>3302</v>
      </c>
      <c r="D505" t="s">
        <v>2758</v>
      </c>
      <c r="E505" t="s">
        <v>2759</v>
      </c>
      <c r="F505" t="s">
        <v>2760</v>
      </c>
      <c r="G505" t="s">
        <v>2920</v>
      </c>
      <c r="H505" t="s">
        <v>2921</v>
      </c>
      <c r="I505">
        <v>978016</v>
      </c>
      <c r="J505">
        <v>0</v>
      </c>
      <c r="K505" t="s">
        <v>3303</v>
      </c>
      <c r="L505" t="s">
        <v>3304</v>
      </c>
      <c r="M505">
        <v>978017</v>
      </c>
      <c r="N505">
        <v>96</v>
      </c>
      <c r="O505">
        <v>23840.219000000001</v>
      </c>
      <c r="P505" t="s">
        <v>122</v>
      </c>
      <c r="Q505">
        <v>4</v>
      </c>
      <c r="R505">
        <v>5</v>
      </c>
      <c r="S505">
        <v>23</v>
      </c>
      <c r="T505">
        <v>30599714</v>
      </c>
      <c r="U505">
        <v>98</v>
      </c>
      <c r="V505">
        <v>117</v>
      </c>
      <c r="W505">
        <v>23840.218727432399</v>
      </c>
      <c r="X505">
        <v>30599713.626058389</v>
      </c>
      <c r="Y505">
        <v>977225.99300000002</v>
      </c>
      <c r="Z505">
        <f>VLOOKUP($AC505,'2017 Seattle Tracts'!$C$2:$Z$399,24,FALSE)</f>
        <v>978017.196</v>
      </c>
      <c r="AA505">
        <f t="shared" si="15"/>
        <v>0.99919101320177606</v>
      </c>
      <c r="AB505" t="s">
        <v>199</v>
      </c>
      <c r="AC505" t="str">
        <f t="shared" si="14"/>
        <v>Census Tract 24, King County, Washington</v>
      </c>
      <c r="AD505">
        <f>VLOOKUP($AC505,'2017 Seattle Tracts'!$C$2:$Z$399,AD$1,FALSE)*AA505</f>
        <v>3177.427421981648</v>
      </c>
      <c r="AE505">
        <f>VLOOKUP($AC505,'2017 Seattle Tracts'!$C$2:$Z$399,AE$1,FALSE)*AA505</f>
        <v>2757.7671964369019</v>
      </c>
      <c r="AF505">
        <f>VLOOKUP($AC505,'2017 Seattle Tracts'!$C$2:$Z$399,AF$1,FALSE)*AA505</f>
        <v>419.66022554474597</v>
      </c>
      <c r="AG505">
        <f>VLOOKUP($AC505,'2017 Seattle Tracts'!$C$2:$Z$399,AG$1,FALSE)*AA505</f>
        <v>3177.427421981648</v>
      </c>
      <c r="AH505">
        <f>VLOOKUP($AC505,'2017 Seattle Tracts'!$C$2:$Z$399,AH$1,FALSE)*AA505</f>
        <v>2757.7671964369019</v>
      </c>
      <c r="AI505">
        <f>VLOOKUP($AC505,'2017 Seattle Tracts'!$C$2:$Z$399,AI$1,FALSE)*AA505</f>
        <v>419.66022554474597</v>
      </c>
      <c r="AJ505">
        <f>VLOOKUP($AC505,'2017 Seattle Tracts'!$C$2:$Z$399,AJ$1,FALSE)*AA505</f>
        <v>2416.0438699218944</v>
      </c>
      <c r="AK505">
        <f>VLOOKUP($AC505,'2017 Seattle Tracts'!$C$2:$Z$399,AK$1,FALSE)*AA505</f>
        <v>166.8648992046966</v>
      </c>
      <c r="AL505">
        <f>VLOOKUP($AC505,'2017 Seattle Tracts'!$C$2:$Z$399,AL$1,FALSE)*AA505</f>
        <v>39.967640528071044</v>
      </c>
      <c r="AM505">
        <f>VLOOKUP($AC505,'2017 Seattle Tracts'!$C$2:$Z$399,AM$1,FALSE)*AA505</f>
        <v>9.991910132017761</v>
      </c>
      <c r="AN505">
        <f>VLOOKUP($AC505,'2017 Seattle Tracts'!$C$2:$Z$399,AN$1,FALSE)*AA505</f>
        <v>10.991101145219536</v>
      </c>
      <c r="AO505">
        <f>VLOOKUP($AC505,'2017 Seattle Tracts'!$C$2:$Z$399,AO$1,FALSE)*AA505</f>
        <v>0</v>
      </c>
      <c r="AP505">
        <f>VLOOKUP($AC505,'2017 Seattle Tracts'!$C$2:$Z$399,AP$1,FALSE)*AA505</f>
        <v>0</v>
      </c>
      <c r="AQ505">
        <f>VLOOKUP($AC505,'2017 Seattle Tracts'!$C$2:$Z$399,AQ$1,FALSE)*AA505</f>
        <v>0</v>
      </c>
      <c r="AR505">
        <f>VLOOKUP($AC505,'2017 Seattle Tracts'!$C$2:$Z$399,AR$1,FALSE)*AA505</f>
        <v>64.947415858115448</v>
      </c>
      <c r="AS505">
        <f>VLOOKUP($AC505,'2017 Seattle Tracts'!$C$2:$Z$399,AS$1,FALSE)*AA505</f>
        <v>212.82768581197831</v>
      </c>
      <c r="AT505">
        <f>VLOOKUP($AC505,'2017 Seattle Tracts'!$C$2:$Z$399,AT$1,FALSE)*AA505</f>
        <v>7.9935281056142085</v>
      </c>
      <c r="AU505">
        <f>VLOOKUP($AC505,'2017 Seattle Tracts'!$C$2:$Z$399,AU$1,FALSE)*AA505</f>
        <v>0</v>
      </c>
      <c r="AV505">
        <f>VLOOKUP($AC505,'2017 Seattle Tracts'!$C$2:$Z$399,AV$1,FALSE)*AA505</f>
        <v>24.979775330044401</v>
      </c>
      <c r="AW505">
        <f>VLOOKUP($AC505,'2017 Seattle Tracts'!$C$2:$Z$399,AW$1,FALSE)*AA505</f>
        <v>21.982202290439073</v>
      </c>
      <c r="AX505">
        <f>VLOOKUP($AC505,'2017 Seattle Tracts'!$C$2:$Z$399,AX$1,FALSE)*AA505</f>
        <v>192.84386554794278</v>
      </c>
      <c r="AY505">
        <f>VLOOKUP($AC505,'2017 Seattle Tracts'!$C$2:$Z$399,AY$1,FALSE)*AA505</f>
        <v>7.9935281056142085</v>
      </c>
    </row>
    <row r="506" spans="1:51" x14ac:dyDescent="0.25">
      <c r="A506" t="s">
        <v>2917</v>
      </c>
      <c r="B506" t="s">
        <v>2918</v>
      </c>
      <c r="C506" t="s">
        <v>3305</v>
      </c>
      <c r="D506" t="s">
        <v>2752</v>
      </c>
      <c r="E506" t="s">
        <v>2753</v>
      </c>
      <c r="F506" t="s">
        <v>2754</v>
      </c>
      <c r="G506" t="s">
        <v>2920</v>
      </c>
      <c r="H506" t="s">
        <v>2921</v>
      </c>
      <c r="I506">
        <v>1216627</v>
      </c>
      <c r="J506">
        <v>28175</v>
      </c>
      <c r="K506" t="s">
        <v>3306</v>
      </c>
      <c r="L506" t="s">
        <v>3307</v>
      </c>
      <c r="M506">
        <v>1211611</v>
      </c>
      <c r="N506">
        <v>36</v>
      </c>
      <c r="O506">
        <v>30993.599999999999</v>
      </c>
      <c r="P506" t="s">
        <v>122</v>
      </c>
      <c r="Q506">
        <v>4</v>
      </c>
      <c r="R506">
        <v>5</v>
      </c>
      <c r="S506">
        <v>81</v>
      </c>
      <c r="T506">
        <v>37020968</v>
      </c>
      <c r="U506">
        <v>38</v>
      </c>
      <c r="V506">
        <v>125</v>
      </c>
      <c r="W506">
        <v>30993.600213945359</v>
      </c>
      <c r="X506">
        <v>37020968.872468568</v>
      </c>
      <c r="Y506">
        <v>318637.12099999998</v>
      </c>
      <c r="Z506">
        <f>VLOOKUP($AC506,'2017 Seattle Tracts'!$C$2:$Z$399,24,FALSE)</f>
        <v>1211611.3899999999</v>
      </c>
      <c r="AA506">
        <f t="shared" si="15"/>
        <v>0.26298623769127821</v>
      </c>
      <c r="AB506" t="s">
        <v>127</v>
      </c>
      <c r="AC506" t="str">
        <f t="shared" si="14"/>
        <v>Census Tract 26, King County, Washington</v>
      </c>
      <c r="AD506">
        <f>VLOOKUP($AC506,'2017 Seattle Tracts'!$C$2:$Z$399,AD$1,FALSE)*AA506</f>
        <v>1330.973348955559</v>
      </c>
      <c r="AE506">
        <f>VLOOKUP($AC506,'2017 Seattle Tracts'!$C$2:$Z$399,AE$1,FALSE)*AA506</f>
        <v>1152.1427073254899</v>
      </c>
      <c r="AF506">
        <f>VLOOKUP($AC506,'2017 Seattle Tracts'!$C$2:$Z$399,AF$1,FALSE)*AA506</f>
        <v>178.83064163006918</v>
      </c>
      <c r="AG506">
        <f>VLOOKUP($AC506,'2017 Seattle Tracts'!$C$2:$Z$399,AG$1,FALSE)*AA506</f>
        <v>1330.973348955559</v>
      </c>
      <c r="AH506">
        <f>VLOOKUP($AC506,'2017 Seattle Tracts'!$C$2:$Z$399,AH$1,FALSE)*AA506</f>
        <v>1152.1427073254899</v>
      </c>
      <c r="AI506">
        <f>VLOOKUP($AC506,'2017 Seattle Tracts'!$C$2:$Z$399,AI$1,FALSE)*AA506</f>
        <v>178.83064163006918</v>
      </c>
      <c r="AJ506">
        <f>VLOOKUP($AC506,'2017 Seattle Tracts'!$C$2:$Z$399,AJ$1,FALSE)*AA506</f>
        <v>999.87367570223978</v>
      </c>
      <c r="AK506">
        <f>VLOOKUP($AC506,'2017 Seattle Tracts'!$C$2:$Z$399,AK$1,FALSE)*AA506</f>
        <v>76.528995168161956</v>
      </c>
      <c r="AL506">
        <f>VLOOKUP($AC506,'2017 Seattle Tracts'!$C$2:$Z$399,AL$1,FALSE)*AA506</f>
        <v>21.301885252993536</v>
      </c>
      <c r="AM506">
        <f>VLOOKUP($AC506,'2017 Seattle Tracts'!$C$2:$Z$399,AM$1,FALSE)*AA506</f>
        <v>12.623339409181355</v>
      </c>
      <c r="AN506">
        <f>VLOOKUP($AC506,'2017 Seattle Tracts'!$C$2:$Z$399,AN$1,FALSE)*AA506</f>
        <v>12.623339409181355</v>
      </c>
      <c r="AO506">
        <f>VLOOKUP($AC506,'2017 Seattle Tracts'!$C$2:$Z$399,AO$1,FALSE)*AA506</f>
        <v>2.629862376912782</v>
      </c>
      <c r="AP506">
        <f>VLOOKUP($AC506,'2017 Seattle Tracts'!$C$2:$Z$399,AP$1,FALSE)*AA506</f>
        <v>0</v>
      </c>
      <c r="AQ506">
        <f>VLOOKUP($AC506,'2017 Seattle Tracts'!$C$2:$Z$399,AQ$1,FALSE)*AA506</f>
        <v>0</v>
      </c>
      <c r="AR506">
        <f>VLOOKUP($AC506,'2017 Seattle Tracts'!$C$2:$Z$399,AR$1,FALSE)*AA506</f>
        <v>23.931747629906319</v>
      </c>
      <c r="AS506">
        <f>VLOOKUP($AC506,'2017 Seattle Tracts'!$C$2:$Z$399,AS$1,FALSE)*AA506</f>
        <v>79.684830020457298</v>
      </c>
      <c r="AT506">
        <f>VLOOKUP($AC506,'2017 Seattle Tracts'!$C$2:$Z$399,AT$1,FALSE)*AA506</f>
        <v>0</v>
      </c>
      <c r="AU506">
        <f>VLOOKUP($AC506,'2017 Seattle Tracts'!$C$2:$Z$399,AU$1,FALSE)*AA506</f>
        <v>0</v>
      </c>
      <c r="AV506">
        <f>VLOOKUP($AC506,'2017 Seattle Tracts'!$C$2:$Z$399,AV$1,FALSE)*AA506</f>
        <v>23.405775154523759</v>
      </c>
      <c r="AW506">
        <f>VLOOKUP($AC506,'2017 Seattle Tracts'!$C$2:$Z$399,AW$1,FALSE)*AA506</f>
        <v>3.1558348522953388</v>
      </c>
      <c r="AX506">
        <f>VLOOKUP($AC506,'2017 Seattle Tracts'!$C$2:$Z$399,AX$1,FALSE)*AA506</f>
        <v>71.006284176645124</v>
      </c>
      <c r="AY506">
        <f>VLOOKUP($AC506,'2017 Seattle Tracts'!$C$2:$Z$399,AY$1,FALSE)*AA506</f>
        <v>4.2077798030604514</v>
      </c>
    </row>
    <row r="507" spans="1:51" x14ac:dyDescent="0.25">
      <c r="A507" t="s">
        <v>2917</v>
      </c>
      <c r="B507" t="s">
        <v>2918</v>
      </c>
      <c r="C507" t="s">
        <v>3305</v>
      </c>
      <c r="D507" t="s">
        <v>2752</v>
      </c>
      <c r="E507" t="s">
        <v>2753</v>
      </c>
      <c r="F507" t="s">
        <v>2754</v>
      </c>
      <c r="G507" t="s">
        <v>2920</v>
      </c>
      <c r="H507" t="s">
        <v>2921</v>
      </c>
      <c r="I507">
        <v>1216627</v>
      </c>
      <c r="J507">
        <v>28175</v>
      </c>
      <c r="K507" t="s">
        <v>3306</v>
      </c>
      <c r="L507" t="s">
        <v>3307</v>
      </c>
      <c r="M507">
        <v>1211611</v>
      </c>
      <c r="N507">
        <v>41</v>
      </c>
      <c r="O507">
        <v>22865.453000000001</v>
      </c>
      <c r="P507" t="s">
        <v>122</v>
      </c>
      <c r="Q507">
        <v>4</v>
      </c>
      <c r="R507">
        <v>5</v>
      </c>
      <c r="S507">
        <v>95</v>
      </c>
      <c r="T507">
        <v>21491312</v>
      </c>
      <c r="U507">
        <v>43</v>
      </c>
      <c r="V507">
        <v>124</v>
      </c>
      <c r="W507">
        <v>22865.452635921651</v>
      </c>
      <c r="X507">
        <v>21491312.22830575</v>
      </c>
      <c r="Y507">
        <v>892974.26800000004</v>
      </c>
      <c r="Z507">
        <f>VLOOKUP($AC507,'2017 Seattle Tracts'!$C$2:$Z$399,24,FALSE)</f>
        <v>1211611.3899999999</v>
      </c>
      <c r="AA507">
        <f t="shared" si="15"/>
        <v>0.73701376148337472</v>
      </c>
      <c r="AB507" t="s">
        <v>132</v>
      </c>
      <c r="AC507" t="str">
        <f t="shared" si="14"/>
        <v>Census Tract 26, King County, Washington</v>
      </c>
      <c r="AD507">
        <f>VLOOKUP($AC507,'2017 Seattle Tracts'!$C$2:$Z$399,AD$1,FALSE)*AA507</f>
        <v>3730.0266468673594</v>
      </c>
      <c r="AE507">
        <f>VLOOKUP($AC507,'2017 Seattle Tracts'!$C$2:$Z$399,AE$1,FALSE)*AA507</f>
        <v>3228.8572890586647</v>
      </c>
      <c r="AF507">
        <f>VLOOKUP($AC507,'2017 Seattle Tracts'!$C$2:$Z$399,AF$1,FALSE)*AA507</f>
        <v>501.16935780869483</v>
      </c>
      <c r="AG507">
        <f>VLOOKUP($AC507,'2017 Seattle Tracts'!$C$2:$Z$399,AG$1,FALSE)*AA507</f>
        <v>3730.0266468673594</v>
      </c>
      <c r="AH507">
        <f>VLOOKUP($AC507,'2017 Seattle Tracts'!$C$2:$Z$399,AH$1,FALSE)*AA507</f>
        <v>3228.8572890586647</v>
      </c>
      <c r="AI507">
        <f>VLOOKUP($AC507,'2017 Seattle Tracts'!$C$2:$Z$399,AI$1,FALSE)*AA507</f>
        <v>501.16935780869483</v>
      </c>
      <c r="AJ507">
        <f>VLOOKUP($AC507,'2017 Seattle Tracts'!$C$2:$Z$399,AJ$1,FALSE)*AA507</f>
        <v>2802.1263211597907</v>
      </c>
      <c r="AK507">
        <f>VLOOKUP($AC507,'2017 Seattle Tracts'!$C$2:$Z$399,AK$1,FALSE)*AA507</f>
        <v>214.47100459166205</v>
      </c>
      <c r="AL507">
        <f>VLOOKUP($AC507,'2017 Seattle Tracts'!$C$2:$Z$399,AL$1,FALSE)*AA507</f>
        <v>59.698114680153353</v>
      </c>
      <c r="AM507">
        <f>VLOOKUP($AC507,'2017 Seattle Tracts'!$C$2:$Z$399,AM$1,FALSE)*AA507</f>
        <v>35.376660551201986</v>
      </c>
      <c r="AN507">
        <f>VLOOKUP($AC507,'2017 Seattle Tracts'!$C$2:$Z$399,AN$1,FALSE)*AA507</f>
        <v>35.376660551201986</v>
      </c>
      <c r="AO507">
        <f>VLOOKUP($AC507,'2017 Seattle Tracts'!$C$2:$Z$399,AO$1,FALSE)*AA507</f>
        <v>7.3701376148337472</v>
      </c>
      <c r="AP507">
        <f>VLOOKUP($AC507,'2017 Seattle Tracts'!$C$2:$Z$399,AP$1,FALSE)*AA507</f>
        <v>0</v>
      </c>
      <c r="AQ507">
        <f>VLOOKUP($AC507,'2017 Seattle Tracts'!$C$2:$Z$399,AQ$1,FALSE)*AA507</f>
        <v>0</v>
      </c>
      <c r="AR507">
        <f>VLOOKUP($AC507,'2017 Seattle Tracts'!$C$2:$Z$399,AR$1,FALSE)*AA507</f>
        <v>67.068252294987104</v>
      </c>
      <c r="AS507">
        <f>VLOOKUP($AC507,'2017 Seattle Tracts'!$C$2:$Z$399,AS$1,FALSE)*AA507</f>
        <v>223.31516972946255</v>
      </c>
      <c r="AT507">
        <f>VLOOKUP($AC507,'2017 Seattle Tracts'!$C$2:$Z$399,AT$1,FALSE)*AA507</f>
        <v>0</v>
      </c>
      <c r="AU507">
        <f>VLOOKUP($AC507,'2017 Seattle Tracts'!$C$2:$Z$399,AU$1,FALSE)*AA507</f>
        <v>0</v>
      </c>
      <c r="AV507">
        <f>VLOOKUP($AC507,'2017 Seattle Tracts'!$C$2:$Z$399,AV$1,FALSE)*AA507</f>
        <v>65.594224772020354</v>
      </c>
      <c r="AW507">
        <f>VLOOKUP($AC507,'2017 Seattle Tracts'!$C$2:$Z$399,AW$1,FALSE)*AA507</f>
        <v>8.8441651378004966</v>
      </c>
      <c r="AX507">
        <f>VLOOKUP($AC507,'2017 Seattle Tracts'!$C$2:$Z$399,AX$1,FALSE)*AA507</f>
        <v>198.99371560051117</v>
      </c>
      <c r="AY507">
        <f>VLOOKUP($AC507,'2017 Seattle Tracts'!$C$2:$Z$399,AY$1,FALSE)*AA507</f>
        <v>11.792220183733995</v>
      </c>
    </row>
    <row r="508" spans="1:51" x14ac:dyDescent="0.25">
      <c r="A508" t="s">
        <v>2917</v>
      </c>
      <c r="B508" t="s">
        <v>2918</v>
      </c>
      <c r="C508" t="s">
        <v>3308</v>
      </c>
      <c r="D508" t="s">
        <v>2743</v>
      </c>
      <c r="E508" t="s">
        <v>2744</v>
      </c>
      <c r="F508" t="s">
        <v>2745</v>
      </c>
      <c r="G508" t="s">
        <v>2920</v>
      </c>
      <c r="H508" t="s">
        <v>2921</v>
      </c>
      <c r="I508">
        <v>986207</v>
      </c>
      <c r="J508">
        <v>0</v>
      </c>
      <c r="K508" t="s">
        <v>3309</v>
      </c>
      <c r="L508" t="s">
        <v>3310</v>
      </c>
      <c r="M508">
        <v>986207</v>
      </c>
      <c r="N508">
        <v>29</v>
      </c>
      <c r="O508">
        <v>15934.439</v>
      </c>
      <c r="P508" t="s">
        <v>117</v>
      </c>
      <c r="Q508">
        <v>7</v>
      </c>
      <c r="R508">
        <v>11</v>
      </c>
      <c r="S508">
        <v>24</v>
      </c>
      <c r="T508">
        <v>14195687</v>
      </c>
      <c r="U508">
        <v>31</v>
      </c>
      <c r="V508">
        <v>121</v>
      </c>
      <c r="W508">
        <v>15934.4392663199</v>
      </c>
      <c r="X508">
        <v>14195687.491917299</v>
      </c>
      <c r="Y508">
        <v>406.30599999999998</v>
      </c>
      <c r="Z508">
        <f>VLOOKUP($AC508,'2017 Seattle Tracts'!$C$2:$Z$399,24,FALSE)</f>
        <v>986206.95499999996</v>
      </c>
      <c r="AA508">
        <f t="shared" si="15"/>
        <v>4.1198857698179585E-4</v>
      </c>
      <c r="AB508" t="s">
        <v>119</v>
      </c>
      <c r="AC508" t="str">
        <f t="shared" si="14"/>
        <v>Census Tract 29, King County, Washington</v>
      </c>
      <c r="AD508">
        <f>VLOOKUP($AC508,'2017 Seattle Tracts'!$C$2:$Z$399,AD$1,FALSE)*AA508</f>
        <v>1.9544738092016396</v>
      </c>
      <c r="AE508">
        <f>VLOOKUP($AC508,'2017 Seattle Tracts'!$C$2:$Z$399,AE$1,FALSE)*AA508</f>
        <v>1.7731988353296493</v>
      </c>
      <c r="AF508">
        <f>VLOOKUP($AC508,'2017 Seattle Tracts'!$C$2:$Z$399,AF$1,FALSE)*AA508</f>
        <v>0.18127497387199018</v>
      </c>
      <c r="AG508">
        <f>VLOOKUP($AC508,'2017 Seattle Tracts'!$C$2:$Z$399,AG$1,FALSE)*AA508</f>
        <v>1.9544738092016396</v>
      </c>
      <c r="AH508">
        <f>VLOOKUP($AC508,'2017 Seattle Tracts'!$C$2:$Z$399,AH$1,FALSE)*AA508</f>
        <v>1.7731988353296493</v>
      </c>
      <c r="AI508">
        <f>VLOOKUP($AC508,'2017 Seattle Tracts'!$C$2:$Z$399,AI$1,FALSE)*AA508</f>
        <v>0.18127497387199018</v>
      </c>
      <c r="AJ508">
        <f>VLOOKUP($AC508,'2017 Seattle Tracts'!$C$2:$Z$399,AJ$1,FALSE)*AA508</f>
        <v>1.5783282384172599</v>
      </c>
      <c r="AK508">
        <f>VLOOKUP($AC508,'2017 Seattle Tracts'!$C$2:$Z$399,AK$1,FALSE)*AA508</f>
        <v>0.10382112139941256</v>
      </c>
      <c r="AL508">
        <f>VLOOKUP($AC508,'2017 Seattle Tracts'!$C$2:$Z$399,AL$1,FALSE)*AA508</f>
        <v>4.1198857698179582E-2</v>
      </c>
      <c r="AM508">
        <f>VLOOKUP($AC508,'2017 Seattle Tracts'!$C$2:$Z$399,AM$1,FALSE)*AA508</f>
        <v>9.0637486935995094E-3</v>
      </c>
      <c r="AN508">
        <f>VLOOKUP($AC508,'2017 Seattle Tracts'!$C$2:$Z$399,AN$1,FALSE)*AA508</f>
        <v>0</v>
      </c>
      <c r="AO508">
        <f>VLOOKUP($AC508,'2017 Seattle Tracts'!$C$2:$Z$399,AO$1,FALSE)*AA508</f>
        <v>0</v>
      </c>
      <c r="AP508">
        <f>VLOOKUP($AC508,'2017 Seattle Tracts'!$C$2:$Z$399,AP$1,FALSE)*AA508</f>
        <v>4.1198857698179585E-4</v>
      </c>
      <c r="AQ508">
        <f>VLOOKUP($AC508,'2017 Seattle Tracts'!$C$2:$Z$399,AQ$1,FALSE)*AA508</f>
        <v>0</v>
      </c>
      <c r="AR508">
        <f>VLOOKUP($AC508,'2017 Seattle Tracts'!$C$2:$Z$399,AR$1,FALSE)*AA508</f>
        <v>4.7790674929888317E-2</v>
      </c>
      <c r="AS508">
        <f>VLOOKUP($AC508,'2017 Seattle Tracts'!$C$2:$Z$399,AS$1,FALSE)*AA508</f>
        <v>6.5094195163123744E-2</v>
      </c>
      <c r="AT508">
        <f>VLOOKUP($AC508,'2017 Seattle Tracts'!$C$2:$Z$399,AT$1,FALSE)*AA508</f>
        <v>4.9438629237815498E-3</v>
      </c>
      <c r="AU508">
        <f>VLOOKUP($AC508,'2017 Seattle Tracts'!$C$2:$Z$399,AU$1,FALSE)*AA508</f>
        <v>0</v>
      </c>
      <c r="AV508">
        <f>VLOOKUP($AC508,'2017 Seattle Tracts'!$C$2:$Z$399,AV$1,FALSE)*AA508</f>
        <v>3.3783063312507258E-2</v>
      </c>
      <c r="AW508">
        <f>VLOOKUP($AC508,'2017 Seattle Tracts'!$C$2:$Z$399,AW$1,FALSE)*AA508</f>
        <v>0</v>
      </c>
      <c r="AX508">
        <f>VLOOKUP($AC508,'2017 Seattle Tracts'!$C$2:$Z$399,AX$1,FALSE)*AA508</f>
        <v>6.6742149471050921E-2</v>
      </c>
      <c r="AY508">
        <f>VLOOKUP($AC508,'2017 Seattle Tracts'!$C$2:$Z$399,AY$1,FALSE)*AA508</f>
        <v>3.2959086158543668E-3</v>
      </c>
    </row>
    <row r="509" spans="1:51" x14ac:dyDescent="0.25">
      <c r="A509" t="s">
        <v>2917</v>
      </c>
      <c r="B509" t="s">
        <v>2918</v>
      </c>
      <c r="C509" t="s">
        <v>3308</v>
      </c>
      <c r="D509" t="s">
        <v>2743</v>
      </c>
      <c r="E509" t="s">
        <v>2744</v>
      </c>
      <c r="F509" t="s">
        <v>2745</v>
      </c>
      <c r="G509" t="s">
        <v>2920</v>
      </c>
      <c r="H509" t="s">
        <v>2921</v>
      </c>
      <c r="I509">
        <v>986207</v>
      </c>
      <c r="J509">
        <v>0</v>
      </c>
      <c r="K509" t="s">
        <v>3309</v>
      </c>
      <c r="L509" t="s">
        <v>3310</v>
      </c>
      <c r="M509">
        <v>986207</v>
      </c>
      <c r="N509">
        <v>31</v>
      </c>
      <c r="O509">
        <v>27120.785</v>
      </c>
      <c r="P509" t="s">
        <v>122</v>
      </c>
      <c r="Q509">
        <v>6</v>
      </c>
      <c r="R509">
        <v>9</v>
      </c>
      <c r="S509">
        <v>95</v>
      </c>
      <c r="T509">
        <v>32123118</v>
      </c>
      <c r="U509">
        <v>33</v>
      </c>
      <c r="V509">
        <v>126</v>
      </c>
      <c r="W509">
        <v>27120.785937968081</v>
      </c>
      <c r="X509">
        <v>32123117.878249042</v>
      </c>
      <c r="Y509">
        <v>330135.57299999997</v>
      </c>
      <c r="Z509">
        <f>VLOOKUP($AC509,'2017 Seattle Tracts'!$C$2:$Z$399,24,FALSE)</f>
        <v>986206.95499999996</v>
      </c>
      <c r="AA509">
        <f t="shared" si="15"/>
        <v>0.3347528339018862</v>
      </c>
      <c r="AB509" t="s">
        <v>121</v>
      </c>
      <c r="AC509" t="str">
        <f t="shared" si="14"/>
        <v>Census Tract 29, King County, Washington</v>
      </c>
      <c r="AD509">
        <f>VLOOKUP($AC509,'2017 Seattle Tracts'!$C$2:$Z$399,AD$1,FALSE)*AA509</f>
        <v>1588.0674440305481</v>
      </c>
      <c r="AE509">
        <f>VLOOKUP($AC509,'2017 Seattle Tracts'!$C$2:$Z$399,AE$1,FALSE)*AA509</f>
        <v>1440.7761971137181</v>
      </c>
      <c r="AF509">
        <f>VLOOKUP($AC509,'2017 Seattle Tracts'!$C$2:$Z$399,AF$1,FALSE)*AA509</f>
        <v>147.29124691682992</v>
      </c>
      <c r="AG509">
        <f>VLOOKUP($AC509,'2017 Seattle Tracts'!$C$2:$Z$399,AG$1,FALSE)*AA509</f>
        <v>1588.0674440305481</v>
      </c>
      <c r="AH509">
        <f>VLOOKUP($AC509,'2017 Seattle Tracts'!$C$2:$Z$399,AH$1,FALSE)*AA509</f>
        <v>1440.7761971137181</v>
      </c>
      <c r="AI509">
        <f>VLOOKUP($AC509,'2017 Seattle Tracts'!$C$2:$Z$399,AI$1,FALSE)*AA509</f>
        <v>147.29124691682992</v>
      </c>
      <c r="AJ509">
        <f>VLOOKUP($AC509,'2017 Seattle Tracts'!$C$2:$Z$399,AJ$1,FALSE)*AA509</f>
        <v>1282.4381066781261</v>
      </c>
      <c r="AK509">
        <f>VLOOKUP($AC509,'2017 Seattle Tracts'!$C$2:$Z$399,AK$1,FALSE)*AA509</f>
        <v>84.357714143275317</v>
      </c>
      <c r="AL509">
        <f>VLOOKUP($AC509,'2017 Seattle Tracts'!$C$2:$Z$399,AL$1,FALSE)*AA509</f>
        <v>33.475283390188622</v>
      </c>
      <c r="AM509">
        <f>VLOOKUP($AC509,'2017 Seattle Tracts'!$C$2:$Z$399,AM$1,FALSE)*AA509</f>
        <v>7.3645623458414962</v>
      </c>
      <c r="AN509">
        <f>VLOOKUP($AC509,'2017 Seattle Tracts'!$C$2:$Z$399,AN$1,FALSE)*AA509</f>
        <v>0</v>
      </c>
      <c r="AO509">
        <f>VLOOKUP($AC509,'2017 Seattle Tracts'!$C$2:$Z$399,AO$1,FALSE)*AA509</f>
        <v>0</v>
      </c>
      <c r="AP509">
        <f>VLOOKUP($AC509,'2017 Seattle Tracts'!$C$2:$Z$399,AP$1,FALSE)*AA509</f>
        <v>0.3347528339018862</v>
      </c>
      <c r="AQ509">
        <f>VLOOKUP($AC509,'2017 Seattle Tracts'!$C$2:$Z$399,AQ$1,FALSE)*AA509</f>
        <v>0</v>
      </c>
      <c r="AR509">
        <f>VLOOKUP($AC509,'2017 Seattle Tracts'!$C$2:$Z$399,AR$1,FALSE)*AA509</f>
        <v>38.8313287326188</v>
      </c>
      <c r="AS509">
        <f>VLOOKUP($AC509,'2017 Seattle Tracts'!$C$2:$Z$399,AS$1,FALSE)*AA509</f>
        <v>52.890947756498022</v>
      </c>
      <c r="AT509">
        <f>VLOOKUP($AC509,'2017 Seattle Tracts'!$C$2:$Z$399,AT$1,FALSE)*AA509</f>
        <v>4.0170340068226347</v>
      </c>
      <c r="AU509">
        <f>VLOOKUP($AC509,'2017 Seattle Tracts'!$C$2:$Z$399,AU$1,FALSE)*AA509</f>
        <v>0</v>
      </c>
      <c r="AV509">
        <f>VLOOKUP($AC509,'2017 Seattle Tracts'!$C$2:$Z$399,AV$1,FALSE)*AA509</f>
        <v>27.449732379954668</v>
      </c>
      <c r="AW509">
        <f>VLOOKUP($AC509,'2017 Seattle Tracts'!$C$2:$Z$399,AW$1,FALSE)*AA509</f>
        <v>0</v>
      </c>
      <c r="AX509">
        <f>VLOOKUP($AC509,'2017 Seattle Tracts'!$C$2:$Z$399,AX$1,FALSE)*AA509</f>
        <v>54.229959092105567</v>
      </c>
      <c r="AY509">
        <f>VLOOKUP($AC509,'2017 Seattle Tracts'!$C$2:$Z$399,AY$1,FALSE)*AA509</f>
        <v>2.6780226712150896</v>
      </c>
    </row>
    <row r="510" spans="1:51" x14ac:dyDescent="0.25">
      <c r="A510" t="s">
        <v>2917</v>
      </c>
      <c r="B510" t="s">
        <v>2918</v>
      </c>
      <c r="C510" t="s">
        <v>3308</v>
      </c>
      <c r="D510" t="s">
        <v>2743</v>
      </c>
      <c r="E510" t="s">
        <v>2744</v>
      </c>
      <c r="F510" t="s">
        <v>2745</v>
      </c>
      <c r="G510" t="s">
        <v>2920</v>
      </c>
      <c r="H510" t="s">
        <v>2921</v>
      </c>
      <c r="I510">
        <v>986207</v>
      </c>
      <c r="J510">
        <v>0</v>
      </c>
      <c r="K510" t="s">
        <v>3309</v>
      </c>
      <c r="L510" t="s">
        <v>3310</v>
      </c>
      <c r="M510">
        <v>986207</v>
      </c>
      <c r="N510">
        <v>118</v>
      </c>
      <c r="O510">
        <v>26501.526999999998</v>
      </c>
      <c r="P510" t="s">
        <v>122</v>
      </c>
      <c r="Q510">
        <v>1</v>
      </c>
      <c r="R510">
        <v>2</v>
      </c>
      <c r="S510">
        <v>19</v>
      </c>
      <c r="T510">
        <v>42044564</v>
      </c>
      <c r="U510">
        <v>120</v>
      </c>
      <c r="V510">
        <v>115</v>
      </c>
      <c r="W510">
        <v>26501.526591104928</v>
      </c>
      <c r="X510">
        <v>42044563.673184253</v>
      </c>
      <c r="Y510">
        <v>655665.07799999998</v>
      </c>
      <c r="Z510">
        <f>VLOOKUP($AC510,'2017 Seattle Tracts'!$C$2:$Z$399,24,FALSE)</f>
        <v>986206.95499999996</v>
      </c>
      <c r="AA510">
        <f t="shared" si="15"/>
        <v>0.66483517954910387</v>
      </c>
      <c r="AB510" t="s">
        <v>221</v>
      </c>
      <c r="AC510" t="str">
        <f t="shared" si="14"/>
        <v>Census Tract 29, King County, Washington</v>
      </c>
      <c r="AD510">
        <f>VLOOKUP($AC510,'2017 Seattle Tracts'!$C$2:$Z$399,AD$1,FALSE)*AA510</f>
        <v>3153.9780917809489</v>
      </c>
      <c r="AE510">
        <f>VLOOKUP($AC510,'2017 Seattle Tracts'!$C$2:$Z$399,AE$1,FALSE)*AA510</f>
        <v>2861.4506127793429</v>
      </c>
      <c r="AF510">
        <f>VLOOKUP($AC510,'2017 Seattle Tracts'!$C$2:$Z$399,AF$1,FALSE)*AA510</f>
        <v>292.52747900160568</v>
      </c>
      <c r="AG510">
        <f>VLOOKUP($AC510,'2017 Seattle Tracts'!$C$2:$Z$399,AG$1,FALSE)*AA510</f>
        <v>3153.9780917809489</v>
      </c>
      <c r="AH510">
        <f>VLOOKUP($AC510,'2017 Seattle Tracts'!$C$2:$Z$399,AH$1,FALSE)*AA510</f>
        <v>2861.4506127793429</v>
      </c>
      <c r="AI510">
        <f>VLOOKUP($AC510,'2017 Seattle Tracts'!$C$2:$Z$399,AI$1,FALSE)*AA510</f>
        <v>292.52747900160568</v>
      </c>
      <c r="AJ510">
        <f>VLOOKUP($AC510,'2017 Seattle Tracts'!$C$2:$Z$399,AJ$1,FALSE)*AA510</f>
        <v>2546.9835728526168</v>
      </c>
      <c r="AK510">
        <f>VLOOKUP($AC510,'2017 Seattle Tracts'!$C$2:$Z$399,AK$1,FALSE)*AA510</f>
        <v>167.53846524637419</v>
      </c>
      <c r="AL510">
        <f>VLOOKUP($AC510,'2017 Seattle Tracts'!$C$2:$Z$399,AL$1,FALSE)*AA510</f>
        <v>66.483517954910383</v>
      </c>
      <c r="AM510">
        <f>VLOOKUP($AC510,'2017 Seattle Tracts'!$C$2:$Z$399,AM$1,FALSE)*AA510</f>
        <v>14.626373950080286</v>
      </c>
      <c r="AN510">
        <f>VLOOKUP($AC510,'2017 Seattle Tracts'!$C$2:$Z$399,AN$1,FALSE)*AA510</f>
        <v>0</v>
      </c>
      <c r="AO510">
        <f>VLOOKUP($AC510,'2017 Seattle Tracts'!$C$2:$Z$399,AO$1,FALSE)*AA510</f>
        <v>0</v>
      </c>
      <c r="AP510">
        <f>VLOOKUP($AC510,'2017 Seattle Tracts'!$C$2:$Z$399,AP$1,FALSE)*AA510</f>
        <v>0.66483517954910387</v>
      </c>
      <c r="AQ510">
        <f>VLOOKUP($AC510,'2017 Seattle Tracts'!$C$2:$Z$399,AQ$1,FALSE)*AA510</f>
        <v>0</v>
      </c>
      <c r="AR510">
        <f>VLOOKUP($AC510,'2017 Seattle Tracts'!$C$2:$Z$399,AR$1,FALSE)*AA510</f>
        <v>77.120880827696055</v>
      </c>
      <c r="AS510">
        <f>VLOOKUP($AC510,'2017 Seattle Tracts'!$C$2:$Z$399,AS$1,FALSE)*AA510</f>
        <v>105.04395836875841</v>
      </c>
      <c r="AT510">
        <f>VLOOKUP($AC510,'2017 Seattle Tracts'!$C$2:$Z$399,AT$1,FALSE)*AA510</f>
        <v>7.9780221545892465</v>
      </c>
      <c r="AU510">
        <f>VLOOKUP($AC510,'2017 Seattle Tracts'!$C$2:$Z$399,AU$1,FALSE)*AA510</f>
        <v>0</v>
      </c>
      <c r="AV510">
        <f>VLOOKUP($AC510,'2017 Seattle Tracts'!$C$2:$Z$399,AV$1,FALSE)*AA510</f>
        <v>54.516484723026515</v>
      </c>
      <c r="AW510">
        <f>VLOOKUP($AC510,'2017 Seattle Tracts'!$C$2:$Z$399,AW$1,FALSE)*AA510</f>
        <v>0</v>
      </c>
      <c r="AX510">
        <f>VLOOKUP($AC510,'2017 Seattle Tracts'!$C$2:$Z$399,AX$1,FALSE)*AA510</f>
        <v>107.70329908695483</v>
      </c>
      <c r="AY510">
        <f>VLOOKUP($AC510,'2017 Seattle Tracts'!$C$2:$Z$399,AY$1,FALSE)*AA510</f>
        <v>5.318681436392831</v>
      </c>
    </row>
    <row r="511" spans="1:51" x14ac:dyDescent="0.25">
      <c r="A511" t="s">
        <v>2917</v>
      </c>
      <c r="B511" t="s">
        <v>2918</v>
      </c>
      <c r="C511" t="s">
        <v>3311</v>
      </c>
      <c r="D511" t="s">
        <v>2515</v>
      </c>
      <c r="E511" t="s">
        <v>2516</v>
      </c>
      <c r="F511" t="s">
        <v>2517</v>
      </c>
      <c r="G511" t="s">
        <v>2920</v>
      </c>
      <c r="H511" t="s">
        <v>2921</v>
      </c>
      <c r="I511">
        <v>1723073</v>
      </c>
      <c r="J511">
        <v>0</v>
      </c>
      <c r="K511" t="s">
        <v>3312</v>
      </c>
      <c r="L511" t="s">
        <v>3313</v>
      </c>
      <c r="M511">
        <v>1723071</v>
      </c>
      <c r="N511">
        <v>58</v>
      </c>
      <c r="O511">
        <v>25426.23</v>
      </c>
      <c r="P511" t="s">
        <v>149</v>
      </c>
      <c r="Q511">
        <v>14</v>
      </c>
      <c r="R511">
        <v>8</v>
      </c>
      <c r="S511">
        <v>24</v>
      </c>
      <c r="T511">
        <v>20664986</v>
      </c>
      <c r="U511">
        <v>60</v>
      </c>
      <c r="V511">
        <v>165</v>
      </c>
      <c r="W511">
        <v>25426.231162667511</v>
      </c>
      <c r="X511">
        <v>20664986.272921581</v>
      </c>
      <c r="Y511">
        <v>352429.88699999999</v>
      </c>
      <c r="Z511">
        <f>VLOOKUP($AC511,'2017 Seattle Tracts'!$C$2:$Z$399,24,FALSE)</f>
        <v>1723071.2120000001</v>
      </c>
      <c r="AA511">
        <f t="shared" si="15"/>
        <v>0.20453588020365579</v>
      </c>
      <c r="AB511" t="s">
        <v>154</v>
      </c>
      <c r="AC511" t="str">
        <f t="shared" si="14"/>
        <v>Census Tract 94, King County, Washington</v>
      </c>
      <c r="AD511">
        <f>VLOOKUP($AC511,'2017 Seattle Tracts'!$C$2:$Z$399,AD$1,FALSE)*AA511</f>
        <v>1381.4353348954912</v>
      </c>
      <c r="AE511">
        <f>VLOOKUP($AC511,'2017 Seattle Tracts'!$C$2:$Z$399,AE$1,FALSE)*AA511</f>
        <v>809.55301384606958</v>
      </c>
      <c r="AF511">
        <f>VLOOKUP($AC511,'2017 Seattle Tracts'!$C$2:$Z$399,AF$1,FALSE)*AA511</f>
        <v>571.88232104942153</v>
      </c>
      <c r="AG511">
        <f>VLOOKUP($AC511,'2017 Seattle Tracts'!$C$2:$Z$399,AG$1,FALSE)*AA511</f>
        <v>1381.4353348954912</v>
      </c>
      <c r="AH511">
        <f>VLOOKUP($AC511,'2017 Seattle Tracts'!$C$2:$Z$399,AH$1,FALSE)*AA511</f>
        <v>809.55301384606958</v>
      </c>
      <c r="AI511">
        <f>VLOOKUP($AC511,'2017 Seattle Tracts'!$C$2:$Z$399,AI$1,FALSE)*AA511</f>
        <v>571.88232104942153</v>
      </c>
      <c r="AJ511">
        <f>VLOOKUP($AC511,'2017 Seattle Tracts'!$C$2:$Z$399,AJ$1,FALSE)*AA511</f>
        <v>371.43715844983893</v>
      </c>
      <c r="AK511">
        <f>VLOOKUP($AC511,'2017 Seattle Tracts'!$C$2:$Z$399,AK$1,FALSE)*AA511</f>
        <v>28.839559108715466</v>
      </c>
      <c r="AL511">
        <f>VLOOKUP($AC511,'2017 Seattle Tracts'!$C$2:$Z$399,AL$1,FALSE)*AA511</f>
        <v>41.725319561545781</v>
      </c>
      <c r="AM511">
        <f>VLOOKUP($AC511,'2017 Seattle Tracts'!$C$2:$Z$399,AM$1,FALSE)*AA511</f>
        <v>23.112554463013105</v>
      </c>
      <c r="AN511">
        <f>VLOOKUP($AC511,'2017 Seattle Tracts'!$C$2:$Z$399,AN$1,FALSE)*AA511</f>
        <v>97.768150737347469</v>
      </c>
      <c r="AO511">
        <f>VLOOKUP($AC511,'2017 Seattle Tracts'!$C$2:$Z$399,AO$1,FALSE)*AA511</f>
        <v>33.748420233603206</v>
      </c>
      <c r="AP511">
        <f>VLOOKUP($AC511,'2017 Seattle Tracts'!$C$2:$Z$399,AP$1,FALSE)*AA511</f>
        <v>26.180592666067941</v>
      </c>
      <c r="AQ511">
        <f>VLOOKUP($AC511,'2017 Seattle Tracts'!$C$2:$Z$399,AQ$1,FALSE)*AA511</f>
        <v>0</v>
      </c>
      <c r="AR511">
        <f>VLOOKUP($AC511,'2017 Seattle Tracts'!$C$2:$Z$399,AR$1,FALSE)*AA511</f>
        <v>98.381758377958434</v>
      </c>
      <c r="AS511">
        <f>VLOOKUP($AC511,'2017 Seattle Tracts'!$C$2:$Z$399,AS$1,FALSE)*AA511</f>
        <v>328.68915948727488</v>
      </c>
      <c r="AT511">
        <f>VLOOKUP($AC511,'2017 Seattle Tracts'!$C$2:$Z$399,AT$1,FALSE)*AA511</f>
        <v>3.068038203054837</v>
      </c>
      <c r="AU511">
        <f>VLOOKUP($AC511,'2017 Seattle Tracts'!$C$2:$Z$399,AU$1,FALSE)*AA511</f>
        <v>0</v>
      </c>
      <c r="AV511">
        <f>VLOOKUP($AC511,'2017 Seattle Tracts'!$C$2:$Z$399,AV$1,FALSE)*AA511</f>
        <v>47.656860087451797</v>
      </c>
      <c r="AW511">
        <f>VLOOKUP($AC511,'2017 Seattle Tracts'!$C$2:$Z$399,AW$1,FALSE)*AA511</f>
        <v>155.03819719437109</v>
      </c>
      <c r="AX511">
        <f>VLOOKUP($AC511,'2017 Seattle Tracts'!$C$2:$Z$399,AX$1,FALSE)*AA511</f>
        <v>123.33513576280444</v>
      </c>
      <c r="AY511">
        <f>VLOOKUP($AC511,'2017 Seattle Tracts'!$C$2:$Z$399,AY$1,FALSE)*AA511</f>
        <v>2.4544305624438696</v>
      </c>
    </row>
    <row r="512" spans="1:51" x14ac:dyDescent="0.25">
      <c r="A512" t="s">
        <v>2917</v>
      </c>
      <c r="B512" t="s">
        <v>2918</v>
      </c>
      <c r="C512" t="s">
        <v>3311</v>
      </c>
      <c r="D512" t="s">
        <v>2515</v>
      </c>
      <c r="E512" t="s">
        <v>2516</v>
      </c>
      <c r="F512" t="s">
        <v>2517</v>
      </c>
      <c r="G512" t="s">
        <v>2920</v>
      </c>
      <c r="H512" t="s">
        <v>2921</v>
      </c>
      <c r="I512">
        <v>1723073</v>
      </c>
      <c r="J512">
        <v>0</v>
      </c>
      <c r="K512" t="s">
        <v>3312</v>
      </c>
      <c r="L512" t="s">
        <v>3313</v>
      </c>
      <c r="M512">
        <v>1723071</v>
      </c>
      <c r="N512">
        <v>61</v>
      </c>
      <c r="O512">
        <v>11772.387000000001</v>
      </c>
      <c r="P512" t="s">
        <v>156</v>
      </c>
      <c r="Q512">
        <v>13</v>
      </c>
      <c r="R512">
        <v>11</v>
      </c>
      <c r="S512">
        <v>94</v>
      </c>
      <c r="T512">
        <v>6169376</v>
      </c>
      <c r="U512">
        <v>63</v>
      </c>
      <c r="V512">
        <v>164</v>
      </c>
      <c r="W512">
        <v>11772.387141002069</v>
      </c>
      <c r="X512">
        <v>6169375.8166330215</v>
      </c>
      <c r="Y512">
        <v>0</v>
      </c>
      <c r="Z512">
        <f>VLOOKUP($AC512,'2017 Seattle Tracts'!$C$2:$Z$399,24,FALSE)</f>
        <v>1723071.2120000001</v>
      </c>
      <c r="AA512">
        <f t="shared" si="15"/>
        <v>0</v>
      </c>
      <c r="AB512" t="s">
        <v>158</v>
      </c>
      <c r="AC512" t="str">
        <f t="shared" si="14"/>
        <v>Census Tract 94, King County, Washington</v>
      </c>
      <c r="AD512">
        <f>VLOOKUP($AC512,'2017 Seattle Tracts'!$C$2:$Z$399,AD$1,FALSE)*AA512</f>
        <v>0</v>
      </c>
      <c r="AE512">
        <f>VLOOKUP($AC512,'2017 Seattle Tracts'!$C$2:$Z$399,AE$1,FALSE)*AA512</f>
        <v>0</v>
      </c>
      <c r="AF512">
        <f>VLOOKUP($AC512,'2017 Seattle Tracts'!$C$2:$Z$399,AF$1,FALSE)*AA512</f>
        <v>0</v>
      </c>
      <c r="AG512">
        <f>VLOOKUP($AC512,'2017 Seattle Tracts'!$C$2:$Z$399,AG$1,FALSE)*AA512</f>
        <v>0</v>
      </c>
      <c r="AH512">
        <f>VLOOKUP($AC512,'2017 Seattle Tracts'!$C$2:$Z$399,AH$1,FALSE)*AA512</f>
        <v>0</v>
      </c>
      <c r="AI512">
        <f>VLOOKUP($AC512,'2017 Seattle Tracts'!$C$2:$Z$399,AI$1,FALSE)*AA512</f>
        <v>0</v>
      </c>
      <c r="AJ512">
        <f>VLOOKUP($AC512,'2017 Seattle Tracts'!$C$2:$Z$399,AJ$1,FALSE)*AA512</f>
        <v>0</v>
      </c>
      <c r="AK512">
        <f>VLOOKUP($AC512,'2017 Seattle Tracts'!$C$2:$Z$399,AK$1,FALSE)*AA512</f>
        <v>0</v>
      </c>
      <c r="AL512">
        <f>VLOOKUP($AC512,'2017 Seattle Tracts'!$C$2:$Z$399,AL$1,FALSE)*AA512</f>
        <v>0</v>
      </c>
      <c r="AM512">
        <f>VLOOKUP($AC512,'2017 Seattle Tracts'!$C$2:$Z$399,AM$1,FALSE)*AA512</f>
        <v>0</v>
      </c>
      <c r="AN512">
        <f>VLOOKUP($AC512,'2017 Seattle Tracts'!$C$2:$Z$399,AN$1,FALSE)*AA512</f>
        <v>0</v>
      </c>
      <c r="AO512">
        <f>VLOOKUP($AC512,'2017 Seattle Tracts'!$C$2:$Z$399,AO$1,FALSE)*AA512</f>
        <v>0</v>
      </c>
      <c r="AP512">
        <f>VLOOKUP($AC512,'2017 Seattle Tracts'!$C$2:$Z$399,AP$1,FALSE)*AA512</f>
        <v>0</v>
      </c>
      <c r="AQ512">
        <f>VLOOKUP($AC512,'2017 Seattle Tracts'!$C$2:$Z$399,AQ$1,FALSE)*AA512</f>
        <v>0</v>
      </c>
      <c r="AR512">
        <f>VLOOKUP($AC512,'2017 Seattle Tracts'!$C$2:$Z$399,AR$1,FALSE)*AA512</f>
        <v>0</v>
      </c>
      <c r="AS512">
        <f>VLOOKUP($AC512,'2017 Seattle Tracts'!$C$2:$Z$399,AS$1,FALSE)*AA512</f>
        <v>0</v>
      </c>
      <c r="AT512">
        <f>VLOOKUP($AC512,'2017 Seattle Tracts'!$C$2:$Z$399,AT$1,FALSE)*AA512</f>
        <v>0</v>
      </c>
      <c r="AU512">
        <f>VLOOKUP($AC512,'2017 Seattle Tracts'!$C$2:$Z$399,AU$1,FALSE)*AA512</f>
        <v>0</v>
      </c>
      <c r="AV512">
        <f>VLOOKUP($AC512,'2017 Seattle Tracts'!$C$2:$Z$399,AV$1,FALSE)*AA512</f>
        <v>0</v>
      </c>
      <c r="AW512">
        <f>VLOOKUP($AC512,'2017 Seattle Tracts'!$C$2:$Z$399,AW$1,FALSE)*AA512</f>
        <v>0</v>
      </c>
      <c r="AX512">
        <f>VLOOKUP($AC512,'2017 Seattle Tracts'!$C$2:$Z$399,AX$1,FALSE)*AA512</f>
        <v>0</v>
      </c>
      <c r="AY512">
        <f>VLOOKUP($AC512,'2017 Seattle Tracts'!$C$2:$Z$399,AY$1,FALSE)*AA512</f>
        <v>0</v>
      </c>
    </row>
    <row r="513" spans="1:51" x14ac:dyDescent="0.25">
      <c r="A513" t="s">
        <v>2917</v>
      </c>
      <c r="B513" t="s">
        <v>2918</v>
      </c>
      <c r="C513" t="s">
        <v>3311</v>
      </c>
      <c r="D513" t="s">
        <v>2515</v>
      </c>
      <c r="E513" t="s">
        <v>2516</v>
      </c>
      <c r="F513" t="s">
        <v>2517</v>
      </c>
      <c r="G513" t="s">
        <v>2920</v>
      </c>
      <c r="H513" t="s">
        <v>2921</v>
      </c>
      <c r="I513">
        <v>1723073</v>
      </c>
      <c r="J513">
        <v>0</v>
      </c>
      <c r="K513" t="s">
        <v>3312</v>
      </c>
      <c r="L513" t="s">
        <v>3313</v>
      </c>
      <c r="M513">
        <v>1723071</v>
      </c>
      <c r="N513">
        <v>79</v>
      </c>
      <c r="O513">
        <v>33865.487999999998</v>
      </c>
      <c r="P513" t="s">
        <v>179</v>
      </c>
      <c r="Q513">
        <v>17</v>
      </c>
      <c r="R513">
        <v>5</v>
      </c>
      <c r="S513">
        <v>9</v>
      </c>
      <c r="T513">
        <v>48475916</v>
      </c>
      <c r="U513">
        <v>81</v>
      </c>
      <c r="V513">
        <v>166</v>
      </c>
      <c r="W513">
        <v>33865.489173990143</v>
      </c>
      <c r="X513">
        <v>48475914.455668777</v>
      </c>
      <c r="Y513">
        <v>1370641.325</v>
      </c>
      <c r="Z513">
        <f>VLOOKUP($AC513,'2017 Seattle Tracts'!$C$2:$Z$399,24,FALSE)</f>
        <v>1723071.2120000001</v>
      </c>
      <c r="AA513">
        <f t="shared" si="15"/>
        <v>0.79546411979634413</v>
      </c>
      <c r="AB513" t="s">
        <v>178</v>
      </c>
      <c r="AC513" t="str">
        <f t="shared" si="14"/>
        <v>Census Tract 94, King County, Washington</v>
      </c>
      <c r="AD513">
        <f>VLOOKUP($AC513,'2017 Seattle Tracts'!$C$2:$Z$399,AD$1,FALSE)*AA513</f>
        <v>5372.5646651045081</v>
      </c>
      <c r="AE513">
        <f>VLOOKUP($AC513,'2017 Seattle Tracts'!$C$2:$Z$399,AE$1,FALSE)*AA513</f>
        <v>3148.4469861539301</v>
      </c>
      <c r="AF513">
        <f>VLOOKUP($AC513,'2017 Seattle Tracts'!$C$2:$Z$399,AF$1,FALSE)*AA513</f>
        <v>2224.117678950578</v>
      </c>
      <c r="AG513">
        <f>VLOOKUP($AC513,'2017 Seattle Tracts'!$C$2:$Z$399,AG$1,FALSE)*AA513</f>
        <v>5372.5646651045081</v>
      </c>
      <c r="AH513">
        <f>VLOOKUP($AC513,'2017 Seattle Tracts'!$C$2:$Z$399,AH$1,FALSE)*AA513</f>
        <v>3148.4469861539301</v>
      </c>
      <c r="AI513">
        <f>VLOOKUP($AC513,'2017 Seattle Tracts'!$C$2:$Z$399,AI$1,FALSE)*AA513</f>
        <v>2224.117678950578</v>
      </c>
      <c r="AJ513">
        <f>VLOOKUP($AC513,'2017 Seattle Tracts'!$C$2:$Z$399,AJ$1,FALSE)*AA513</f>
        <v>1444.562841550161</v>
      </c>
      <c r="AK513">
        <f>VLOOKUP($AC513,'2017 Seattle Tracts'!$C$2:$Z$399,AK$1,FALSE)*AA513</f>
        <v>112.16044089128452</v>
      </c>
      <c r="AL513">
        <f>VLOOKUP($AC513,'2017 Seattle Tracts'!$C$2:$Z$399,AL$1,FALSE)*AA513</f>
        <v>162.2746804384542</v>
      </c>
      <c r="AM513">
        <f>VLOOKUP($AC513,'2017 Seattle Tracts'!$C$2:$Z$399,AM$1,FALSE)*AA513</f>
        <v>89.887445536986888</v>
      </c>
      <c r="AN513">
        <f>VLOOKUP($AC513,'2017 Seattle Tracts'!$C$2:$Z$399,AN$1,FALSE)*AA513</f>
        <v>380.23184926265247</v>
      </c>
      <c r="AO513">
        <f>VLOOKUP($AC513,'2017 Seattle Tracts'!$C$2:$Z$399,AO$1,FALSE)*AA513</f>
        <v>131.25157976639679</v>
      </c>
      <c r="AP513">
        <f>VLOOKUP($AC513,'2017 Seattle Tracts'!$C$2:$Z$399,AP$1,FALSE)*AA513</f>
        <v>101.81940733393205</v>
      </c>
      <c r="AQ513">
        <f>VLOOKUP($AC513,'2017 Seattle Tracts'!$C$2:$Z$399,AQ$1,FALSE)*AA513</f>
        <v>0</v>
      </c>
      <c r="AR513">
        <f>VLOOKUP($AC513,'2017 Seattle Tracts'!$C$2:$Z$399,AR$1,FALSE)*AA513</f>
        <v>382.61824162204152</v>
      </c>
      <c r="AS513">
        <f>VLOOKUP($AC513,'2017 Seattle Tracts'!$C$2:$Z$399,AS$1,FALSE)*AA513</f>
        <v>1278.310840512725</v>
      </c>
      <c r="AT513">
        <f>VLOOKUP($AC513,'2017 Seattle Tracts'!$C$2:$Z$399,AT$1,FALSE)*AA513</f>
        <v>11.931961796945162</v>
      </c>
      <c r="AU513">
        <f>VLOOKUP($AC513,'2017 Seattle Tracts'!$C$2:$Z$399,AU$1,FALSE)*AA513</f>
        <v>0</v>
      </c>
      <c r="AV513">
        <f>VLOOKUP($AC513,'2017 Seattle Tracts'!$C$2:$Z$399,AV$1,FALSE)*AA513</f>
        <v>185.34313991254817</v>
      </c>
      <c r="AW513">
        <f>VLOOKUP($AC513,'2017 Seattle Tracts'!$C$2:$Z$399,AW$1,FALSE)*AA513</f>
        <v>602.96180280562885</v>
      </c>
      <c r="AX513">
        <f>VLOOKUP($AC513,'2017 Seattle Tracts'!$C$2:$Z$399,AX$1,FALSE)*AA513</f>
        <v>479.6648642371955</v>
      </c>
      <c r="AY513">
        <f>VLOOKUP($AC513,'2017 Seattle Tracts'!$C$2:$Z$399,AY$1,FALSE)*AA513</f>
        <v>9.5455694375561286</v>
      </c>
    </row>
    <row r="514" spans="1:51" x14ac:dyDescent="0.25">
      <c r="A514" t="s">
        <v>2917</v>
      </c>
      <c r="B514" t="s">
        <v>2918</v>
      </c>
      <c r="C514" t="s">
        <v>3314</v>
      </c>
      <c r="D514" t="s">
        <v>2512</v>
      </c>
      <c r="E514" t="s">
        <v>2513</v>
      </c>
      <c r="F514" t="s">
        <v>2514</v>
      </c>
      <c r="G514" t="s">
        <v>2920</v>
      </c>
      <c r="H514" t="s">
        <v>2921</v>
      </c>
      <c r="I514">
        <v>2596051</v>
      </c>
      <c r="J514">
        <v>2916279</v>
      </c>
      <c r="K514" t="s">
        <v>3315</v>
      </c>
      <c r="L514" t="s">
        <v>3316</v>
      </c>
      <c r="M514">
        <v>2523825</v>
      </c>
      <c r="N514">
        <v>56</v>
      </c>
      <c r="O514">
        <v>20413.057000000001</v>
      </c>
      <c r="P514" t="s">
        <v>149</v>
      </c>
      <c r="Q514">
        <v>14</v>
      </c>
      <c r="R514">
        <v>8</v>
      </c>
      <c r="S514">
        <v>19</v>
      </c>
      <c r="T514">
        <v>18091742</v>
      </c>
      <c r="U514">
        <v>58</v>
      </c>
      <c r="V514">
        <v>161</v>
      </c>
      <c r="W514">
        <v>20413.056051688221</v>
      </c>
      <c r="X514">
        <v>18091741.376667041</v>
      </c>
      <c r="Y514">
        <v>52978.482000000004</v>
      </c>
      <c r="Z514">
        <f>VLOOKUP($AC514,'2017 Seattle Tracts'!$C$2:$Z$399,24,FALSE)</f>
        <v>2523824.7030000002</v>
      </c>
      <c r="AA514">
        <f t="shared" si="15"/>
        <v>2.0991347749717306E-2</v>
      </c>
      <c r="AB514" t="s">
        <v>152</v>
      </c>
      <c r="AC514" t="str">
        <f t="shared" si="14"/>
        <v>Census Tract 95, King County, Washington</v>
      </c>
      <c r="AD514">
        <f>VLOOKUP($AC514,'2017 Seattle Tracts'!$C$2:$Z$399,AD$1,FALSE)*AA514</f>
        <v>138.83677401663027</v>
      </c>
      <c r="AE514">
        <f>VLOOKUP($AC514,'2017 Seattle Tracts'!$C$2:$Z$399,AE$1,FALSE)*AA514</f>
        <v>118.64309748140221</v>
      </c>
      <c r="AF514">
        <f>VLOOKUP($AC514,'2017 Seattle Tracts'!$C$2:$Z$399,AF$1,FALSE)*AA514</f>
        <v>20.193676535228047</v>
      </c>
      <c r="AG514">
        <f>VLOOKUP($AC514,'2017 Seattle Tracts'!$C$2:$Z$399,AG$1,FALSE)*AA514</f>
        <v>138.83677401663027</v>
      </c>
      <c r="AH514">
        <f>VLOOKUP($AC514,'2017 Seattle Tracts'!$C$2:$Z$399,AH$1,FALSE)*AA514</f>
        <v>118.64309748140221</v>
      </c>
      <c r="AI514">
        <f>VLOOKUP($AC514,'2017 Seattle Tracts'!$C$2:$Z$399,AI$1,FALSE)*AA514</f>
        <v>20.193676535228047</v>
      </c>
      <c r="AJ514">
        <f>VLOOKUP($AC514,'2017 Seattle Tracts'!$C$2:$Z$399,AJ$1,FALSE)*AA514</f>
        <v>83.545564043874876</v>
      </c>
      <c r="AK514">
        <f>VLOOKUP($AC514,'2017 Seattle Tracts'!$C$2:$Z$399,AK$1,FALSE)*AA514</f>
        <v>4.6600792004372416</v>
      </c>
      <c r="AL514">
        <f>VLOOKUP($AC514,'2017 Seattle Tracts'!$C$2:$Z$399,AL$1,FALSE)*AA514</f>
        <v>1.5113770379796461</v>
      </c>
      <c r="AM514">
        <f>VLOOKUP($AC514,'2017 Seattle Tracts'!$C$2:$Z$399,AM$1,FALSE)*AA514</f>
        <v>0.96560199648699607</v>
      </c>
      <c r="AN514">
        <f>VLOOKUP($AC514,'2017 Seattle Tracts'!$C$2:$Z$399,AN$1,FALSE)*AA514</f>
        <v>21.411174704711652</v>
      </c>
      <c r="AO514">
        <f>VLOOKUP($AC514,'2017 Seattle Tracts'!$C$2:$Z$399,AO$1,FALSE)*AA514</f>
        <v>3.4845637264530729</v>
      </c>
      <c r="AP514">
        <f>VLOOKUP($AC514,'2017 Seattle Tracts'!$C$2:$Z$399,AP$1,FALSE)*AA514</f>
        <v>0.25189617299660766</v>
      </c>
      <c r="AQ514">
        <f>VLOOKUP($AC514,'2017 Seattle Tracts'!$C$2:$Z$399,AQ$1,FALSE)*AA514</f>
        <v>0</v>
      </c>
      <c r="AR514">
        <f>VLOOKUP($AC514,'2017 Seattle Tracts'!$C$2:$Z$399,AR$1,FALSE)*AA514</f>
        <v>5.0379234599321538</v>
      </c>
      <c r="AS514">
        <f>VLOOKUP($AC514,'2017 Seattle Tracts'!$C$2:$Z$399,AS$1,FALSE)*AA514</f>
        <v>7.6408505808970997</v>
      </c>
      <c r="AT514">
        <f>VLOOKUP($AC514,'2017 Seattle Tracts'!$C$2:$Z$399,AT$1,FALSE)*AA514</f>
        <v>0</v>
      </c>
      <c r="AU514">
        <f>VLOOKUP($AC514,'2017 Seattle Tracts'!$C$2:$Z$399,AU$1,FALSE)*AA514</f>
        <v>0</v>
      </c>
      <c r="AV514">
        <f>VLOOKUP($AC514,'2017 Seattle Tracts'!$C$2:$Z$399,AV$1,FALSE)*AA514</f>
        <v>1.2174981694836038</v>
      </c>
      <c r="AW514">
        <f>VLOOKUP($AC514,'2017 Seattle Tracts'!$C$2:$Z$399,AW$1,FALSE)*AA514</f>
        <v>0.46180965049378075</v>
      </c>
      <c r="AX514">
        <f>VLOOKUP($AC514,'2017 Seattle Tracts'!$C$2:$Z$399,AX$1,FALSE)*AA514</f>
        <v>5.6676638924236729</v>
      </c>
      <c r="AY514">
        <f>VLOOKUP($AC514,'2017 Seattle Tracts'!$C$2:$Z$399,AY$1,FALSE)*AA514</f>
        <v>2.9807713804598577</v>
      </c>
    </row>
    <row r="515" spans="1:51" x14ac:dyDescent="0.25">
      <c r="A515" t="s">
        <v>2917</v>
      </c>
      <c r="B515" t="s">
        <v>2918</v>
      </c>
      <c r="C515" t="s">
        <v>3314</v>
      </c>
      <c r="D515" t="s">
        <v>2512</v>
      </c>
      <c r="E515" t="s">
        <v>2513</v>
      </c>
      <c r="F515" t="s">
        <v>2514</v>
      </c>
      <c r="G515" t="s">
        <v>2920</v>
      </c>
      <c r="H515" t="s">
        <v>2921</v>
      </c>
      <c r="I515">
        <v>2596051</v>
      </c>
      <c r="J515">
        <v>2916279</v>
      </c>
      <c r="K515" t="s">
        <v>3315</v>
      </c>
      <c r="L515" t="s">
        <v>3316</v>
      </c>
      <c r="M515">
        <v>2523825</v>
      </c>
      <c r="N515">
        <v>58</v>
      </c>
      <c r="O515">
        <v>25426.23</v>
      </c>
      <c r="P515" t="s">
        <v>149</v>
      </c>
      <c r="Q515">
        <v>14</v>
      </c>
      <c r="R515">
        <v>8</v>
      </c>
      <c r="S515">
        <v>24</v>
      </c>
      <c r="T515">
        <v>20664986</v>
      </c>
      <c r="U515">
        <v>60</v>
      </c>
      <c r="V515">
        <v>165</v>
      </c>
      <c r="W515">
        <v>25426.231162667511</v>
      </c>
      <c r="X515">
        <v>20664986.272921581</v>
      </c>
      <c r="Y515">
        <v>487538.08199999999</v>
      </c>
      <c r="Z515">
        <f>VLOOKUP($AC515,'2017 Seattle Tracts'!$C$2:$Z$399,24,FALSE)</f>
        <v>2523824.7030000002</v>
      </c>
      <c r="AA515">
        <f t="shared" si="15"/>
        <v>0.19317430462602139</v>
      </c>
      <c r="AB515" t="s">
        <v>154</v>
      </c>
      <c r="AC515" t="str">
        <f t="shared" si="14"/>
        <v>Census Tract 95, King County, Washington</v>
      </c>
      <c r="AD515">
        <f>VLOOKUP($AC515,'2017 Seattle Tracts'!$C$2:$Z$399,AD$1,FALSE)*AA515</f>
        <v>1277.6548507965056</v>
      </c>
      <c r="AE515">
        <f>VLOOKUP($AC515,'2017 Seattle Tracts'!$C$2:$Z$399,AE$1,FALSE)*AA515</f>
        <v>1091.821169746273</v>
      </c>
      <c r="AF515">
        <f>VLOOKUP($AC515,'2017 Seattle Tracts'!$C$2:$Z$399,AF$1,FALSE)*AA515</f>
        <v>185.83368105023257</v>
      </c>
      <c r="AG515">
        <f>VLOOKUP($AC515,'2017 Seattle Tracts'!$C$2:$Z$399,AG$1,FALSE)*AA515</f>
        <v>1277.6548507965056</v>
      </c>
      <c r="AH515">
        <f>VLOOKUP($AC515,'2017 Seattle Tracts'!$C$2:$Z$399,AH$1,FALSE)*AA515</f>
        <v>1091.821169746273</v>
      </c>
      <c r="AI515">
        <f>VLOOKUP($AC515,'2017 Seattle Tracts'!$C$2:$Z$399,AI$1,FALSE)*AA515</f>
        <v>185.83368105023257</v>
      </c>
      <c r="AJ515">
        <f>VLOOKUP($AC515,'2017 Seattle Tracts'!$C$2:$Z$399,AJ$1,FALSE)*AA515</f>
        <v>768.83373241156517</v>
      </c>
      <c r="AK515">
        <f>VLOOKUP($AC515,'2017 Seattle Tracts'!$C$2:$Z$399,AK$1,FALSE)*AA515</f>
        <v>42.88469562697675</v>
      </c>
      <c r="AL515">
        <f>VLOOKUP($AC515,'2017 Seattle Tracts'!$C$2:$Z$399,AL$1,FALSE)*AA515</f>
        <v>13.908549933073541</v>
      </c>
      <c r="AM515">
        <f>VLOOKUP($AC515,'2017 Seattle Tracts'!$C$2:$Z$399,AM$1,FALSE)*AA515</f>
        <v>8.8860180127969848</v>
      </c>
      <c r="AN515">
        <f>VLOOKUP($AC515,'2017 Seattle Tracts'!$C$2:$Z$399,AN$1,FALSE)*AA515</f>
        <v>197.03779071854183</v>
      </c>
      <c r="AO515">
        <f>VLOOKUP($AC515,'2017 Seattle Tracts'!$C$2:$Z$399,AO$1,FALSE)*AA515</f>
        <v>32.066934567919553</v>
      </c>
      <c r="AP515">
        <f>VLOOKUP($AC515,'2017 Seattle Tracts'!$C$2:$Z$399,AP$1,FALSE)*AA515</f>
        <v>2.3180916555122568</v>
      </c>
      <c r="AQ515">
        <f>VLOOKUP($AC515,'2017 Seattle Tracts'!$C$2:$Z$399,AQ$1,FALSE)*AA515</f>
        <v>0</v>
      </c>
      <c r="AR515">
        <f>VLOOKUP($AC515,'2017 Seattle Tracts'!$C$2:$Z$399,AR$1,FALSE)*AA515</f>
        <v>46.361833110245136</v>
      </c>
      <c r="AS515">
        <f>VLOOKUP($AC515,'2017 Seattle Tracts'!$C$2:$Z$399,AS$1,FALSE)*AA515</f>
        <v>70.315446883871786</v>
      </c>
      <c r="AT515">
        <f>VLOOKUP($AC515,'2017 Seattle Tracts'!$C$2:$Z$399,AT$1,FALSE)*AA515</f>
        <v>0</v>
      </c>
      <c r="AU515">
        <f>VLOOKUP($AC515,'2017 Seattle Tracts'!$C$2:$Z$399,AU$1,FALSE)*AA515</f>
        <v>0</v>
      </c>
      <c r="AV515">
        <f>VLOOKUP($AC515,'2017 Seattle Tracts'!$C$2:$Z$399,AV$1,FALSE)*AA515</f>
        <v>11.204109668309242</v>
      </c>
      <c r="AW515">
        <f>VLOOKUP($AC515,'2017 Seattle Tracts'!$C$2:$Z$399,AW$1,FALSE)*AA515</f>
        <v>4.2498347017724702</v>
      </c>
      <c r="AX515">
        <f>VLOOKUP($AC515,'2017 Seattle Tracts'!$C$2:$Z$399,AX$1,FALSE)*AA515</f>
        <v>52.157062249025778</v>
      </c>
      <c r="AY515">
        <f>VLOOKUP($AC515,'2017 Seattle Tracts'!$C$2:$Z$399,AY$1,FALSE)*AA515</f>
        <v>27.430751256895039</v>
      </c>
    </row>
    <row r="516" spans="1:51" x14ac:dyDescent="0.25">
      <c r="A516" t="s">
        <v>2917</v>
      </c>
      <c r="B516" t="s">
        <v>2918</v>
      </c>
      <c r="C516" t="s">
        <v>3314</v>
      </c>
      <c r="D516" t="s">
        <v>2512</v>
      </c>
      <c r="E516" t="s">
        <v>2513</v>
      </c>
      <c r="F516" t="s">
        <v>2514</v>
      </c>
      <c r="G516" t="s">
        <v>2920</v>
      </c>
      <c r="H516" t="s">
        <v>2921</v>
      </c>
      <c r="I516">
        <v>2596051</v>
      </c>
      <c r="J516">
        <v>2916279</v>
      </c>
      <c r="K516" t="s">
        <v>3315</v>
      </c>
      <c r="L516" t="s">
        <v>3316</v>
      </c>
      <c r="M516">
        <v>2523825</v>
      </c>
      <c r="N516">
        <v>79</v>
      </c>
      <c r="O516">
        <v>33865.487999999998</v>
      </c>
      <c r="P516" t="s">
        <v>179</v>
      </c>
      <c r="Q516">
        <v>17</v>
      </c>
      <c r="R516">
        <v>5</v>
      </c>
      <c r="S516">
        <v>9</v>
      </c>
      <c r="T516">
        <v>48475916</v>
      </c>
      <c r="U516">
        <v>81</v>
      </c>
      <c r="V516">
        <v>166</v>
      </c>
      <c r="W516">
        <v>33865.489173990143</v>
      </c>
      <c r="X516">
        <v>48475914.455668777</v>
      </c>
      <c r="Y516">
        <v>456.24400000000003</v>
      </c>
      <c r="Z516">
        <f>VLOOKUP($AC516,'2017 Seattle Tracts'!$C$2:$Z$399,24,FALSE)</f>
        <v>2523824.7030000002</v>
      </c>
      <c r="AA516">
        <f t="shared" ref="AA516:AA519" si="16">Y516/Z516</f>
        <v>1.8077483727680274E-4</v>
      </c>
      <c r="AB516" t="s">
        <v>178</v>
      </c>
      <c r="AC516" t="str">
        <f t="shared" si="14"/>
        <v>Census Tract 95, King County, Washington</v>
      </c>
      <c r="AD516">
        <f>VLOOKUP($AC516,'2017 Seattle Tracts'!$C$2:$Z$399,AD$1,FALSE)*AA516</f>
        <v>1.1956447737487734</v>
      </c>
      <c r="AE516">
        <f>VLOOKUP($AC516,'2017 Seattle Tracts'!$C$2:$Z$399,AE$1,FALSE)*AA516</f>
        <v>1.0217393802884891</v>
      </c>
      <c r="AF516">
        <f>VLOOKUP($AC516,'2017 Seattle Tracts'!$C$2:$Z$399,AF$1,FALSE)*AA516</f>
        <v>0.17390539346028425</v>
      </c>
      <c r="AG516">
        <f>VLOOKUP($AC516,'2017 Seattle Tracts'!$C$2:$Z$399,AG$1,FALSE)*AA516</f>
        <v>1.1956447737487734</v>
      </c>
      <c r="AH516">
        <f>VLOOKUP($AC516,'2017 Seattle Tracts'!$C$2:$Z$399,AH$1,FALSE)*AA516</f>
        <v>1.0217393802884891</v>
      </c>
      <c r="AI516">
        <f>VLOOKUP($AC516,'2017 Seattle Tracts'!$C$2:$Z$399,AI$1,FALSE)*AA516</f>
        <v>0.17390539346028425</v>
      </c>
      <c r="AJ516">
        <f>VLOOKUP($AC516,'2017 Seattle Tracts'!$C$2:$Z$399,AJ$1,FALSE)*AA516</f>
        <v>0.71948385236167489</v>
      </c>
      <c r="AK516">
        <f>VLOOKUP($AC516,'2017 Seattle Tracts'!$C$2:$Z$399,AK$1,FALSE)*AA516</f>
        <v>4.0132013875450206E-2</v>
      </c>
      <c r="AL516">
        <f>VLOOKUP($AC516,'2017 Seattle Tracts'!$C$2:$Z$399,AL$1,FALSE)*AA516</f>
        <v>1.3015788283929797E-2</v>
      </c>
      <c r="AM516">
        <f>VLOOKUP($AC516,'2017 Seattle Tracts'!$C$2:$Z$399,AM$1,FALSE)*AA516</f>
        <v>8.3156425147329262E-3</v>
      </c>
      <c r="AN516">
        <f>VLOOKUP($AC516,'2017 Seattle Tracts'!$C$2:$Z$399,AN$1,FALSE)*AA516</f>
        <v>0.18439033402233879</v>
      </c>
      <c r="AO516">
        <f>VLOOKUP($AC516,'2017 Seattle Tracts'!$C$2:$Z$399,AO$1,FALSE)*AA516</f>
        <v>3.0008622987949256E-2</v>
      </c>
      <c r="AP516">
        <f>VLOOKUP($AC516,'2017 Seattle Tracts'!$C$2:$Z$399,AP$1,FALSE)*AA516</f>
        <v>2.1692980473216328E-3</v>
      </c>
      <c r="AQ516">
        <f>VLOOKUP($AC516,'2017 Seattle Tracts'!$C$2:$Z$399,AQ$1,FALSE)*AA516</f>
        <v>0</v>
      </c>
      <c r="AR516">
        <f>VLOOKUP($AC516,'2017 Seattle Tracts'!$C$2:$Z$399,AR$1,FALSE)*AA516</f>
        <v>4.3385960946432656E-2</v>
      </c>
      <c r="AS516">
        <f>VLOOKUP($AC516,'2017 Seattle Tracts'!$C$2:$Z$399,AS$1,FALSE)*AA516</f>
        <v>6.5802040768756204E-2</v>
      </c>
      <c r="AT516">
        <f>VLOOKUP($AC516,'2017 Seattle Tracts'!$C$2:$Z$399,AT$1,FALSE)*AA516</f>
        <v>0</v>
      </c>
      <c r="AU516">
        <f>VLOOKUP($AC516,'2017 Seattle Tracts'!$C$2:$Z$399,AU$1,FALSE)*AA516</f>
        <v>0</v>
      </c>
      <c r="AV516">
        <f>VLOOKUP($AC516,'2017 Seattle Tracts'!$C$2:$Z$399,AV$1,FALSE)*AA516</f>
        <v>1.0484940562054559E-2</v>
      </c>
      <c r="AW516">
        <f>VLOOKUP($AC516,'2017 Seattle Tracts'!$C$2:$Z$399,AW$1,FALSE)*AA516</f>
        <v>3.9770464200896607E-3</v>
      </c>
      <c r="AX516">
        <f>VLOOKUP($AC516,'2017 Seattle Tracts'!$C$2:$Z$399,AX$1,FALSE)*AA516</f>
        <v>4.8809206064736738E-2</v>
      </c>
      <c r="AY516">
        <f>VLOOKUP($AC516,'2017 Seattle Tracts'!$C$2:$Z$399,AY$1,FALSE)*AA516</f>
        <v>2.567002689330599E-2</v>
      </c>
    </row>
    <row r="517" spans="1:51" x14ac:dyDescent="0.25">
      <c r="A517" t="s">
        <v>2917</v>
      </c>
      <c r="B517" t="s">
        <v>2918</v>
      </c>
      <c r="C517" t="s">
        <v>3314</v>
      </c>
      <c r="D517" t="s">
        <v>2512</v>
      </c>
      <c r="E517" t="s">
        <v>2513</v>
      </c>
      <c r="F517" t="s">
        <v>2514</v>
      </c>
      <c r="G517" t="s">
        <v>2920</v>
      </c>
      <c r="H517" t="s">
        <v>2921</v>
      </c>
      <c r="I517">
        <v>2596051</v>
      </c>
      <c r="J517">
        <v>2916279</v>
      </c>
      <c r="K517" t="s">
        <v>3315</v>
      </c>
      <c r="L517" t="s">
        <v>3316</v>
      </c>
      <c r="M517">
        <v>2523825</v>
      </c>
      <c r="N517">
        <v>87</v>
      </c>
      <c r="O517">
        <v>26318.982</v>
      </c>
      <c r="P517" t="s">
        <v>184</v>
      </c>
      <c r="Q517">
        <v>15</v>
      </c>
      <c r="R517">
        <v>4</v>
      </c>
      <c r="S517">
        <v>23</v>
      </c>
      <c r="T517">
        <v>28986996</v>
      </c>
      <c r="U517">
        <v>89</v>
      </c>
      <c r="V517">
        <v>170</v>
      </c>
      <c r="W517">
        <v>26318.98190548713</v>
      </c>
      <c r="X517">
        <v>28986995.234481908</v>
      </c>
      <c r="Y517">
        <v>1909310.9790000001</v>
      </c>
      <c r="Z517">
        <f>VLOOKUP($AC517,'2017 Seattle Tracts'!$C$2:$Z$399,24,FALSE)</f>
        <v>2523824.7030000002</v>
      </c>
      <c r="AA517">
        <f t="shared" si="16"/>
        <v>0.75651489452910703</v>
      </c>
      <c r="AB517" t="s">
        <v>188</v>
      </c>
      <c r="AC517" t="str">
        <f t="shared" si="14"/>
        <v>Census Tract 95, King County, Washington</v>
      </c>
      <c r="AD517">
        <f>VLOOKUP($AC517,'2017 Seattle Tracts'!$C$2:$Z$399,AD$1,FALSE)*AA517</f>
        <v>5003.589512415514</v>
      </c>
      <c r="AE517">
        <f>VLOOKUP($AC517,'2017 Seattle Tracts'!$C$2:$Z$399,AE$1,FALSE)*AA517</f>
        <v>4275.822183878513</v>
      </c>
      <c r="AF517">
        <f>VLOOKUP($AC517,'2017 Seattle Tracts'!$C$2:$Z$399,AF$1,FALSE)*AA517</f>
        <v>727.76732853700094</v>
      </c>
      <c r="AG517">
        <f>VLOOKUP($AC517,'2017 Seattle Tracts'!$C$2:$Z$399,AG$1,FALSE)*AA517</f>
        <v>5003.589512415514</v>
      </c>
      <c r="AH517">
        <f>VLOOKUP($AC517,'2017 Seattle Tracts'!$C$2:$Z$399,AH$1,FALSE)*AA517</f>
        <v>4275.822183878513</v>
      </c>
      <c r="AI517">
        <f>VLOOKUP($AC517,'2017 Seattle Tracts'!$C$2:$Z$399,AI$1,FALSE)*AA517</f>
        <v>727.76732853700094</v>
      </c>
      <c r="AJ517">
        <f>VLOOKUP($AC517,'2017 Seattle Tracts'!$C$2:$Z$399,AJ$1,FALSE)*AA517</f>
        <v>3010.929280225846</v>
      </c>
      <c r="AK517">
        <f>VLOOKUP($AC517,'2017 Seattle Tracts'!$C$2:$Z$399,AK$1,FALSE)*AA517</f>
        <v>167.94630658546177</v>
      </c>
      <c r="AL517">
        <f>VLOOKUP($AC517,'2017 Seattle Tracts'!$C$2:$Z$399,AL$1,FALSE)*AA517</f>
        <v>54.469072406095705</v>
      </c>
      <c r="AM517">
        <f>VLOOKUP($AC517,'2017 Seattle Tracts'!$C$2:$Z$399,AM$1,FALSE)*AA517</f>
        <v>34.799685148338924</v>
      </c>
      <c r="AN517">
        <f>VLOOKUP($AC517,'2017 Seattle Tracts'!$C$2:$Z$399,AN$1,FALSE)*AA517</f>
        <v>771.64519241968912</v>
      </c>
      <c r="AO517">
        <f>VLOOKUP($AC517,'2017 Seattle Tracts'!$C$2:$Z$399,AO$1,FALSE)*AA517</f>
        <v>125.58147249183176</v>
      </c>
      <c r="AP517">
        <f>VLOOKUP($AC517,'2017 Seattle Tracts'!$C$2:$Z$399,AP$1,FALSE)*AA517</f>
        <v>9.0781787343492848</v>
      </c>
      <c r="AQ517">
        <f>VLOOKUP($AC517,'2017 Seattle Tracts'!$C$2:$Z$399,AQ$1,FALSE)*AA517</f>
        <v>0</v>
      </c>
      <c r="AR517">
        <f>VLOOKUP($AC517,'2017 Seattle Tracts'!$C$2:$Z$399,AR$1,FALSE)*AA517</f>
        <v>181.56357468698567</v>
      </c>
      <c r="AS517">
        <f>VLOOKUP($AC517,'2017 Seattle Tracts'!$C$2:$Z$399,AS$1,FALSE)*AA517</f>
        <v>275.37142160859497</v>
      </c>
      <c r="AT517">
        <f>VLOOKUP($AC517,'2017 Seattle Tracts'!$C$2:$Z$399,AT$1,FALSE)*AA517</f>
        <v>0</v>
      </c>
      <c r="AU517">
        <f>VLOOKUP($AC517,'2017 Seattle Tracts'!$C$2:$Z$399,AU$1,FALSE)*AA517</f>
        <v>0</v>
      </c>
      <c r="AV517">
        <f>VLOOKUP($AC517,'2017 Seattle Tracts'!$C$2:$Z$399,AV$1,FALSE)*AA517</f>
        <v>43.87786388268821</v>
      </c>
      <c r="AW517">
        <f>VLOOKUP($AC517,'2017 Seattle Tracts'!$C$2:$Z$399,AW$1,FALSE)*AA517</f>
        <v>16.643327679640354</v>
      </c>
      <c r="AX517">
        <f>VLOOKUP($AC517,'2017 Seattle Tracts'!$C$2:$Z$399,AX$1,FALSE)*AA517</f>
        <v>204.25902152285889</v>
      </c>
      <c r="AY517">
        <f>VLOOKUP($AC517,'2017 Seattle Tracts'!$C$2:$Z$399,AY$1,FALSE)*AA517</f>
        <v>107.4251150231332</v>
      </c>
    </row>
    <row r="518" spans="1:51" x14ac:dyDescent="0.25">
      <c r="A518" t="s">
        <v>2917</v>
      </c>
      <c r="B518" t="s">
        <v>2918</v>
      </c>
      <c r="C518" t="s">
        <v>3314</v>
      </c>
      <c r="D518" t="s">
        <v>2512</v>
      </c>
      <c r="E518" t="s">
        <v>2513</v>
      </c>
      <c r="F518" t="s">
        <v>2514</v>
      </c>
      <c r="G518" t="s">
        <v>2920</v>
      </c>
      <c r="H518" t="s">
        <v>2921</v>
      </c>
      <c r="I518">
        <v>2596051</v>
      </c>
      <c r="J518">
        <v>2916279</v>
      </c>
      <c r="K518" t="s">
        <v>3315</v>
      </c>
      <c r="L518" t="s">
        <v>3316</v>
      </c>
      <c r="M518">
        <v>2523825</v>
      </c>
      <c r="N518">
        <v>88</v>
      </c>
      <c r="O518">
        <v>35177.063000000002</v>
      </c>
      <c r="P518" t="s">
        <v>184</v>
      </c>
      <c r="Q518">
        <v>15</v>
      </c>
      <c r="R518">
        <v>4</v>
      </c>
      <c r="S518">
        <v>94</v>
      </c>
      <c r="T518">
        <v>37406576</v>
      </c>
      <c r="U518">
        <v>90</v>
      </c>
      <c r="V518">
        <v>179</v>
      </c>
      <c r="W518">
        <v>35177.060803967521</v>
      </c>
      <c r="X518">
        <v>37406576.492632188</v>
      </c>
      <c r="Y518">
        <v>52702.838000000003</v>
      </c>
      <c r="Z518">
        <f>VLOOKUP($AC518,'2017 Seattle Tracts'!$C$2:$Z$399,24,FALSE)</f>
        <v>2523824.7030000002</v>
      </c>
      <c r="AA518">
        <f t="shared" si="16"/>
        <v>2.0882130972628015E-2</v>
      </c>
      <c r="AB518" t="s">
        <v>189</v>
      </c>
      <c r="AC518" t="str">
        <f t="shared" si="14"/>
        <v>Census Tract 95, King County, Washington</v>
      </c>
      <c r="AD518">
        <f>VLOOKUP($AC518,'2017 Seattle Tracts'!$C$2:$Z$399,AD$1,FALSE)*AA518</f>
        <v>138.11441425296169</v>
      </c>
      <c r="AE518">
        <f>VLOOKUP($AC518,'2017 Seattle Tracts'!$C$2:$Z$399,AE$1,FALSE)*AA518</f>
        <v>118.02580425729354</v>
      </c>
      <c r="AF518">
        <f>VLOOKUP($AC518,'2017 Seattle Tracts'!$C$2:$Z$399,AF$1,FALSE)*AA518</f>
        <v>20.088609995668151</v>
      </c>
      <c r="AG518">
        <f>VLOOKUP($AC518,'2017 Seattle Tracts'!$C$2:$Z$399,AG$1,FALSE)*AA518</f>
        <v>138.11441425296169</v>
      </c>
      <c r="AH518">
        <f>VLOOKUP($AC518,'2017 Seattle Tracts'!$C$2:$Z$399,AH$1,FALSE)*AA518</f>
        <v>118.02580425729354</v>
      </c>
      <c r="AI518">
        <f>VLOOKUP($AC518,'2017 Seattle Tracts'!$C$2:$Z$399,AI$1,FALSE)*AA518</f>
        <v>20.088609995668151</v>
      </c>
      <c r="AJ518">
        <f>VLOOKUP($AC518,'2017 Seattle Tracts'!$C$2:$Z$399,AJ$1,FALSE)*AA518</f>
        <v>83.110881271059498</v>
      </c>
      <c r="AK518">
        <f>VLOOKUP($AC518,'2017 Seattle Tracts'!$C$2:$Z$399,AK$1,FALSE)*AA518</f>
        <v>4.6358330759234194</v>
      </c>
      <c r="AL518">
        <f>VLOOKUP($AC518,'2017 Seattle Tracts'!$C$2:$Z$399,AL$1,FALSE)*AA518</f>
        <v>1.503513430029217</v>
      </c>
      <c r="AM518">
        <f>VLOOKUP($AC518,'2017 Seattle Tracts'!$C$2:$Z$399,AM$1,FALSE)*AA518</f>
        <v>0.96057802474088871</v>
      </c>
      <c r="AN518">
        <f>VLOOKUP($AC518,'2017 Seattle Tracts'!$C$2:$Z$399,AN$1,FALSE)*AA518</f>
        <v>21.299773592080577</v>
      </c>
      <c r="AO518">
        <f>VLOOKUP($AC518,'2017 Seattle Tracts'!$C$2:$Z$399,AO$1,FALSE)*AA518</f>
        <v>3.4664337414562505</v>
      </c>
      <c r="AP518">
        <f>VLOOKUP($AC518,'2017 Seattle Tracts'!$C$2:$Z$399,AP$1,FALSE)*AA518</f>
        <v>0.25058557167153617</v>
      </c>
      <c r="AQ518">
        <f>VLOOKUP($AC518,'2017 Seattle Tracts'!$C$2:$Z$399,AQ$1,FALSE)*AA518</f>
        <v>0</v>
      </c>
      <c r="AR518">
        <f>VLOOKUP($AC518,'2017 Seattle Tracts'!$C$2:$Z$399,AR$1,FALSE)*AA518</f>
        <v>5.0117114334307233</v>
      </c>
      <c r="AS518">
        <f>VLOOKUP($AC518,'2017 Seattle Tracts'!$C$2:$Z$399,AS$1,FALSE)*AA518</f>
        <v>7.6010956740365971</v>
      </c>
      <c r="AT518">
        <f>VLOOKUP($AC518,'2017 Seattle Tracts'!$C$2:$Z$399,AT$1,FALSE)*AA518</f>
        <v>0</v>
      </c>
      <c r="AU518">
        <f>VLOOKUP($AC518,'2017 Seattle Tracts'!$C$2:$Z$399,AU$1,FALSE)*AA518</f>
        <v>0</v>
      </c>
      <c r="AV518">
        <f>VLOOKUP($AC518,'2017 Seattle Tracts'!$C$2:$Z$399,AV$1,FALSE)*AA518</f>
        <v>1.2111635964124248</v>
      </c>
      <c r="AW518">
        <f>VLOOKUP($AC518,'2017 Seattle Tracts'!$C$2:$Z$399,AW$1,FALSE)*AA518</f>
        <v>0.45940688139781632</v>
      </c>
      <c r="AX518">
        <f>VLOOKUP($AC518,'2017 Seattle Tracts'!$C$2:$Z$399,AX$1,FALSE)*AA518</f>
        <v>5.6381753626095641</v>
      </c>
      <c r="AY518">
        <f>VLOOKUP($AC518,'2017 Seattle Tracts'!$C$2:$Z$399,AY$1,FALSE)*AA518</f>
        <v>2.9652625981131782</v>
      </c>
    </row>
    <row r="519" spans="1:51" x14ac:dyDescent="0.25">
      <c r="A519" t="s">
        <v>2917</v>
      </c>
      <c r="B519" t="s">
        <v>2918</v>
      </c>
      <c r="C519" t="s">
        <v>3314</v>
      </c>
      <c r="D519" t="s">
        <v>2512</v>
      </c>
      <c r="E519" t="s">
        <v>2513</v>
      </c>
      <c r="F519" t="s">
        <v>2514</v>
      </c>
      <c r="G519" t="s">
        <v>2920</v>
      </c>
      <c r="H519" t="s">
        <v>2921</v>
      </c>
      <c r="I519">
        <v>2596051</v>
      </c>
      <c r="J519">
        <v>2916279</v>
      </c>
      <c r="K519" t="s">
        <v>3315</v>
      </c>
      <c r="L519" t="s">
        <v>3316</v>
      </c>
      <c r="M519">
        <v>2523825</v>
      </c>
      <c r="N519">
        <v>95</v>
      </c>
      <c r="O519">
        <v>52212.785000000003</v>
      </c>
      <c r="P519" t="s">
        <v>198</v>
      </c>
      <c r="Q519">
        <v>16</v>
      </c>
      <c r="R519">
        <v>11</v>
      </c>
      <c r="S519">
        <v>95</v>
      </c>
      <c r="T519">
        <v>43835280</v>
      </c>
      <c r="U519">
        <v>97</v>
      </c>
      <c r="V519">
        <v>173</v>
      </c>
      <c r="W519">
        <v>52212.786810353093</v>
      </c>
      <c r="X519">
        <v>43835279.005916066</v>
      </c>
      <c r="Y519">
        <v>20536.439999999999</v>
      </c>
      <c r="Z519">
        <f>VLOOKUP($AC519,'2017 Seattle Tracts'!$C$2:$Z$399,24,FALSE)</f>
        <v>2523824.7030000002</v>
      </c>
      <c r="AA519">
        <f t="shared" si="16"/>
        <v>8.1370310606710926E-3</v>
      </c>
      <c r="AB519" t="s">
        <v>197</v>
      </c>
      <c r="AC519" t="str">
        <f t="shared" si="14"/>
        <v>Census Tract 95, King County, Washington</v>
      </c>
      <c r="AD519">
        <f>VLOOKUP($AC519,'2017 Seattle Tracts'!$C$2:$Z$399,AD$1,FALSE)*AA519</f>
        <v>53.818323435278607</v>
      </c>
      <c r="AE519">
        <f>VLOOKUP($AC519,'2017 Seattle Tracts'!$C$2:$Z$399,AE$1,FALSE)*AA519</f>
        <v>45.990499554913015</v>
      </c>
      <c r="AF519">
        <f>VLOOKUP($AC519,'2017 Seattle Tracts'!$C$2:$Z$399,AF$1,FALSE)*AA519</f>
        <v>7.8278238803655906</v>
      </c>
      <c r="AG519">
        <f>VLOOKUP($AC519,'2017 Seattle Tracts'!$C$2:$Z$399,AG$1,FALSE)*AA519</f>
        <v>53.818323435278607</v>
      </c>
      <c r="AH519">
        <f>VLOOKUP($AC519,'2017 Seattle Tracts'!$C$2:$Z$399,AH$1,FALSE)*AA519</f>
        <v>45.990499554913015</v>
      </c>
      <c r="AI519">
        <f>VLOOKUP($AC519,'2017 Seattle Tracts'!$C$2:$Z$399,AI$1,FALSE)*AA519</f>
        <v>7.8278238803655906</v>
      </c>
      <c r="AJ519">
        <f>VLOOKUP($AC519,'2017 Seattle Tracts'!$C$2:$Z$399,AJ$1,FALSE)*AA519</f>
        <v>32.38538362147095</v>
      </c>
      <c r="AK519">
        <f>VLOOKUP($AC519,'2017 Seattle Tracts'!$C$2:$Z$399,AK$1,FALSE)*AA519</f>
        <v>1.8064208954689827</v>
      </c>
      <c r="AL519">
        <f>VLOOKUP($AC519,'2017 Seattle Tracts'!$C$2:$Z$399,AL$1,FALSE)*AA519</f>
        <v>0.58586623636831869</v>
      </c>
      <c r="AM519">
        <f>VLOOKUP($AC519,'2017 Seattle Tracts'!$C$2:$Z$399,AM$1,FALSE)*AA519</f>
        <v>0.37430342879087025</v>
      </c>
      <c r="AN519">
        <f>VLOOKUP($AC519,'2017 Seattle Tracts'!$C$2:$Z$399,AN$1,FALSE)*AA519</f>
        <v>8.2997716818845149</v>
      </c>
      <c r="AO519">
        <f>VLOOKUP($AC519,'2017 Seattle Tracts'!$C$2:$Z$399,AO$1,FALSE)*AA519</f>
        <v>1.3507471560714013</v>
      </c>
      <c r="AP519">
        <f>VLOOKUP($AC519,'2017 Seattle Tracts'!$C$2:$Z$399,AP$1,FALSE)*AA519</f>
        <v>9.7644372728053111E-2</v>
      </c>
      <c r="AQ519">
        <f>VLOOKUP($AC519,'2017 Seattle Tracts'!$C$2:$Z$399,AQ$1,FALSE)*AA519</f>
        <v>0</v>
      </c>
      <c r="AR519">
        <f>VLOOKUP($AC519,'2017 Seattle Tracts'!$C$2:$Z$399,AR$1,FALSE)*AA519</f>
        <v>1.9528874545610622</v>
      </c>
      <c r="AS519">
        <f>VLOOKUP($AC519,'2017 Seattle Tracts'!$C$2:$Z$399,AS$1,FALSE)*AA519</f>
        <v>2.9618793060842776</v>
      </c>
      <c r="AT519">
        <f>VLOOKUP($AC519,'2017 Seattle Tracts'!$C$2:$Z$399,AT$1,FALSE)*AA519</f>
        <v>0</v>
      </c>
      <c r="AU519">
        <f>VLOOKUP($AC519,'2017 Seattle Tracts'!$C$2:$Z$399,AU$1,FALSE)*AA519</f>
        <v>0</v>
      </c>
      <c r="AV519">
        <f>VLOOKUP($AC519,'2017 Seattle Tracts'!$C$2:$Z$399,AV$1,FALSE)*AA519</f>
        <v>0.47194780151892335</v>
      </c>
      <c r="AW519">
        <f>VLOOKUP($AC519,'2017 Seattle Tracts'!$C$2:$Z$399,AW$1,FALSE)*AA519</f>
        <v>0.17901468333476403</v>
      </c>
      <c r="AX519">
        <f>VLOOKUP($AC519,'2017 Seattle Tracts'!$C$2:$Z$399,AX$1,FALSE)*AA519</f>
        <v>2.1969983863811948</v>
      </c>
      <c r="AY519">
        <f>VLOOKUP($AC519,'2017 Seattle Tracts'!$C$2:$Z$399,AY$1,FALSE)*AA519</f>
        <v>1.1554584106152952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06FD-CC97-47C0-B277-6CC29FEDC740}">
  <dimension ref="A1:AP150"/>
  <sheetViews>
    <sheetView tabSelected="1" workbookViewId="0">
      <selection activeCell="Y55" sqref="Y55"/>
    </sheetView>
  </sheetViews>
  <sheetFormatPr defaultRowHeight="15" x14ac:dyDescent="0.25"/>
  <cols>
    <col min="2" max="2" width="25" bestFit="1" customWidth="1"/>
    <col min="3" max="3" width="29.140625" bestFit="1" customWidth="1"/>
    <col min="4" max="4" width="29.140625" customWidth="1"/>
    <col min="5" max="5" width="14.42578125" customWidth="1"/>
    <col min="24" max="24" width="9.140625" style="4"/>
  </cols>
  <sheetData>
    <row r="1" spans="1:42" x14ac:dyDescent="0.25"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 s="4">
        <v>5</v>
      </c>
      <c r="Y1">
        <v>6</v>
      </c>
      <c r="Z1">
        <v>7</v>
      </c>
      <c r="AA1">
        <v>8</v>
      </c>
      <c r="AB1">
        <v>9</v>
      </c>
      <c r="AC1">
        <v>10</v>
      </c>
      <c r="AD1">
        <v>11</v>
      </c>
      <c r="AE1">
        <v>12</v>
      </c>
      <c r="AF1">
        <v>13</v>
      </c>
      <c r="AG1">
        <v>14</v>
      </c>
      <c r="AH1">
        <v>15</v>
      </c>
      <c r="AI1">
        <v>16</v>
      </c>
      <c r="AJ1">
        <v>17</v>
      </c>
      <c r="AK1">
        <v>18</v>
      </c>
      <c r="AL1">
        <v>19</v>
      </c>
      <c r="AM1">
        <v>20</v>
      </c>
      <c r="AN1">
        <v>21</v>
      </c>
      <c r="AO1">
        <v>22</v>
      </c>
      <c r="AP1">
        <v>23</v>
      </c>
    </row>
    <row r="2" spans="1:42" x14ac:dyDescent="0.25">
      <c r="A2" t="s">
        <v>0</v>
      </c>
      <c r="B2" t="s">
        <v>1</v>
      </c>
      <c r="C2" t="s">
        <v>114</v>
      </c>
      <c r="D2" t="s">
        <v>2494</v>
      </c>
      <c r="E2" t="s">
        <v>2456</v>
      </c>
      <c r="F2" t="s">
        <v>2457</v>
      </c>
      <c r="G2" t="s">
        <v>2458</v>
      </c>
      <c r="H2" t="s">
        <v>2459</v>
      </c>
      <c r="I2" t="s">
        <v>2460</v>
      </c>
      <c r="J2" t="s">
        <v>2461</v>
      </c>
      <c r="K2" t="s">
        <v>2462</v>
      </c>
      <c r="L2" t="s">
        <v>2463</v>
      </c>
      <c r="M2" t="s">
        <v>2464</v>
      </c>
      <c r="N2" t="s">
        <v>2465</v>
      </c>
      <c r="O2" t="s">
        <v>2466</v>
      </c>
      <c r="P2" t="s">
        <v>2467</v>
      </c>
      <c r="Q2" t="s">
        <v>2468</v>
      </c>
      <c r="R2" t="s">
        <v>2469</v>
      </c>
      <c r="S2" t="s">
        <v>2470</v>
      </c>
      <c r="T2" t="s">
        <v>2471</v>
      </c>
      <c r="U2" t="s">
        <v>2472</v>
      </c>
      <c r="V2" t="s">
        <v>2473</v>
      </c>
      <c r="W2" t="s">
        <v>2474</v>
      </c>
      <c r="X2" s="4" t="s">
        <v>2475</v>
      </c>
      <c r="Y2" t="s">
        <v>2476</v>
      </c>
      <c r="Z2" t="s">
        <v>2477</v>
      </c>
      <c r="AA2" t="s">
        <v>2478</v>
      </c>
      <c r="AB2" t="s">
        <v>2479</v>
      </c>
      <c r="AC2" t="s">
        <v>2480</v>
      </c>
      <c r="AD2" t="s">
        <v>2481</v>
      </c>
      <c r="AE2" t="s">
        <v>2482</v>
      </c>
      <c r="AF2" t="s">
        <v>2483</v>
      </c>
      <c r="AG2" t="s">
        <v>2484</v>
      </c>
      <c r="AH2" t="s">
        <v>2485</v>
      </c>
      <c r="AI2" t="s">
        <v>2486</v>
      </c>
      <c r="AJ2" t="s">
        <v>2487</v>
      </c>
      <c r="AK2" t="s">
        <v>2488</v>
      </c>
      <c r="AL2" t="s">
        <v>2489</v>
      </c>
      <c r="AM2" t="s">
        <v>2490</v>
      </c>
      <c r="AN2" t="s">
        <v>2491</v>
      </c>
      <c r="AO2" t="s">
        <v>2492</v>
      </c>
      <c r="AP2" t="s">
        <v>2493</v>
      </c>
    </row>
    <row r="3" spans="1:42" x14ac:dyDescent="0.25">
      <c r="A3">
        <v>5378225</v>
      </c>
      <c r="B3" t="str">
        <f>_xlfn.CONCAT(D3, ", Washington")</f>
        <v>White Center CDP, Washington</v>
      </c>
      <c r="C3" t="s">
        <v>2</v>
      </c>
      <c r="D3" t="s">
        <v>3</v>
      </c>
      <c r="E3">
        <f>VLOOKUP($B3,'2000 2017 Place Conc'!$C$2:$V$627,E1,FALSE)</f>
        <v>20848</v>
      </c>
      <c r="F3">
        <f>VLOOKUP($B3,'2000 2017 Place Conc'!$C$2:$V$627,F$1,FALSE)</f>
        <v>14930</v>
      </c>
      <c r="G3">
        <f>VLOOKUP($B3,'2000 2017 Place Conc'!$C$2:$V$627,G$1,FALSE)</f>
        <v>5918</v>
      </c>
      <c r="H3">
        <f>VLOOKUP($B3,'2000 2017 Place Conc'!$C$2:$V$627,H$1,FALSE)</f>
        <v>10330</v>
      </c>
      <c r="I3">
        <f>VLOOKUP($B3,'2000 2017 Place Conc'!$C$2:$V$627,I$1,FALSE)</f>
        <v>712</v>
      </c>
      <c r="J3">
        <f>VLOOKUP($B3,'2000 2017 Place Conc'!$C$2:$V$627,J$1,FALSE)</f>
        <v>424</v>
      </c>
      <c r="K3">
        <f>VLOOKUP($B3,'2000 2017 Place Conc'!$C$2:$V$627,K$1,FALSE)</f>
        <v>405</v>
      </c>
      <c r="L3">
        <f>VLOOKUP($B3,'2000 2017 Place Conc'!$C$2:$V$627,L$1,FALSE)</f>
        <v>1098</v>
      </c>
      <c r="M3">
        <f>VLOOKUP($B3,'2000 2017 Place Conc'!$C$2:$V$627,M$1,FALSE)</f>
        <v>297</v>
      </c>
      <c r="N3">
        <f>VLOOKUP($B3,'2000 2017 Place Conc'!$C$2:$V$627,N$1,FALSE)</f>
        <v>389</v>
      </c>
      <c r="O3">
        <f>VLOOKUP($B3,'2000 2017 Place Conc'!$C$2:$V$627,O$1,FALSE)</f>
        <v>17</v>
      </c>
      <c r="P3">
        <f>VLOOKUP($B3,'2000 2017 Place Conc'!$C$2:$V$627,P$1,FALSE)</f>
        <v>1244</v>
      </c>
      <c r="Q3">
        <f>VLOOKUP($B3,'2000 2017 Place Conc'!$C$2:$V$627,Q$1,FALSE)</f>
        <v>3234</v>
      </c>
      <c r="R3">
        <f>VLOOKUP($B3,'2000 2017 Place Conc'!$C$2:$V$627,R$1,FALSE)</f>
        <v>147</v>
      </c>
      <c r="S3">
        <f>VLOOKUP($B3,'2000 2017 Place Conc'!$C$2:$V$627,S$1,FALSE)</f>
        <v>158</v>
      </c>
      <c r="T3">
        <f>VLOOKUP($B3,'2000 2017 Place Conc'!$C$2:$V$627,T$1,FALSE)</f>
        <v>557</v>
      </c>
      <c r="U3">
        <f>VLOOKUP($B3,'2000 2017 Place Conc'!$C$2:$V$627,U$1,FALSE)</f>
        <v>778</v>
      </c>
      <c r="V3">
        <f>VLOOKUP($B3,'2000 2017 Place Conc'!$C$2:$V$627,V$1,FALSE)</f>
        <v>741</v>
      </c>
      <c r="W3">
        <f>VLOOKUP($B3,'2000 2017 Place Conc'!$C$2:$V$627,W$1,FALSE)</f>
        <v>317</v>
      </c>
      <c r="X3" s="4">
        <f>VLOOKUP($B3,'2017 Place'!$C$2:$Y$627,X$1,FALSE)</f>
        <v>15300</v>
      </c>
      <c r="Y3">
        <f>VLOOKUP($B3,'2017 Place'!$C$2:$Y$627,Y$1,FALSE)</f>
        <v>10165</v>
      </c>
      <c r="Z3">
        <f>VLOOKUP($B3,'2017 Place'!$C$2:$Y$627,Z$1,FALSE)</f>
        <v>5135</v>
      </c>
      <c r="AA3">
        <f>VLOOKUP($B3,'2017 Place'!$C$2:$Y$627,AA$1,FALSE)</f>
        <v>5076</v>
      </c>
      <c r="AB3">
        <f>VLOOKUP($B3,'2017 Place'!$C$2:$Y$627,AB$1,FALSE)</f>
        <v>265</v>
      </c>
      <c r="AC3">
        <f>VLOOKUP($B3,'2017 Place'!$C$2:$Y$627,AC$1,FALSE)</f>
        <v>434</v>
      </c>
      <c r="AD3">
        <f>VLOOKUP($B3,'2017 Place'!$C$2:$Y$627,AD$1,FALSE)</f>
        <v>597</v>
      </c>
      <c r="AE3">
        <f>VLOOKUP($B3,'2017 Place'!$C$2:$Y$627,AE$1,FALSE)</f>
        <v>1334</v>
      </c>
      <c r="AF3">
        <f>VLOOKUP($B3,'2017 Place'!$C$2:$Y$627,AF$1,FALSE)</f>
        <v>455</v>
      </c>
      <c r="AG3">
        <f>VLOOKUP($B3,'2017 Place'!$C$2:$Y$627,AG$1,FALSE)</f>
        <v>281</v>
      </c>
      <c r="AH3">
        <f>VLOOKUP($B3,'2017 Place'!$C$2:$Y$627,AH$1,FALSE)</f>
        <v>35</v>
      </c>
      <c r="AI3">
        <f>VLOOKUP($B3,'2017 Place'!$C$2:$Y$627,AI$1,FALSE)</f>
        <v>440</v>
      </c>
      <c r="AJ3">
        <f>VLOOKUP($B3,'2017 Place'!$C$2:$Y$627,AJ$1,FALSE)</f>
        <v>2234</v>
      </c>
      <c r="AK3">
        <f>VLOOKUP($B3,'2017 Place'!$C$2:$Y$627,AK$1,FALSE)</f>
        <v>524</v>
      </c>
      <c r="AL3">
        <f>VLOOKUP($B3,'2017 Place'!$C$2:$Y$627,AL$1,FALSE)</f>
        <v>333</v>
      </c>
      <c r="AM3">
        <f>VLOOKUP($B3,'2017 Place'!$C$2:$Y$627,AM$1,FALSE)</f>
        <v>576</v>
      </c>
      <c r="AN3">
        <f>VLOOKUP($B3,'2017 Place'!$C$2:$Y$627,AN$1,FALSE)</f>
        <v>955</v>
      </c>
      <c r="AO3">
        <f>VLOOKUP($B3,'2017 Place'!$C$2:$Y$627,AO$1,FALSE)</f>
        <v>1500</v>
      </c>
      <c r="AP3">
        <f>VLOOKUP($B3,'2017 Place'!$C$2:$Y$627,AP$1,FALSE)</f>
        <v>261</v>
      </c>
    </row>
    <row r="4" spans="1:42" x14ac:dyDescent="0.25">
      <c r="A4">
        <v>5345005</v>
      </c>
      <c r="B4" t="str">
        <f t="shared" ref="B4:B58" si="0">_xlfn.CONCAT(D4, ", Washington")</f>
        <v>Mercer Island city, Washington</v>
      </c>
      <c r="C4" t="s">
        <v>4</v>
      </c>
      <c r="D4" t="s">
        <v>5</v>
      </c>
      <c r="E4">
        <f>VLOOKUP(B4,'2000 2017 Place Conc'!$C$2:$V$627,2,FALSE)</f>
        <v>22036</v>
      </c>
      <c r="F4">
        <f>VLOOKUP($B4,'2000 2017 Place Conc'!$C$2:$V$627,F$1,FALSE)</f>
        <v>18755</v>
      </c>
      <c r="G4">
        <f>VLOOKUP($B4,'2000 2017 Place Conc'!$C$2:$V$627,G$1,FALSE)</f>
        <v>3281</v>
      </c>
      <c r="H4">
        <f>VLOOKUP($B4,'2000 2017 Place Conc'!$C$2:$V$627,H$1,FALSE)</f>
        <v>16541</v>
      </c>
      <c r="I4">
        <f>VLOOKUP($B4,'2000 2017 Place Conc'!$C$2:$V$627,I$1,FALSE)</f>
        <v>1754</v>
      </c>
      <c r="J4">
        <f>VLOOKUP($B4,'2000 2017 Place Conc'!$C$2:$V$627,J$1,FALSE)</f>
        <v>186</v>
      </c>
      <c r="K4">
        <f>VLOOKUP($B4,'2000 2017 Place Conc'!$C$2:$V$627,K$1,FALSE)</f>
        <v>56</v>
      </c>
      <c r="L4">
        <f>VLOOKUP($B4,'2000 2017 Place Conc'!$C$2:$V$627,L$1,FALSE)</f>
        <v>273</v>
      </c>
      <c r="M4">
        <f>VLOOKUP($B4,'2000 2017 Place Conc'!$C$2:$V$627,M$1,FALSE)</f>
        <v>32</v>
      </c>
      <c r="N4">
        <f>VLOOKUP($B4,'2000 2017 Place Conc'!$C$2:$V$627,N$1,FALSE)</f>
        <v>39</v>
      </c>
      <c r="O4">
        <f>VLOOKUP($B4,'2000 2017 Place Conc'!$C$2:$V$627,O$1,FALSE)</f>
        <v>0</v>
      </c>
      <c r="P4">
        <f>VLOOKUP($B4,'2000 2017 Place Conc'!$C$2:$V$627,P$1,FALSE)</f>
        <v>1097</v>
      </c>
      <c r="Q4">
        <f>VLOOKUP($B4,'2000 2017 Place Conc'!$C$2:$V$627,Q$1,FALSE)</f>
        <v>1339</v>
      </c>
      <c r="R4">
        <f>VLOOKUP($B4,'2000 2017 Place Conc'!$C$2:$V$627,R$1,FALSE)</f>
        <v>11</v>
      </c>
      <c r="S4">
        <f>VLOOKUP($B4,'2000 2017 Place Conc'!$C$2:$V$627,S$1,FALSE)</f>
        <v>16</v>
      </c>
      <c r="T4">
        <f>VLOOKUP($B4,'2000 2017 Place Conc'!$C$2:$V$627,T$1,FALSE)</f>
        <v>58</v>
      </c>
      <c r="U4">
        <f>VLOOKUP($B4,'2000 2017 Place Conc'!$C$2:$V$627,U$1,FALSE)</f>
        <v>37</v>
      </c>
      <c r="V4">
        <f>VLOOKUP($B4,'2000 2017 Place Conc'!$C$2:$V$627,V$1,FALSE)</f>
        <v>550</v>
      </c>
      <c r="W4">
        <f>VLOOKUP($B4,'2000 2017 Place Conc'!$C$2:$V$627,W$1,FALSE)</f>
        <v>47</v>
      </c>
      <c r="X4" s="4">
        <f>VLOOKUP($B4,'2017 Place'!$C$2:$Y$627,X$1,FALSE)</f>
        <v>24768</v>
      </c>
      <c r="Y4">
        <f>VLOOKUP($B4,'2017 Place'!$C$2:$Y$627,Y$1,FALSE)</f>
        <v>19722</v>
      </c>
      <c r="Z4">
        <f>VLOOKUP($B4,'2017 Place'!$C$2:$Y$627,Z$1,FALSE)</f>
        <v>5046</v>
      </c>
      <c r="AA4">
        <f>VLOOKUP($B4,'2017 Place'!$C$2:$Y$627,AA$1,FALSE)</f>
        <v>15937</v>
      </c>
      <c r="AB4">
        <f>VLOOKUP($B4,'2017 Place'!$C$2:$Y$627,AB$1,FALSE)</f>
        <v>1988</v>
      </c>
      <c r="AC4">
        <f>VLOOKUP($B4,'2017 Place'!$C$2:$Y$627,AC$1,FALSE)</f>
        <v>302</v>
      </c>
      <c r="AD4">
        <f>VLOOKUP($B4,'2017 Place'!$C$2:$Y$627,AD$1,FALSE)</f>
        <v>327</v>
      </c>
      <c r="AE4">
        <f>VLOOKUP($B4,'2017 Place'!$C$2:$Y$627,AE$1,FALSE)</f>
        <v>296</v>
      </c>
      <c r="AF4">
        <f>VLOOKUP($B4,'2017 Place'!$C$2:$Y$627,AF$1,FALSE)</f>
        <v>151</v>
      </c>
      <c r="AG4">
        <f>VLOOKUP($B4,'2017 Place'!$C$2:$Y$627,AG$1,FALSE)</f>
        <v>8</v>
      </c>
      <c r="AH4">
        <f>VLOOKUP($B4,'2017 Place'!$C$2:$Y$627,AH$1,FALSE)</f>
        <v>0</v>
      </c>
      <c r="AI4">
        <f>VLOOKUP($B4,'2017 Place'!$C$2:$Y$627,AI$1,FALSE)</f>
        <v>2258</v>
      </c>
      <c r="AJ4">
        <f>VLOOKUP($B4,'2017 Place'!$C$2:$Y$627,AJ$1,FALSE)</f>
        <v>2425</v>
      </c>
      <c r="AK4">
        <f>VLOOKUP($B4,'2017 Place'!$C$2:$Y$627,AK$1,FALSE)</f>
        <v>17</v>
      </c>
      <c r="AL4">
        <f>VLOOKUP($B4,'2017 Place'!$C$2:$Y$627,AL$1,FALSE)</f>
        <v>0</v>
      </c>
      <c r="AM4">
        <f>VLOOKUP($B4,'2017 Place'!$C$2:$Y$627,AM$1,FALSE)</f>
        <v>112</v>
      </c>
      <c r="AN4">
        <f>VLOOKUP($B4,'2017 Place'!$C$2:$Y$627,AN$1,FALSE)</f>
        <v>40</v>
      </c>
      <c r="AO4">
        <f>VLOOKUP($B4,'2017 Place'!$C$2:$Y$627,AO$1,FALSE)</f>
        <v>792</v>
      </c>
      <c r="AP4">
        <f>VLOOKUP($B4,'2017 Place'!$C$2:$Y$627,AP$1,FALSE)</f>
        <v>115</v>
      </c>
    </row>
    <row r="5" spans="1:42" x14ac:dyDescent="0.25">
      <c r="A5">
        <v>5348645</v>
      </c>
      <c r="B5" t="str">
        <f t="shared" si="0"/>
        <v>Newcastle city, Washington</v>
      </c>
      <c r="C5" t="s">
        <v>6</v>
      </c>
      <c r="D5" t="s">
        <v>7</v>
      </c>
      <c r="E5">
        <f>VLOOKUP(B5,'2000 2017 Place Conc'!$C$2:$V$627,2,FALSE)</f>
        <v>8038</v>
      </c>
      <c r="F5">
        <f>VLOOKUP($B5,'2000 2017 Place Conc'!$C$2:$V$627,F$1,FALSE)</f>
        <v>6191</v>
      </c>
      <c r="G5">
        <f>VLOOKUP($B5,'2000 2017 Place Conc'!$C$2:$V$627,G$1,FALSE)</f>
        <v>1847</v>
      </c>
      <c r="H5">
        <f>VLOOKUP($B5,'2000 2017 Place Conc'!$C$2:$V$627,H$1,FALSE)</f>
        <v>5188</v>
      </c>
      <c r="I5">
        <f>VLOOKUP($B5,'2000 2017 Place Conc'!$C$2:$V$627,I$1,FALSE)</f>
        <v>606</v>
      </c>
      <c r="J5">
        <f>VLOOKUP($B5,'2000 2017 Place Conc'!$C$2:$V$627,J$1,FALSE)</f>
        <v>81</v>
      </c>
      <c r="K5">
        <f>VLOOKUP($B5,'2000 2017 Place Conc'!$C$2:$V$627,K$1,FALSE)</f>
        <v>44</v>
      </c>
      <c r="L5">
        <f>VLOOKUP($B5,'2000 2017 Place Conc'!$C$2:$V$627,L$1,FALSE)</f>
        <v>65</v>
      </c>
      <c r="M5">
        <f>VLOOKUP($B5,'2000 2017 Place Conc'!$C$2:$V$627,M$1,FALSE)</f>
        <v>7</v>
      </c>
      <c r="N5">
        <f>VLOOKUP($B5,'2000 2017 Place Conc'!$C$2:$V$627,N$1,FALSE)</f>
        <v>30</v>
      </c>
      <c r="O5">
        <f>VLOOKUP($B5,'2000 2017 Place Conc'!$C$2:$V$627,O$1,FALSE)</f>
        <v>0</v>
      </c>
      <c r="P5">
        <f>VLOOKUP($B5,'2000 2017 Place Conc'!$C$2:$V$627,P$1,FALSE)</f>
        <v>511</v>
      </c>
      <c r="Q5">
        <f>VLOOKUP($B5,'2000 2017 Place Conc'!$C$2:$V$627,Q$1,FALSE)</f>
        <v>998</v>
      </c>
      <c r="R5">
        <f>VLOOKUP($B5,'2000 2017 Place Conc'!$C$2:$V$627,R$1,FALSE)</f>
        <v>0</v>
      </c>
      <c r="S5">
        <f>VLOOKUP($B5,'2000 2017 Place Conc'!$C$2:$V$627,S$1,FALSE)</f>
        <v>0</v>
      </c>
      <c r="T5">
        <f>VLOOKUP($B5,'2000 2017 Place Conc'!$C$2:$V$627,T$1,FALSE)</f>
        <v>77</v>
      </c>
      <c r="U5">
        <f>VLOOKUP($B5,'2000 2017 Place Conc'!$C$2:$V$627,U$1,FALSE)</f>
        <v>135</v>
      </c>
      <c r="V5">
        <f>VLOOKUP($B5,'2000 2017 Place Conc'!$C$2:$V$627,V$1,FALSE)</f>
        <v>239</v>
      </c>
      <c r="W5">
        <f>VLOOKUP($B5,'2000 2017 Place Conc'!$C$2:$V$627,W$1,FALSE)</f>
        <v>57</v>
      </c>
      <c r="X5" s="4">
        <f>VLOOKUP($B5,'2017 Place'!$C$2:$Y$627,X$1,FALSE)</f>
        <v>11346</v>
      </c>
      <c r="Y5">
        <f>VLOOKUP($B5,'2017 Place'!$C$2:$Y$627,Y$1,FALSE)</f>
        <v>7859</v>
      </c>
      <c r="Z5">
        <f>VLOOKUP($B5,'2017 Place'!$C$2:$Y$627,Z$1,FALSE)</f>
        <v>3487</v>
      </c>
      <c r="AA5">
        <f>VLOOKUP($B5,'2017 Place'!$C$2:$Y$627,AA$1,FALSE)</f>
        <v>5796</v>
      </c>
      <c r="AB5">
        <f>VLOOKUP($B5,'2017 Place'!$C$2:$Y$627,AB$1,FALSE)</f>
        <v>1063</v>
      </c>
      <c r="AC5">
        <f>VLOOKUP($B5,'2017 Place'!$C$2:$Y$627,AC$1,FALSE)</f>
        <v>138</v>
      </c>
      <c r="AD5">
        <f>VLOOKUP($B5,'2017 Place'!$C$2:$Y$627,AD$1,FALSE)</f>
        <v>106</v>
      </c>
      <c r="AE5">
        <f>VLOOKUP($B5,'2017 Place'!$C$2:$Y$627,AE$1,FALSE)</f>
        <v>224</v>
      </c>
      <c r="AF5">
        <f>VLOOKUP($B5,'2017 Place'!$C$2:$Y$627,AF$1,FALSE)</f>
        <v>101</v>
      </c>
      <c r="AG5">
        <f>VLOOKUP($B5,'2017 Place'!$C$2:$Y$627,AG$1,FALSE)</f>
        <v>0</v>
      </c>
      <c r="AH5">
        <f>VLOOKUP($B5,'2017 Place'!$C$2:$Y$627,AH$1,FALSE)</f>
        <v>12</v>
      </c>
      <c r="AI5">
        <f>VLOOKUP($B5,'2017 Place'!$C$2:$Y$627,AI$1,FALSE)</f>
        <v>1143</v>
      </c>
      <c r="AJ5">
        <f>VLOOKUP($B5,'2017 Place'!$C$2:$Y$627,AJ$1,FALSE)</f>
        <v>2102</v>
      </c>
      <c r="AK5">
        <f>VLOOKUP($B5,'2017 Place'!$C$2:$Y$627,AK$1,FALSE)</f>
        <v>0</v>
      </c>
      <c r="AL5">
        <f>VLOOKUP($B5,'2017 Place'!$C$2:$Y$627,AL$1,FALSE)</f>
        <v>0</v>
      </c>
      <c r="AM5">
        <f>VLOOKUP($B5,'2017 Place'!$C$2:$Y$627,AM$1,FALSE)</f>
        <v>62</v>
      </c>
      <c r="AN5">
        <f>VLOOKUP($B5,'2017 Place'!$C$2:$Y$627,AN$1,FALSE)</f>
        <v>45</v>
      </c>
      <c r="AO5">
        <f>VLOOKUP($B5,'2017 Place'!$C$2:$Y$627,AO$1,FALSE)</f>
        <v>496</v>
      </c>
      <c r="AP5">
        <f>VLOOKUP($B5,'2017 Place'!$C$2:$Y$627,AP$1,FALSE)</f>
        <v>58</v>
      </c>
    </row>
    <row r="6" spans="1:42" x14ac:dyDescent="0.25">
      <c r="A6">
        <v>5349415</v>
      </c>
      <c r="B6" t="str">
        <f t="shared" si="0"/>
        <v>Normandy Park city, Washington</v>
      </c>
      <c r="C6" t="s">
        <v>8</v>
      </c>
      <c r="D6" t="s">
        <v>9</v>
      </c>
      <c r="E6">
        <f>VLOOKUP(B6,'2000 2017 Place Conc'!$C$2:$V$627,2,FALSE)</f>
        <v>6403</v>
      </c>
      <c r="F6">
        <f>VLOOKUP($B6,'2000 2017 Place Conc'!$C$2:$V$627,F$1,FALSE)</f>
        <v>5633</v>
      </c>
      <c r="G6">
        <f>VLOOKUP($B6,'2000 2017 Place Conc'!$C$2:$V$627,G$1,FALSE)</f>
        <v>770</v>
      </c>
      <c r="H6">
        <f>VLOOKUP($B6,'2000 2017 Place Conc'!$C$2:$V$627,H$1,FALSE)</f>
        <v>5120</v>
      </c>
      <c r="I6">
        <f>VLOOKUP($B6,'2000 2017 Place Conc'!$C$2:$V$627,I$1,FALSE)</f>
        <v>455</v>
      </c>
      <c r="J6">
        <f>VLOOKUP($B6,'2000 2017 Place Conc'!$C$2:$V$627,J$1,FALSE)</f>
        <v>94</v>
      </c>
      <c r="K6">
        <f>VLOOKUP($B6,'2000 2017 Place Conc'!$C$2:$V$627,K$1,FALSE)</f>
        <v>6</v>
      </c>
      <c r="L6">
        <f>VLOOKUP($B6,'2000 2017 Place Conc'!$C$2:$V$627,L$1,FALSE)</f>
        <v>53</v>
      </c>
      <c r="M6">
        <f>VLOOKUP($B6,'2000 2017 Place Conc'!$C$2:$V$627,M$1,FALSE)</f>
        <v>0</v>
      </c>
      <c r="N6">
        <f>VLOOKUP($B6,'2000 2017 Place Conc'!$C$2:$V$627,N$1,FALSE)</f>
        <v>19</v>
      </c>
      <c r="O6">
        <f>VLOOKUP($B6,'2000 2017 Place Conc'!$C$2:$V$627,O$1,FALSE)</f>
        <v>0</v>
      </c>
      <c r="P6">
        <f>VLOOKUP($B6,'2000 2017 Place Conc'!$C$2:$V$627,P$1,FALSE)</f>
        <v>129</v>
      </c>
      <c r="Q6">
        <f>VLOOKUP($B6,'2000 2017 Place Conc'!$C$2:$V$627,Q$1,FALSE)</f>
        <v>283</v>
      </c>
      <c r="R6">
        <f>VLOOKUP($B6,'2000 2017 Place Conc'!$C$2:$V$627,R$1,FALSE)</f>
        <v>16</v>
      </c>
      <c r="S6">
        <f>VLOOKUP($B6,'2000 2017 Place Conc'!$C$2:$V$627,S$1,FALSE)</f>
        <v>0</v>
      </c>
      <c r="T6">
        <f>VLOOKUP($B6,'2000 2017 Place Conc'!$C$2:$V$627,T$1,FALSE)</f>
        <v>80</v>
      </c>
      <c r="U6">
        <f>VLOOKUP($B6,'2000 2017 Place Conc'!$C$2:$V$627,U$1,FALSE)</f>
        <v>0</v>
      </c>
      <c r="V6">
        <f>VLOOKUP($B6,'2000 2017 Place Conc'!$C$2:$V$627,V$1,FALSE)</f>
        <v>122</v>
      </c>
      <c r="W6">
        <f>VLOOKUP($B6,'2000 2017 Place Conc'!$C$2:$V$627,W$1,FALSE)</f>
        <v>26</v>
      </c>
      <c r="X6" s="4">
        <f>VLOOKUP($B6,'2017 Place'!$C$2:$Y$627,X$1,FALSE)</f>
        <v>6634</v>
      </c>
      <c r="Y6">
        <f>VLOOKUP($B6,'2017 Place'!$C$2:$Y$627,Y$1,FALSE)</f>
        <v>5894</v>
      </c>
      <c r="Z6">
        <f>VLOOKUP($B6,'2017 Place'!$C$2:$Y$627,Z$1,FALSE)</f>
        <v>740</v>
      </c>
      <c r="AA6">
        <f>VLOOKUP($B6,'2017 Place'!$C$2:$Y$627,AA$1,FALSE)</f>
        <v>5415</v>
      </c>
      <c r="AB6">
        <f>VLOOKUP($B6,'2017 Place'!$C$2:$Y$627,AB$1,FALSE)</f>
        <v>346</v>
      </c>
      <c r="AC6">
        <f>VLOOKUP($B6,'2017 Place'!$C$2:$Y$627,AC$1,FALSE)</f>
        <v>195</v>
      </c>
      <c r="AD6">
        <f>VLOOKUP($B6,'2017 Place'!$C$2:$Y$627,AD$1,FALSE)</f>
        <v>34</v>
      </c>
      <c r="AE6">
        <f>VLOOKUP($B6,'2017 Place'!$C$2:$Y$627,AE$1,FALSE)</f>
        <v>0</v>
      </c>
      <c r="AF6">
        <f>VLOOKUP($B6,'2017 Place'!$C$2:$Y$627,AF$1,FALSE)</f>
        <v>0</v>
      </c>
      <c r="AG6">
        <f>VLOOKUP($B6,'2017 Place'!$C$2:$Y$627,AG$1,FALSE)</f>
        <v>0</v>
      </c>
      <c r="AH6">
        <f>VLOOKUP($B6,'2017 Place'!$C$2:$Y$627,AH$1,FALSE)</f>
        <v>0</v>
      </c>
      <c r="AI6">
        <f>VLOOKUP($B6,'2017 Place'!$C$2:$Y$627,AI$1,FALSE)</f>
        <v>175</v>
      </c>
      <c r="AJ6">
        <f>VLOOKUP($B6,'2017 Place'!$C$2:$Y$627,AJ$1,FALSE)</f>
        <v>350</v>
      </c>
      <c r="AK6">
        <f>VLOOKUP($B6,'2017 Place'!$C$2:$Y$627,AK$1,FALSE)</f>
        <v>0</v>
      </c>
      <c r="AL6">
        <f>VLOOKUP($B6,'2017 Place'!$C$2:$Y$627,AL$1,FALSE)</f>
        <v>0</v>
      </c>
      <c r="AM6">
        <f>VLOOKUP($B6,'2017 Place'!$C$2:$Y$627,AM$1,FALSE)</f>
        <v>28</v>
      </c>
      <c r="AN6">
        <f>VLOOKUP($B6,'2017 Place'!$C$2:$Y$627,AN$1,FALSE)</f>
        <v>10</v>
      </c>
      <c r="AO6">
        <f>VLOOKUP($B6,'2017 Place'!$C$2:$Y$627,AO$1,FALSE)</f>
        <v>81</v>
      </c>
      <c r="AP6">
        <f>VLOOKUP($B6,'2017 Place'!$C$2:$Y$627,AP$1,FALSE)</f>
        <v>0</v>
      </c>
    </row>
    <row r="7" spans="1:42" x14ac:dyDescent="0.25">
      <c r="A7">
        <v>5349485</v>
      </c>
      <c r="B7" t="str">
        <f t="shared" si="0"/>
        <v>North Bend city, Washington</v>
      </c>
      <c r="C7" t="s">
        <v>10</v>
      </c>
      <c r="D7" t="s">
        <v>11</v>
      </c>
      <c r="E7">
        <f>VLOOKUP(B7,'2000 2017 Place Conc'!$C$2:$V$627,2,FALSE)</f>
        <v>4893</v>
      </c>
      <c r="F7">
        <f>VLOOKUP($B7,'2000 2017 Place Conc'!$C$2:$V$627,F$1,FALSE)</f>
        <v>4514</v>
      </c>
      <c r="G7">
        <f>VLOOKUP($B7,'2000 2017 Place Conc'!$C$2:$V$627,G$1,FALSE)</f>
        <v>379</v>
      </c>
      <c r="H7">
        <f>VLOOKUP($B7,'2000 2017 Place Conc'!$C$2:$V$627,H$1,FALSE)</f>
        <v>4187</v>
      </c>
      <c r="I7">
        <f>VLOOKUP($B7,'2000 2017 Place Conc'!$C$2:$V$627,I$1,FALSE)</f>
        <v>181</v>
      </c>
      <c r="J7">
        <f>VLOOKUP($B7,'2000 2017 Place Conc'!$C$2:$V$627,J$1,FALSE)</f>
        <v>38</v>
      </c>
      <c r="K7">
        <f>VLOOKUP($B7,'2000 2017 Place Conc'!$C$2:$V$627,K$1,FALSE)</f>
        <v>40</v>
      </c>
      <c r="L7">
        <f>VLOOKUP($B7,'2000 2017 Place Conc'!$C$2:$V$627,L$1,FALSE)</f>
        <v>27</v>
      </c>
      <c r="M7">
        <f>VLOOKUP($B7,'2000 2017 Place Conc'!$C$2:$V$627,M$1,FALSE)</f>
        <v>9</v>
      </c>
      <c r="N7">
        <f>VLOOKUP($B7,'2000 2017 Place Conc'!$C$2:$V$627,N$1,FALSE)</f>
        <v>20</v>
      </c>
      <c r="O7">
        <f>VLOOKUP($B7,'2000 2017 Place Conc'!$C$2:$V$627,O$1,FALSE)</f>
        <v>0</v>
      </c>
      <c r="P7">
        <f>VLOOKUP($B7,'2000 2017 Place Conc'!$C$2:$V$627,P$1,FALSE)</f>
        <v>43</v>
      </c>
      <c r="Q7">
        <f>VLOOKUP($B7,'2000 2017 Place Conc'!$C$2:$V$627,Q$1,FALSE)</f>
        <v>92</v>
      </c>
      <c r="R7">
        <f>VLOOKUP($B7,'2000 2017 Place Conc'!$C$2:$V$627,R$1,FALSE)</f>
        <v>0</v>
      </c>
      <c r="S7">
        <f>VLOOKUP($B7,'2000 2017 Place Conc'!$C$2:$V$627,S$1,FALSE)</f>
        <v>0</v>
      </c>
      <c r="T7">
        <f>VLOOKUP($B7,'2000 2017 Place Conc'!$C$2:$V$627,T$1,FALSE)</f>
        <v>75</v>
      </c>
      <c r="U7">
        <f>VLOOKUP($B7,'2000 2017 Place Conc'!$C$2:$V$627,U$1,FALSE)</f>
        <v>38</v>
      </c>
      <c r="V7">
        <f>VLOOKUP($B7,'2000 2017 Place Conc'!$C$2:$V$627,V$1,FALSE)</f>
        <v>124</v>
      </c>
      <c r="W7">
        <f>VLOOKUP($B7,'2000 2017 Place Conc'!$C$2:$V$627,W$1,FALSE)</f>
        <v>19</v>
      </c>
      <c r="X7" s="4">
        <f>VLOOKUP($B7,'2017 Place'!$C$2:$Y$627,X$1,FALSE)</f>
        <v>6645</v>
      </c>
      <c r="Y7">
        <f>VLOOKUP($B7,'2017 Place'!$C$2:$Y$627,Y$1,FALSE)</f>
        <v>5872</v>
      </c>
      <c r="Z7">
        <f>VLOOKUP($B7,'2017 Place'!$C$2:$Y$627,Z$1,FALSE)</f>
        <v>773</v>
      </c>
      <c r="AA7">
        <f>VLOOKUP($B7,'2017 Place'!$C$2:$Y$627,AA$1,FALSE)</f>
        <v>5109</v>
      </c>
      <c r="AB7">
        <f>VLOOKUP($B7,'2017 Place'!$C$2:$Y$627,AB$1,FALSE)</f>
        <v>257</v>
      </c>
      <c r="AC7">
        <f>VLOOKUP($B7,'2017 Place'!$C$2:$Y$627,AC$1,FALSE)</f>
        <v>184</v>
      </c>
      <c r="AD7">
        <f>VLOOKUP($B7,'2017 Place'!$C$2:$Y$627,AD$1,FALSE)</f>
        <v>133</v>
      </c>
      <c r="AE7">
        <f>VLOOKUP($B7,'2017 Place'!$C$2:$Y$627,AE$1,FALSE)</f>
        <v>80</v>
      </c>
      <c r="AF7">
        <f>VLOOKUP($B7,'2017 Place'!$C$2:$Y$627,AF$1,FALSE)</f>
        <v>0</v>
      </c>
      <c r="AG7">
        <f>VLOOKUP($B7,'2017 Place'!$C$2:$Y$627,AG$1,FALSE)</f>
        <v>0</v>
      </c>
      <c r="AH7">
        <f>VLOOKUP($B7,'2017 Place'!$C$2:$Y$627,AH$1,FALSE)</f>
        <v>0</v>
      </c>
      <c r="AI7">
        <f>VLOOKUP($B7,'2017 Place'!$C$2:$Y$627,AI$1,FALSE)</f>
        <v>13</v>
      </c>
      <c r="AJ7">
        <f>VLOOKUP($B7,'2017 Place'!$C$2:$Y$627,AJ$1,FALSE)</f>
        <v>42</v>
      </c>
      <c r="AK7">
        <f>VLOOKUP($B7,'2017 Place'!$C$2:$Y$627,AK$1,FALSE)</f>
        <v>0</v>
      </c>
      <c r="AL7">
        <f>VLOOKUP($B7,'2017 Place'!$C$2:$Y$627,AL$1,FALSE)</f>
        <v>0</v>
      </c>
      <c r="AM7">
        <f>VLOOKUP($B7,'2017 Place'!$C$2:$Y$627,AM$1,FALSE)</f>
        <v>185</v>
      </c>
      <c r="AN7">
        <f>VLOOKUP($B7,'2017 Place'!$C$2:$Y$627,AN$1,FALSE)</f>
        <v>341</v>
      </c>
      <c r="AO7">
        <f>VLOOKUP($B7,'2017 Place'!$C$2:$Y$627,AO$1,FALSE)</f>
        <v>301</v>
      </c>
      <c r="AP7">
        <f>VLOOKUP($B7,'2017 Place'!$C$2:$Y$627,AP$1,FALSE)</f>
        <v>0</v>
      </c>
    </row>
    <row r="8" spans="1:42" x14ac:dyDescent="0.25">
      <c r="A8">
        <v>5352495</v>
      </c>
      <c r="B8" t="str">
        <f t="shared" si="0"/>
        <v>Pacific city, Washington</v>
      </c>
      <c r="C8" t="s">
        <v>12</v>
      </c>
      <c r="D8" t="s">
        <v>13</v>
      </c>
      <c r="E8">
        <f>VLOOKUP(B8,'2000 2017 Place Conc'!$C$2:$V$627,2,FALSE)</f>
        <v>5482</v>
      </c>
      <c r="F8">
        <f>VLOOKUP($B8,'2000 2017 Place Conc'!$C$2:$V$627,F$1,FALSE)</f>
        <v>5094</v>
      </c>
      <c r="G8">
        <f>VLOOKUP($B8,'2000 2017 Place Conc'!$C$2:$V$627,G$1,FALSE)</f>
        <v>388</v>
      </c>
      <c r="H8">
        <f>VLOOKUP($B8,'2000 2017 Place Conc'!$C$2:$V$627,H$1,FALSE)</f>
        <v>4457</v>
      </c>
      <c r="I8">
        <f>VLOOKUP($B8,'2000 2017 Place Conc'!$C$2:$V$627,I$1,FALSE)</f>
        <v>149</v>
      </c>
      <c r="J8">
        <f>VLOOKUP($B8,'2000 2017 Place Conc'!$C$2:$V$627,J$1,FALSE)</f>
        <v>110</v>
      </c>
      <c r="K8">
        <f>VLOOKUP($B8,'2000 2017 Place Conc'!$C$2:$V$627,K$1,FALSE)</f>
        <v>38</v>
      </c>
      <c r="L8">
        <f>VLOOKUP($B8,'2000 2017 Place Conc'!$C$2:$V$627,L$1,FALSE)</f>
        <v>43</v>
      </c>
      <c r="M8">
        <f>VLOOKUP($B8,'2000 2017 Place Conc'!$C$2:$V$627,M$1,FALSE)</f>
        <v>0</v>
      </c>
      <c r="N8">
        <f>VLOOKUP($B8,'2000 2017 Place Conc'!$C$2:$V$627,N$1,FALSE)</f>
        <v>119</v>
      </c>
      <c r="O8">
        <f>VLOOKUP($B8,'2000 2017 Place Conc'!$C$2:$V$627,O$1,FALSE)</f>
        <v>0</v>
      </c>
      <c r="P8">
        <f>VLOOKUP($B8,'2000 2017 Place Conc'!$C$2:$V$627,P$1,FALSE)</f>
        <v>35</v>
      </c>
      <c r="Q8">
        <f>VLOOKUP($B8,'2000 2017 Place Conc'!$C$2:$V$627,Q$1,FALSE)</f>
        <v>164</v>
      </c>
      <c r="R8">
        <f>VLOOKUP($B8,'2000 2017 Place Conc'!$C$2:$V$627,R$1,FALSE)</f>
        <v>0</v>
      </c>
      <c r="S8">
        <f>VLOOKUP($B8,'2000 2017 Place Conc'!$C$2:$V$627,S$1,FALSE)</f>
        <v>0</v>
      </c>
      <c r="T8">
        <f>VLOOKUP($B8,'2000 2017 Place Conc'!$C$2:$V$627,T$1,FALSE)</f>
        <v>97</v>
      </c>
      <c r="U8">
        <f>VLOOKUP($B8,'2000 2017 Place Conc'!$C$2:$V$627,U$1,FALSE)</f>
        <v>23</v>
      </c>
      <c r="V8">
        <f>VLOOKUP($B8,'2000 2017 Place Conc'!$C$2:$V$627,V$1,FALSE)</f>
        <v>233</v>
      </c>
      <c r="W8">
        <f>VLOOKUP($B8,'2000 2017 Place Conc'!$C$2:$V$627,W$1,FALSE)</f>
        <v>14</v>
      </c>
      <c r="X8" s="4">
        <f>VLOOKUP($B8,'2017 Place'!$C$2:$Y$627,X$1,FALSE)</f>
        <v>7113</v>
      </c>
      <c r="Y8">
        <f>VLOOKUP($B8,'2017 Place'!$C$2:$Y$627,Y$1,FALSE)</f>
        <v>5994</v>
      </c>
      <c r="Z8">
        <f>VLOOKUP($B8,'2017 Place'!$C$2:$Y$627,Z$1,FALSE)</f>
        <v>1119</v>
      </c>
      <c r="AA8">
        <f>VLOOKUP($B8,'2017 Place'!$C$2:$Y$627,AA$1,FALSE)</f>
        <v>3892</v>
      </c>
      <c r="AB8">
        <f>VLOOKUP($B8,'2017 Place'!$C$2:$Y$627,AB$1,FALSE)</f>
        <v>105</v>
      </c>
      <c r="AC8">
        <f>VLOOKUP($B8,'2017 Place'!$C$2:$Y$627,AC$1,FALSE)</f>
        <v>543</v>
      </c>
      <c r="AD8">
        <f>VLOOKUP($B8,'2017 Place'!$C$2:$Y$627,AD$1,FALSE)</f>
        <v>251</v>
      </c>
      <c r="AE8">
        <f>VLOOKUP($B8,'2017 Place'!$C$2:$Y$627,AE$1,FALSE)</f>
        <v>305</v>
      </c>
      <c r="AF8">
        <f>VLOOKUP($B8,'2017 Place'!$C$2:$Y$627,AF$1,FALSE)</f>
        <v>0</v>
      </c>
      <c r="AG8">
        <f>VLOOKUP($B8,'2017 Place'!$C$2:$Y$627,AG$1,FALSE)</f>
        <v>57</v>
      </c>
      <c r="AH8">
        <f>VLOOKUP($B8,'2017 Place'!$C$2:$Y$627,AH$1,FALSE)</f>
        <v>0</v>
      </c>
      <c r="AI8">
        <f>VLOOKUP($B8,'2017 Place'!$C$2:$Y$627,AI$1,FALSE)</f>
        <v>317</v>
      </c>
      <c r="AJ8">
        <f>VLOOKUP($B8,'2017 Place'!$C$2:$Y$627,AJ$1,FALSE)</f>
        <v>371</v>
      </c>
      <c r="AK8">
        <f>VLOOKUP($B8,'2017 Place'!$C$2:$Y$627,AK$1,FALSE)</f>
        <v>94</v>
      </c>
      <c r="AL8">
        <f>VLOOKUP($B8,'2017 Place'!$C$2:$Y$627,AL$1,FALSE)</f>
        <v>191</v>
      </c>
      <c r="AM8">
        <f>VLOOKUP($B8,'2017 Place'!$C$2:$Y$627,AM$1,FALSE)</f>
        <v>212</v>
      </c>
      <c r="AN8">
        <f>VLOOKUP($B8,'2017 Place'!$C$2:$Y$627,AN$1,FALSE)</f>
        <v>144</v>
      </c>
      <c r="AO8">
        <f>VLOOKUP($B8,'2017 Place'!$C$2:$Y$627,AO$1,FALSE)</f>
        <v>574</v>
      </c>
      <c r="AP8">
        <f>VLOOKUP($B8,'2017 Place'!$C$2:$Y$627,AP$1,FALSE)</f>
        <v>57</v>
      </c>
    </row>
    <row r="9" spans="1:42" x14ac:dyDescent="0.25">
      <c r="A9">
        <v>5380150</v>
      </c>
      <c r="B9" t="str">
        <f t="shared" si="0"/>
        <v>Yarrow Point town, Washington</v>
      </c>
      <c r="C9" t="s">
        <v>14</v>
      </c>
      <c r="D9" t="s">
        <v>15</v>
      </c>
      <c r="E9">
        <f>VLOOKUP(B9,'2000 2017 Place Conc'!$C$2:$V$627,2,FALSE)</f>
        <v>1007</v>
      </c>
      <c r="F9">
        <f>VLOOKUP($B9,'2000 2017 Place Conc'!$C$2:$V$627,F$1,FALSE)</f>
        <v>932</v>
      </c>
      <c r="G9">
        <f>VLOOKUP($B9,'2000 2017 Place Conc'!$C$2:$V$627,G$1,FALSE)</f>
        <v>75</v>
      </c>
      <c r="H9">
        <f>VLOOKUP($B9,'2000 2017 Place Conc'!$C$2:$V$627,H$1,FALSE)</f>
        <v>883</v>
      </c>
      <c r="I9">
        <f>VLOOKUP($B9,'2000 2017 Place Conc'!$C$2:$V$627,I$1,FALSE)</f>
        <v>57</v>
      </c>
      <c r="J9">
        <f>VLOOKUP($B9,'2000 2017 Place Conc'!$C$2:$V$627,J$1,FALSE)</f>
        <v>9</v>
      </c>
      <c r="K9">
        <f>VLOOKUP($B9,'2000 2017 Place Conc'!$C$2:$V$627,K$1,FALSE)</f>
        <v>2</v>
      </c>
      <c r="L9">
        <f>VLOOKUP($B9,'2000 2017 Place Conc'!$C$2:$V$627,L$1,FALSE)</f>
        <v>3</v>
      </c>
      <c r="M9">
        <f>VLOOKUP($B9,'2000 2017 Place Conc'!$C$2:$V$627,M$1,FALSE)</f>
        <v>3</v>
      </c>
      <c r="N9">
        <f>VLOOKUP($B9,'2000 2017 Place Conc'!$C$2:$V$627,N$1,FALSE)</f>
        <v>0</v>
      </c>
      <c r="O9">
        <f>VLOOKUP($B9,'2000 2017 Place Conc'!$C$2:$V$627,O$1,FALSE)</f>
        <v>0</v>
      </c>
      <c r="P9">
        <f>VLOOKUP($B9,'2000 2017 Place Conc'!$C$2:$V$627,P$1,FALSE)</f>
        <v>29</v>
      </c>
      <c r="Q9">
        <f>VLOOKUP($B9,'2000 2017 Place Conc'!$C$2:$V$627,Q$1,FALSE)</f>
        <v>10</v>
      </c>
      <c r="R9">
        <f>VLOOKUP($B9,'2000 2017 Place Conc'!$C$2:$V$627,R$1,FALSE)</f>
        <v>0</v>
      </c>
      <c r="S9">
        <f>VLOOKUP($B9,'2000 2017 Place Conc'!$C$2:$V$627,S$1,FALSE)</f>
        <v>0</v>
      </c>
      <c r="T9">
        <f>VLOOKUP($B9,'2000 2017 Place Conc'!$C$2:$V$627,T$1,FALSE)</f>
        <v>1</v>
      </c>
      <c r="U9">
        <f>VLOOKUP($B9,'2000 2017 Place Conc'!$C$2:$V$627,U$1,FALSE)</f>
        <v>3</v>
      </c>
      <c r="V9">
        <f>VLOOKUP($B9,'2000 2017 Place Conc'!$C$2:$V$627,V$1,FALSE)</f>
        <v>7</v>
      </c>
      <c r="W9">
        <f>VLOOKUP($B9,'2000 2017 Place Conc'!$C$2:$V$627,W$1,FALSE)</f>
        <v>0</v>
      </c>
      <c r="X9" s="4">
        <f>VLOOKUP($B9,'2017 Place'!$C$2:$Y$627,X$1,FALSE)</f>
        <v>1184</v>
      </c>
      <c r="Y9">
        <f>VLOOKUP($B9,'2017 Place'!$C$2:$Y$627,Y$1,FALSE)</f>
        <v>928</v>
      </c>
      <c r="Z9">
        <f>VLOOKUP($B9,'2017 Place'!$C$2:$Y$627,Z$1,FALSE)</f>
        <v>256</v>
      </c>
      <c r="AA9">
        <f>VLOOKUP($B9,'2017 Place'!$C$2:$Y$627,AA$1,FALSE)</f>
        <v>810</v>
      </c>
      <c r="AB9">
        <f>VLOOKUP($B9,'2017 Place'!$C$2:$Y$627,AB$1,FALSE)</f>
        <v>102</v>
      </c>
      <c r="AC9">
        <f>VLOOKUP($B9,'2017 Place'!$C$2:$Y$627,AC$1,FALSE)</f>
        <v>5</v>
      </c>
      <c r="AD9">
        <f>VLOOKUP($B9,'2017 Place'!$C$2:$Y$627,AD$1,FALSE)</f>
        <v>8</v>
      </c>
      <c r="AE9">
        <f>VLOOKUP($B9,'2017 Place'!$C$2:$Y$627,AE$1,FALSE)</f>
        <v>2</v>
      </c>
      <c r="AF9">
        <f>VLOOKUP($B9,'2017 Place'!$C$2:$Y$627,AF$1,FALSE)</f>
        <v>0</v>
      </c>
      <c r="AG9">
        <f>VLOOKUP($B9,'2017 Place'!$C$2:$Y$627,AG$1,FALSE)</f>
        <v>0</v>
      </c>
      <c r="AH9">
        <f>VLOOKUP($B9,'2017 Place'!$C$2:$Y$627,AH$1,FALSE)</f>
        <v>0</v>
      </c>
      <c r="AI9">
        <f>VLOOKUP($B9,'2017 Place'!$C$2:$Y$627,AI$1,FALSE)</f>
        <v>72</v>
      </c>
      <c r="AJ9">
        <f>VLOOKUP($B9,'2017 Place'!$C$2:$Y$627,AJ$1,FALSE)</f>
        <v>139</v>
      </c>
      <c r="AK9">
        <f>VLOOKUP($B9,'2017 Place'!$C$2:$Y$627,AK$1,FALSE)</f>
        <v>0</v>
      </c>
      <c r="AL9">
        <f>VLOOKUP($B9,'2017 Place'!$C$2:$Y$627,AL$1,FALSE)</f>
        <v>0</v>
      </c>
      <c r="AM9">
        <f>VLOOKUP($B9,'2017 Place'!$C$2:$Y$627,AM$1,FALSE)</f>
        <v>0</v>
      </c>
      <c r="AN9">
        <f>VLOOKUP($B9,'2017 Place'!$C$2:$Y$627,AN$1,FALSE)</f>
        <v>4</v>
      </c>
      <c r="AO9">
        <f>VLOOKUP($B9,'2017 Place'!$C$2:$Y$627,AO$1,FALSE)</f>
        <v>39</v>
      </c>
      <c r="AP9">
        <f>VLOOKUP($B9,'2017 Place'!$C$2:$Y$627,AP$1,FALSE)</f>
        <v>3</v>
      </c>
    </row>
    <row r="10" spans="1:42" x14ac:dyDescent="0.25">
      <c r="A10">
        <v>5308850</v>
      </c>
      <c r="B10" t="str">
        <f t="shared" si="0"/>
        <v>Burien city, Washington</v>
      </c>
      <c r="C10" t="s">
        <v>16</v>
      </c>
      <c r="D10" t="s">
        <v>17</v>
      </c>
      <c r="E10">
        <f>VLOOKUP(B10,'2000 2017 Place Conc'!$C$2:$V$627,2,FALSE)</f>
        <v>37438.5</v>
      </c>
      <c r="F10">
        <f>VLOOKUP($B10,'2000 2017 Place Conc'!$C$2:$V$627,F$1,FALSE)</f>
        <v>30934.5</v>
      </c>
      <c r="G10">
        <f>VLOOKUP($B10,'2000 2017 Place Conc'!$C$2:$V$627,G$1,FALSE)</f>
        <v>6504</v>
      </c>
      <c r="H10">
        <f>VLOOKUP($B10,'2000 2017 Place Conc'!$C$2:$V$627,H$1,FALSE)</f>
        <v>24345</v>
      </c>
      <c r="I10">
        <f>VLOOKUP($B10,'2000 2017 Place Conc'!$C$2:$V$627,I$1,FALSE)</f>
        <v>1544</v>
      </c>
      <c r="J10">
        <f>VLOOKUP($B10,'2000 2017 Place Conc'!$C$2:$V$627,J$1,FALSE)</f>
        <v>831.5</v>
      </c>
      <c r="K10">
        <f>VLOOKUP($B10,'2000 2017 Place Conc'!$C$2:$V$627,K$1,FALSE)</f>
        <v>625</v>
      </c>
      <c r="L10">
        <f>VLOOKUP($B10,'2000 2017 Place Conc'!$C$2:$V$627,L$1,FALSE)</f>
        <v>1771</v>
      </c>
      <c r="M10">
        <f>VLOOKUP($B10,'2000 2017 Place Conc'!$C$2:$V$627,M$1,FALSE)</f>
        <v>261.5</v>
      </c>
      <c r="N10">
        <f>VLOOKUP($B10,'2000 2017 Place Conc'!$C$2:$V$627,N$1,FALSE)</f>
        <v>405.5</v>
      </c>
      <c r="O10">
        <f>VLOOKUP($B10,'2000 2017 Place Conc'!$C$2:$V$627,O$1,FALSE)</f>
        <v>0</v>
      </c>
      <c r="P10">
        <f>VLOOKUP($B10,'2000 2017 Place Conc'!$C$2:$V$627,P$1,FALSE)</f>
        <v>923</v>
      </c>
      <c r="Q10">
        <f>VLOOKUP($B10,'2000 2017 Place Conc'!$C$2:$V$627,Q$1,FALSE)</f>
        <v>1977</v>
      </c>
      <c r="R10">
        <f>VLOOKUP($B10,'2000 2017 Place Conc'!$C$2:$V$627,R$1,FALSE)</f>
        <v>210</v>
      </c>
      <c r="S10">
        <f>VLOOKUP($B10,'2000 2017 Place Conc'!$C$2:$V$627,S$1,FALSE)</f>
        <v>202.5</v>
      </c>
      <c r="T10">
        <f>VLOOKUP($B10,'2000 2017 Place Conc'!$C$2:$V$627,T$1,FALSE)</f>
        <v>1056.5</v>
      </c>
      <c r="U10">
        <f>VLOOKUP($B10,'2000 2017 Place Conc'!$C$2:$V$627,U$1,FALSE)</f>
        <v>1341</v>
      </c>
      <c r="V10">
        <f>VLOOKUP($B10,'2000 2017 Place Conc'!$C$2:$V$627,V$1,FALSE)</f>
        <v>1392</v>
      </c>
      <c r="W10">
        <f>VLOOKUP($B10,'2000 2017 Place Conc'!$C$2:$V$627,W$1,FALSE)</f>
        <v>553</v>
      </c>
      <c r="X10" s="4">
        <f>VLOOKUP($B10,'2017 Place'!$C$2:$Y$627,X$1,FALSE)</f>
        <v>50729</v>
      </c>
      <c r="Y10">
        <f>VLOOKUP($B10,'2017 Place'!$C$2:$Y$627,Y$1,FALSE)</f>
        <v>37960</v>
      </c>
      <c r="Z10">
        <f>VLOOKUP($B10,'2017 Place'!$C$2:$Y$627,Z$1,FALSE)</f>
        <v>12769</v>
      </c>
      <c r="AA10">
        <f>VLOOKUP($B10,'2017 Place'!$C$2:$Y$627,AA$1,FALSE)</f>
        <v>24072</v>
      </c>
      <c r="AB10">
        <f>VLOOKUP($B10,'2017 Place'!$C$2:$Y$627,AB$1,FALSE)</f>
        <v>1419</v>
      </c>
      <c r="AC10">
        <f>VLOOKUP($B10,'2017 Place'!$C$2:$Y$627,AC$1,FALSE)</f>
        <v>3442</v>
      </c>
      <c r="AD10">
        <f>VLOOKUP($B10,'2017 Place'!$C$2:$Y$627,AD$1,FALSE)</f>
        <v>2516</v>
      </c>
      <c r="AE10">
        <f>VLOOKUP($B10,'2017 Place'!$C$2:$Y$627,AE$1,FALSE)</f>
        <v>2652</v>
      </c>
      <c r="AF10">
        <f>VLOOKUP($B10,'2017 Place'!$C$2:$Y$627,AF$1,FALSE)</f>
        <v>947</v>
      </c>
      <c r="AG10">
        <f>VLOOKUP($B10,'2017 Place'!$C$2:$Y$627,AG$1,FALSE)</f>
        <v>493</v>
      </c>
      <c r="AH10">
        <f>VLOOKUP($B10,'2017 Place'!$C$2:$Y$627,AH$1,FALSE)</f>
        <v>117</v>
      </c>
      <c r="AI10">
        <f>VLOOKUP($B10,'2017 Place'!$C$2:$Y$627,AI$1,FALSE)</f>
        <v>1998</v>
      </c>
      <c r="AJ10">
        <f>VLOOKUP($B10,'2017 Place'!$C$2:$Y$627,AJ$1,FALSE)</f>
        <v>4204</v>
      </c>
      <c r="AK10">
        <f>VLOOKUP($B10,'2017 Place'!$C$2:$Y$627,AK$1,FALSE)</f>
        <v>276</v>
      </c>
      <c r="AL10">
        <f>VLOOKUP($B10,'2017 Place'!$C$2:$Y$627,AL$1,FALSE)</f>
        <v>406</v>
      </c>
      <c r="AM10">
        <f>VLOOKUP($B10,'2017 Place'!$C$2:$Y$627,AM$1,FALSE)</f>
        <v>2306</v>
      </c>
      <c r="AN10">
        <f>VLOOKUP($B10,'2017 Place'!$C$2:$Y$627,AN$1,FALSE)</f>
        <v>2664</v>
      </c>
      <c r="AO10">
        <f>VLOOKUP($B10,'2017 Place'!$C$2:$Y$627,AO$1,FALSE)</f>
        <v>2721</v>
      </c>
      <c r="AP10">
        <f>VLOOKUP($B10,'2017 Place'!$C$2:$Y$627,AP$1,FALSE)</f>
        <v>496</v>
      </c>
    </row>
    <row r="11" spans="1:42" x14ac:dyDescent="0.25">
      <c r="A11">
        <v>5337270</v>
      </c>
      <c r="B11" t="str">
        <f t="shared" si="0"/>
        <v>Lake Forest Park city, Washington</v>
      </c>
      <c r="C11" t="s">
        <v>18</v>
      </c>
      <c r="D11" t="s">
        <v>19</v>
      </c>
      <c r="E11">
        <f>VLOOKUP(B11,'2000 2017 Place Conc'!$C$2:$V$627,2,FALSE)</f>
        <v>13443</v>
      </c>
      <c r="F11">
        <f>VLOOKUP($B11,'2000 2017 Place Conc'!$C$2:$V$627,F$1,FALSE)</f>
        <v>11593</v>
      </c>
      <c r="G11">
        <f>VLOOKUP($B11,'2000 2017 Place Conc'!$C$2:$V$627,G$1,FALSE)</f>
        <v>1850</v>
      </c>
      <c r="H11">
        <f>VLOOKUP($B11,'2000 2017 Place Conc'!$C$2:$V$627,H$1,FALSE)</f>
        <v>10447</v>
      </c>
      <c r="I11">
        <f>VLOOKUP($B11,'2000 2017 Place Conc'!$C$2:$V$627,I$1,FALSE)</f>
        <v>773</v>
      </c>
      <c r="J11">
        <f>VLOOKUP($B11,'2000 2017 Place Conc'!$C$2:$V$627,J$1,FALSE)</f>
        <v>32</v>
      </c>
      <c r="K11">
        <f>VLOOKUP($B11,'2000 2017 Place Conc'!$C$2:$V$627,K$1,FALSE)</f>
        <v>0</v>
      </c>
      <c r="L11">
        <f>VLOOKUP($B11,'2000 2017 Place Conc'!$C$2:$V$627,L$1,FALSE)</f>
        <v>133</v>
      </c>
      <c r="M11">
        <f>VLOOKUP($B11,'2000 2017 Place Conc'!$C$2:$V$627,M$1,FALSE)</f>
        <v>67</v>
      </c>
      <c r="N11">
        <f>VLOOKUP($B11,'2000 2017 Place Conc'!$C$2:$V$627,N$1,FALSE)</f>
        <v>52</v>
      </c>
      <c r="O11">
        <f>VLOOKUP($B11,'2000 2017 Place Conc'!$C$2:$V$627,O$1,FALSE)</f>
        <v>3</v>
      </c>
      <c r="P11">
        <f>VLOOKUP($B11,'2000 2017 Place Conc'!$C$2:$V$627,P$1,FALSE)</f>
        <v>343</v>
      </c>
      <c r="Q11">
        <f>VLOOKUP($B11,'2000 2017 Place Conc'!$C$2:$V$627,Q$1,FALSE)</f>
        <v>814</v>
      </c>
      <c r="R11">
        <f>VLOOKUP($B11,'2000 2017 Place Conc'!$C$2:$V$627,R$1,FALSE)</f>
        <v>42</v>
      </c>
      <c r="S11">
        <f>VLOOKUP($B11,'2000 2017 Place Conc'!$C$2:$V$627,S$1,FALSE)</f>
        <v>26</v>
      </c>
      <c r="T11">
        <f>VLOOKUP($B11,'2000 2017 Place Conc'!$C$2:$V$627,T$1,FALSE)</f>
        <v>118</v>
      </c>
      <c r="U11">
        <f>VLOOKUP($B11,'2000 2017 Place Conc'!$C$2:$V$627,U$1,FALSE)</f>
        <v>77</v>
      </c>
      <c r="V11">
        <f>VLOOKUP($B11,'2000 2017 Place Conc'!$C$2:$V$627,V$1,FALSE)</f>
        <v>426</v>
      </c>
      <c r="W11">
        <f>VLOOKUP($B11,'2000 2017 Place Conc'!$C$2:$V$627,W$1,FALSE)</f>
        <v>90</v>
      </c>
      <c r="X11" s="4">
        <f>VLOOKUP($B11,'2017 Place'!$C$2:$Y$627,X$1,FALSE)</f>
        <v>13247</v>
      </c>
      <c r="Y11">
        <f>VLOOKUP($B11,'2017 Place'!$C$2:$Y$627,Y$1,FALSE)</f>
        <v>11322</v>
      </c>
      <c r="Z11">
        <f>VLOOKUP($B11,'2017 Place'!$C$2:$Y$627,Z$1,FALSE)</f>
        <v>1925</v>
      </c>
      <c r="AA11">
        <f>VLOOKUP($B11,'2017 Place'!$C$2:$Y$627,AA$1,FALSE)</f>
        <v>9701</v>
      </c>
      <c r="AB11">
        <f>VLOOKUP($B11,'2017 Place'!$C$2:$Y$627,AB$1,FALSE)</f>
        <v>670</v>
      </c>
      <c r="AC11">
        <f>VLOOKUP($B11,'2017 Place'!$C$2:$Y$627,AC$1,FALSE)</f>
        <v>317</v>
      </c>
      <c r="AD11">
        <f>VLOOKUP($B11,'2017 Place'!$C$2:$Y$627,AD$1,FALSE)</f>
        <v>65</v>
      </c>
      <c r="AE11">
        <f>VLOOKUP($B11,'2017 Place'!$C$2:$Y$627,AE$1,FALSE)</f>
        <v>186</v>
      </c>
      <c r="AF11">
        <f>VLOOKUP($B11,'2017 Place'!$C$2:$Y$627,AF$1,FALSE)</f>
        <v>33</v>
      </c>
      <c r="AG11">
        <f>VLOOKUP($B11,'2017 Place'!$C$2:$Y$627,AG$1,FALSE)</f>
        <v>18</v>
      </c>
      <c r="AH11">
        <f>VLOOKUP($B11,'2017 Place'!$C$2:$Y$627,AH$1,FALSE)</f>
        <v>0</v>
      </c>
      <c r="AI11">
        <f>VLOOKUP($B11,'2017 Place'!$C$2:$Y$627,AI$1,FALSE)</f>
        <v>311</v>
      </c>
      <c r="AJ11">
        <f>VLOOKUP($B11,'2017 Place'!$C$2:$Y$627,AJ$1,FALSE)</f>
        <v>824</v>
      </c>
      <c r="AK11">
        <f>VLOOKUP($B11,'2017 Place'!$C$2:$Y$627,AK$1,FALSE)</f>
        <v>9</v>
      </c>
      <c r="AL11">
        <f>VLOOKUP($B11,'2017 Place'!$C$2:$Y$627,AL$1,FALSE)</f>
        <v>11</v>
      </c>
      <c r="AM11">
        <f>VLOOKUP($B11,'2017 Place'!$C$2:$Y$627,AM$1,FALSE)</f>
        <v>84</v>
      </c>
      <c r="AN11">
        <f>VLOOKUP($B11,'2017 Place'!$C$2:$Y$627,AN$1,FALSE)</f>
        <v>166</v>
      </c>
      <c r="AO11">
        <f>VLOOKUP($B11,'2017 Place'!$C$2:$Y$627,AO$1,FALSE)</f>
        <v>696</v>
      </c>
      <c r="AP11">
        <f>VLOOKUP($B11,'2017 Place'!$C$2:$Y$627,AP$1,FALSE)</f>
        <v>156</v>
      </c>
    </row>
    <row r="12" spans="1:42" x14ac:dyDescent="0.25">
      <c r="A12">
        <v>5372625</v>
      </c>
      <c r="B12" t="str">
        <f t="shared" si="0"/>
        <v>Tukwila city, Washington</v>
      </c>
      <c r="C12" t="s">
        <v>20</v>
      </c>
      <c r="D12" t="s">
        <v>21</v>
      </c>
      <c r="E12">
        <f>VLOOKUP(B12,'2000 2017 Place Conc'!$C$2:$V$627,2,FALSE)</f>
        <v>17204</v>
      </c>
      <c r="F12">
        <f>VLOOKUP($B12,'2000 2017 Place Conc'!$C$2:$V$627,F$1,FALSE)</f>
        <v>12449</v>
      </c>
      <c r="G12">
        <f>VLOOKUP($B12,'2000 2017 Place Conc'!$C$2:$V$627,G$1,FALSE)</f>
        <v>4755</v>
      </c>
      <c r="H12">
        <f>VLOOKUP($B12,'2000 2017 Place Conc'!$C$2:$V$627,H$1,FALSE)</f>
        <v>8027</v>
      </c>
      <c r="I12">
        <f>VLOOKUP($B12,'2000 2017 Place Conc'!$C$2:$V$627,I$1,FALSE)</f>
        <v>1185</v>
      </c>
      <c r="J12">
        <f>VLOOKUP($B12,'2000 2017 Place Conc'!$C$2:$V$627,J$1,FALSE)</f>
        <v>420</v>
      </c>
      <c r="K12">
        <f>VLOOKUP($B12,'2000 2017 Place Conc'!$C$2:$V$627,K$1,FALSE)</f>
        <v>400</v>
      </c>
      <c r="L12">
        <f>VLOOKUP($B12,'2000 2017 Place Conc'!$C$2:$V$627,L$1,FALSE)</f>
        <v>1881</v>
      </c>
      <c r="M12">
        <f>VLOOKUP($B12,'2000 2017 Place Conc'!$C$2:$V$627,M$1,FALSE)</f>
        <v>429</v>
      </c>
      <c r="N12">
        <f>VLOOKUP($B12,'2000 2017 Place Conc'!$C$2:$V$627,N$1,FALSE)</f>
        <v>144</v>
      </c>
      <c r="O12">
        <f>VLOOKUP($B12,'2000 2017 Place Conc'!$C$2:$V$627,O$1,FALSE)</f>
        <v>52</v>
      </c>
      <c r="P12">
        <f>VLOOKUP($B12,'2000 2017 Place Conc'!$C$2:$V$627,P$1,FALSE)</f>
        <v>507</v>
      </c>
      <c r="Q12">
        <f>VLOOKUP($B12,'2000 2017 Place Conc'!$C$2:$V$627,Q$1,FALSE)</f>
        <v>1281</v>
      </c>
      <c r="R12">
        <f>VLOOKUP($B12,'2000 2017 Place Conc'!$C$2:$V$627,R$1,FALSE)</f>
        <v>131</v>
      </c>
      <c r="S12">
        <f>VLOOKUP($B12,'2000 2017 Place Conc'!$C$2:$V$627,S$1,FALSE)</f>
        <v>201</v>
      </c>
      <c r="T12">
        <f>VLOOKUP($B12,'2000 2017 Place Conc'!$C$2:$V$627,T$1,FALSE)</f>
        <v>436</v>
      </c>
      <c r="U12">
        <f>VLOOKUP($B12,'2000 2017 Place Conc'!$C$2:$V$627,U$1,FALSE)</f>
        <v>912</v>
      </c>
      <c r="V12">
        <f>VLOOKUP($B12,'2000 2017 Place Conc'!$C$2:$V$627,V$1,FALSE)</f>
        <v>903</v>
      </c>
      <c r="W12">
        <f>VLOOKUP($B12,'2000 2017 Place Conc'!$C$2:$V$627,W$1,FALSE)</f>
        <v>295</v>
      </c>
      <c r="X12" s="4">
        <f>VLOOKUP($B12,'2017 Place'!$C$2:$Y$627,X$1,FALSE)</f>
        <v>20025</v>
      </c>
      <c r="Y12">
        <f>VLOOKUP($B12,'2017 Place'!$C$2:$Y$627,Y$1,FALSE)</f>
        <v>11416</v>
      </c>
      <c r="Z12">
        <f>VLOOKUP($B12,'2017 Place'!$C$2:$Y$627,Z$1,FALSE)</f>
        <v>8609</v>
      </c>
      <c r="AA12">
        <f>VLOOKUP($B12,'2017 Place'!$C$2:$Y$627,AA$1,FALSE)</f>
        <v>5323</v>
      </c>
      <c r="AB12">
        <f>VLOOKUP($B12,'2017 Place'!$C$2:$Y$627,AB$1,FALSE)</f>
        <v>1257</v>
      </c>
      <c r="AC12">
        <f>VLOOKUP($B12,'2017 Place'!$C$2:$Y$627,AC$1,FALSE)</f>
        <v>443</v>
      </c>
      <c r="AD12">
        <f>VLOOKUP($B12,'2017 Place'!$C$2:$Y$627,AD$1,FALSE)</f>
        <v>419</v>
      </c>
      <c r="AE12">
        <f>VLOOKUP($B12,'2017 Place'!$C$2:$Y$627,AE$1,FALSE)</f>
        <v>1806</v>
      </c>
      <c r="AF12">
        <f>VLOOKUP($B12,'2017 Place'!$C$2:$Y$627,AF$1,FALSE)</f>
        <v>1625</v>
      </c>
      <c r="AG12">
        <f>VLOOKUP($B12,'2017 Place'!$C$2:$Y$627,AG$1,FALSE)</f>
        <v>158</v>
      </c>
      <c r="AH12">
        <f>VLOOKUP($B12,'2017 Place'!$C$2:$Y$627,AH$1,FALSE)</f>
        <v>56</v>
      </c>
      <c r="AI12">
        <f>VLOOKUP($B12,'2017 Place'!$C$2:$Y$627,AI$1,FALSE)</f>
        <v>955</v>
      </c>
      <c r="AJ12">
        <f>VLOOKUP($B12,'2017 Place'!$C$2:$Y$627,AJ$1,FALSE)</f>
        <v>3791</v>
      </c>
      <c r="AK12">
        <f>VLOOKUP($B12,'2017 Place'!$C$2:$Y$627,AK$1,FALSE)</f>
        <v>276</v>
      </c>
      <c r="AL12">
        <f>VLOOKUP($B12,'2017 Place'!$C$2:$Y$627,AL$1,FALSE)</f>
        <v>151</v>
      </c>
      <c r="AM12">
        <f>VLOOKUP($B12,'2017 Place'!$C$2:$Y$627,AM$1,FALSE)</f>
        <v>595</v>
      </c>
      <c r="AN12">
        <f>VLOOKUP($B12,'2017 Place'!$C$2:$Y$627,AN$1,FALSE)</f>
        <v>980</v>
      </c>
      <c r="AO12">
        <f>VLOOKUP($B12,'2017 Place'!$C$2:$Y$627,AO$1,FALSE)</f>
        <v>1860</v>
      </c>
      <c r="AP12">
        <f>VLOOKUP($B12,'2017 Place'!$C$2:$Y$627,AP$1,FALSE)</f>
        <v>330</v>
      </c>
    </row>
    <row r="13" spans="1:42" x14ac:dyDescent="0.25">
      <c r="A13">
        <v>5303180</v>
      </c>
      <c r="B13" t="str">
        <f t="shared" si="0"/>
        <v>Auburn city, Washington</v>
      </c>
      <c r="C13" t="s">
        <v>22</v>
      </c>
      <c r="D13" t="s">
        <v>23</v>
      </c>
      <c r="E13">
        <f>VLOOKUP(B13,'2000 2017 Place Conc'!$C$2:$V$627,2,FALSE)</f>
        <v>50948</v>
      </c>
      <c r="F13">
        <f>VLOOKUP($B13,'2000 2017 Place Conc'!$C$2:$V$627,F$1,FALSE)</f>
        <v>44856</v>
      </c>
      <c r="G13">
        <f>VLOOKUP($B13,'2000 2017 Place Conc'!$C$2:$V$627,G$1,FALSE)</f>
        <v>6092</v>
      </c>
      <c r="H13">
        <f>VLOOKUP($B13,'2000 2017 Place Conc'!$C$2:$V$627,H$1,FALSE)</f>
        <v>38416</v>
      </c>
      <c r="I13">
        <f>VLOOKUP($B13,'2000 2017 Place Conc'!$C$2:$V$627,I$1,FALSE)</f>
        <v>2564</v>
      </c>
      <c r="J13">
        <f>VLOOKUP($B13,'2000 2017 Place Conc'!$C$2:$V$627,J$1,FALSE)</f>
        <v>970</v>
      </c>
      <c r="K13">
        <f>VLOOKUP($B13,'2000 2017 Place Conc'!$C$2:$V$627,K$1,FALSE)</f>
        <v>333</v>
      </c>
      <c r="L13">
        <f>VLOOKUP($B13,'2000 2017 Place Conc'!$C$2:$V$627,L$1,FALSE)</f>
        <v>1031</v>
      </c>
      <c r="M13">
        <f>VLOOKUP($B13,'2000 2017 Place Conc'!$C$2:$V$627,M$1,FALSE)</f>
        <v>192</v>
      </c>
      <c r="N13">
        <f>VLOOKUP($B13,'2000 2017 Place Conc'!$C$2:$V$627,N$1,FALSE)</f>
        <v>914</v>
      </c>
      <c r="O13">
        <f>VLOOKUP($B13,'2000 2017 Place Conc'!$C$2:$V$627,O$1,FALSE)</f>
        <v>32</v>
      </c>
      <c r="P13">
        <f>VLOOKUP($B13,'2000 2017 Place Conc'!$C$2:$V$627,P$1,FALSE)</f>
        <v>708</v>
      </c>
      <c r="Q13">
        <f>VLOOKUP($B13,'2000 2017 Place Conc'!$C$2:$V$627,Q$1,FALSE)</f>
        <v>1376</v>
      </c>
      <c r="R13">
        <f>VLOOKUP($B13,'2000 2017 Place Conc'!$C$2:$V$627,R$1,FALSE)</f>
        <v>41</v>
      </c>
      <c r="S13">
        <f>VLOOKUP($B13,'2000 2017 Place Conc'!$C$2:$V$627,S$1,FALSE)</f>
        <v>0</v>
      </c>
      <c r="T13">
        <f>VLOOKUP($B13,'2000 2017 Place Conc'!$C$2:$V$627,T$1,FALSE)</f>
        <v>784</v>
      </c>
      <c r="U13">
        <f>VLOOKUP($B13,'2000 2017 Place Conc'!$C$2:$V$627,U$1,FALSE)</f>
        <v>971</v>
      </c>
      <c r="V13">
        <f>VLOOKUP($B13,'2000 2017 Place Conc'!$C$2:$V$627,V$1,FALSE)</f>
        <v>1992</v>
      </c>
      <c r="W13">
        <f>VLOOKUP($B13,'2000 2017 Place Conc'!$C$2:$V$627,W$1,FALSE)</f>
        <v>624</v>
      </c>
      <c r="X13" s="4">
        <f>VLOOKUP($B13,'2017 Place'!$C$2:$Y$627,X$1,FALSE)</f>
        <v>77440</v>
      </c>
      <c r="Y13">
        <f>VLOOKUP($B13,'2017 Place'!$C$2:$Y$627,Y$1,FALSE)</f>
        <v>60897</v>
      </c>
      <c r="Z13">
        <f>VLOOKUP($B13,'2017 Place'!$C$2:$Y$627,Z$1,FALSE)</f>
        <v>16543</v>
      </c>
      <c r="AA13">
        <f>VLOOKUP($B13,'2017 Place'!$C$2:$Y$627,AA$1,FALSE)</f>
        <v>41253</v>
      </c>
      <c r="AB13">
        <f>VLOOKUP($B13,'2017 Place'!$C$2:$Y$627,AB$1,FALSE)</f>
        <v>4820</v>
      </c>
      <c r="AC13">
        <f>VLOOKUP($B13,'2017 Place'!$C$2:$Y$627,AC$1,FALSE)</f>
        <v>3981</v>
      </c>
      <c r="AD13">
        <f>VLOOKUP($B13,'2017 Place'!$C$2:$Y$627,AD$1,FALSE)</f>
        <v>2774</v>
      </c>
      <c r="AE13">
        <f>VLOOKUP($B13,'2017 Place'!$C$2:$Y$627,AE$1,FALSE)</f>
        <v>3258</v>
      </c>
      <c r="AF13">
        <f>VLOOKUP($B13,'2017 Place'!$C$2:$Y$627,AF$1,FALSE)</f>
        <v>474</v>
      </c>
      <c r="AG13">
        <f>VLOOKUP($B13,'2017 Place'!$C$2:$Y$627,AG$1,FALSE)</f>
        <v>1628</v>
      </c>
      <c r="AH13">
        <f>VLOOKUP($B13,'2017 Place'!$C$2:$Y$627,AH$1,FALSE)</f>
        <v>73</v>
      </c>
      <c r="AI13">
        <f>VLOOKUP($B13,'2017 Place'!$C$2:$Y$627,AI$1,FALSE)</f>
        <v>2081</v>
      </c>
      <c r="AJ13">
        <f>VLOOKUP($B13,'2017 Place'!$C$2:$Y$627,AJ$1,FALSE)</f>
        <v>5551</v>
      </c>
      <c r="AK13">
        <f>VLOOKUP($B13,'2017 Place'!$C$2:$Y$627,AK$1,FALSE)</f>
        <v>862</v>
      </c>
      <c r="AL13">
        <f>VLOOKUP($B13,'2017 Place'!$C$2:$Y$627,AL$1,FALSE)</f>
        <v>1130</v>
      </c>
      <c r="AM13">
        <f>VLOOKUP($B13,'2017 Place'!$C$2:$Y$627,AM$1,FALSE)</f>
        <v>1918</v>
      </c>
      <c r="AN13">
        <f>VLOOKUP($B13,'2017 Place'!$C$2:$Y$627,AN$1,FALSE)</f>
        <v>1259</v>
      </c>
      <c r="AO13">
        <f>VLOOKUP($B13,'2017 Place'!$C$2:$Y$627,AO$1,FALSE)</f>
        <v>5916</v>
      </c>
      <c r="AP13">
        <f>VLOOKUP($B13,'2017 Place'!$C$2:$Y$627,AP$1,FALSE)</f>
        <v>462</v>
      </c>
    </row>
    <row r="14" spans="1:42" x14ac:dyDescent="0.25">
      <c r="A14">
        <v>5305210</v>
      </c>
      <c r="B14" t="str">
        <f t="shared" si="0"/>
        <v>Bellevue city, Washington</v>
      </c>
      <c r="C14" t="s">
        <v>24</v>
      </c>
      <c r="D14" t="s">
        <v>25</v>
      </c>
      <c r="E14">
        <f>VLOOKUP(B14,'2000 2017 Place Conc'!$C$2:$V$627,2,FALSE)</f>
        <v>115172</v>
      </c>
      <c r="F14">
        <f>VLOOKUP($B14,'2000 2017 Place Conc'!$C$2:$V$627,F$1,FALSE)</f>
        <v>86055</v>
      </c>
      <c r="G14">
        <f>VLOOKUP($B14,'2000 2017 Place Conc'!$C$2:$V$627,G$1,FALSE)</f>
        <v>29117</v>
      </c>
      <c r="H14">
        <f>VLOOKUP($B14,'2000 2017 Place Conc'!$C$2:$V$627,H$1,FALSE)</f>
        <v>73429</v>
      </c>
      <c r="I14">
        <f>VLOOKUP($B14,'2000 2017 Place Conc'!$C$2:$V$627,I$1,FALSE)</f>
        <v>10045</v>
      </c>
      <c r="J14">
        <f>VLOOKUP($B14,'2000 2017 Place Conc'!$C$2:$V$627,J$1,FALSE)</f>
        <v>1237</v>
      </c>
      <c r="K14">
        <f>VLOOKUP($B14,'2000 2017 Place Conc'!$C$2:$V$627,K$1,FALSE)</f>
        <v>1312</v>
      </c>
      <c r="L14">
        <f>VLOOKUP($B14,'2000 2017 Place Conc'!$C$2:$V$627,L$1,FALSE)</f>
        <v>1593</v>
      </c>
      <c r="M14">
        <f>VLOOKUP($B14,'2000 2017 Place Conc'!$C$2:$V$627,M$1,FALSE)</f>
        <v>354</v>
      </c>
      <c r="N14">
        <f>VLOOKUP($B14,'2000 2017 Place Conc'!$C$2:$V$627,N$1,FALSE)</f>
        <v>633</v>
      </c>
      <c r="O14">
        <f>VLOOKUP($B14,'2000 2017 Place Conc'!$C$2:$V$627,O$1,FALSE)</f>
        <v>43</v>
      </c>
      <c r="P14">
        <f>VLOOKUP($B14,'2000 2017 Place Conc'!$C$2:$V$627,P$1,FALSE)</f>
        <v>5435</v>
      </c>
      <c r="Q14">
        <f>VLOOKUP($B14,'2000 2017 Place Conc'!$C$2:$V$627,Q$1,FALSE)</f>
        <v>13912</v>
      </c>
      <c r="R14">
        <f>VLOOKUP($B14,'2000 2017 Place Conc'!$C$2:$V$627,R$1,FALSE)</f>
        <v>98</v>
      </c>
      <c r="S14">
        <f>VLOOKUP($B14,'2000 2017 Place Conc'!$C$2:$V$627,S$1,FALSE)</f>
        <v>160</v>
      </c>
      <c r="T14">
        <f>VLOOKUP($B14,'2000 2017 Place Conc'!$C$2:$V$627,T$1,FALSE)</f>
        <v>958</v>
      </c>
      <c r="U14">
        <f>VLOOKUP($B14,'2000 2017 Place Conc'!$C$2:$V$627,U$1,FALSE)</f>
        <v>2129</v>
      </c>
      <c r="V14">
        <f>VLOOKUP($B14,'2000 2017 Place Conc'!$C$2:$V$627,V$1,FALSE)</f>
        <v>2979</v>
      </c>
      <c r="W14">
        <f>VLOOKUP($B14,'2000 2017 Place Conc'!$C$2:$V$627,W$1,FALSE)</f>
        <v>1299</v>
      </c>
      <c r="X14" s="4">
        <f>VLOOKUP($B14,'2017 Place'!$C$2:$Y$627,X$1,FALSE)</f>
        <v>139014</v>
      </c>
      <c r="Y14">
        <f>VLOOKUP($B14,'2017 Place'!$C$2:$Y$627,Y$1,FALSE)</f>
        <v>83877</v>
      </c>
      <c r="Z14">
        <f>VLOOKUP($B14,'2017 Place'!$C$2:$Y$627,Z$1,FALSE)</f>
        <v>55137</v>
      </c>
      <c r="AA14">
        <f>VLOOKUP($B14,'2017 Place'!$C$2:$Y$627,AA$1,FALSE)</f>
        <v>59385</v>
      </c>
      <c r="AB14">
        <f>VLOOKUP($B14,'2017 Place'!$C$2:$Y$627,AB$1,FALSE)</f>
        <v>11715</v>
      </c>
      <c r="AC14">
        <f>VLOOKUP($B14,'2017 Place'!$C$2:$Y$627,AC$1,FALSE)</f>
        <v>3300</v>
      </c>
      <c r="AD14">
        <f>VLOOKUP($B14,'2017 Place'!$C$2:$Y$627,AD$1,FALSE)</f>
        <v>3333</v>
      </c>
      <c r="AE14">
        <f>VLOOKUP($B14,'2017 Place'!$C$2:$Y$627,AE$1,FALSE)</f>
        <v>2214</v>
      </c>
      <c r="AF14">
        <f>VLOOKUP($B14,'2017 Place'!$C$2:$Y$627,AF$1,FALSE)</f>
        <v>1675</v>
      </c>
      <c r="AG14">
        <f>VLOOKUP($B14,'2017 Place'!$C$2:$Y$627,AG$1,FALSE)</f>
        <v>345</v>
      </c>
      <c r="AH14">
        <f>VLOOKUP($B14,'2017 Place'!$C$2:$Y$627,AH$1,FALSE)</f>
        <v>25</v>
      </c>
      <c r="AI14">
        <f>VLOOKUP($B14,'2017 Place'!$C$2:$Y$627,AI$1,FALSE)</f>
        <v>11804</v>
      </c>
      <c r="AJ14">
        <f>VLOOKUP($B14,'2017 Place'!$C$2:$Y$627,AJ$1,FALSE)</f>
        <v>35252</v>
      </c>
      <c r="AK14">
        <f>VLOOKUP($B14,'2017 Place'!$C$2:$Y$627,AK$1,FALSE)</f>
        <v>281</v>
      </c>
      <c r="AL14">
        <f>VLOOKUP($B14,'2017 Place'!$C$2:$Y$627,AL$1,FALSE)</f>
        <v>133</v>
      </c>
      <c r="AM14">
        <f>VLOOKUP($B14,'2017 Place'!$C$2:$Y$627,AM$1,FALSE)</f>
        <v>999</v>
      </c>
      <c r="AN14">
        <f>VLOOKUP($B14,'2017 Place'!$C$2:$Y$627,AN$1,FALSE)</f>
        <v>1857</v>
      </c>
      <c r="AO14">
        <f>VLOOKUP($B14,'2017 Place'!$C$2:$Y$627,AO$1,FALSE)</f>
        <v>5549</v>
      </c>
      <c r="AP14">
        <f>VLOOKUP($B14,'2017 Place'!$C$2:$Y$627,AP$1,FALSE)</f>
        <v>1147</v>
      </c>
    </row>
    <row r="15" spans="1:42" x14ac:dyDescent="0.25">
      <c r="A15">
        <v>5315290</v>
      </c>
      <c r="B15" t="str">
        <f t="shared" si="0"/>
        <v>Covington city, Washington</v>
      </c>
      <c r="C15" t="s">
        <v>26</v>
      </c>
      <c r="D15" t="s">
        <v>27</v>
      </c>
      <c r="E15">
        <f>VLOOKUP(B15,'2000 2017 Place Conc'!$C$2:$V$627,2,FALSE)</f>
        <v>13768</v>
      </c>
      <c r="F15">
        <f>VLOOKUP($B15,'2000 2017 Place Conc'!$C$2:$V$627,F$1,FALSE)</f>
        <v>12779</v>
      </c>
      <c r="G15">
        <f>VLOOKUP($B15,'2000 2017 Place Conc'!$C$2:$V$627,G$1,FALSE)</f>
        <v>989</v>
      </c>
      <c r="H15">
        <f>VLOOKUP($B15,'2000 2017 Place Conc'!$C$2:$V$627,H$1,FALSE)</f>
        <v>11286</v>
      </c>
      <c r="I15">
        <f>VLOOKUP($B15,'2000 2017 Place Conc'!$C$2:$V$627,I$1,FALSE)</f>
        <v>601</v>
      </c>
      <c r="J15">
        <f>VLOOKUP($B15,'2000 2017 Place Conc'!$C$2:$V$627,J$1,FALSE)</f>
        <v>224</v>
      </c>
      <c r="K15">
        <f>VLOOKUP($B15,'2000 2017 Place Conc'!$C$2:$V$627,K$1,FALSE)</f>
        <v>9</v>
      </c>
      <c r="L15">
        <f>VLOOKUP($B15,'2000 2017 Place Conc'!$C$2:$V$627,L$1,FALSE)</f>
        <v>297</v>
      </c>
      <c r="M15">
        <f>VLOOKUP($B15,'2000 2017 Place Conc'!$C$2:$V$627,M$1,FALSE)</f>
        <v>7</v>
      </c>
      <c r="N15">
        <f>VLOOKUP($B15,'2000 2017 Place Conc'!$C$2:$V$627,N$1,FALSE)</f>
        <v>41</v>
      </c>
      <c r="O15">
        <f>VLOOKUP($B15,'2000 2017 Place Conc'!$C$2:$V$627,O$1,FALSE)</f>
        <v>8</v>
      </c>
      <c r="P15">
        <f>VLOOKUP($B15,'2000 2017 Place Conc'!$C$2:$V$627,P$1,FALSE)</f>
        <v>137</v>
      </c>
      <c r="Q15">
        <f>VLOOKUP($B15,'2000 2017 Place Conc'!$C$2:$V$627,Q$1,FALSE)</f>
        <v>221</v>
      </c>
      <c r="R15">
        <f>VLOOKUP($B15,'2000 2017 Place Conc'!$C$2:$V$627,R$1,FALSE)</f>
        <v>30</v>
      </c>
      <c r="S15">
        <f>VLOOKUP($B15,'2000 2017 Place Conc'!$C$2:$V$627,S$1,FALSE)</f>
        <v>19</v>
      </c>
      <c r="T15">
        <f>VLOOKUP($B15,'2000 2017 Place Conc'!$C$2:$V$627,T$1,FALSE)</f>
        <v>250</v>
      </c>
      <c r="U15">
        <f>VLOOKUP($B15,'2000 2017 Place Conc'!$C$2:$V$627,U$1,FALSE)</f>
        <v>77</v>
      </c>
      <c r="V15">
        <f>VLOOKUP($B15,'2000 2017 Place Conc'!$C$2:$V$627,V$1,FALSE)</f>
        <v>514</v>
      </c>
      <c r="W15">
        <f>VLOOKUP($B15,'2000 2017 Place Conc'!$C$2:$V$627,W$1,FALSE)</f>
        <v>47</v>
      </c>
      <c r="X15" s="4">
        <f>VLOOKUP($B15,'2017 Place'!$C$2:$Y$627,X$1,FALSE)</f>
        <v>19918</v>
      </c>
      <c r="Y15">
        <f>VLOOKUP($B15,'2017 Place'!$C$2:$Y$627,Y$1,FALSE)</f>
        <v>17129</v>
      </c>
      <c r="Z15">
        <f>VLOOKUP($B15,'2017 Place'!$C$2:$Y$627,Z$1,FALSE)</f>
        <v>2789</v>
      </c>
      <c r="AA15">
        <f>VLOOKUP($B15,'2017 Place'!$C$2:$Y$627,AA$1,FALSE)</f>
        <v>13446</v>
      </c>
      <c r="AB15">
        <f>VLOOKUP($B15,'2017 Place'!$C$2:$Y$627,AB$1,FALSE)</f>
        <v>644</v>
      </c>
      <c r="AC15">
        <f>VLOOKUP($B15,'2017 Place'!$C$2:$Y$627,AC$1,FALSE)</f>
        <v>520</v>
      </c>
      <c r="AD15">
        <f>VLOOKUP($B15,'2017 Place'!$C$2:$Y$627,AD$1,FALSE)</f>
        <v>193</v>
      </c>
      <c r="AE15">
        <f>VLOOKUP($B15,'2017 Place'!$C$2:$Y$627,AE$1,FALSE)</f>
        <v>907</v>
      </c>
      <c r="AF15">
        <f>VLOOKUP($B15,'2017 Place'!$C$2:$Y$627,AF$1,FALSE)</f>
        <v>149</v>
      </c>
      <c r="AG15">
        <f>VLOOKUP($B15,'2017 Place'!$C$2:$Y$627,AG$1,FALSE)</f>
        <v>55</v>
      </c>
      <c r="AH15">
        <f>VLOOKUP($B15,'2017 Place'!$C$2:$Y$627,AH$1,FALSE)</f>
        <v>0</v>
      </c>
      <c r="AI15">
        <f>VLOOKUP($B15,'2017 Place'!$C$2:$Y$627,AI$1,FALSE)</f>
        <v>680</v>
      </c>
      <c r="AJ15">
        <f>VLOOKUP($B15,'2017 Place'!$C$2:$Y$627,AJ$1,FALSE)</f>
        <v>1474</v>
      </c>
      <c r="AK15">
        <f>VLOOKUP($B15,'2017 Place'!$C$2:$Y$627,AK$1,FALSE)</f>
        <v>29</v>
      </c>
      <c r="AL15">
        <f>VLOOKUP($B15,'2017 Place'!$C$2:$Y$627,AL$1,FALSE)</f>
        <v>36</v>
      </c>
      <c r="AM15">
        <f>VLOOKUP($B15,'2017 Place'!$C$2:$Y$627,AM$1,FALSE)</f>
        <v>282</v>
      </c>
      <c r="AN15">
        <f>VLOOKUP($B15,'2017 Place'!$C$2:$Y$627,AN$1,FALSE)</f>
        <v>224</v>
      </c>
      <c r="AO15">
        <f>VLOOKUP($B15,'2017 Place'!$C$2:$Y$627,AO$1,FALSE)</f>
        <v>1210</v>
      </c>
      <c r="AP15">
        <f>VLOOKUP($B15,'2017 Place'!$C$2:$Y$627,AP$1,FALSE)</f>
        <v>69</v>
      </c>
    </row>
    <row r="16" spans="1:42" x14ac:dyDescent="0.25">
      <c r="A16">
        <v>5319035</v>
      </c>
      <c r="B16" t="str">
        <f t="shared" si="0"/>
        <v>Duvall city, Washington</v>
      </c>
      <c r="C16" t="s">
        <v>28</v>
      </c>
      <c r="D16" t="s">
        <v>29</v>
      </c>
      <c r="E16">
        <f>VLOOKUP(B16,'2000 2017 Place Conc'!$C$2:$V$627,2,FALSE)</f>
        <v>4647</v>
      </c>
      <c r="F16">
        <f>VLOOKUP($B16,'2000 2017 Place Conc'!$C$2:$V$627,F$1,FALSE)</f>
        <v>4472</v>
      </c>
      <c r="G16">
        <f>VLOOKUP($B16,'2000 2017 Place Conc'!$C$2:$V$627,G$1,FALSE)</f>
        <v>175</v>
      </c>
      <c r="H16">
        <f>VLOOKUP($B16,'2000 2017 Place Conc'!$C$2:$V$627,H$1,FALSE)</f>
        <v>4053</v>
      </c>
      <c r="I16">
        <f>VLOOKUP($B16,'2000 2017 Place Conc'!$C$2:$V$627,I$1,FALSE)</f>
        <v>87</v>
      </c>
      <c r="J16">
        <f>VLOOKUP($B16,'2000 2017 Place Conc'!$C$2:$V$627,J$1,FALSE)</f>
        <v>59</v>
      </c>
      <c r="K16">
        <f>VLOOKUP($B16,'2000 2017 Place Conc'!$C$2:$V$627,K$1,FALSE)</f>
        <v>8</v>
      </c>
      <c r="L16">
        <f>VLOOKUP($B16,'2000 2017 Place Conc'!$C$2:$V$627,L$1,FALSE)</f>
        <v>138</v>
      </c>
      <c r="M16">
        <f>VLOOKUP($B16,'2000 2017 Place Conc'!$C$2:$V$627,M$1,FALSE)</f>
        <v>0</v>
      </c>
      <c r="N16">
        <f>VLOOKUP($B16,'2000 2017 Place Conc'!$C$2:$V$627,N$1,FALSE)</f>
        <v>19</v>
      </c>
      <c r="O16">
        <f>VLOOKUP($B16,'2000 2017 Place Conc'!$C$2:$V$627,O$1,FALSE)</f>
        <v>0</v>
      </c>
      <c r="P16">
        <f>VLOOKUP($B16,'2000 2017 Place Conc'!$C$2:$V$627,P$1,FALSE)</f>
        <v>8</v>
      </c>
      <c r="Q16">
        <f>VLOOKUP($B16,'2000 2017 Place Conc'!$C$2:$V$627,Q$1,FALSE)</f>
        <v>0</v>
      </c>
      <c r="R16">
        <f>VLOOKUP($B16,'2000 2017 Place Conc'!$C$2:$V$627,R$1,FALSE)</f>
        <v>0</v>
      </c>
      <c r="S16">
        <f>VLOOKUP($B16,'2000 2017 Place Conc'!$C$2:$V$627,S$1,FALSE)</f>
        <v>29</v>
      </c>
      <c r="T16">
        <f>VLOOKUP($B16,'2000 2017 Place Conc'!$C$2:$V$627,T$1,FALSE)</f>
        <v>18</v>
      </c>
      <c r="U16">
        <f>VLOOKUP($B16,'2000 2017 Place Conc'!$C$2:$V$627,U$1,FALSE)</f>
        <v>23</v>
      </c>
      <c r="V16">
        <f>VLOOKUP($B16,'2000 2017 Place Conc'!$C$2:$V$627,V$1,FALSE)</f>
        <v>177</v>
      </c>
      <c r="W16">
        <f>VLOOKUP($B16,'2000 2017 Place Conc'!$C$2:$V$627,W$1,FALSE)</f>
        <v>28</v>
      </c>
      <c r="X16" s="4">
        <f>VLOOKUP($B16,'2017 Place'!$C$2:$Y$627,X$1,FALSE)</f>
        <v>7683</v>
      </c>
      <c r="Y16">
        <f>VLOOKUP($B16,'2017 Place'!$C$2:$Y$627,Y$1,FALSE)</f>
        <v>7132</v>
      </c>
      <c r="Z16">
        <f>VLOOKUP($B16,'2017 Place'!$C$2:$Y$627,Z$1,FALSE)</f>
        <v>551</v>
      </c>
      <c r="AA16">
        <f>VLOOKUP($B16,'2017 Place'!$C$2:$Y$627,AA$1,FALSE)</f>
        <v>6245</v>
      </c>
      <c r="AB16">
        <f>VLOOKUP($B16,'2017 Place'!$C$2:$Y$627,AB$1,FALSE)</f>
        <v>249</v>
      </c>
      <c r="AC16">
        <f>VLOOKUP($B16,'2017 Place'!$C$2:$Y$627,AC$1,FALSE)</f>
        <v>289</v>
      </c>
      <c r="AD16">
        <f>VLOOKUP($B16,'2017 Place'!$C$2:$Y$627,AD$1,FALSE)</f>
        <v>169</v>
      </c>
      <c r="AE16">
        <f>VLOOKUP($B16,'2017 Place'!$C$2:$Y$627,AE$1,FALSE)</f>
        <v>221</v>
      </c>
      <c r="AF16">
        <f>VLOOKUP($B16,'2017 Place'!$C$2:$Y$627,AF$1,FALSE)</f>
        <v>1</v>
      </c>
      <c r="AG16">
        <f>VLOOKUP($B16,'2017 Place'!$C$2:$Y$627,AG$1,FALSE)</f>
        <v>0</v>
      </c>
      <c r="AH16">
        <f>VLOOKUP($B16,'2017 Place'!$C$2:$Y$627,AH$1,FALSE)</f>
        <v>0</v>
      </c>
      <c r="AI16">
        <f>VLOOKUP($B16,'2017 Place'!$C$2:$Y$627,AI$1,FALSE)</f>
        <v>82</v>
      </c>
      <c r="AJ16">
        <f>VLOOKUP($B16,'2017 Place'!$C$2:$Y$627,AJ$1,FALSE)</f>
        <v>116</v>
      </c>
      <c r="AK16">
        <f>VLOOKUP($B16,'2017 Place'!$C$2:$Y$627,AK$1,FALSE)</f>
        <v>0</v>
      </c>
      <c r="AL16">
        <f>VLOOKUP($B16,'2017 Place'!$C$2:$Y$627,AL$1,FALSE)</f>
        <v>0</v>
      </c>
      <c r="AM16">
        <f>VLOOKUP($B16,'2017 Place'!$C$2:$Y$627,AM$1,FALSE)</f>
        <v>43</v>
      </c>
      <c r="AN16">
        <f>VLOOKUP($B16,'2017 Place'!$C$2:$Y$627,AN$1,FALSE)</f>
        <v>16</v>
      </c>
      <c r="AO16">
        <f>VLOOKUP($B16,'2017 Place'!$C$2:$Y$627,AO$1,FALSE)</f>
        <v>252</v>
      </c>
      <c r="AP16">
        <f>VLOOKUP($B16,'2017 Place'!$C$2:$Y$627,AP$1,FALSE)</f>
        <v>0</v>
      </c>
    </row>
    <row r="17" spans="1:42" x14ac:dyDescent="0.25">
      <c r="A17">
        <v>5322045</v>
      </c>
      <c r="B17" t="str">
        <f t="shared" si="0"/>
        <v>Enumclaw city, Washington</v>
      </c>
      <c r="C17" t="s">
        <v>30</v>
      </c>
      <c r="D17" t="s">
        <v>31</v>
      </c>
      <c r="E17">
        <f>VLOOKUP(B17,'2000 2017 Place Conc'!$C$2:$V$627,2,FALSE)</f>
        <v>11183</v>
      </c>
      <c r="F17">
        <f>VLOOKUP($B17,'2000 2017 Place Conc'!$C$2:$V$627,F$1,FALSE)</f>
        <v>10694</v>
      </c>
      <c r="G17">
        <f>VLOOKUP($B17,'2000 2017 Place Conc'!$C$2:$V$627,G$1,FALSE)</f>
        <v>489</v>
      </c>
      <c r="H17">
        <f>VLOOKUP($B17,'2000 2017 Place Conc'!$C$2:$V$627,H$1,FALSE)</f>
        <v>9860</v>
      </c>
      <c r="I17">
        <f>VLOOKUP($B17,'2000 2017 Place Conc'!$C$2:$V$627,I$1,FALSE)</f>
        <v>314</v>
      </c>
      <c r="J17">
        <f>VLOOKUP($B17,'2000 2017 Place Conc'!$C$2:$V$627,J$1,FALSE)</f>
        <v>242</v>
      </c>
      <c r="K17">
        <f>VLOOKUP($B17,'2000 2017 Place Conc'!$C$2:$V$627,K$1,FALSE)</f>
        <v>13</v>
      </c>
      <c r="L17">
        <f>VLOOKUP($B17,'2000 2017 Place Conc'!$C$2:$V$627,L$1,FALSE)</f>
        <v>85</v>
      </c>
      <c r="M17">
        <f>VLOOKUP($B17,'2000 2017 Place Conc'!$C$2:$V$627,M$1,FALSE)</f>
        <v>0</v>
      </c>
      <c r="N17">
        <f>VLOOKUP($B17,'2000 2017 Place Conc'!$C$2:$V$627,N$1,FALSE)</f>
        <v>80</v>
      </c>
      <c r="O17">
        <f>VLOOKUP($B17,'2000 2017 Place Conc'!$C$2:$V$627,O$1,FALSE)</f>
        <v>0</v>
      </c>
      <c r="P17">
        <f>VLOOKUP($B17,'2000 2017 Place Conc'!$C$2:$V$627,P$1,FALSE)</f>
        <v>38</v>
      </c>
      <c r="Q17">
        <f>VLOOKUP($B17,'2000 2017 Place Conc'!$C$2:$V$627,Q$1,FALSE)</f>
        <v>8</v>
      </c>
      <c r="R17">
        <f>VLOOKUP($B17,'2000 2017 Place Conc'!$C$2:$V$627,R$1,FALSE)</f>
        <v>0</v>
      </c>
      <c r="S17">
        <f>VLOOKUP($B17,'2000 2017 Place Conc'!$C$2:$V$627,S$1,FALSE)</f>
        <v>0</v>
      </c>
      <c r="T17">
        <f>VLOOKUP($B17,'2000 2017 Place Conc'!$C$2:$V$627,T$1,FALSE)</f>
        <v>52</v>
      </c>
      <c r="U17">
        <f>VLOOKUP($B17,'2000 2017 Place Conc'!$C$2:$V$627,U$1,FALSE)</f>
        <v>117</v>
      </c>
      <c r="V17">
        <f>VLOOKUP($B17,'2000 2017 Place Conc'!$C$2:$V$627,V$1,FALSE)</f>
        <v>337</v>
      </c>
      <c r="W17">
        <f>VLOOKUP($B17,'2000 2017 Place Conc'!$C$2:$V$627,W$1,FALSE)</f>
        <v>37</v>
      </c>
      <c r="X17" s="4">
        <f>VLOOKUP($B17,'2017 Place'!$C$2:$Y$627,X$1,FALSE)</f>
        <v>11670</v>
      </c>
      <c r="Y17">
        <f>VLOOKUP($B17,'2017 Place'!$C$2:$Y$627,Y$1,FALSE)</f>
        <v>10426</v>
      </c>
      <c r="Z17">
        <f>VLOOKUP($B17,'2017 Place'!$C$2:$Y$627,Z$1,FALSE)</f>
        <v>1244</v>
      </c>
      <c r="AA17">
        <f>VLOOKUP($B17,'2017 Place'!$C$2:$Y$627,AA$1,FALSE)</f>
        <v>9081</v>
      </c>
      <c r="AB17">
        <f>VLOOKUP($B17,'2017 Place'!$C$2:$Y$627,AB$1,FALSE)</f>
        <v>227</v>
      </c>
      <c r="AC17">
        <f>VLOOKUP($B17,'2017 Place'!$C$2:$Y$627,AC$1,FALSE)</f>
        <v>379</v>
      </c>
      <c r="AD17">
        <f>VLOOKUP($B17,'2017 Place'!$C$2:$Y$627,AD$1,FALSE)</f>
        <v>164</v>
      </c>
      <c r="AE17">
        <f>VLOOKUP($B17,'2017 Place'!$C$2:$Y$627,AE$1,FALSE)</f>
        <v>174</v>
      </c>
      <c r="AF17">
        <f>VLOOKUP($B17,'2017 Place'!$C$2:$Y$627,AF$1,FALSE)</f>
        <v>99</v>
      </c>
      <c r="AG17">
        <f>VLOOKUP($B17,'2017 Place'!$C$2:$Y$627,AG$1,FALSE)</f>
        <v>91</v>
      </c>
      <c r="AH17">
        <f>VLOOKUP($B17,'2017 Place'!$C$2:$Y$627,AH$1,FALSE)</f>
        <v>0</v>
      </c>
      <c r="AI17">
        <f>VLOOKUP($B17,'2017 Place'!$C$2:$Y$627,AI$1,FALSE)</f>
        <v>53</v>
      </c>
      <c r="AJ17">
        <f>VLOOKUP($B17,'2017 Place'!$C$2:$Y$627,AJ$1,FALSE)</f>
        <v>85</v>
      </c>
      <c r="AK17">
        <f>VLOOKUP($B17,'2017 Place'!$C$2:$Y$627,AK$1,FALSE)</f>
        <v>0</v>
      </c>
      <c r="AL17">
        <f>VLOOKUP($B17,'2017 Place'!$C$2:$Y$627,AL$1,FALSE)</f>
        <v>16</v>
      </c>
      <c r="AM17">
        <f>VLOOKUP($B17,'2017 Place'!$C$2:$Y$627,AM$1,FALSE)</f>
        <v>206</v>
      </c>
      <c r="AN17">
        <f>VLOOKUP($B17,'2017 Place'!$C$2:$Y$627,AN$1,FALSE)</f>
        <v>548</v>
      </c>
      <c r="AO17">
        <f>VLOOKUP($B17,'2017 Place'!$C$2:$Y$627,AO$1,FALSE)</f>
        <v>442</v>
      </c>
      <c r="AP17">
        <f>VLOOKUP($B17,'2017 Place'!$C$2:$Y$627,AP$1,FALSE)</f>
        <v>105</v>
      </c>
    </row>
    <row r="18" spans="1:42" x14ac:dyDescent="0.25">
      <c r="A18">
        <v>5323515</v>
      </c>
      <c r="B18" t="str">
        <f t="shared" si="0"/>
        <v>Federal Way city, Washington</v>
      </c>
      <c r="C18" t="s">
        <v>32</v>
      </c>
      <c r="D18" t="s">
        <v>33</v>
      </c>
      <c r="E18">
        <f>VLOOKUP(B18,'2000 2017 Place Conc'!$C$2:$V$627,2,FALSE)</f>
        <v>83233</v>
      </c>
      <c r="F18">
        <f>VLOOKUP($B18,'2000 2017 Place Conc'!$C$2:$V$627,F$1,FALSE)</f>
        <v>67469</v>
      </c>
      <c r="G18">
        <f>VLOOKUP($B18,'2000 2017 Place Conc'!$C$2:$V$627,G$1,FALSE)</f>
        <v>15764</v>
      </c>
      <c r="H18">
        <f>VLOOKUP($B18,'2000 2017 Place Conc'!$C$2:$V$627,H$1,FALSE)</f>
        <v>50312</v>
      </c>
      <c r="I18">
        <f>VLOOKUP($B18,'2000 2017 Place Conc'!$C$2:$V$627,I$1,FALSE)</f>
        <v>4414</v>
      </c>
      <c r="J18">
        <f>VLOOKUP($B18,'2000 2017 Place Conc'!$C$2:$V$627,J$1,FALSE)</f>
        <v>1479</v>
      </c>
      <c r="K18">
        <f>VLOOKUP($B18,'2000 2017 Place Conc'!$C$2:$V$627,K$1,FALSE)</f>
        <v>732</v>
      </c>
      <c r="L18">
        <f>VLOOKUP($B18,'2000 2017 Place Conc'!$C$2:$V$627,L$1,FALSE)</f>
        <v>5706</v>
      </c>
      <c r="M18">
        <f>VLOOKUP($B18,'2000 2017 Place Conc'!$C$2:$V$627,M$1,FALSE)</f>
        <v>534</v>
      </c>
      <c r="N18">
        <f>VLOOKUP($B18,'2000 2017 Place Conc'!$C$2:$V$627,N$1,FALSE)</f>
        <v>673</v>
      </c>
      <c r="O18">
        <f>VLOOKUP($B18,'2000 2017 Place Conc'!$C$2:$V$627,O$1,FALSE)</f>
        <v>41</v>
      </c>
      <c r="P18">
        <f>VLOOKUP($B18,'2000 2017 Place Conc'!$C$2:$V$627,P$1,FALSE)</f>
        <v>3016</v>
      </c>
      <c r="Q18">
        <f>VLOOKUP($B18,'2000 2017 Place Conc'!$C$2:$V$627,Q$1,FALSE)</f>
        <v>7146</v>
      </c>
      <c r="R18">
        <f>VLOOKUP($B18,'2000 2017 Place Conc'!$C$2:$V$627,R$1,FALSE)</f>
        <v>490</v>
      </c>
      <c r="S18">
        <f>VLOOKUP($B18,'2000 2017 Place Conc'!$C$2:$V$627,S$1,FALSE)</f>
        <v>405</v>
      </c>
      <c r="T18">
        <f>VLOOKUP($B18,'2000 2017 Place Conc'!$C$2:$V$627,T$1,FALSE)</f>
        <v>1690</v>
      </c>
      <c r="U18">
        <f>VLOOKUP($B18,'2000 2017 Place Conc'!$C$2:$V$627,U$1,FALSE)</f>
        <v>1391</v>
      </c>
      <c r="V18">
        <f>VLOOKUP($B18,'2000 2017 Place Conc'!$C$2:$V$627,V$1,FALSE)</f>
        <v>4103</v>
      </c>
      <c r="W18">
        <f>VLOOKUP($B18,'2000 2017 Place Conc'!$C$2:$V$627,W$1,FALSE)</f>
        <v>1101</v>
      </c>
      <c r="X18" s="4">
        <f>VLOOKUP($B18,'2017 Place'!$C$2:$Y$627,X$1,FALSE)</f>
        <v>94905</v>
      </c>
      <c r="Y18">
        <f>VLOOKUP($B18,'2017 Place'!$C$2:$Y$627,Y$1,FALSE)</f>
        <v>68693</v>
      </c>
      <c r="Z18">
        <f>VLOOKUP($B18,'2017 Place'!$C$2:$Y$627,Z$1,FALSE)</f>
        <v>26212</v>
      </c>
      <c r="AA18">
        <f>VLOOKUP($B18,'2017 Place'!$C$2:$Y$627,AA$1,FALSE)</f>
        <v>40253</v>
      </c>
      <c r="AB18">
        <f>VLOOKUP($B18,'2017 Place'!$C$2:$Y$627,AB$1,FALSE)</f>
        <v>5265</v>
      </c>
      <c r="AC18">
        <f>VLOOKUP($B18,'2017 Place'!$C$2:$Y$627,AC$1,FALSE)</f>
        <v>5390</v>
      </c>
      <c r="AD18">
        <f>VLOOKUP($B18,'2017 Place'!$C$2:$Y$627,AD$1,FALSE)</f>
        <v>3558</v>
      </c>
      <c r="AE18">
        <f>VLOOKUP($B18,'2017 Place'!$C$2:$Y$627,AE$1,FALSE)</f>
        <v>8377</v>
      </c>
      <c r="AF18">
        <f>VLOOKUP($B18,'2017 Place'!$C$2:$Y$627,AF$1,FALSE)</f>
        <v>1764</v>
      </c>
      <c r="AG18">
        <f>VLOOKUP($B18,'2017 Place'!$C$2:$Y$627,AG$1,FALSE)</f>
        <v>600</v>
      </c>
      <c r="AH18">
        <f>VLOOKUP($B18,'2017 Place'!$C$2:$Y$627,AH$1,FALSE)</f>
        <v>94</v>
      </c>
      <c r="AI18">
        <f>VLOOKUP($B18,'2017 Place'!$C$2:$Y$627,AI$1,FALSE)</f>
        <v>3240</v>
      </c>
      <c r="AJ18">
        <f>VLOOKUP($B18,'2017 Place'!$C$2:$Y$627,AJ$1,FALSE)</f>
        <v>10568</v>
      </c>
      <c r="AK18">
        <f>VLOOKUP($B18,'2017 Place'!$C$2:$Y$627,AK$1,FALSE)</f>
        <v>1073</v>
      </c>
      <c r="AL18">
        <f>VLOOKUP($B18,'2017 Place'!$C$2:$Y$627,AL$1,FALSE)</f>
        <v>1118</v>
      </c>
      <c r="AM18">
        <f>VLOOKUP($B18,'2017 Place'!$C$2:$Y$627,AM$1,FALSE)</f>
        <v>3389</v>
      </c>
      <c r="AN18">
        <f>VLOOKUP($B18,'2017 Place'!$C$2:$Y$627,AN$1,FALSE)</f>
        <v>3063</v>
      </c>
      <c r="AO18">
        <f>VLOOKUP($B18,'2017 Place'!$C$2:$Y$627,AO$1,FALSE)</f>
        <v>6371</v>
      </c>
      <c r="AP18">
        <f>VLOOKUP($B18,'2017 Place'!$C$2:$Y$627,AP$1,FALSE)</f>
        <v>782</v>
      </c>
    </row>
    <row r="19" spans="1:42" x14ac:dyDescent="0.25">
      <c r="A19">
        <v>5333805</v>
      </c>
      <c r="B19" t="str">
        <f t="shared" si="0"/>
        <v>Issaquah city, Washington</v>
      </c>
      <c r="C19" t="s">
        <v>34</v>
      </c>
      <c r="D19" t="s">
        <v>35</v>
      </c>
      <c r="E19">
        <f>VLOOKUP(B19,'2000 2017 Place Conc'!$C$2:$V$627,2,FALSE)</f>
        <v>11205</v>
      </c>
      <c r="F19">
        <f>VLOOKUP($B19,'2000 2017 Place Conc'!$C$2:$V$627,F$1,FALSE)</f>
        <v>9711</v>
      </c>
      <c r="G19">
        <f>VLOOKUP($B19,'2000 2017 Place Conc'!$C$2:$V$627,G$1,FALSE)</f>
        <v>1494</v>
      </c>
      <c r="H19">
        <f>VLOOKUP($B19,'2000 2017 Place Conc'!$C$2:$V$627,H$1,FALSE)</f>
        <v>8921</v>
      </c>
      <c r="I19">
        <f>VLOOKUP($B19,'2000 2017 Place Conc'!$C$2:$V$627,I$1,FALSE)</f>
        <v>563</v>
      </c>
      <c r="J19">
        <f>VLOOKUP($B19,'2000 2017 Place Conc'!$C$2:$V$627,J$1,FALSE)</f>
        <v>165</v>
      </c>
      <c r="K19">
        <f>VLOOKUP($B19,'2000 2017 Place Conc'!$C$2:$V$627,K$1,FALSE)</f>
        <v>245</v>
      </c>
      <c r="L19">
        <f>VLOOKUP($B19,'2000 2017 Place Conc'!$C$2:$V$627,L$1,FALSE)</f>
        <v>34</v>
      </c>
      <c r="M19">
        <f>VLOOKUP($B19,'2000 2017 Place Conc'!$C$2:$V$627,M$1,FALSE)</f>
        <v>15</v>
      </c>
      <c r="N19">
        <f>VLOOKUP($B19,'2000 2017 Place Conc'!$C$2:$V$627,N$1,FALSE)</f>
        <v>109</v>
      </c>
      <c r="O19">
        <f>VLOOKUP($B19,'2000 2017 Place Conc'!$C$2:$V$627,O$1,FALSE)</f>
        <v>0</v>
      </c>
      <c r="P19">
        <f>VLOOKUP($B19,'2000 2017 Place Conc'!$C$2:$V$627,P$1,FALSE)</f>
        <v>192</v>
      </c>
      <c r="Q19">
        <f>VLOOKUP($B19,'2000 2017 Place Conc'!$C$2:$V$627,Q$1,FALSE)</f>
        <v>512</v>
      </c>
      <c r="R19">
        <f>VLOOKUP($B19,'2000 2017 Place Conc'!$C$2:$V$627,R$1,FALSE)</f>
        <v>0</v>
      </c>
      <c r="S19">
        <f>VLOOKUP($B19,'2000 2017 Place Conc'!$C$2:$V$627,S$1,FALSE)</f>
        <v>0</v>
      </c>
      <c r="T19">
        <f>VLOOKUP($B19,'2000 2017 Place Conc'!$C$2:$V$627,T$1,FALSE)</f>
        <v>9</v>
      </c>
      <c r="U19">
        <f>VLOOKUP($B19,'2000 2017 Place Conc'!$C$2:$V$627,U$1,FALSE)</f>
        <v>97</v>
      </c>
      <c r="V19">
        <f>VLOOKUP($B19,'2000 2017 Place Conc'!$C$2:$V$627,V$1,FALSE)</f>
        <v>281</v>
      </c>
      <c r="W19">
        <f>VLOOKUP($B19,'2000 2017 Place Conc'!$C$2:$V$627,W$1,FALSE)</f>
        <v>62</v>
      </c>
      <c r="X19" s="4">
        <f>VLOOKUP($B19,'2017 Place'!$C$2:$Y$627,X$1,FALSE)</f>
        <v>35629</v>
      </c>
      <c r="Y19">
        <f>VLOOKUP($B19,'2017 Place'!$C$2:$Y$627,Y$1,FALSE)</f>
        <v>26594</v>
      </c>
      <c r="Z19">
        <f>VLOOKUP($B19,'2017 Place'!$C$2:$Y$627,Z$1,FALSE)</f>
        <v>9035</v>
      </c>
      <c r="AA19">
        <f>VLOOKUP($B19,'2017 Place'!$C$2:$Y$627,AA$1,FALSE)</f>
        <v>20297</v>
      </c>
      <c r="AB19">
        <f>VLOOKUP($B19,'2017 Place'!$C$2:$Y$627,AB$1,FALSE)</f>
        <v>2738</v>
      </c>
      <c r="AC19">
        <f>VLOOKUP($B19,'2017 Place'!$C$2:$Y$627,AC$1,FALSE)</f>
        <v>1240</v>
      </c>
      <c r="AD19">
        <f>VLOOKUP($B19,'2017 Place'!$C$2:$Y$627,AD$1,FALSE)</f>
        <v>541</v>
      </c>
      <c r="AE19">
        <f>VLOOKUP($B19,'2017 Place'!$C$2:$Y$627,AE$1,FALSE)</f>
        <v>1063</v>
      </c>
      <c r="AF19">
        <f>VLOOKUP($B19,'2017 Place'!$C$2:$Y$627,AF$1,FALSE)</f>
        <v>257</v>
      </c>
      <c r="AG19">
        <f>VLOOKUP($B19,'2017 Place'!$C$2:$Y$627,AG$1,FALSE)</f>
        <v>7</v>
      </c>
      <c r="AH19">
        <f>VLOOKUP($B19,'2017 Place'!$C$2:$Y$627,AH$1,FALSE)</f>
        <v>0</v>
      </c>
      <c r="AI19">
        <f>VLOOKUP($B19,'2017 Place'!$C$2:$Y$627,AI$1,FALSE)</f>
        <v>2498</v>
      </c>
      <c r="AJ19">
        <f>VLOOKUP($B19,'2017 Place'!$C$2:$Y$627,AJ$1,FALSE)</f>
        <v>4729</v>
      </c>
      <c r="AK19">
        <f>VLOOKUP($B19,'2017 Place'!$C$2:$Y$627,AK$1,FALSE)</f>
        <v>0</v>
      </c>
      <c r="AL19">
        <f>VLOOKUP($B19,'2017 Place'!$C$2:$Y$627,AL$1,FALSE)</f>
        <v>0</v>
      </c>
      <c r="AM19">
        <f>VLOOKUP($B19,'2017 Place'!$C$2:$Y$627,AM$1,FALSE)</f>
        <v>275</v>
      </c>
      <c r="AN19">
        <f>VLOOKUP($B19,'2017 Place'!$C$2:$Y$627,AN$1,FALSE)</f>
        <v>542</v>
      </c>
      <c r="AO19">
        <f>VLOOKUP($B19,'2017 Place'!$C$2:$Y$627,AO$1,FALSE)</f>
        <v>1214</v>
      </c>
      <c r="AP19">
        <f>VLOOKUP($B19,'2017 Place'!$C$2:$Y$627,AP$1,FALSE)</f>
        <v>228</v>
      </c>
    </row>
    <row r="20" spans="1:42" x14ac:dyDescent="0.25">
      <c r="A20">
        <v>5335170</v>
      </c>
      <c r="B20" t="str">
        <f t="shared" si="0"/>
        <v>Kenmore city, Washington</v>
      </c>
      <c r="C20" t="s">
        <v>36</v>
      </c>
      <c r="D20" t="s">
        <v>37</v>
      </c>
      <c r="E20">
        <f>VLOOKUP(B20,'2000 2017 Place Conc'!$C$2:$V$627,2,FALSE)</f>
        <v>18540</v>
      </c>
      <c r="F20">
        <f>VLOOKUP($B20,'2000 2017 Place Conc'!$C$2:$V$627,F$1,FALSE)</f>
        <v>16274</v>
      </c>
      <c r="G20">
        <f>VLOOKUP($B20,'2000 2017 Place Conc'!$C$2:$V$627,G$1,FALSE)</f>
        <v>2266</v>
      </c>
      <c r="H20">
        <f>VLOOKUP($B20,'2000 2017 Place Conc'!$C$2:$V$627,H$1,FALSE)</f>
        <v>14414</v>
      </c>
      <c r="I20">
        <f>VLOOKUP($B20,'2000 2017 Place Conc'!$C$2:$V$627,I$1,FALSE)</f>
        <v>1300</v>
      </c>
      <c r="J20">
        <f>VLOOKUP($B20,'2000 2017 Place Conc'!$C$2:$V$627,J$1,FALSE)</f>
        <v>337</v>
      </c>
      <c r="K20">
        <f>VLOOKUP($B20,'2000 2017 Place Conc'!$C$2:$V$627,K$1,FALSE)</f>
        <v>117</v>
      </c>
      <c r="L20">
        <f>VLOOKUP($B20,'2000 2017 Place Conc'!$C$2:$V$627,L$1,FALSE)</f>
        <v>117</v>
      </c>
      <c r="M20">
        <f>VLOOKUP($B20,'2000 2017 Place Conc'!$C$2:$V$627,M$1,FALSE)</f>
        <v>23</v>
      </c>
      <c r="N20">
        <f>VLOOKUP($B20,'2000 2017 Place Conc'!$C$2:$V$627,N$1,FALSE)</f>
        <v>234</v>
      </c>
      <c r="O20">
        <f>VLOOKUP($B20,'2000 2017 Place Conc'!$C$2:$V$627,O$1,FALSE)</f>
        <v>0</v>
      </c>
      <c r="P20">
        <f>VLOOKUP($B20,'2000 2017 Place Conc'!$C$2:$V$627,P$1,FALSE)</f>
        <v>472</v>
      </c>
      <c r="Q20">
        <f>VLOOKUP($B20,'2000 2017 Place Conc'!$C$2:$V$627,Q$1,FALSE)</f>
        <v>754</v>
      </c>
      <c r="R20">
        <f>VLOOKUP($B20,'2000 2017 Place Conc'!$C$2:$V$627,R$1,FALSE)</f>
        <v>102</v>
      </c>
      <c r="S20">
        <f>VLOOKUP($B20,'2000 2017 Place Conc'!$C$2:$V$627,S$1,FALSE)</f>
        <v>0</v>
      </c>
      <c r="T20">
        <f>VLOOKUP($B20,'2000 2017 Place Conc'!$C$2:$V$627,T$1,FALSE)</f>
        <v>122</v>
      </c>
      <c r="U20">
        <f>VLOOKUP($B20,'2000 2017 Place Conc'!$C$2:$V$627,U$1,FALSE)</f>
        <v>24</v>
      </c>
      <c r="V20">
        <f>VLOOKUP($B20,'2000 2017 Place Conc'!$C$2:$V$627,V$1,FALSE)</f>
        <v>476</v>
      </c>
      <c r="W20">
        <f>VLOOKUP($B20,'2000 2017 Place Conc'!$C$2:$V$627,W$1,FALSE)</f>
        <v>48</v>
      </c>
      <c r="X20" s="4">
        <f>VLOOKUP($B20,'2017 Place'!$C$2:$Y$627,X$1,FALSE)</f>
        <v>22154</v>
      </c>
      <c r="Y20">
        <f>VLOOKUP($B20,'2017 Place'!$C$2:$Y$627,Y$1,FALSE)</f>
        <v>17991</v>
      </c>
      <c r="Z20">
        <f>VLOOKUP($B20,'2017 Place'!$C$2:$Y$627,Z$1,FALSE)</f>
        <v>4163</v>
      </c>
      <c r="AA20">
        <f>VLOOKUP($B20,'2017 Place'!$C$2:$Y$627,AA$1,FALSE)</f>
        <v>14835</v>
      </c>
      <c r="AB20">
        <f>VLOOKUP($B20,'2017 Place'!$C$2:$Y$627,AB$1,FALSE)</f>
        <v>1730</v>
      </c>
      <c r="AC20">
        <f>VLOOKUP($B20,'2017 Place'!$C$2:$Y$627,AC$1,FALSE)</f>
        <v>857</v>
      </c>
      <c r="AD20">
        <f>VLOOKUP($B20,'2017 Place'!$C$2:$Y$627,AD$1,FALSE)</f>
        <v>292</v>
      </c>
      <c r="AE20">
        <f>VLOOKUP($B20,'2017 Place'!$C$2:$Y$627,AE$1,FALSE)</f>
        <v>264</v>
      </c>
      <c r="AF20">
        <f>VLOOKUP($B20,'2017 Place'!$C$2:$Y$627,AF$1,FALSE)</f>
        <v>96</v>
      </c>
      <c r="AG20">
        <f>VLOOKUP($B20,'2017 Place'!$C$2:$Y$627,AG$1,FALSE)</f>
        <v>62</v>
      </c>
      <c r="AH20">
        <f>VLOOKUP($B20,'2017 Place'!$C$2:$Y$627,AH$1,FALSE)</f>
        <v>0</v>
      </c>
      <c r="AI20">
        <f>VLOOKUP($B20,'2017 Place'!$C$2:$Y$627,AI$1,FALSE)</f>
        <v>838</v>
      </c>
      <c r="AJ20">
        <f>VLOOKUP($B20,'2017 Place'!$C$2:$Y$627,AJ$1,FALSE)</f>
        <v>1765</v>
      </c>
      <c r="AK20">
        <f>VLOOKUP($B20,'2017 Place'!$C$2:$Y$627,AK$1,FALSE)</f>
        <v>53</v>
      </c>
      <c r="AL20">
        <f>VLOOKUP($B20,'2017 Place'!$C$2:$Y$627,AL$1,FALSE)</f>
        <v>47</v>
      </c>
      <c r="AM20">
        <f>VLOOKUP($B20,'2017 Place'!$C$2:$Y$627,AM$1,FALSE)</f>
        <v>174</v>
      </c>
      <c r="AN20">
        <f>VLOOKUP($B20,'2017 Place'!$C$2:$Y$627,AN$1,FALSE)</f>
        <v>141</v>
      </c>
      <c r="AO20">
        <f>VLOOKUP($B20,'2017 Place'!$C$2:$Y$627,AO$1,FALSE)</f>
        <v>908</v>
      </c>
      <c r="AP20">
        <f>VLOOKUP($B20,'2017 Place'!$C$2:$Y$627,AP$1,FALSE)</f>
        <v>92</v>
      </c>
    </row>
    <row r="21" spans="1:42" x14ac:dyDescent="0.25">
      <c r="A21">
        <v>5357535</v>
      </c>
      <c r="B21" t="str">
        <f t="shared" si="0"/>
        <v>Redmond city, Washington</v>
      </c>
      <c r="C21" t="s">
        <v>38</v>
      </c>
      <c r="D21" t="s">
        <v>39</v>
      </c>
      <c r="E21">
        <f>VLOOKUP(B21,'2000 2017 Place Conc'!$C$2:$V$627,2,FALSE)</f>
        <v>45389</v>
      </c>
      <c r="F21">
        <f>VLOOKUP($B21,'2000 2017 Place Conc'!$C$2:$V$627,F$1,FALSE)</f>
        <v>35402</v>
      </c>
      <c r="G21">
        <f>VLOOKUP($B21,'2000 2017 Place Conc'!$C$2:$V$627,G$1,FALSE)</f>
        <v>9987</v>
      </c>
      <c r="H21">
        <f>VLOOKUP($B21,'2000 2017 Place Conc'!$C$2:$V$627,H$1,FALSE)</f>
        <v>30922</v>
      </c>
      <c r="I21">
        <f>VLOOKUP($B21,'2000 2017 Place Conc'!$C$2:$V$627,I$1,FALSE)</f>
        <v>3829</v>
      </c>
      <c r="J21">
        <f>VLOOKUP($B21,'2000 2017 Place Conc'!$C$2:$V$627,J$1,FALSE)</f>
        <v>469</v>
      </c>
      <c r="K21">
        <f>VLOOKUP($B21,'2000 2017 Place Conc'!$C$2:$V$627,K$1,FALSE)</f>
        <v>722</v>
      </c>
      <c r="L21">
        <f>VLOOKUP($B21,'2000 2017 Place Conc'!$C$2:$V$627,L$1,FALSE)</f>
        <v>498</v>
      </c>
      <c r="M21">
        <f>VLOOKUP($B21,'2000 2017 Place Conc'!$C$2:$V$627,M$1,FALSE)</f>
        <v>57</v>
      </c>
      <c r="N21">
        <f>VLOOKUP($B21,'2000 2017 Place Conc'!$C$2:$V$627,N$1,FALSE)</f>
        <v>190</v>
      </c>
      <c r="O21">
        <f>VLOOKUP($B21,'2000 2017 Place Conc'!$C$2:$V$627,O$1,FALSE)</f>
        <v>14</v>
      </c>
      <c r="P21">
        <f>VLOOKUP($B21,'2000 2017 Place Conc'!$C$2:$V$627,P$1,FALSE)</f>
        <v>1613</v>
      </c>
      <c r="Q21">
        <f>VLOOKUP($B21,'2000 2017 Place Conc'!$C$2:$V$627,Q$1,FALSE)</f>
        <v>4415</v>
      </c>
      <c r="R21">
        <f>VLOOKUP($B21,'2000 2017 Place Conc'!$C$2:$V$627,R$1,FALSE)</f>
        <v>86</v>
      </c>
      <c r="S21">
        <f>VLOOKUP($B21,'2000 2017 Place Conc'!$C$2:$V$627,S$1,FALSE)</f>
        <v>15</v>
      </c>
      <c r="T21">
        <f>VLOOKUP($B21,'2000 2017 Place Conc'!$C$2:$V$627,T$1,FALSE)</f>
        <v>340</v>
      </c>
      <c r="U21">
        <f>VLOOKUP($B21,'2000 2017 Place Conc'!$C$2:$V$627,U$1,FALSE)</f>
        <v>648</v>
      </c>
      <c r="V21">
        <f>VLOOKUP($B21,'2000 2017 Place Conc'!$C$2:$V$627,V$1,FALSE)</f>
        <v>1284</v>
      </c>
      <c r="W21">
        <f>VLOOKUP($B21,'2000 2017 Place Conc'!$C$2:$V$627,W$1,FALSE)</f>
        <v>287</v>
      </c>
      <c r="X21" s="4">
        <f>VLOOKUP($B21,'2017 Place'!$C$2:$Y$627,X$1,FALSE)</f>
        <v>60712</v>
      </c>
      <c r="Y21">
        <f>VLOOKUP($B21,'2017 Place'!$C$2:$Y$627,Y$1,FALSE)</f>
        <v>35428</v>
      </c>
      <c r="Z21">
        <f>VLOOKUP($B21,'2017 Place'!$C$2:$Y$627,Z$1,FALSE)</f>
        <v>25284</v>
      </c>
      <c r="AA21">
        <f>VLOOKUP($B21,'2017 Place'!$C$2:$Y$627,AA$1,FALSE)</f>
        <v>25788</v>
      </c>
      <c r="AB21">
        <f>VLOOKUP($B21,'2017 Place'!$C$2:$Y$627,AB$1,FALSE)</f>
        <v>6246</v>
      </c>
      <c r="AC21">
        <f>VLOOKUP($B21,'2017 Place'!$C$2:$Y$627,AC$1,FALSE)</f>
        <v>1234</v>
      </c>
      <c r="AD21">
        <f>VLOOKUP($B21,'2017 Place'!$C$2:$Y$627,AD$1,FALSE)</f>
        <v>1838</v>
      </c>
      <c r="AE21">
        <f>VLOOKUP($B21,'2017 Place'!$C$2:$Y$627,AE$1,FALSE)</f>
        <v>686</v>
      </c>
      <c r="AF21">
        <f>VLOOKUP($B21,'2017 Place'!$C$2:$Y$627,AF$1,FALSE)</f>
        <v>375</v>
      </c>
      <c r="AG21">
        <f>VLOOKUP($B21,'2017 Place'!$C$2:$Y$627,AG$1,FALSE)</f>
        <v>85</v>
      </c>
      <c r="AH21">
        <f>VLOOKUP($B21,'2017 Place'!$C$2:$Y$627,AH$1,FALSE)</f>
        <v>0</v>
      </c>
      <c r="AI21">
        <f>VLOOKUP($B21,'2017 Place'!$C$2:$Y$627,AI$1,FALSE)</f>
        <v>5009</v>
      </c>
      <c r="AJ21">
        <f>VLOOKUP($B21,'2017 Place'!$C$2:$Y$627,AJ$1,FALSE)</f>
        <v>15581</v>
      </c>
      <c r="AK21">
        <f>VLOOKUP($B21,'2017 Place'!$C$2:$Y$627,AK$1,FALSE)</f>
        <v>68</v>
      </c>
      <c r="AL21">
        <f>VLOOKUP($B21,'2017 Place'!$C$2:$Y$627,AL$1,FALSE)</f>
        <v>44</v>
      </c>
      <c r="AM21">
        <f>VLOOKUP($B21,'2017 Place'!$C$2:$Y$627,AM$1,FALSE)</f>
        <v>341</v>
      </c>
      <c r="AN21">
        <f>VLOOKUP($B21,'2017 Place'!$C$2:$Y$627,AN$1,FALSE)</f>
        <v>651</v>
      </c>
      <c r="AO21">
        <f>VLOOKUP($B21,'2017 Place'!$C$2:$Y$627,AO$1,FALSE)</f>
        <v>2217</v>
      </c>
      <c r="AP21">
        <f>VLOOKUP($B21,'2017 Place'!$C$2:$Y$627,AP$1,FALSE)</f>
        <v>549</v>
      </c>
    </row>
    <row r="22" spans="1:42" x14ac:dyDescent="0.25">
      <c r="A22">
        <v>5357745</v>
      </c>
      <c r="B22" t="str">
        <f t="shared" si="0"/>
        <v>Renton city, Washington</v>
      </c>
      <c r="C22" t="s">
        <v>40</v>
      </c>
      <c r="D22" t="s">
        <v>41</v>
      </c>
      <c r="E22">
        <f>VLOOKUP(B22,'2000 2017 Place Conc'!$C$2:$V$627,2,FALSE)</f>
        <v>67110.5</v>
      </c>
      <c r="F22">
        <f>VLOOKUP($B22,'2000 2017 Place Conc'!$C$2:$V$627,F$1,FALSE)</f>
        <v>54262</v>
      </c>
      <c r="G22">
        <f>VLOOKUP($B22,'2000 2017 Place Conc'!$C$2:$V$627,G$1,FALSE)</f>
        <v>12848.5</v>
      </c>
      <c r="H22">
        <f>VLOOKUP($B22,'2000 2017 Place Conc'!$C$2:$V$627,H$1,FALSE)</f>
        <v>41381</v>
      </c>
      <c r="I22">
        <f>VLOOKUP($B22,'2000 2017 Place Conc'!$C$2:$V$627,I$1,FALSE)</f>
        <v>3619</v>
      </c>
      <c r="J22">
        <f>VLOOKUP($B22,'2000 2017 Place Conc'!$C$2:$V$627,J$1,FALSE)</f>
        <v>930.5</v>
      </c>
      <c r="K22">
        <f>VLOOKUP($B22,'2000 2017 Place Conc'!$C$2:$V$627,K$1,FALSE)</f>
        <v>638</v>
      </c>
      <c r="L22">
        <f>VLOOKUP($B22,'2000 2017 Place Conc'!$C$2:$V$627,L$1,FALSE)</f>
        <v>4504.5</v>
      </c>
      <c r="M22">
        <f>VLOOKUP($B22,'2000 2017 Place Conc'!$C$2:$V$627,M$1,FALSE)</f>
        <v>528</v>
      </c>
      <c r="N22">
        <f>VLOOKUP($B22,'2000 2017 Place Conc'!$C$2:$V$627,N$1,FALSE)</f>
        <v>324</v>
      </c>
      <c r="O22">
        <f>VLOOKUP($B22,'2000 2017 Place Conc'!$C$2:$V$627,O$1,FALSE)</f>
        <v>28.5</v>
      </c>
      <c r="P22">
        <f>VLOOKUP($B22,'2000 2017 Place Conc'!$C$2:$V$627,P$1,FALSE)</f>
        <v>2972.5</v>
      </c>
      <c r="Q22">
        <f>VLOOKUP($B22,'2000 2017 Place Conc'!$C$2:$V$627,Q$1,FALSE)</f>
        <v>5999</v>
      </c>
      <c r="R22">
        <f>VLOOKUP($B22,'2000 2017 Place Conc'!$C$2:$V$627,R$1,FALSE)</f>
        <v>165</v>
      </c>
      <c r="S22">
        <f>VLOOKUP($B22,'2000 2017 Place Conc'!$C$2:$V$627,S$1,FALSE)</f>
        <v>86</v>
      </c>
      <c r="T22">
        <f>VLOOKUP($B22,'2000 2017 Place Conc'!$C$2:$V$627,T$1,FALSE)</f>
        <v>1146.5</v>
      </c>
      <c r="U22">
        <f>VLOOKUP($B22,'2000 2017 Place Conc'!$C$2:$V$627,U$1,FALSE)</f>
        <v>1289.5</v>
      </c>
      <c r="V22">
        <f>VLOOKUP($B22,'2000 2017 Place Conc'!$C$2:$V$627,V$1,FALSE)</f>
        <v>2838</v>
      </c>
      <c r="W22">
        <f>VLOOKUP($B22,'2000 2017 Place Conc'!$C$2:$V$627,W$1,FALSE)</f>
        <v>660.5</v>
      </c>
      <c r="X22" s="4">
        <f>VLOOKUP($B22,'2017 Place'!$C$2:$Y$627,X$1,FALSE)</f>
        <v>99692</v>
      </c>
      <c r="Y22">
        <f>VLOOKUP($B22,'2017 Place'!$C$2:$Y$627,Y$1,FALSE)</f>
        <v>69204</v>
      </c>
      <c r="Z22">
        <f>VLOOKUP($B22,'2017 Place'!$C$2:$Y$627,Z$1,FALSE)</f>
        <v>30488</v>
      </c>
      <c r="AA22">
        <f>VLOOKUP($B22,'2017 Place'!$C$2:$Y$627,AA$1,FALSE)</f>
        <v>40047</v>
      </c>
      <c r="AB22">
        <f>VLOOKUP($B22,'2017 Place'!$C$2:$Y$627,AB$1,FALSE)</f>
        <v>5576</v>
      </c>
      <c r="AC22">
        <f>VLOOKUP($B22,'2017 Place'!$C$2:$Y$627,AC$1,FALSE)</f>
        <v>2905</v>
      </c>
      <c r="AD22">
        <f>VLOOKUP($B22,'2017 Place'!$C$2:$Y$627,AD$1,FALSE)</f>
        <v>2050</v>
      </c>
      <c r="AE22">
        <f>VLOOKUP($B22,'2017 Place'!$C$2:$Y$627,AE$1,FALSE)</f>
        <v>8063</v>
      </c>
      <c r="AF22">
        <f>VLOOKUP($B22,'2017 Place'!$C$2:$Y$627,AF$1,FALSE)</f>
        <v>1983</v>
      </c>
      <c r="AG22">
        <f>VLOOKUP($B22,'2017 Place'!$C$2:$Y$627,AG$1,FALSE)</f>
        <v>537</v>
      </c>
      <c r="AH22">
        <f>VLOOKUP($B22,'2017 Place'!$C$2:$Y$627,AH$1,FALSE)</f>
        <v>0</v>
      </c>
      <c r="AI22">
        <f>VLOOKUP($B22,'2017 Place'!$C$2:$Y$627,AI$1,FALSE)</f>
        <v>7340</v>
      </c>
      <c r="AJ22">
        <f>VLOOKUP($B22,'2017 Place'!$C$2:$Y$627,AJ$1,FALSE)</f>
        <v>15057</v>
      </c>
      <c r="AK22">
        <f>VLOOKUP($B22,'2017 Place'!$C$2:$Y$627,AK$1,FALSE)</f>
        <v>976</v>
      </c>
      <c r="AL22">
        <f>VLOOKUP($B22,'2017 Place'!$C$2:$Y$627,AL$1,FALSE)</f>
        <v>671</v>
      </c>
      <c r="AM22">
        <f>VLOOKUP($B22,'2017 Place'!$C$2:$Y$627,AM$1,FALSE)</f>
        <v>2586</v>
      </c>
      <c r="AN22">
        <f>VLOOKUP($B22,'2017 Place'!$C$2:$Y$627,AN$1,FALSE)</f>
        <v>4375</v>
      </c>
      <c r="AO22">
        <f>VLOOKUP($B22,'2017 Place'!$C$2:$Y$627,AO$1,FALSE)</f>
        <v>6750</v>
      </c>
      <c r="AP22">
        <f>VLOOKUP($B22,'2017 Place'!$C$2:$Y$627,AP$1,FALSE)</f>
        <v>776</v>
      </c>
    </row>
    <row r="23" spans="1:42" x14ac:dyDescent="0.25">
      <c r="A23">
        <v>5361115</v>
      </c>
      <c r="B23" t="str">
        <f t="shared" si="0"/>
        <v>Sammamish city, Washington</v>
      </c>
      <c r="C23" t="s">
        <v>42</v>
      </c>
      <c r="D23" t="s">
        <v>43</v>
      </c>
      <c r="E23">
        <f>VLOOKUP(B23,'2000 2017 Place Conc'!$C$2:$V$627,2,FALSE)</f>
        <v>34119</v>
      </c>
      <c r="F23">
        <f>VLOOKUP($B23,'2000 2017 Place Conc'!$C$2:$V$627,F$1,FALSE)</f>
        <v>30279</v>
      </c>
      <c r="G23">
        <f>VLOOKUP($B23,'2000 2017 Place Conc'!$C$2:$V$627,G$1,FALSE)</f>
        <v>3840</v>
      </c>
      <c r="H23">
        <f>VLOOKUP($B23,'2000 2017 Place Conc'!$C$2:$V$627,H$1,FALSE)</f>
        <v>27472</v>
      </c>
      <c r="I23">
        <f>VLOOKUP($B23,'2000 2017 Place Conc'!$C$2:$V$627,I$1,FALSE)</f>
        <v>1825</v>
      </c>
      <c r="J23">
        <f>VLOOKUP($B23,'2000 2017 Place Conc'!$C$2:$V$627,J$1,FALSE)</f>
        <v>442</v>
      </c>
      <c r="K23">
        <f>VLOOKUP($B23,'2000 2017 Place Conc'!$C$2:$V$627,K$1,FALSE)</f>
        <v>71</v>
      </c>
      <c r="L23">
        <f>VLOOKUP($B23,'2000 2017 Place Conc'!$C$2:$V$627,L$1,FALSE)</f>
        <v>173</v>
      </c>
      <c r="M23">
        <f>VLOOKUP($B23,'2000 2017 Place Conc'!$C$2:$V$627,M$1,FALSE)</f>
        <v>21</v>
      </c>
      <c r="N23">
        <f>VLOOKUP($B23,'2000 2017 Place Conc'!$C$2:$V$627,N$1,FALSE)</f>
        <v>135</v>
      </c>
      <c r="O23">
        <f>VLOOKUP($B23,'2000 2017 Place Conc'!$C$2:$V$627,O$1,FALSE)</f>
        <v>10</v>
      </c>
      <c r="P23">
        <f>VLOOKUP($B23,'2000 2017 Place Conc'!$C$2:$V$627,P$1,FALSE)</f>
        <v>924</v>
      </c>
      <c r="Q23">
        <f>VLOOKUP($B23,'2000 2017 Place Conc'!$C$2:$V$627,Q$1,FALSE)</f>
        <v>1606</v>
      </c>
      <c r="R23">
        <f>VLOOKUP($B23,'2000 2017 Place Conc'!$C$2:$V$627,R$1,FALSE)</f>
        <v>38</v>
      </c>
      <c r="S23">
        <f>VLOOKUP($B23,'2000 2017 Place Conc'!$C$2:$V$627,S$1,FALSE)</f>
        <v>20</v>
      </c>
      <c r="T23">
        <f>VLOOKUP($B23,'2000 2017 Place Conc'!$C$2:$V$627,T$1,FALSE)</f>
        <v>198</v>
      </c>
      <c r="U23">
        <f>VLOOKUP($B23,'2000 2017 Place Conc'!$C$2:$V$627,U$1,FALSE)</f>
        <v>57</v>
      </c>
      <c r="V23">
        <f>VLOOKUP($B23,'2000 2017 Place Conc'!$C$2:$V$627,V$1,FALSE)</f>
        <v>897</v>
      </c>
      <c r="W23">
        <f>VLOOKUP($B23,'2000 2017 Place Conc'!$C$2:$V$627,W$1,FALSE)</f>
        <v>230</v>
      </c>
      <c r="X23" s="4">
        <f>VLOOKUP($B23,'2017 Place'!$C$2:$Y$627,X$1,FALSE)</f>
        <v>62877</v>
      </c>
      <c r="Y23">
        <f>VLOOKUP($B23,'2017 Place'!$C$2:$Y$627,Y$1,FALSE)</f>
        <v>45404</v>
      </c>
      <c r="Z23">
        <f>VLOOKUP($B23,'2017 Place'!$C$2:$Y$627,Z$1,FALSE)</f>
        <v>17473</v>
      </c>
      <c r="AA23">
        <f>VLOOKUP($B23,'2017 Place'!$C$2:$Y$627,AA$1,FALSE)</f>
        <v>35619</v>
      </c>
      <c r="AB23">
        <f>VLOOKUP($B23,'2017 Place'!$C$2:$Y$627,AB$1,FALSE)</f>
        <v>4676</v>
      </c>
      <c r="AC23">
        <f>VLOOKUP($B23,'2017 Place'!$C$2:$Y$627,AC$1,FALSE)</f>
        <v>1269</v>
      </c>
      <c r="AD23">
        <f>VLOOKUP($B23,'2017 Place'!$C$2:$Y$627,AD$1,FALSE)</f>
        <v>496</v>
      </c>
      <c r="AE23">
        <f>VLOOKUP($B23,'2017 Place'!$C$2:$Y$627,AE$1,FALSE)</f>
        <v>420</v>
      </c>
      <c r="AF23">
        <f>VLOOKUP($B23,'2017 Place'!$C$2:$Y$627,AF$1,FALSE)</f>
        <v>167</v>
      </c>
      <c r="AG23">
        <f>VLOOKUP($B23,'2017 Place'!$C$2:$Y$627,AG$1,FALSE)</f>
        <v>1</v>
      </c>
      <c r="AH23">
        <f>VLOOKUP($B23,'2017 Place'!$C$2:$Y$627,AH$1,FALSE)</f>
        <v>77</v>
      </c>
      <c r="AI23">
        <f>VLOOKUP($B23,'2017 Place'!$C$2:$Y$627,AI$1,FALSE)</f>
        <v>5656</v>
      </c>
      <c r="AJ23">
        <f>VLOOKUP($B23,'2017 Place'!$C$2:$Y$627,AJ$1,FALSE)</f>
        <v>11557</v>
      </c>
      <c r="AK23">
        <f>VLOOKUP($B23,'2017 Place'!$C$2:$Y$627,AK$1,FALSE)</f>
        <v>67</v>
      </c>
      <c r="AL23">
        <f>VLOOKUP($B23,'2017 Place'!$C$2:$Y$627,AL$1,FALSE)</f>
        <v>9</v>
      </c>
      <c r="AM23">
        <f>VLOOKUP($B23,'2017 Place'!$C$2:$Y$627,AM$1,FALSE)</f>
        <v>177</v>
      </c>
      <c r="AN23">
        <f>VLOOKUP($B23,'2017 Place'!$C$2:$Y$627,AN$1,FALSE)</f>
        <v>180</v>
      </c>
      <c r="AO23">
        <f>VLOOKUP($B23,'2017 Place'!$C$2:$Y$627,AO$1,FALSE)</f>
        <v>2195</v>
      </c>
      <c r="AP23">
        <f>VLOOKUP($B23,'2017 Place'!$C$2:$Y$627,AP$1,FALSE)</f>
        <v>311</v>
      </c>
    </row>
    <row r="24" spans="1:42" x14ac:dyDescent="0.25">
      <c r="A24">
        <v>5362288</v>
      </c>
      <c r="B24" t="str">
        <f t="shared" si="0"/>
        <v>SeaTac city, Washington</v>
      </c>
      <c r="C24" t="s">
        <v>44</v>
      </c>
      <c r="D24" t="s">
        <v>45</v>
      </c>
      <c r="E24">
        <f>VLOOKUP(B24,'2000 2017 Place Conc'!$C$2:$V$627,2,FALSE)</f>
        <v>25523</v>
      </c>
      <c r="F24">
        <f>VLOOKUP($B24,'2000 2017 Place Conc'!$C$2:$V$627,F$1,FALSE)</f>
        <v>19278</v>
      </c>
      <c r="G24">
        <f>VLOOKUP($B24,'2000 2017 Place Conc'!$C$2:$V$627,G$1,FALSE)</f>
        <v>6245</v>
      </c>
      <c r="H24">
        <f>VLOOKUP($B24,'2000 2017 Place Conc'!$C$2:$V$627,H$1,FALSE)</f>
        <v>13584</v>
      </c>
      <c r="I24">
        <f>VLOOKUP($B24,'2000 2017 Place Conc'!$C$2:$V$627,I$1,FALSE)</f>
        <v>826</v>
      </c>
      <c r="J24">
        <f>VLOOKUP($B24,'2000 2017 Place Conc'!$C$2:$V$627,J$1,FALSE)</f>
        <v>789</v>
      </c>
      <c r="K24">
        <f>VLOOKUP($B24,'2000 2017 Place Conc'!$C$2:$V$627,K$1,FALSE)</f>
        <v>689</v>
      </c>
      <c r="L24">
        <f>VLOOKUP($B24,'2000 2017 Place Conc'!$C$2:$V$627,L$1,FALSE)</f>
        <v>1639</v>
      </c>
      <c r="M24">
        <f>VLOOKUP($B24,'2000 2017 Place Conc'!$C$2:$V$627,M$1,FALSE)</f>
        <v>749</v>
      </c>
      <c r="N24">
        <f>VLOOKUP($B24,'2000 2017 Place Conc'!$C$2:$V$627,N$1,FALSE)</f>
        <v>316</v>
      </c>
      <c r="O24">
        <f>VLOOKUP($B24,'2000 2017 Place Conc'!$C$2:$V$627,O$1,FALSE)</f>
        <v>20</v>
      </c>
      <c r="P24">
        <f>VLOOKUP($B24,'2000 2017 Place Conc'!$C$2:$V$627,P$1,FALSE)</f>
        <v>818</v>
      </c>
      <c r="Q24">
        <f>VLOOKUP($B24,'2000 2017 Place Conc'!$C$2:$V$627,Q$1,FALSE)</f>
        <v>2127</v>
      </c>
      <c r="R24">
        <f>VLOOKUP($B24,'2000 2017 Place Conc'!$C$2:$V$627,R$1,FALSE)</f>
        <v>218</v>
      </c>
      <c r="S24">
        <f>VLOOKUP($B24,'2000 2017 Place Conc'!$C$2:$V$627,S$1,FALSE)</f>
        <v>396</v>
      </c>
      <c r="T24">
        <f>VLOOKUP($B24,'2000 2017 Place Conc'!$C$2:$V$627,T$1,FALSE)</f>
        <v>644</v>
      </c>
      <c r="U24">
        <f>VLOOKUP($B24,'2000 2017 Place Conc'!$C$2:$V$627,U$1,FALSE)</f>
        <v>1081</v>
      </c>
      <c r="V24">
        <f>VLOOKUP($B24,'2000 2017 Place Conc'!$C$2:$V$627,V$1,FALSE)</f>
        <v>1270</v>
      </c>
      <c r="W24">
        <f>VLOOKUP($B24,'2000 2017 Place Conc'!$C$2:$V$627,W$1,FALSE)</f>
        <v>357</v>
      </c>
      <c r="X24" s="4">
        <f>VLOOKUP($B24,'2017 Place'!$C$2:$Y$627,X$1,FALSE)</f>
        <v>28597</v>
      </c>
      <c r="Y24">
        <f>VLOOKUP($B24,'2017 Place'!$C$2:$Y$627,Y$1,FALSE)</f>
        <v>16387</v>
      </c>
      <c r="Z24">
        <f>VLOOKUP($B24,'2017 Place'!$C$2:$Y$627,Z$1,FALSE)</f>
        <v>12210</v>
      </c>
      <c r="AA24">
        <f>VLOOKUP($B24,'2017 Place'!$C$2:$Y$627,AA$1,FALSE)</f>
        <v>8166</v>
      </c>
      <c r="AB24">
        <f>VLOOKUP($B24,'2017 Place'!$C$2:$Y$627,AB$1,FALSE)</f>
        <v>1055</v>
      </c>
      <c r="AC24">
        <f>VLOOKUP($B24,'2017 Place'!$C$2:$Y$627,AC$1,FALSE)</f>
        <v>1481</v>
      </c>
      <c r="AD24">
        <f>VLOOKUP($B24,'2017 Place'!$C$2:$Y$627,AD$1,FALSE)</f>
        <v>1317</v>
      </c>
      <c r="AE24">
        <f>VLOOKUP($B24,'2017 Place'!$C$2:$Y$627,AE$1,FALSE)</f>
        <v>2386</v>
      </c>
      <c r="AF24">
        <f>VLOOKUP($B24,'2017 Place'!$C$2:$Y$627,AF$1,FALSE)</f>
        <v>4280</v>
      </c>
      <c r="AG24">
        <f>VLOOKUP($B24,'2017 Place'!$C$2:$Y$627,AG$1,FALSE)</f>
        <v>217</v>
      </c>
      <c r="AH24">
        <f>VLOOKUP($B24,'2017 Place'!$C$2:$Y$627,AH$1,FALSE)</f>
        <v>44</v>
      </c>
      <c r="AI24">
        <f>VLOOKUP($B24,'2017 Place'!$C$2:$Y$627,AI$1,FALSE)</f>
        <v>1035</v>
      </c>
      <c r="AJ24">
        <f>VLOOKUP($B24,'2017 Place'!$C$2:$Y$627,AJ$1,FALSE)</f>
        <v>3472</v>
      </c>
      <c r="AK24">
        <f>VLOOKUP($B24,'2017 Place'!$C$2:$Y$627,AK$1,FALSE)</f>
        <v>356</v>
      </c>
      <c r="AL24">
        <f>VLOOKUP($B24,'2017 Place'!$C$2:$Y$627,AL$1,FALSE)</f>
        <v>350</v>
      </c>
      <c r="AM24">
        <f>VLOOKUP($B24,'2017 Place'!$C$2:$Y$627,AM$1,FALSE)</f>
        <v>880</v>
      </c>
      <c r="AN24">
        <f>VLOOKUP($B24,'2017 Place'!$C$2:$Y$627,AN$1,FALSE)</f>
        <v>1135</v>
      </c>
      <c r="AO24">
        <f>VLOOKUP($B24,'2017 Place'!$C$2:$Y$627,AO$1,FALSE)</f>
        <v>1866</v>
      </c>
      <c r="AP24">
        <f>VLOOKUP($B24,'2017 Place'!$C$2:$Y$627,AP$1,FALSE)</f>
        <v>557</v>
      </c>
    </row>
    <row r="25" spans="1:42" x14ac:dyDescent="0.25">
      <c r="A25">
        <v>5363960</v>
      </c>
      <c r="B25" t="str">
        <f t="shared" si="0"/>
        <v>Shoreline city, Washington</v>
      </c>
      <c r="C25" t="s">
        <v>46</v>
      </c>
      <c r="D25" t="s">
        <v>47</v>
      </c>
      <c r="E25">
        <f>VLOOKUP(B25,'2000 2017 Place Conc'!$C$2:$V$627,2,FALSE)</f>
        <v>52954</v>
      </c>
      <c r="F25">
        <f>VLOOKUP($B25,'2000 2017 Place Conc'!$C$2:$V$627,F$1,FALSE)</f>
        <v>43331</v>
      </c>
      <c r="G25">
        <f>VLOOKUP($B25,'2000 2017 Place Conc'!$C$2:$V$627,G$1,FALSE)</f>
        <v>9623</v>
      </c>
      <c r="H25">
        <f>VLOOKUP($B25,'2000 2017 Place Conc'!$C$2:$V$627,H$1,FALSE)</f>
        <v>36920</v>
      </c>
      <c r="I25">
        <f>VLOOKUP($B25,'2000 2017 Place Conc'!$C$2:$V$627,I$1,FALSE)</f>
        <v>3021</v>
      </c>
      <c r="J25">
        <f>VLOOKUP($B25,'2000 2017 Place Conc'!$C$2:$V$627,J$1,FALSE)</f>
        <v>476</v>
      </c>
      <c r="K25">
        <f>VLOOKUP($B25,'2000 2017 Place Conc'!$C$2:$V$627,K$1,FALSE)</f>
        <v>209</v>
      </c>
      <c r="L25">
        <f>VLOOKUP($B25,'2000 2017 Place Conc'!$C$2:$V$627,L$1,FALSE)</f>
        <v>1103</v>
      </c>
      <c r="M25">
        <f>VLOOKUP($B25,'2000 2017 Place Conc'!$C$2:$V$627,M$1,FALSE)</f>
        <v>341</v>
      </c>
      <c r="N25">
        <f>VLOOKUP($B25,'2000 2017 Place Conc'!$C$2:$V$627,N$1,FALSE)</f>
        <v>517</v>
      </c>
      <c r="O25">
        <f>VLOOKUP($B25,'2000 2017 Place Conc'!$C$2:$V$627,O$1,FALSE)</f>
        <v>35</v>
      </c>
      <c r="P25">
        <f>VLOOKUP($B25,'2000 2017 Place Conc'!$C$2:$V$627,P$1,FALSE)</f>
        <v>1697</v>
      </c>
      <c r="Q25">
        <f>VLOOKUP($B25,'2000 2017 Place Conc'!$C$2:$V$627,Q$1,FALSE)</f>
        <v>4916</v>
      </c>
      <c r="R25">
        <f>VLOOKUP($B25,'2000 2017 Place Conc'!$C$2:$V$627,R$1,FALSE)</f>
        <v>49</v>
      </c>
      <c r="S25">
        <f>VLOOKUP($B25,'2000 2017 Place Conc'!$C$2:$V$627,S$1,FALSE)</f>
        <v>154</v>
      </c>
      <c r="T25">
        <f>VLOOKUP($B25,'2000 2017 Place Conc'!$C$2:$V$627,T$1,FALSE)</f>
        <v>457</v>
      </c>
      <c r="U25">
        <f>VLOOKUP($B25,'2000 2017 Place Conc'!$C$2:$V$627,U$1,FALSE)</f>
        <v>539</v>
      </c>
      <c r="V25">
        <f>VLOOKUP($B25,'2000 2017 Place Conc'!$C$2:$V$627,V$1,FALSE)</f>
        <v>2112</v>
      </c>
      <c r="W25">
        <f>VLOOKUP($B25,'2000 2017 Place Conc'!$C$2:$V$627,W$1,FALSE)</f>
        <v>408</v>
      </c>
      <c r="X25" s="4">
        <f>VLOOKUP($B25,'2017 Place'!$C$2:$Y$627,X$1,FALSE)</f>
        <v>55431</v>
      </c>
      <c r="Y25">
        <f>VLOOKUP($B25,'2017 Place'!$C$2:$Y$627,Y$1,FALSE)</f>
        <v>42927</v>
      </c>
      <c r="Z25">
        <f>VLOOKUP($B25,'2017 Place'!$C$2:$Y$627,Z$1,FALSE)</f>
        <v>12504</v>
      </c>
      <c r="AA25">
        <f>VLOOKUP($B25,'2017 Place'!$C$2:$Y$627,AA$1,FALSE)</f>
        <v>33504</v>
      </c>
      <c r="AB25">
        <f>VLOOKUP($B25,'2017 Place'!$C$2:$Y$627,AB$1,FALSE)</f>
        <v>2366</v>
      </c>
      <c r="AC25">
        <f>VLOOKUP($B25,'2017 Place'!$C$2:$Y$627,AC$1,FALSE)</f>
        <v>1566</v>
      </c>
      <c r="AD25">
        <f>VLOOKUP($B25,'2017 Place'!$C$2:$Y$627,AD$1,FALSE)</f>
        <v>1064</v>
      </c>
      <c r="AE25">
        <f>VLOOKUP($B25,'2017 Place'!$C$2:$Y$627,AE$1,FALSE)</f>
        <v>1691</v>
      </c>
      <c r="AF25">
        <f>VLOOKUP($B25,'2017 Place'!$C$2:$Y$627,AF$1,FALSE)</f>
        <v>1826</v>
      </c>
      <c r="AG25">
        <f>VLOOKUP($B25,'2017 Place'!$C$2:$Y$627,AG$1,FALSE)</f>
        <v>611</v>
      </c>
      <c r="AH25">
        <f>VLOOKUP($B25,'2017 Place'!$C$2:$Y$627,AH$1,FALSE)</f>
        <v>0</v>
      </c>
      <c r="AI25">
        <f>VLOOKUP($B25,'2017 Place'!$C$2:$Y$627,AI$1,FALSE)</f>
        <v>2075</v>
      </c>
      <c r="AJ25">
        <f>VLOOKUP($B25,'2017 Place'!$C$2:$Y$627,AJ$1,FALSE)</f>
        <v>5724</v>
      </c>
      <c r="AK25">
        <f>VLOOKUP($B25,'2017 Place'!$C$2:$Y$627,AK$1,FALSE)</f>
        <v>66</v>
      </c>
      <c r="AL25">
        <f>VLOOKUP($B25,'2017 Place'!$C$2:$Y$627,AL$1,FALSE)</f>
        <v>57</v>
      </c>
      <c r="AM25">
        <f>VLOOKUP($B25,'2017 Place'!$C$2:$Y$627,AM$1,FALSE)</f>
        <v>738</v>
      </c>
      <c r="AN25">
        <f>VLOOKUP($B25,'2017 Place'!$C$2:$Y$627,AN$1,FALSE)</f>
        <v>1164</v>
      </c>
      <c r="AO25">
        <f>VLOOKUP($B25,'2017 Place'!$C$2:$Y$627,AO$1,FALSE)</f>
        <v>2676</v>
      </c>
      <c r="AP25">
        <f>VLOOKUP($B25,'2017 Place'!$C$2:$Y$627,AP$1,FALSE)</f>
        <v>303</v>
      </c>
    </row>
    <row r="26" spans="1:42" x14ac:dyDescent="0.25">
      <c r="A26">
        <v>5365205</v>
      </c>
      <c r="B26" t="str">
        <f t="shared" si="0"/>
        <v>Snoqualmie city, Washington</v>
      </c>
      <c r="C26" t="s">
        <v>48</v>
      </c>
      <c r="D26" t="s">
        <v>49</v>
      </c>
      <c r="E26">
        <f>VLOOKUP(B26,'2000 2017 Place Conc'!$C$2:$V$627,2,FALSE)</f>
        <v>1659</v>
      </c>
      <c r="F26">
        <f>VLOOKUP($B26,'2000 2017 Place Conc'!$C$2:$V$627,F$1,FALSE)</f>
        <v>1553</v>
      </c>
      <c r="G26">
        <f>VLOOKUP($B26,'2000 2017 Place Conc'!$C$2:$V$627,G$1,FALSE)</f>
        <v>106</v>
      </c>
      <c r="H26">
        <f>VLOOKUP($B26,'2000 2017 Place Conc'!$C$2:$V$627,H$1,FALSE)</f>
        <v>1356</v>
      </c>
      <c r="I26">
        <f>VLOOKUP($B26,'2000 2017 Place Conc'!$C$2:$V$627,I$1,FALSE)</f>
        <v>50</v>
      </c>
      <c r="J26">
        <f>VLOOKUP($B26,'2000 2017 Place Conc'!$C$2:$V$627,J$1,FALSE)</f>
        <v>40</v>
      </c>
      <c r="K26">
        <f>VLOOKUP($B26,'2000 2017 Place Conc'!$C$2:$V$627,K$1,FALSE)</f>
        <v>0</v>
      </c>
      <c r="L26">
        <f>VLOOKUP($B26,'2000 2017 Place Conc'!$C$2:$V$627,L$1,FALSE)</f>
        <v>0</v>
      </c>
      <c r="M26">
        <f>VLOOKUP($B26,'2000 2017 Place Conc'!$C$2:$V$627,M$1,FALSE)</f>
        <v>0</v>
      </c>
      <c r="N26">
        <f>VLOOKUP($B26,'2000 2017 Place Conc'!$C$2:$V$627,N$1,FALSE)</f>
        <v>67</v>
      </c>
      <c r="O26">
        <f>VLOOKUP($B26,'2000 2017 Place Conc'!$C$2:$V$627,O$1,FALSE)</f>
        <v>0</v>
      </c>
      <c r="P26">
        <f>VLOOKUP($B26,'2000 2017 Place Conc'!$C$2:$V$627,P$1,FALSE)</f>
        <v>12</v>
      </c>
      <c r="Q26">
        <f>VLOOKUP($B26,'2000 2017 Place Conc'!$C$2:$V$627,Q$1,FALSE)</f>
        <v>36</v>
      </c>
      <c r="R26">
        <f>VLOOKUP($B26,'2000 2017 Place Conc'!$C$2:$V$627,R$1,FALSE)</f>
        <v>17</v>
      </c>
      <c r="S26">
        <f>VLOOKUP($B26,'2000 2017 Place Conc'!$C$2:$V$627,S$1,FALSE)</f>
        <v>3</v>
      </c>
      <c r="T26">
        <f>VLOOKUP($B26,'2000 2017 Place Conc'!$C$2:$V$627,T$1,FALSE)</f>
        <v>6</v>
      </c>
      <c r="U26">
        <f>VLOOKUP($B26,'2000 2017 Place Conc'!$C$2:$V$627,U$1,FALSE)</f>
        <v>17</v>
      </c>
      <c r="V26">
        <f>VLOOKUP($B26,'2000 2017 Place Conc'!$C$2:$V$627,V$1,FALSE)</f>
        <v>55</v>
      </c>
      <c r="W26">
        <f>VLOOKUP($B26,'2000 2017 Place Conc'!$C$2:$V$627,W$1,FALSE)</f>
        <v>0</v>
      </c>
      <c r="X26" s="4">
        <f>VLOOKUP($B26,'2017 Place'!$C$2:$Y$627,X$1,FALSE)</f>
        <v>12944</v>
      </c>
      <c r="Y26">
        <f>VLOOKUP($B26,'2017 Place'!$C$2:$Y$627,Y$1,FALSE)</f>
        <v>11190</v>
      </c>
      <c r="Z26">
        <f>VLOOKUP($B26,'2017 Place'!$C$2:$Y$627,Z$1,FALSE)</f>
        <v>1754</v>
      </c>
      <c r="AA26">
        <f>VLOOKUP($B26,'2017 Place'!$C$2:$Y$627,AA$1,FALSE)</f>
        <v>9590</v>
      </c>
      <c r="AB26">
        <f>VLOOKUP($B26,'2017 Place'!$C$2:$Y$627,AB$1,FALSE)</f>
        <v>557</v>
      </c>
      <c r="AC26">
        <f>VLOOKUP($B26,'2017 Place'!$C$2:$Y$627,AC$1,FALSE)</f>
        <v>274</v>
      </c>
      <c r="AD26">
        <f>VLOOKUP($B26,'2017 Place'!$C$2:$Y$627,AD$1,FALSE)</f>
        <v>105</v>
      </c>
      <c r="AE26">
        <f>VLOOKUP($B26,'2017 Place'!$C$2:$Y$627,AE$1,FALSE)</f>
        <v>41</v>
      </c>
      <c r="AF26">
        <f>VLOOKUP($B26,'2017 Place'!$C$2:$Y$627,AF$1,FALSE)</f>
        <v>22</v>
      </c>
      <c r="AG26">
        <f>VLOOKUP($B26,'2017 Place'!$C$2:$Y$627,AG$1,FALSE)</f>
        <v>28</v>
      </c>
      <c r="AH26">
        <f>VLOOKUP($B26,'2017 Place'!$C$2:$Y$627,AH$1,FALSE)</f>
        <v>0</v>
      </c>
      <c r="AI26">
        <f>VLOOKUP($B26,'2017 Place'!$C$2:$Y$627,AI$1,FALSE)</f>
        <v>525</v>
      </c>
      <c r="AJ26">
        <f>VLOOKUP($B26,'2017 Place'!$C$2:$Y$627,AJ$1,FALSE)</f>
        <v>1039</v>
      </c>
      <c r="AK26">
        <f>VLOOKUP($B26,'2017 Place'!$C$2:$Y$627,AK$1,FALSE)</f>
        <v>0</v>
      </c>
      <c r="AL26">
        <f>VLOOKUP($B26,'2017 Place'!$C$2:$Y$627,AL$1,FALSE)</f>
        <v>0</v>
      </c>
      <c r="AM26">
        <f>VLOOKUP($B26,'2017 Place'!$C$2:$Y$627,AM$1,FALSE)</f>
        <v>44</v>
      </c>
      <c r="AN26">
        <f>VLOOKUP($B26,'2017 Place'!$C$2:$Y$627,AN$1,FALSE)</f>
        <v>15</v>
      </c>
      <c r="AO26">
        <f>VLOOKUP($B26,'2017 Place'!$C$2:$Y$627,AO$1,FALSE)</f>
        <v>688</v>
      </c>
      <c r="AP26">
        <f>VLOOKUP($B26,'2017 Place'!$C$2:$Y$627,AP$1,FALSE)</f>
        <v>16</v>
      </c>
    </row>
    <row r="27" spans="1:42" x14ac:dyDescent="0.25">
      <c r="A27">
        <v>5301290</v>
      </c>
      <c r="B27" t="str">
        <f t="shared" si="0"/>
        <v>Algona city, Washington</v>
      </c>
      <c r="C27" t="s">
        <v>50</v>
      </c>
      <c r="D27" t="s">
        <v>51</v>
      </c>
      <c r="E27">
        <f>VLOOKUP(B27,'2000 2017 Place Conc'!$C$2:$V$627,2,FALSE)</f>
        <v>2451</v>
      </c>
      <c r="F27">
        <f>VLOOKUP($B27,'2000 2017 Place Conc'!$C$2:$V$627,F$1,FALSE)</f>
        <v>2129</v>
      </c>
      <c r="G27">
        <f>VLOOKUP($B27,'2000 2017 Place Conc'!$C$2:$V$627,G$1,FALSE)</f>
        <v>322</v>
      </c>
      <c r="H27">
        <f>VLOOKUP($B27,'2000 2017 Place Conc'!$C$2:$V$627,H$1,FALSE)</f>
        <v>1837</v>
      </c>
      <c r="I27">
        <f>VLOOKUP($B27,'2000 2017 Place Conc'!$C$2:$V$627,I$1,FALSE)</f>
        <v>94</v>
      </c>
      <c r="J27">
        <f>VLOOKUP($B27,'2000 2017 Place Conc'!$C$2:$V$627,J$1,FALSE)</f>
        <v>53</v>
      </c>
      <c r="K27">
        <f>VLOOKUP($B27,'2000 2017 Place Conc'!$C$2:$V$627,K$1,FALSE)</f>
        <v>32</v>
      </c>
      <c r="L27">
        <f>VLOOKUP($B27,'2000 2017 Place Conc'!$C$2:$V$627,L$1,FALSE)</f>
        <v>61</v>
      </c>
      <c r="M27">
        <f>VLOOKUP($B27,'2000 2017 Place Conc'!$C$2:$V$627,M$1,FALSE)</f>
        <v>0</v>
      </c>
      <c r="N27">
        <f>VLOOKUP($B27,'2000 2017 Place Conc'!$C$2:$V$627,N$1,FALSE)</f>
        <v>39</v>
      </c>
      <c r="O27">
        <f>VLOOKUP($B27,'2000 2017 Place Conc'!$C$2:$V$627,O$1,FALSE)</f>
        <v>0</v>
      </c>
      <c r="P27">
        <f>VLOOKUP($B27,'2000 2017 Place Conc'!$C$2:$V$627,P$1,FALSE)</f>
        <v>53</v>
      </c>
      <c r="Q27">
        <f>VLOOKUP($B27,'2000 2017 Place Conc'!$C$2:$V$627,Q$1,FALSE)</f>
        <v>135</v>
      </c>
      <c r="R27">
        <f>VLOOKUP($B27,'2000 2017 Place Conc'!$C$2:$V$627,R$1,FALSE)</f>
        <v>7</v>
      </c>
      <c r="S27">
        <f>VLOOKUP($B27,'2000 2017 Place Conc'!$C$2:$V$627,S$1,FALSE)</f>
        <v>0</v>
      </c>
      <c r="T27">
        <f>VLOOKUP($B27,'2000 2017 Place Conc'!$C$2:$V$627,T$1,FALSE)</f>
        <v>6</v>
      </c>
      <c r="U27">
        <f>VLOOKUP($B27,'2000 2017 Place Conc'!$C$2:$V$627,U$1,FALSE)</f>
        <v>38</v>
      </c>
      <c r="V27">
        <f>VLOOKUP($B27,'2000 2017 Place Conc'!$C$2:$V$627,V$1,FALSE)</f>
        <v>73</v>
      </c>
      <c r="W27">
        <f>VLOOKUP($B27,'2000 2017 Place Conc'!$C$2:$V$627,W$1,FALSE)</f>
        <v>23</v>
      </c>
      <c r="X27" s="4">
        <f>VLOOKUP($B27,'2017 Place'!$C$2:$Y$627,X$1,FALSE)</f>
        <v>3171</v>
      </c>
      <c r="Y27">
        <f>VLOOKUP($B27,'2017 Place'!$C$2:$Y$627,Y$1,FALSE)</f>
        <v>2354</v>
      </c>
      <c r="Z27">
        <f>VLOOKUP($B27,'2017 Place'!$C$2:$Y$627,Z$1,FALSE)</f>
        <v>817</v>
      </c>
      <c r="AA27">
        <f>VLOOKUP($B27,'2017 Place'!$C$2:$Y$627,AA$1,FALSE)</f>
        <v>1729</v>
      </c>
      <c r="AB27">
        <f>VLOOKUP($B27,'2017 Place'!$C$2:$Y$627,AB$1,FALSE)</f>
        <v>174</v>
      </c>
      <c r="AC27">
        <f>VLOOKUP($B27,'2017 Place'!$C$2:$Y$627,AC$1,FALSE)</f>
        <v>147</v>
      </c>
      <c r="AD27">
        <f>VLOOKUP($B27,'2017 Place'!$C$2:$Y$627,AD$1,FALSE)</f>
        <v>160</v>
      </c>
      <c r="AE27">
        <f>VLOOKUP($B27,'2017 Place'!$C$2:$Y$627,AE$1,FALSE)</f>
        <v>140</v>
      </c>
      <c r="AF27">
        <f>VLOOKUP($B27,'2017 Place'!$C$2:$Y$627,AF$1,FALSE)</f>
        <v>26</v>
      </c>
      <c r="AG27">
        <f>VLOOKUP($B27,'2017 Place'!$C$2:$Y$627,AG$1,FALSE)</f>
        <v>31</v>
      </c>
      <c r="AH27">
        <f>VLOOKUP($B27,'2017 Place'!$C$2:$Y$627,AH$1,FALSE)</f>
        <v>0</v>
      </c>
      <c r="AI27">
        <f>VLOOKUP($B27,'2017 Place'!$C$2:$Y$627,AI$1,FALSE)</f>
        <v>77</v>
      </c>
      <c r="AJ27">
        <f>VLOOKUP($B27,'2017 Place'!$C$2:$Y$627,AJ$1,FALSE)</f>
        <v>249</v>
      </c>
      <c r="AK27">
        <f>VLOOKUP($B27,'2017 Place'!$C$2:$Y$627,AK$1,FALSE)</f>
        <v>0</v>
      </c>
      <c r="AL27">
        <f>VLOOKUP($B27,'2017 Place'!$C$2:$Y$627,AL$1,FALSE)</f>
        <v>11</v>
      </c>
      <c r="AM27">
        <f>VLOOKUP($B27,'2017 Place'!$C$2:$Y$627,AM$1,FALSE)</f>
        <v>87</v>
      </c>
      <c r="AN27">
        <f>VLOOKUP($B27,'2017 Place'!$C$2:$Y$627,AN$1,FALSE)</f>
        <v>196</v>
      </c>
      <c r="AO27">
        <f>VLOOKUP($B27,'2017 Place'!$C$2:$Y$627,AO$1,FALSE)</f>
        <v>143</v>
      </c>
      <c r="AP27">
        <f>VLOOKUP($B27,'2017 Place'!$C$2:$Y$627,AP$1,FALSE)</f>
        <v>1</v>
      </c>
    </row>
    <row r="28" spans="1:42" x14ac:dyDescent="0.25">
      <c r="A28">
        <v>5304895</v>
      </c>
      <c r="B28" t="str">
        <f t="shared" si="0"/>
        <v>Beaux Arts Village town, Washington</v>
      </c>
      <c r="C28" t="s">
        <v>52</v>
      </c>
      <c r="D28" t="s">
        <v>53</v>
      </c>
      <c r="E28">
        <f>VLOOKUP(B28,'2000 2017 Place Conc'!$C$2:$V$627,2,FALSE)</f>
        <v>312</v>
      </c>
      <c r="F28">
        <f>VLOOKUP($B28,'2000 2017 Place Conc'!$C$2:$V$627,F$1,FALSE)</f>
        <v>274</v>
      </c>
      <c r="G28">
        <f>VLOOKUP($B28,'2000 2017 Place Conc'!$C$2:$V$627,G$1,FALSE)</f>
        <v>38</v>
      </c>
      <c r="H28">
        <f>VLOOKUP($B28,'2000 2017 Place Conc'!$C$2:$V$627,H$1,FALSE)</f>
        <v>268</v>
      </c>
      <c r="I28">
        <f>VLOOKUP($B28,'2000 2017 Place Conc'!$C$2:$V$627,I$1,FALSE)</f>
        <v>32</v>
      </c>
      <c r="J28">
        <f>VLOOKUP($B28,'2000 2017 Place Conc'!$C$2:$V$627,J$1,FALSE)</f>
        <v>0</v>
      </c>
      <c r="K28">
        <f>VLOOKUP($B28,'2000 2017 Place Conc'!$C$2:$V$627,K$1,FALSE)</f>
        <v>0</v>
      </c>
      <c r="L28">
        <f>VLOOKUP($B28,'2000 2017 Place Conc'!$C$2:$V$627,L$1,FALSE)</f>
        <v>0</v>
      </c>
      <c r="M28">
        <f>VLOOKUP($B28,'2000 2017 Place Conc'!$C$2:$V$627,M$1,FALSE)</f>
        <v>0</v>
      </c>
      <c r="N28">
        <f>VLOOKUP($B28,'2000 2017 Place Conc'!$C$2:$V$627,N$1,FALSE)</f>
        <v>0</v>
      </c>
      <c r="O28">
        <f>VLOOKUP($B28,'2000 2017 Place Conc'!$C$2:$V$627,O$1,FALSE)</f>
        <v>0</v>
      </c>
      <c r="P28">
        <f>VLOOKUP($B28,'2000 2017 Place Conc'!$C$2:$V$627,P$1,FALSE)</f>
        <v>6</v>
      </c>
      <c r="Q28">
        <f>VLOOKUP($B28,'2000 2017 Place Conc'!$C$2:$V$627,Q$1,FALSE)</f>
        <v>6</v>
      </c>
      <c r="R28">
        <f>VLOOKUP($B28,'2000 2017 Place Conc'!$C$2:$V$627,R$1,FALSE)</f>
        <v>0</v>
      </c>
      <c r="S28">
        <f>VLOOKUP($B28,'2000 2017 Place Conc'!$C$2:$V$627,S$1,FALSE)</f>
        <v>0</v>
      </c>
      <c r="T28">
        <f>VLOOKUP($B28,'2000 2017 Place Conc'!$C$2:$V$627,T$1,FALSE)</f>
        <v>0</v>
      </c>
      <c r="U28">
        <f>VLOOKUP($B28,'2000 2017 Place Conc'!$C$2:$V$627,U$1,FALSE)</f>
        <v>0</v>
      </c>
      <c r="V28">
        <f>VLOOKUP($B28,'2000 2017 Place Conc'!$C$2:$V$627,V$1,FALSE)</f>
        <v>0</v>
      </c>
      <c r="W28">
        <f>VLOOKUP($B28,'2000 2017 Place Conc'!$C$2:$V$627,W$1,FALSE)</f>
        <v>0</v>
      </c>
      <c r="X28" s="4">
        <f>VLOOKUP($B28,'2017 Place'!$C$2:$Y$627,X$1,FALSE)</f>
        <v>342</v>
      </c>
      <c r="Y28">
        <f>VLOOKUP($B28,'2017 Place'!$C$2:$Y$627,Y$1,FALSE)</f>
        <v>309</v>
      </c>
      <c r="Z28">
        <f>VLOOKUP($B28,'2017 Place'!$C$2:$Y$627,Z$1,FALSE)</f>
        <v>33</v>
      </c>
      <c r="AA28">
        <f>VLOOKUP($B28,'2017 Place'!$C$2:$Y$627,AA$1,FALSE)</f>
        <v>286</v>
      </c>
      <c r="AB28">
        <f>VLOOKUP($B28,'2017 Place'!$C$2:$Y$627,AB$1,FALSE)</f>
        <v>24</v>
      </c>
      <c r="AC28">
        <f>VLOOKUP($B28,'2017 Place'!$C$2:$Y$627,AC$1,FALSE)</f>
        <v>4</v>
      </c>
      <c r="AD28">
        <f>VLOOKUP($B28,'2017 Place'!$C$2:$Y$627,AD$1,FALSE)</f>
        <v>0</v>
      </c>
      <c r="AE28">
        <f>VLOOKUP($B28,'2017 Place'!$C$2:$Y$627,AE$1,FALSE)</f>
        <v>0</v>
      </c>
      <c r="AF28">
        <f>VLOOKUP($B28,'2017 Place'!$C$2:$Y$627,AF$1,FALSE)</f>
        <v>0</v>
      </c>
      <c r="AG28">
        <f>VLOOKUP($B28,'2017 Place'!$C$2:$Y$627,AG$1,FALSE)</f>
        <v>0</v>
      </c>
      <c r="AH28">
        <f>VLOOKUP($B28,'2017 Place'!$C$2:$Y$627,AH$1,FALSE)</f>
        <v>0</v>
      </c>
      <c r="AI28">
        <f>VLOOKUP($B28,'2017 Place'!$C$2:$Y$627,AI$1,FALSE)</f>
        <v>11</v>
      </c>
      <c r="AJ28">
        <f>VLOOKUP($B28,'2017 Place'!$C$2:$Y$627,AJ$1,FALSE)</f>
        <v>9</v>
      </c>
      <c r="AK28">
        <f>VLOOKUP($B28,'2017 Place'!$C$2:$Y$627,AK$1,FALSE)</f>
        <v>0</v>
      </c>
      <c r="AL28">
        <f>VLOOKUP($B28,'2017 Place'!$C$2:$Y$627,AL$1,FALSE)</f>
        <v>0</v>
      </c>
      <c r="AM28">
        <f>VLOOKUP($B28,'2017 Place'!$C$2:$Y$627,AM$1,FALSE)</f>
        <v>4</v>
      </c>
      <c r="AN28">
        <f>VLOOKUP($B28,'2017 Place'!$C$2:$Y$627,AN$1,FALSE)</f>
        <v>0</v>
      </c>
      <c r="AO28">
        <f>VLOOKUP($B28,'2017 Place'!$C$2:$Y$627,AO$1,FALSE)</f>
        <v>4</v>
      </c>
      <c r="AP28">
        <f>VLOOKUP($B28,'2017 Place'!$C$2:$Y$627,AP$1,FALSE)</f>
        <v>0</v>
      </c>
    </row>
    <row r="29" spans="1:42" x14ac:dyDescent="0.25">
      <c r="A29">
        <v>5306330</v>
      </c>
      <c r="B29" t="str">
        <f t="shared" si="0"/>
        <v>Black Diamond city, Washington</v>
      </c>
      <c r="C29" t="s">
        <v>54</v>
      </c>
      <c r="D29" t="s">
        <v>55</v>
      </c>
      <c r="E29">
        <f>VLOOKUP(B29,'2000 2017 Place Conc'!$C$2:$V$627,2,FALSE)</f>
        <v>3919</v>
      </c>
      <c r="F29">
        <f>VLOOKUP($B29,'2000 2017 Place Conc'!$C$2:$V$627,F$1,FALSE)</f>
        <v>3696</v>
      </c>
      <c r="G29">
        <f>VLOOKUP($B29,'2000 2017 Place Conc'!$C$2:$V$627,G$1,FALSE)</f>
        <v>223</v>
      </c>
      <c r="H29">
        <f>VLOOKUP($B29,'2000 2017 Place Conc'!$C$2:$V$627,H$1,FALSE)</f>
        <v>3274</v>
      </c>
      <c r="I29">
        <f>VLOOKUP($B29,'2000 2017 Place Conc'!$C$2:$V$627,I$1,FALSE)</f>
        <v>106</v>
      </c>
      <c r="J29">
        <f>VLOOKUP($B29,'2000 2017 Place Conc'!$C$2:$V$627,J$1,FALSE)</f>
        <v>125</v>
      </c>
      <c r="K29">
        <f>VLOOKUP($B29,'2000 2017 Place Conc'!$C$2:$V$627,K$1,FALSE)</f>
        <v>67</v>
      </c>
      <c r="L29">
        <f>VLOOKUP($B29,'2000 2017 Place Conc'!$C$2:$V$627,L$1,FALSE)</f>
        <v>0</v>
      </c>
      <c r="M29">
        <f>VLOOKUP($B29,'2000 2017 Place Conc'!$C$2:$V$627,M$1,FALSE)</f>
        <v>0</v>
      </c>
      <c r="N29">
        <f>VLOOKUP($B29,'2000 2017 Place Conc'!$C$2:$V$627,N$1,FALSE)</f>
        <v>129</v>
      </c>
      <c r="O29">
        <f>VLOOKUP($B29,'2000 2017 Place Conc'!$C$2:$V$627,O$1,FALSE)</f>
        <v>0</v>
      </c>
      <c r="P29">
        <f>VLOOKUP($B29,'2000 2017 Place Conc'!$C$2:$V$627,P$1,FALSE)</f>
        <v>37</v>
      </c>
      <c r="Q29">
        <f>VLOOKUP($B29,'2000 2017 Place Conc'!$C$2:$V$627,Q$1,FALSE)</f>
        <v>41</v>
      </c>
      <c r="R29">
        <f>VLOOKUP($B29,'2000 2017 Place Conc'!$C$2:$V$627,R$1,FALSE)</f>
        <v>0</v>
      </c>
      <c r="S29">
        <f>VLOOKUP($B29,'2000 2017 Place Conc'!$C$2:$V$627,S$1,FALSE)</f>
        <v>6</v>
      </c>
      <c r="T29">
        <f>VLOOKUP($B29,'2000 2017 Place Conc'!$C$2:$V$627,T$1,FALSE)</f>
        <v>65</v>
      </c>
      <c r="U29">
        <f>VLOOKUP($B29,'2000 2017 Place Conc'!$C$2:$V$627,U$1,FALSE)</f>
        <v>0</v>
      </c>
      <c r="V29">
        <f>VLOOKUP($B29,'2000 2017 Place Conc'!$C$2:$V$627,V$1,FALSE)</f>
        <v>66</v>
      </c>
      <c r="W29">
        <f>VLOOKUP($B29,'2000 2017 Place Conc'!$C$2:$V$627,W$1,FALSE)</f>
        <v>3</v>
      </c>
      <c r="X29" s="4">
        <f>VLOOKUP($B29,'2017 Place'!$C$2:$Y$627,X$1,FALSE)</f>
        <v>4378</v>
      </c>
      <c r="Y29">
        <f>VLOOKUP($B29,'2017 Place'!$C$2:$Y$627,Y$1,FALSE)</f>
        <v>4044</v>
      </c>
      <c r="Z29">
        <f>VLOOKUP($B29,'2017 Place'!$C$2:$Y$627,Z$1,FALSE)</f>
        <v>334</v>
      </c>
      <c r="AA29">
        <f>VLOOKUP($B29,'2017 Place'!$C$2:$Y$627,AA$1,FALSE)</f>
        <v>3491</v>
      </c>
      <c r="AB29">
        <f>VLOOKUP($B29,'2017 Place'!$C$2:$Y$627,AB$1,FALSE)</f>
        <v>98</v>
      </c>
      <c r="AC29">
        <f>VLOOKUP($B29,'2017 Place'!$C$2:$Y$627,AC$1,FALSE)</f>
        <v>106</v>
      </c>
      <c r="AD29">
        <f>VLOOKUP($B29,'2017 Place'!$C$2:$Y$627,AD$1,FALSE)</f>
        <v>90</v>
      </c>
      <c r="AE29">
        <f>VLOOKUP($B29,'2017 Place'!$C$2:$Y$627,AE$1,FALSE)</f>
        <v>8</v>
      </c>
      <c r="AF29">
        <f>VLOOKUP($B29,'2017 Place'!$C$2:$Y$627,AF$1,FALSE)</f>
        <v>0</v>
      </c>
      <c r="AG29">
        <f>VLOOKUP($B29,'2017 Place'!$C$2:$Y$627,AG$1,FALSE)</f>
        <v>98</v>
      </c>
      <c r="AH29">
        <f>VLOOKUP($B29,'2017 Place'!$C$2:$Y$627,AH$1,FALSE)</f>
        <v>0</v>
      </c>
      <c r="AI29">
        <f>VLOOKUP($B29,'2017 Place'!$C$2:$Y$627,AI$1,FALSE)</f>
        <v>32</v>
      </c>
      <c r="AJ29">
        <f>VLOOKUP($B29,'2017 Place'!$C$2:$Y$627,AJ$1,FALSE)</f>
        <v>124</v>
      </c>
      <c r="AK29">
        <f>VLOOKUP($B29,'2017 Place'!$C$2:$Y$627,AK$1,FALSE)</f>
        <v>0</v>
      </c>
      <c r="AL29">
        <f>VLOOKUP($B29,'2017 Place'!$C$2:$Y$627,AL$1,FALSE)</f>
        <v>0</v>
      </c>
      <c r="AM29">
        <f>VLOOKUP($B29,'2017 Place'!$C$2:$Y$627,AM$1,FALSE)</f>
        <v>228</v>
      </c>
      <c r="AN29">
        <f>VLOOKUP($B29,'2017 Place'!$C$2:$Y$627,AN$1,FALSE)</f>
        <v>22</v>
      </c>
      <c r="AO29">
        <f>VLOOKUP($B29,'2017 Place'!$C$2:$Y$627,AO$1,FALSE)</f>
        <v>81</v>
      </c>
      <c r="AP29">
        <f>VLOOKUP($B29,'2017 Place'!$C$2:$Y$627,AP$1,FALSE)</f>
        <v>0</v>
      </c>
    </row>
    <row r="30" spans="1:42" x14ac:dyDescent="0.25">
      <c r="A30">
        <v>5310215</v>
      </c>
      <c r="B30" t="str">
        <f t="shared" si="0"/>
        <v>Carnation city, Washington</v>
      </c>
      <c r="C30" t="s">
        <v>56</v>
      </c>
      <c r="D30" t="s">
        <v>57</v>
      </c>
      <c r="E30">
        <f>VLOOKUP(B30,'2000 2017 Place Conc'!$C$2:$V$627,2,FALSE)</f>
        <v>1905</v>
      </c>
      <c r="F30">
        <f>VLOOKUP($B30,'2000 2017 Place Conc'!$C$2:$V$627,F$1,FALSE)</f>
        <v>1785</v>
      </c>
      <c r="G30">
        <f>VLOOKUP($B30,'2000 2017 Place Conc'!$C$2:$V$627,G$1,FALSE)</f>
        <v>120</v>
      </c>
      <c r="H30">
        <f>VLOOKUP($B30,'2000 2017 Place Conc'!$C$2:$V$627,H$1,FALSE)</f>
        <v>1673</v>
      </c>
      <c r="I30">
        <f>VLOOKUP($B30,'2000 2017 Place Conc'!$C$2:$V$627,I$1,FALSE)</f>
        <v>48</v>
      </c>
      <c r="J30">
        <f>VLOOKUP($B30,'2000 2017 Place Conc'!$C$2:$V$627,J$1,FALSE)</f>
        <v>26</v>
      </c>
      <c r="K30">
        <f>VLOOKUP($B30,'2000 2017 Place Conc'!$C$2:$V$627,K$1,FALSE)</f>
        <v>16</v>
      </c>
      <c r="L30">
        <f>VLOOKUP($B30,'2000 2017 Place Conc'!$C$2:$V$627,L$1,FALSE)</f>
        <v>8</v>
      </c>
      <c r="M30">
        <f>VLOOKUP($B30,'2000 2017 Place Conc'!$C$2:$V$627,M$1,FALSE)</f>
        <v>3</v>
      </c>
      <c r="N30">
        <f>VLOOKUP($B30,'2000 2017 Place Conc'!$C$2:$V$627,N$1,FALSE)</f>
        <v>10</v>
      </c>
      <c r="O30">
        <f>VLOOKUP($B30,'2000 2017 Place Conc'!$C$2:$V$627,O$1,FALSE)</f>
        <v>0</v>
      </c>
      <c r="P30">
        <f>VLOOKUP($B30,'2000 2017 Place Conc'!$C$2:$V$627,P$1,FALSE)</f>
        <v>12</v>
      </c>
      <c r="Q30">
        <f>VLOOKUP($B30,'2000 2017 Place Conc'!$C$2:$V$627,Q$1,FALSE)</f>
        <v>35</v>
      </c>
      <c r="R30">
        <f>VLOOKUP($B30,'2000 2017 Place Conc'!$C$2:$V$627,R$1,FALSE)</f>
        <v>0</v>
      </c>
      <c r="S30">
        <f>VLOOKUP($B30,'2000 2017 Place Conc'!$C$2:$V$627,S$1,FALSE)</f>
        <v>0</v>
      </c>
      <c r="T30">
        <f>VLOOKUP($B30,'2000 2017 Place Conc'!$C$2:$V$627,T$1,FALSE)</f>
        <v>25</v>
      </c>
      <c r="U30">
        <f>VLOOKUP($B30,'2000 2017 Place Conc'!$C$2:$V$627,U$1,FALSE)</f>
        <v>14</v>
      </c>
      <c r="V30">
        <f>VLOOKUP($B30,'2000 2017 Place Conc'!$C$2:$V$627,V$1,FALSE)</f>
        <v>31</v>
      </c>
      <c r="W30">
        <f>VLOOKUP($B30,'2000 2017 Place Conc'!$C$2:$V$627,W$1,FALSE)</f>
        <v>4</v>
      </c>
      <c r="X30" s="4">
        <f>VLOOKUP($B30,'2017 Place'!$C$2:$Y$627,X$1,FALSE)</f>
        <v>1808</v>
      </c>
      <c r="Y30">
        <f>VLOOKUP($B30,'2017 Place'!$C$2:$Y$627,Y$1,FALSE)</f>
        <v>1611</v>
      </c>
      <c r="Z30">
        <f>VLOOKUP($B30,'2017 Place'!$C$2:$Y$627,Z$1,FALSE)</f>
        <v>197</v>
      </c>
      <c r="AA30">
        <f>VLOOKUP($B30,'2017 Place'!$C$2:$Y$627,AA$1,FALSE)</f>
        <v>1367</v>
      </c>
      <c r="AB30">
        <f>VLOOKUP($B30,'2017 Place'!$C$2:$Y$627,AB$1,FALSE)</f>
        <v>31</v>
      </c>
      <c r="AC30">
        <f>VLOOKUP($B30,'2017 Place'!$C$2:$Y$627,AC$1,FALSE)</f>
        <v>155</v>
      </c>
      <c r="AD30">
        <f>VLOOKUP($B30,'2017 Place'!$C$2:$Y$627,AD$1,FALSE)</f>
        <v>121</v>
      </c>
      <c r="AE30">
        <f>VLOOKUP($B30,'2017 Place'!$C$2:$Y$627,AE$1,FALSE)</f>
        <v>10</v>
      </c>
      <c r="AF30">
        <f>VLOOKUP($B30,'2017 Place'!$C$2:$Y$627,AF$1,FALSE)</f>
        <v>0</v>
      </c>
      <c r="AG30">
        <f>VLOOKUP($B30,'2017 Place'!$C$2:$Y$627,AG$1,FALSE)</f>
        <v>0</v>
      </c>
      <c r="AH30">
        <f>VLOOKUP($B30,'2017 Place'!$C$2:$Y$627,AH$1,FALSE)</f>
        <v>0</v>
      </c>
      <c r="AI30">
        <f>VLOOKUP($B30,'2017 Place'!$C$2:$Y$627,AI$1,FALSE)</f>
        <v>15</v>
      </c>
      <c r="AJ30">
        <f>VLOOKUP($B30,'2017 Place'!$C$2:$Y$627,AJ$1,FALSE)</f>
        <v>45</v>
      </c>
      <c r="AK30">
        <f>VLOOKUP($B30,'2017 Place'!$C$2:$Y$627,AK$1,FALSE)</f>
        <v>6</v>
      </c>
      <c r="AL30">
        <f>VLOOKUP($B30,'2017 Place'!$C$2:$Y$627,AL$1,FALSE)</f>
        <v>0</v>
      </c>
      <c r="AM30">
        <f>VLOOKUP($B30,'2017 Place'!$C$2:$Y$627,AM$1,FALSE)</f>
        <v>0</v>
      </c>
      <c r="AN30">
        <f>VLOOKUP($B30,'2017 Place'!$C$2:$Y$627,AN$1,FALSE)</f>
        <v>0</v>
      </c>
      <c r="AO30">
        <f>VLOOKUP($B30,'2017 Place'!$C$2:$Y$627,AO$1,FALSE)</f>
        <v>58</v>
      </c>
      <c r="AP30">
        <f>VLOOKUP($B30,'2017 Place'!$C$2:$Y$627,AP$1,FALSE)</f>
        <v>0</v>
      </c>
    </row>
    <row r="31" spans="1:42" x14ac:dyDescent="0.25">
      <c r="A31">
        <v>5313365</v>
      </c>
      <c r="B31" t="str">
        <f t="shared" si="0"/>
        <v>Clyde Hill city, Washington</v>
      </c>
      <c r="C31" t="s">
        <v>58</v>
      </c>
      <c r="D31" t="s">
        <v>59</v>
      </c>
      <c r="E31">
        <f>VLOOKUP(B31,'2000 2017 Place Conc'!$C$2:$V$627,2,FALSE)</f>
        <v>2890</v>
      </c>
      <c r="F31">
        <f>VLOOKUP($B31,'2000 2017 Place Conc'!$C$2:$V$627,F$1,FALSE)</f>
        <v>2501</v>
      </c>
      <c r="G31">
        <f>VLOOKUP($B31,'2000 2017 Place Conc'!$C$2:$V$627,G$1,FALSE)</f>
        <v>389</v>
      </c>
      <c r="H31">
        <f>VLOOKUP($B31,'2000 2017 Place Conc'!$C$2:$V$627,H$1,FALSE)</f>
        <v>2375</v>
      </c>
      <c r="I31">
        <f>VLOOKUP($B31,'2000 2017 Place Conc'!$C$2:$V$627,I$1,FALSE)</f>
        <v>221</v>
      </c>
      <c r="J31">
        <f>VLOOKUP($B31,'2000 2017 Place Conc'!$C$2:$V$627,J$1,FALSE)</f>
        <v>16</v>
      </c>
      <c r="K31">
        <f>VLOOKUP($B31,'2000 2017 Place Conc'!$C$2:$V$627,K$1,FALSE)</f>
        <v>0</v>
      </c>
      <c r="L31">
        <f>VLOOKUP($B31,'2000 2017 Place Conc'!$C$2:$V$627,L$1,FALSE)</f>
        <v>0</v>
      </c>
      <c r="M31">
        <f>VLOOKUP($B31,'2000 2017 Place Conc'!$C$2:$V$627,M$1,FALSE)</f>
        <v>0</v>
      </c>
      <c r="N31">
        <f>VLOOKUP($B31,'2000 2017 Place Conc'!$C$2:$V$627,N$1,FALSE)</f>
        <v>0</v>
      </c>
      <c r="O31">
        <f>VLOOKUP($B31,'2000 2017 Place Conc'!$C$2:$V$627,O$1,FALSE)</f>
        <v>0</v>
      </c>
      <c r="P31">
        <f>VLOOKUP($B31,'2000 2017 Place Conc'!$C$2:$V$627,P$1,FALSE)</f>
        <v>29</v>
      </c>
      <c r="Q31">
        <f>VLOOKUP($B31,'2000 2017 Place Conc'!$C$2:$V$627,Q$1,FALSE)</f>
        <v>151</v>
      </c>
      <c r="R31">
        <f>VLOOKUP($B31,'2000 2017 Place Conc'!$C$2:$V$627,R$1,FALSE)</f>
        <v>0</v>
      </c>
      <c r="S31">
        <f>VLOOKUP($B31,'2000 2017 Place Conc'!$C$2:$V$627,S$1,FALSE)</f>
        <v>0</v>
      </c>
      <c r="T31">
        <f>VLOOKUP($B31,'2000 2017 Place Conc'!$C$2:$V$627,T$1,FALSE)</f>
        <v>23</v>
      </c>
      <c r="U31">
        <f>VLOOKUP($B31,'2000 2017 Place Conc'!$C$2:$V$627,U$1,FALSE)</f>
        <v>4</v>
      </c>
      <c r="V31">
        <f>VLOOKUP($B31,'2000 2017 Place Conc'!$C$2:$V$627,V$1,FALSE)</f>
        <v>58</v>
      </c>
      <c r="W31">
        <f>VLOOKUP($B31,'2000 2017 Place Conc'!$C$2:$V$627,W$1,FALSE)</f>
        <v>13</v>
      </c>
      <c r="X31" s="4">
        <f>VLOOKUP($B31,'2017 Place'!$C$2:$Y$627,X$1,FALSE)</f>
        <v>3231</v>
      </c>
      <c r="Y31">
        <f>VLOOKUP($B31,'2017 Place'!$C$2:$Y$627,Y$1,FALSE)</f>
        <v>2533</v>
      </c>
      <c r="Z31">
        <f>VLOOKUP($B31,'2017 Place'!$C$2:$Y$627,Z$1,FALSE)</f>
        <v>698</v>
      </c>
      <c r="AA31">
        <f>VLOOKUP($B31,'2017 Place'!$C$2:$Y$627,AA$1,FALSE)</f>
        <v>2179</v>
      </c>
      <c r="AB31">
        <f>VLOOKUP($B31,'2017 Place'!$C$2:$Y$627,AB$1,FALSE)</f>
        <v>276</v>
      </c>
      <c r="AC31">
        <f>VLOOKUP($B31,'2017 Place'!$C$2:$Y$627,AC$1,FALSE)</f>
        <v>25</v>
      </c>
      <c r="AD31">
        <f>VLOOKUP($B31,'2017 Place'!$C$2:$Y$627,AD$1,FALSE)</f>
        <v>23</v>
      </c>
      <c r="AE31">
        <f>VLOOKUP($B31,'2017 Place'!$C$2:$Y$627,AE$1,FALSE)</f>
        <v>22</v>
      </c>
      <c r="AF31">
        <f>VLOOKUP($B31,'2017 Place'!$C$2:$Y$627,AF$1,FALSE)</f>
        <v>6</v>
      </c>
      <c r="AG31">
        <f>VLOOKUP($B31,'2017 Place'!$C$2:$Y$627,AG$1,FALSE)</f>
        <v>8</v>
      </c>
      <c r="AH31">
        <f>VLOOKUP($B31,'2017 Place'!$C$2:$Y$627,AH$1,FALSE)</f>
        <v>0</v>
      </c>
      <c r="AI31">
        <f>VLOOKUP($B31,'2017 Place'!$C$2:$Y$627,AI$1,FALSE)</f>
        <v>185</v>
      </c>
      <c r="AJ31">
        <f>VLOOKUP($B31,'2017 Place'!$C$2:$Y$627,AJ$1,FALSE)</f>
        <v>376</v>
      </c>
      <c r="AK31">
        <f>VLOOKUP($B31,'2017 Place'!$C$2:$Y$627,AK$1,FALSE)</f>
        <v>0</v>
      </c>
      <c r="AL31">
        <f>VLOOKUP($B31,'2017 Place'!$C$2:$Y$627,AL$1,FALSE)</f>
        <v>0</v>
      </c>
      <c r="AM31">
        <f>VLOOKUP($B31,'2017 Place'!$C$2:$Y$627,AM$1,FALSE)</f>
        <v>0</v>
      </c>
      <c r="AN31">
        <f>VLOOKUP($B31,'2017 Place'!$C$2:$Y$627,AN$1,FALSE)</f>
        <v>0</v>
      </c>
      <c r="AO31">
        <f>VLOOKUP($B31,'2017 Place'!$C$2:$Y$627,AO$1,FALSE)</f>
        <v>114</v>
      </c>
      <c r="AP31">
        <f>VLOOKUP($B31,'2017 Place'!$C$2:$Y$627,AP$1,FALSE)</f>
        <v>17</v>
      </c>
    </row>
    <row r="32" spans="1:42" x14ac:dyDescent="0.25">
      <c r="A32">
        <v>5335415</v>
      </c>
      <c r="B32" t="str">
        <f t="shared" si="0"/>
        <v>Kent city, Washington</v>
      </c>
      <c r="C32" t="s">
        <v>60</v>
      </c>
      <c r="D32" t="s">
        <v>61</v>
      </c>
      <c r="E32">
        <f>VLOOKUP(B32,'2000 2017 Place Conc'!$C$2:$V$627,2,FALSE)</f>
        <v>79325</v>
      </c>
      <c r="F32">
        <f>VLOOKUP($B32,'2000 2017 Place Conc'!$C$2:$V$627,F$1,FALSE)</f>
        <v>65185</v>
      </c>
      <c r="G32">
        <f>VLOOKUP($B32,'2000 2017 Place Conc'!$C$2:$V$627,G$1,FALSE)</f>
        <v>14140</v>
      </c>
      <c r="H32">
        <f>VLOOKUP($B32,'2000 2017 Place Conc'!$C$2:$V$627,H$1,FALSE)</f>
        <v>49596</v>
      </c>
      <c r="I32">
        <f>VLOOKUP($B32,'2000 2017 Place Conc'!$C$2:$V$627,I$1,FALSE)</f>
        <v>4337</v>
      </c>
      <c r="J32">
        <f>VLOOKUP($B32,'2000 2017 Place Conc'!$C$2:$V$627,J$1,FALSE)</f>
        <v>1311</v>
      </c>
      <c r="K32">
        <f>VLOOKUP($B32,'2000 2017 Place Conc'!$C$2:$V$627,K$1,FALSE)</f>
        <v>952</v>
      </c>
      <c r="L32">
        <f>VLOOKUP($B32,'2000 2017 Place Conc'!$C$2:$V$627,L$1,FALSE)</f>
        <v>5675</v>
      </c>
      <c r="M32">
        <f>VLOOKUP($B32,'2000 2017 Place Conc'!$C$2:$V$627,M$1,FALSE)</f>
        <v>711</v>
      </c>
      <c r="N32">
        <f>VLOOKUP($B32,'2000 2017 Place Conc'!$C$2:$V$627,N$1,FALSE)</f>
        <v>717</v>
      </c>
      <c r="O32">
        <f>VLOOKUP($B32,'2000 2017 Place Conc'!$C$2:$V$627,O$1,FALSE)</f>
        <v>66</v>
      </c>
      <c r="P32">
        <f>VLOOKUP($B32,'2000 2017 Place Conc'!$C$2:$V$627,P$1,FALSE)</f>
        <v>2558</v>
      </c>
      <c r="Q32">
        <f>VLOOKUP($B32,'2000 2017 Place Conc'!$C$2:$V$627,Q$1,FALSE)</f>
        <v>5162</v>
      </c>
      <c r="R32">
        <f>VLOOKUP($B32,'2000 2017 Place Conc'!$C$2:$V$627,R$1,FALSE)</f>
        <v>188</v>
      </c>
      <c r="S32">
        <f>VLOOKUP($B32,'2000 2017 Place Conc'!$C$2:$V$627,S$1,FALSE)</f>
        <v>70</v>
      </c>
      <c r="T32">
        <f>VLOOKUP($B32,'2000 2017 Place Conc'!$C$2:$V$627,T$1,FALSE)</f>
        <v>1612</v>
      </c>
      <c r="U32">
        <f>VLOOKUP($B32,'2000 2017 Place Conc'!$C$2:$V$627,U$1,FALSE)</f>
        <v>1897</v>
      </c>
      <c r="V32">
        <f>VLOOKUP($B32,'2000 2017 Place Conc'!$C$2:$V$627,V$1,FALSE)</f>
        <v>3528</v>
      </c>
      <c r="W32">
        <f>VLOOKUP($B32,'2000 2017 Place Conc'!$C$2:$V$627,W$1,FALSE)</f>
        <v>945</v>
      </c>
      <c r="X32" s="4">
        <f>VLOOKUP($B32,'2017 Place'!$C$2:$Y$627,X$1,FALSE)</f>
        <v>126561</v>
      </c>
      <c r="Y32">
        <f>VLOOKUP($B32,'2017 Place'!$C$2:$Y$627,Y$1,FALSE)</f>
        <v>86793</v>
      </c>
      <c r="Z32">
        <f>VLOOKUP($B32,'2017 Place'!$C$2:$Y$627,Z$1,FALSE)</f>
        <v>39768</v>
      </c>
      <c r="AA32">
        <f>VLOOKUP($B32,'2017 Place'!$C$2:$Y$627,AA$1,FALSE)</f>
        <v>49077</v>
      </c>
      <c r="AB32">
        <f>VLOOKUP($B32,'2017 Place'!$C$2:$Y$627,AB$1,FALSE)</f>
        <v>8674</v>
      </c>
      <c r="AC32">
        <f>VLOOKUP($B32,'2017 Place'!$C$2:$Y$627,AC$1,FALSE)</f>
        <v>4873</v>
      </c>
      <c r="AD32">
        <f>VLOOKUP($B32,'2017 Place'!$C$2:$Y$627,AD$1,FALSE)</f>
        <v>3249</v>
      </c>
      <c r="AE32">
        <f>VLOOKUP($B32,'2017 Place'!$C$2:$Y$627,AE$1,FALSE)</f>
        <v>11023</v>
      </c>
      <c r="AF32">
        <f>VLOOKUP($B32,'2017 Place'!$C$2:$Y$627,AF$1,FALSE)</f>
        <v>3392</v>
      </c>
      <c r="AG32">
        <f>VLOOKUP($B32,'2017 Place'!$C$2:$Y$627,AG$1,FALSE)</f>
        <v>1520</v>
      </c>
      <c r="AH32">
        <f>VLOOKUP($B32,'2017 Place'!$C$2:$Y$627,AH$1,FALSE)</f>
        <v>153</v>
      </c>
      <c r="AI32">
        <f>VLOOKUP($B32,'2017 Place'!$C$2:$Y$627,AI$1,FALSE)</f>
        <v>7897</v>
      </c>
      <c r="AJ32">
        <f>VLOOKUP($B32,'2017 Place'!$C$2:$Y$627,AJ$1,FALSE)</f>
        <v>17519</v>
      </c>
      <c r="AK32">
        <f>VLOOKUP($B32,'2017 Place'!$C$2:$Y$627,AK$1,FALSE)</f>
        <v>1409</v>
      </c>
      <c r="AL32">
        <f>VLOOKUP($B32,'2017 Place'!$C$2:$Y$627,AL$1,FALSE)</f>
        <v>795</v>
      </c>
      <c r="AM32">
        <f>VLOOKUP($B32,'2017 Place'!$C$2:$Y$627,AM$1,FALSE)</f>
        <v>4233</v>
      </c>
      <c r="AN32">
        <f>VLOOKUP($B32,'2017 Place'!$C$2:$Y$627,AN$1,FALSE)</f>
        <v>5011</v>
      </c>
      <c r="AO32">
        <f>VLOOKUP($B32,'2017 Place'!$C$2:$Y$627,AO$1,FALSE)</f>
        <v>6761</v>
      </c>
      <c r="AP32">
        <f>VLOOKUP($B32,'2017 Place'!$C$2:$Y$627,AP$1,FALSE)</f>
        <v>975</v>
      </c>
    </row>
    <row r="33" spans="1:42" x14ac:dyDescent="0.25">
      <c r="A33">
        <v>5343150</v>
      </c>
      <c r="B33" t="str">
        <f t="shared" si="0"/>
        <v>Maple Valley city, Washington</v>
      </c>
      <c r="C33" t="s">
        <v>62</v>
      </c>
      <c r="D33" t="s">
        <v>63</v>
      </c>
      <c r="E33">
        <f>VLOOKUP(B33,'2000 2017 Place Conc'!$C$2:$V$627,2,FALSE)</f>
        <v>14341</v>
      </c>
      <c r="F33">
        <f>VLOOKUP($B33,'2000 2017 Place Conc'!$C$2:$V$627,F$1,FALSE)</f>
        <v>13536</v>
      </c>
      <c r="G33">
        <f>VLOOKUP($B33,'2000 2017 Place Conc'!$C$2:$V$627,G$1,FALSE)</f>
        <v>805</v>
      </c>
      <c r="H33">
        <f>VLOOKUP($B33,'2000 2017 Place Conc'!$C$2:$V$627,H$1,FALSE)</f>
        <v>12483</v>
      </c>
      <c r="I33">
        <f>VLOOKUP($B33,'2000 2017 Place Conc'!$C$2:$V$627,I$1,FALSE)</f>
        <v>494</v>
      </c>
      <c r="J33">
        <f>VLOOKUP($B33,'2000 2017 Place Conc'!$C$2:$V$627,J$1,FALSE)</f>
        <v>186</v>
      </c>
      <c r="K33">
        <f>VLOOKUP($B33,'2000 2017 Place Conc'!$C$2:$V$627,K$1,FALSE)</f>
        <v>45</v>
      </c>
      <c r="L33">
        <f>VLOOKUP($B33,'2000 2017 Place Conc'!$C$2:$V$627,L$1,FALSE)</f>
        <v>86</v>
      </c>
      <c r="M33">
        <f>VLOOKUP($B33,'2000 2017 Place Conc'!$C$2:$V$627,M$1,FALSE)</f>
        <v>12</v>
      </c>
      <c r="N33">
        <f>VLOOKUP($B33,'2000 2017 Place Conc'!$C$2:$V$627,N$1,FALSE)</f>
        <v>52</v>
      </c>
      <c r="O33">
        <f>VLOOKUP($B33,'2000 2017 Place Conc'!$C$2:$V$627,O$1,FALSE)</f>
        <v>23</v>
      </c>
      <c r="P33">
        <f>VLOOKUP($B33,'2000 2017 Place Conc'!$C$2:$V$627,P$1,FALSE)</f>
        <v>207</v>
      </c>
      <c r="Q33">
        <f>VLOOKUP($B33,'2000 2017 Place Conc'!$C$2:$V$627,Q$1,FALSE)</f>
        <v>178</v>
      </c>
      <c r="R33">
        <f>VLOOKUP($B33,'2000 2017 Place Conc'!$C$2:$V$627,R$1,FALSE)</f>
        <v>12</v>
      </c>
      <c r="S33">
        <f>VLOOKUP($B33,'2000 2017 Place Conc'!$C$2:$V$627,S$1,FALSE)</f>
        <v>8</v>
      </c>
      <c r="T33">
        <f>VLOOKUP($B33,'2000 2017 Place Conc'!$C$2:$V$627,T$1,FALSE)</f>
        <v>102</v>
      </c>
      <c r="U33">
        <f>VLOOKUP($B33,'2000 2017 Place Conc'!$C$2:$V$627,U$1,FALSE)</f>
        <v>29</v>
      </c>
      <c r="V33">
        <f>VLOOKUP($B33,'2000 2017 Place Conc'!$C$2:$V$627,V$1,FALSE)</f>
        <v>408</v>
      </c>
      <c r="W33">
        <f>VLOOKUP($B33,'2000 2017 Place Conc'!$C$2:$V$627,W$1,FALSE)</f>
        <v>16</v>
      </c>
      <c r="X33" s="4">
        <f>VLOOKUP($B33,'2017 Place'!$C$2:$Y$627,X$1,FALSE)</f>
        <v>25375</v>
      </c>
      <c r="Y33">
        <f>VLOOKUP($B33,'2017 Place'!$C$2:$Y$627,Y$1,FALSE)</f>
        <v>23385</v>
      </c>
      <c r="Z33">
        <f>VLOOKUP($B33,'2017 Place'!$C$2:$Y$627,Z$1,FALSE)</f>
        <v>1990</v>
      </c>
      <c r="AA33">
        <f>VLOOKUP($B33,'2017 Place'!$C$2:$Y$627,AA$1,FALSE)</f>
        <v>19491</v>
      </c>
      <c r="AB33">
        <f>VLOOKUP($B33,'2017 Place'!$C$2:$Y$627,AB$1,FALSE)</f>
        <v>662</v>
      </c>
      <c r="AC33">
        <f>VLOOKUP($B33,'2017 Place'!$C$2:$Y$627,AC$1,FALSE)</f>
        <v>707</v>
      </c>
      <c r="AD33">
        <f>VLOOKUP($B33,'2017 Place'!$C$2:$Y$627,AD$1,FALSE)</f>
        <v>171</v>
      </c>
      <c r="AE33">
        <f>VLOOKUP($B33,'2017 Place'!$C$2:$Y$627,AE$1,FALSE)</f>
        <v>363</v>
      </c>
      <c r="AF33">
        <f>VLOOKUP($B33,'2017 Place'!$C$2:$Y$627,AF$1,FALSE)</f>
        <v>43</v>
      </c>
      <c r="AG33">
        <f>VLOOKUP($B33,'2017 Place'!$C$2:$Y$627,AG$1,FALSE)</f>
        <v>133</v>
      </c>
      <c r="AH33">
        <f>VLOOKUP($B33,'2017 Place'!$C$2:$Y$627,AH$1,FALSE)</f>
        <v>15</v>
      </c>
      <c r="AI33">
        <f>VLOOKUP($B33,'2017 Place'!$C$2:$Y$627,AI$1,FALSE)</f>
        <v>622</v>
      </c>
      <c r="AJ33">
        <f>VLOOKUP($B33,'2017 Place'!$C$2:$Y$627,AJ$1,FALSE)</f>
        <v>797</v>
      </c>
      <c r="AK33">
        <f>VLOOKUP($B33,'2017 Place'!$C$2:$Y$627,AK$1,FALSE)</f>
        <v>15</v>
      </c>
      <c r="AL33">
        <f>VLOOKUP($B33,'2017 Place'!$C$2:$Y$627,AL$1,FALSE)</f>
        <v>13</v>
      </c>
      <c r="AM33">
        <f>VLOOKUP($B33,'2017 Place'!$C$2:$Y$627,AM$1,FALSE)</f>
        <v>193</v>
      </c>
      <c r="AN33">
        <f>VLOOKUP($B33,'2017 Place'!$C$2:$Y$627,AN$1,FALSE)</f>
        <v>148</v>
      </c>
      <c r="AO33">
        <f>VLOOKUP($B33,'2017 Place'!$C$2:$Y$627,AO$1,FALSE)</f>
        <v>1861</v>
      </c>
      <c r="AP33">
        <f>VLOOKUP($B33,'2017 Place'!$C$2:$Y$627,AP$1,FALSE)</f>
        <v>141</v>
      </c>
    </row>
    <row r="34" spans="1:42" x14ac:dyDescent="0.25">
      <c r="A34">
        <v>5344725</v>
      </c>
      <c r="B34" t="str">
        <f t="shared" si="0"/>
        <v>Medina city, Washington</v>
      </c>
      <c r="C34" t="s">
        <v>64</v>
      </c>
      <c r="D34" t="s">
        <v>65</v>
      </c>
      <c r="E34">
        <f>VLOOKUP(B34,'2000 2017 Place Conc'!$C$2:$V$627,2,FALSE)</f>
        <v>3001</v>
      </c>
      <c r="F34">
        <f>VLOOKUP($B34,'2000 2017 Place Conc'!$C$2:$V$627,F$1,FALSE)</f>
        <v>2696</v>
      </c>
      <c r="G34">
        <f>VLOOKUP($B34,'2000 2017 Place Conc'!$C$2:$V$627,G$1,FALSE)</f>
        <v>305</v>
      </c>
      <c r="H34">
        <f>VLOOKUP($B34,'2000 2017 Place Conc'!$C$2:$V$627,H$1,FALSE)</f>
        <v>2549</v>
      </c>
      <c r="I34">
        <f>VLOOKUP($B34,'2000 2017 Place Conc'!$C$2:$V$627,I$1,FALSE)</f>
        <v>213</v>
      </c>
      <c r="J34">
        <f>VLOOKUP($B34,'2000 2017 Place Conc'!$C$2:$V$627,J$1,FALSE)</f>
        <v>74</v>
      </c>
      <c r="K34">
        <f>VLOOKUP($B34,'2000 2017 Place Conc'!$C$2:$V$627,K$1,FALSE)</f>
        <v>0</v>
      </c>
      <c r="L34">
        <f>VLOOKUP($B34,'2000 2017 Place Conc'!$C$2:$V$627,L$1,FALSE)</f>
        <v>3</v>
      </c>
      <c r="M34">
        <f>VLOOKUP($B34,'2000 2017 Place Conc'!$C$2:$V$627,M$1,FALSE)</f>
        <v>8</v>
      </c>
      <c r="N34">
        <f>VLOOKUP($B34,'2000 2017 Place Conc'!$C$2:$V$627,N$1,FALSE)</f>
        <v>0</v>
      </c>
      <c r="O34">
        <f>VLOOKUP($B34,'2000 2017 Place Conc'!$C$2:$V$627,O$1,FALSE)</f>
        <v>0</v>
      </c>
      <c r="P34">
        <f>VLOOKUP($B34,'2000 2017 Place Conc'!$C$2:$V$627,P$1,FALSE)</f>
        <v>18</v>
      </c>
      <c r="Q34">
        <f>VLOOKUP($B34,'2000 2017 Place Conc'!$C$2:$V$627,Q$1,FALSE)</f>
        <v>79</v>
      </c>
      <c r="R34">
        <f>VLOOKUP($B34,'2000 2017 Place Conc'!$C$2:$V$627,R$1,FALSE)</f>
        <v>0</v>
      </c>
      <c r="S34">
        <f>VLOOKUP($B34,'2000 2017 Place Conc'!$C$2:$V$627,S$1,FALSE)</f>
        <v>0</v>
      </c>
      <c r="T34">
        <f>VLOOKUP($B34,'2000 2017 Place Conc'!$C$2:$V$627,T$1,FALSE)</f>
        <v>8</v>
      </c>
      <c r="U34">
        <f>VLOOKUP($B34,'2000 2017 Place Conc'!$C$2:$V$627,U$1,FALSE)</f>
        <v>5</v>
      </c>
      <c r="V34">
        <f>VLOOKUP($B34,'2000 2017 Place Conc'!$C$2:$V$627,V$1,FALSE)</f>
        <v>44</v>
      </c>
      <c r="W34">
        <f>VLOOKUP($B34,'2000 2017 Place Conc'!$C$2:$V$627,W$1,FALSE)</f>
        <v>0</v>
      </c>
      <c r="X34" s="4">
        <f>VLOOKUP($B34,'2017 Place'!$C$2:$Y$627,X$1,FALSE)</f>
        <v>3217</v>
      </c>
      <c r="Y34">
        <f>VLOOKUP($B34,'2017 Place'!$C$2:$Y$627,Y$1,FALSE)</f>
        <v>2473</v>
      </c>
      <c r="Z34">
        <f>VLOOKUP($B34,'2017 Place'!$C$2:$Y$627,Z$1,FALSE)</f>
        <v>744</v>
      </c>
      <c r="AA34">
        <f>VLOOKUP($B34,'2017 Place'!$C$2:$Y$627,AA$1,FALSE)</f>
        <v>2024</v>
      </c>
      <c r="AB34">
        <f>VLOOKUP($B34,'2017 Place'!$C$2:$Y$627,AB$1,FALSE)</f>
        <v>232</v>
      </c>
      <c r="AC34">
        <f>VLOOKUP($B34,'2017 Place'!$C$2:$Y$627,AC$1,FALSE)</f>
        <v>56</v>
      </c>
      <c r="AD34">
        <f>VLOOKUP($B34,'2017 Place'!$C$2:$Y$627,AD$1,FALSE)</f>
        <v>40</v>
      </c>
      <c r="AE34">
        <f>VLOOKUP($B34,'2017 Place'!$C$2:$Y$627,AE$1,FALSE)</f>
        <v>20</v>
      </c>
      <c r="AF34">
        <f>VLOOKUP($B34,'2017 Place'!$C$2:$Y$627,AF$1,FALSE)</f>
        <v>0</v>
      </c>
      <c r="AG34">
        <f>VLOOKUP($B34,'2017 Place'!$C$2:$Y$627,AG$1,FALSE)</f>
        <v>0</v>
      </c>
      <c r="AH34">
        <f>VLOOKUP($B34,'2017 Place'!$C$2:$Y$627,AH$1,FALSE)</f>
        <v>0</v>
      </c>
      <c r="AI34">
        <f>VLOOKUP($B34,'2017 Place'!$C$2:$Y$627,AI$1,FALSE)</f>
        <v>215</v>
      </c>
      <c r="AJ34">
        <f>VLOOKUP($B34,'2017 Place'!$C$2:$Y$627,AJ$1,FALSE)</f>
        <v>420</v>
      </c>
      <c r="AK34">
        <f>VLOOKUP($B34,'2017 Place'!$C$2:$Y$627,AK$1,FALSE)</f>
        <v>0</v>
      </c>
      <c r="AL34">
        <f>VLOOKUP($B34,'2017 Place'!$C$2:$Y$627,AL$1,FALSE)</f>
        <v>0</v>
      </c>
      <c r="AM34">
        <f>VLOOKUP($B34,'2017 Place'!$C$2:$Y$627,AM$1,FALSE)</f>
        <v>3</v>
      </c>
      <c r="AN34">
        <f>VLOOKUP($B34,'2017 Place'!$C$2:$Y$627,AN$1,FALSE)</f>
        <v>15</v>
      </c>
      <c r="AO34">
        <f>VLOOKUP($B34,'2017 Place'!$C$2:$Y$627,AO$1,FALSE)</f>
        <v>155</v>
      </c>
      <c r="AP34">
        <f>VLOOKUP($B34,'2017 Place'!$C$2:$Y$627,AP$1,FALSE)</f>
        <v>37</v>
      </c>
    </row>
    <row r="35" spans="1:42" x14ac:dyDescent="0.25">
      <c r="A35">
        <v>5379590</v>
      </c>
      <c r="B35" t="str">
        <f t="shared" si="0"/>
        <v>Woodinville city, Washington</v>
      </c>
      <c r="C35" t="s">
        <v>66</v>
      </c>
      <c r="D35" t="s">
        <v>67</v>
      </c>
      <c r="E35">
        <f>VLOOKUP(B35,'2000 2017 Place Conc'!$C$2:$V$627,2,FALSE)</f>
        <v>9445</v>
      </c>
      <c r="F35">
        <f>VLOOKUP($B35,'2000 2017 Place Conc'!$C$2:$V$627,F$1,FALSE)</f>
        <v>8039</v>
      </c>
      <c r="G35">
        <f>VLOOKUP($B35,'2000 2017 Place Conc'!$C$2:$V$627,G$1,FALSE)</f>
        <v>1406</v>
      </c>
      <c r="H35">
        <f>VLOOKUP($B35,'2000 2017 Place Conc'!$C$2:$V$627,H$1,FALSE)</f>
        <v>7019</v>
      </c>
      <c r="I35">
        <f>VLOOKUP($B35,'2000 2017 Place Conc'!$C$2:$V$627,I$1,FALSE)</f>
        <v>508</v>
      </c>
      <c r="J35">
        <f>VLOOKUP($B35,'2000 2017 Place Conc'!$C$2:$V$627,J$1,FALSE)</f>
        <v>120</v>
      </c>
      <c r="K35">
        <f>VLOOKUP($B35,'2000 2017 Place Conc'!$C$2:$V$627,K$1,FALSE)</f>
        <v>165</v>
      </c>
      <c r="L35">
        <f>VLOOKUP($B35,'2000 2017 Place Conc'!$C$2:$V$627,L$1,FALSE)</f>
        <v>101</v>
      </c>
      <c r="M35">
        <f>VLOOKUP($B35,'2000 2017 Place Conc'!$C$2:$V$627,M$1,FALSE)</f>
        <v>0</v>
      </c>
      <c r="N35">
        <f>VLOOKUP($B35,'2000 2017 Place Conc'!$C$2:$V$627,N$1,FALSE)</f>
        <v>52</v>
      </c>
      <c r="O35">
        <f>VLOOKUP($B35,'2000 2017 Place Conc'!$C$2:$V$627,O$1,FALSE)</f>
        <v>0</v>
      </c>
      <c r="P35">
        <f>VLOOKUP($B35,'2000 2017 Place Conc'!$C$2:$V$627,P$1,FALSE)</f>
        <v>355</v>
      </c>
      <c r="Q35">
        <f>VLOOKUP($B35,'2000 2017 Place Conc'!$C$2:$V$627,Q$1,FALSE)</f>
        <v>402</v>
      </c>
      <c r="R35">
        <f>VLOOKUP($B35,'2000 2017 Place Conc'!$C$2:$V$627,R$1,FALSE)</f>
        <v>7</v>
      </c>
      <c r="S35">
        <f>VLOOKUP($B35,'2000 2017 Place Conc'!$C$2:$V$627,S$1,FALSE)</f>
        <v>0</v>
      </c>
      <c r="T35">
        <f>VLOOKUP($B35,'2000 2017 Place Conc'!$C$2:$V$627,T$1,FALSE)</f>
        <v>80</v>
      </c>
      <c r="U35">
        <f>VLOOKUP($B35,'2000 2017 Place Conc'!$C$2:$V$627,U$1,FALSE)</f>
        <v>250</v>
      </c>
      <c r="V35">
        <f>VLOOKUP($B35,'2000 2017 Place Conc'!$C$2:$V$627,V$1,FALSE)</f>
        <v>305</v>
      </c>
      <c r="W35">
        <f>VLOOKUP($B35,'2000 2017 Place Conc'!$C$2:$V$627,W$1,FALSE)</f>
        <v>81</v>
      </c>
      <c r="X35" s="4">
        <f>VLOOKUP($B35,'2017 Place'!$C$2:$Y$627,X$1,FALSE)</f>
        <v>11675</v>
      </c>
      <c r="Y35">
        <f>VLOOKUP($B35,'2017 Place'!$C$2:$Y$627,Y$1,FALSE)</f>
        <v>9994</v>
      </c>
      <c r="Z35">
        <f>VLOOKUP($B35,'2017 Place'!$C$2:$Y$627,Z$1,FALSE)</f>
        <v>1681</v>
      </c>
      <c r="AA35">
        <f>VLOOKUP($B35,'2017 Place'!$C$2:$Y$627,AA$1,FALSE)</f>
        <v>8729</v>
      </c>
      <c r="AB35">
        <f>VLOOKUP($B35,'2017 Place'!$C$2:$Y$627,AB$1,FALSE)</f>
        <v>728</v>
      </c>
      <c r="AC35">
        <f>VLOOKUP($B35,'2017 Place'!$C$2:$Y$627,AC$1,FALSE)</f>
        <v>225</v>
      </c>
      <c r="AD35">
        <f>VLOOKUP($B35,'2017 Place'!$C$2:$Y$627,AD$1,FALSE)</f>
        <v>23</v>
      </c>
      <c r="AE35">
        <f>VLOOKUP($B35,'2017 Place'!$C$2:$Y$627,AE$1,FALSE)</f>
        <v>120</v>
      </c>
      <c r="AF35">
        <f>VLOOKUP($B35,'2017 Place'!$C$2:$Y$627,AF$1,FALSE)</f>
        <v>0</v>
      </c>
      <c r="AG35">
        <f>VLOOKUP($B35,'2017 Place'!$C$2:$Y$627,AG$1,FALSE)</f>
        <v>8</v>
      </c>
      <c r="AH35">
        <f>VLOOKUP($B35,'2017 Place'!$C$2:$Y$627,AH$1,FALSE)</f>
        <v>6</v>
      </c>
      <c r="AI35">
        <f>VLOOKUP($B35,'2017 Place'!$C$2:$Y$627,AI$1,FALSE)</f>
        <v>345</v>
      </c>
      <c r="AJ35">
        <f>VLOOKUP($B35,'2017 Place'!$C$2:$Y$627,AJ$1,FALSE)</f>
        <v>914</v>
      </c>
      <c r="AK35">
        <f>VLOOKUP($B35,'2017 Place'!$C$2:$Y$627,AK$1,FALSE)</f>
        <v>29</v>
      </c>
      <c r="AL35">
        <f>VLOOKUP($B35,'2017 Place'!$C$2:$Y$627,AL$1,FALSE)</f>
        <v>0</v>
      </c>
      <c r="AM35">
        <f>VLOOKUP($B35,'2017 Place'!$C$2:$Y$627,AM$1,FALSE)</f>
        <v>56</v>
      </c>
      <c r="AN35">
        <f>VLOOKUP($B35,'2017 Place'!$C$2:$Y$627,AN$1,FALSE)</f>
        <v>1</v>
      </c>
      <c r="AO35">
        <f>VLOOKUP($B35,'2017 Place'!$C$2:$Y$627,AO$1,FALSE)</f>
        <v>482</v>
      </c>
      <c r="AP35">
        <f>VLOOKUP($B35,'2017 Place'!$C$2:$Y$627,AP$1,FALSE)</f>
        <v>9</v>
      </c>
    </row>
    <row r="36" spans="1:42" x14ac:dyDescent="0.25">
      <c r="A36">
        <v>5317635</v>
      </c>
      <c r="B36" t="str">
        <f t="shared" si="0"/>
        <v>Des Moines city, Washington</v>
      </c>
      <c r="C36" t="s">
        <v>68</v>
      </c>
      <c r="D36" t="s">
        <v>69</v>
      </c>
      <c r="E36">
        <f>VLOOKUP(B36,'2000 2017 Place Conc'!$C$2:$V$627,2,FALSE)</f>
        <v>29409</v>
      </c>
      <c r="F36">
        <f>VLOOKUP($B36,'2000 2017 Place Conc'!$C$2:$V$627,F$1,FALSE)</f>
        <v>25399</v>
      </c>
      <c r="G36">
        <f>VLOOKUP($B36,'2000 2017 Place Conc'!$C$2:$V$627,G$1,FALSE)</f>
        <v>4010</v>
      </c>
      <c r="H36">
        <f>VLOOKUP($B36,'2000 2017 Place Conc'!$C$2:$V$627,H$1,FALSE)</f>
        <v>20304</v>
      </c>
      <c r="I36">
        <f>VLOOKUP($B36,'2000 2017 Place Conc'!$C$2:$V$627,I$1,FALSE)</f>
        <v>958</v>
      </c>
      <c r="J36">
        <f>VLOOKUP($B36,'2000 2017 Place Conc'!$C$2:$V$627,J$1,FALSE)</f>
        <v>497</v>
      </c>
      <c r="K36">
        <f>VLOOKUP($B36,'2000 2017 Place Conc'!$C$2:$V$627,K$1,FALSE)</f>
        <v>203</v>
      </c>
      <c r="L36">
        <f>VLOOKUP($B36,'2000 2017 Place Conc'!$C$2:$V$627,L$1,FALSE)</f>
        <v>1948</v>
      </c>
      <c r="M36">
        <f>VLOOKUP($B36,'2000 2017 Place Conc'!$C$2:$V$627,M$1,FALSE)</f>
        <v>216</v>
      </c>
      <c r="N36">
        <f>VLOOKUP($B36,'2000 2017 Place Conc'!$C$2:$V$627,N$1,FALSE)</f>
        <v>188</v>
      </c>
      <c r="O36">
        <f>VLOOKUP($B36,'2000 2017 Place Conc'!$C$2:$V$627,O$1,FALSE)</f>
        <v>29</v>
      </c>
      <c r="P36">
        <f>VLOOKUP($B36,'2000 2017 Place Conc'!$C$2:$V$627,P$1,FALSE)</f>
        <v>854</v>
      </c>
      <c r="Q36">
        <f>VLOOKUP($B36,'2000 2017 Place Conc'!$C$2:$V$627,Q$1,FALSE)</f>
        <v>1611</v>
      </c>
      <c r="R36">
        <f>VLOOKUP($B36,'2000 2017 Place Conc'!$C$2:$V$627,R$1,FALSE)</f>
        <v>127</v>
      </c>
      <c r="S36">
        <f>VLOOKUP($B36,'2000 2017 Place Conc'!$C$2:$V$627,S$1,FALSE)</f>
        <v>263</v>
      </c>
      <c r="T36">
        <f>VLOOKUP($B36,'2000 2017 Place Conc'!$C$2:$V$627,T$1,FALSE)</f>
        <v>345</v>
      </c>
      <c r="U36">
        <f>VLOOKUP($B36,'2000 2017 Place Conc'!$C$2:$V$627,U$1,FALSE)</f>
        <v>572</v>
      </c>
      <c r="V36">
        <f>VLOOKUP($B36,'2000 2017 Place Conc'!$C$2:$V$627,V$1,FALSE)</f>
        <v>1136</v>
      </c>
      <c r="W36">
        <f>VLOOKUP($B36,'2000 2017 Place Conc'!$C$2:$V$627,W$1,FALSE)</f>
        <v>158</v>
      </c>
      <c r="X36" s="4">
        <f>VLOOKUP($B36,'2017 Place'!$C$2:$Y$627,X$1,FALSE)</f>
        <v>31080</v>
      </c>
      <c r="Y36">
        <f>VLOOKUP($B36,'2017 Place'!$C$2:$Y$627,Y$1,FALSE)</f>
        <v>23616</v>
      </c>
      <c r="Z36">
        <f>VLOOKUP($B36,'2017 Place'!$C$2:$Y$627,Z$1,FALSE)</f>
        <v>7464</v>
      </c>
      <c r="AA36">
        <f>VLOOKUP($B36,'2017 Place'!$C$2:$Y$627,AA$1,FALSE)</f>
        <v>15498</v>
      </c>
      <c r="AB36">
        <f>VLOOKUP($B36,'2017 Place'!$C$2:$Y$627,AB$1,FALSE)</f>
        <v>1042</v>
      </c>
      <c r="AC36">
        <f>VLOOKUP($B36,'2017 Place'!$C$2:$Y$627,AC$1,FALSE)</f>
        <v>1011</v>
      </c>
      <c r="AD36">
        <f>VLOOKUP($B36,'2017 Place'!$C$2:$Y$627,AD$1,FALSE)</f>
        <v>715</v>
      </c>
      <c r="AE36">
        <f>VLOOKUP($B36,'2017 Place'!$C$2:$Y$627,AE$1,FALSE)</f>
        <v>1386</v>
      </c>
      <c r="AF36">
        <f>VLOOKUP($B36,'2017 Place'!$C$2:$Y$627,AF$1,FALSE)</f>
        <v>684</v>
      </c>
      <c r="AG36">
        <f>VLOOKUP($B36,'2017 Place'!$C$2:$Y$627,AG$1,FALSE)</f>
        <v>144</v>
      </c>
      <c r="AH36">
        <f>VLOOKUP($B36,'2017 Place'!$C$2:$Y$627,AH$1,FALSE)</f>
        <v>10</v>
      </c>
      <c r="AI36">
        <f>VLOOKUP($B36,'2017 Place'!$C$2:$Y$627,AI$1,FALSE)</f>
        <v>1228</v>
      </c>
      <c r="AJ36">
        <f>VLOOKUP($B36,'2017 Place'!$C$2:$Y$627,AJ$1,FALSE)</f>
        <v>2669</v>
      </c>
      <c r="AK36">
        <f>VLOOKUP($B36,'2017 Place'!$C$2:$Y$627,AK$1,FALSE)</f>
        <v>407</v>
      </c>
      <c r="AL36">
        <f>VLOOKUP($B36,'2017 Place'!$C$2:$Y$627,AL$1,FALSE)</f>
        <v>515</v>
      </c>
      <c r="AM36">
        <f>VLOOKUP($B36,'2017 Place'!$C$2:$Y$627,AM$1,FALSE)</f>
        <v>1755</v>
      </c>
      <c r="AN36">
        <f>VLOOKUP($B36,'2017 Place'!$C$2:$Y$627,AN$1,FALSE)</f>
        <v>1656</v>
      </c>
      <c r="AO36">
        <f>VLOOKUP($B36,'2017 Place'!$C$2:$Y$627,AO$1,FALSE)</f>
        <v>2187</v>
      </c>
      <c r="AP36">
        <f>VLOOKUP($B36,'2017 Place'!$C$2:$Y$627,AP$1,FALSE)</f>
        <v>173</v>
      </c>
    </row>
    <row r="37" spans="1:42" x14ac:dyDescent="0.25">
      <c r="A37">
        <v>5332755</v>
      </c>
      <c r="B37" t="str">
        <f t="shared" si="0"/>
        <v>Hunts Point town, Washington</v>
      </c>
      <c r="C37" t="s">
        <v>70</v>
      </c>
      <c r="D37" t="s">
        <v>71</v>
      </c>
      <c r="E37">
        <f>VLOOKUP(B37,'2000 2017 Place Conc'!$C$2:$V$627,2,FALSE)</f>
        <v>444</v>
      </c>
      <c r="F37">
        <f>VLOOKUP($B37,'2000 2017 Place Conc'!$C$2:$V$627,F$1,FALSE)</f>
        <v>405</v>
      </c>
      <c r="G37">
        <f>VLOOKUP($B37,'2000 2017 Place Conc'!$C$2:$V$627,G$1,FALSE)</f>
        <v>39</v>
      </c>
      <c r="H37">
        <f>VLOOKUP($B37,'2000 2017 Place Conc'!$C$2:$V$627,H$1,FALSE)</f>
        <v>366</v>
      </c>
      <c r="I37">
        <f>VLOOKUP($B37,'2000 2017 Place Conc'!$C$2:$V$627,I$1,FALSE)</f>
        <v>19</v>
      </c>
      <c r="J37">
        <f>VLOOKUP($B37,'2000 2017 Place Conc'!$C$2:$V$627,J$1,FALSE)</f>
        <v>9</v>
      </c>
      <c r="K37">
        <f>VLOOKUP($B37,'2000 2017 Place Conc'!$C$2:$V$627,K$1,FALSE)</f>
        <v>6</v>
      </c>
      <c r="L37">
        <f>VLOOKUP($B37,'2000 2017 Place Conc'!$C$2:$V$627,L$1,FALSE)</f>
        <v>3</v>
      </c>
      <c r="M37">
        <f>VLOOKUP($B37,'2000 2017 Place Conc'!$C$2:$V$627,M$1,FALSE)</f>
        <v>0</v>
      </c>
      <c r="N37">
        <f>VLOOKUP($B37,'2000 2017 Place Conc'!$C$2:$V$627,N$1,FALSE)</f>
        <v>0</v>
      </c>
      <c r="O37">
        <f>VLOOKUP($B37,'2000 2017 Place Conc'!$C$2:$V$627,O$1,FALSE)</f>
        <v>0</v>
      </c>
      <c r="P37">
        <f>VLOOKUP($B37,'2000 2017 Place Conc'!$C$2:$V$627,P$1,FALSE)</f>
        <v>12</v>
      </c>
      <c r="Q37">
        <f>VLOOKUP($B37,'2000 2017 Place Conc'!$C$2:$V$627,Q$1,FALSE)</f>
        <v>14</v>
      </c>
      <c r="R37">
        <f>VLOOKUP($B37,'2000 2017 Place Conc'!$C$2:$V$627,R$1,FALSE)</f>
        <v>0</v>
      </c>
      <c r="S37">
        <f>VLOOKUP($B37,'2000 2017 Place Conc'!$C$2:$V$627,S$1,FALSE)</f>
        <v>0</v>
      </c>
      <c r="T37">
        <f>VLOOKUP($B37,'2000 2017 Place Conc'!$C$2:$V$627,T$1,FALSE)</f>
        <v>0</v>
      </c>
      <c r="U37">
        <f>VLOOKUP($B37,'2000 2017 Place Conc'!$C$2:$V$627,U$1,FALSE)</f>
        <v>0</v>
      </c>
      <c r="V37">
        <f>VLOOKUP($B37,'2000 2017 Place Conc'!$C$2:$V$627,V$1,FALSE)</f>
        <v>15</v>
      </c>
      <c r="W37">
        <f>VLOOKUP($B37,'2000 2017 Place Conc'!$C$2:$V$627,W$1,FALSE)</f>
        <v>0</v>
      </c>
      <c r="X37" s="4">
        <f>VLOOKUP($B37,'2017 Place'!$C$2:$Y$627,X$1,FALSE)</f>
        <v>423</v>
      </c>
      <c r="Y37">
        <f>VLOOKUP($B37,'2017 Place'!$C$2:$Y$627,Y$1,FALSE)</f>
        <v>342</v>
      </c>
      <c r="Z37">
        <f>VLOOKUP($B37,'2017 Place'!$C$2:$Y$627,Z$1,FALSE)</f>
        <v>81</v>
      </c>
      <c r="AA37">
        <f>VLOOKUP($B37,'2017 Place'!$C$2:$Y$627,AA$1,FALSE)</f>
        <v>305</v>
      </c>
      <c r="AB37">
        <f>VLOOKUP($B37,'2017 Place'!$C$2:$Y$627,AB$1,FALSE)</f>
        <v>28</v>
      </c>
      <c r="AC37">
        <f>VLOOKUP($B37,'2017 Place'!$C$2:$Y$627,AC$1,FALSE)</f>
        <v>2</v>
      </c>
      <c r="AD37">
        <f>VLOOKUP($B37,'2017 Place'!$C$2:$Y$627,AD$1,FALSE)</f>
        <v>0</v>
      </c>
      <c r="AE37">
        <f>VLOOKUP($B37,'2017 Place'!$C$2:$Y$627,AE$1,FALSE)</f>
        <v>0</v>
      </c>
      <c r="AF37">
        <f>VLOOKUP($B37,'2017 Place'!$C$2:$Y$627,AF$1,FALSE)</f>
        <v>0</v>
      </c>
      <c r="AG37">
        <f>VLOOKUP($B37,'2017 Place'!$C$2:$Y$627,AG$1,FALSE)</f>
        <v>0</v>
      </c>
      <c r="AH37">
        <f>VLOOKUP($B37,'2017 Place'!$C$2:$Y$627,AH$1,FALSE)</f>
        <v>0</v>
      </c>
      <c r="AI37">
        <f>VLOOKUP($B37,'2017 Place'!$C$2:$Y$627,AI$1,FALSE)</f>
        <v>21</v>
      </c>
      <c r="AJ37">
        <f>VLOOKUP($B37,'2017 Place'!$C$2:$Y$627,AJ$1,FALSE)</f>
        <v>52</v>
      </c>
      <c r="AK37">
        <f>VLOOKUP($B37,'2017 Place'!$C$2:$Y$627,AK$1,FALSE)</f>
        <v>0</v>
      </c>
      <c r="AL37">
        <f>VLOOKUP($B37,'2017 Place'!$C$2:$Y$627,AL$1,FALSE)</f>
        <v>0</v>
      </c>
      <c r="AM37">
        <f>VLOOKUP($B37,'2017 Place'!$C$2:$Y$627,AM$1,FALSE)</f>
        <v>0</v>
      </c>
      <c r="AN37">
        <f>VLOOKUP($B37,'2017 Place'!$C$2:$Y$627,AN$1,FALSE)</f>
        <v>1</v>
      </c>
      <c r="AO37">
        <f>VLOOKUP($B37,'2017 Place'!$C$2:$Y$627,AO$1,FALSE)</f>
        <v>14</v>
      </c>
      <c r="AP37">
        <f>VLOOKUP($B37,'2017 Place'!$C$2:$Y$627,AP$1,FALSE)</f>
        <v>0</v>
      </c>
    </row>
    <row r="38" spans="1:42" x14ac:dyDescent="0.25">
      <c r="A38">
        <v>5335940</v>
      </c>
      <c r="B38" t="str">
        <f t="shared" si="0"/>
        <v>Kirkland city, Washington</v>
      </c>
      <c r="C38" t="s">
        <v>72</v>
      </c>
      <c r="D38" t="s">
        <v>73</v>
      </c>
      <c r="E38">
        <f>VLOOKUP(B38,'2000 2017 Place Conc'!$C$2:$V$627,2,FALSE)</f>
        <v>44986</v>
      </c>
      <c r="F38">
        <f>VLOOKUP($B38,'2000 2017 Place Conc'!$C$2:$V$627,F$1,FALSE)</f>
        <v>37866</v>
      </c>
      <c r="G38">
        <f>VLOOKUP($B38,'2000 2017 Place Conc'!$C$2:$V$627,G$1,FALSE)</f>
        <v>7120</v>
      </c>
      <c r="H38">
        <f>VLOOKUP($B38,'2000 2017 Place Conc'!$C$2:$V$627,H$1,FALSE)</f>
        <v>33902</v>
      </c>
      <c r="I38">
        <f>VLOOKUP($B38,'2000 2017 Place Conc'!$C$2:$V$627,I$1,FALSE)</f>
        <v>3550</v>
      </c>
      <c r="J38">
        <f>VLOOKUP($B38,'2000 2017 Place Conc'!$C$2:$V$627,J$1,FALSE)</f>
        <v>647</v>
      </c>
      <c r="K38">
        <f>VLOOKUP($B38,'2000 2017 Place Conc'!$C$2:$V$627,K$1,FALSE)</f>
        <v>356</v>
      </c>
      <c r="L38">
        <f>VLOOKUP($B38,'2000 2017 Place Conc'!$C$2:$V$627,L$1,FALSE)</f>
        <v>519</v>
      </c>
      <c r="M38">
        <f>VLOOKUP($B38,'2000 2017 Place Conc'!$C$2:$V$627,M$1,FALSE)</f>
        <v>39</v>
      </c>
      <c r="N38">
        <f>VLOOKUP($B38,'2000 2017 Place Conc'!$C$2:$V$627,N$1,FALSE)</f>
        <v>239</v>
      </c>
      <c r="O38">
        <f>VLOOKUP($B38,'2000 2017 Place Conc'!$C$2:$V$627,O$1,FALSE)</f>
        <v>9</v>
      </c>
      <c r="P38">
        <f>VLOOKUP($B38,'2000 2017 Place Conc'!$C$2:$V$627,P$1,FALSE)</f>
        <v>917</v>
      </c>
      <c r="Q38">
        <f>VLOOKUP($B38,'2000 2017 Place Conc'!$C$2:$V$627,Q$1,FALSE)</f>
        <v>2559</v>
      </c>
      <c r="R38">
        <f>VLOOKUP($B38,'2000 2017 Place Conc'!$C$2:$V$627,R$1,FALSE)</f>
        <v>47</v>
      </c>
      <c r="S38">
        <f>VLOOKUP($B38,'2000 2017 Place Conc'!$C$2:$V$627,S$1,FALSE)</f>
        <v>29</v>
      </c>
      <c r="T38">
        <f>VLOOKUP($B38,'2000 2017 Place Conc'!$C$2:$V$627,T$1,FALSE)</f>
        <v>479</v>
      </c>
      <c r="U38">
        <f>VLOOKUP($B38,'2000 2017 Place Conc'!$C$2:$V$627,U$1,FALSE)</f>
        <v>208</v>
      </c>
      <c r="V38">
        <f>VLOOKUP($B38,'2000 2017 Place Conc'!$C$2:$V$627,V$1,FALSE)</f>
        <v>1116</v>
      </c>
      <c r="W38">
        <f>VLOOKUP($B38,'2000 2017 Place Conc'!$C$2:$V$627,W$1,FALSE)</f>
        <v>370</v>
      </c>
      <c r="X38" s="4">
        <f>VLOOKUP($B38,'2017 Place'!$C$2:$Y$627,X$1,FALSE)</f>
        <v>86772</v>
      </c>
      <c r="Y38">
        <f>VLOOKUP($B38,'2017 Place'!$C$2:$Y$627,Y$1,FALSE)</f>
        <v>66098</v>
      </c>
      <c r="Z38">
        <f>VLOOKUP($B38,'2017 Place'!$C$2:$Y$627,Z$1,FALSE)</f>
        <v>20674</v>
      </c>
      <c r="AA38">
        <f>VLOOKUP($B38,'2017 Place'!$C$2:$Y$627,AA$1,FALSE)</f>
        <v>54292</v>
      </c>
      <c r="AB38">
        <f>VLOOKUP($B38,'2017 Place'!$C$2:$Y$627,AB$1,FALSE)</f>
        <v>8694</v>
      </c>
      <c r="AC38">
        <f>VLOOKUP($B38,'2017 Place'!$C$2:$Y$627,AC$1,FALSE)</f>
        <v>2069</v>
      </c>
      <c r="AD38">
        <f>VLOOKUP($B38,'2017 Place'!$C$2:$Y$627,AD$1,FALSE)</f>
        <v>1677</v>
      </c>
      <c r="AE38">
        <f>VLOOKUP($B38,'2017 Place'!$C$2:$Y$627,AE$1,FALSE)</f>
        <v>778</v>
      </c>
      <c r="AF38">
        <f>VLOOKUP($B38,'2017 Place'!$C$2:$Y$627,AF$1,FALSE)</f>
        <v>258</v>
      </c>
      <c r="AG38">
        <f>VLOOKUP($B38,'2017 Place'!$C$2:$Y$627,AG$1,FALSE)</f>
        <v>282</v>
      </c>
      <c r="AH38">
        <f>VLOOKUP($B38,'2017 Place'!$C$2:$Y$627,AH$1,FALSE)</f>
        <v>0</v>
      </c>
      <c r="AI38">
        <f>VLOOKUP($B38,'2017 Place'!$C$2:$Y$627,AI$1,FALSE)</f>
        <v>3705</v>
      </c>
      <c r="AJ38">
        <f>VLOOKUP($B38,'2017 Place'!$C$2:$Y$627,AJ$1,FALSE)</f>
        <v>8567</v>
      </c>
      <c r="AK38">
        <f>VLOOKUP($B38,'2017 Place'!$C$2:$Y$627,AK$1,FALSE)</f>
        <v>30</v>
      </c>
      <c r="AL38">
        <f>VLOOKUP($B38,'2017 Place'!$C$2:$Y$627,AL$1,FALSE)</f>
        <v>30</v>
      </c>
      <c r="AM38">
        <f>VLOOKUP($B38,'2017 Place'!$C$2:$Y$627,AM$1,FALSE)</f>
        <v>808</v>
      </c>
      <c r="AN38">
        <f>VLOOKUP($B38,'2017 Place'!$C$2:$Y$627,AN$1,FALSE)</f>
        <v>849</v>
      </c>
      <c r="AO38">
        <f>VLOOKUP($B38,'2017 Place'!$C$2:$Y$627,AO$1,FALSE)</f>
        <v>4134</v>
      </c>
      <c r="AP38">
        <f>VLOOKUP($B38,'2017 Place'!$C$2:$Y$627,AP$1,FALSE)</f>
        <v>599</v>
      </c>
    </row>
    <row r="39" spans="1:42" x14ac:dyDescent="0.25">
      <c r="A39">
        <v>5307380</v>
      </c>
      <c r="B39" t="str">
        <f t="shared" si="0"/>
        <v>Bothell city, Washington</v>
      </c>
      <c r="C39" t="s">
        <v>74</v>
      </c>
      <c r="D39" t="s">
        <v>75</v>
      </c>
      <c r="E39">
        <f>VLOOKUP(B39,'2000 2017 Place Conc'!$C$2:$V$627,2,FALSE)</f>
        <v>29869</v>
      </c>
      <c r="F39">
        <f>VLOOKUP($B39,'2000 2017 Place Conc'!$C$2:$V$627,F$1,FALSE)</f>
        <v>26277</v>
      </c>
      <c r="G39">
        <f>VLOOKUP($B39,'2000 2017 Place Conc'!$C$2:$V$627,G$1,FALSE)</f>
        <v>3592</v>
      </c>
      <c r="H39">
        <f>VLOOKUP($B39,'2000 2017 Place Conc'!$C$2:$V$627,H$1,FALSE)</f>
        <v>23450</v>
      </c>
      <c r="I39">
        <f>VLOOKUP($B39,'2000 2017 Place Conc'!$C$2:$V$627,I$1,FALSE)</f>
        <v>1489</v>
      </c>
      <c r="J39">
        <f>VLOOKUP($B39,'2000 2017 Place Conc'!$C$2:$V$627,J$1,FALSE)</f>
        <v>389</v>
      </c>
      <c r="K39">
        <f>VLOOKUP($B39,'2000 2017 Place Conc'!$C$2:$V$627,K$1,FALSE)</f>
        <v>323</v>
      </c>
      <c r="L39">
        <f>VLOOKUP($B39,'2000 2017 Place Conc'!$C$2:$V$627,L$1,FALSE)</f>
        <v>219</v>
      </c>
      <c r="M39">
        <f>VLOOKUP($B39,'2000 2017 Place Conc'!$C$2:$V$627,M$1,FALSE)</f>
        <v>30</v>
      </c>
      <c r="N39">
        <f>VLOOKUP($B39,'2000 2017 Place Conc'!$C$2:$V$627,N$1,FALSE)</f>
        <v>213</v>
      </c>
      <c r="O39">
        <f>VLOOKUP($B39,'2000 2017 Place Conc'!$C$2:$V$627,O$1,FALSE)</f>
        <v>10</v>
      </c>
      <c r="P39">
        <f>VLOOKUP($B39,'2000 2017 Place Conc'!$C$2:$V$627,P$1,FALSE)</f>
        <v>866</v>
      </c>
      <c r="Q39">
        <f>VLOOKUP($B39,'2000 2017 Place Conc'!$C$2:$V$627,Q$1,FALSE)</f>
        <v>1451</v>
      </c>
      <c r="R39">
        <f>VLOOKUP($B39,'2000 2017 Place Conc'!$C$2:$V$627,R$1,FALSE)</f>
        <v>20</v>
      </c>
      <c r="S39">
        <f>VLOOKUP($B39,'2000 2017 Place Conc'!$C$2:$V$627,S$1,FALSE)</f>
        <v>24</v>
      </c>
      <c r="T39">
        <f>VLOOKUP($B39,'2000 2017 Place Conc'!$C$2:$V$627,T$1,FALSE)</f>
        <v>293</v>
      </c>
      <c r="U39">
        <f>VLOOKUP($B39,'2000 2017 Place Conc'!$C$2:$V$627,U$1,FALSE)</f>
        <v>225</v>
      </c>
      <c r="V39">
        <f>VLOOKUP($B39,'2000 2017 Place Conc'!$C$2:$V$627,V$1,FALSE)</f>
        <v>827</v>
      </c>
      <c r="W39">
        <f>VLOOKUP($B39,'2000 2017 Place Conc'!$C$2:$V$627,W$1,FALSE)</f>
        <v>40</v>
      </c>
      <c r="X39" s="4">
        <f>VLOOKUP($B39,'2017 Place'!$C$2:$Y$627,X$1,FALSE)</f>
        <v>44082</v>
      </c>
      <c r="Y39">
        <f>VLOOKUP($B39,'2017 Place'!$C$2:$Y$627,Y$1,FALSE)</f>
        <v>34542</v>
      </c>
      <c r="Z39">
        <f>VLOOKUP($B39,'2017 Place'!$C$2:$Y$627,Z$1,FALSE)</f>
        <v>9540</v>
      </c>
      <c r="AA39">
        <f>VLOOKUP($B39,'2017 Place'!$C$2:$Y$627,AA$1,FALSE)</f>
        <v>26744</v>
      </c>
      <c r="AB39">
        <f>VLOOKUP($B39,'2017 Place'!$C$2:$Y$627,AB$1,FALSE)</f>
        <v>2704</v>
      </c>
      <c r="AC39">
        <f>VLOOKUP($B39,'2017 Place'!$C$2:$Y$627,AC$1,FALSE)</f>
        <v>1317</v>
      </c>
      <c r="AD39">
        <f>VLOOKUP($B39,'2017 Place'!$C$2:$Y$627,AD$1,FALSE)</f>
        <v>842</v>
      </c>
      <c r="AE39">
        <f>VLOOKUP($B39,'2017 Place'!$C$2:$Y$627,AE$1,FALSE)</f>
        <v>660</v>
      </c>
      <c r="AF39">
        <f>VLOOKUP($B39,'2017 Place'!$C$2:$Y$627,AF$1,FALSE)</f>
        <v>358</v>
      </c>
      <c r="AG39">
        <f>VLOOKUP($B39,'2017 Place'!$C$2:$Y$627,AG$1,FALSE)</f>
        <v>190</v>
      </c>
      <c r="AH39">
        <f>VLOOKUP($B39,'2017 Place'!$C$2:$Y$627,AH$1,FALSE)</f>
        <v>46</v>
      </c>
      <c r="AI39">
        <f>VLOOKUP($B39,'2017 Place'!$C$2:$Y$627,AI$1,FALSE)</f>
        <v>2123</v>
      </c>
      <c r="AJ39">
        <f>VLOOKUP($B39,'2017 Place'!$C$2:$Y$627,AJ$1,FALSE)</f>
        <v>4135</v>
      </c>
      <c r="AK39">
        <f>VLOOKUP($B39,'2017 Place'!$C$2:$Y$627,AK$1,FALSE)</f>
        <v>58</v>
      </c>
      <c r="AL39">
        <f>VLOOKUP($B39,'2017 Place'!$C$2:$Y$627,AL$1,FALSE)</f>
        <v>0</v>
      </c>
      <c r="AM39">
        <f>VLOOKUP($B39,'2017 Place'!$C$2:$Y$627,AM$1,FALSE)</f>
        <v>814</v>
      </c>
      <c r="AN39">
        <f>VLOOKUP($B39,'2017 Place'!$C$2:$Y$627,AN$1,FALSE)</f>
        <v>1137</v>
      </c>
      <c r="AO39">
        <f>VLOOKUP($B39,'2017 Place'!$C$2:$Y$627,AO$1,FALSE)</f>
        <v>2636</v>
      </c>
      <c r="AP39">
        <f>VLOOKUP($B39,'2017 Place'!$C$2:$Y$627,AP$1,FALSE)</f>
        <v>318</v>
      </c>
    </row>
    <row r="40" spans="1:42" x14ac:dyDescent="0.25">
      <c r="A40">
        <v>5301920</v>
      </c>
      <c r="B40" t="str">
        <f t="shared" si="0"/>
        <v>Ames Lake CDP, Washington</v>
      </c>
      <c r="C40" t="s">
        <v>76</v>
      </c>
      <c r="D40" t="s">
        <v>77</v>
      </c>
      <c r="E40">
        <f>VLOOKUP(B40,'2000 2017 Place Conc'!$C$2:$V$627,2,FALSE)</f>
        <v>1430</v>
      </c>
      <c r="F40">
        <f>VLOOKUP($B40,'2000 2017 Place Conc'!$C$2:$V$627,F$1,FALSE)</f>
        <v>1292</v>
      </c>
      <c r="G40">
        <f>VLOOKUP($B40,'2000 2017 Place Conc'!$C$2:$V$627,G$1,FALSE)</f>
        <v>138</v>
      </c>
      <c r="H40">
        <f>VLOOKUP($B40,'2000 2017 Place Conc'!$C$2:$V$627,H$1,FALSE)</f>
        <v>1231</v>
      </c>
      <c r="I40">
        <f>VLOOKUP($B40,'2000 2017 Place Conc'!$C$2:$V$627,I$1,FALSE)</f>
        <v>97</v>
      </c>
      <c r="J40">
        <f>VLOOKUP($B40,'2000 2017 Place Conc'!$C$2:$V$627,J$1,FALSE)</f>
        <v>0</v>
      </c>
      <c r="K40">
        <f>VLOOKUP($B40,'2000 2017 Place Conc'!$C$2:$V$627,K$1,FALSE)</f>
        <v>0</v>
      </c>
      <c r="L40">
        <f>VLOOKUP($B40,'2000 2017 Place Conc'!$C$2:$V$627,L$1,FALSE)</f>
        <v>0</v>
      </c>
      <c r="M40">
        <f>VLOOKUP($B40,'2000 2017 Place Conc'!$C$2:$V$627,M$1,FALSE)</f>
        <v>0</v>
      </c>
      <c r="N40">
        <f>VLOOKUP($B40,'2000 2017 Place Conc'!$C$2:$V$627,N$1,FALSE)</f>
        <v>8</v>
      </c>
      <c r="O40">
        <f>VLOOKUP($B40,'2000 2017 Place Conc'!$C$2:$V$627,O$1,FALSE)</f>
        <v>0</v>
      </c>
      <c r="P40">
        <f>VLOOKUP($B40,'2000 2017 Place Conc'!$C$2:$V$627,P$1,FALSE)</f>
        <v>24</v>
      </c>
      <c r="Q40">
        <f>VLOOKUP($B40,'2000 2017 Place Conc'!$C$2:$V$627,Q$1,FALSE)</f>
        <v>41</v>
      </c>
      <c r="R40">
        <f>VLOOKUP($B40,'2000 2017 Place Conc'!$C$2:$V$627,R$1,FALSE)</f>
        <v>0</v>
      </c>
      <c r="S40">
        <f>VLOOKUP($B40,'2000 2017 Place Conc'!$C$2:$V$627,S$1,FALSE)</f>
        <v>0</v>
      </c>
      <c r="T40">
        <f>VLOOKUP($B40,'2000 2017 Place Conc'!$C$2:$V$627,T$1,FALSE)</f>
        <v>0</v>
      </c>
      <c r="U40">
        <f>VLOOKUP($B40,'2000 2017 Place Conc'!$C$2:$V$627,U$1,FALSE)</f>
        <v>0</v>
      </c>
      <c r="V40">
        <f>VLOOKUP($B40,'2000 2017 Place Conc'!$C$2:$V$627,V$1,FALSE)</f>
        <v>29</v>
      </c>
      <c r="W40">
        <f>VLOOKUP($B40,'2000 2017 Place Conc'!$C$2:$V$627,W$1,FALSE)</f>
        <v>0</v>
      </c>
      <c r="X40" s="4">
        <f>VLOOKUP($B40,'2017 Place'!$C$2:$Y$627,X$1,FALSE)</f>
        <v>1526</v>
      </c>
      <c r="Y40">
        <f>VLOOKUP($B40,'2017 Place'!$C$2:$Y$627,Y$1,FALSE)</f>
        <v>1364</v>
      </c>
      <c r="Z40">
        <f>VLOOKUP($B40,'2017 Place'!$C$2:$Y$627,Z$1,FALSE)</f>
        <v>162</v>
      </c>
      <c r="AA40">
        <f>VLOOKUP($B40,'2017 Place'!$C$2:$Y$627,AA$1,FALSE)</f>
        <v>1216</v>
      </c>
      <c r="AB40">
        <f>VLOOKUP($B40,'2017 Place'!$C$2:$Y$627,AB$1,FALSE)</f>
        <v>83</v>
      </c>
      <c r="AC40">
        <f>VLOOKUP($B40,'2017 Place'!$C$2:$Y$627,AC$1,FALSE)</f>
        <v>20</v>
      </c>
      <c r="AD40">
        <f>VLOOKUP($B40,'2017 Place'!$C$2:$Y$627,AD$1,FALSE)</f>
        <v>11</v>
      </c>
      <c r="AE40">
        <f>VLOOKUP($B40,'2017 Place'!$C$2:$Y$627,AE$1,FALSE)</f>
        <v>18</v>
      </c>
      <c r="AF40">
        <f>VLOOKUP($B40,'2017 Place'!$C$2:$Y$627,AF$1,FALSE)</f>
        <v>0</v>
      </c>
      <c r="AG40">
        <f>VLOOKUP($B40,'2017 Place'!$C$2:$Y$627,AG$1,FALSE)</f>
        <v>0</v>
      </c>
      <c r="AH40">
        <f>VLOOKUP($B40,'2017 Place'!$C$2:$Y$627,AH$1,FALSE)</f>
        <v>0</v>
      </c>
      <c r="AI40">
        <f>VLOOKUP($B40,'2017 Place'!$C$2:$Y$627,AI$1,FALSE)</f>
        <v>35</v>
      </c>
      <c r="AJ40">
        <f>VLOOKUP($B40,'2017 Place'!$C$2:$Y$627,AJ$1,FALSE)</f>
        <v>56</v>
      </c>
      <c r="AK40">
        <f>VLOOKUP($B40,'2017 Place'!$C$2:$Y$627,AK$1,FALSE)</f>
        <v>0</v>
      </c>
      <c r="AL40">
        <f>VLOOKUP($B40,'2017 Place'!$C$2:$Y$627,AL$1,FALSE)</f>
        <v>12</v>
      </c>
      <c r="AM40">
        <f>VLOOKUP($B40,'2017 Place'!$C$2:$Y$627,AM$1,FALSE)</f>
        <v>26</v>
      </c>
      <c r="AN40">
        <f>VLOOKUP($B40,'2017 Place'!$C$2:$Y$627,AN$1,FALSE)</f>
        <v>0</v>
      </c>
      <c r="AO40">
        <f>VLOOKUP($B40,'2017 Place'!$C$2:$Y$627,AO$1,FALSE)</f>
        <v>49</v>
      </c>
      <c r="AP40">
        <f>VLOOKUP($B40,'2017 Place'!$C$2:$Y$627,AP$1,FALSE)</f>
        <v>0</v>
      </c>
    </row>
    <row r="41" spans="1:42" x14ac:dyDescent="0.25">
      <c r="A41">
        <v>5307397</v>
      </c>
      <c r="B41" t="str">
        <f t="shared" si="0"/>
        <v>Boulevard Park CDP, Washington</v>
      </c>
      <c r="C41" t="s">
        <v>78</v>
      </c>
      <c r="D41" t="s">
        <v>79</v>
      </c>
      <c r="E41">
        <f>VLOOKUP(B41,'2000 2017 Place Conc'!$C$2:$V$627,2,FALSE)</f>
        <v>5694.5</v>
      </c>
      <c r="F41">
        <f>VLOOKUP($B41,'2000 2017 Place Conc'!$C$2:$V$627,F$1,FALSE)</f>
        <v>4404.5</v>
      </c>
      <c r="G41">
        <f>VLOOKUP($B41,'2000 2017 Place Conc'!$C$2:$V$627,G$1,FALSE)</f>
        <v>1290</v>
      </c>
      <c r="H41">
        <f>VLOOKUP($B41,'2000 2017 Place Conc'!$C$2:$V$627,H$1,FALSE)</f>
        <v>3033</v>
      </c>
      <c r="I41">
        <f>VLOOKUP($B41,'2000 2017 Place Conc'!$C$2:$V$627,I$1,FALSE)</f>
        <v>165</v>
      </c>
      <c r="J41">
        <f>VLOOKUP($B41,'2000 2017 Place Conc'!$C$2:$V$627,J$1,FALSE)</f>
        <v>88.5</v>
      </c>
      <c r="K41">
        <f>VLOOKUP($B41,'2000 2017 Place Conc'!$C$2:$V$627,K$1,FALSE)</f>
        <v>149</v>
      </c>
      <c r="L41">
        <f>VLOOKUP($B41,'2000 2017 Place Conc'!$C$2:$V$627,L$1,FALSE)</f>
        <v>354</v>
      </c>
      <c r="M41">
        <f>VLOOKUP($B41,'2000 2017 Place Conc'!$C$2:$V$627,M$1,FALSE)</f>
        <v>68.5</v>
      </c>
      <c r="N41">
        <f>VLOOKUP($B41,'2000 2017 Place Conc'!$C$2:$V$627,N$1,FALSE)</f>
        <v>10.5</v>
      </c>
      <c r="O41">
        <f>VLOOKUP($B41,'2000 2017 Place Conc'!$C$2:$V$627,O$1,FALSE)</f>
        <v>0</v>
      </c>
      <c r="P41">
        <f>VLOOKUP($B41,'2000 2017 Place Conc'!$C$2:$V$627,P$1,FALSE)</f>
        <v>257</v>
      </c>
      <c r="Q41">
        <f>VLOOKUP($B41,'2000 2017 Place Conc'!$C$2:$V$627,Q$1,FALSE)</f>
        <v>505</v>
      </c>
      <c r="R41">
        <f>VLOOKUP($B41,'2000 2017 Place Conc'!$C$2:$V$627,R$1,FALSE)</f>
        <v>39</v>
      </c>
      <c r="S41">
        <f>VLOOKUP($B41,'2000 2017 Place Conc'!$C$2:$V$627,S$1,FALSE)</f>
        <v>18.5</v>
      </c>
      <c r="T41">
        <f>VLOOKUP($B41,'2000 2017 Place Conc'!$C$2:$V$627,T$1,FALSE)</f>
        <v>297.5</v>
      </c>
      <c r="U41">
        <f>VLOOKUP($B41,'2000 2017 Place Conc'!$C$2:$V$627,U$1,FALSE)</f>
        <v>301</v>
      </c>
      <c r="V41">
        <f>VLOOKUP($B41,'2000 2017 Place Conc'!$C$2:$V$627,V$1,FALSE)</f>
        <v>325</v>
      </c>
      <c r="W41">
        <f>VLOOKUP($B41,'2000 2017 Place Conc'!$C$2:$V$627,W$1,FALSE)</f>
        <v>83</v>
      </c>
      <c r="X41" s="4">
        <f>VLOOKUP($B41,'2017 Place'!$C$2:$Y$627,X$1,FALSE)</f>
        <v>3916</v>
      </c>
      <c r="Y41">
        <f>VLOOKUP($B41,'2017 Place'!$C$2:$Y$627,Y$1,FALSE)</f>
        <v>2907</v>
      </c>
      <c r="Z41">
        <f>VLOOKUP($B41,'2017 Place'!$C$2:$Y$627,Z$1,FALSE)</f>
        <v>1009</v>
      </c>
      <c r="AA41">
        <f>VLOOKUP($B41,'2017 Place'!$C$2:$Y$627,AA$1,FALSE)</f>
        <v>1468</v>
      </c>
      <c r="AB41">
        <f>VLOOKUP($B41,'2017 Place'!$C$2:$Y$627,AB$1,FALSE)</f>
        <v>145</v>
      </c>
      <c r="AC41">
        <f>VLOOKUP($B41,'2017 Place'!$C$2:$Y$627,AC$1,FALSE)</f>
        <v>253</v>
      </c>
      <c r="AD41">
        <f>VLOOKUP($B41,'2017 Place'!$C$2:$Y$627,AD$1,FALSE)</f>
        <v>81</v>
      </c>
      <c r="AE41">
        <f>VLOOKUP($B41,'2017 Place'!$C$2:$Y$627,AE$1,FALSE)</f>
        <v>292</v>
      </c>
      <c r="AF41">
        <f>VLOOKUP($B41,'2017 Place'!$C$2:$Y$627,AF$1,FALSE)</f>
        <v>157</v>
      </c>
      <c r="AG41">
        <f>VLOOKUP($B41,'2017 Place'!$C$2:$Y$627,AG$1,FALSE)</f>
        <v>32</v>
      </c>
      <c r="AH41">
        <f>VLOOKUP($B41,'2017 Place'!$C$2:$Y$627,AH$1,FALSE)</f>
        <v>20</v>
      </c>
      <c r="AI41">
        <f>VLOOKUP($B41,'2017 Place'!$C$2:$Y$627,AI$1,FALSE)</f>
        <v>183</v>
      </c>
      <c r="AJ41">
        <f>VLOOKUP($B41,'2017 Place'!$C$2:$Y$627,AJ$1,FALSE)</f>
        <v>324</v>
      </c>
      <c r="AK41">
        <f>VLOOKUP($B41,'2017 Place'!$C$2:$Y$627,AK$1,FALSE)</f>
        <v>0</v>
      </c>
      <c r="AL41">
        <f>VLOOKUP($B41,'2017 Place'!$C$2:$Y$627,AL$1,FALSE)</f>
        <v>0</v>
      </c>
      <c r="AM41">
        <f>VLOOKUP($B41,'2017 Place'!$C$2:$Y$627,AM$1,FALSE)</f>
        <v>116</v>
      </c>
      <c r="AN41">
        <f>VLOOKUP($B41,'2017 Place'!$C$2:$Y$627,AN$1,FALSE)</f>
        <v>235</v>
      </c>
      <c r="AO41">
        <f>VLOOKUP($B41,'2017 Place'!$C$2:$Y$627,AO$1,FALSE)</f>
        <v>563</v>
      </c>
      <c r="AP41">
        <f>VLOOKUP($B41,'2017 Place'!$C$2:$Y$627,AP$1,FALSE)</f>
        <v>47</v>
      </c>
    </row>
    <row r="42" spans="1:42" x14ac:dyDescent="0.25">
      <c r="A42">
        <v>5308552</v>
      </c>
      <c r="B42" t="str">
        <f t="shared" si="0"/>
        <v>Bryn Mawr-Skyway CDP, Washington</v>
      </c>
      <c r="C42" t="s">
        <v>80</v>
      </c>
      <c r="D42" t="s">
        <v>81</v>
      </c>
      <c r="E42">
        <f>VLOOKUP(B42,'2000 2017 Place Conc'!$C$2:$V$627,2,FALSE)</f>
        <v>14050</v>
      </c>
      <c r="F42">
        <f>VLOOKUP($B42,'2000 2017 Place Conc'!$C$2:$V$627,F$1,FALSE)</f>
        <v>11249</v>
      </c>
      <c r="G42">
        <f>VLOOKUP($B42,'2000 2017 Place Conc'!$C$2:$V$627,G$1,FALSE)</f>
        <v>2801</v>
      </c>
      <c r="H42">
        <f>VLOOKUP($B42,'2000 2017 Place Conc'!$C$2:$V$627,H$1,FALSE)</f>
        <v>5654</v>
      </c>
      <c r="I42">
        <f>VLOOKUP($B42,'2000 2017 Place Conc'!$C$2:$V$627,I$1,FALSE)</f>
        <v>326</v>
      </c>
      <c r="J42">
        <f>VLOOKUP($B42,'2000 2017 Place Conc'!$C$2:$V$627,J$1,FALSE)</f>
        <v>121</v>
      </c>
      <c r="K42">
        <f>VLOOKUP($B42,'2000 2017 Place Conc'!$C$2:$V$627,K$1,FALSE)</f>
        <v>62</v>
      </c>
      <c r="L42">
        <f>VLOOKUP($B42,'2000 2017 Place Conc'!$C$2:$V$627,L$1,FALSE)</f>
        <v>3428</v>
      </c>
      <c r="M42">
        <f>VLOOKUP($B42,'2000 2017 Place Conc'!$C$2:$V$627,M$1,FALSE)</f>
        <v>133</v>
      </c>
      <c r="N42">
        <f>VLOOKUP($B42,'2000 2017 Place Conc'!$C$2:$V$627,N$1,FALSE)</f>
        <v>110</v>
      </c>
      <c r="O42">
        <f>VLOOKUP($B42,'2000 2017 Place Conc'!$C$2:$V$627,O$1,FALSE)</f>
        <v>19</v>
      </c>
      <c r="P42">
        <f>VLOOKUP($B42,'2000 2017 Place Conc'!$C$2:$V$627,P$1,FALSE)</f>
        <v>1181</v>
      </c>
      <c r="Q42">
        <f>VLOOKUP($B42,'2000 2017 Place Conc'!$C$2:$V$627,Q$1,FALSE)</f>
        <v>1874</v>
      </c>
      <c r="R42">
        <f>VLOOKUP($B42,'2000 2017 Place Conc'!$C$2:$V$627,R$1,FALSE)</f>
        <v>36</v>
      </c>
      <c r="S42">
        <f>VLOOKUP($B42,'2000 2017 Place Conc'!$C$2:$V$627,S$1,FALSE)</f>
        <v>108</v>
      </c>
      <c r="T42">
        <f>VLOOKUP($B42,'2000 2017 Place Conc'!$C$2:$V$627,T$1,FALSE)</f>
        <v>154</v>
      </c>
      <c r="U42">
        <f>VLOOKUP($B42,'2000 2017 Place Conc'!$C$2:$V$627,U$1,FALSE)</f>
        <v>209</v>
      </c>
      <c r="V42">
        <f>VLOOKUP($B42,'2000 2017 Place Conc'!$C$2:$V$627,V$1,FALSE)</f>
        <v>565</v>
      </c>
      <c r="W42">
        <f>VLOOKUP($B42,'2000 2017 Place Conc'!$C$2:$V$627,W$1,FALSE)</f>
        <v>70</v>
      </c>
      <c r="X42" s="4">
        <f>VLOOKUP($B42,'2017 Place'!$C$2:$Y$627,X$1,FALSE)</f>
        <v>18365</v>
      </c>
      <c r="Y42">
        <f>VLOOKUP($B42,'2017 Place'!$C$2:$Y$627,Y$1,FALSE)</f>
        <v>11818</v>
      </c>
      <c r="Z42">
        <f>VLOOKUP($B42,'2017 Place'!$C$2:$Y$627,Z$1,FALSE)</f>
        <v>6547</v>
      </c>
      <c r="AA42">
        <f>VLOOKUP($B42,'2017 Place'!$C$2:$Y$627,AA$1,FALSE)</f>
        <v>4430</v>
      </c>
      <c r="AB42">
        <f>VLOOKUP($B42,'2017 Place'!$C$2:$Y$627,AB$1,FALSE)</f>
        <v>314</v>
      </c>
      <c r="AC42">
        <f>VLOOKUP($B42,'2017 Place'!$C$2:$Y$627,AC$1,FALSE)</f>
        <v>303</v>
      </c>
      <c r="AD42">
        <f>VLOOKUP($B42,'2017 Place'!$C$2:$Y$627,AD$1,FALSE)</f>
        <v>193</v>
      </c>
      <c r="AE42">
        <f>VLOOKUP($B42,'2017 Place'!$C$2:$Y$627,AE$1,FALSE)</f>
        <v>3523</v>
      </c>
      <c r="AF42">
        <f>VLOOKUP($B42,'2017 Place'!$C$2:$Y$627,AF$1,FALSE)</f>
        <v>826</v>
      </c>
      <c r="AG42">
        <f>VLOOKUP($B42,'2017 Place'!$C$2:$Y$627,AG$1,FALSE)</f>
        <v>55</v>
      </c>
      <c r="AH42">
        <f>VLOOKUP($B42,'2017 Place'!$C$2:$Y$627,AH$1,FALSE)</f>
        <v>13</v>
      </c>
      <c r="AI42">
        <f>VLOOKUP($B42,'2017 Place'!$C$2:$Y$627,AI$1,FALSE)</f>
        <v>1626</v>
      </c>
      <c r="AJ42">
        <f>VLOOKUP($B42,'2017 Place'!$C$2:$Y$627,AJ$1,FALSE)</f>
        <v>4359</v>
      </c>
      <c r="AK42">
        <f>VLOOKUP($B42,'2017 Place'!$C$2:$Y$627,AK$1,FALSE)</f>
        <v>9</v>
      </c>
      <c r="AL42">
        <f>VLOOKUP($B42,'2017 Place'!$C$2:$Y$627,AL$1,FALSE)</f>
        <v>64</v>
      </c>
      <c r="AM42">
        <f>VLOOKUP($B42,'2017 Place'!$C$2:$Y$627,AM$1,FALSE)</f>
        <v>522</v>
      </c>
      <c r="AN42">
        <f>VLOOKUP($B42,'2017 Place'!$C$2:$Y$627,AN$1,FALSE)</f>
        <v>673</v>
      </c>
      <c r="AO42">
        <f>VLOOKUP($B42,'2017 Place'!$C$2:$Y$627,AO$1,FALSE)</f>
        <v>1350</v>
      </c>
      <c r="AP42">
        <f>VLOOKUP($B42,'2017 Place'!$C$2:$Y$627,AP$1,FALSE)</f>
        <v>105</v>
      </c>
    </row>
    <row r="43" spans="1:42" x14ac:dyDescent="0.25">
      <c r="A43">
        <v>5314940</v>
      </c>
      <c r="B43" t="str">
        <f t="shared" si="0"/>
        <v>Cottage Lake CDP, Washington</v>
      </c>
      <c r="C43" t="s">
        <v>82</v>
      </c>
      <c r="D43" t="s">
        <v>83</v>
      </c>
      <c r="E43">
        <f>VLOOKUP(B43,'2000 2017 Place Conc'!$C$2:$V$627,2,FALSE)</f>
        <v>24299</v>
      </c>
      <c r="F43">
        <f>VLOOKUP($B43,'2000 2017 Place Conc'!$C$2:$V$627,F$1,FALSE)</f>
        <v>22344</v>
      </c>
      <c r="G43">
        <f>VLOOKUP($B43,'2000 2017 Place Conc'!$C$2:$V$627,G$1,FALSE)</f>
        <v>1955</v>
      </c>
      <c r="H43">
        <f>VLOOKUP($B43,'2000 2017 Place Conc'!$C$2:$V$627,H$1,FALSE)</f>
        <v>20590</v>
      </c>
      <c r="I43">
        <f>VLOOKUP($B43,'2000 2017 Place Conc'!$C$2:$V$627,I$1,FALSE)</f>
        <v>1158</v>
      </c>
      <c r="J43">
        <f>VLOOKUP($B43,'2000 2017 Place Conc'!$C$2:$V$627,J$1,FALSE)</f>
        <v>221</v>
      </c>
      <c r="K43">
        <f>VLOOKUP($B43,'2000 2017 Place Conc'!$C$2:$V$627,K$1,FALSE)</f>
        <v>45</v>
      </c>
      <c r="L43">
        <f>VLOOKUP($B43,'2000 2017 Place Conc'!$C$2:$V$627,L$1,FALSE)</f>
        <v>181</v>
      </c>
      <c r="M43">
        <f>VLOOKUP($B43,'2000 2017 Place Conc'!$C$2:$V$627,M$1,FALSE)</f>
        <v>13</v>
      </c>
      <c r="N43">
        <f>VLOOKUP($B43,'2000 2017 Place Conc'!$C$2:$V$627,N$1,FALSE)</f>
        <v>85</v>
      </c>
      <c r="O43">
        <f>VLOOKUP($B43,'2000 2017 Place Conc'!$C$2:$V$627,O$1,FALSE)</f>
        <v>0</v>
      </c>
      <c r="P43">
        <f>VLOOKUP($B43,'2000 2017 Place Conc'!$C$2:$V$627,P$1,FALSE)</f>
        <v>469</v>
      </c>
      <c r="Q43">
        <f>VLOOKUP($B43,'2000 2017 Place Conc'!$C$2:$V$627,Q$1,FALSE)</f>
        <v>582</v>
      </c>
      <c r="R43">
        <f>VLOOKUP($B43,'2000 2017 Place Conc'!$C$2:$V$627,R$1,FALSE)</f>
        <v>17</v>
      </c>
      <c r="S43">
        <f>VLOOKUP($B43,'2000 2017 Place Conc'!$C$2:$V$627,S$1,FALSE)</f>
        <v>0</v>
      </c>
      <c r="T43">
        <f>VLOOKUP($B43,'2000 2017 Place Conc'!$C$2:$V$627,T$1,FALSE)</f>
        <v>218</v>
      </c>
      <c r="U43">
        <f>VLOOKUP($B43,'2000 2017 Place Conc'!$C$2:$V$627,U$1,FALSE)</f>
        <v>50</v>
      </c>
      <c r="V43">
        <f>VLOOKUP($B43,'2000 2017 Place Conc'!$C$2:$V$627,V$1,FALSE)</f>
        <v>563</v>
      </c>
      <c r="W43">
        <f>VLOOKUP($B43,'2000 2017 Place Conc'!$C$2:$V$627,W$1,FALSE)</f>
        <v>107</v>
      </c>
      <c r="X43" s="4">
        <f>VLOOKUP($B43,'2017 Place'!$C$2:$Y$627,X$1,FALSE)</f>
        <v>23941</v>
      </c>
      <c r="Y43">
        <f>VLOOKUP($B43,'2017 Place'!$C$2:$Y$627,Y$1,FALSE)</f>
        <v>20802</v>
      </c>
      <c r="Z43">
        <f>VLOOKUP($B43,'2017 Place'!$C$2:$Y$627,Z$1,FALSE)</f>
        <v>3139</v>
      </c>
      <c r="AA43">
        <f>VLOOKUP($B43,'2017 Place'!$C$2:$Y$627,AA$1,FALSE)</f>
        <v>18190</v>
      </c>
      <c r="AB43">
        <f>VLOOKUP($B43,'2017 Place'!$C$2:$Y$627,AB$1,FALSE)</f>
        <v>1568</v>
      </c>
      <c r="AC43">
        <f>VLOOKUP($B43,'2017 Place'!$C$2:$Y$627,AC$1,FALSE)</f>
        <v>533</v>
      </c>
      <c r="AD43">
        <f>VLOOKUP($B43,'2017 Place'!$C$2:$Y$627,AD$1,FALSE)</f>
        <v>267</v>
      </c>
      <c r="AE43">
        <f>VLOOKUP($B43,'2017 Place'!$C$2:$Y$627,AE$1,FALSE)</f>
        <v>193</v>
      </c>
      <c r="AF43">
        <f>VLOOKUP($B43,'2017 Place'!$C$2:$Y$627,AF$1,FALSE)</f>
        <v>61</v>
      </c>
      <c r="AG43">
        <f>VLOOKUP($B43,'2017 Place'!$C$2:$Y$627,AG$1,FALSE)</f>
        <v>0</v>
      </c>
      <c r="AH43">
        <f>VLOOKUP($B43,'2017 Place'!$C$2:$Y$627,AH$1,FALSE)</f>
        <v>0</v>
      </c>
      <c r="AI43">
        <f>VLOOKUP($B43,'2017 Place'!$C$2:$Y$627,AI$1,FALSE)</f>
        <v>554</v>
      </c>
      <c r="AJ43">
        <f>VLOOKUP($B43,'2017 Place'!$C$2:$Y$627,AJ$1,FALSE)</f>
        <v>1048</v>
      </c>
      <c r="AK43">
        <f>VLOOKUP($B43,'2017 Place'!$C$2:$Y$627,AK$1,FALSE)</f>
        <v>72</v>
      </c>
      <c r="AL43">
        <f>VLOOKUP($B43,'2017 Place'!$C$2:$Y$627,AL$1,FALSE)</f>
        <v>12</v>
      </c>
      <c r="AM43">
        <f>VLOOKUP($B43,'2017 Place'!$C$2:$Y$627,AM$1,FALSE)</f>
        <v>97</v>
      </c>
      <c r="AN43">
        <f>VLOOKUP($B43,'2017 Place'!$C$2:$Y$627,AN$1,FALSE)</f>
        <v>77</v>
      </c>
      <c r="AO43">
        <f>VLOOKUP($B43,'2017 Place'!$C$2:$Y$627,AO$1,FALSE)</f>
        <v>1163</v>
      </c>
      <c r="AP43">
        <f>VLOOKUP($B43,'2017 Place'!$C$2:$Y$627,AP$1,FALSE)</f>
        <v>106</v>
      </c>
    </row>
    <row r="44" spans="1:42" x14ac:dyDescent="0.25">
      <c r="A44">
        <v>5319857</v>
      </c>
      <c r="B44" t="str">
        <f t="shared" si="0"/>
        <v>East Renton Highlands CDP, Washington</v>
      </c>
      <c r="C44" t="s">
        <v>84</v>
      </c>
      <c r="D44" t="s">
        <v>85</v>
      </c>
      <c r="E44">
        <f>VLOOKUP(B44,'2000 2017 Place Conc'!$C$2:$V$627,2,FALSE)</f>
        <v>13106</v>
      </c>
      <c r="F44">
        <f>VLOOKUP($B44,'2000 2017 Place Conc'!$C$2:$V$627,F$1,FALSE)</f>
        <v>12228</v>
      </c>
      <c r="G44">
        <f>VLOOKUP($B44,'2000 2017 Place Conc'!$C$2:$V$627,G$1,FALSE)</f>
        <v>878</v>
      </c>
      <c r="H44">
        <f>VLOOKUP($B44,'2000 2017 Place Conc'!$C$2:$V$627,H$1,FALSE)</f>
        <v>11246</v>
      </c>
      <c r="I44">
        <f>VLOOKUP($B44,'2000 2017 Place Conc'!$C$2:$V$627,I$1,FALSE)</f>
        <v>478</v>
      </c>
      <c r="J44">
        <f>VLOOKUP($B44,'2000 2017 Place Conc'!$C$2:$V$627,J$1,FALSE)</f>
        <v>153</v>
      </c>
      <c r="K44">
        <f>VLOOKUP($B44,'2000 2017 Place Conc'!$C$2:$V$627,K$1,FALSE)</f>
        <v>147</v>
      </c>
      <c r="L44">
        <f>VLOOKUP($B44,'2000 2017 Place Conc'!$C$2:$V$627,L$1,FALSE)</f>
        <v>190</v>
      </c>
      <c r="M44">
        <f>VLOOKUP($B44,'2000 2017 Place Conc'!$C$2:$V$627,M$1,FALSE)</f>
        <v>59</v>
      </c>
      <c r="N44">
        <f>VLOOKUP($B44,'2000 2017 Place Conc'!$C$2:$V$627,N$1,FALSE)</f>
        <v>175</v>
      </c>
      <c r="O44">
        <f>VLOOKUP($B44,'2000 2017 Place Conc'!$C$2:$V$627,O$1,FALSE)</f>
        <v>0</v>
      </c>
      <c r="P44">
        <f>VLOOKUP($B44,'2000 2017 Place Conc'!$C$2:$V$627,P$1,FALSE)</f>
        <v>185</v>
      </c>
      <c r="Q44">
        <f>VLOOKUP($B44,'2000 2017 Place Conc'!$C$2:$V$627,Q$1,FALSE)</f>
        <v>182</v>
      </c>
      <c r="R44">
        <f>VLOOKUP($B44,'2000 2017 Place Conc'!$C$2:$V$627,R$1,FALSE)</f>
        <v>12</v>
      </c>
      <c r="S44">
        <f>VLOOKUP($B44,'2000 2017 Place Conc'!$C$2:$V$627,S$1,FALSE)</f>
        <v>0</v>
      </c>
      <c r="T44">
        <f>VLOOKUP($B44,'2000 2017 Place Conc'!$C$2:$V$627,T$1,FALSE)</f>
        <v>52</v>
      </c>
      <c r="U44">
        <f>VLOOKUP($B44,'2000 2017 Place Conc'!$C$2:$V$627,U$1,FALSE)</f>
        <v>7</v>
      </c>
      <c r="V44">
        <f>VLOOKUP($B44,'2000 2017 Place Conc'!$C$2:$V$627,V$1,FALSE)</f>
        <v>215</v>
      </c>
      <c r="W44">
        <f>VLOOKUP($B44,'2000 2017 Place Conc'!$C$2:$V$627,W$1,FALSE)</f>
        <v>5</v>
      </c>
      <c r="X44" s="4">
        <f>VLOOKUP($B44,'2017 Place'!$C$2:$Y$627,X$1,FALSE)</f>
        <v>11401</v>
      </c>
      <c r="Y44">
        <f>VLOOKUP($B44,'2017 Place'!$C$2:$Y$627,Y$1,FALSE)</f>
        <v>10242</v>
      </c>
      <c r="Z44">
        <f>VLOOKUP($B44,'2017 Place'!$C$2:$Y$627,Z$1,FALSE)</f>
        <v>1159</v>
      </c>
      <c r="AA44">
        <f>VLOOKUP($B44,'2017 Place'!$C$2:$Y$627,AA$1,FALSE)</f>
        <v>8546</v>
      </c>
      <c r="AB44">
        <f>VLOOKUP($B44,'2017 Place'!$C$2:$Y$627,AB$1,FALSE)</f>
        <v>416</v>
      </c>
      <c r="AC44">
        <f>VLOOKUP($B44,'2017 Place'!$C$2:$Y$627,AC$1,FALSE)</f>
        <v>269</v>
      </c>
      <c r="AD44">
        <f>VLOOKUP($B44,'2017 Place'!$C$2:$Y$627,AD$1,FALSE)</f>
        <v>27</v>
      </c>
      <c r="AE44">
        <f>VLOOKUP($B44,'2017 Place'!$C$2:$Y$627,AE$1,FALSE)</f>
        <v>100</v>
      </c>
      <c r="AF44">
        <f>VLOOKUP($B44,'2017 Place'!$C$2:$Y$627,AF$1,FALSE)</f>
        <v>30</v>
      </c>
      <c r="AG44">
        <f>VLOOKUP($B44,'2017 Place'!$C$2:$Y$627,AG$1,FALSE)</f>
        <v>27</v>
      </c>
      <c r="AH44">
        <f>VLOOKUP($B44,'2017 Place'!$C$2:$Y$627,AH$1,FALSE)</f>
        <v>0</v>
      </c>
      <c r="AI44">
        <f>VLOOKUP($B44,'2017 Place'!$C$2:$Y$627,AI$1,FALSE)</f>
        <v>446</v>
      </c>
      <c r="AJ44">
        <f>VLOOKUP($B44,'2017 Place'!$C$2:$Y$627,AJ$1,FALSE)</f>
        <v>455</v>
      </c>
      <c r="AK44">
        <f>VLOOKUP($B44,'2017 Place'!$C$2:$Y$627,AK$1,FALSE)</f>
        <v>0</v>
      </c>
      <c r="AL44">
        <f>VLOOKUP($B44,'2017 Place'!$C$2:$Y$627,AL$1,FALSE)</f>
        <v>0</v>
      </c>
      <c r="AM44">
        <f>VLOOKUP($B44,'2017 Place'!$C$2:$Y$627,AM$1,FALSE)</f>
        <v>93</v>
      </c>
      <c r="AN44">
        <f>VLOOKUP($B44,'2017 Place'!$C$2:$Y$627,AN$1,FALSE)</f>
        <v>223</v>
      </c>
      <c r="AO44">
        <f>VLOOKUP($B44,'2017 Place'!$C$2:$Y$627,AO$1,FALSE)</f>
        <v>761</v>
      </c>
      <c r="AP44">
        <f>VLOOKUP($B44,'2017 Place'!$C$2:$Y$627,AP$1,FALSE)</f>
        <v>8</v>
      </c>
    </row>
    <row r="45" spans="1:42" x14ac:dyDescent="0.25">
      <c r="A45">
        <v>5323160</v>
      </c>
      <c r="B45" t="str">
        <f t="shared" si="0"/>
        <v>Fairwood CDP, Washington</v>
      </c>
      <c r="C45" t="s">
        <v>86</v>
      </c>
      <c r="D45" t="s">
        <v>87</v>
      </c>
      <c r="E45">
        <f>VLOOKUP(B45,'2000 2017 Place Conc'!$C$2:$V$627,2,FALSE)</f>
        <v>17216.5</v>
      </c>
      <c r="F45">
        <f>VLOOKUP($B45,'2000 2017 Place Conc'!$C$2:$V$627,F$1,FALSE)</f>
        <v>14603</v>
      </c>
      <c r="G45">
        <f>VLOOKUP($B45,'2000 2017 Place Conc'!$C$2:$V$627,G$1,FALSE)</f>
        <v>2613.5</v>
      </c>
      <c r="H45">
        <f>VLOOKUP($B45,'2000 2017 Place Conc'!$C$2:$V$627,H$1,FALSE)</f>
        <v>11514</v>
      </c>
      <c r="I45">
        <f>VLOOKUP($B45,'2000 2017 Place Conc'!$C$2:$V$627,I$1,FALSE)</f>
        <v>731</v>
      </c>
      <c r="J45">
        <f>VLOOKUP($B45,'2000 2017 Place Conc'!$C$2:$V$627,J$1,FALSE)</f>
        <v>177.5</v>
      </c>
      <c r="K45">
        <f>VLOOKUP($B45,'2000 2017 Place Conc'!$C$2:$V$627,K$1,FALSE)</f>
        <v>50</v>
      </c>
      <c r="L45">
        <f>VLOOKUP($B45,'2000 2017 Place Conc'!$C$2:$V$627,L$1,FALSE)</f>
        <v>886.5</v>
      </c>
      <c r="M45">
        <f>VLOOKUP($B45,'2000 2017 Place Conc'!$C$2:$V$627,M$1,FALSE)</f>
        <v>128</v>
      </c>
      <c r="N45">
        <f>VLOOKUP($B45,'2000 2017 Place Conc'!$C$2:$V$627,N$1,FALSE)</f>
        <v>81</v>
      </c>
      <c r="O45">
        <f>VLOOKUP($B45,'2000 2017 Place Conc'!$C$2:$V$627,O$1,FALSE)</f>
        <v>5.5</v>
      </c>
      <c r="P45">
        <f>VLOOKUP($B45,'2000 2017 Place Conc'!$C$2:$V$627,P$1,FALSE)</f>
        <v>875.5</v>
      </c>
      <c r="Q45">
        <f>VLOOKUP($B45,'2000 2017 Place Conc'!$C$2:$V$627,Q$1,FALSE)</f>
        <v>1448</v>
      </c>
      <c r="R45">
        <f>VLOOKUP($B45,'2000 2017 Place Conc'!$C$2:$V$627,R$1,FALSE)</f>
        <v>56</v>
      </c>
      <c r="S45">
        <f>VLOOKUP($B45,'2000 2017 Place Conc'!$C$2:$V$627,S$1,FALSE)</f>
        <v>16</v>
      </c>
      <c r="T45">
        <f>VLOOKUP($B45,'2000 2017 Place Conc'!$C$2:$V$627,T$1,FALSE)</f>
        <v>266.5</v>
      </c>
      <c r="U45">
        <f>VLOOKUP($B45,'2000 2017 Place Conc'!$C$2:$V$627,U$1,FALSE)</f>
        <v>128.5</v>
      </c>
      <c r="V45">
        <f>VLOOKUP($B45,'2000 2017 Place Conc'!$C$2:$V$627,V$1,FALSE)</f>
        <v>746</v>
      </c>
      <c r="W45">
        <f>VLOOKUP($B45,'2000 2017 Place Conc'!$C$2:$V$627,W$1,FALSE)</f>
        <v>106.5</v>
      </c>
      <c r="X45" s="4" t="e">
        <f>VLOOKUP($B45,'2017 Place'!$C$2:$Y$627,X$1,FALSE)</f>
        <v>#N/A</v>
      </c>
      <c r="Y45" t="e">
        <f>VLOOKUP($B45,'2017 Place'!$C$2:$Y$627,Y$1,FALSE)</f>
        <v>#N/A</v>
      </c>
      <c r="Z45" t="e">
        <f>VLOOKUP($B45,'2017 Place'!$C$2:$Y$627,Z$1,FALSE)</f>
        <v>#N/A</v>
      </c>
      <c r="AA45" t="e">
        <f>VLOOKUP($B45,'2017 Place'!$C$2:$Y$627,AA$1,FALSE)</f>
        <v>#N/A</v>
      </c>
      <c r="AB45" t="e">
        <f>VLOOKUP($B45,'2017 Place'!$C$2:$Y$627,AB$1,FALSE)</f>
        <v>#N/A</v>
      </c>
      <c r="AC45" t="e">
        <f>VLOOKUP($B45,'2017 Place'!$C$2:$Y$627,AC$1,FALSE)</f>
        <v>#N/A</v>
      </c>
      <c r="AD45" t="e">
        <f>VLOOKUP($B45,'2017 Place'!$C$2:$Y$627,AD$1,FALSE)</f>
        <v>#N/A</v>
      </c>
      <c r="AE45" t="e">
        <f>VLOOKUP($B45,'2017 Place'!$C$2:$Y$627,AE$1,FALSE)</f>
        <v>#N/A</v>
      </c>
      <c r="AF45" t="e">
        <f>VLOOKUP($B45,'2017 Place'!$C$2:$Y$627,AF$1,FALSE)</f>
        <v>#N/A</v>
      </c>
      <c r="AG45" t="e">
        <f>VLOOKUP($B45,'2017 Place'!$C$2:$Y$627,AG$1,FALSE)</f>
        <v>#N/A</v>
      </c>
      <c r="AH45" t="e">
        <f>VLOOKUP($B45,'2017 Place'!$C$2:$Y$627,AH$1,FALSE)</f>
        <v>#N/A</v>
      </c>
      <c r="AI45" t="e">
        <f>VLOOKUP($B45,'2017 Place'!$C$2:$Y$627,AI$1,FALSE)</f>
        <v>#N/A</v>
      </c>
      <c r="AJ45" t="e">
        <f>VLOOKUP($B45,'2017 Place'!$C$2:$Y$627,AJ$1,FALSE)</f>
        <v>#N/A</v>
      </c>
      <c r="AK45" t="e">
        <f>VLOOKUP($B45,'2017 Place'!$C$2:$Y$627,AK$1,FALSE)</f>
        <v>#N/A</v>
      </c>
      <c r="AL45" t="e">
        <f>VLOOKUP($B45,'2017 Place'!$C$2:$Y$627,AL$1,FALSE)</f>
        <v>#N/A</v>
      </c>
      <c r="AM45" t="e">
        <f>VLOOKUP($B45,'2017 Place'!$C$2:$Y$627,AM$1,FALSE)</f>
        <v>#N/A</v>
      </c>
      <c r="AN45" t="e">
        <f>VLOOKUP($B45,'2017 Place'!$C$2:$Y$627,AN$1,FALSE)</f>
        <v>#N/A</v>
      </c>
      <c r="AO45" t="e">
        <f>VLOOKUP($B45,'2017 Place'!$C$2:$Y$627,AO$1,FALSE)</f>
        <v>#N/A</v>
      </c>
      <c r="AP45" t="e">
        <f>VLOOKUP($B45,'2017 Place'!$C$2:$Y$627,AP$1,FALSE)</f>
        <v>#N/A</v>
      </c>
    </row>
    <row r="46" spans="1:42" x14ac:dyDescent="0.25">
      <c r="A46">
        <v>5323200</v>
      </c>
      <c r="B46" t="str">
        <f t="shared" si="0"/>
        <v>Fall City CDP, Washington</v>
      </c>
      <c r="C46" t="s">
        <v>88</v>
      </c>
      <c r="D46" t="s">
        <v>89</v>
      </c>
      <c r="E46">
        <f>VLOOKUP(B46,'2000 2017 Place Conc'!$C$2:$V$627,2,FALSE)</f>
        <v>1651</v>
      </c>
      <c r="F46">
        <f>VLOOKUP($B46,'2000 2017 Place Conc'!$C$2:$V$627,F$1,FALSE)</f>
        <v>1593</v>
      </c>
      <c r="G46">
        <f>VLOOKUP($B46,'2000 2017 Place Conc'!$C$2:$V$627,G$1,FALSE)</f>
        <v>58</v>
      </c>
      <c r="H46">
        <f>VLOOKUP($B46,'2000 2017 Place Conc'!$C$2:$V$627,H$1,FALSE)</f>
        <v>1524</v>
      </c>
      <c r="I46">
        <f>VLOOKUP($B46,'2000 2017 Place Conc'!$C$2:$V$627,I$1,FALSE)</f>
        <v>29</v>
      </c>
      <c r="J46">
        <f>VLOOKUP($B46,'2000 2017 Place Conc'!$C$2:$V$627,J$1,FALSE)</f>
        <v>5</v>
      </c>
      <c r="K46">
        <f>VLOOKUP($B46,'2000 2017 Place Conc'!$C$2:$V$627,K$1,FALSE)</f>
        <v>9</v>
      </c>
      <c r="L46">
        <f>VLOOKUP($B46,'2000 2017 Place Conc'!$C$2:$V$627,L$1,FALSE)</f>
        <v>14</v>
      </c>
      <c r="M46">
        <f>VLOOKUP($B46,'2000 2017 Place Conc'!$C$2:$V$627,M$1,FALSE)</f>
        <v>6</v>
      </c>
      <c r="N46">
        <f>VLOOKUP($B46,'2000 2017 Place Conc'!$C$2:$V$627,N$1,FALSE)</f>
        <v>19</v>
      </c>
      <c r="O46">
        <f>VLOOKUP($B46,'2000 2017 Place Conc'!$C$2:$V$627,O$1,FALSE)</f>
        <v>0</v>
      </c>
      <c r="P46">
        <f>VLOOKUP($B46,'2000 2017 Place Conc'!$C$2:$V$627,P$1,FALSE)</f>
        <v>0</v>
      </c>
      <c r="Q46">
        <f>VLOOKUP($B46,'2000 2017 Place Conc'!$C$2:$V$627,Q$1,FALSE)</f>
        <v>0</v>
      </c>
      <c r="R46">
        <f>VLOOKUP($B46,'2000 2017 Place Conc'!$C$2:$V$627,R$1,FALSE)</f>
        <v>0</v>
      </c>
      <c r="S46">
        <f>VLOOKUP($B46,'2000 2017 Place Conc'!$C$2:$V$627,S$1,FALSE)</f>
        <v>0</v>
      </c>
      <c r="T46">
        <f>VLOOKUP($B46,'2000 2017 Place Conc'!$C$2:$V$627,T$1,FALSE)</f>
        <v>0</v>
      </c>
      <c r="U46">
        <f>VLOOKUP($B46,'2000 2017 Place Conc'!$C$2:$V$627,U$1,FALSE)</f>
        <v>14</v>
      </c>
      <c r="V46">
        <f>VLOOKUP($B46,'2000 2017 Place Conc'!$C$2:$V$627,V$1,FALSE)</f>
        <v>31</v>
      </c>
      <c r="W46">
        <f>VLOOKUP($B46,'2000 2017 Place Conc'!$C$2:$V$627,W$1,FALSE)</f>
        <v>0</v>
      </c>
      <c r="X46" s="4">
        <f>VLOOKUP($B46,'2017 Place'!$C$2:$Y$627,X$1,FALSE)</f>
        <v>1903</v>
      </c>
      <c r="Y46">
        <f>VLOOKUP($B46,'2017 Place'!$C$2:$Y$627,Y$1,FALSE)</f>
        <v>1790</v>
      </c>
      <c r="Z46">
        <f>VLOOKUP($B46,'2017 Place'!$C$2:$Y$627,Z$1,FALSE)</f>
        <v>113</v>
      </c>
      <c r="AA46">
        <f>VLOOKUP($B46,'2017 Place'!$C$2:$Y$627,AA$1,FALSE)</f>
        <v>1607</v>
      </c>
      <c r="AB46">
        <f>VLOOKUP($B46,'2017 Place'!$C$2:$Y$627,AB$1,FALSE)</f>
        <v>0</v>
      </c>
      <c r="AC46">
        <f>VLOOKUP($B46,'2017 Place'!$C$2:$Y$627,AC$1,FALSE)</f>
        <v>168</v>
      </c>
      <c r="AD46">
        <f>VLOOKUP($B46,'2017 Place'!$C$2:$Y$627,AD$1,FALSE)</f>
        <v>45</v>
      </c>
      <c r="AE46">
        <f>VLOOKUP($B46,'2017 Place'!$C$2:$Y$627,AE$1,FALSE)</f>
        <v>0</v>
      </c>
      <c r="AF46">
        <f>VLOOKUP($B46,'2017 Place'!$C$2:$Y$627,AF$1,FALSE)</f>
        <v>0</v>
      </c>
      <c r="AG46">
        <f>VLOOKUP($B46,'2017 Place'!$C$2:$Y$627,AG$1,FALSE)</f>
        <v>0</v>
      </c>
      <c r="AH46">
        <f>VLOOKUP($B46,'2017 Place'!$C$2:$Y$627,AH$1,FALSE)</f>
        <v>0</v>
      </c>
      <c r="AI46">
        <f>VLOOKUP($B46,'2017 Place'!$C$2:$Y$627,AI$1,FALSE)</f>
        <v>0</v>
      </c>
      <c r="AJ46">
        <f>VLOOKUP($B46,'2017 Place'!$C$2:$Y$627,AJ$1,FALSE)</f>
        <v>66</v>
      </c>
      <c r="AK46">
        <f>VLOOKUP($B46,'2017 Place'!$C$2:$Y$627,AK$1,FALSE)</f>
        <v>0</v>
      </c>
      <c r="AL46">
        <f>VLOOKUP($B46,'2017 Place'!$C$2:$Y$627,AL$1,FALSE)</f>
        <v>0</v>
      </c>
      <c r="AM46">
        <f>VLOOKUP($B46,'2017 Place'!$C$2:$Y$627,AM$1,FALSE)</f>
        <v>15</v>
      </c>
      <c r="AN46">
        <f>VLOOKUP($B46,'2017 Place'!$C$2:$Y$627,AN$1,FALSE)</f>
        <v>0</v>
      </c>
      <c r="AO46">
        <f>VLOOKUP($B46,'2017 Place'!$C$2:$Y$627,AO$1,FALSE)</f>
        <v>0</v>
      </c>
      <c r="AP46">
        <f>VLOOKUP($B46,'2017 Place'!$C$2:$Y$627,AP$1,FALSE)</f>
        <v>2</v>
      </c>
    </row>
    <row r="47" spans="1:42" x14ac:dyDescent="0.25">
      <c r="A47">
        <v>5331495</v>
      </c>
      <c r="B47" t="str">
        <f t="shared" si="0"/>
        <v>Hobart CDP, Washington</v>
      </c>
      <c r="C47" t="s">
        <v>90</v>
      </c>
      <c r="D47" t="s">
        <v>91</v>
      </c>
      <c r="E47">
        <f>VLOOKUP(B47,'2000 2017 Place Conc'!$C$2:$V$627,2,FALSE)</f>
        <v>6152</v>
      </c>
      <c r="F47">
        <f>VLOOKUP($B47,'2000 2017 Place Conc'!$C$2:$V$627,F$1,FALSE)</f>
        <v>5853</v>
      </c>
      <c r="G47">
        <f>VLOOKUP($B47,'2000 2017 Place Conc'!$C$2:$V$627,G$1,FALSE)</f>
        <v>299</v>
      </c>
      <c r="H47">
        <f>VLOOKUP($B47,'2000 2017 Place Conc'!$C$2:$V$627,H$1,FALSE)</f>
        <v>5554</v>
      </c>
      <c r="I47">
        <f>VLOOKUP($B47,'2000 2017 Place Conc'!$C$2:$V$627,I$1,FALSE)</f>
        <v>189</v>
      </c>
      <c r="J47">
        <f>VLOOKUP($B47,'2000 2017 Place Conc'!$C$2:$V$627,J$1,FALSE)</f>
        <v>65</v>
      </c>
      <c r="K47">
        <f>VLOOKUP($B47,'2000 2017 Place Conc'!$C$2:$V$627,K$1,FALSE)</f>
        <v>17</v>
      </c>
      <c r="L47">
        <f>VLOOKUP($B47,'2000 2017 Place Conc'!$C$2:$V$627,L$1,FALSE)</f>
        <v>30</v>
      </c>
      <c r="M47">
        <f>VLOOKUP($B47,'2000 2017 Place Conc'!$C$2:$V$627,M$1,FALSE)</f>
        <v>5</v>
      </c>
      <c r="N47">
        <f>VLOOKUP($B47,'2000 2017 Place Conc'!$C$2:$V$627,N$1,FALSE)</f>
        <v>26</v>
      </c>
      <c r="O47">
        <f>VLOOKUP($B47,'2000 2017 Place Conc'!$C$2:$V$627,O$1,FALSE)</f>
        <v>3</v>
      </c>
      <c r="P47">
        <f>VLOOKUP($B47,'2000 2017 Place Conc'!$C$2:$V$627,P$1,FALSE)</f>
        <v>33</v>
      </c>
      <c r="Q47">
        <f>VLOOKUP($B47,'2000 2017 Place Conc'!$C$2:$V$627,Q$1,FALSE)</f>
        <v>20</v>
      </c>
      <c r="R47">
        <f>VLOOKUP($B47,'2000 2017 Place Conc'!$C$2:$V$627,R$1,FALSE)</f>
        <v>0</v>
      </c>
      <c r="S47">
        <f>VLOOKUP($B47,'2000 2017 Place Conc'!$C$2:$V$627,S$1,FALSE)</f>
        <v>47</v>
      </c>
      <c r="T47">
        <f>VLOOKUP($B47,'2000 2017 Place Conc'!$C$2:$V$627,T$1,FALSE)</f>
        <v>6</v>
      </c>
      <c r="U47">
        <f>VLOOKUP($B47,'2000 2017 Place Conc'!$C$2:$V$627,U$1,FALSE)</f>
        <v>9</v>
      </c>
      <c r="V47">
        <f>VLOOKUP($B47,'2000 2017 Place Conc'!$C$2:$V$627,V$1,FALSE)</f>
        <v>139</v>
      </c>
      <c r="W47">
        <f>VLOOKUP($B47,'2000 2017 Place Conc'!$C$2:$V$627,W$1,FALSE)</f>
        <v>9</v>
      </c>
      <c r="X47" s="4">
        <f>VLOOKUP($B47,'2017 Place'!$C$2:$Y$627,X$1,FALSE)</f>
        <v>6736</v>
      </c>
      <c r="Y47">
        <f>VLOOKUP($B47,'2017 Place'!$C$2:$Y$627,Y$1,FALSE)</f>
        <v>6384</v>
      </c>
      <c r="Z47">
        <f>VLOOKUP($B47,'2017 Place'!$C$2:$Y$627,Z$1,FALSE)</f>
        <v>352</v>
      </c>
      <c r="AA47">
        <f>VLOOKUP($B47,'2017 Place'!$C$2:$Y$627,AA$1,FALSE)</f>
        <v>5915</v>
      </c>
      <c r="AB47">
        <f>VLOOKUP($B47,'2017 Place'!$C$2:$Y$627,AB$1,FALSE)</f>
        <v>185</v>
      </c>
      <c r="AC47">
        <f>VLOOKUP($B47,'2017 Place'!$C$2:$Y$627,AC$1,FALSE)</f>
        <v>152</v>
      </c>
      <c r="AD47">
        <f>VLOOKUP($B47,'2017 Place'!$C$2:$Y$627,AD$1,FALSE)</f>
        <v>20</v>
      </c>
      <c r="AE47">
        <f>VLOOKUP($B47,'2017 Place'!$C$2:$Y$627,AE$1,FALSE)</f>
        <v>30</v>
      </c>
      <c r="AF47">
        <f>VLOOKUP($B47,'2017 Place'!$C$2:$Y$627,AF$1,FALSE)</f>
        <v>6</v>
      </c>
      <c r="AG47">
        <f>VLOOKUP($B47,'2017 Place'!$C$2:$Y$627,AG$1,FALSE)</f>
        <v>0</v>
      </c>
      <c r="AH47">
        <f>VLOOKUP($B47,'2017 Place'!$C$2:$Y$627,AH$1,FALSE)</f>
        <v>0</v>
      </c>
      <c r="AI47">
        <f>VLOOKUP($B47,'2017 Place'!$C$2:$Y$627,AI$1,FALSE)</f>
        <v>0</v>
      </c>
      <c r="AJ47">
        <f>VLOOKUP($B47,'2017 Place'!$C$2:$Y$627,AJ$1,FALSE)</f>
        <v>101</v>
      </c>
      <c r="AK47">
        <f>VLOOKUP($B47,'2017 Place'!$C$2:$Y$627,AK$1,FALSE)</f>
        <v>0</v>
      </c>
      <c r="AL47">
        <f>VLOOKUP($B47,'2017 Place'!$C$2:$Y$627,AL$1,FALSE)</f>
        <v>0</v>
      </c>
      <c r="AM47">
        <f>VLOOKUP($B47,'2017 Place'!$C$2:$Y$627,AM$1,FALSE)</f>
        <v>41</v>
      </c>
      <c r="AN47">
        <f>VLOOKUP($B47,'2017 Place'!$C$2:$Y$627,AN$1,FALSE)</f>
        <v>21</v>
      </c>
      <c r="AO47">
        <f>VLOOKUP($B47,'2017 Place'!$C$2:$Y$627,AO$1,FALSE)</f>
        <v>246</v>
      </c>
      <c r="AP47">
        <f>VLOOKUP($B47,'2017 Place'!$C$2:$Y$627,AP$1,FALSE)</f>
        <v>19</v>
      </c>
    </row>
    <row r="48" spans="1:42" x14ac:dyDescent="0.25">
      <c r="A48">
        <v>5337420</v>
      </c>
      <c r="B48" t="str">
        <f t="shared" si="0"/>
        <v>Lakeland North CDP, Washington</v>
      </c>
      <c r="C48" t="s">
        <v>92</v>
      </c>
      <c r="D48" t="s">
        <v>93</v>
      </c>
      <c r="E48">
        <f>VLOOKUP(B48,'2000 2017 Place Conc'!$C$2:$V$627,2,FALSE)</f>
        <v>15146</v>
      </c>
      <c r="F48">
        <f>VLOOKUP($B48,'2000 2017 Place Conc'!$C$2:$V$627,F$1,FALSE)</f>
        <v>13195</v>
      </c>
      <c r="G48">
        <f>VLOOKUP($B48,'2000 2017 Place Conc'!$C$2:$V$627,G$1,FALSE)</f>
        <v>1951</v>
      </c>
      <c r="H48">
        <f>VLOOKUP($B48,'2000 2017 Place Conc'!$C$2:$V$627,H$1,FALSE)</f>
        <v>11171</v>
      </c>
      <c r="I48">
        <f>VLOOKUP($B48,'2000 2017 Place Conc'!$C$2:$V$627,I$1,FALSE)</f>
        <v>1023</v>
      </c>
      <c r="J48">
        <f>VLOOKUP($B48,'2000 2017 Place Conc'!$C$2:$V$627,J$1,FALSE)</f>
        <v>245</v>
      </c>
      <c r="K48">
        <f>VLOOKUP($B48,'2000 2017 Place Conc'!$C$2:$V$627,K$1,FALSE)</f>
        <v>44</v>
      </c>
      <c r="L48">
        <f>VLOOKUP($B48,'2000 2017 Place Conc'!$C$2:$V$627,L$1,FALSE)</f>
        <v>560</v>
      </c>
      <c r="M48">
        <f>VLOOKUP($B48,'2000 2017 Place Conc'!$C$2:$V$627,M$1,FALSE)</f>
        <v>35</v>
      </c>
      <c r="N48">
        <f>VLOOKUP($B48,'2000 2017 Place Conc'!$C$2:$V$627,N$1,FALSE)</f>
        <v>136</v>
      </c>
      <c r="O48">
        <f>VLOOKUP($B48,'2000 2017 Place Conc'!$C$2:$V$627,O$1,FALSE)</f>
        <v>0</v>
      </c>
      <c r="P48">
        <f>VLOOKUP($B48,'2000 2017 Place Conc'!$C$2:$V$627,P$1,FALSE)</f>
        <v>318</v>
      </c>
      <c r="Q48">
        <f>VLOOKUP($B48,'2000 2017 Place Conc'!$C$2:$V$627,Q$1,FALSE)</f>
        <v>623</v>
      </c>
      <c r="R48">
        <f>VLOOKUP($B48,'2000 2017 Place Conc'!$C$2:$V$627,R$1,FALSE)</f>
        <v>72</v>
      </c>
      <c r="S48">
        <f>VLOOKUP($B48,'2000 2017 Place Conc'!$C$2:$V$627,S$1,FALSE)</f>
        <v>37</v>
      </c>
      <c r="T48">
        <f>VLOOKUP($B48,'2000 2017 Place Conc'!$C$2:$V$627,T$1,FALSE)</f>
        <v>162</v>
      </c>
      <c r="U48">
        <f>VLOOKUP($B48,'2000 2017 Place Conc'!$C$2:$V$627,U$1,FALSE)</f>
        <v>80</v>
      </c>
      <c r="V48">
        <f>VLOOKUP($B48,'2000 2017 Place Conc'!$C$2:$V$627,V$1,FALSE)</f>
        <v>531</v>
      </c>
      <c r="W48">
        <f>VLOOKUP($B48,'2000 2017 Place Conc'!$C$2:$V$627,W$1,FALSE)</f>
        <v>109</v>
      </c>
      <c r="X48" s="4">
        <f>VLOOKUP($B48,'2017 Place'!$C$2:$Y$627,X$1,FALSE)</f>
        <v>12487</v>
      </c>
      <c r="Y48">
        <f>VLOOKUP($B48,'2017 Place'!$C$2:$Y$627,Y$1,FALSE)</f>
        <v>9876</v>
      </c>
      <c r="Z48">
        <f>VLOOKUP($B48,'2017 Place'!$C$2:$Y$627,Z$1,FALSE)</f>
        <v>2611</v>
      </c>
      <c r="AA48">
        <f>VLOOKUP($B48,'2017 Place'!$C$2:$Y$627,AA$1,FALSE)</f>
        <v>6366</v>
      </c>
      <c r="AB48">
        <f>VLOOKUP($B48,'2017 Place'!$C$2:$Y$627,AB$1,FALSE)</f>
        <v>774</v>
      </c>
      <c r="AC48">
        <f>VLOOKUP($B48,'2017 Place'!$C$2:$Y$627,AC$1,FALSE)</f>
        <v>842</v>
      </c>
      <c r="AD48">
        <f>VLOOKUP($B48,'2017 Place'!$C$2:$Y$627,AD$1,FALSE)</f>
        <v>182</v>
      </c>
      <c r="AE48">
        <f>VLOOKUP($B48,'2017 Place'!$C$2:$Y$627,AE$1,FALSE)</f>
        <v>993</v>
      </c>
      <c r="AF48">
        <f>VLOOKUP($B48,'2017 Place'!$C$2:$Y$627,AF$1,FALSE)</f>
        <v>114</v>
      </c>
      <c r="AG48">
        <f>VLOOKUP($B48,'2017 Place'!$C$2:$Y$627,AG$1,FALSE)</f>
        <v>104</v>
      </c>
      <c r="AH48">
        <f>VLOOKUP($B48,'2017 Place'!$C$2:$Y$627,AH$1,FALSE)</f>
        <v>0</v>
      </c>
      <c r="AI48">
        <f>VLOOKUP($B48,'2017 Place'!$C$2:$Y$627,AI$1,FALSE)</f>
        <v>441</v>
      </c>
      <c r="AJ48">
        <f>VLOOKUP($B48,'2017 Place'!$C$2:$Y$627,AJ$1,FALSE)</f>
        <v>885</v>
      </c>
      <c r="AK48">
        <f>VLOOKUP($B48,'2017 Place'!$C$2:$Y$627,AK$1,FALSE)</f>
        <v>121</v>
      </c>
      <c r="AL48">
        <f>VLOOKUP($B48,'2017 Place'!$C$2:$Y$627,AL$1,FALSE)</f>
        <v>81</v>
      </c>
      <c r="AM48">
        <f>VLOOKUP($B48,'2017 Place'!$C$2:$Y$627,AM$1,FALSE)</f>
        <v>384</v>
      </c>
      <c r="AN48">
        <f>VLOOKUP($B48,'2017 Place'!$C$2:$Y$627,AN$1,FALSE)</f>
        <v>401</v>
      </c>
      <c r="AO48">
        <f>VLOOKUP($B48,'2017 Place'!$C$2:$Y$627,AO$1,FALSE)</f>
        <v>625</v>
      </c>
      <c r="AP48">
        <f>VLOOKUP($B48,'2017 Place'!$C$2:$Y$627,AP$1,FALSE)</f>
        <v>174</v>
      </c>
    </row>
    <row r="49" spans="1:42" x14ac:dyDescent="0.25">
      <c r="A49">
        <v>5337430</v>
      </c>
      <c r="B49" t="str">
        <f t="shared" si="0"/>
        <v>Lakeland South CDP, Washington</v>
      </c>
      <c r="C49" t="s">
        <v>94</v>
      </c>
      <c r="D49" t="s">
        <v>95</v>
      </c>
      <c r="E49">
        <f>VLOOKUP(B49,'2000 2017 Place Conc'!$C$2:$V$627,2,FALSE)</f>
        <v>11499</v>
      </c>
      <c r="F49">
        <f>VLOOKUP($B49,'2000 2017 Place Conc'!$C$2:$V$627,F$1,FALSE)</f>
        <v>10459</v>
      </c>
      <c r="G49">
        <f>VLOOKUP($B49,'2000 2017 Place Conc'!$C$2:$V$627,G$1,FALSE)</f>
        <v>1040</v>
      </c>
      <c r="H49">
        <f>VLOOKUP($B49,'2000 2017 Place Conc'!$C$2:$V$627,H$1,FALSE)</f>
        <v>9055</v>
      </c>
      <c r="I49">
        <f>VLOOKUP($B49,'2000 2017 Place Conc'!$C$2:$V$627,I$1,FALSE)</f>
        <v>451</v>
      </c>
      <c r="J49">
        <f>VLOOKUP($B49,'2000 2017 Place Conc'!$C$2:$V$627,J$1,FALSE)</f>
        <v>175</v>
      </c>
      <c r="K49">
        <f>VLOOKUP($B49,'2000 2017 Place Conc'!$C$2:$V$627,K$1,FALSE)</f>
        <v>0</v>
      </c>
      <c r="L49">
        <f>VLOOKUP($B49,'2000 2017 Place Conc'!$C$2:$V$627,L$1,FALSE)</f>
        <v>413</v>
      </c>
      <c r="M49">
        <f>VLOOKUP($B49,'2000 2017 Place Conc'!$C$2:$V$627,M$1,FALSE)</f>
        <v>22</v>
      </c>
      <c r="N49">
        <f>VLOOKUP($B49,'2000 2017 Place Conc'!$C$2:$V$627,N$1,FALSE)</f>
        <v>76</v>
      </c>
      <c r="O49">
        <f>VLOOKUP($B49,'2000 2017 Place Conc'!$C$2:$V$627,O$1,FALSE)</f>
        <v>43</v>
      </c>
      <c r="P49">
        <f>VLOOKUP($B49,'2000 2017 Place Conc'!$C$2:$V$627,P$1,FALSE)</f>
        <v>252</v>
      </c>
      <c r="Q49">
        <f>VLOOKUP($B49,'2000 2017 Place Conc'!$C$2:$V$627,Q$1,FALSE)</f>
        <v>413</v>
      </c>
      <c r="R49">
        <f>VLOOKUP($B49,'2000 2017 Place Conc'!$C$2:$V$627,R$1,FALSE)</f>
        <v>38</v>
      </c>
      <c r="S49">
        <f>VLOOKUP($B49,'2000 2017 Place Conc'!$C$2:$V$627,S$1,FALSE)</f>
        <v>27</v>
      </c>
      <c r="T49">
        <f>VLOOKUP($B49,'2000 2017 Place Conc'!$C$2:$V$627,T$1,FALSE)</f>
        <v>120</v>
      </c>
      <c r="U49">
        <f>VLOOKUP($B49,'2000 2017 Place Conc'!$C$2:$V$627,U$1,FALSE)</f>
        <v>18</v>
      </c>
      <c r="V49">
        <f>VLOOKUP($B49,'2000 2017 Place Conc'!$C$2:$V$627,V$1,FALSE)</f>
        <v>330</v>
      </c>
      <c r="W49">
        <f>VLOOKUP($B49,'2000 2017 Place Conc'!$C$2:$V$627,W$1,FALSE)</f>
        <v>66</v>
      </c>
      <c r="X49" s="4">
        <f>VLOOKUP($B49,'2017 Place'!$C$2:$Y$627,X$1,FALSE)</f>
        <v>13982</v>
      </c>
      <c r="Y49">
        <f>VLOOKUP($B49,'2017 Place'!$C$2:$Y$627,Y$1,FALSE)</f>
        <v>11131</v>
      </c>
      <c r="Z49">
        <f>VLOOKUP($B49,'2017 Place'!$C$2:$Y$627,Z$1,FALSE)</f>
        <v>2851</v>
      </c>
      <c r="AA49">
        <f>VLOOKUP($B49,'2017 Place'!$C$2:$Y$627,AA$1,FALSE)</f>
        <v>8233</v>
      </c>
      <c r="AB49">
        <f>VLOOKUP($B49,'2017 Place'!$C$2:$Y$627,AB$1,FALSE)</f>
        <v>1363</v>
      </c>
      <c r="AC49">
        <f>VLOOKUP($B49,'2017 Place'!$C$2:$Y$627,AC$1,FALSE)</f>
        <v>635</v>
      </c>
      <c r="AD49">
        <f>VLOOKUP($B49,'2017 Place'!$C$2:$Y$627,AD$1,FALSE)</f>
        <v>322</v>
      </c>
      <c r="AE49">
        <f>VLOOKUP($B49,'2017 Place'!$C$2:$Y$627,AE$1,FALSE)</f>
        <v>626</v>
      </c>
      <c r="AF49">
        <f>VLOOKUP($B49,'2017 Place'!$C$2:$Y$627,AF$1,FALSE)</f>
        <v>34</v>
      </c>
      <c r="AG49">
        <f>VLOOKUP($B49,'2017 Place'!$C$2:$Y$627,AG$1,FALSE)</f>
        <v>579</v>
      </c>
      <c r="AH49">
        <f>VLOOKUP($B49,'2017 Place'!$C$2:$Y$627,AH$1,FALSE)</f>
        <v>0</v>
      </c>
      <c r="AI49">
        <f>VLOOKUP($B49,'2017 Place'!$C$2:$Y$627,AI$1,FALSE)</f>
        <v>198</v>
      </c>
      <c r="AJ49">
        <f>VLOOKUP($B49,'2017 Place'!$C$2:$Y$627,AJ$1,FALSE)</f>
        <v>668</v>
      </c>
      <c r="AK49">
        <f>VLOOKUP($B49,'2017 Place'!$C$2:$Y$627,AK$1,FALSE)</f>
        <v>135</v>
      </c>
      <c r="AL49">
        <f>VLOOKUP($B49,'2017 Place'!$C$2:$Y$627,AL$1,FALSE)</f>
        <v>0</v>
      </c>
      <c r="AM49">
        <f>VLOOKUP($B49,'2017 Place'!$C$2:$Y$627,AM$1,FALSE)</f>
        <v>135</v>
      </c>
      <c r="AN49">
        <f>VLOOKUP($B49,'2017 Place'!$C$2:$Y$627,AN$1,FALSE)</f>
        <v>237</v>
      </c>
      <c r="AO49">
        <f>VLOOKUP($B49,'2017 Place'!$C$2:$Y$627,AO$1,FALSE)</f>
        <v>590</v>
      </c>
      <c r="AP49">
        <f>VLOOKUP($B49,'2017 Place'!$C$2:$Y$627,AP$1,FALSE)</f>
        <v>227</v>
      </c>
    </row>
    <row r="50" spans="1:42" x14ac:dyDescent="0.25">
      <c r="A50">
        <v>5337538</v>
      </c>
      <c r="B50" t="str">
        <f t="shared" si="0"/>
        <v>Lake Marcel-Stillwater CDP, Washington</v>
      </c>
      <c r="C50" t="s">
        <v>96</v>
      </c>
      <c r="D50" t="s">
        <v>97</v>
      </c>
      <c r="E50">
        <f>VLOOKUP(B50,'2000 2017 Place Conc'!$C$2:$V$627,2,FALSE)</f>
        <v>1426</v>
      </c>
      <c r="F50">
        <f>VLOOKUP($B50,'2000 2017 Place Conc'!$C$2:$V$627,F$1,FALSE)</f>
        <v>1356</v>
      </c>
      <c r="G50">
        <f>VLOOKUP($B50,'2000 2017 Place Conc'!$C$2:$V$627,G$1,FALSE)</f>
        <v>70</v>
      </c>
      <c r="H50">
        <f>VLOOKUP($B50,'2000 2017 Place Conc'!$C$2:$V$627,H$1,FALSE)</f>
        <v>1297</v>
      </c>
      <c r="I50">
        <f>VLOOKUP($B50,'2000 2017 Place Conc'!$C$2:$V$627,I$1,FALSE)</f>
        <v>45</v>
      </c>
      <c r="J50">
        <f>VLOOKUP($B50,'2000 2017 Place Conc'!$C$2:$V$627,J$1,FALSE)</f>
        <v>17</v>
      </c>
      <c r="K50">
        <f>VLOOKUP($B50,'2000 2017 Place Conc'!$C$2:$V$627,K$1,FALSE)</f>
        <v>0</v>
      </c>
      <c r="L50">
        <f>VLOOKUP($B50,'2000 2017 Place Conc'!$C$2:$V$627,L$1,FALSE)</f>
        <v>0</v>
      </c>
      <c r="M50">
        <f>VLOOKUP($B50,'2000 2017 Place Conc'!$C$2:$V$627,M$1,FALSE)</f>
        <v>0</v>
      </c>
      <c r="N50">
        <f>VLOOKUP($B50,'2000 2017 Place Conc'!$C$2:$V$627,N$1,FALSE)</f>
        <v>0</v>
      </c>
      <c r="O50">
        <f>VLOOKUP($B50,'2000 2017 Place Conc'!$C$2:$V$627,O$1,FALSE)</f>
        <v>0</v>
      </c>
      <c r="P50">
        <f>VLOOKUP($B50,'2000 2017 Place Conc'!$C$2:$V$627,P$1,FALSE)</f>
        <v>35</v>
      </c>
      <c r="Q50">
        <f>VLOOKUP($B50,'2000 2017 Place Conc'!$C$2:$V$627,Q$1,FALSE)</f>
        <v>25</v>
      </c>
      <c r="R50">
        <f>VLOOKUP($B50,'2000 2017 Place Conc'!$C$2:$V$627,R$1,FALSE)</f>
        <v>0</v>
      </c>
      <c r="S50">
        <f>VLOOKUP($B50,'2000 2017 Place Conc'!$C$2:$V$627,S$1,FALSE)</f>
        <v>0</v>
      </c>
      <c r="T50">
        <f>VLOOKUP($B50,'2000 2017 Place Conc'!$C$2:$V$627,T$1,FALSE)</f>
        <v>0</v>
      </c>
      <c r="U50">
        <f>VLOOKUP($B50,'2000 2017 Place Conc'!$C$2:$V$627,U$1,FALSE)</f>
        <v>0</v>
      </c>
      <c r="V50">
        <f>VLOOKUP($B50,'2000 2017 Place Conc'!$C$2:$V$627,V$1,FALSE)</f>
        <v>7</v>
      </c>
      <c r="W50">
        <f>VLOOKUP($B50,'2000 2017 Place Conc'!$C$2:$V$627,W$1,FALSE)</f>
        <v>0</v>
      </c>
      <c r="X50" s="4">
        <f>VLOOKUP($B50,'2017 Place'!$C$2:$Y$627,X$1,FALSE)</f>
        <v>1220</v>
      </c>
      <c r="Y50">
        <f>VLOOKUP($B50,'2017 Place'!$C$2:$Y$627,Y$1,FALSE)</f>
        <v>1115</v>
      </c>
      <c r="Z50">
        <f>VLOOKUP($B50,'2017 Place'!$C$2:$Y$627,Z$1,FALSE)</f>
        <v>105</v>
      </c>
      <c r="AA50">
        <f>VLOOKUP($B50,'2017 Place'!$C$2:$Y$627,AA$1,FALSE)</f>
        <v>1039</v>
      </c>
      <c r="AB50">
        <f>VLOOKUP($B50,'2017 Place'!$C$2:$Y$627,AB$1,FALSE)</f>
        <v>68</v>
      </c>
      <c r="AC50">
        <f>VLOOKUP($B50,'2017 Place'!$C$2:$Y$627,AC$1,FALSE)</f>
        <v>36</v>
      </c>
      <c r="AD50">
        <f>VLOOKUP($B50,'2017 Place'!$C$2:$Y$627,AD$1,FALSE)</f>
        <v>18</v>
      </c>
      <c r="AE50">
        <f>VLOOKUP($B50,'2017 Place'!$C$2:$Y$627,AE$1,FALSE)</f>
        <v>0</v>
      </c>
      <c r="AF50">
        <f>VLOOKUP($B50,'2017 Place'!$C$2:$Y$627,AF$1,FALSE)</f>
        <v>0</v>
      </c>
      <c r="AG50">
        <f>VLOOKUP($B50,'2017 Place'!$C$2:$Y$627,AG$1,FALSE)</f>
        <v>0</v>
      </c>
      <c r="AH50">
        <f>VLOOKUP($B50,'2017 Place'!$C$2:$Y$627,AH$1,FALSE)</f>
        <v>0</v>
      </c>
      <c r="AI50">
        <f>VLOOKUP($B50,'2017 Place'!$C$2:$Y$627,AI$1,FALSE)</f>
        <v>0</v>
      </c>
      <c r="AJ50">
        <f>VLOOKUP($B50,'2017 Place'!$C$2:$Y$627,AJ$1,FALSE)</f>
        <v>0</v>
      </c>
      <c r="AK50">
        <f>VLOOKUP($B50,'2017 Place'!$C$2:$Y$627,AK$1,FALSE)</f>
        <v>0</v>
      </c>
      <c r="AL50">
        <f>VLOOKUP($B50,'2017 Place'!$C$2:$Y$627,AL$1,FALSE)</f>
        <v>0</v>
      </c>
      <c r="AM50">
        <f>VLOOKUP($B50,'2017 Place'!$C$2:$Y$627,AM$1,FALSE)</f>
        <v>0</v>
      </c>
      <c r="AN50">
        <f>VLOOKUP($B50,'2017 Place'!$C$2:$Y$627,AN$1,FALSE)</f>
        <v>0</v>
      </c>
      <c r="AO50">
        <f>VLOOKUP($B50,'2017 Place'!$C$2:$Y$627,AO$1,FALSE)</f>
        <v>40</v>
      </c>
      <c r="AP50">
        <f>VLOOKUP($B50,'2017 Place'!$C$2:$Y$627,AP$1,FALSE)</f>
        <v>19</v>
      </c>
    </row>
    <row r="51" spans="1:42" x14ac:dyDescent="0.25">
      <c r="A51">
        <v>5337567</v>
      </c>
      <c r="B51" t="str">
        <f t="shared" si="0"/>
        <v>Lake Morton-Berrydale CDP, Washington</v>
      </c>
      <c r="C51" t="s">
        <v>98</v>
      </c>
      <c r="D51" t="s">
        <v>99</v>
      </c>
      <c r="E51">
        <f>VLOOKUP(B51,'2000 2017 Place Conc'!$C$2:$V$627,2,FALSE)</f>
        <v>9736</v>
      </c>
      <c r="F51">
        <f>VLOOKUP($B51,'2000 2017 Place Conc'!$C$2:$V$627,F$1,FALSE)</f>
        <v>9379</v>
      </c>
      <c r="G51">
        <f>VLOOKUP($B51,'2000 2017 Place Conc'!$C$2:$V$627,G$1,FALSE)</f>
        <v>357</v>
      </c>
      <c r="H51">
        <f>VLOOKUP($B51,'2000 2017 Place Conc'!$C$2:$V$627,H$1,FALSE)</f>
        <v>8614</v>
      </c>
      <c r="I51">
        <f>VLOOKUP($B51,'2000 2017 Place Conc'!$C$2:$V$627,I$1,FALSE)</f>
        <v>223</v>
      </c>
      <c r="J51">
        <f>VLOOKUP($B51,'2000 2017 Place Conc'!$C$2:$V$627,J$1,FALSE)</f>
        <v>87</v>
      </c>
      <c r="K51">
        <f>VLOOKUP($B51,'2000 2017 Place Conc'!$C$2:$V$627,K$1,FALSE)</f>
        <v>34</v>
      </c>
      <c r="L51">
        <f>VLOOKUP($B51,'2000 2017 Place Conc'!$C$2:$V$627,L$1,FALSE)</f>
        <v>115</v>
      </c>
      <c r="M51">
        <f>VLOOKUP($B51,'2000 2017 Place Conc'!$C$2:$V$627,M$1,FALSE)</f>
        <v>0</v>
      </c>
      <c r="N51">
        <f>VLOOKUP($B51,'2000 2017 Place Conc'!$C$2:$V$627,N$1,FALSE)</f>
        <v>50</v>
      </c>
      <c r="O51">
        <f>VLOOKUP($B51,'2000 2017 Place Conc'!$C$2:$V$627,O$1,FALSE)</f>
        <v>9</v>
      </c>
      <c r="P51">
        <f>VLOOKUP($B51,'2000 2017 Place Conc'!$C$2:$V$627,P$1,FALSE)</f>
        <v>155</v>
      </c>
      <c r="Q51">
        <f>VLOOKUP($B51,'2000 2017 Place Conc'!$C$2:$V$627,Q$1,FALSE)</f>
        <v>45</v>
      </c>
      <c r="R51">
        <f>VLOOKUP($B51,'2000 2017 Place Conc'!$C$2:$V$627,R$1,FALSE)</f>
        <v>9</v>
      </c>
      <c r="S51">
        <f>VLOOKUP($B51,'2000 2017 Place Conc'!$C$2:$V$627,S$1,FALSE)</f>
        <v>0</v>
      </c>
      <c r="T51">
        <f>VLOOKUP($B51,'2000 2017 Place Conc'!$C$2:$V$627,T$1,FALSE)</f>
        <v>67</v>
      </c>
      <c r="U51">
        <f>VLOOKUP($B51,'2000 2017 Place Conc'!$C$2:$V$627,U$1,FALSE)</f>
        <v>14</v>
      </c>
      <c r="V51">
        <f>VLOOKUP($B51,'2000 2017 Place Conc'!$C$2:$V$627,V$1,FALSE)</f>
        <v>282</v>
      </c>
      <c r="W51">
        <f>VLOOKUP($B51,'2000 2017 Place Conc'!$C$2:$V$627,W$1,FALSE)</f>
        <v>32</v>
      </c>
      <c r="X51" s="4">
        <f>VLOOKUP($B51,'2017 Place'!$C$2:$Y$627,X$1,FALSE)</f>
        <v>11201</v>
      </c>
      <c r="Y51">
        <f>VLOOKUP($B51,'2017 Place'!$C$2:$Y$627,Y$1,FALSE)</f>
        <v>10231</v>
      </c>
      <c r="Z51">
        <f>VLOOKUP($B51,'2017 Place'!$C$2:$Y$627,Z$1,FALSE)</f>
        <v>970</v>
      </c>
      <c r="AA51">
        <f>VLOOKUP($B51,'2017 Place'!$C$2:$Y$627,AA$1,FALSE)</f>
        <v>8808</v>
      </c>
      <c r="AB51">
        <f>VLOOKUP($B51,'2017 Place'!$C$2:$Y$627,AB$1,FALSE)</f>
        <v>519</v>
      </c>
      <c r="AC51">
        <f>VLOOKUP($B51,'2017 Place'!$C$2:$Y$627,AC$1,FALSE)</f>
        <v>281</v>
      </c>
      <c r="AD51">
        <f>VLOOKUP($B51,'2017 Place'!$C$2:$Y$627,AD$1,FALSE)</f>
        <v>61</v>
      </c>
      <c r="AE51">
        <f>VLOOKUP($B51,'2017 Place'!$C$2:$Y$627,AE$1,FALSE)</f>
        <v>115</v>
      </c>
      <c r="AF51">
        <f>VLOOKUP($B51,'2017 Place'!$C$2:$Y$627,AF$1,FALSE)</f>
        <v>0</v>
      </c>
      <c r="AG51">
        <f>VLOOKUP($B51,'2017 Place'!$C$2:$Y$627,AG$1,FALSE)</f>
        <v>86</v>
      </c>
      <c r="AH51">
        <f>VLOOKUP($B51,'2017 Place'!$C$2:$Y$627,AH$1,FALSE)</f>
        <v>0</v>
      </c>
      <c r="AI51">
        <f>VLOOKUP($B51,'2017 Place'!$C$2:$Y$627,AI$1,FALSE)</f>
        <v>63</v>
      </c>
      <c r="AJ51">
        <f>VLOOKUP($B51,'2017 Place'!$C$2:$Y$627,AJ$1,FALSE)</f>
        <v>214</v>
      </c>
      <c r="AK51">
        <f>VLOOKUP($B51,'2017 Place'!$C$2:$Y$627,AK$1,FALSE)</f>
        <v>13</v>
      </c>
      <c r="AL51">
        <f>VLOOKUP($B51,'2017 Place'!$C$2:$Y$627,AL$1,FALSE)</f>
        <v>21</v>
      </c>
      <c r="AM51">
        <f>VLOOKUP($B51,'2017 Place'!$C$2:$Y$627,AM$1,FALSE)</f>
        <v>447</v>
      </c>
      <c r="AN51">
        <f>VLOOKUP($B51,'2017 Place'!$C$2:$Y$627,AN$1,FALSE)</f>
        <v>155</v>
      </c>
      <c r="AO51">
        <f>VLOOKUP($B51,'2017 Place'!$C$2:$Y$627,AO$1,FALSE)</f>
        <v>418</v>
      </c>
      <c r="AP51">
        <f>VLOOKUP($B51,'2017 Place'!$C$2:$Y$627,AP$1,FALSE)</f>
        <v>0</v>
      </c>
    </row>
    <row r="52" spans="1:42" x14ac:dyDescent="0.25">
      <c r="A52">
        <v>5343062</v>
      </c>
      <c r="B52" t="str">
        <f t="shared" si="0"/>
        <v>Maple Heights-Lake Desire CDP, Washington</v>
      </c>
      <c r="C52" t="s">
        <v>100</v>
      </c>
      <c r="D52" t="s">
        <v>101</v>
      </c>
      <c r="E52">
        <f>VLOOKUP(B52,'2000 2017 Place Conc'!$C$2:$V$627,2,FALSE)</f>
        <v>2582</v>
      </c>
      <c r="F52">
        <f>VLOOKUP($B52,'2000 2017 Place Conc'!$C$2:$V$627,F$1,FALSE)</f>
        <v>2434</v>
      </c>
      <c r="G52">
        <f>VLOOKUP($B52,'2000 2017 Place Conc'!$C$2:$V$627,G$1,FALSE)</f>
        <v>148</v>
      </c>
      <c r="H52">
        <f>VLOOKUP($B52,'2000 2017 Place Conc'!$C$2:$V$627,H$1,FALSE)</f>
        <v>2166</v>
      </c>
      <c r="I52">
        <f>VLOOKUP($B52,'2000 2017 Place Conc'!$C$2:$V$627,I$1,FALSE)</f>
        <v>41</v>
      </c>
      <c r="J52">
        <f>VLOOKUP($B52,'2000 2017 Place Conc'!$C$2:$V$627,J$1,FALSE)</f>
        <v>41</v>
      </c>
      <c r="K52">
        <f>VLOOKUP($B52,'2000 2017 Place Conc'!$C$2:$V$627,K$1,FALSE)</f>
        <v>8</v>
      </c>
      <c r="L52">
        <f>VLOOKUP($B52,'2000 2017 Place Conc'!$C$2:$V$627,L$1,FALSE)</f>
        <v>23</v>
      </c>
      <c r="M52">
        <f>VLOOKUP($B52,'2000 2017 Place Conc'!$C$2:$V$627,M$1,FALSE)</f>
        <v>0</v>
      </c>
      <c r="N52">
        <f>VLOOKUP($B52,'2000 2017 Place Conc'!$C$2:$V$627,N$1,FALSE)</f>
        <v>32</v>
      </c>
      <c r="O52">
        <f>VLOOKUP($B52,'2000 2017 Place Conc'!$C$2:$V$627,O$1,FALSE)</f>
        <v>0</v>
      </c>
      <c r="P52">
        <f>VLOOKUP($B52,'2000 2017 Place Conc'!$C$2:$V$627,P$1,FALSE)</f>
        <v>65</v>
      </c>
      <c r="Q52">
        <f>VLOOKUP($B52,'2000 2017 Place Conc'!$C$2:$V$627,Q$1,FALSE)</f>
        <v>97</v>
      </c>
      <c r="R52">
        <f>VLOOKUP($B52,'2000 2017 Place Conc'!$C$2:$V$627,R$1,FALSE)</f>
        <v>0</v>
      </c>
      <c r="S52">
        <f>VLOOKUP($B52,'2000 2017 Place Conc'!$C$2:$V$627,S$1,FALSE)</f>
        <v>0</v>
      </c>
      <c r="T52">
        <f>VLOOKUP($B52,'2000 2017 Place Conc'!$C$2:$V$627,T$1,FALSE)</f>
        <v>0</v>
      </c>
      <c r="U52">
        <f>VLOOKUP($B52,'2000 2017 Place Conc'!$C$2:$V$627,U$1,FALSE)</f>
        <v>2</v>
      </c>
      <c r="V52">
        <f>VLOOKUP($B52,'2000 2017 Place Conc'!$C$2:$V$627,V$1,FALSE)</f>
        <v>107</v>
      </c>
      <c r="W52">
        <f>VLOOKUP($B52,'2000 2017 Place Conc'!$C$2:$V$627,W$1,FALSE)</f>
        <v>0</v>
      </c>
      <c r="X52" s="4">
        <f>VLOOKUP($B52,'2017 Place'!$C$2:$Y$627,X$1,FALSE)</f>
        <v>3442</v>
      </c>
      <c r="Y52">
        <f>VLOOKUP($B52,'2017 Place'!$C$2:$Y$627,Y$1,FALSE)</f>
        <v>3026</v>
      </c>
      <c r="Z52">
        <f>VLOOKUP($B52,'2017 Place'!$C$2:$Y$627,Z$1,FALSE)</f>
        <v>416</v>
      </c>
      <c r="AA52">
        <f>VLOOKUP($B52,'2017 Place'!$C$2:$Y$627,AA$1,FALSE)</f>
        <v>2609</v>
      </c>
      <c r="AB52">
        <f>VLOOKUP($B52,'2017 Place'!$C$2:$Y$627,AB$1,FALSE)</f>
        <v>97</v>
      </c>
      <c r="AC52">
        <f>VLOOKUP($B52,'2017 Place'!$C$2:$Y$627,AC$1,FALSE)</f>
        <v>0</v>
      </c>
      <c r="AD52">
        <f>VLOOKUP($B52,'2017 Place'!$C$2:$Y$627,AD$1,FALSE)</f>
        <v>0</v>
      </c>
      <c r="AE52">
        <f>VLOOKUP($B52,'2017 Place'!$C$2:$Y$627,AE$1,FALSE)</f>
        <v>117</v>
      </c>
      <c r="AF52">
        <f>VLOOKUP($B52,'2017 Place'!$C$2:$Y$627,AF$1,FALSE)</f>
        <v>13</v>
      </c>
      <c r="AG52">
        <f>VLOOKUP($B52,'2017 Place'!$C$2:$Y$627,AG$1,FALSE)</f>
        <v>0</v>
      </c>
      <c r="AH52">
        <f>VLOOKUP($B52,'2017 Place'!$C$2:$Y$627,AH$1,FALSE)</f>
        <v>0</v>
      </c>
      <c r="AI52">
        <f>VLOOKUP($B52,'2017 Place'!$C$2:$Y$627,AI$1,FALSE)</f>
        <v>141</v>
      </c>
      <c r="AJ52">
        <f>VLOOKUP($B52,'2017 Place'!$C$2:$Y$627,AJ$1,FALSE)</f>
        <v>266</v>
      </c>
      <c r="AK52">
        <f>VLOOKUP($B52,'2017 Place'!$C$2:$Y$627,AK$1,FALSE)</f>
        <v>0</v>
      </c>
      <c r="AL52">
        <f>VLOOKUP($B52,'2017 Place'!$C$2:$Y$627,AL$1,FALSE)</f>
        <v>0</v>
      </c>
      <c r="AM52">
        <f>VLOOKUP($B52,'2017 Place'!$C$2:$Y$627,AM$1,FALSE)</f>
        <v>0</v>
      </c>
      <c r="AN52">
        <f>VLOOKUP($B52,'2017 Place'!$C$2:$Y$627,AN$1,FALSE)</f>
        <v>40</v>
      </c>
      <c r="AO52">
        <f>VLOOKUP($B52,'2017 Place'!$C$2:$Y$627,AO$1,FALSE)</f>
        <v>159</v>
      </c>
      <c r="AP52">
        <f>VLOOKUP($B52,'2017 Place'!$C$2:$Y$627,AP$1,FALSE)</f>
        <v>0</v>
      </c>
    </row>
    <row r="53" spans="1:42" x14ac:dyDescent="0.25">
      <c r="A53">
        <v>5346215</v>
      </c>
      <c r="B53" t="str">
        <f t="shared" si="0"/>
        <v>Mirrormont CDP, Washington</v>
      </c>
      <c r="C53" t="s">
        <v>102</v>
      </c>
      <c r="D53" t="s">
        <v>103</v>
      </c>
      <c r="E53">
        <f>VLOOKUP(B53,'2000 2017 Place Conc'!$C$2:$V$627,2,FALSE)</f>
        <v>3807</v>
      </c>
      <c r="F53">
        <f>VLOOKUP($B53,'2000 2017 Place Conc'!$C$2:$V$627,F$1,FALSE)</f>
        <v>3510</v>
      </c>
      <c r="G53">
        <f>VLOOKUP($B53,'2000 2017 Place Conc'!$C$2:$V$627,G$1,FALSE)</f>
        <v>297</v>
      </c>
      <c r="H53">
        <f>VLOOKUP($B53,'2000 2017 Place Conc'!$C$2:$V$627,H$1,FALSE)</f>
        <v>3205</v>
      </c>
      <c r="I53">
        <f>VLOOKUP($B53,'2000 2017 Place Conc'!$C$2:$V$627,I$1,FALSE)</f>
        <v>193</v>
      </c>
      <c r="J53">
        <f>VLOOKUP($B53,'2000 2017 Place Conc'!$C$2:$V$627,J$1,FALSE)</f>
        <v>25</v>
      </c>
      <c r="K53">
        <f>VLOOKUP($B53,'2000 2017 Place Conc'!$C$2:$V$627,K$1,FALSE)</f>
        <v>6</v>
      </c>
      <c r="L53">
        <f>VLOOKUP($B53,'2000 2017 Place Conc'!$C$2:$V$627,L$1,FALSE)</f>
        <v>33</v>
      </c>
      <c r="M53">
        <f>VLOOKUP($B53,'2000 2017 Place Conc'!$C$2:$V$627,M$1,FALSE)</f>
        <v>0</v>
      </c>
      <c r="N53">
        <f>VLOOKUP($B53,'2000 2017 Place Conc'!$C$2:$V$627,N$1,FALSE)</f>
        <v>22</v>
      </c>
      <c r="O53">
        <f>VLOOKUP($B53,'2000 2017 Place Conc'!$C$2:$V$627,O$1,FALSE)</f>
        <v>0</v>
      </c>
      <c r="P53">
        <f>VLOOKUP($B53,'2000 2017 Place Conc'!$C$2:$V$627,P$1,FALSE)</f>
        <v>16</v>
      </c>
      <c r="Q53">
        <f>VLOOKUP($B53,'2000 2017 Place Conc'!$C$2:$V$627,Q$1,FALSE)</f>
        <v>74</v>
      </c>
      <c r="R53">
        <f>VLOOKUP($B53,'2000 2017 Place Conc'!$C$2:$V$627,R$1,FALSE)</f>
        <v>5</v>
      </c>
      <c r="S53">
        <f>VLOOKUP($B53,'2000 2017 Place Conc'!$C$2:$V$627,S$1,FALSE)</f>
        <v>5</v>
      </c>
      <c r="T53">
        <f>VLOOKUP($B53,'2000 2017 Place Conc'!$C$2:$V$627,T$1,FALSE)</f>
        <v>60</v>
      </c>
      <c r="U53">
        <f>VLOOKUP($B53,'2000 2017 Place Conc'!$C$2:$V$627,U$1,FALSE)</f>
        <v>0</v>
      </c>
      <c r="V53">
        <f>VLOOKUP($B53,'2000 2017 Place Conc'!$C$2:$V$627,V$1,FALSE)</f>
        <v>144</v>
      </c>
      <c r="W53">
        <f>VLOOKUP($B53,'2000 2017 Place Conc'!$C$2:$V$627,W$1,FALSE)</f>
        <v>19</v>
      </c>
      <c r="X53" s="4">
        <f>VLOOKUP($B53,'2017 Place'!$C$2:$Y$627,X$1,FALSE)</f>
        <v>3682</v>
      </c>
      <c r="Y53">
        <f>VLOOKUP($B53,'2017 Place'!$C$2:$Y$627,Y$1,FALSE)</f>
        <v>3328</v>
      </c>
      <c r="Z53">
        <f>VLOOKUP($B53,'2017 Place'!$C$2:$Y$627,Z$1,FALSE)</f>
        <v>354</v>
      </c>
      <c r="AA53">
        <f>VLOOKUP($B53,'2017 Place'!$C$2:$Y$627,AA$1,FALSE)</f>
        <v>3203</v>
      </c>
      <c r="AB53">
        <f>VLOOKUP($B53,'2017 Place'!$C$2:$Y$627,AB$1,FALSE)</f>
        <v>253</v>
      </c>
      <c r="AC53">
        <f>VLOOKUP($B53,'2017 Place'!$C$2:$Y$627,AC$1,FALSE)</f>
        <v>22</v>
      </c>
      <c r="AD53">
        <f>VLOOKUP($B53,'2017 Place'!$C$2:$Y$627,AD$1,FALSE)</f>
        <v>0</v>
      </c>
      <c r="AE53">
        <f>VLOOKUP($B53,'2017 Place'!$C$2:$Y$627,AE$1,FALSE)</f>
        <v>12</v>
      </c>
      <c r="AF53">
        <f>VLOOKUP($B53,'2017 Place'!$C$2:$Y$627,AF$1,FALSE)</f>
        <v>0</v>
      </c>
      <c r="AG53">
        <f>VLOOKUP($B53,'2017 Place'!$C$2:$Y$627,AG$1,FALSE)</f>
        <v>0</v>
      </c>
      <c r="AH53">
        <f>VLOOKUP($B53,'2017 Place'!$C$2:$Y$627,AH$1,FALSE)</f>
        <v>0</v>
      </c>
      <c r="AI53">
        <f>VLOOKUP($B53,'2017 Place'!$C$2:$Y$627,AI$1,FALSE)</f>
        <v>60</v>
      </c>
      <c r="AJ53">
        <f>VLOOKUP($B53,'2017 Place'!$C$2:$Y$627,AJ$1,FALSE)</f>
        <v>73</v>
      </c>
      <c r="AK53">
        <f>VLOOKUP($B53,'2017 Place'!$C$2:$Y$627,AK$1,FALSE)</f>
        <v>0</v>
      </c>
      <c r="AL53">
        <f>VLOOKUP($B53,'2017 Place'!$C$2:$Y$627,AL$1,FALSE)</f>
        <v>0</v>
      </c>
      <c r="AM53">
        <f>VLOOKUP($B53,'2017 Place'!$C$2:$Y$627,AM$1,FALSE)</f>
        <v>0</v>
      </c>
      <c r="AN53">
        <f>VLOOKUP($B53,'2017 Place'!$C$2:$Y$627,AN$1,FALSE)</f>
        <v>0</v>
      </c>
      <c r="AO53">
        <f>VLOOKUP($B53,'2017 Place'!$C$2:$Y$627,AO$1,FALSE)</f>
        <v>31</v>
      </c>
      <c r="AP53">
        <f>VLOOKUP($B53,'2017 Place'!$C$2:$Y$627,AP$1,FALSE)</f>
        <v>28</v>
      </c>
    </row>
    <row r="54" spans="1:42" x14ac:dyDescent="0.25">
      <c r="A54">
        <v>5357395</v>
      </c>
      <c r="B54" t="str">
        <f t="shared" si="0"/>
        <v>Ravensdale CDP, Washington</v>
      </c>
      <c r="C54" t="s">
        <v>104</v>
      </c>
      <c r="D54" t="s">
        <v>105</v>
      </c>
      <c r="E54">
        <f>VLOOKUP(B54,'2000 2017 Place Conc'!$C$2:$V$627,2,FALSE)</f>
        <v>761</v>
      </c>
      <c r="F54">
        <f>VLOOKUP($B54,'2000 2017 Place Conc'!$C$2:$V$627,F$1,FALSE)</f>
        <v>726</v>
      </c>
      <c r="G54">
        <f>VLOOKUP($B54,'2000 2017 Place Conc'!$C$2:$V$627,G$1,FALSE)</f>
        <v>35</v>
      </c>
      <c r="H54">
        <f>VLOOKUP($B54,'2000 2017 Place Conc'!$C$2:$V$627,H$1,FALSE)</f>
        <v>720</v>
      </c>
      <c r="I54">
        <f>VLOOKUP($B54,'2000 2017 Place Conc'!$C$2:$V$627,I$1,FALSE)</f>
        <v>6</v>
      </c>
      <c r="J54">
        <f>VLOOKUP($B54,'2000 2017 Place Conc'!$C$2:$V$627,J$1,FALSE)</f>
        <v>6</v>
      </c>
      <c r="K54">
        <f>VLOOKUP($B54,'2000 2017 Place Conc'!$C$2:$V$627,K$1,FALSE)</f>
        <v>0</v>
      </c>
      <c r="L54">
        <f>VLOOKUP($B54,'2000 2017 Place Conc'!$C$2:$V$627,L$1,FALSE)</f>
        <v>0</v>
      </c>
      <c r="M54">
        <f>VLOOKUP($B54,'2000 2017 Place Conc'!$C$2:$V$627,M$1,FALSE)</f>
        <v>0</v>
      </c>
      <c r="N54">
        <f>VLOOKUP($B54,'2000 2017 Place Conc'!$C$2:$V$627,N$1,FALSE)</f>
        <v>0</v>
      </c>
      <c r="O54">
        <f>VLOOKUP($B54,'2000 2017 Place Conc'!$C$2:$V$627,O$1,FALSE)</f>
        <v>0</v>
      </c>
      <c r="P54">
        <f>VLOOKUP($B54,'2000 2017 Place Conc'!$C$2:$V$627,P$1,FALSE)</f>
        <v>0</v>
      </c>
      <c r="Q54">
        <f>VLOOKUP($B54,'2000 2017 Place Conc'!$C$2:$V$627,Q$1,FALSE)</f>
        <v>29</v>
      </c>
      <c r="R54">
        <f>VLOOKUP($B54,'2000 2017 Place Conc'!$C$2:$V$627,R$1,FALSE)</f>
        <v>0</v>
      </c>
      <c r="S54">
        <f>VLOOKUP($B54,'2000 2017 Place Conc'!$C$2:$V$627,S$1,FALSE)</f>
        <v>0</v>
      </c>
      <c r="T54">
        <f>VLOOKUP($B54,'2000 2017 Place Conc'!$C$2:$V$627,T$1,FALSE)</f>
        <v>0</v>
      </c>
      <c r="U54">
        <f>VLOOKUP($B54,'2000 2017 Place Conc'!$C$2:$V$627,U$1,FALSE)</f>
        <v>0</v>
      </c>
      <c r="V54">
        <f>VLOOKUP($B54,'2000 2017 Place Conc'!$C$2:$V$627,V$1,FALSE)</f>
        <v>0</v>
      </c>
      <c r="W54">
        <f>VLOOKUP($B54,'2000 2017 Place Conc'!$C$2:$V$627,W$1,FALSE)</f>
        <v>0</v>
      </c>
      <c r="X54" s="4">
        <f>VLOOKUP($B54,'2017 Place'!$C$2:$Y$627,X$1,FALSE)</f>
        <v>1579</v>
      </c>
      <c r="Y54">
        <f>VLOOKUP($B54,'2017 Place'!$C$2:$Y$627,Y$1,FALSE)</f>
        <v>1542</v>
      </c>
      <c r="Z54">
        <f>VLOOKUP($B54,'2017 Place'!$C$2:$Y$627,Z$1,FALSE)</f>
        <v>37</v>
      </c>
      <c r="AA54">
        <f>VLOOKUP($B54,'2017 Place'!$C$2:$Y$627,AA$1,FALSE)</f>
        <v>1347</v>
      </c>
      <c r="AB54">
        <f>VLOOKUP($B54,'2017 Place'!$C$2:$Y$627,AB$1,FALSE)</f>
        <v>23</v>
      </c>
      <c r="AC54">
        <f>VLOOKUP($B54,'2017 Place'!$C$2:$Y$627,AC$1,FALSE)</f>
        <v>8</v>
      </c>
      <c r="AD54">
        <f>VLOOKUP($B54,'2017 Place'!$C$2:$Y$627,AD$1,FALSE)</f>
        <v>0</v>
      </c>
      <c r="AE54">
        <f>VLOOKUP($B54,'2017 Place'!$C$2:$Y$627,AE$1,FALSE)</f>
        <v>0</v>
      </c>
      <c r="AF54">
        <f>VLOOKUP($B54,'2017 Place'!$C$2:$Y$627,AF$1,FALSE)</f>
        <v>0</v>
      </c>
      <c r="AG54">
        <f>VLOOKUP($B54,'2017 Place'!$C$2:$Y$627,AG$1,FALSE)</f>
        <v>0</v>
      </c>
      <c r="AH54">
        <f>VLOOKUP($B54,'2017 Place'!$C$2:$Y$627,AH$1,FALSE)</f>
        <v>0</v>
      </c>
      <c r="AI54">
        <f>VLOOKUP($B54,'2017 Place'!$C$2:$Y$627,AI$1,FALSE)</f>
        <v>0</v>
      </c>
      <c r="AJ54">
        <f>VLOOKUP($B54,'2017 Place'!$C$2:$Y$627,AJ$1,FALSE)</f>
        <v>14</v>
      </c>
      <c r="AK54">
        <f>VLOOKUP($B54,'2017 Place'!$C$2:$Y$627,AK$1,FALSE)</f>
        <v>41</v>
      </c>
      <c r="AL54">
        <f>VLOOKUP($B54,'2017 Place'!$C$2:$Y$627,AL$1,FALSE)</f>
        <v>0</v>
      </c>
      <c r="AM54">
        <f>VLOOKUP($B54,'2017 Place'!$C$2:$Y$627,AM$1,FALSE)</f>
        <v>0</v>
      </c>
      <c r="AN54">
        <f>VLOOKUP($B54,'2017 Place'!$C$2:$Y$627,AN$1,FALSE)</f>
        <v>0</v>
      </c>
      <c r="AO54">
        <f>VLOOKUP($B54,'2017 Place'!$C$2:$Y$627,AO$1,FALSE)</f>
        <v>146</v>
      </c>
      <c r="AP54">
        <f>VLOOKUP($B54,'2017 Place'!$C$2:$Y$627,AP$1,FALSE)</f>
        <v>0</v>
      </c>
    </row>
    <row r="55" spans="1:42" x14ac:dyDescent="0.25">
      <c r="A55">
        <v>5358742</v>
      </c>
      <c r="B55" t="str">
        <f t="shared" si="0"/>
        <v>Riverbend CDP, Washington</v>
      </c>
      <c r="C55" t="s">
        <v>106</v>
      </c>
      <c r="D55" t="s">
        <v>107</v>
      </c>
      <c r="E55">
        <f>VLOOKUP(B55,'2000 2017 Place Conc'!$C$2:$V$627,2,FALSE)</f>
        <v>2247</v>
      </c>
      <c r="F55">
        <f>VLOOKUP($B55,'2000 2017 Place Conc'!$C$2:$V$627,F$1,FALSE)</f>
        <v>2138</v>
      </c>
      <c r="G55">
        <f>VLOOKUP($B55,'2000 2017 Place Conc'!$C$2:$V$627,G$1,FALSE)</f>
        <v>109</v>
      </c>
      <c r="H55">
        <f>VLOOKUP($B55,'2000 2017 Place Conc'!$C$2:$V$627,H$1,FALSE)</f>
        <v>2066</v>
      </c>
      <c r="I55">
        <f>VLOOKUP($B55,'2000 2017 Place Conc'!$C$2:$V$627,I$1,FALSE)</f>
        <v>49</v>
      </c>
      <c r="J55">
        <f>VLOOKUP($B55,'2000 2017 Place Conc'!$C$2:$V$627,J$1,FALSE)</f>
        <v>22</v>
      </c>
      <c r="K55">
        <f>VLOOKUP($B55,'2000 2017 Place Conc'!$C$2:$V$627,K$1,FALSE)</f>
        <v>16</v>
      </c>
      <c r="L55">
        <f>VLOOKUP($B55,'2000 2017 Place Conc'!$C$2:$V$627,L$1,FALSE)</f>
        <v>12</v>
      </c>
      <c r="M55">
        <f>VLOOKUP($B55,'2000 2017 Place Conc'!$C$2:$V$627,M$1,FALSE)</f>
        <v>0</v>
      </c>
      <c r="N55">
        <f>VLOOKUP($B55,'2000 2017 Place Conc'!$C$2:$V$627,N$1,FALSE)</f>
        <v>7</v>
      </c>
      <c r="O55">
        <f>VLOOKUP($B55,'2000 2017 Place Conc'!$C$2:$V$627,O$1,FALSE)</f>
        <v>0</v>
      </c>
      <c r="P55">
        <f>VLOOKUP($B55,'2000 2017 Place Conc'!$C$2:$V$627,P$1,FALSE)</f>
        <v>0</v>
      </c>
      <c r="Q55">
        <f>VLOOKUP($B55,'2000 2017 Place Conc'!$C$2:$V$627,Q$1,FALSE)</f>
        <v>35</v>
      </c>
      <c r="R55">
        <f>VLOOKUP($B55,'2000 2017 Place Conc'!$C$2:$V$627,R$1,FALSE)</f>
        <v>0</v>
      </c>
      <c r="S55">
        <f>VLOOKUP($B55,'2000 2017 Place Conc'!$C$2:$V$627,S$1,FALSE)</f>
        <v>0</v>
      </c>
      <c r="T55">
        <f>VLOOKUP($B55,'2000 2017 Place Conc'!$C$2:$V$627,T$1,FALSE)</f>
        <v>15</v>
      </c>
      <c r="U55">
        <f>VLOOKUP($B55,'2000 2017 Place Conc'!$C$2:$V$627,U$1,FALSE)</f>
        <v>0</v>
      </c>
      <c r="V55">
        <f>VLOOKUP($B55,'2000 2017 Place Conc'!$C$2:$V$627,V$1,FALSE)</f>
        <v>16</v>
      </c>
      <c r="W55">
        <f>VLOOKUP($B55,'2000 2017 Place Conc'!$C$2:$V$627,W$1,FALSE)</f>
        <v>9</v>
      </c>
      <c r="X55" s="4">
        <f>VLOOKUP($B55,'2017 Place'!$C$2:$Y$627,X$1,FALSE)</f>
        <v>2241</v>
      </c>
      <c r="Y55">
        <f>VLOOKUP($B55,'2017 Place'!$C$2:$Y$627,Y$1,FALSE)</f>
        <v>2121</v>
      </c>
      <c r="Z55">
        <f>VLOOKUP($B55,'2017 Place'!$C$2:$Y$627,Z$1,FALSE)</f>
        <v>120</v>
      </c>
      <c r="AA55">
        <f>VLOOKUP($B55,'2017 Place'!$C$2:$Y$627,AA$1,FALSE)</f>
        <v>2042</v>
      </c>
      <c r="AB55">
        <f>VLOOKUP($B55,'2017 Place'!$C$2:$Y$627,AB$1,FALSE)</f>
        <v>79</v>
      </c>
      <c r="AC55">
        <f>VLOOKUP($B55,'2017 Place'!$C$2:$Y$627,AC$1,FALSE)</f>
        <v>0</v>
      </c>
      <c r="AD55">
        <f>VLOOKUP($B55,'2017 Place'!$C$2:$Y$627,AD$1,FALSE)</f>
        <v>16</v>
      </c>
      <c r="AE55">
        <f>VLOOKUP($B55,'2017 Place'!$C$2:$Y$627,AE$1,FALSE)</f>
        <v>79</v>
      </c>
      <c r="AF55">
        <f>VLOOKUP($B55,'2017 Place'!$C$2:$Y$627,AF$1,FALSE)</f>
        <v>0</v>
      </c>
      <c r="AG55">
        <f>VLOOKUP($B55,'2017 Place'!$C$2:$Y$627,AG$1,FALSE)</f>
        <v>0</v>
      </c>
      <c r="AH55">
        <f>VLOOKUP($B55,'2017 Place'!$C$2:$Y$627,AH$1,FALSE)</f>
        <v>0</v>
      </c>
      <c r="AI55">
        <f>VLOOKUP($B55,'2017 Place'!$C$2:$Y$627,AI$1,FALSE)</f>
        <v>0</v>
      </c>
      <c r="AJ55">
        <f>VLOOKUP($B55,'2017 Place'!$C$2:$Y$627,AJ$1,FALSE)</f>
        <v>0</v>
      </c>
      <c r="AK55">
        <f>VLOOKUP($B55,'2017 Place'!$C$2:$Y$627,AK$1,FALSE)</f>
        <v>0</v>
      </c>
      <c r="AL55">
        <f>VLOOKUP($B55,'2017 Place'!$C$2:$Y$627,AL$1,FALSE)</f>
        <v>0</v>
      </c>
      <c r="AM55">
        <f>VLOOKUP($B55,'2017 Place'!$C$2:$Y$627,AM$1,FALSE)</f>
        <v>0</v>
      </c>
      <c r="AN55">
        <f>VLOOKUP($B55,'2017 Place'!$C$2:$Y$627,AN$1,FALSE)</f>
        <v>0</v>
      </c>
      <c r="AO55">
        <f>VLOOKUP($B55,'2017 Place'!$C$2:$Y$627,AO$1,FALSE)</f>
        <v>0</v>
      </c>
      <c r="AP55">
        <f>VLOOKUP($B55,'2017 Place'!$C$2:$Y$627,AP$1,FALSE)</f>
        <v>25</v>
      </c>
    </row>
    <row r="56" spans="1:42" x14ac:dyDescent="0.25">
      <c r="A56">
        <v>5370315</v>
      </c>
      <c r="B56" t="str">
        <f t="shared" si="0"/>
        <v>Tanner CDP, Washington</v>
      </c>
      <c r="C56" t="s">
        <v>108</v>
      </c>
      <c r="D56" t="s">
        <v>109</v>
      </c>
      <c r="E56">
        <f>VLOOKUP(B56,'2000 2017 Place Conc'!$C$2:$V$627,2,FALSE)</f>
        <v>2961</v>
      </c>
      <c r="F56">
        <f>VLOOKUP($B56,'2000 2017 Place Conc'!$C$2:$V$627,F$1,FALSE)</f>
        <v>2800</v>
      </c>
      <c r="G56">
        <f>VLOOKUP($B56,'2000 2017 Place Conc'!$C$2:$V$627,G$1,FALSE)</f>
        <v>161</v>
      </c>
      <c r="H56">
        <f>VLOOKUP($B56,'2000 2017 Place Conc'!$C$2:$V$627,H$1,FALSE)</f>
        <v>2611</v>
      </c>
      <c r="I56">
        <f>VLOOKUP($B56,'2000 2017 Place Conc'!$C$2:$V$627,I$1,FALSE)</f>
        <v>144</v>
      </c>
      <c r="J56">
        <f>VLOOKUP($B56,'2000 2017 Place Conc'!$C$2:$V$627,J$1,FALSE)</f>
        <v>0</v>
      </c>
      <c r="K56">
        <f>VLOOKUP($B56,'2000 2017 Place Conc'!$C$2:$V$627,K$1,FALSE)</f>
        <v>0</v>
      </c>
      <c r="L56">
        <f>VLOOKUP($B56,'2000 2017 Place Conc'!$C$2:$V$627,L$1,FALSE)</f>
        <v>21</v>
      </c>
      <c r="M56">
        <f>VLOOKUP($B56,'2000 2017 Place Conc'!$C$2:$V$627,M$1,FALSE)</f>
        <v>0</v>
      </c>
      <c r="N56">
        <f>VLOOKUP($B56,'2000 2017 Place Conc'!$C$2:$V$627,N$1,FALSE)</f>
        <v>71</v>
      </c>
      <c r="O56">
        <f>VLOOKUP($B56,'2000 2017 Place Conc'!$C$2:$V$627,O$1,FALSE)</f>
        <v>0</v>
      </c>
      <c r="P56">
        <f>VLOOKUP($B56,'2000 2017 Place Conc'!$C$2:$V$627,P$1,FALSE)</f>
        <v>8</v>
      </c>
      <c r="Q56">
        <f>VLOOKUP($B56,'2000 2017 Place Conc'!$C$2:$V$627,Q$1,FALSE)</f>
        <v>9</v>
      </c>
      <c r="R56">
        <f>VLOOKUP($B56,'2000 2017 Place Conc'!$C$2:$V$627,R$1,FALSE)</f>
        <v>0</v>
      </c>
      <c r="S56">
        <f>VLOOKUP($B56,'2000 2017 Place Conc'!$C$2:$V$627,S$1,FALSE)</f>
        <v>0</v>
      </c>
      <c r="T56">
        <f>VLOOKUP($B56,'2000 2017 Place Conc'!$C$2:$V$627,T$1,FALSE)</f>
        <v>9</v>
      </c>
      <c r="U56">
        <f>VLOOKUP($B56,'2000 2017 Place Conc'!$C$2:$V$627,U$1,FALSE)</f>
        <v>8</v>
      </c>
      <c r="V56">
        <f>VLOOKUP($B56,'2000 2017 Place Conc'!$C$2:$V$627,V$1,FALSE)</f>
        <v>80</v>
      </c>
      <c r="W56">
        <f>VLOOKUP($B56,'2000 2017 Place Conc'!$C$2:$V$627,W$1,FALSE)</f>
        <v>0</v>
      </c>
      <c r="X56" s="4">
        <f>VLOOKUP($B56,'2017 Place'!$C$2:$Y$627,X$1,FALSE)</f>
        <v>905</v>
      </c>
      <c r="Y56">
        <f>VLOOKUP($B56,'2017 Place'!$C$2:$Y$627,Y$1,FALSE)</f>
        <v>833</v>
      </c>
      <c r="Z56">
        <f>VLOOKUP($B56,'2017 Place'!$C$2:$Y$627,Z$1,FALSE)</f>
        <v>72</v>
      </c>
      <c r="AA56">
        <f>VLOOKUP($B56,'2017 Place'!$C$2:$Y$627,AA$1,FALSE)</f>
        <v>823</v>
      </c>
      <c r="AB56">
        <f>VLOOKUP($B56,'2017 Place'!$C$2:$Y$627,AB$1,FALSE)</f>
        <v>52</v>
      </c>
      <c r="AC56">
        <f>VLOOKUP($B56,'2017 Place'!$C$2:$Y$627,AC$1,FALSE)</f>
        <v>0</v>
      </c>
      <c r="AD56">
        <f>VLOOKUP($B56,'2017 Place'!$C$2:$Y$627,AD$1,FALSE)</f>
        <v>7</v>
      </c>
      <c r="AE56">
        <f>VLOOKUP($B56,'2017 Place'!$C$2:$Y$627,AE$1,FALSE)</f>
        <v>0</v>
      </c>
      <c r="AF56">
        <f>VLOOKUP($B56,'2017 Place'!$C$2:$Y$627,AF$1,FALSE)</f>
        <v>0</v>
      </c>
      <c r="AG56">
        <f>VLOOKUP($B56,'2017 Place'!$C$2:$Y$627,AG$1,FALSE)</f>
        <v>0</v>
      </c>
      <c r="AH56">
        <f>VLOOKUP($B56,'2017 Place'!$C$2:$Y$627,AH$1,FALSE)</f>
        <v>0</v>
      </c>
      <c r="AI56">
        <f>VLOOKUP($B56,'2017 Place'!$C$2:$Y$627,AI$1,FALSE)</f>
        <v>0</v>
      </c>
      <c r="AJ56">
        <f>VLOOKUP($B56,'2017 Place'!$C$2:$Y$627,AJ$1,FALSE)</f>
        <v>0</v>
      </c>
      <c r="AK56">
        <f>VLOOKUP($B56,'2017 Place'!$C$2:$Y$627,AK$1,FALSE)</f>
        <v>0</v>
      </c>
      <c r="AL56">
        <f>VLOOKUP($B56,'2017 Place'!$C$2:$Y$627,AL$1,FALSE)</f>
        <v>0</v>
      </c>
      <c r="AM56">
        <f>VLOOKUP($B56,'2017 Place'!$C$2:$Y$627,AM$1,FALSE)</f>
        <v>0</v>
      </c>
      <c r="AN56">
        <f>VLOOKUP($B56,'2017 Place'!$C$2:$Y$627,AN$1,FALSE)</f>
        <v>0</v>
      </c>
      <c r="AO56">
        <f>VLOOKUP($B56,'2017 Place'!$C$2:$Y$627,AO$1,FALSE)</f>
        <v>10</v>
      </c>
      <c r="AP56">
        <f>VLOOKUP($B56,'2017 Place'!$C$2:$Y$627,AP$1,FALSE)</f>
        <v>13</v>
      </c>
    </row>
    <row r="57" spans="1:42" x14ac:dyDescent="0.25">
      <c r="A57">
        <v>5373307</v>
      </c>
      <c r="B57" t="str">
        <f t="shared" si="0"/>
        <v>Union Hill-Novelty Hill CDP, Washington</v>
      </c>
      <c r="C57" t="s">
        <v>110</v>
      </c>
      <c r="D57" t="s">
        <v>111</v>
      </c>
      <c r="E57">
        <f>VLOOKUP(B57,'2000 2017 Place Conc'!$C$2:$V$627,2,FALSE)</f>
        <v>11179</v>
      </c>
      <c r="F57">
        <f>VLOOKUP($B57,'2000 2017 Place Conc'!$C$2:$V$627,F$1,FALSE)</f>
        <v>9896</v>
      </c>
      <c r="G57">
        <f>VLOOKUP($B57,'2000 2017 Place Conc'!$C$2:$V$627,G$1,FALSE)</f>
        <v>1283</v>
      </c>
      <c r="H57">
        <f>VLOOKUP($B57,'2000 2017 Place Conc'!$C$2:$V$627,H$1,FALSE)</f>
        <v>9165</v>
      </c>
      <c r="I57">
        <f>VLOOKUP($B57,'2000 2017 Place Conc'!$C$2:$V$627,I$1,FALSE)</f>
        <v>750</v>
      </c>
      <c r="J57">
        <f>VLOOKUP($B57,'2000 2017 Place Conc'!$C$2:$V$627,J$1,FALSE)</f>
        <v>104</v>
      </c>
      <c r="K57">
        <f>VLOOKUP($B57,'2000 2017 Place Conc'!$C$2:$V$627,K$1,FALSE)</f>
        <v>49</v>
      </c>
      <c r="L57">
        <f>VLOOKUP($B57,'2000 2017 Place Conc'!$C$2:$V$627,L$1,FALSE)</f>
        <v>115</v>
      </c>
      <c r="M57">
        <f>VLOOKUP($B57,'2000 2017 Place Conc'!$C$2:$V$627,M$1,FALSE)</f>
        <v>12</v>
      </c>
      <c r="N57">
        <f>VLOOKUP($B57,'2000 2017 Place Conc'!$C$2:$V$627,N$1,FALSE)</f>
        <v>7</v>
      </c>
      <c r="O57">
        <f>VLOOKUP($B57,'2000 2017 Place Conc'!$C$2:$V$627,O$1,FALSE)</f>
        <v>0</v>
      </c>
      <c r="P57">
        <f>VLOOKUP($B57,'2000 2017 Place Conc'!$C$2:$V$627,P$1,FALSE)</f>
        <v>202</v>
      </c>
      <c r="Q57">
        <f>VLOOKUP($B57,'2000 2017 Place Conc'!$C$2:$V$627,Q$1,FALSE)</f>
        <v>326</v>
      </c>
      <c r="R57">
        <f>VLOOKUP($B57,'2000 2017 Place Conc'!$C$2:$V$627,R$1,FALSE)</f>
        <v>0</v>
      </c>
      <c r="S57">
        <f>VLOOKUP($B57,'2000 2017 Place Conc'!$C$2:$V$627,S$1,FALSE)</f>
        <v>0</v>
      </c>
      <c r="T57">
        <f>VLOOKUP($B57,'2000 2017 Place Conc'!$C$2:$V$627,T$1,FALSE)</f>
        <v>61</v>
      </c>
      <c r="U57">
        <f>VLOOKUP($B57,'2000 2017 Place Conc'!$C$2:$V$627,U$1,FALSE)</f>
        <v>116</v>
      </c>
      <c r="V57">
        <f>VLOOKUP($B57,'2000 2017 Place Conc'!$C$2:$V$627,V$1,FALSE)</f>
        <v>242</v>
      </c>
      <c r="W57">
        <f>VLOOKUP($B57,'2000 2017 Place Conc'!$C$2:$V$627,W$1,FALSE)</f>
        <v>30</v>
      </c>
      <c r="X57" s="4">
        <f>VLOOKUP($B57,'2017 Place'!$C$2:$Y$627,X$1,FALSE)</f>
        <v>22109</v>
      </c>
      <c r="Y57">
        <f>VLOOKUP($B57,'2017 Place'!$C$2:$Y$627,Y$1,FALSE)</f>
        <v>16280</v>
      </c>
      <c r="Z57">
        <f>VLOOKUP($B57,'2017 Place'!$C$2:$Y$627,Z$1,FALSE)</f>
        <v>5829</v>
      </c>
      <c r="AA57">
        <f>VLOOKUP($B57,'2017 Place'!$C$2:$Y$627,AA$1,FALSE)</f>
        <v>13209</v>
      </c>
      <c r="AB57">
        <f>VLOOKUP($B57,'2017 Place'!$C$2:$Y$627,AB$1,FALSE)</f>
        <v>1794</v>
      </c>
      <c r="AC57">
        <f>VLOOKUP($B57,'2017 Place'!$C$2:$Y$627,AC$1,FALSE)</f>
        <v>568</v>
      </c>
      <c r="AD57">
        <f>VLOOKUP($B57,'2017 Place'!$C$2:$Y$627,AD$1,FALSE)</f>
        <v>205</v>
      </c>
      <c r="AE57">
        <f>VLOOKUP($B57,'2017 Place'!$C$2:$Y$627,AE$1,FALSE)</f>
        <v>159</v>
      </c>
      <c r="AF57">
        <f>VLOOKUP($B57,'2017 Place'!$C$2:$Y$627,AF$1,FALSE)</f>
        <v>86</v>
      </c>
      <c r="AG57">
        <f>VLOOKUP($B57,'2017 Place'!$C$2:$Y$627,AG$1,FALSE)</f>
        <v>58</v>
      </c>
      <c r="AH57">
        <f>VLOOKUP($B57,'2017 Place'!$C$2:$Y$627,AH$1,FALSE)</f>
        <v>9</v>
      </c>
      <c r="AI57">
        <f>VLOOKUP($B57,'2017 Place'!$C$2:$Y$627,AI$1,FALSE)</f>
        <v>1760</v>
      </c>
      <c r="AJ57">
        <f>VLOOKUP($B57,'2017 Place'!$C$2:$Y$627,AJ$1,FALSE)</f>
        <v>3544</v>
      </c>
      <c r="AK57">
        <f>VLOOKUP($B57,'2017 Place'!$C$2:$Y$627,AK$1,FALSE)</f>
        <v>0</v>
      </c>
      <c r="AL57">
        <f>VLOOKUP($B57,'2017 Place'!$C$2:$Y$627,AL$1,FALSE)</f>
        <v>0</v>
      </c>
      <c r="AM57">
        <f>VLOOKUP($B57,'2017 Place'!$C$2:$Y$627,AM$1,FALSE)</f>
        <v>0</v>
      </c>
      <c r="AN57">
        <f>VLOOKUP($B57,'2017 Place'!$C$2:$Y$627,AN$1,FALSE)</f>
        <v>60</v>
      </c>
      <c r="AO57">
        <f>VLOOKUP($B57,'2017 Place'!$C$2:$Y$627,AO$1,FALSE)</f>
        <v>526</v>
      </c>
      <c r="AP57">
        <f>VLOOKUP($B57,'2017 Place'!$C$2:$Y$627,AP$1,FALSE)</f>
        <v>131</v>
      </c>
    </row>
    <row r="58" spans="1:42" s="5" customFormat="1" x14ac:dyDescent="0.25">
      <c r="A58" s="5">
        <v>5374305</v>
      </c>
      <c r="B58" s="5" t="str">
        <f t="shared" si="0"/>
        <v>Vashon CDP, Washington</v>
      </c>
      <c r="C58" s="5" t="s">
        <v>112</v>
      </c>
      <c r="D58" s="5" t="s">
        <v>113</v>
      </c>
      <c r="E58" s="5">
        <f>VLOOKUP(B58,'2000 2017 Place Conc'!$C$2:$V$627,2,FALSE)</f>
        <v>10123</v>
      </c>
      <c r="F58" s="5">
        <f>VLOOKUP($B58,'2000 2017 Place Conc'!$C$2:$V$627,F$1,FALSE)</f>
        <v>9492</v>
      </c>
      <c r="G58" s="5">
        <f>VLOOKUP($B58,'2000 2017 Place Conc'!$C$2:$V$627,G$1,FALSE)</f>
        <v>631</v>
      </c>
      <c r="H58" s="5">
        <f>VLOOKUP($B58,'2000 2017 Place Conc'!$C$2:$V$627,H$1,FALSE)</f>
        <v>8964</v>
      </c>
      <c r="I58" s="5">
        <f>VLOOKUP($B58,'2000 2017 Place Conc'!$C$2:$V$627,I$1,FALSE)</f>
        <v>390</v>
      </c>
      <c r="J58" s="5">
        <f>VLOOKUP($B58,'2000 2017 Place Conc'!$C$2:$V$627,J$1,FALSE)</f>
        <v>105</v>
      </c>
      <c r="K58" s="5">
        <f>VLOOKUP($B58,'2000 2017 Place Conc'!$C$2:$V$627,K$1,FALSE)</f>
        <v>11</v>
      </c>
      <c r="L58" s="5">
        <f>VLOOKUP($B58,'2000 2017 Place Conc'!$C$2:$V$627,L$1,FALSE)</f>
        <v>57</v>
      </c>
      <c r="M58" s="5">
        <f>VLOOKUP($B58,'2000 2017 Place Conc'!$C$2:$V$627,M$1,FALSE)</f>
        <v>22</v>
      </c>
      <c r="N58" s="5">
        <f>VLOOKUP($B58,'2000 2017 Place Conc'!$C$2:$V$627,N$1,FALSE)</f>
        <v>58</v>
      </c>
      <c r="O58" s="5">
        <f>VLOOKUP($B58,'2000 2017 Place Conc'!$C$2:$V$627,O$1,FALSE)</f>
        <v>0</v>
      </c>
      <c r="P58" s="5">
        <f>VLOOKUP($B58,'2000 2017 Place Conc'!$C$2:$V$627,P$1,FALSE)</f>
        <v>26</v>
      </c>
      <c r="Q58" s="5">
        <f>VLOOKUP($B58,'2000 2017 Place Conc'!$C$2:$V$627,Q$1,FALSE)</f>
        <v>100</v>
      </c>
      <c r="R58" s="5">
        <f>VLOOKUP($B58,'2000 2017 Place Conc'!$C$2:$V$627,R$1,FALSE)</f>
        <v>8</v>
      </c>
      <c r="S58" s="5">
        <f>VLOOKUP($B58,'2000 2017 Place Conc'!$C$2:$V$627,S$1,FALSE)</f>
        <v>0</v>
      </c>
      <c r="T58" s="5">
        <f>VLOOKUP($B58,'2000 2017 Place Conc'!$C$2:$V$627,T$1,FALSE)</f>
        <v>42</v>
      </c>
      <c r="U58" s="5">
        <f>VLOOKUP($B58,'2000 2017 Place Conc'!$C$2:$V$627,U$1,FALSE)</f>
        <v>90</v>
      </c>
      <c r="V58" s="5">
        <f>VLOOKUP($B58,'2000 2017 Place Conc'!$C$2:$V$627,V$1,FALSE)</f>
        <v>232</v>
      </c>
      <c r="W58" s="5">
        <f>VLOOKUP($B58,'2000 2017 Place Conc'!$C$2:$V$627,W$1,FALSE)</f>
        <v>18</v>
      </c>
      <c r="X58" s="6">
        <f>VLOOKUP($B58,'2017 Place'!$C$2:$Y$627,X$1,FALSE)</f>
        <v>9635</v>
      </c>
      <c r="Y58" s="5">
        <f>VLOOKUP($B58,'2017 Place'!$C$2:$Y$627,Y$1,FALSE)</f>
        <v>8875</v>
      </c>
      <c r="Z58" s="5">
        <f>VLOOKUP($B58,'2017 Place'!$C$2:$Y$627,Z$1,FALSE)</f>
        <v>760</v>
      </c>
      <c r="AA58" s="5">
        <f>VLOOKUP($B58,'2017 Place'!$C$2:$Y$627,AA$1,FALSE)</f>
        <v>8360</v>
      </c>
      <c r="AB58" s="5">
        <f>VLOOKUP($B58,'2017 Place'!$C$2:$Y$627,AB$1,FALSE)</f>
        <v>484</v>
      </c>
      <c r="AC58" s="5">
        <f>VLOOKUP($B58,'2017 Place'!$C$2:$Y$627,AC$1,FALSE)</f>
        <v>275</v>
      </c>
      <c r="AD58" s="5">
        <f>VLOOKUP($B58,'2017 Place'!$C$2:$Y$627,AD$1,FALSE)</f>
        <v>99</v>
      </c>
      <c r="AE58" s="5">
        <f>VLOOKUP($B58,'2017 Place'!$C$2:$Y$627,AE$1,FALSE)</f>
        <v>21</v>
      </c>
      <c r="AF58" s="5">
        <f>VLOOKUP($B58,'2017 Place'!$C$2:$Y$627,AF$1,FALSE)</f>
        <v>0</v>
      </c>
      <c r="AG58" s="5">
        <f>VLOOKUP($B58,'2017 Place'!$C$2:$Y$627,AG$1,FALSE)</f>
        <v>62</v>
      </c>
      <c r="AH58" s="5">
        <f>VLOOKUP($B58,'2017 Place'!$C$2:$Y$627,AH$1,FALSE)</f>
        <v>16</v>
      </c>
      <c r="AI58" s="5">
        <f>VLOOKUP($B58,'2017 Place'!$C$2:$Y$627,AI$1,FALSE)</f>
        <v>40</v>
      </c>
      <c r="AJ58" s="5">
        <f>VLOOKUP($B58,'2017 Place'!$C$2:$Y$627,AJ$1,FALSE)</f>
        <v>159</v>
      </c>
      <c r="AK58" s="5">
        <f>VLOOKUP($B58,'2017 Place'!$C$2:$Y$627,AK$1,FALSE)</f>
        <v>0</v>
      </c>
      <c r="AL58" s="5">
        <f>VLOOKUP($B58,'2017 Place'!$C$2:$Y$627,AL$1,FALSE)</f>
        <v>0</v>
      </c>
      <c r="AM58" s="5">
        <f>VLOOKUP($B58,'2017 Place'!$C$2:$Y$627,AM$1,FALSE)</f>
        <v>34</v>
      </c>
      <c r="AN58" s="5">
        <f>VLOOKUP($B58,'2017 Place'!$C$2:$Y$627,AN$1,FALSE)</f>
        <v>1</v>
      </c>
      <c r="AO58" s="5">
        <f>VLOOKUP($B58,'2017 Place'!$C$2:$Y$627,AO$1,FALSE)</f>
        <v>83</v>
      </c>
      <c r="AP58" s="5">
        <f>VLOOKUP($B58,'2017 Place'!$C$2:$Y$627,AP$1,FALSE)</f>
        <v>1</v>
      </c>
    </row>
    <row r="59" spans="1:42" x14ac:dyDescent="0.25">
      <c r="A59">
        <v>0</v>
      </c>
      <c r="B59" t="s">
        <v>2495</v>
      </c>
      <c r="C59" t="s">
        <v>115</v>
      </c>
      <c r="D59" t="s">
        <v>115</v>
      </c>
      <c r="E59">
        <f>VLOOKUP($C59,'2000 Seattle Tracts Conc'!$AZ$3:$BS$94,E$1,FALSE)</f>
        <v>186.31298315199621</v>
      </c>
      <c r="F59">
        <f>VLOOKUP($C59,'2000 Seattle Tracts Conc'!$AZ$3:$BS$94,F$1,FALSE)</f>
        <v>160.74870958687546</v>
      </c>
      <c r="G59">
        <f>VLOOKUP($C59,'2000 Seattle Tracts Conc'!$AZ$3:$BS$94,G$1,FALSE)</f>
        <v>25.564273565120764</v>
      </c>
      <c r="H59">
        <f>VLOOKUP($C59,'2000 Seattle Tracts Conc'!$AZ$3:$BS$94,H$1,FALSE)</f>
        <v>141.79657047853883</v>
      </c>
      <c r="I59">
        <f>VLOOKUP($C59,'2000 Seattle Tracts Conc'!$AZ$3:$BS$94,I$1,FALSE)</f>
        <v>11.718355682286054</v>
      </c>
      <c r="J59">
        <f>VLOOKUP($C59,'2000 Seattle Tracts Conc'!$AZ$3:$BS$94,J$1,FALSE)</f>
        <v>2.1980421000110923</v>
      </c>
      <c r="K59">
        <f>VLOOKUP($C59,'2000 Seattle Tracts Conc'!$AZ$3:$BS$94,K$1,FALSE)</f>
        <v>0.74471343728408801</v>
      </c>
      <c r="L59">
        <f>VLOOKUP($C59,'2000 Seattle Tracts Conc'!$AZ$3:$BS$94,L$1,FALSE)</f>
        <v>3.7737160121740296</v>
      </c>
      <c r="M59">
        <f>VLOOKUP($C59,'2000 Seattle Tracts Conc'!$AZ$3:$BS$94,M$1,FALSE)</f>
        <v>0.80407486019201413</v>
      </c>
      <c r="N59">
        <f>VLOOKUP($C59,'2000 Seattle Tracts Conc'!$AZ$3:$BS$94,N$1,FALSE)</f>
        <v>0.74034999351201902</v>
      </c>
      <c r="O59">
        <f>VLOOKUP($C59,'2000 Seattle Tracts Conc'!$AZ$3:$BS$94,O$1,FALSE)</f>
        <v>0.10767646020091433</v>
      </c>
      <c r="P59">
        <f>VLOOKUP($C59,'2000 Seattle Tracts Conc'!$AZ$3:$BS$94,P$1,FALSE)</f>
        <v>6.1368153021611977</v>
      </c>
      <c r="Q59">
        <f>VLOOKUP($C59,'2000 Seattle Tracts Conc'!$AZ$3:$BS$94,Q$1,FALSE)</f>
        <v>10.193437863572752</v>
      </c>
      <c r="R59">
        <f>VLOOKUP($C59,'2000 Seattle Tracts Conc'!$AZ$3:$BS$94,R$1,FALSE)</f>
        <v>2.0521505527142304E-2</v>
      </c>
      <c r="S59">
        <f>VLOOKUP($C59,'2000 Seattle Tracts Conc'!$AZ$3:$BS$94,S$1,FALSE)</f>
        <v>8.1877504571495507E-2</v>
      </c>
      <c r="T59">
        <f>VLOOKUP($C59,'2000 Seattle Tracts Conc'!$AZ$3:$BS$94,T$1,FALSE)</f>
        <v>0.56062334681930026</v>
      </c>
      <c r="U59">
        <f>VLOOKUP($C59,'2000 Seattle Tracts Conc'!$AZ$3:$BS$94,U$1,FALSE)</f>
        <v>0.61593204050538619</v>
      </c>
      <c r="V59">
        <f>VLOOKUP($C59,'2000 Seattle Tracts Conc'!$AZ$3:$BS$94,V$1,FALSE)</f>
        <v>5.522070848131869</v>
      </c>
      <c r="W59">
        <f>VLOOKUP($C59,'2000 Seattle Tracts Conc'!$AZ$3:$BS$94,W$1,FALSE)</f>
        <v>1.2982057165080503</v>
      </c>
      <c r="X59" s="4">
        <f>VLOOKUP($C59,'2017 Seattle Tracts Conc'!$BA$3:$BT$95,X$1-3,FALSE)</f>
        <v>229.59885963728391</v>
      </c>
      <c r="Y59">
        <f>VLOOKUP($C59,'2017 Seattle Tracts Conc'!$BA$3:$BT$95,Y$1-3,FALSE)</f>
        <v>197.4439144317044</v>
      </c>
      <c r="Z59">
        <f>VLOOKUP($C59,'2017 Seattle Tracts Conc'!$BA$3:$BT$95,Z$1-3,FALSE)</f>
        <v>32.154945205579452</v>
      </c>
      <c r="AA59">
        <f>VLOOKUP($C59,'2017 Seattle Tracts Conc'!$BA$3:$BT$95,AA$1-3,FALSE)</f>
        <v>158.00188910396454</v>
      </c>
      <c r="AB59">
        <f>VLOOKUP($C59,'2017 Seattle Tracts Conc'!$BA$3:$BT$95,AB$1-3,FALSE)</f>
        <v>13.563458553164374</v>
      </c>
      <c r="AC59">
        <f>VLOOKUP($C59,'2017 Seattle Tracts Conc'!$BA$3:$BT$95,AC$1-3,FALSE)</f>
        <v>7.2686714625279292</v>
      </c>
      <c r="AD59">
        <f>VLOOKUP($C59,'2017 Seattle Tracts Conc'!$BA$3:$BT$95,AD$1-3,FALSE)</f>
        <v>2.0926597054084488</v>
      </c>
      <c r="AE59">
        <f>VLOOKUP($C59,'2017 Seattle Tracts Conc'!$BA$3:$BT$95,AE$1-3,FALSE)</f>
        <v>4.8034993789171807</v>
      </c>
      <c r="AF59">
        <f>VLOOKUP($C59,'2017 Seattle Tracts Conc'!$BA$3:$BT$95,AF$1-3,FALSE)</f>
        <v>1.4192256856046548</v>
      </c>
      <c r="AG59">
        <f>VLOOKUP($C59,'2017 Seattle Tracts Conc'!$BA$3:$BT$95,AG$1-3,FALSE)</f>
        <v>0.16334232085311265</v>
      </c>
      <c r="AH59">
        <f>VLOOKUP($C59,'2017 Seattle Tracts Conc'!$BA$3:$BT$95,AH$1-3,FALSE)</f>
        <v>4.6129064450721926E-3</v>
      </c>
      <c r="AI59">
        <f>VLOOKUP($C59,'2017 Seattle Tracts Conc'!$BA$3:$BT$95,AI$1-3,FALSE)</f>
        <v>11.899929957980289</v>
      </c>
      <c r="AJ59">
        <f>VLOOKUP($C59,'2017 Seattle Tracts Conc'!$BA$3:$BT$95,AJ$1-3,FALSE)</f>
        <v>13.708025697547823</v>
      </c>
      <c r="AK59">
        <f>VLOOKUP($C59,'2017 Seattle Tracts Conc'!$BA$3:$BT$95,AK$1-3,FALSE)</f>
        <v>0.17355600161349147</v>
      </c>
      <c r="AL59">
        <f>VLOOKUP($C59,'2017 Seattle Tracts Conc'!$BA$3:$BT$95,AL$1-3,FALSE)</f>
        <v>0.13320260331350733</v>
      </c>
      <c r="AM59">
        <f>VLOOKUP($C59,'2017 Seattle Tracts Conc'!$BA$3:$BT$95,AM$1-3,FALSE)</f>
        <v>3.1847992056783925</v>
      </c>
      <c r="AN59">
        <f>VLOOKUP($C59,'2017 Seattle Tracts Conc'!$BA$3:$BT$95,AN$1-3,FALSE)</f>
        <v>0.77838928814010555</v>
      </c>
      <c r="AO59">
        <f>VLOOKUP($C59,'2017 Seattle Tracts Conc'!$BA$3:$BT$95,AO$1-3,FALSE)</f>
        <v>11.948227000169512</v>
      </c>
      <c r="AP59">
        <f>VLOOKUP($C59,'2017 Seattle Tracts Conc'!$BA$3:$BT$95,AP$1-3,FALSE)</f>
        <v>0.4553707659554701</v>
      </c>
    </row>
    <row r="60" spans="1:42" x14ac:dyDescent="0.25">
      <c r="A60">
        <v>120</v>
      </c>
      <c r="B60" t="s">
        <v>2495</v>
      </c>
      <c r="C60" t="s">
        <v>116</v>
      </c>
      <c r="D60" t="s">
        <v>117</v>
      </c>
      <c r="E60">
        <f>VLOOKUP($C60,'2000 Seattle Tracts Conc'!$AZ$3:$BS$94,E$1,FALSE)</f>
        <v>6601.9073284339165</v>
      </c>
      <c r="F60">
        <f>VLOOKUP($C60,'2000 Seattle Tracts Conc'!$AZ$3:$BS$94,F$1,FALSE)</f>
        <v>5975.2226164451658</v>
      </c>
      <c r="G60">
        <f>VLOOKUP($C60,'2000 Seattle Tracts Conc'!$AZ$3:$BS$94,G$1,FALSE)</f>
        <v>626.68471198875068</v>
      </c>
      <c r="H60">
        <f>VLOOKUP($C60,'2000 Seattle Tracts Conc'!$AZ$3:$BS$94,H$1,FALSE)</f>
        <v>5375.1332018898529</v>
      </c>
      <c r="I60">
        <f>VLOOKUP($C60,'2000 Seattle Tracts Conc'!$AZ$3:$BS$94,I$1,FALSE)</f>
        <v>398.11753823165628</v>
      </c>
      <c r="J60">
        <f>VLOOKUP($C60,'2000 Seattle Tracts Conc'!$AZ$3:$BS$94,J$1,FALSE)</f>
        <v>117.12928122242757</v>
      </c>
      <c r="K60">
        <f>VLOOKUP($C60,'2000 Seattle Tracts Conc'!$AZ$3:$BS$94,K$1,FALSE)</f>
        <v>47.416211053358595</v>
      </c>
      <c r="L60">
        <f>VLOOKUP($C60,'2000 Seattle Tracts Conc'!$AZ$3:$BS$94,L$1,FALSE)</f>
        <v>44.150149659685169</v>
      </c>
      <c r="M60">
        <f>VLOOKUP($C60,'2000 Seattle Tracts Conc'!$AZ$3:$BS$94,M$1,FALSE)</f>
        <v>10.835624163910142</v>
      </c>
      <c r="N60">
        <f>VLOOKUP($C60,'2000 Seattle Tracts Conc'!$AZ$3:$BS$94,N$1,FALSE)</f>
        <v>90.416616100123505</v>
      </c>
      <c r="O60">
        <f>VLOOKUP($C60,'2000 Seattle Tracts Conc'!$AZ$3:$BS$94,O$1,FALSE)</f>
        <v>1.7616425635594775</v>
      </c>
      <c r="P60">
        <f>VLOOKUP($C60,'2000 Seattle Tracts Conc'!$AZ$3:$BS$94,P$1,FALSE)</f>
        <v>94.338281028303541</v>
      </c>
      <c r="Q60">
        <f>VLOOKUP($C60,'2000 Seattle Tracts Conc'!$AZ$3:$BS$94,Q$1,FALSE)</f>
        <v>120.00088571738173</v>
      </c>
      <c r="R60">
        <f>VLOOKUP($C60,'2000 Seattle Tracts Conc'!$AZ$3:$BS$94,R$1,FALSE)</f>
        <v>9.0923744155203003</v>
      </c>
      <c r="S60">
        <f>VLOOKUP($C60,'2000 Seattle Tracts Conc'!$AZ$3:$BS$94,S$1,FALSE)</f>
        <v>12.057760277415952</v>
      </c>
      <c r="T60">
        <f>VLOOKUP($C60,'2000 Seattle Tracts Conc'!$AZ$3:$BS$94,T$1,FALSE)</f>
        <v>69.158234450175129</v>
      </c>
      <c r="U60">
        <f>VLOOKUP($C60,'2000 Seattle Tracts Conc'!$AZ$3:$BS$94,U$1,FALSE)</f>
        <v>3.5894905006353874</v>
      </c>
      <c r="V60">
        <f>VLOOKUP($C60,'2000 Seattle Tracts Conc'!$AZ$3:$BS$94,V$1,FALSE)</f>
        <v>175.80447767907759</v>
      </c>
      <c r="W60">
        <f>VLOOKUP($C60,'2000 Seattle Tracts Conc'!$AZ$3:$BS$94,W$1,FALSE)</f>
        <v>32.905559480833197</v>
      </c>
      <c r="X60" s="4">
        <f>VLOOKUP($C60,'2017 Seattle Tracts Conc'!$BA$3:$BT$95,X$1-3,FALSE)</f>
        <v>7417.7097382006332</v>
      </c>
      <c r="Y60">
        <f>VLOOKUP($C60,'2017 Seattle Tracts Conc'!$BA$3:$BT$95,Y$1-3,FALSE)</f>
        <v>6793.8363069930383</v>
      </c>
      <c r="Z60">
        <f>VLOOKUP($C60,'2017 Seattle Tracts Conc'!$BA$3:$BT$95,Z$1-3,FALSE)</f>
        <v>623.87343120759431</v>
      </c>
      <c r="AA60">
        <f>VLOOKUP($C60,'2017 Seattle Tracts Conc'!$BA$3:$BT$95,AA$1-3,FALSE)</f>
        <v>5946.6494706434914</v>
      </c>
      <c r="AB60">
        <f>VLOOKUP($C60,'2017 Seattle Tracts Conc'!$BA$3:$BT$95,AB$1-3,FALSE)</f>
        <v>264.75103862992137</v>
      </c>
      <c r="AC60">
        <f>VLOOKUP($C60,'2017 Seattle Tracts Conc'!$BA$3:$BT$95,AC$1-3,FALSE)</f>
        <v>257.93628049790021</v>
      </c>
      <c r="AD60">
        <f>VLOOKUP($C60,'2017 Seattle Tracts Conc'!$BA$3:$BT$95,AD$1-3,FALSE)</f>
        <v>43.432133274250475</v>
      </c>
      <c r="AE60">
        <f>VLOOKUP($C60,'2017 Seattle Tracts Conc'!$BA$3:$BT$95,AE$1-3,FALSE)</f>
        <v>59.299613204637389</v>
      </c>
      <c r="AF60">
        <f>VLOOKUP($C60,'2017 Seattle Tracts Conc'!$BA$3:$BT$95,AF$1-3,FALSE)</f>
        <v>0</v>
      </c>
      <c r="AG60">
        <f>VLOOKUP($C60,'2017 Seattle Tracts Conc'!$BA$3:$BT$95,AG$1-3,FALSE)</f>
        <v>28.922321046958437</v>
      </c>
      <c r="AH60">
        <f>VLOOKUP($C60,'2017 Seattle Tracts Conc'!$BA$3:$BT$95,AH$1-3,FALSE)</f>
        <v>0</v>
      </c>
      <c r="AI60">
        <f>VLOOKUP($C60,'2017 Seattle Tracts Conc'!$BA$3:$BT$95,AI$1-3,FALSE)</f>
        <v>130.50868492494078</v>
      </c>
      <c r="AJ60">
        <f>VLOOKUP($C60,'2017 Seattle Tracts Conc'!$BA$3:$BT$95,AJ$1-3,FALSE)</f>
        <v>183.87070155585582</v>
      </c>
      <c r="AK60">
        <f>VLOOKUP($C60,'2017 Seattle Tracts Conc'!$BA$3:$BT$95,AK$1-3,FALSE)</f>
        <v>0</v>
      </c>
      <c r="AL60">
        <f>VLOOKUP($C60,'2017 Seattle Tracts Conc'!$BA$3:$BT$95,AL$1-3,FALSE)</f>
        <v>7.2575160159705074</v>
      </c>
      <c r="AM60">
        <f>VLOOKUP($C60,'2017 Seattle Tracts Conc'!$BA$3:$BT$95,AM$1-3,FALSE)</f>
        <v>25.833479460827604</v>
      </c>
      <c r="AN60">
        <f>VLOOKUP($C60,'2017 Seattle Tracts Conc'!$BA$3:$BT$95,AN$1-3,FALSE)</f>
        <v>106.39527358914381</v>
      </c>
      <c r="AO60">
        <f>VLOOKUP($C60,'2017 Seattle Tracts Conc'!$BA$3:$BT$95,AO$1-3,FALSE)</f>
        <v>344.6864572142814</v>
      </c>
      <c r="AP60">
        <f>VLOOKUP($C60,'2017 Seattle Tracts Conc'!$BA$3:$BT$95,AP$1-3,FALSE)</f>
        <v>18.166768142452405</v>
      </c>
    </row>
    <row r="61" spans="1:42" x14ac:dyDescent="0.25">
      <c r="A61">
        <v>129</v>
      </c>
      <c r="B61" t="s">
        <v>2495</v>
      </c>
      <c r="C61" t="s">
        <v>118</v>
      </c>
      <c r="D61" t="s">
        <v>117</v>
      </c>
      <c r="E61">
        <f>VLOOKUP($C61,'2000 Seattle Tracts Conc'!$AZ$3:$BS$94,E$1,FALSE)</f>
        <v>6688.0280094601276</v>
      </c>
      <c r="F61">
        <f>VLOOKUP($C61,'2000 Seattle Tracts Conc'!$AZ$3:$BS$94,F$1,FALSE)</f>
        <v>5899.3019949781183</v>
      </c>
      <c r="G61">
        <f>VLOOKUP($C61,'2000 Seattle Tracts Conc'!$AZ$3:$BS$94,G$1,FALSE)</f>
        <v>788.72601448200908</v>
      </c>
      <c r="H61">
        <f>VLOOKUP($C61,'2000 Seattle Tracts Conc'!$AZ$3:$BS$94,H$1,FALSE)</f>
        <v>5282.8562598864055</v>
      </c>
      <c r="I61">
        <f>VLOOKUP($C61,'2000 Seattle Tracts Conc'!$AZ$3:$BS$94,I$1,FALSE)</f>
        <v>402.44759729706783</v>
      </c>
      <c r="J61">
        <f>VLOOKUP($C61,'2000 Seattle Tracts Conc'!$AZ$3:$BS$94,J$1,FALSE)</f>
        <v>70.709030927751428</v>
      </c>
      <c r="K61">
        <f>VLOOKUP($C61,'2000 Seattle Tracts Conc'!$AZ$3:$BS$94,K$1,FALSE)</f>
        <v>39.190121136808287</v>
      </c>
      <c r="L61">
        <f>VLOOKUP($C61,'2000 Seattle Tracts Conc'!$AZ$3:$BS$94,L$1,FALSE)</f>
        <v>67.117692224819805</v>
      </c>
      <c r="M61">
        <f>VLOOKUP($C61,'2000 Seattle Tracts Conc'!$AZ$3:$BS$94,M$1,FALSE)</f>
        <v>45.958654203991628</v>
      </c>
      <c r="N61">
        <f>VLOOKUP($C61,'2000 Seattle Tracts Conc'!$AZ$3:$BS$94,N$1,FALSE)</f>
        <v>61.46350173710659</v>
      </c>
      <c r="O61">
        <f>VLOOKUP($C61,'2000 Seattle Tracts Conc'!$AZ$3:$BS$94,O$1,FALSE)</f>
        <v>1.8531915243415147</v>
      </c>
      <c r="P61">
        <f>VLOOKUP($C61,'2000 Seattle Tracts Conc'!$AZ$3:$BS$94,P$1,FALSE)</f>
        <v>103.50494218038756</v>
      </c>
      <c r="Q61">
        <f>VLOOKUP($C61,'2000 Seattle Tracts Conc'!$AZ$3:$BS$94,Q$1,FALSE)</f>
        <v>164.04087583113551</v>
      </c>
      <c r="R61">
        <f>VLOOKUP($C61,'2000 Seattle Tracts Conc'!$AZ$3:$BS$94,R$1,FALSE)</f>
        <v>0</v>
      </c>
      <c r="S61">
        <f>VLOOKUP($C61,'2000 Seattle Tracts Conc'!$AZ$3:$BS$94,S$1,FALSE)</f>
        <v>0</v>
      </c>
      <c r="T61">
        <f>VLOOKUP($C61,'2000 Seattle Tracts Conc'!$AZ$3:$BS$94,T$1,FALSE)</f>
        <v>81.991799309321863</v>
      </c>
      <c r="U61">
        <f>VLOOKUP($C61,'2000 Seattle Tracts Conc'!$AZ$3:$BS$94,U$1,FALSE)</f>
        <v>66.751558677410657</v>
      </c>
      <c r="V61">
        <f>VLOOKUP($C61,'2000 Seattle Tracts Conc'!$AZ$3:$BS$94,V$1,FALSE)</f>
        <v>231.65876871232575</v>
      </c>
      <c r="W61">
        <f>VLOOKUP($C61,'2000 Seattle Tracts Conc'!$AZ$3:$BS$94,W$1,FALSE)</f>
        <v>68.484015811253727</v>
      </c>
      <c r="X61" s="4">
        <f>VLOOKUP($C61,'2017 Seattle Tracts Conc'!$BA$3:$BT$95,X$1-3,FALSE)</f>
        <v>9192.2441571632298</v>
      </c>
      <c r="Y61">
        <f>VLOOKUP($C61,'2017 Seattle Tracts Conc'!$BA$3:$BT$95,Y$1-3,FALSE)</f>
        <v>8154.064198267507</v>
      </c>
      <c r="Z61">
        <f>VLOOKUP($C61,'2017 Seattle Tracts Conc'!$BA$3:$BT$95,Z$1-3,FALSE)</f>
        <v>1038.1799588957228</v>
      </c>
      <c r="AA61">
        <f>VLOOKUP($C61,'2017 Seattle Tracts Conc'!$BA$3:$BT$95,AA$1-3,FALSE)</f>
        <v>6936.7142744718749</v>
      </c>
      <c r="AB61">
        <f>VLOOKUP($C61,'2017 Seattle Tracts Conc'!$BA$3:$BT$95,AB$1-3,FALSE)</f>
        <v>469.63442593013974</v>
      </c>
      <c r="AC61">
        <f>VLOOKUP($C61,'2017 Seattle Tracts Conc'!$BA$3:$BT$95,AC$1-3,FALSE)</f>
        <v>256.25869641930871</v>
      </c>
      <c r="AD61">
        <f>VLOOKUP($C61,'2017 Seattle Tracts Conc'!$BA$3:$BT$95,AD$1-3,FALSE)</f>
        <v>72.77406132588915</v>
      </c>
      <c r="AE61">
        <f>VLOOKUP($C61,'2017 Seattle Tracts Conc'!$BA$3:$BT$95,AE$1-3,FALSE)</f>
        <v>97.949737025806542</v>
      </c>
      <c r="AF61">
        <f>VLOOKUP($C61,'2017 Seattle Tracts Conc'!$BA$3:$BT$95,AF$1-3,FALSE)</f>
        <v>32.695849666256024</v>
      </c>
      <c r="AG61">
        <f>VLOOKUP($C61,'2017 Seattle Tracts Conc'!$BA$3:$BT$95,AG$1-3,FALSE)</f>
        <v>13.461777662644266</v>
      </c>
      <c r="AH61">
        <f>VLOOKUP($C61,'2017 Seattle Tracts Conc'!$BA$3:$BT$95,AH$1-3,FALSE)</f>
        <v>0</v>
      </c>
      <c r="AI61">
        <f>VLOOKUP($C61,'2017 Seattle Tracts Conc'!$BA$3:$BT$95,AI$1-3,FALSE)</f>
        <v>312.8305134781811</v>
      </c>
      <c r="AJ61">
        <f>VLOOKUP($C61,'2017 Seattle Tracts Conc'!$BA$3:$BT$95,AJ$1-3,FALSE)</f>
        <v>303.47799995354842</v>
      </c>
      <c r="AK61">
        <f>VLOOKUP($C61,'2017 Seattle Tracts Conc'!$BA$3:$BT$95,AK$1-3,FALSE)</f>
        <v>0</v>
      </c>
      <c r="AL61">
        <f>VLOOKUP($C61,'2017 Seattle Tracts Conc'!$BA$3:$BT$95,AL$1-3,FALSE)</f>
        <v>0</v>
      </c>
      <c r="AM61">
        <f>VLOOKUP($C61,'2017 Seattle Tracts Conc'!$BA$3:$BT$95,AM$1-3,FALSE)</f>
        <v>47.540326339870575</v>
      </c>
      <c r="AN61">
        <f>VLOOKUP($C61,'2017 Seattle Tracts Conc'!$BA$3:$BT$95,AN$1-3,FALSE)</f>
        <v>84.999626565423824</v>
      </c>
      <c r="AO61">
        <f>VLOOKUP($C61,'2017 Seattle Tracts Conc'!$BA$3:$BT$95,AO$1-3,FALSE)</f>
        <v>489.3088728698209</v>
      </c>
      <c r="AP61">
        <f>VLOOKUP($C61,'2017 Seattle Tracts Conc'!$BA$3:$BT$95,AP$1-3,FALSE)</f>
        <v>74.597995454465604</v>
      </c>
    </row>
    <row r="62" spans="1:42" x14ac:dyDescent="0.25">
      <c r="A62">
        <v>121</v>
      </c>
      <c r="B62" t="s">
        <v>2495</v>
      </c>
      <c r="C62" t="s">
        <v>119</v>
      </c>
      <c r="D62" t="s">
        <v>117</v>
      </c>
      <c r="E62">
        <f>VLOOKUP($C62,'2000 Seattle Tracts Conc'!$AZ$3:$BS$94,E$1,FALSE)</f>
        <v>4952.6889635315392</v>
      </c>
      <c r="F62">
        <f>VLOOKUP($C62,'2000 Seattle Tracts Conc'!$AZ$3:$BS$94,F$1,FALSE)</f>
        <v>4431.9995057951437</v>
      </c>
      <c r="G62">
        <f>VLOOKUP($C62,'2000 Seattle Tracts Conc'!$AZ$3:$BS$94,G$1,FALSE)</f>
        <v>520.68945773639552</v>
      </c>
      <c r="H62">
        <f>VLOOKUP($C62,'2000 Seattle Tracts Conc'!$AZ$3:$BS$94,H$1,FALSE)</f>
        <v>3891.4093673803554</v>
      </c>
      <c r="I62">
        <f>VLOOKUP($C62,'2000 Seattle Tracts Conc'!$AZ$3:$BS$94,I$1,FALSE)</f>
        <v>341.26479633472638</v>
      </c>
      <c r="J62">
        <f>VLOOKUP($C62,'2000 Seattle Tracts Conc'!$AZ$3:$BS$94,J$1,FALSE)</f>
        <v>72.528115990143348</v>
      </c>
      <c r="K62">
        <f>VLOOKUP($C62,'2000 Seattle Tracts Conc'!$AZ$3:$BS$94,K$1,FALSE)</f>
        <v>52.611409014800714</v>
      </c>
      <c r="L62">
        <f>VLOOKUP($C62,'2000 Seattle Tracts Conc'!$AZ$3:$BS$94,L$1,FALSE)</f>
        <v>31.498242826197444</v>
      </c>
      <c r="M62">
        <f>VLOOKUP($C62,'2000 Seattle Tracts Conc'!$AZ$3:$BS$94,M$1,FALSE)</f>
        <v>5.4534352412157956</v>
      </c>
      <c r="N62">
        <f>VLOOKUP($C62,'2000 Seattle Tracts Conc'!$AZ$3:$BS$94,N$1,FALSE)</f>
        <v>74.593380157440535</v>
      </c>
      <c r="O62">
        <f>VLOOKUP($C62,'2000 Seattle Tracts Conc'!$AZ$3:$BS$94,O$1,FALSE)</f>
        <v>1.7342466500085569</v>
      </c>
      <c r="P62">
        <f>VLOOKUP($C62,'2000 Seattle Tracts Conc'!$AZ$3:$BS$94,P$1,FALSE)</f>
        <v>83.148108877466129</v>
      </c>
      <c r="Q62">
        <f>VLOOKUP($C62,'2000 Seattle Tracts Conc'!$AZ$3:$BS$94,Q$1,FALSE)</f>
        <v>87.943073704311729</v>
      </c>
      <c r="R62">
        <f>VLOOKUP($C62,'2000 Seattle Tracts Conc'!$AZ$3:$BS$94,R$1,FALSE)</f>
        <v>12.690021246309</v>
      </c>
      <c r="S62">
        <f>VLOOKUP($C62,'2000 Seattle Tracts Conc'!$AZ$3:$BS$94,S$1,FALSE)</f>
        <v>12.022809421191505</v>
      </c>
      <c r="T62">
        <f>VLOOKUP($C62,'2000 Seattle Tracts Conc'!$AZ$3:$BS$94,T$1,FALSE)</f>
        <v>81.865597934419768</v>
      </c>
      <c r="U62">
        <f>VLOOKUP($C62,'2000 Seattle Tracts Conc'!$AZ$3:$BS$94,U$1,FALSE)</f>
        <v>1.3684669136781843E-2</v>
      </c>
      <c r="V62">
        <f>VLOOKUP($C62,'2000 Seattle Tracts Conc'!$AZ$3:$BS$94,V$1,FALSE)</f>
        <v>184.26667138281172</v>
      </c>
      <c r="W62">
        <f>VLOOKUP($C62,'2000 Seattle Tracts Conc'!$AZ$3:$BS$94,W$1,FALSE)</f>
        <v>19.646002701004047</v>
      </c>
      <c r="X62" s="4">
        <f>VLOOKUP($C62,'2017 Seattle Tracts Conc'!$BA$3:$BT$95,X$1-3,FALSE)</f>
        <v>5700.0189077500518</v>
      </c>
      <c r="Y62">
        <f>VLOOKUP($C62,'2017 Seattle Tracts Conc'!$BA$3:$BT$95,Y$1-3,FALSE)</f>
        <v>5087.0202633405879</v>
      </c>
      <c r="Z62">
        <f>VLOOKUP($C62,'2017 Seattle Tracts Conc'!$BA$3:$BT$95,Z$1-3,FALSE)</f>
        <v>612.99864440946385</v>
      </c>
      <c r="AA62">
        <f>VLOOKUP($C62,'2017 Seattle Tracts Conc'!$BA$3:$BT$95,AA$1-3,FALSE)</f>
        <v>4414.8534582953389</v>
      </c>
      <c r="AB62">
        <f>VLOOKUP($C62,'2017 Seattle Tracts Conc'!$BA$3:$BT$95,AB$1-3,FALSE)</f>
        <v>199.37286981046336</v>
      </c>
      <c r="AC62">
        <f>VLOOKUP($C62,'2017 Seattle Tracts Conc'!$BA$3:$BT$95,AC$1-3,FALSE)</f>
        <v>111.24916513518446</v>
      </c>
      <c r="AD62">
        <f>VLOOKUP($C62,'2017 Seattle Tracts Conc'!$BA$3:$BT$95,AD$1-3,FALSE)</f>
        <v>38.452014660008949</v>
      </c>
      <c r="AE62">
        <f>VLOOKUP($C62,'2017 Seattle Tracts Conc'!$BA$3:$BT$95,AE$1-3,FALSE)</f>
        <v>47.439622514958359</v>
      </c>
      <c r="AF62">
        <f>VLOOKUP($C62,'2017 Seattle Tracts Conc'!$BA$3:$BT$95,AF$1-3,FALSE)</f>
        <v>1.7415617442451509E-3</v>
      </c>
      <c r="AG62">
        <f>VLOOKUP($C62,'2017 Seattle Tracts Conc'!$BA$3:$BT$95,AG$1-3,FALSE)</f>
        <v>4.0092636009574243E-3</v>
      </c>
      <c r="AH62">
        <f>VLOOKUP($C62,'2017 Seattle Tracts Conc'!$BA$3:$BT$95,AH$1-3,FALSE)</f>
        <v>0</v>
      </c>
      <c r="AI62">
        <f>VLOOKUP($C62,'2017 Seattle Tracts Conc'!$BA$3:$BT$95,AI$1-3,FALSE)</f>
        <v>108.15309120867227</v>
      </c>
      <c r="AJ62">
        <f>VLOOKUP($C62,'2017 Seattle Tracts Conc'!$BA$3:$BT$95,AJ$1-3,FALSE)</f>
        <v>180.03298915921496</v>
      </c>
      <c r="AK62">
        <f>VLOOKUP($C62,'2017 Seattle Tracts Conc'!$BA$3:$BT$95,AK$1-3,FALSE)</f>
        <v>4.9438629237815498E-3</v>
      </c>
      <c r="AL62">
        <f>VLOOKUP($C62,'2017 Seattle Tracts Conc'!$BA$3:$BT$95,AL$1-3,FALSE)</f>
        <v>14.693708811515684</v>
      </c>
      <c r="AM62">
        <f>VLOOKUP($C62,'2017 Seattle Tracts Conc'!$BA$3:$BT$95,AM$1-3,FALSE)</f>
        <v>42.395718707910731</v>
      </c>
      <c r="AN62">
        <f>VLOOKUP($C62,'2017 Seattle Tracts Conc'!$BA$3:$BT$95,AN$1-3,FALSE)</f>
        <v>171.02667699297712</v>
      </c>
      <c r="AO62">
        <f>VLOOKUP($C62,'2017 Seattle Tracts Conc'!$BA$3:$BT$95,AO$1-3,FALSE)</f>
        <v>362.92025435199855</v>
      </c>
      <c r="AP62">
        <f>VLOOKUP($C62,'2017 Seattle Tracts Conc'!$BA$3:$BT$95,AP$1-3,FALSE)</f>
        <v>9.41864341353965</v>
      </c>
    </row>
    <row r="63" spans="1:42" x14ac:dyDescent="0.25">
      <c r="A63">
        <v>130</v>
      </c>
      <c r="B63" t="s">
        <v>2495</v>
      </c>
      <c r="C63" t="s">
        <v>120</v>
      </c>
      <c r="D63" t="s">
        <v>117</v>
      </c>
      <c r="E63">
        <f>VLOOKUP($C63,'2000 Seattle Tracts Conc'!$AZ$3:$BS$94,E$1,FALSE)</f>
        <v>6493.1072213879752</v>
      </c>
      <c r="F63">
        <f>VLOOKUP($C63,'2000 Seattle Tracts Conc'!$AZ$3:$BS$94,F$1,FALSE)</f>
        <v>5778.9543530254705</v>
      </c>
      <c r="G63">
        <f>VLOOKUP($C63,'2000 Seattle Tracts Conc'!$AZ$3:$BS$94,G$1,FALSE)</f>
        <v>714.15286836250493</v>
      </c>
      <c r="H63">
        <f>VLOOKUP($C63,'2000 Seattle Tracts Conc'!$AZ$3:$BS$94,H$1,FALSE)</f>
        <v>5102.4574762630409</v>
      </c>
      <c r="I63">
        <f>VLOOKUP($C63,'2000 Seattle Tracts Conc'!$AZ$3:$BS$94,I$1,FALSE)</f>
        <v>344.00844155131796</v>
      </c>
      <c r="J63">
        <f>VLOOKUP($C63,'2000 Seattle Tracts Conc'!$AZ$3:$BS$94,J$1,FALSE)</f>
        <v>92.867144200915021</v>
      </c>
      <c r="K63">
        <f>VLOOKUP($C63,'2000 Seattle Tracts Conc'!$AZ$3:$BS$94,K$1,FALSE)</f>
        <v>39.007397114027022</v>
      </c>
      <c r="L63">
        <f>VLOOKUP($C63,'2000 Seattle Tracts Conc'!$AZ$3:$BS$94,L$1,FALSE)</f>
        <v>100.37362251594102</v>
      </c>
      <c r="M63">
        <f>VLOOKUP($C63,'2000 Seattle Tracts Conc'!$AZ$3:$BS$94,M$1,FALSE)</f>
        <v>46.428941502548788</v>
      </c>
      <c r="N63">
        <f>VLOOKUP($C63,'2000 Seattle Tracts Conc'!$AZ$3:$BS$94,N$1,FALSE)</f>
        <v>64.349082886979559</v>
      </c>
      <c r="O63">
        <f>VLOOKUP($C63,'2000 Seattle Tracts Conc'!$AZ$3:$BS$94,O$1,FALSE)</f>
        <v>4.5477641457654068</v>
      </c>
      <c r="P63">
        <f>VLOOKUP($C63,'2000 Seattle Tracts Conc'!$AZ$3:$BS$94,P$1,FALSE)</f>
        <v>73.438028210550797</v>
      </c>
      <c r="Q63">
        <f>VLOOKUP($C63,'2000 Seattle Tracts Conc'!$AZ$3:$BS$94,Q$1,FALSE)</f>
        <v>156.77475487745323</v>
      </c>
      <c r="R63">
        <f>VLOOKUP($C63,'2000 Seattle Tracts Conc'!$AZ$3:$BS$94,R$1,FALSE)</f>
        <v>0</v>
      </c>
      <c r="S63">
        <f>VLOOKUP($C63,'2000 Seattle Tracts Conc'!$AZ$3:$BS$94,S$1,FALSE)</f>
        <v>0</v>
      </c>
      <c r="T63">
        <f>VLOOKUP($C63,'2000 Seattle Tracts Conc'!$AZ$3:$BS$94,T$1,FALSE)</f>
        <v>80.238952778682361</v>
      </c>
      <c r="U63">
        <f>VLOOKUP($C63,'2000 Seattle Tracts Conc'!$AZ$3:$BS$94,U$1,FALSE)</f>
        <v>76.529478669509231</v>
      </c>
      <c r="V63">
        <f>VLOOKUP($C63,'2000 Seattle Tracts Conc'!$AZ$3:$BS$94,V$1,FALSE)</f>
        <v>265.23004616936078</v>
      </c>
      <c r="W63">
        <f>VLOOKUP($C63,'2000 Seattle Tracts Conc'!$AZ$3:$BS$94,W$1,FALSE)</f>
        <v>46.856090501883301</v>
      </c>
      <c r="X63" s="4">
        <f>VLOOKUP($C63,'2017 Seattle Tracts Conc'!$BA$3:$BT$95,X$1-3,FALSE)</f>
        <v>9214.9590941619972</v>
      </c>
      <c r="Y63">
        <f>VLOOKUP($C63,'2017 Seattle Tracts Conc'!$BA$3:$BT$95,Y$1-3,FALSE)</f>
        <v>8180.1738627342565</v>
      </c>
      <c r="Z63">
        <f>VLOOKUP($C63,'2017 Seattle Tracts Conc'!$BA$3:$BT$95,Z$1-3,FALSE)</f>
        <v>1034.7852314277397</v>
      </c>
      <c r="AA63">
        <f>VLOOKUP($C63,'2017 Seattle Tracts Conc'!$BA$3:$BT$95,AA$1-3,FALSE)</f>
        <v>6938.9861207770036</v>
      </c>
      <c r="AB63">
        <f>VLOOKUP($C63,'2017 Seattle Tracts Conc'!$BA$3:$BT$95,AB$1-3,FALSE)</f>
        <v>492.195309449246</v>
      </c>
      <c r="AC63">
        <f>VLOOKUP($C63,'2017 Seattle Tracts Conc'!$BA$3:$BT$95,AC$1-3,FALSE)</f>
        <v>97.5385450159622</v>
      </c>
      <c r="AD63">
        <f>VLOOKUP($C63,'2017 Seattle Tracts Conc'!$BA$3:$BT$95,AD$1-3,FALSE)</f>
        <v>63.874456371669211</v>
      </c>
      <c r="AE63">
        <f>VLOOKUP($C63,'2017 Seattle Tracts Conc'!$BA$3:$BT$95,AE$1-3,FALSE)</f>
        <v>101.05321461135068</v>
      </c>
      <c r="AF63">
        <f>VLOOKUP($C63,'2017 Seattle Tracts Conc'!$BA$3:$BT$95,AF$1-3,FALSE)</f>
        <v>49.76658517072174</v>
      </c>
      <c r="AG63">
        <f>VLOOKUP($C63,'2017 Seattle Tracts Conc'!$BA$3:$BT$95,AG$1-3,FALSE)</f>
        <v>9.8395116911983465</v>
      </c>
      <c r="AH63">
        <f>VLOOKUP($C63,'2017 Seattle Tracts Conc'!$BA$3:$BT$95,AH$1-3,FALSE)</f>
        <v>4.0448424473249052</v>
      </c>
      <c r="AI63">
        <f>VLOOKUP($C63,'2017 Seattle Tracts Conc'!$BA$3:$BT$95,AI$1-3,FALSE)</f>
        <v>373.78196495177178</v>
      </c>
      <c r="AJ63">
        <f>VLOOKUP($C63,'2017 Seattle Tracts Conc'!$BA$3:$BT$95,AJ$1-3,FALSE)</f>
        <v>363.17953468584307</v>
      </c>
      <c r="AK63">
        <f>VLOOKUP($C63,'2017 Seattle Tracts Conc'!$BA$3:$BT$95,AK$1-3,FALSE)</f>
        <v>0</v>
      </c>
      <c r="AL63">
        <f>VLOOKUP($C63,'2017 Seattle Tracts Conc'!$BA$3:$BT$95,AL$1-3,FALSE)</f>
        <v>0</v>
      </c>
      <c r="AM63">
        <f>VLOOKUP($C63,'2017 Seattle Tracts Conc'!$BA$3:$BT$95,AM$1-3,FALSE)</f>
        <v>69.806234273149954</v>
      </c>
      <c r="AN63">
        <f>VLOOKUP($C63,'2017 Seattle Tracts Conc'!$BA$3:$BT$95,AN$1-3,FALSE)</f>
        <v>17.117040838456774</v>
      </c>
      <c r="AO63">
        <f>VLOOKUP($C63,'2017 Seattle Tracts Conc'!$BA$3:$BT$95,AO$1-3,FALSE)</f>
        <v>589.16827141382043</v>
      </c>
      <c r="AP63">
        <f>VLOOKUP($C63,'2017 Seattle Tracts Conc'!$BA$3:$BT$95,AP$1-3,FALSE)</f>
        <v>44.607462464477983</v>
      </c>
    </row>
    <row r="64" spans="1:42" x14ac:dyDescent="0.25">
      <c r="A64">
        <v>126</v>
      </c>
      <c r="B64" t="s">
        <v>2495</v>
      </c>
      <c r="C64" t="s">
        <v>121</v>
      </c>
      <c r="D64" t="s">
        <v>122</v>
      </c>
      <c r="E64">
        <f>VLOOKUP($C64,'2000 Seattle Tracts Conc'!$AZ$3:$BS$94,E$1,FALSE)</f>
        <v>9593.2306078720976</v>
      </c>
      <c r="F64">
        <f>VLOOKUP($C64,'2000 Seattle Tracts Conc'!$AZ$3:$BS$94,F$1,FALSE)</f>
        <v>8754.6243996015291</v>
      </c>
      <c r="G64">
        <f>VLOOKUP($C64,'2000 Seattle Tracts Conc'!$AZ$3:$BS$94,G$1,FALSE)</f>
        <v>838.60620827056709</v>
      </c>
      <c r="H64">
        <f>VLOOKUP($C64,'2000 Seattle Tracts Conc'!$AZ$3:$BS$94,H$1,FALSE)</f>
        <v>7944.8894293921039</v>
      </c>
      <c r="I64">
        <f>VLOOKUP($C64,'2000 Seattle Tracts Conc'!$AZ$3:$BS$94,I$1,FALSE)</f>
        <v>518.33511759258158</v>
      </c>
      <c r="J64">
        <f>VLOOKUP($C64,'2000 Seattle Tracts Conc'!$AZ$3:$BS$94,J$1,FALSE)</f>
        <v>120.35619674418201</v>
      </c>
      <c r="K64">
        <f>VLOOKUP($C64,'2000 Seattle Tracts Conc'!$AZ$3:$BS$94,K$1,FALSE)</f>
        <v>44.689618857567019</v>
      </c>
      <c r="L64">
        <f>VLOOKUP($C64,'2000 Seattle Tracts Conc'!$AZ$3:$BS$94,L$1,FALSE)</f>
        <v>88.462440960278514</v>
      </c>
      <c r="M64">
        <f>VLOOKUP($C64,'2000 Seattle Tracts Conc'!$AZ$3:$BS$94,M$1,FALSE)</f>
        <v>28.849923225818621</v>
      </c>
      <c r="N64">
        <f>VLOOKUP($C64,'2000 Seattle Tracts Conc'!$AZ$3:$BS$94,N$1,FALSE)</f>
        <v>42.957606472570255</v>
      </c>
      <c r="O64">
        <f>VLOOKUP($C64,'2000 Seattle Tracts Conc'!$AZ$3:$BS$94,O$1,FALSE)</f>
        <v>5.7282444349197492</v>
      </c>
      <c r="P64">
        <f>VLOOKUP($C64,'2000 Seattle Tracts Conc'!$AZ$3:$BS$94,P$1,FALSE)</f>
        <v>158.20127796169692</v>
      </c>
      <c r="Q64">
        <f>VLOOKUP($C64,'2000 Seattle Tracts Conc'!$AZ$3:$BS$94,Q$1,FALSE)</f>
        <v>186.10037154119928</v>
      </c>
      <c r="R64">
        <f>VLOOKUP($C64,'2000 Seattle Tracts Conc'!$AZ$3:$BS$94,R$1,FALSE)</f>
        <v>3.5414701358971312</v>
      </c>
      <c r="S64">
        <f>VLOOKUP($C64,'2000 Seattle Tracts Conc'!$AZ$3:$BS$94,S$1,FALSE)</f>
        <v>1.6366897197447683</v>
      </c>
      <c r="T64">
        <f>VLOOKUP($C64,'2000 Seattle Tracts Conc'!$AZ$3:$BS$94,T$1,FALSE)</f>
        <v>58.081238867244792</v>
      </c>
      <c r="U64">
        <f>VLOOKUP($C64,'2000 Seattle Tracts Conc'!$AZ$3:$BS$94,U$1,FALSE)</f>
        <v>13.149654269348989</v>
      </c>
      <c r="V64">
        <f>VLOOKUP($C64,'2000 Seattle Tracts Conc'!$AZ$3:$BS$94,V$1,FALSE)</f>
        <v>338.1347390675561</v>
      </c>
      <c r="W64">
        <f>VLOOKUP($C64,'2000 Seattle Tracts Conc'!$AZ$3:$BS$94,W$1,FALSE)</f>
        <v>40.116588629387074</v>
      </c>
      <c r="X64" s="4">
        <f>VLOOKUP($C64,'2017 Seattle Tracts Conc'!$BA$3:$BT$95,X$1-3,FALSE)</f>
        <v>11004.742871322982</v>
      </c>
      <c r="Y64">
        <f>VLOOKUP($C64,'2017 Seattle Tracts Conc'!$BA$3:$BT$95,Y$1-3,FALSE)</f>
        <v>9923.607446038799</v>
      </c>
      <c r="Z64">
        <f>VLOOKUP($C64,'2017 Seattle Tracts Conc'!$BA$3:$BT$95,Z$1-3,FALSE)</f>
        <v>1081.135425284182</v>
      </c>
      <c r="AA64">
        <f>VLOOKUP($C64,'2017 Seattle Tracts Conc'!$BA$3:$BT$95,AA$1-3,FALSE)</f>
        <v>8706.5101244000944</v>
      </c>
      <c r="AB64">
        <f>VLOOKUP($C64,'2017 Seattle Tracts Conc'!$BA$3:$BT$95,AB$1-3,FALSE)</f>
        <v>661.55031429845633</v>
      </c>
      <c r="AC64">
        <f>VLOOKUP($C64,'2017 Seattle Tracts Conc'!$BA$3:$BT$95,AC$1-3,FALSE)</f>
        <v>189.41547165407388</v>
      </c>
      <c r="AD64">
        <f>VLOOKUP($C64,'2017 Seattle Tracts Conc'!$BA$3:$BT$95,AD$1-3,FALSE)</f>
        <v>36.543737303314145</v>
      </c>
      <c r="AE64">
        <f>VLOOKUP($C64,'2017 Seattle Tracts Conc'!$BA$3:$BT$95,AE$1-3,FALSE)</f>
        <v>63.853219615670831</v>
      </c>
      <c r="AF64">
        <f>VLOOKUP($C64,'2017 Seattle Tracts Conc'!$BA$3:$BT$95,AF$1-3,FALSE)</f>
        <v>26.411124465388085</v>
      </c>
      <c r="AG64">
        <f>VLOOKUP($C64,'2017 Seattle Tracts Conc'!$BA$3:$BT$95,AG$1-3,FALSE)</f>
        <v>12.608307044096129</v>
      </c>
      <c r="AH64">
        <f>VLOOKUP($C64,'2017 Seattle Tracts Conc'!$BA$3:$BT$95,AH$1-3,FALSE)</f>
        <v>3.5167299819803324</v>
      </c>
      <c r="AI64">
        <f>VLOOKUP($C64,'2017 Seattle Tracts Conc'!$BA$3:$BT$95,AI$1-3,FALSE)</f>
        <v>393.1622181601241</v>
      </c>
      <c r="AJ64">
        <f>VLOOKUP($C64,'2017 Seattle Tracts Conc'!$BA$3:$BT$95,AJ$1-3,FALSE)</f>
        <v>307.43650461849677</v>
      </c>
      <c r="AK64">
        <f>VLOOKUP($C64,'2017 Seattle Tracts Conc'!$BA$3:$BT$95,AK$1-3,FALSE)</f>
        <v>15.011636304928288</v>
      </c>
      <c r="AL64">
        <f>VLOOKUP($C64,'2017 Seattle Tracts Conc'!$BA$3:$BT$95,AL$1-3,FALSE)</f>
        <v>1.5247323353218656E-2</v>
      </c>
      <c r="AM64">
        <f>VLOOKUP($C64,'2017 Seattle Tracts Conc'!$BA$3:$BT$95,AM$1-3,FALSE)</f>
        <v>64.708299471853124</v>
      </c>
      <c r="AN64">
        <f>VLOOKUP($C64,'2017 Seattle Tracts Conc'!$BA$3:$BT$95,AN$1-3,FALSE)</f>
        <v>0.31325456902105364</v>
      </c>
      <c r="AO64">
        <f>VLOOKUP($C64,'2017 Seattle Tracts Conc'!$BA$3:$BT$95,AO$1-3,FALSE)</f>
        <v>478.33816938795798</v>
      </c>
      <c r="AP64">
        <f>VLOOKUP($C64,'2017 Seattle Tracts Conc'!$BA$3:$BT$95,AP$1-3,FALSE)</f>
        <v>45.34851272417206</v>
      </c>
    </row>
    <row r="65" spans="1:42" x14ac:dyDescent="0.25">
      <c r="A65">
        <v>133</v>
      </c>
      <c r="B65" t="s">
        <v>2495</v>
      </c>
      <c r="C65" t="s">
        <v>123</v>
      </c>
      <c r="D65" t="s">
        <v>122</v>
      </c>
      <c r="E65">
        <f>VLOOKUP($C65,'2000 Seattle Tracts Conc'!$AZ$3:$BS$94,E$1,FALSE)</f>
        <v>14601.24106867612</v>
      </c>
      <c r="F65">
        <f>VLOOKUP($C65,'2000 Seattle Tracts Conc'!$AZ$3:$BS$94,F$1,FALSE)</f>
        <v>12708.25928061442</v>
      </c>
      <c r="G65">
        <f>VLOOKUP($C65,'2000 Seattle Tracts Conc'!$AZ$3:$BS$94,G$1,FALSE)</f>
        <v>1892.9817880616986</v>
      </c>
      <c r="H65">
        <f>VLOOKUP($C65,'2000 Seattle Tracts Conc'!$AZ$3:$BS$94,H$1,FALSE)</f>
        <v>11057.769416524921</v>
      </c>
      <c r="I65">
        <f>VLOOKUP($C65,'2000 Seattle Tracts Conc'!$AZ$3:$BS$94,I$1,FALSE)</f>
        <v>1075.8106474357314</v>
      </c>
      <c r="J65">
        <f>VLOOKUP($C65,'2000 Seattle Tracts Conc'!$AZ$3:$BS$94,J$1,FALSE)</f>
        <v>219.61324688068251</v>
      </c>
      <c r="K65">
        <f>VLOOKUP($C65,'2000 Seattle Tracts Conc'!$AZ$3:$BS$94,K$1,FALSE)</f>
        <v>96.527484257660106</v>
      </c>
      <c r="L65">
        <f>VLOOKUP($C65,'2000 Seattle Tracts Conc'!$AZ$3:$BS$94,L$1,FALSE)</f>
        <v>216.95763510776104</v>
      </c>
      <c r="M65">
        <f>VLOOKUP($C65,'2000 Seattle Tracts Conc'!$AZ$3:$BS$94,M$1,FALSE)</f>
        <v>28.15664282530377</v>
      </c>
      <c r="N65">
        <f>VLOOKUP($C65,'2000 Seattle Tracts Conc'!$AZ$3:$BS$94,N$1,FALSE)</f>
        <v>68.815837218532991</v>
      </c>
      <c r="O65">
        <f>VLOOKUP($C65,'2000 Seattle Tracts Conc'!$AZ$3:$BS$94,O$1,FALSE)</f>
        <v>2.4660817351115378</v>
      </c>
      <c r="P65">
        <f>VLOOKUP($C65,'2000 Seattle Tracts Conc'!$AZ$3:$BS$94,P$1,FALSE)</f>
        <v>434.93954706586925</v>
      </c>
      <c r="Q65">
        <f>VLOOKUP($C65,'2000 Seattle Tracts Conc'!$AZ$3:$BS$94,Q$1,FALSE)</f>
        <v>554.36926418449616</v>
      </c>
      <c r="R65">
        <f>VLOOKUP($C65,'2000 Seattle Tracts Conc'!$AZ$3:$BS$94,R$1,FALSE)</f>
        <v>69.230058796755628</v>
      </c>
      <c r="S65">
        <f>VLOOKUP($C65,'2000 Seattle Tracts Conc'!$AZ$3:$BS$94,S$1,FALSE)</f>
        <v>24.461113815515453</v>
      </c>
      <c r="T65">
        <f>VLOOKUP($C65,'2000 Seattle Tracts Conc'!$AZ$3:$BS$94,T$1,FALSE)</f>
        <v>111.25891199713197</v>
      </c>
      <c r="U65">
        <f>VLOOKUP($C65,'2000 Seattle Tracts Conc'!$AZ$3:$BS$94,U$1,FALSE)</f>
        <v>30.604000912682753</v>
      </c>
      <c r="V65">
        <f>VLOOKUP($C65,'2000 Seattle Tracts Conc'!$AZ$3:$BS$94,V$1,FALSE)</f>
        <v>529.6746270227643</v>
      </c>
      <c r="W65">
        <f>VLOOKUP($C65,'2000 Seattle Tracts Conc'!$AZ$3:$BS$94,W$1,FALSE)</f>
        <v>80.586552895197343</v>
      </c>
      <c r="X65" s="4">
        <f>VLOOKUP($C65,'2017 Seattle Tracts Conc'!$BA$3:$BT$95,X$1-3,FALSE)</f>
        <v>18329.927247345469</v>
      </c>
      <c r="Y65">
        <f>VLOOKUP($C65,'2017 Seattle Tracts Conc'!$BA$3:$BT$95,Y$1-3,FALSE)</f>
        <v>15365.500059244001</v>
      </c>
      <c r="Z65">
        <f>VLOOKUP($C65,'2017 Seattle Tracts Conc'!$BA$3:$BT$95,Z$1-3,FALSE)</f>
        <v>2964.4271881014693</v>
      </c>
      <c r="AA65">
        <f>VLOOKUP($C65,'2017 Seattle Tracts Conc'!$BA$3:$BT$95,AA$1-3,FALSE)</f>
        <v>12803.838527184264</v>
      </c>
      <c r="AB65">
        <f>VLOOKUP($C65,'2017 Seattle Tracts Conc'!$BA$3:$BT$95,AB$1-3,FALSE)</f>
        <v>990.92649348792077</v>
      </c>
      <c r="AC65">
        <f>VLOOKUP($C65,'2017 Seattle Tracts Conc'!$BA$3:$BT$95,AC$1-3,FALSE)</f>
        <v>413.13979120407379</v>
      </c>
      <c r="AD65">
        <f>VLOOKUP($C65,'2017 Seattle Tracts Conc'!$BA$3:$BT$95,AD$1-3,FALSE)</f>
        <v>135.33260442042371</v>
      </c>
      <c r="AE65">
        <f>VLOOKUP($C65,'2017 Seattle Tracts Conc'!$BA$3:$BT$95,AE$1-3,FALSE)</f>
        <v>153.70472248580612</v>
      </c>
      <c r="AF65">
        <f>VLOOKUP($C65,'2017 Seattle Tracts Conc'!$BA$3:$BT$95,AF$1-3,FALSE)</f>
        <v>58.486748455573419</v>
      </c>
      <c r="AG65">
        <f>VLOOKUP($C65,'2017 Seattle Tracts Conc'!$BA$3:$BT$95,AG$1-3,FALSE)</f>
        <v>24.7953771617277</v>
      </c>
      <c r="AH65">
        <f>VLOOKUP($C65,'2017 Seattle Tracts Conc'!$BA$3:$BT$95,AH$1-3,FALSE)</f>
        <v>2.4554170828451447</v>
      </c>
      <c r="AI65">
        <f>VLOOKUP($C65,'2017 Seattle Tracts Conc'!$BA$3:$BT$95,AI$1-3,FALSE)</f>
        <v>965.18281486299907</v>
      </c>
      <c r="AJ65">
        <f>VLOOKUP($C65,'2017 Seattle Tracts Conc'!$BA$3:$BT$95,AJ$1-3,FALSE)</f>
        <v>1497.8613071560728</v>
      </c>
      <c r="AK65">
        <f>VLOOKUP($C65,'2017 Seattle Tracts Conc'!$BA$3:$BT$95,AK$1-3,FALSE)</f>
        <v>32.441730173366381</v>
      </c>
      <c r="AL65">
        <f>VLOOKUP($C65,'2017 Seattle Tracts Conc'!$BA$3:$BT$95,AL$1-3,FALSE)</f>
        <v>0</v>
      </c>
      <c r="AM65">
        <f>VLOOKUP($C65,'2017 Seattle Tracts Conc'!$BA$3:$BT$95,AM$1-3,FALSE)</f>
        <v>81.483447058431693</v>
      </c>
      <c r="AN65">
        <f>VLOOKUP($C65,'2017 Seattle Tracts Conc'!$BA$3:$BT$95,AN$1-3,FALSE)</f>
        <v>106.48896514131137</v>
      </c>
      <c r="AO65">
        <f>VLOOKUP($C65,'2017 Seattle Tracts Conc'!$BA$3:$BT$95,AO$1-3,FALSE)</f>
        <v>890.91364911333096</v>
      </c>
      <c r="AP65">
        <f>VLOOKUP($C65,'2017 Seattle Tracts Conc'!$BA$3:$BT$95,AP$1-3,FALSE)</f>
        <v>172.875652357322</v>
      </c>
    </row>
    <row r="66" spans="1:42" x14ac:dyDescent="0.25">
      <c r="A66">
        <v>137</v>
      </c>
      <c r="B66" t="s">
        <v>2495</v>
      </c>
      <c r="C66" t="s">
        <v>124</v>
      </c>
      <c r="D66" t="s">
        <v>122</v>
      </c>
      <c r="E66">
        <f>VLOOKUP($C66,'2000 Seattle Tracts Conc'!$AZ$3:$BS$94,E$1,FALSE)</f>
        <v>10242.365969337396</v>
      </c>
      <c r="F66">
        <f>VLOOKUP($C66,'2000 Seattle Tracts Conc'!$AZ$3:$BS$94,F$1,FALSE)</f>
        <v>9316.3812130706556</v>
      </c>
      <c r="G66">
        <f>VLOOKUP($C66,'2000 Seattle Tracts Conc'!$AZ$3:$BS$94,G$1,FALSE)</f>
        <v>925.98475626674121</v>
      </c>
      <c r="H66">
        <f>VLOOKUP($C66,'2000 Seattle Tracts Conc'!$AZ$3:$BS$94,H$1,FALSE)</f>
        <v>8262.9790697293902</v>
      </c>
      <c r="I66">
        <f>VLOOKUP($C66,'2000 Seattle Tracts Conc'!$AZ$3:$BS$94,I$1,FALSE)</f>
        <v>528.55705239889755</v>
      </c>
      <c r="J66">
        <f>VLOOKUP($C66,'2000 Seattle Tracts Conc'!$AZ$3:$BS$94,J$1,FALSE)</f>
        <v>168.56003645985564</v>
      </c>
      <c r="K66">
        <f>VLOOKUP($C66,'2000 Seattle Tracts Conc'!$AZ$3:$BS$94,K$1,FALSE)</f>
        <v>70.899457727617715</v>
      </c>
      <c r="L66">
        <f>VLOOKUP($C66,'2000 Seattle Tracts Conc'!$AZ$3:$BS$94,L$1,FALSE)</f>
        <v>201.73832373215899</v>
      </c>
      <c r="M66">
        <f>VLOOKUP($C66,'2000 Seattle Tracts Conc'!$AZ$3:$BS$94,M$1,FALSE)</f>
        <v>10.881800343878226</v>
      </c>
      <c r="N66">
        <f>VLOOKUP($C66,'2000 Seattle Tracts Conc'!$AZ$3:$BS$94,N$1,FALSE)</f>
        <v>78.90313770520676</v>
      </c>
      <c r="O66">
        <f>VLOOKUP($C66,'2000 Seattle Tracts Conc'!$AZ$3:$BS$94,O$1,FALSE)</f>
        <v>5.974239940609289</v>
      </c>
      <c r="P66">
        <f>VLOOKUP($C66,'2000 Seattle Tracts Conc'!$AZ$3:$BS$94,P$1,FALSE)</f>
        <v>117.93730438238268</v>
      </c>
      <c r="Q66">
        <f>VLOOKUP($C66,'2000 Seattle Tracts Conc'!$AZ$3:$BS$94,Q$1,FALSE)</f>
        <v>214.91854915045084</v>
      </c>
      <c r="R66">
        <f>VLOOKUP($C66,'2000 Seattle Tracts Conc'!$AZ$3:$BS$94,R$1,FALSE)</f>
        <v>17.082611413437533</v>
      </c>
      <c r="S66">
        <f>VLOOKUP($C66,'2000 Seattle Tracts Conc'!$AZ$3:$BS$94,S$1,FALSE)</f>
        <v>1.8268208749015049</v>
      </c>
      <c r="T66">
        <f>VLOOKUP($C66,'2000 Seattle Tracts Conc'!$AZ$3:$BS$94,T$1,FALSE)</f>
        <v>99.654007499190868</v>
      </c>
      <c r="U66">
        <f>VLOOKUP($C66,'2000 Seattle Tracts Conc'!$AZ$3:$BS$94,U$1,FALSE)</f>
        <v>23.392097418651129</v>
      </c>
      <c r="V66">
        <f>VLOOKUP($C66,'2000 Seattle Tracts Conc'!$AZ$3:$BS$94,V$1,FALSE)</f>
        <v>369.52672214903174</v>
      </c>
      <c r="W66">
        <f>VLOOKUP($C66,'2000 Seattle Tracts Conc'!$AZ$3:$BS$94,W$1,FALSE)</f>
        <v>69.534738411735077</v>
      </c>
      <c r="X66" s="4">
        <f>VLOOKUP($C66,'2017 Seattle Tracts Conc'!$BA$3:$BT$95,X$1-3,FALSE)</f>
        <v>13293.067474473013</v>
      </c>
      <c r="Y66">
        <f>VLOOKUP($C66,'2017 Seattle Tracts Conc'!$BA$3:$BT$95,Y$1-3,FALSE)</f>
        <v>12000.103067861291</v>
      </c>
      <c r="Z66">
        <f>VLOOKUP($C66,'2017 Seattle Tracts Conc'!$BA$3:$BT$95,Z$1-3,FALSE)</f>
        <v>1292.9644066117194</v>
      </c>
      <c r="AA66">
        <f>VLOOKUP($C66,'2017 Seattle Tracts Conc'!$BA$3:$BT$95,AA$1-3,FALSE)</f>
        <v>10617.149470216689</v>
      </c>
      <c r="AB66">
        <f>VLOOKUP($C66,'2017 Seattle Tracts Conc'!$BA$3:$BT$95,AB$1-3,FALSE)</f>
        <v>642.91633234972278</v>
      </c>
      <c r="AC66">
        <f>VLOOKUP($C66,'2017 Seattle Tracts Conc'!$BA$3:$BT$95,AC$1-3,FALSE)</f>
        <v>215.97939421118417</v>
      </c>
      <c r="AD66">
        <f>VLOOKUP($C66,'2017 Seattle Tracts Conc'!$BA$3:$BT$95,AD$1-3,FALSE)</f>
        <v>43.589303294522644</v>
      </c>
      <c r="AE66">
        <f>VLOOKUP($C66,'2017 Seattle Tracts Conc'!$BA$3:$BT$95,AE$1-3,FALSE)</f>
        <v>45.216669863444963</v>
      </c>
      <c r="AF66">
        <f>VLOOKUP($C66,'2017 Seattle Tracts Conc'!$BA$3:$BT$95,AF$1-3,FALSE)</f>
        <v>34.822755632745213</v>
      </c>
      <c r="AG66">
        <f>VLOOKUP($C66,'2017 Seattle Tracts Conc'!$BA$3:$BT$95,AG$1-3,FALSE)</f>
        <v>35.452735453839267</v>
      </c>
      <c r="AH66">
        <f>VLOOKUP($C66,'2017 Seattle Tracts Conc'!$BA$3:$BT$95,AH$1-3,FALSE)</f>
        <v>10.045172072108601</v>
      </c>
      <c r="AI66">
        <f>VLOOKUP($C66,'2017 Seattle Tracts Conc'!$BA$3:$BT$95,AI$1-3,FALSE)</f>
        <v>392.33598994923096</v>
      </c>
      <c r="AJ66">
        <f>VLOOKUP($C66,'2017 Seattle Tracts Conc'!$BA$3:$BT$95,AJ$1-3,FALSE)</f>
        <v>318.86350154048455</v>
      </c>
      <c r="AK66">
        <f>VLOOKUP($C66,'2017 Seattle Tracts Conc'!$BA$3:$BT$95,AK$1-3,FALSE)</f>
        <v>7.5722667539505224</v>
      </c>
      <c r="AL66">
        <f>VLOOKUP($C66,'2017 Seattle Tracts Conc'!$BA$3:$BT$95,AL$1-3,FALSE)</f>
        <v>0</v>
      </c>
      <c r="AM66">
        <f>VLOOKUP($C66,'2017 Seattle Tracts Conc'!$BA$3:$BT$95,AM$1-3,FALSE)</f>
        <v>65.380403036214474</v>
      </c>
      <c r="AN66">
        <f>VLOOKUP($C66,'2017 Seattle Tracts Conc'!$BA$3:$BT$95,AN$1-3,FALSE)</f>
        <v>43.986572696361634</v>
      </c>
      <c r="AO66">
        <f>VLOOKUP($C66,'2017 Seattle Tracts Conc'!$BA$3:$BT$95,AO$1-3,FALSE)</f>
        <v>621.01613837673938</v>
      </c>
      <c r="AP66">
        <f>VLOOKUP($C66,'2017 Seattle Tracts Conc'!$BA$3:$BT$95,AP$1-3,FALSE)</f>
        <v>198.74076902577411</v>
      </c>
    </row>
    <row r="67" spans="1:42" x14ac:dyDescent="0.25">
      <c r="A67">
        <v>123</v>
      </c>
      <c r="B67" t="s">
        <v>2495</v>
      </c>
      <c r="C67" t="s">
        <v>125</v>
      </c>
      <c r="D67" t="s">
        <v>122</v>
      </c>
      <c r="E67">
        <f>VLOOKUP($C67,'2000 Seattle Tracts Conc'!$AZ$3:$BS$94,E$1,FALSE)</f>
        <v>7879.782006558552</v>
      </c>
      <c r="F67">
        <f>VLOOKUP($C67,'2000 Seattle Tracts Conc'!$AZ$3:$BS$94,F$1,FALSE)</f>
        <v>7005.637778514727</v>
      </c>
      <c r="G67">
        <f>VLOOKUP($C67,'2000 Seattle Tracts Conc'!$AZ$3:$BS$94,G$1,FALSE)</f>
        <v>874.1442280438265</v>
      </c>
      <c r="H67">
        <f>VLOOKUP($C67,'2000 Seattle Tracts Conc'!$AZ$3:$BS$94,H$1,FALSE)</f>
        <v>6256.570872788564</v>
      </c>
      <c r="I67">
        <f>VLOOKUP($C67,'2000 Seattle Tracts Conc'!$AZ$3:$BS$94,I$1,FALSE)</f>
        <v>461.59260549008985</v>
      </c>
      <c r="J67">
        <f>VLOOKUP($C67,'2000 Seattle Tracts Conc'!$AZ$3:$BS$94,J$1,FALSE)</f>
        <v>64.233536222801945</v>
      </c>
      <c r="K67">
        <f>VLOOKUP($C67,'2000 Seattle Tracts Conc'!$AZ$3:$BS$94,K$1,FALSE)</f>
        <v>19.627072745148805</v>
      </c>
      <c r="L67">
        <f>VLOOKUP($C67,'2000 Seattle Tracts Conc'!$AZ$3:$BS$94,L$1,FALSE)</f>
        <v>95.918239928225688</v>
      </c>
      <c r="M67">
        <f>VLOOKUP($C67,'2000 Seattle Tracts Conc'!$AZ$3:$BS$94,M$1,FALSE)</f>
        <v>7.0618027088052579E-2</v>
      </c>
      <c r="N67">
        <f>VLOOKUP($C67,'2000 Seattle Tracts Conc'!$AZ$3:$BS$94,N$1,FALSE)</f>
        <v>63.408194008612256</v>
      </c>
      <c r="O67">
        <f>VLOOKUP($C67,'2000 Seattle Tracts Conc'!$AZ$3:$BS$94,O$1,FALSE)</f>
        <v>1.925892648846131</v>
      </c>
      <c r="P67">
        <f>VLOOKUP($C67,'2000 Seattle Tracts Conc'!$AZ$3:$BS$94,P$1,FALSE)</f>
        <v>225.06398402422016</v>
      </c>
      <c r="Q67">
        <f>VLOOKUP($C67,'2000 Seattle Tracts Conc'!$AZ$3:$BS$94,Q$1,FALSE)</f>
        <v>297.61950473301073</v>
      </c>
      <c r="R67">
        <f>VLOOKUP($C67,'2000 Seattle Tracts Conc'!$AZ$3:$BS$94,R$1,FALSE)</f>
        <v>4.1841288360492497</v>
      </c>
      <c r="S67">
        <f>VLOOKUP($C67,'2000 Seattle Tracts Conc'!$AZ$3:$BS$94,S$1,FALSE)</f>
        <v>1.9263906834313154</v>
      </c>
      <c r="T67">
        <f>VLOOKUP($C67,'2000 Seattle Tracts Conc'!$AZ$3:$BS$94,T$1,FALSE)</f>
        <v>22.485613071763165</v>
      </c>
      <c r="U67">
        <f>VLOOKUP($C67,'2000 Seattle Tracts Conc'!$AZ$3:$BS$94,U$1,FALSE)</f>
        <v>26.420420507208341</v>
      </c>
      <c r="V67">
        <f>VLOOKUP($C67,'2000 Seattle Tracts Conc'!$AZ$3:$BS$94,V$1,FALSE)</f>
        <v>273.77320963449012</v>
      </c>
      <c r="W67">
        <f>VLOOKUP($C67,'2000 Seattle Tracts Conc'!$AZ$3:$BS$94,W$1,FALSE)</f>
        <v>64.96172320900331</v>
      </c>
      <c r="X67" s="4">
        <f>VLOOKUP($C67,'2017 Seattle Tracts Conc'!$BA$3:$BT$95,X$1-3,FALSE)</f>
        <v>10146.658794914176</v>
      </c>
      <c r="Y67">
        <f>VLOOKUP($C67,'2017 Seattle Tracts Conc'!$BA$3:$BT$95,Y$1-3,FALSE)</f>
        <v>8827.6625212474082</v>
      </c>
      <c r="Z67">
        <f>VLOOKUP($C67,'2017 Seattle Tracts Conc'!$BA$3:$BT$95,Z$1-3,FALSE)</f>
        <v>1318.9962736667667</v>
      </c>
      <c r="AA67">
        <f>VLOOKUP($C67,'2017 Seattle Tracts Conc'!$BA$3:$BT$95,AA$1-3,FALSE)</f>
        <v>7257.5433566121419</v>
      </c>
      <c r="AB67">
        <f>VLOOKUP($C67,'2017 Seattle Tracts Conc'!$BA$3:$BT$95,AB$1-3,FALSE)</f>
        <v>521.79375899571994</v>
      </c>
      <c r="AC67">
        <f>VLOOKUP($C67,'2017 Seattle Tracts Conc'!$BA$3:$BT$95,AC$1-3,FALSE)</f>
        <v>94.026338516721012</v>
      </c>
      <c r="AD67">
        <f>VLOOKUP($C67,'2017 Seattle Tracts Conc'!$BA$3:$BT$95,AD$1-3,FALSE)</f>
        <v>67.275669686650687</v>
      </c>
      <c r="AE67">
        <f>VLOOKUP($C67,'2017 Seattle Tracts Conc'!$BA$3:$BT$95,AE$1-3,FALSE)</f>
        <v>132.64415718013004</v>
      </c>
      <c r="AF67">
        <f>VLOOKUP($C67,'2017 Seattle Tracts Conc'!$BA$3:$BT$95,AF$1-3,FALSE)</f>
        <v>24.898608715405423</v>
      </c>
      <c r="AG67">
        <f>VLOOKUP($C67,'2017 Seattle Tracts Conc'!$BA$3:$BT$95,AG$1-3,FALSE)</f>
        <v>0.69906673161899768</v>
      </c>
      <c r="AH67">
        <f>VLOOKUP($C67,'2017 Seattle Tracts Conc'!$BA$3:$BT$95,AH$1-3,FALSE)</f>
        <v>1.9252701056146506</v>
      </c>
      <c r="AI67">
        <f>VLOOKUP($C67,'2017 Seattle Tracts Conc'!$BA$3:$BT$95,AI$1-3,FALSE)</f>
        <v>644.73578953860817</v>
      </c>
      <c r="AJ67">
        <f>VLOOKUP($C67,'2017 Seattle Tracts Conc'!$BA$3:$BT$95,AJ$1-3,FALSE)</f>
        <v>564.18264485948475</v>
      </c>
      <c r="AK67">
        <f>VLOOKUP($C67,'2017 Seattle Tracts Conc'!$BA$3:$BT$95,AK$1-3,FALSE)</f>
        <v>2.3230838584132982E-2</v>
      </c>
      <c r="AL67">
        <f>VLOOKUP($C67,'2017 Seattle Tracts Conc'!$BA$3:$BT$95,AL$1-3,FALSE)</f>
        <v>0</v>
      </c>
      <c r="AM67">
        <f>VLOOKUP($C67,'2017 Seattle Tracts Conc'!$BA$3:$BT$95,AM$1-3,FALSE)</f>
        <v>80.296837919411914</v>
      </c>
      <c r="AN67">
        <f>VLOOKUP($C67,'2017 Seattle Tracts Conc'!$BA$3:$BT$95,AN$1-3,FALSE)</f>
        <v>115.01402533764144</v>
      </c>
      <c r="AO67">
        <f>VLOOKUP($C67,'2017 Seattle Tracts Conc'!$BA$3:$BT$95,AO$1-3,FALSE)</f>
        <v>617.69374391019244</v>
      </c>
      <c r="AP67">
        <f>VLOOKUP($C67,'2017 Seattle Tracts Conc'!$BA$3:$BT$95,AP$1-3,FALSE)</f>
        <v>23.906295966249907</v>
      </c>
    </row>
    <row r="68" spans="1:42" x14ac:dyDescent="0.25">
      <c r="A68">
        <v>119</v>
      </c>
      <c r="B68" t="s">
        <v>2495</v>
      </c>
      <c r="C68" t="s">
        <v>126</v>
      </c>
      <c r="D68" t="s">
        <v>122</v>
      </c>
      <c r="E68">
        <f>VLOOKUP($C68,'2000 Seattle Tracts Conc'!$AZ$3:$BS$94,E$1,FALSE)</f>
        <v>4460.9827329550626</v>
      </c>
      <c r="F68">
        <f>VLOOKUP($C68,'2000 Seattle Tracts Conc'!$AZ$3:$BS$94,F$1,FALSE)</f>
        <v>3739.3544841398148</v>
      </c>
      <c r="G68">
        <f>VLOOKUP($C68,'2000 Seattle Tracts Conc'!$AZ$3:$BS$94,G$1,FALSE)</f>
        <v>721.62824881524762</v>
      </c>
      <c r="H68">
        <f>VLOOKUP($C68,'2000 Seattle Tracts Conc'!$AZ$3:$BS$94,H$1,FALSE)</f>
        <v>3291.5514685989092</v>
      </c>
      <c r="I68">
        <f>VLOOKUP($C68,'2000 Seattle Tracts Conc'!$AZ$3:$BS$94,I$1,FALSE)</f>
        <v>316.1655936608102</v>
      </c>
      <c r="J68">
        <f>VLOOKUP($C68,'2000 Seattle Tracts Conc'!$AZ$3:$BS$94,J$1,FALSE)</f>
        <v>64.260529893037429</v>
      </c>
      <c r="K68">
        <f>VLOOKUP($C68,'2000 Seattle Tracts Conc'!$AZ$3:$BS$94,K$1,FALSE)</f>
        <v>20.014814534642749</v>
      </c>
      <c r="L68">
        <f>VLOOKUP($C68,'2000 Seattle Tracts Conc'!$AZ$3:$BS$94,L$1,FALSE)</f>
        <v>25.146535737862699</v>
      </c>
      <c r="M68">
        <f>VLOOKUP($C68,'2000 Seattle Tracts Conc'!$AZ$3:$BS$94,M$1,FALSE)</f>
        <v>11.267642535421666</v>
      </c>
      <c r="N68">
        <f>VLOOKUP($C68,'2000 Seattle Tracts Conc'!$AZ$3:$BS$94,N$1,FALSE)</f>
        <v>15.903012807275216</v>
      </c>
      <c r="O68">
        <f>VLOOKUP($C68,'2000 Seattle Tracts Conc'!$AZ$3:$BS$94,O$1,FALSE)</f>
        <v>3.7082079077876147</v>
      </c>
      <c r="P68">
        <f>VLOOKUP($C68,'2000 Seattle Tracts Conc'!$AZ$3:$BS$94,P$1,FALSE)</f>
        <v>124.26920799704345</v>
      </c>
      <c r="Q68">
        <f>VLOOKUP($C68,'2000 Seattle Tracts Conc'!$AZ$3:$BS$94,Q$1,FALSE)</f>
        <v>313.71413930417157</v>
      </c>
      <c r="R68">
        <f>VLOOKUP($C68,'2000 Seattle Tracts Conc'!$AZ$3:$BS$94,R$1,FALSE)</f>
        <v>3.6677425981425458E-3</v>
      </c>
      <c r="S68">
        <f>VLOOKUP($C68,'2000 Seattle Tracts Conc'!$AZ$3:$BS$94,S$1,FALSE)</f>
        <v>1.2905020252723773E-3</v>
      </c>
      <c r="T68">
        <f>VLOOKUP($C68,'2000 Seattle Tracts Conc'!$AZ$3:$BS$94,T$1,FALSE)</f>
        <v>41.678384836680607</v>
      </c>
      <c r="U68">
        <f>VLOOKUP($C68,'2000 Seattle Tracts Conc'!$AZ$3:$BS$94,U$1,FALSE)</f>
        <v>22.671588212654299</v>
      </c>
      <c r="V68">
        <f>VLOOKUP($C68,'2000 Seattle Tracts Conc'!$AZ$3:$BS$94,V$1,FALSE)</f>
        <v>176.5416765264078</v>
      </c>
      <c r="W68">
        <f>VLOOKUP($C68,'2000 Seattle Tracts Conc'!$AZ$3:$BS$94,W$1,FALSE)</f>
        <v>34.084972157734263</v>
      </c>
      <c r="X68" s="4">
        <f>VLOOKUP($C68,'2017 Seattle Tracts Conc'!$BA$3:$BT$95,X$1-3,FALSE)</f>
        <v>5069.9608868716841</v>
      </c>
      <c r="Y68">
        <f>VLOOKUP($C68,'2017 Seattle Tracts Conc'!$BA$3:$BT$95,Y$1-3,FALSE)</f>
        <v>4323.4467307824161</v>
      </c>
      <c r="Z68">
        <f>VLOOKUP($C68,'2017 Seattle Tracts Conc'!$BA$3:$BT$95,Z$1-3,FALSE)</f>
        <v>746.51415608926754</v>
      </c>
      <c r="AA68">
        <f>VLOOKUP($C68,'2017 Seattle Tracts Conc'!$BA$3:$BT$95,AA$1-3,FALSE)</f>
        <v>3631.6792046931864</v>
      </c>
      <c r="AB68">
        <f>VLOOKUP($C68,'2017 Seattle Tracts Conc'!$BA$3:$BT$95,AB$1-3,FALSE)</f>
        <v>211.27704733202552</v>
      </c>
      <c r="AC68">
        <f>VLOOKUP($C68,'2017 Seattle Tracts Conc'!$BA$3:$BT$95,AC$1-3,FALSE)</f>
        <v>79.728193492093908</v>
      </c>
      <c r="AD68">
        <f>VLOOKUP($C68,'2017 Seattle Tracts Conc'!$BA$3:$BT$95,AD$1-3,FALSE)</f>
        <v>82.046542092626751</v>
      </c>
      <c r="AE68">
        <f>VLOOKUP($C68,'2017 Seattle Tracts Conc'!$BA$3:$BT$95,AE$1-3,FALSE)</f>
        <v>106.30034117020661</v>
      </c>
      <c r="AF68">
        <f>VLOOKUP($C68,'2017 Seattle Tracts Conc'!$BA$3:$BT$95,AF$1-3,FALSE)</f>
        <v>19.96236194251189</v>
      </c>
      <c r="AG68">
        <f>VLOOKUP($C68,'2017 Seattle Tracts Conc'!$BA$3:$BT$95,AG$1-3,FALSE)</f>
        <v>29.205251402980355</v>
      </c>
      <c r="AH68">
        <f>VLOOKUP($C68,'2017 Seattle Tracts Conc'!$BA$3:$BT$95,AH$1-3,FALSE)</f>
        <v>7.9789029059939462</v>
      </c>
      <c r="AI68">
        <f>VLOOKUP($C68,'2017 Seattle Tracts Conc'!$BA$3:$BT$95,AI$1-3,FALSE)</f>
        <v>161.92941556129682</v>
      </c>
      <c r="AJ68">
        <f>VLOOKUP($C68,'2017 Seattle Tracts Conc'!$BA$3:$BT$95,AJ$1-3,FALSE)</f>
        <v>382.71028389477965</v>
      </c>
      <c r="AK68">
        <f>VLOOKUP($C68,'2017 Seattle Tracts Conc'!$BA$3:$BT$95,AK$1-3,FALSE)</f>
        <v>4.8267054012829318</v>
      </c>
      <c r="AL68">
        <f>VLOOKUP($C68,'2017 Seattle Tracts Conc'!$BA$3:$BT$95,AL$1-3,FALSE)</f>
        <v>1.2220096098448686E-2</v>
      </c>
      <c r="AM68">
        <f>VLOOKUP($C68,'2017 Seattle Tracts Conc'!$BA$3:$BT$95,AM$1-3,FALSE)</f>
        <v>14.480787649109553</v>
      </c>
      <c r="AN68">
        <f>VLOOKUP($C68,'2017 Seattle Tracts Conc'!$BA$3:$BT$95,AN$1-3,FALSE)</f>
        <v>24.940511482849889</v>
      </c>
      <c r="AO68">
        <f>VLOOKUP($C68,'2017 Seattle Tracts Conc'!$BA$3:$BT$95,AO$1-3,FALSE)</f>
        <v>295.29683141225945</v>
      </c>
      <c r="AP68">
        <f>VLOOKUP($C68,'2017 Seattle Tracts Conc'!$BA$3:$BT$95,AP$1-3,FALSE)</f>
        <v>17.586286342381467</v>
      </c>
    </row>
    <row r="69" spans="1:42" x14ac:dyDescent="0.25">
      <c r="A69">
        <v>125</v>
      </c>
      <c r="B69" t="s">
        <v>2495</v>
      </c>
      <c r="C69" t="s">
        <v>127</v>
      </c>
      <c r="D69" t="s">
        <v>122</v>
      </c>
      <c r="E69">
        <f>VLOOKUP($C69,'2000 Seattle Tracts Conc'!$AZ$3:$BS$94,E$1,FALSE)</f>
        <v>12474.548211182175</v>
      </c>
      <c r="F69">
        <f>VLOOKUP($C69,'2000 Seattle Tracts Conc'!$AZ$3:$BS$94,F$1,FALSE)</f>
        <v>10588.83334246053</v>
      </c>
      <c r="G69">
        <f>VLOOKUP($C69,'2000 Seattle Tracts Conc'!$AZ$3:$BS$94,G$1,FALSE)</f>
        <v>1885.7148687216427</v>
      </c>
      <c r="H69">
        <f>VLOOKUP($C69,'2000 Seattle Tracts Conc'!$AZ$3:$BS$94,H$1,FALSE)</f>
        <v>9234.0274288007404</v>
      </c>
      <c r="I69">
        <f>VLOOKUP($C69,'2000 Seattle Tracts Conc'!$AZ$3:$BS$94,I$1,FALSE)</f>
        <v>915.36208361594777</v>
      </c>
      <c r="J69">
        <f>VLOOKUP($C69,'2000 Seattle Tracts Conc'!$AZ$3:$BS$94,J$1,FALSE)</f>
        <v>142.58591145027984</v>
      </c>
      <c r="K69">
        <f>VLOOKUP($C69,'2000 Seattle Tracts Conc'!$AZ$3:$BS$94,K$1,FALSE)</f>
        <v>70.50337446812496</v>
      </c>
      <c r="L69">
        <f>VLOOKUP($C69,'2000 Seattle Tracts Conc'!$AZ$3:$BS$94,L$1,FALSE)</f>
        <v>208.90979817882197</v>
      </c>
      <c r="M69">
        <f>VLOOKUP($C69,'2000 Seattle Tracts Conc'!$AZ$3:$BS$94,M$1,FALSE)</f>
        <v>23.007171086515267</v>
      </c>
      <c r="N69">
        <f>VLOOKUP($C69,'2000 Seattle Tracts Conc'!$AZ$3:$BS$94,N$1,FALSE)</f>
        <v>35.214471548730835</v>
      </c>
      <c r="O69">
        <f>VLOOKUP($C69,'2000 Seattle Tracts Conc'!$AZ$3:$BS$94,O$1,FALSE)</f>
        <v>1.4097728385005692E-3</v>
      </c>
      <c r="P69">
        <f>VLOOKUP($C69,'2000 Seattle Tracts Conc'!$AZ$3:$BS$94,P$1,FALSE)</f>
        <v>421.4737881870625</v>
      </c>
      <c r="Q69">
        <f>VLOOKUP($C69,'2000 Seattle Tracts Conc'!$AZ$3:$BS$94,Q$1,FALSE)</f>
        <v>694.30181623123144</v>
      </c>
      <c r="R69">
        <f>VLOOKUP($C69,'2000 Seattle Tracts Conc'!$AZ$3:$BS$94,R$1,FALSE)</f>
        <v>34.764345440600465</v>
      </c>
      <c r="S69">
        <f>VLOOKUP($C69,'2000 Seattle Tracts Conc'!$AZ$3:$BS$94,S$1,FALSE)</f>
        <v>12.593001051125047</v>
      </c>
      <c r="T69">
        <f>VLOOKUP($C69,'2000 Seattle Tracts Conc'!$AZ$3:$BS$94,T$1,FALSE)</f>
        <v>139.36342249164323</v>
      </c>
      <c r="U69">
        <f>VLOOKUP($C69,'2000 Seattle Tracts Conc'!$AZ$3:$BS$94,U$1,FALSE)</f>
        <v>64.623559331740552</v>
      </c>
      <c r="V69">
        <f>VLOOKUP($C69,'2000 Seattle Tracts Conc'!$AZ$3:$BS$94,V$1,FALSE)</f>
        <v>372.49417636265156</v>
      </c>
      <c r="W69">
        <f>VLOOKUP($C69,'2000 Seattle Tracts Conc'!$AZ$3:$BS$94,W$1,FALSE)</f>
        <v>105.32245316411945</v>
      </c>
      <c r="X69" s="4">
        <f>VLOOKUP($C69,'2017 Seattle Tracts Conc'!$BA$3:$BT$95,X$1-3,FALSE)</f>
        <v>13162.009197992815</v>
      </c>
      <c r="Y69">
        <f>VLOOKUP($C69,'2017 Seattle Tracts Conc'!$BA$3:$BT$95,Y$1-3,FALSE)</f>
        <v>11133.614303886778</v>
      </c>
      <c r="Z69">
        <f>VLOOKUP($C69,'2017 Seattle Tracts Conc'!$BA$3:$BT$95,Z$1-3,FALSE)</f>
        <v>2028.3948941060398</v>
      </c>
      <c r="AA69">
        <f>VLOOKUP($C69,'2017 Seattle Tracts Conc'!$BA$3:$BT$95,AA$1-3,FALSE)</f>
        <v>9305.6567032029798</v>
      </c>
      <c r="AB69">
        <f>VLOOKUP($C69,'2017 Seattle Tracts Conc'!$BA$3:$BT$95,AB$1-3,FALSE)</f>
        <v>763.26992780994874</v>
      </c>
      <c r="AC69">
        <f>VLOOKUP($C69,'2017 Seattle Tracts Conc'!$BA$3:$BT$95,AC$1-3,FALSE)</f>
        <v>273.81799635798041</v>
      </c>
      <c r="AD69">
        <f>VLOOKUP($C69,'2017 Seattle Tracts Conc'!$BA$3:$BT$95,AD$1-3,FALSE)</f>
        <v>97.010536779275</v>
      </c>
      <c r="AE69">
        <f>VLOOKUP($C69,'2017 Seattle Tracts Conc'!$BA$3:$BT$95,AE$1-3,FALSE)</f>
        <v>189.17865355977739</v>
      </c>
      <c r="AF69">
        <f>VLOOKUP($C69,'2017 Seattle Tracts Conc'!$BA$3:$BT$95,AF$1-3,FALSE)</f>
        <v>37.820290904691205</v>
      </c>
      <c r="AG69">
        <f>VLOOKUP($C69,'2017 Seattle Tracts Conc'!$BA$3:$BT$95,AG$1-3,FALSE)</f>
        <v>7.9069422360844221</v>
      </c>
      <c r="AH69">
        <f>VLOOKUP($C69,'2017 Seattle Tracts Conc'!$BA$3:$BT$95,AH$1-3,FALSE)</f>
        <v>2.2857490898880493E-4</v>
      </c>
      <c r="AI69">
        <f>VLOOKUP($C69,'2017 Seattle Tracts Conc'!$BA$3:$BT$95,AI$1-3,FALSE)</f>
        <v>532.9457398852644</v>
      </c>
      <c r="AJ69">
        <f>VLOOKUP($C69,'2017 Seattle Tracts Conc'!$BA$3:$BT$95,AJ$1-3,FALSE)</f>
        <v>957.42900284453572</v>
      </c>
      <c r="AK69">
        <f>VLOOKUP($C69,'2017 Seattle Tracts Conc'!$BA$3:$BT$95,AK$1-3,FALSE)</f>
        <v>1.4808465879487735E-3</v>
      </c>
      <c r="AL69">
        <f>VLOOKUP($C69,'2017 Seattle Tracts Conc'!$BA$3:$BT$95,AL$1-3,FALSE)</f>
        <v>23.615846017509373</v>
      </c>
      <c r="AM69">
        <f>VLOOKUP($C69,'2017 Seattle Tracts Conc'!$BA$3:$BT$95,AM$1-3,FALSE)</f>
        <v>152.08576377574363</v>
      </c>
      <c r="AN69">
        <f>VLOOKUP($C69,'2017 Seattle Tracts Conc'!$BA$3:$BT$95,AN$1-3,FALSE)</f>
        <v>95.193153087131307</v>
      </c>
      <c r="AO69">
        <f>VLOOKUP($C69,'2017 Seattle Tracts Conc'!$BA$3:$BT$95,AO$1-3,FALSE)</f>
        <v>672.02102402235641</v>
      </c>
      <c r="AP69">
        <f>VLOOKUP($C69,'2017 Seattle Tracts Conc'!$BA$3:$BT$95,AP$1-3,FALSE)</f>
        <v>54.0559080880397</v>
      </c>
    </row>
    <row r="70" spans="1:42" x14ac:dyDescent="0.25">
      <c r="A70">
        <v>196</v>
      </c>
      <c r="B70" t="s">
        <v>2495</v>
      </c>
      <c r="C70" t="s">
        <v>128</v>
      </c>
      <c r="D70" t="s">
        <v>122</v>
      </c>
      <c r="E70">
        <f>VLOOKUP($C70,'2000 Seattle Tracts Conc'!$AZ$3:$BS$94,E$1,FALSE)</f>
        <v>1708.9214441522331</v>
      </c>
      <c r="F70">
        <f>VLOOKUP($C70,'2000 Seattle Tracts Conc'!$AZ$3:$BS$94,F$1,FALSE)</f>
        <v>1440.076150930083</v>
      </c>
      <c r="G70">
        <f>VLOOKUP($C70,'2000 Seattle Tracts Conc'!$AZ$3:$BS$94,G$1,FALSE)</f>
        <v>268.84529322215008</v>
      </c>
      <c r="H70">
        <f>VLOOKUP($C70,'2000 Seattle Tracts Conc'!$AZ$3:$BS$94,H$1,FALSE)</f>
        <v>1334.4472975023752</v>
      </c>
      <c r="I70">
        <f>VLOOKUP($C70,'2000 Seattle Tracts Conc'!$AZ$3:$BS$94,I$1,FALSE)</f>
        <v>162.96667800089887</v>
      </c>
      <c r="J70">
        <f>VLOOKUP($C70,'2000 Seattle Tracts Conc'!$AZ$3:$BS$94,J$1,FALSE)</f>
        <v>0.1725233082646653</v>
      </c>
      <c r="K70">
        <f>VLOOKUP($C70,'2000 Seattle Tracts Conc'!$AZ$3:$BS$94,K$1,FALSE)</f>
        <v>0.27945731033375593</v>
      </c>
      <c r="L70">
        <f>VLOOKUP($C70,'2000 Seattle Tracts Conc'!$AZ$3:$BS$94,L$1,FALSE)</f>
        <v>25.961107693984431</v>
      </c>
      <c r="M70">
        <f>VLOOKUP($C70,'2000 Seattle Tracts Conc'!$AZ$3:$BS$94,M$1,FALSE)</f>
        <v>10.136047796492949</v>
      </c>
      <c r="N70">
        <f>VLOOKUP($C70,'2000 Seattle Tracts Conc'!$AZ$3:$BS$94,N$1,FALSE)</f>
        <v>0.1695816950877331</v>
      </c>
      <c r="O70">
        <f>VLOOKUP($C70,'2000 Seattle Tracts Conc'!$AZ$3:$BS$94,O$1,FALSE)</f>
        <v>3.2576171930143107E-3</v>
      </c>
      <c r="P70">
        <f>VLOOKUP($C70,'2000 Seattle Tracts Conc'!$AZ$3:$BS$94,P$1,FALSE)</f>
        <v>44.240137189683324</v>
      </c>
      <c r="Q70">
        <f>VLOOKUP($C70,'2000 Seattle Tracts Conc'!$AZ$3:$BS$94,Q$1,FALSE)</f>
        <v>80.250064922907455</v>
      </c>
      <c r="R70">
        <f>VLOOKUP($C70,'2000 Seattle Tracts Conc'!$AZ$3:$BS$94,R$1,FALSE)</f>
        <v>4.3962593075167885E-5</v>
      </c>
      <c r="S70">
        <f>VLOOKUP($C70,'2000 Seattle Tracts Conc'!$AZ$3:$BS$94,S$1,FALSE)</f>
        <v>1.5468319785707217E-5</v>
      </c>
      <c r="T70">
        <f>VLOOKUP($C70,'2000 Seattle Tracts Conc'!$AZ$3:$BS$94,T$1,FALSE)</f>
        <v>4.335599646145873</v>
      </c>
      <c r="U70">
        <f>VLOOKUP($C70,'2000 Seattle Tracts Conc'!$AZ$3:$BS$94,U$1,FALSE)</f>
        <v>0.13177365081819528</v>
      </c>
      <c r="V70">
        <f>VLOOKUP($C70,'2000 Seattle Tracts Conc'!$AZ$3:$BS$94,V$1,FALSE)</f>
        <v>30.749859931948802</v>
      </c>
      <c r="W70">
        <f>VLOOKUP($C70,'2000 Seattle Tracts Conc'!$AZ$3:$BS$94,W$1,FALSE)</f>
        <v>15.077998455186048</v>
      </c>
      <c r="X70" s="4">
        <f>VLOOKUP($C70,'2017 Seattle Tracts Conc'!$BA$3:$BT$95,X$1-3,FALSE)</f>
        <v>2313.6233070383146</v>
      </c>
      <c r="Y70">
        <f>VLOOKUP($C70,'2017 Seattle Tracts Conc'!$BA$3:$BT$95,Y$1-3,FALSE)</f>
        <v>1942.9892561565646</v>
      </c>
      <c r="Z70">
        <f>VLOOKUP($C70,'2017 Seattle Tracts Conc'!$BA$3:$BT$95,Z$1-3,FALSE)</f>
        <v>370.63405088175</v>
      </c>
      <c r="AA70">
        <f>VLOOKUP($C70,'2017 Seattle Tracts Conc'!$BA$3:$BT$95,AA$1-3,FALSE)</f>
        <v>1490.6964004877534</v>
      </c>
      <c r="AB70">
        <f>VLOOKUP($C70,'2017 Seattle Tracts Conc'!$BA$3:$BT$95,AB$1-3,FALSE)</f>
        <v>114.97203464374682</v>
      </c>
      <c r="AC70">
        <f>VLOOKUP($C70,'2017 Seattle Tracts Conc'!$BA$3:$BT$95,AC$1-3,FALSE)</f>
        <v>28.730184525366344</v>
      </c>
      <c r="AD70">
        <f>VLOOKUP($C70,'2017 Seattle Tracts Conc'!$BA$3:$BT$95,AD$1-3,FALSE)</f>
        <v>5.9189094691053672</v>
      </c>
      <c r="AE70">
        <f>VLOOKUP($C70,'2017 Seattle Tracts Conc'!$BA$3:$BT$95,AE$1-3,FALSE)</f>
        <v>224.77031460213126</v>
      </c>
      <c r="AF70">
        <f>VLOOKUP($C70,'2017 Seattle Tracts Conc'!$BA$3:$BT$95,AF$1-3,FALSE)</f>
        <v>49.946497781360264</v>
      </c>
      <c r="AG70">
        <f>VLOOKUP($C70,'2017 Seattle Tracts Conc'!$BA$3:$BT$95,AG$1-3,FALSE)</f>
        <v>5.2126669817386057E-3</v>
      </c>
      <c r="AH70">
        <f>VLOOKUP($C70,'2017 Seattle Tracts Conc'!$BA$3:$BT$95,AH$1-3,FALSE)</f>
        <v>0</v>
      </c>
      <c r="AI70">
        <f>VLOOKUP($C70,'2017 Seattle Tracts Conc'!$BA$3:$BT$95,AI$1-3,FALSE)</f>
        <v>39.593329414665845</v>
      </c>
      <c r="AJ70">
        <f>VLOOKUP($C70,'2017 Seattle Tracts Conc'!$BA$3:$BT$95,AJ$1-3,FALSE)</f>
        <v>176.2356293965284</v>
      </c>
      <c r="AK70">
        <f>VLOOKUP($C70,'2017 Seattle Tracts Conc'!$BA$3:$BT$95,AK$1-3,FALSE)</f>
        <v>6.4994055866952477E-2</v>
      </c>
      <c r="AL70">
        <f>VLOOKUP($C70,'2017 Seattle Tracts Conc'!$BA$3:$BT$95,AL$1-3,FALSE)</f>
        <v>2.8497785658014407E-5</v>
      </c>
      <c r="AM70">
        <f>VLOOKUP($C70,'2017 Seattle Tracts Conc'!$BA$3:$BT$95,AM$1-3,FALSE)</f>
        <v>18.556340169018206</v>
      </c>
      <c r="AN70">
        <f>VLOOKUP($C70,'2017 Seattle Tracts Conc'!$BA$3:$BT$95,AN$1-3,FALSE)</f>
        <v>9.3419614592117513E-3</v>
      </c>
      <c r="AO70">
        <f>VLOOKUP($C70,'2017 Seattle Tracts Conc'!$BA$3:$BT$95,AO$1-3,FALSE)</f>
        <v>140.57248023478098</v>
      </c>
      <c r="AP70">
        <f>VLOOKUP($C70,'2017 Seattle Tracts Conc'!$BA$3:$BT$95,AP$1-3,FALSE)</f>
        <v>23.551609131764295</v>
      </c>
    </row>
    <row r="71" spans="1:42" x14ac:dyDescent="0.25">
      <c r="A71">
        <v>128</v>
      </c>
      <c r="B71" t="s">
        <v>2495</v>
      </c>
      <c r="C71" t="s">
        <v>129</v>
      </c>
      <c r="D71" t="s">
        <v>122</v>
      </c>
      <c r="E71">
        <f>VLOOKUP($C71,'2000 Seattle Tracts Conc'!$AZ$3:$BS$94,E$1,FALSE)</f>
        <v>4151.7986179900327</v>
      </c>
      <c r="F71">
        <f>VLOOKUP($C71,'2000 Seattle Tracts Conc'!$AZ$3:$BS$94,F$1,FALSE)</f>
        <v>3570.7134787487685</v>
      </c>
      <c r="G71">
        <f>VLOOKUP($C71,'2000 Seattle Tracts Conc'!$AZ$3:$BS$94,G$1,FALSE)</f>
        <v>581.08513924126441</v>
      </c>
      <c r="H71">
        <f>VLOOKUP($C71,'2000 Seattle Tracts Conc'!$AZ$3:$BS$94,H$1,FALSE)</f>
        <v>3132.8890801436878</v>
      </c>
      <c r="I71">
        <f>VLOOKUP($C71,'2000 Seattle Tracts Conc'!$AZ$3:$BS$94,I$1,FALSE)</f>
        <v>287.57088474280937</v>
      </c>
      <c r="J71">
        <f>VLOOKUP($C71,'2000 Seattle Tracts Conc'!$AZ$3:$BS$94,J$1,FALSE)</f>
        <v>59.832884381055607</v>
      </c>
      <c r="K71">
        <f>VLOOKUP($C71,'2000 Seattle Tracts Conc'!$AZ$3:$BS$94,K$1,FALSE)</f>
        <v>32.69348675562162</v>
      </c>
      <c r="L71">
        <f>VLOOKUP($C71,'2000 Seattle Tracts Conc'!$AZ$3:$BS$94,L$1,FALSE)</f>
        <v>80.818740671070117</v>
      </c>
      <c r="M71">
        <f>VLOOKUP($C71,'2000 Seattle Tracts Conc'!$AZ$3:$BS$94,M$1,FALSE)</f>
        <v>14.534013524290778</v>
      </c>
      <c r="N71">
        <f>VLOOKUP($C71,'2000 Seattle Tracts Conc'!$AZ$3:$BS$94,N$1,FALSE)</f>
        <v>8.5126470455775767</v>
      </c>
      <c r="O71">
        <f>VLOOKUP($C71,'2000 Seattle Tracts Conc'!$AZ$3:$BS$94,O$1,FALSE)</f>
        <v>0</v>
      </c>
      <c r="P71">
        <f>VLOOKUP($C71,'2000 Seattle Tracts Conc'!$AZ$3:$BS$94,P$1,FALSE)</f>
        <v>112.71795227490514</v>
      </c>
      <c r="Q71">
        <f>VLOOKUP($C71,'2000 Seattle Tracts Conc'!$AZ$3:$BS$94,Q$1,FALSE)</f>
        <v>176.08909371860199</v>
      </c>
      <c r="R71">
        <f>VLOOKUP($C71,'2000 Seattle Tracts Conc'!$AZ$3:$BS$94,R$1,FALSE)</f>
        <v>24.360786658858032</v>
      </c>
      <c r="S71">
        <f>VLOOKUP($C71,'2000 Seattle Tracts Conc'!$AZ$3:$BS$94,S$1,FALSE)</f>
        <v>8.5713878984870853</v>
      </c>
      <c r="T71">
        <f>VLOOKUP($C71,'2000 Seattle Tracts Conc'!$AZ$3:$BS$94,T$1,FALSE)</f>
        <v>19.402462537107738</v>
      </c>
      <c r="U71">
        <f>VLOOKUP($C71,'2000 Seattle Tracts Conc'!$AZ$3:$BS$94,U$1,FALSE)</f>
        <v>6.1836618901353599</v>
      </c>
      <c r="V71">
        <f>VLOOKUP($C71,'2000 Seattle Tracts Conc'!$AZ$3:$BS$94,V$1,FALSE)</f>
        <v>132.17892503650594</v>
      </c>
      <c r="W71">
        <f>VLOOKUP($C71,'2000 Seattle Tracts Conc'!$AZ$3:$BS$94,W$1,FALSE)</f>
        <v>55.442610711318196</v>
      </c>
      <c r="X71" s="4">
        <f>VLOOKUP($C71,'2017 Seattle Tracts Conc'!$BA$3:$BT$95,X$1-3,FALSE)</f>
        <v>4834.3437576053757</v>
      </c>
      <c r="Y71">
        <f>VLOOKUP($C71,'2017 Seattle Tracts Conc'!$BA$3:$BT$95,Y$1-3,FALSE)</f>
        <v>4038.8673821165921</v>
      </c>
      <c r="Z71">
        <f>VLOOKUP($C71,'2017 Seattle Tracts Conc'!$BA$3:$BT$95,Z$1-3,FALSE)</f>
        <v>795.47637548878288</v>
      </c>
      <c r="AA71">
        <f>VLOOKUP($C71,'2017 Seattle Tracts Conc'!$BA$3:$BT$95,AA$1-3,FALSE)</f>
        <v>3553.1178232303805</v>
      </c>
      <c r="AB71">
        <f>VLOOKUP($C71,'2017 Seattle Tracts Conc'!$BA$3:$BT$95,AB$1-3,FALSE)</f>
        <v>252.06611202913899</v>
      </c>
      <c r="AC71">
        <f>VLOOKUP($C71,'2017 Seattle Tracts Conc'!$BA$3:$BT$95,AC$1-3,FALSE)</f>
        <v>143.75993054386188</v>
      </c>
      <c r="AD71">
        <f>VLOOKUP($C71,'2017 Seattle Tracts Conc'!$BA$3:$BT$95,AD$1-3,FALSE)</f>
        <v>47.467146826286047</v>
      </c>
      <c r="AE71">
        <f>VLOOKUP($C71,'2017 Seattle Tracts Conc'!$BA$3:$BT$95,AE$1-3,FALSE)</f>
        <v>51.594403990634532</v>
      </c>
      <c r="AF71">
        <f>VLOOKUP($C71,'2017 Seattle Tracts Conc'!$BA$3:$BT$95,AF$1-3,FALSE)</f>
        <v>24.811282894659126</v>
      </c>
      <c r="AG71">
        <f>VLOOKUP($C71,'2017 Seattle Tracts Conc'!$BA$3:$BT$95,AG$1-3,FALSE)</f>
        <v>12.176186463597363</v>
      </c>
      <c r="AH71">
        <f>VLOOKUP($C71,'2017 Seattle Tracts Conc'!$BA$3:$BT$95,AH$1-3,FALSE)</f>
        <v>4.0198961422846544</v>
      </c>
      <c r="AI71">
        <f>VLOOKUP($C71,'2017 Seattle Tracts Conc'!$BA$3:$BT$95,AI$1-3,FALSE)</f>
        <v>112.56118100379625</v>
      </c>
      <c r="AJ71">
        <f>VLOOKUP($C71,'2017 Seattle Tracts Conc'!$BA$3:$BT$95,AJ$1-3,FALSE)</f>
        <v>359.83812803609089</v>
      </c>
      <c r="AK71">
        <f>VLOOKUP($C71,'2017 Seattle Tracts Conc'!$BA$3:$BT$95,AK$1-3,FALSE)</f>
        <v>3.4265233458097015E-3</v>
      </c>
      <c r="AL71">
        <f>VLOOKUP($C71,'2017 Seattle Tracts Conc'!$BA$3:$BT$95,AL$1-3,FALSE)</f>
        <v>40.148844329364366</v>
      </c>
      <c r="AM71">
        <f>VLOOKUP($C71,'2017 Seattle Tracts Conc'!$BA$3:$BT$95,AM$1-3,FALSE)</f>
        <v>15.790805217715459</v>
      </c>
      <c r="AN71">
        <f>VLOOKUP($C71,'2017 Seattle Tracts Conc'!$BA$3:$BT$95,AN$1-3,FALSE)</f>
        <v>18.402871421474742</v>
      </c>
      <c r="AO71">
        <f>VLOOKUP($C71,'2017 Seattle Tracts Conc'!$BA$3:$BT$95,AO$1-3,FALSE)</f>
        <v>149.86362514326086</v>
      </c>
      <c r="AP71">
        <f>VLOOKUP($C71,'2017 Seattle Tracts Conc'!$BA$3:$BT$95,AP$1-3,FALSE)</f>
        <v>48.722093809484072</v>
      </c>
    </row>
    <row r="72" spans="1:42" x14ac:dyDescent="0.25">
      <c r="A72">
        <v>131</v>
      </c>
      <c r="B72" t="s">
        <v>2495</v>
      </c>
      <c r="C72" t="s">
        <v>130</v>
      </c>
      <c r="D72" t="s">
        <v>122</v>
      </c>
      <c r="E72">
        <f>VLOOKUP($C72,'2000 Seattle Tracts Conc'!$AZ$3:$BS$94,E$1,FALSE)</f>
        <v>5259.4613218453678</v>
      </c>
      <c r="F72">
        <f>VLOOKUP($C72,'2000 Seattle Tracts Conc'!$AZ$3:$BS$94,F$1,FALSE)</f>
        <v>4551.4801307726384</v>
      </c>
      <c r="G72">
        <f>VLOOKUP($C72,'2000 Seattle Tracts Conc'!$AZ$3:$BS$94,G$1,FALSE)</f>
        <v>707.98119107272976</v>
      </c>
      <c r="H72">
        <f>VLOOKUP($C72,'2000 Seattle Tracts Conc'!$AZ$3:$BS$94,H$1,FALSE)</f>
        <v>4127.9540654716811</v>
      </c>
      <c r="I72">
        <f>VLOOKUP($C72,'2000 Seattle Tracts Conc'!$AZ$3:$BS$94,I$1,FALSE)</f>
        <v>329.23949662258076</v>
      </c>
      <c r="J72">
        <f>VLOOKUP($C72,'2000 Seattle Tracts Conc'!$AZ$3:$BS$94,J$1,FALSE)</f>
        <v>41.489487728106361</v>
      </c>
      <c r="K72">
        <f>VLOOKUP($C72,'2000 Seattle Tracts Conc'!$AZ$3:$BS$94,K$1,FALSE)</f>
        <v>45.818294145223092</v>
      </c>
      <c r="L72">
        <f>VLOOKUP($C72,'2000 Seattle Tracts Conc'!$AZ$3:$BS$94,L$1,FALSE)</f>
        <v>78.301691191065757</v>
      </c>
      <c r="M72">
        <f>VLOOKUP($C72,'2000 Seattle Tracts Conc'!$AZ$3:$BS$94,M$1,FALSE)</f>
        <v>23.973247092637404</v>
      </c>
      <c r="N72">
        <f>VLOOKUP($C72,'2000 Seattle Tracts Conc'!$AZ$3:$BS$94,N$1,FALSE)</f>
        <v>18.342519849778245</v>
      </c>
      <c r="O72">
        <f>VLOOKUP($C72,'2000 Seattle Tracts Conc'!$AZ$3:$BS$94,O$1,FALSE)</f>
        <v>0</v>
      </c>
      <c r="P72">
        <f>VLOOKUP($C72,'2000 Seattle Tracts Conc'!$AZ$3:$BS$94,P$1,FALSE)</f>
        <v>130.80340462866008</v>
      </c>
      <c r="Q72">
        <f>VLOOKUP($C72,'2000 Seattle Tracts Conc'!$AZ$3:$BS$94,Q$1,FALSE)</f>
        <v>248.01720608494836</v>
      </c>
      <c r="R72">
        <f>VLOOKUP($C72,'2000 Seattle Tracts Conc'!$AZ$3:$BS$94,R$1,FALSE)</f>
        <v>15.178448640934405</v>
      </c>
      <c r="S72">
        <f>VLOOKUP($C72,'2000 Seattle Tracts Conc'!$AZ$3:$BS$94,S$1,FALSE)</f>
        <v>5.340565262550995</v>
      </c>
      <c r="T72">
        <f>VLOOKUP($C72,'2000 Seattle Tracts Conc'!$AZ$3:$BS$94,T$1,FALSE)</f>
        <v>9.5266985126608272</v>
      </c>
      <c r="U72">
        <f>VLOOKUP($C72,'2000 Seattle Tracts Conc'!$AZ$3:$BS$94,U$1,FALSE)</f>
        <v>14.020045078964797</v>
      </c>
      <c r="V72">
        <f>VLOOKUP($C72,'2000 Seattle Tracts Conc'!$AZ$3:$BS$94,V$1,FALSE)</f>
        <v>129.88381474975145</v>
      </c>
      <c r="W72">
        <f>VLOOKUP($C72,'2000 Seattle Tracts Conc'!$AZ$3:$BS$94,W$1,FALSE)</f>
        <v>41.572336785824412</v>
      </c>
      <c r="X72" s="4">
        <f>VLOOKUP($C72,'2017 Seattle Tracts Conc'!$BA$3:$BT$95,X$1-3,FALSE)</f>
        <v>5794.1636670194994</v>
      </c>
      <c r="Y72">
        <f>VLOOKUP($C72,'2017 Seattle Tracts Conc'!$BA$3:$BT$95,Y$1-3,FALSE)</f>
        <v>4818.7999126299255</v>
      </c>
      <c r="Z72">
        <f>VLOOKUP($C72,'2017 Seattle Tracts Conc'!$BA$3:$BT$95,Z$1-3,FALSE)</f>
        <v>975.36375438957407</v>
      </c>
      <c r="AA72">
        <f>VLOOKUP($C72,'2017 Seattle Tracts Conc'!$BA$3:$BT$95,AA$1-3,FALSE)</f>
        <v>4301.5440524596552</v>
      </c>
      <c r="AB72">
        <f>VLOOKUP($C72,'2017 Seattle Tracts Conc'!$BA$3:$BT$95,AB$1-3,FALSE)</f>
        <v>374.48849489060268</v>
      </c>
      <c r="AC72">
        <f>VLOOKUP($C72,'2017 Seattle Tracts Conc'!$BA$3:$BT$95,AC$1-3,FALSE)</f>
        <v>97.67577978639244</v>
      </c>
      <c r="AD72">
        <f>VLOOKUP($C72,'2017 Seattle Tracts Conc'!$BA$3:$BT$95,AD$1-3,FALSE)</f>
        <v>34.624308377764216</v>
      </c>
      <c r="AE72">
        <f>VLOOKUP($C72,'2017 Seattle Tracts Conc'!$BA$3:$BT$95,AE$1-3,FALSE)</f>
        <v>30.828474054826785</v>
      </c>
      <c r="AF72">
        <f>VLOOKUP($C72,'2017 Seattle Tracts Conc'!$BA$3:$BT$95,AF$1-3,FALSE)</f>
        <v>15.947653133711857</v>
      </c>
      <c r="AG72">
        <f>VLOOKUP($C72,'2017 Seattle Tracts Conc'!$BA$3:$BT$95,AG$1-3,FALSE)</f>
        <v>0.28288966797804427</v>
      </c>
      <c r="AH72">
        <f>VLOOKUP($C72,'2017 Seattle Tracts Conc'!$BA$3:$BT$95,AH$1-3,FALSE)</f>
        <v>6.355710863612913E-4</v>
      </c>
      <c r="AI72">
        <f>VLOOKUP($C72,'2017 Seattle Tracts Conc'!$BA$3:$BT$95,AI$1-3,FALSE)</f>
        <v>163.43435409872552</v>
      </c>
      <c r="AJ72">
        <f>VLOOKUP($C72,'2017 Seattle Tracts Conc'!$BA$3:$BT$95,AJ$1-3,FALSE)</f>
        <v>488.85720061450286</v>
      </c>
      <c r="AK72">
        <f>VLOOKUP($C72,'2017 Seattle Tracts Conc'!$BA$3:$BT$95,AK$1-3,FALSE)</f>
        <v>6.8975336089637906</v>
      </c>
      <c r="AL72">
        <f>VLOOKUP($C72,'2017 Seattle Tracts Conc'!$BA$3:$BT$95,AL$1-3,FALSE)</f>
        <v>25.012196788877986</v>
      </c>
      <c r="AM72">
        <f>VLOOKUP($C72,'2017 Seattle Tracts Conc'!$BA$3:$BT$95,AM$1-3,FALSE)</f>
        <v>9.8583875245374628</v>
      </c>
      <c r="AN72">
        <f>VLOOKUP($C72,'2017 Seattle Tracts Conc'!$BA$3:$BT$95,AN$1-3,FALSE)</f>
        <v>6.0532972292848894</v>
      </c>
      <c r="AO72">
        <f>VLOOKUP($C72,'2017 Seattle Tracts Conc'!$BA$3:$BT$95,AO$1-3,FALSE)</f>
        <v>208.27844142884683</v>
      </c>
      <c r="AP72">
        <f>VLOOKUP($C72,'2017 Seattle Tracts Conc'!$BA$3:$BT$95,AP$1-3,FALSE)</f>
        <v>30.379967783743233</v>
      </c>
    </row>
    <row r="73" spans="1:42" x14ac:dyDescent="0.25">
      <c r="A73">
        <v>136</v>
      </c>
      <c r="B73" t="s">
        <v>2495</v>
      </c>
      <c r="C73" t="s">
        <v>131</v>
      </c>
      <c r="D73" t="s">
        <v>122</v>
      </c>
      <c r="E73">
        <f>VLOOKUP($C73,'2000 Seattle Tracts Conc'!$AZ$3:$BS$94,E$1,FALSE)</f>
        <v>4135.2001254536945</v>
      </c>
      <c r="F73">
        <f>VLOOKUP($C73,'2000 Seattle Tracts Conc'!$AZ$3:$BS$94,F$1,FALSE)</f>
        <v>3578.3588917322481</v>
      </c>
      <c r="G73">
        <f>VLOOKUP($C73,'2000 Seattle Tracts Conc'!$AZ$3:$BS$94,G$1,FALSE)</f>
        <v>556.84123372144609</v>
      </c>
      <c r="H73">
        <f>VLOOKUP($C73,'2000 Seattle Tracts Conc'!$AZ$3:$BS$94,H$1,FALSE)</f>
        <v>3292.3373281688455</v>
      </c>
      <c r="I73">
        <f>VLOOKUP($C73,'2000 Seattle Tracts Conc'!$AZ$3:$BS$94,I$1,FALSE)</f>
        <v>241.47920443564524</v>
      </c>
      <c r="J73">
        <f>VLOOKUP($C73,'2000 Seattle Tracts Conc'!$AZ$3:$BS$94,J$1,FALSE)</f>
        <v>19.462050561638812</v>
      </c>
      <c r="K73">
        <f>VLOOKUP($C73,'2000 Seattle Tracts Conc'!$AZ$3:$BS$94,K$1,FALSE)</f>
        <v>35.235930128410111</v>
      </c>
      <c r="L73">
        <f>VLOOKUP($C73,'2000 Seattle Tracts Conc'!$AZ$3:$BS$94,L$1,FALSE)</f>
        <v>41.020806805170864</v>
      </c>
      <c r="M73">
        <f>VLOOKUP($C73,'2000 Seattle Tracts Conc'!$AZ$3:$BS$94,M$1,FALSE)</f>
        <v>20.923571030362496</v>
      </c>
      <c r="N73">
        <f>VLOOKUP($C73,'2000 Seattle Tracts Conc'!$AZ$3:$BS$94,N$1,FALSE)</f>
        <v>22.03311432650781</v>
      </c>
      <c r="O73">
        <f>VLOOKUP($C73,'2000 Seattle Tracts Conc'!$AZ$3:$BS$94,O$1,FALSE)</f>
        <v>3.3608760425021145E-2</v>
      </c>
      <c r="P73">
        <f>VLOOKUP($C73,'2000 Seattle Tracts Conc'!$AZ$3:$BS$94,P$1,FALSE)</f>
        <v>95.754534957840022</v>
      </c>
      <c r="Q73">
        <f>VLOOKUP($C73,'2000 Seattle Tracts Conc'!$AZ$3:$BS$94,Q$1,FALSE)</f>
        <v>230.22710502322988</v>
      </c>
      <c r="R73">
        <f>VLOOKUP($C73,'2000 Seattle Tracts Conc'!$AZ$3:$BS$94,R$1,FALSE)</f>
        <v>0.11707196896372421</v>
      </c>
      <c r="S73">
        <f>VLOOKUP($C73,'2000 Seattle Tracts Conc'!$AZ$3:$BS$94,S$1,FALSE)</f>
        <v>6.4298011872030936E-2</v>
      </c>
      <c r="T73">
        <f>VLOOKUP($C73,'2000 Seattle Tracts Conc'!$AZ$3:$BS$94,T$1,FALSE)</f>
        <v>6.1867369134542942</v>
      </c>
      <c r="U73">
        <f>VLOOKUP($C73,'2000 Seattle Tracts Conc'!$AZ$3:$BS$94,U$1,FALSE)</f>
        <v>15.36464799578618</v>
      </c>
      <c r="V73">
        <f>VLOOKUP($C73,'2000 Seattle Tracts Conc'!$AZ$3:$BS$94,V$1,FALSE)</f>
        <v>101.44724802982684</v>
      </c>
      <c r="W73">
        <f>VLOOKUP($C73,'2000 Seattle Tracts Conc'!$AZ$3:$BS$94,W$1,FALSE)</f>
        <v>13.512868335715137</v>
      </c>
      <c r="X73" s="4">
        <f>VLOOKUP($C73,'2017 Seattle Tracts Conc'!$BA$3:$BT$95,X$1-3,FALSE)</f>
        <v>4367.7983621698995</v>
      </c>
      <c r="Y73">
        <f>VLOOKUP($C73,'2017 Seattle Tracts Conc'!$BA$3:$BT$95,Y$1-3,FALSE)</f>
        <v>3628.3234157329589</v>
      </c>
      <c r="Z73">
        <f>VLOOKUP($C73,'2017 Seattle Tracts Conc'!$BA$3:$BT$95,Z$1-3,FALSE)</f>
        <v>739.4749464369404</v>
      </c>
      <c r="AA73">
        <f>VLOOKUP($C73,'2017 Seattle Tracts Conc'!$BA$3:$BT$95,AA$1-3,FALSE)</f>
        <v>3251.4344531882275</v>
      </c>
      <c r="AB73">
        <f>VLOOKUP($C73,'2017 Seattle Tracts Conc'!$BA$3:$BT$95,AB$1-3,FALSE)</f>
        <v>316.38828576451681</v>
      </c>
      <c r="AC73">
        <f>VLOOKUP($C73,'2017 Seattle Tracts Conc'!$BA$3:$BT$95,AC$1-3,FALSE)</f>
        <v>23.815580318636645</v>
      </c>
      <c r="AD73">
        <f>VLOOKUP($C73,'2017 Seattle Tracts Conc'!$BA$3:$BT$95,AD$1-3,FALSE)</f>
        <v>27.093105561572926</v>
      </c>
      <c r="AE73">
        <f>VLOOKUP($C73,'2017 Seattle Tracts Conc'!$BA$3:$BT$95,AE$1-3,FALSE)</f>
        <v>4.1867019609998266</v>
      </c>
      <c r="AF73">
        <f>VLOOKUP($C73,'2017 Seattle Tracts Conc'!$BA$3:$BT$95,AF$1-3,FALSE)</f>
        <v>0.73865876097458383</v>
      </c>
      <c r="AG73">
        <f>VLOOKUP($C73,'2017 Seattle Tracts Conc'!$BA$3:$BT$95,AG$1-3,FALSE)</f>
        <v>3.5803109498060655E-2</v>
      </c>
      <c r="AH73">
        <f>VLOOKUP($C73,'2017 Seattle Tracts Conc'!$BA$3:$BT$95,AH$1-3,FALSE)</f>
        <v>0</v>
      </c>
      <c r="AI73">
        <f>VLOOKUP($C73,'2017 Seattle Tracts Conc'!$BA$3:$BT$95,AI$1-3,FALSE)</f>
        <v>144.86953163637139</v>
      </c>
      <c r="AJ73">
        <f>VLOOKUP($C73,'2017 Seattle Tracts Conc'!$BA$3:$BT$95,AJ$1-3,FALSE)</f>
        <v>394.11660373289686</v>
      </c>
      <c r="AK73">
        <f>VLOOKUP($C73,'2017 Seattle Tracts Conc'!$BA$3:$BT$95,AK$1-3,FALSE)</f>
        <v>8.7940795823636364</v>
      </c>
      <c r="AL73">
        <f>VLOOKUP($C73,'2017 Seattle Tracts Conc'!$BA$3:$BT$95,AL$1-3,FALSE)</f>
        <v>0.22241970578648929</v>
      </c>
      <c r="AM73">
        <f>VLOOKUP($C73,'2017 Seattle Tracts Conc'!$BA$3:$BT$95,AM$1-3,FALSE)</f>
        <v>0.30923534962796118</v>
      </c>
      <c r="AN73">
        <f>VLOOKUP($C73,'2017 Seattle Tracts Conc'!$BA$3:$BT$95,AN$1-3,FALSE)</f>
        <v>0.60390336473803796</v>
      </c>
      <c r="AO73">
        <f>VLOOKUP($C73,'2017 Seattle Tracts Conc'!$BA$3:$BT$95,AO$1-3,FALSE)</f>
        <v>194.87803058723412</v>
      </c>
      <c r="AP73">
        <f>VLOOKUP($C73,'2017 Seattle Tracts Conc'!$BA$3:$BT$95,AP$1-3,FALSE)</f>
        <v>0.3119695464546095</v>
      </c>
    </row>
    <row r="74" spans="1:42" x14ac:dyDescent="0.25">
      <c r="A74">
        <v>124</v>
      </c>
      <c r="B74" t="s">
        <v>2495</v>
      </c>
      <c r="C74" t="s">
        <v>132</v>
      </c>
      <c r="D74" t="s">
        <v>122</v>
      </c>
      <c r="E74">
        <f>VLOOKUP($C74,'2000 Seattle Tracts Conc'!$AZ$3:$BS$94,E$1,FALSE)</f>
        <v>7435.2928767021804</v>
      </c>
      <c r="F74">
        <f>VLOOKUP($C74,'2000 Seattle Tracts Conc'!$AZ$3:$BS$94,F$1,FALSE)</f>
        <v>6591.7277877996421</v>
      </c>
      <c r="G74">
        <f>VLOOKUP($C74,'2000 Seattle Tracts Conc'!$AZ$3:$BS$94,G$1,FALSE)</f>
        <v>843.56508890253895</v>
      </c>
      <c r="H74">
        <f>VLOOKUP($C74,'2000 Seattle Tracts Conc'!$AZ$3:$BS$94,H$1,FALSE)</f>
        <v>5839.710956648777</v>
      </c>
      <c r="I74">
        <f>VLOOKUP($C74,'2000 Seattle Tracts Conc'!$AZ$3:$BS$94,I$1,FALSE)</f>
        <v>402.23539084126924</v>
      </c>
      <c r="J74">
        <f>VLOOKUP($C74,'2000 Seattle Tracts Conc'!$AZ$3:$BS$94,J$1,FALSE)</f>
        <v>82.238342298822161</v>
      </c>
      <c r="K74">
        <f>VLOOKUP($C74,'2000 Seattle Tracts Conc'!$AZ$3:$BS$94,K$1,FALSE)</f>
        <v>25.032633160540968</v>
      </c>
      <c r="L74">
        <f>VLOOKUP($C74,'2000 Seattle Tracts Conc'!$AZ$3:$BS$94,L$1,FALSE)</f>
        <v>76.89908684678683</v>
      </c>
      <c r="M74">
        <f>VLOOKUP($C74,'2000 Seattle Tracts Conc'!$AZ$3:$BS$94,M$1,FALSE)</f>
        <v>5.175201147494489</v>
      </c>
      <c r="N74">
        <f>VLOOKUP($C74,'2000 Seattle Tracts Conc'!$AZ$3:$BS$94,N$1,FALSE)</f>
        <v>63.042582295086184</v>
      </c>
      <c r="O74">
        <f>VLOOKUP($C74,'2000 Seattle Tracts Conc'!$AZ$3:$BS$94,O$1,FALSE)</f>
        <v>0.23518098407659563</v>
      </c>
      <c r="P74">
        <f>VLOOKUP($C74,'2000 Seattle Tracts Conc'!$AZ$3:$BS$94,P$1,FALSE)</f>
        <v>207.798304700822</v>
      </c>
      <c r="Q74">
        <f>VLOOKUP($C74,'2000 Seattle Tracts Conc'!$AZ$3:$BS$94,Q$1,FALSE)</f>
        <v>325.27899562532059</v>
      </c>
      <c r="R74">
        <f>VLOOKUP($C74,'2000 Seattle Tracts Conc'!$AZ$3:$BS$94,R$1,FALSE)</f>
        <v>27.69517381791858</v>
      </c>
      <c r="S74">
        <f>VLOOKUP($C74,'2000 Seattle Tracts Conc'!$AZ$3:$BS$94,S$1,FALSE)</f>
        <v>5.15956321577226</v>
      </c>
      <c r="T74">
        <f>VLOOKUP($C74,'2000 Seattle Tracts Conc'!$AZ$3:$BS$94,T$1,FALSE)</f>
        <v>33.434519954128795</v>
      </c>
      <c r="U74">
        <f>VLOOKUP($C74,'2000 Seattle Tracts Conc'!$AZ$3:$BS$94,U$1,FALSE)</f>
        <v>24.580204570107249</v>
      </c>
      <c r="V74">
        <f>VLOOKUP($C74,'2000 Seattle Tracts Conc'!$AZ$3:$BS$94,V$1,FALSE)</f>
        <v>260.90882123730012</v>
      </c>
      <c r="W74">
        <f>VLOOKUP($C74,'2000 Seattle Tracts Conc'!$AZ$3:$BS$94,W$1,FALSE)</f>
        <v>55.867919357957533</v>
      </c>
      <c r="X74" s="4">
        <f>VLOOKUP($C74,'2017 Seattle Tracts Conc'!$BA$3:$BT$95,X$1-3,FALSE)</f>
        <v>9007.2613418569817</v>
      </c>
      <c r="Y74">
        <f>VLOOKUP($C74,'2017 Seattle Tracts Conc'!$BA$3:$BT$95,Y$1-3,FALSE)</f>
        <v>7768.1190983130964</v>
      </c>
      <c r="Z74">
        <f>VLOOKUP($C74,'2017 Seattle Tracts Conc'!$BA$3:$BT$95,Z$1-3,FALSE)</f>
        <v>1239.1422435438853</v>
      </c>
      <c r="AA74">
        <f>VLOOKUP($C74,'2017 Seattle Tracts Conc'!$BA$3:$BT$95,AA$1-3,FALSE)</f>
        <v>6431.6087183695363</v>
      </c>
      <c r="AB74">
        <f>VLOOKUP($C74,'2017 Seattle Tracts Conc'!$BA$3:$BT$95,AB$1-3,FALSE)</f>
        <v>492.96053172398246</v>
      </c>
      <c r="AC74">
        <f>VLOOKUP($C74,'2017 Seattle Tracts Conc'!$BA$3:$BT$95,AC$1-3,FALSE)</f>
        <v>128.45080633574992</v>
      </c>
      <c r="AD74">
        <f>VLOOKUP($C74,'2017 Seattle Tracts Conc'!$BA$3:$BT$95,AD$1-3,FALSE)</f>
        <v>81.000175836854083</v>
      </c>
      <c r="AE74">
        <f>VLOOKUP($C74,'2017 Seattle Tracts Conc'!$BA$3:$BT$95,AE$1-3,FALSE)</f>
        <v>131.25528114207148</v>
      </c>
      <c r="AF74">
        <f>VLOOKUP($C74,'2017 Seattle Tracts Conc'!$BA$3:$BT$95,AF$1-3,FALSE)</f>
        <v>17.27545449200333</v>
      </c>
      <c r="AG74">
        <f>VLOOKUP($C74,'2017 Seattle Tracts Conc'!$BA$3:$BT$95,AG$1-3,FALSE)</f>
        <v>0.45569530815337772</v>
      </c>
      <c r="AH74">
        <f>VLOOKUP($C74,'2017 Seattle Tracts Conc'!$BA$3:$BT$95,AH$1-3,FALSE)</f>
        <v>0</v>
      </c>
      <c r="AI74">
        <f>VLOOKUP($C74,'2017 Seattle Tracts Conc'!$BA$3:$BT$95,AI$1-3,FALSE)</f>
        <v>427.54536358441101</v>
      </c>
      <c r="AJ74">
        <f>VLOOKUP($C74,'2017 Seattle Tracts Conc'!$BA$3:$BT$95,AJ$1-3,FALSE)</f>
        <v>555.17773365969799</v>
      </c>
      <c r="AK74">
        <f>VLOOKUP($C74,'2017 Seattle Tracts Conc'!$BA$3:$BT$95,AK$1-3,FALSE)</f>
        <v>2.1161037117747219E-3</v>
      </c>
      <c r="AL74">
        <f>VLOOKUP($C74,'2017 Seattle Tracts Conc'!$BA$3:$BT$95,AL$1-3,FALSE)</f>
        <v>0</v>
      </c>
      <c r="AM74">
        <f>VLOOKUP($C74,'2017 Seattle Tracts Conc'!$BA$3:$BT$95,AM$1-3,FALSE)</f>
        <v>128.61560142332848</v>
      </c>
      <c r="AN74">
        <f>VLOOKUP($C74,'2017 Seattle Tracts Conc'!$BA$3:$BT$95,AN$1-3,FALSE)</f>
        <v>65.712773879761642</v>
      </c>
      <c r="AO74">
        <f>VLOOKUP($C74,'2017 Seattle Tracts Conc'!$BA$3:$BT$95,AO$1-3,FALSE)</f>
        <v>520.18551604613367</v>
      </c>
      <c r="AP74">
        <f>VLOOKUP($C74,'2017 Seattle Tracts Conc'!$BA$3:$BT$95,AP$1-3,FALSE)</f>
        <v>27.015573951585779</v>
      </c>
    </row>
    <row r="75" spans="1:42" x14ac:dyDescent="0.25">
      <c r="A75">
        <v>139</v>
      </c>
      <c r="B75" t="s">
        <v>2495</v>
      </c>
      <c r="C75" t="s">
        <v>133</v>
      </c>
      <c r="D75" t="s">
        <v>134</v>
      </c>
      <c r="E75">
        <f>VLOOKUP($C75,'2000 Seattle Tracts Conc'!$AZ$3:$BS$94,E$1,FALSE)</f>
        <v>19518.060840359085</v>
      </c>
      <c r="F75">
        <f>VLOOKUP($C75,'2000 Seattle Tracts Conc'!$AZ$3:$BS$94,F$1,FALSE)</f>
        <v>15735.847233783181</v>
      </c>
      <c r="G75">
        <f>VLOOKUP($C75,'2000 Seattle Tracts Conc'!$AZ$3:$BS$94,G$1,FALSE)</f>
        <v>3782.2136065759059</v>
      </c>
      <c r="H75">
        <f>VLOOKUP($C75,'2000 Seattle Tracts Conc'!$AZ$3:$BS$94,H$1,FALSE)</f>
        <v>12757.444512364287</v>
      </c>
      <c r="I75">
        <f>VLOOKUP($C75,'2000 Seattle Tracts Conc'!$AZ$3:$BS$94,I$1,FALSE)</f>
        <v>1110.7927543698115</v>
      </c>
      <c r="J75">
        <f>VLOOKUP($C75,'2000 Seattle Tracts Conc'!$AZ$3:$BS$94,J$1,FALSE)</f>
        <v>236.18064791603408</v>
      </c>
      <c r="K75">
        <f>VLOOKUP($C75,'2000 Seattle Tracts Conc'!$AZ$3:$BS$94,K$1,FALSE)</f>
        <v>135.06324409366781</v>
      </c>
      <c r="L75">
        <f>VLOOKUP($C75,'2000 Seattle Tracts Conc'!$AZ$3:$BS$94,L$1,FALSE)</f>
        <v>311.05015593166576</v>
      </c>
      <c r="M75">
        <f>VLOOKUP($C75,'2000 Seattle Tracts Conc'!$AZ$3:$BS$94,M$1,FALSE)</f>
        <v>35.861894838275013</v>
      </c>
      <c r="N75">
        <f>VLOOKUP($C75,'2000 Seattle Tracts Conc'!$AZ$3:$BS$94,N$1,FALSE)</f>
        <v>127.80452053764196</v>
      </c>
      <c r="O75">
        <f>VLOOKUP($C75,'2000 Seattle Tracts Conc'!$AZ$3:$BS$94,O$1,FALSE)</f>
        <v>15.416442146100687</v>
      </c>
      <c r="P75">
        <f>VLOOKUP($C75,'2000 Seattle Tracts Conc'!$AZ$3:$BS$94,P$1,FALSE)</f>
        <v>1262.5822269957664</v>
      </c>
      <c r="Q75">
        <f>VLOOKUP($C75,'2000 Seattle Tracts Conc'!$AZ$3:$BS$94,Q$1,FALSE)</f>
        <v>2137.1559339675969</v>
      </c>
      <c r="R75">
        <f>VLOOKUP($C75,'2000 Seattle Tracts Conc'!$AZ$3:$BS$94,R$1,FALSE)</f>
        <v>38.891557013518835</v>
      </c>
      <c r="S75">
        <f>VLOOKUP($C75,'2000 Seattle Tracts Conc'!$AZ$3:$BS$94,S$1,FALSE)</f>
        <v>33.737858838063104</v>
      </c>
      <c r="T75">
        <f>VLOOKUP($C75,'2000 Seattle Tracts Conc'!$AZ$3:$BS$94,T$1,FALSE)</f>
        <v>233.62273799549223</v>
      </c>
      <c r="U75">
        <f>VLOOKUP($C75,'2000 Seattle Tracts Conc'!$AZ$3:$BS$94,U$1,FALSE)</f>
        <v>89.83658977407157</v>
      </c>
      <c r="V75">
        <f>VLOOKUP($C75,'2000 Seattle Tracts Conc'!$AZ$3:$BS$94,V$1,FALSE)</f>
        <v>768.27087502877407</v>
      </c>
      <c r="W75">
        <f>VLOOKUP($C75,'2000 Seattle Tracts Conc'!$AZ$3:$BS$94,W$1,FALSE)</f>
        <v>224.34888854831965</v>
      </c>
      <c r="X75" s="4">
        <f>VLOOKUP($C75,'2017 Seattle Tracts Conc'!$BA$3:$BT$95,X$1-3,FALSE)</f>
        <v>25106.315100593551</v>
      </c>
      <c r="Y75">
        <f>VLOOKUP($C75,'2017 Seattle Tracts Conc'!$BA$3:$BT$95,Y$1-3,FALSE)</f>
        <v>17973.46719862863</v>
      </c>
      <c r="Z75">
        <f>VLOOKUP($C75,'2017 Seattle Tracts Conc'!$BA$3:$BT$95,Z$1-3,FALSE)</f>
        <v>7132.8479019649203</v>
      </c>
      <c r="AA75">
        <f>VLOOKUP($C75,'2017 Seattle Tracts Conc'!$BA$3:$BT$95,AA$1-3,FALSE)</f>
        <v>12523.022858182825</v>
      </c>
      <c r="AB75">
        <f>VLOOKUP($C75,'2017 Seattle Tracts Conc'!$BA$3:$BT$95,AB$1-3,FALSE)</f>
        <v>1375.7018885462064</v>
      </c>
      <c r="AC75">
        <f>VLOOKUP($C75,'2017 Seattle Tracts Conc'!$BA$3:$BT$95,AC$1-3,FALSE)</f>
        <v>439.43968235097515</v>
      </c>
      <c r="AD75">
        <f>VLOOKUP($C75,'2017 Seattle Tracts Conc'!$BA$3:$BT$95,AD$1-3,FALSE)</f>
        <v>180.15145695312742</v>
      </c>
      <c r="AE75">
        <f>VLOOKUP($C75,'2017 Seattle Tracts Conc'!$BA$3:$BT$95,AE$1-3,FALSE)</f>
        <v>420.75156536248591</v>
      </c>
      <c r="AF75">
        <f>VLOOKUP($C75,'2017 Seattle Tracts Conc'!$BA$3:$BT$95,AF$1-3,FALSE)</f>
        <v>181.33866788982903</v>
      </c>
      <c r="AG75">
        <f>VLOOKUP($C75,'2017 Seattle Tracts Conc'!$BA$3:$BT$95,AG$1-3,FALSE)</f>
        <v>213.77703242705547</v>
      </c>
      <c r="AH75">
        <f>VLOOKUP($C75,'2017 Seattle Tracts Conc'!$BA$3:$BT$95,AH$1-3,FALSE)</f>
        <v>0</v>
      </c>
      <c r="AI75">
        <f>VLOOKUP($C75,'2017 Seattle Tracts Conc'!$BA$3:$BT$95,AI$1-3,FALSE)</f>
        <v>2181.0133288025663</v>
      </c>
      <c r="AJ75">
        <f>VLOOKUP($C75,'2017 Seattle Tracts Conc'!$BA$3:$BT$95,AJ$1-3,FALSE)</f>
        <v>5021.0685309926484</v>
      </c>
      <c r="AK75">
        <f>VLOOKUP($C75,'2017 Seattle Tracts Conc'!$BA$3:$BT$95,AK$1-3,FALSE)</f>
        <v>36.648461510088296</v>
      </c>
      <c r="AL75">
        <f>VLOOKUP($C75,'2017 Seattle Tracts Conc'!$BA$3:$BT$95,AL$1-3,FALSE)</f>
        <v>27.508460140101114</v>
      </c>
      <c r="AM75">
        <f>VLOOKUP($C75,'2017 Seattle Tracts Conc'!$BA$3:$BT$95,AM$1-3,FALSE)</f>
        <v>316.56537694993966</v>
      </c>
      <c r="AN75">
        <f>VLOOKUP($C75,'2017 Seattle Tracts Conc'!$BA$3:$BT$95,AN$1-3,FALSE)</f>
        <v>126.88027436615863</v>
      </c>
      <c r="AO75">
        <f>VLOOKUP($C75,'2017 Seattle Tracts Conc'!$BA$3:$BT$95,AO$1-3,FALSE)</f>
        <v>1842.2488930426948</v>
      </c>
      <c r="AP75">
        <f>VLOOKUP($C75,'2017 Seattle Tracts Conc'!$BA$3:$BT$95,AP$1-3,FALSE)</f>
        <v>220.19862307684949</v>
      </c>
    </row>
    <row r="76" spans="1:42" x14ac:dyDescent="0.25">
      <c r="A76">
        <v>145</v>
      </c>
      <c r="B76" t="s">
        <v>2495</v>
      </c>
      <c r="C76" t="s">
        <v>135</v>
      </c>
      <c r="D76" t="s">
        <v>136</v>
      </c>
      <c r="E76">
        <f>VLOOKUP($C76,'2000 Seattle Tracts Conc'!$AZ$3:$BS$94,E$1,FALSE)</f>
        <v>8086.9322497148842</v>
      </c>
      <c r="F76">
        <f>VLOOKUP($C76,'2000 Seattle Tracts Conc'!$AZ$3:$BS$94,F$1,FALSE)</f>
        <v>7061.4994717221789</v>
      </c>
      <c r="G76">
        <f>VLOOKUP($C76,'2000 Seattle Tracts Conc'!$AZ$3:$BS$94,G$1,FALSE)</f>
        <v>1025.4327779927057</v>
      </c>
      <c r="H76">
        <f>VLOOKUP($C76,'2000 Seattle Tracts Conc'!$AZ$3:$BS$94,H$1,FALSE)</f>
        <v>6332.3057002365713</v>
      </c>
      <c r="I76">
        <f>VLOOKUP($C76,'2000 Seattle Tracts Conc'!$AZ$3:$BS$94,I$1,FALSE)</f>
        <v>625.73976084771982</v>
      </c>
      <c r="J76">
        <f>VLOOKUP($C76,'2000 Seattle Tracts Conc'!$AZ$3:$BS$94,J$1,FALSE)</f>
        <v>111.74319733318048</v>
      </c>
      <c r="K76">
        <f>VLOOKUP($C76,'2000 Seattle Tracts Conc'!$AZ$3:$BS$94,K$1,FALSE)</f>
        <v>40.620533558976092</v>
      </c>
      <c r="L76">
        <f>VLOOKUP($C76,'2000 Seattle Tracts Conc'!$AZ$3:$BS$94,L$1,FALSE)</f>
        <v>123.40741202688773</v>
      </c>
      <c r="M76">
        <f>VLOOKUP($C76,'2000 Seattle Tracts Conc'!$AZ$3:$BS$94,M$1,FALSE)</f>
        <v>22.071736669068891</v>
      </c>
      <c r="N76">
        <f>VLOOKUP($C76,'2000 Seattle Tracts Conc'!$AZ$3:$BS$94,N$1,FALSE)</f>
        <v>59.139147499841954</v>
      </c>
      <c r="O76">
        <f>VLOOKUP($C76,'2000 Seattle Tracts Conc'!$AZ$3:$BS$94,O$1,FALSE)</f>
        <v>2.7155995779962829</v>
      </c>
      <c r="P76">
        <f>VLOOKUP($C76,'2000 Seattle Tracts Conc'!$AZ$3:$BS$94,P$1,FALSE)</f>
        <v>158.55852690377722</v>
      </c>
      <c r="Q76">
        <f>VLOOKUP($C76,'2000 Seattle Tracts Conc'!$AZ$3:$BS$94,Q$1,FALSE)</f>
        <v>260.69786026841831</v>
      </c>
      <c r="R76">
        <f>VLOOKUP($C76,'2000 Seattle Tracts Conc'!$AZ$3:$BS$94,R$1,FALSE)</f>
        <v>6.7781601724109972</v>
      </c>
      <c r="S76">
        <f>VLOOKUP($C76,'2000 Seattle Tracts Conc'!$AZ$3:$BS$94,S$1,FALSE)</f>
        <v>12.223562252591522</v>
      </c>
      <c r="T76">
        <f>VLOOKUP($C76,'2000 Seattle Tracts Conc'!$AZ$3:$BS$94,T$1,FALSE)</f>
        <v>36.63059069254021</v>
      </c>
      <c r="U76">
        <f>VLOOKUP($C76,'2000 Seattle Tracts Conc'!$AZ$3:$BS$94,U$1,FALSE)</f>
        <v>26.936192615991057</v>
      </c>
      <c r="V76">
        <f>VLOOKUP($C76,'2000 Seattle Tracts Conc'!$AZ$3:$BS$94,V$1,FALSE)</f>
        <v>232.93673685696945</v>
      </c>
      <c r="W76">
        <f>VLOOKUP($C76,'2000 Seattle Tracts Conc'!$AZ$3:$BS$94,W$1,FALSE)</f>
        <v>34.427532201943578</v>
      </c>
      <c r="X76" s="4">
        <f>VLOOKUP($C76,'2017 Seattle Tracts Conc'!$BA$3:$BT$95,X$1-3,FALSE)</f>
        <v>10799.249706524424</v>
      </c>
      <c r="Y76">
        <f>VLOOKUP($C76,'2017 Seattle Tracts Conc'!$BA$3:$BT$95,Y$1-3,FALSE)</f>
        <v>8491.2031755794651</v>
      </c>
      <c r="Z76">
        <f>VLOOKUP($C76,'2017 Seattle Tracts Conc'!$BA$3:$BT$95,Z$1-3,FALSE)</f>
        <v>2308.0465309449596</v>
      </c>
      <c r="AA76">
        <f>VLOOKUP($C76,'2017 Seattle Tracts Conc'!$BA$3:$BT$95,AA$1-3,FALSE)</f>
        <v>7200.6314828531094</v>
      </c>
      <c r="AB76">
        <f>VLOOKUP($C76,'2017 Seattle Tracts Conc'!$BA$3:$BT$95,AB$1-3,FALSE)</f>
        <v>981.8550332714035</v>
      </c>
      <c r="AC76">
        <f>VLOOKUP($C76,'2017 Seattle Tracts Conc'!$BA$3:$BT$95,AC$1-3,FALSE)</f>
        <v>124.9953296978004</v>
      </c>
      <c r="AD76">
        <f>VLOOKUP($C76,'2017 Seattle Tracts Conc'!$BA$3:$BT$95,AD$1-3,FALSE)</f>
        <v>36.36307583053928</v>
      </c>
      <c r="AE76">
        <f>VLOOKUP($C76,'2017 Seattle Tracts Conc'!$BA$3:$BT$95,AE$1-3,FALSE)</f>
        <v>75.68171871324239</v>
      </c>
      <c r="AF76">
        <f>VLOOKUP($C76,'2017 Seattle Tracts Conc'!$BA$3:$BT$95,AF$1-3,FALSE)</f>
        <v>0</v>
      </c>
      <c r="AG76">
        <f>VLOOKUP($C76,'2017 Seattle Tracts Conc'!$BA$3:$BT$95,AG$1-3,FALSE)</f>
        <v>91.230163647131477</v>
      </c>
      <c r="AH76">
        <f>VLOOKUP($C76,'2017 Seattle Tracts Conc'!$BA$3:$BT$95,AH$1-3,FALSE)</f>
        <v>0</v>
      </c>
      <c r="AI76">
        <f>VLOOKUP($C76,'2017 Seattle Tracts Conc'!$BA$3:$BT$95,AI$1-3,FALSE)</f>
        <v>409.98171992319652</v>
      </c>
      <c r="AJ76">
        <f>VLOOKUP($C76,'2017 Seattle Tracts Conc'!$BA$3:$BT$95,AJ$1-3,FALSE)</f>
        <v>1149.1900674922276</v>
      </c>
      <c r="AK76">
        <f>VLOOKUP($C76,'2017 Seattle Tracts Conc'!$BA$3:$BT$95,AK$1-3,FALSE)</f>
        <v>15.387396432453279</v>
      </c>
      <c r="AL76">
        <f>VLOOKUP($C76,'2017 Seattle Tracts Conc'!$BA$3:$BT$95,AL$1-3,FALSE)</f>
        <v>0</v>
      </c>
      <c r="AM76">
        <f>VLOOKUP($C76,'2017 Seattle Tracts Conc'!$BA$3:$BT$95,AM$1-3,FALSE)</f>
        <v>35.721158867090665</v>
      </c>
      <c r="AN76">
        <f>VLOOKUP($C76,'2017 Seattle Tracts Conc'!$BA$3:$BT$95,AN$1-3,FALSE)</f>
        <v>13.14332340334385</v>
      </c>
      <c r="AO76">
        <f>VLOOKUP($C76,'2017 Seattle Tracts Conc'!$BA$3:$BT$95,AO$1-3,FALSE)</f>
        <v>537.57420544544016</v>
      </c>
      <c r="AP76">
        <f>VLOOKUP($C76,'2017 Seattle Tracts Conc'!$BA$3:$BT$95,AP$1-3,FALSE)</f>
        <v>127.49503094744554</v>
      </c>
    </row>
    <row r="77" spans="1:42" x14ac:dyDescent="0.25">
      <c r="A77">
        <v>148</v>
      </c>
      <c r="B77" t="s">
        <v>2495</v>
      </c>
      <c r="C77" t="s">
        <v>137</v>
      </c>
      <c r="D77" t="s">
        <v>136</v>
      </c>
      <c r="E77">
        <f>VLOOKUP($C77,'2000 Seattle Tracts Conc'!$AZ$3:$BS$94,E$1,FALSE)</f>
        <v>5775.1693780942242</v>
      </c>
      <c r="F77">
        <f>VLOOKUP($C77,'2000 Seattle Tracts Conc'!$AZ$3:$BS$94,F$1,FALSE)</f>
        <v>5311.8496827242907</v>
      </c>
      <c r="G77">
        <f>VLOOKUP($C77,'2000 Seattle Tracts Conc'!$AZ$3:$BS$94,G$1,FALSE)</f>
        <v>463.31969536993256</v>
      </c>
      <c r="H77">
        <f>VLOOKUP($C77,'2000 Seattle Tracts Conc'!$AZ$3:$BS$94,H$1,FALSE)</f>
        <v>4782.3139201890472</v>
      </c>
      <c r="I77">
        <f>VLOOKUP($C77,'2000 Seattle Tracts Conc'!$AZ$3:$BS$94,I$1,FALSE)</f>
        <v>258.3039214610256</v>
      </c>
      <c r="J77">
        <f>VLOOKUP($C77,'2000 Seattle Tracts Conc'!$AZ$3:$BS$94,J$1,FALSE)</f>
        <v>80.086408844776301</v>
      </c>
      <c r="K77">
        <f>VLOOKUP($C77,'2000 Seattle Tracts Conc'!$AZ$3:$BS$94,K$1,FALSE)</f>
        <v>20.174195973746951</v>
      </c>
      <c r="L77">
        <f>VLOOKUP($C77,'2000 Seattle Tracts Conc'!$AZ$3:$BS$94,L$1,FALSE)</f>
        <v>85.528353076938998</v>
      </c>
      <c r="M77">
        <f>VLOOKUP($C77,'2000 Seattle Tracts Conc'!$AZ$3:$BS$94,M$1,FALSE)</f>
        <v>21.784351693881163</v>
      </c>
      <c r="N77">
        <f>VLOOKUP($C77,'2000 Seattle Tracts Conc'!$AZ$3:$BS$94,N$1,FALSE)</f>
        <v>32.719733335386323</v>
      </c>
      <c r="O77">
        <f>VLOOKUP($C77,'2000 Seattle Tracts Conc'!$AZ$3:$BS$94,O$1,FALSE)</f>
        <v>7.4460580819737224E-5</v>
      </c>
      <c r="P77">
        <f>VLOOKUP($C77,'2000 Seattle Tracts Conc'!$AZ$3:$BS$94,P$1,FALSE)</f>
        <v>87.986305331592476</v>
      </c>
      <c r="Q77">
        <f>VLOOKUP($C77,'2000 Seattle Tracts Conc'!$AZ$3:$BS$94,Q$1,FALSE)</f>
        <v>127.21977909392919</v>
      </c>
      <c r="R77">
        <f>VLOOKUP($C77,'2000 Seattle Tracts Conc'!$AZ$3:$BS$94,R$1,FALSE)</f>
        <v>1.3248107632584105</v>
      </c>
      <c r="S77">
        <f>VLOOKUP($C77,'2000 Seattle Tracts Conc'!$AZ$3:$BS$94,S$1,FALSE)</f>
        <v>1.6693703023633224</v>
      </c>
      <c r="T77">
        <f>VLOOKUP($C77,'2000 Seattle Tracts Conc'!$AZ$3:$BS$94,T$1,FALSE)</f>
        <v>25.739012407647579</v>
      </c>
      <c r="U77">
        <f>VLOOKUP($C77,'2000 Seattle Tracts Conc'!$AZ$3:$BS$94,U$1,FALSE)</f>
        <v>16.700892635086525</v>
      </c>
      <c r="V77">
        <f>VLOOKUP($C77,'2000 Seattle Tracts Conc'!$AZ$3:$BS$94,V$1,FALSE)</f>
        <v>216.15113877564346</v>
      </c>
      <c r="W77">
        <f>VLOOKUP($C77,'2000 Seattle Tracts Conc'!$AZ$3:$BS$94,W$1,FALSE)</f>
        <v>17.467109749319047</v>
      </c>
      <c r="X77" s="4">
        <f>VLOOKUP($C77,'2017 Seattle Tracts Conc'!$BA$3:$BT$95,X$1-3,FALSE)</f>
        <v>7254.2587110671211</v>
      </c>
      <c r="Y77">
        <f>VLOOKUP($C77,'2017 Seattle Tracts Conc'!$BA$3:$BT$95,Y$1-3,FALSE)</f>
        <v>6429.8450275655914</v>
      </c>
      <c r="Z77">
        <f>VLOOKUP($C77,'2017 Seattle Tracts Conc'!$BA$3:$BT$95,Z$1-3,FALSE)</f>
        <v>824.41368350153198</v>
      </c>
      <c r="AA77">
        <f>VLOOKUP($C77,'2017 Seattle Tracts Conc'!$BA$3:$BT$95,AA$1-3,FALSE)</f>
        <v>5585.9562172914493</v>
      </c>
      <c r="AB77">
        <f>VLOOKUP($C77,'2017 Seattle Tracts Conc'!$BA$3:$BT$95,AB$1-3,FALSE)</f>
        <v>541.0776999540102</v>
      </c>
      <c r="AC77">
        <f>VLOOKUP($C77,'2017 Seattle Tracts Conc'!$BA$3:$BT$95,AC$1-3,FALSE)</f>
        <v>142.83268757358886</v>
      </c>
      <c r="AD77">
        <f>VLOOKUP($C77,'2017 Seattle Tracts Conc'!$BA$3:$BT$95,AD$1-3,FALSE)</f>
        <v>14.691995508708734</v>
      </c>
      <c r="AE77">
        <f>VLOOKUP($C77,'2017 Seattle Tracts Conc'!$BA$3:$BT$95,AE$1-3,FALSE)</f>
        <v>94.899899623356148</v>
      </c>
      <c r="AF77">
        <f>VLOOKUP($C77,'2017 Seattle Tracts Conc'!$BA$3:$BT$95,AF$1-3,FALSE)</f>
        <v>2.5396690350442671E-2</v>
      </c>
      <c r="AG77">
        <f>VLOOKUP($C77,'2017 Seattle Tracts Conc'!$BA$3:$BT$95,AG$1-3,FALSE)</f>
        <v>5.8879905260246392</v>
      </c>
      <c r="AH77">
        <f>VLOOKUP($C77,'2017 Seattle Tracts Conc'!$BA$3:$BT$95,AH$1-3,FALSE)</f>
        <v>0</v>
      </c>
      <c r="AI77">
        <f>VLOOKUP($C77,'2017 Seattle Tracts Conc'!$BA$3:$BT$95,AI$1-3,FALSE)</f>
        <v>258.50248541950867</v>
      </c>
      <c r="AJ77">
        <f>VLOOKUP($C77,'2017 Seattle Tracts Conc'!$BA$3:$BT$95,AJ$1-3,FALSE)</f>
        <v>249.60977268820082</v>
      </c>
      <c r="AK77">
        <f>VLOOKUP($C77,'2017 Seattle Tracts Conc'!$BA$3:$BT$95,AK$1-3,FALSE)</f>
        <v>6.6762901527292057E-2</v>
      </c>
      <c r="AL77">
        <f>VLOOKUP($C77,'2017 Seattle Tracts Conc'!$BA$3:$BT$95,AL$1-3,FALSE)</f>
        <v>3.6159415838672855</v>
      </c>
      <c r="AM77">
        <f>VLOOKUP($C77,'2017 Seattle Tracts Conc'!$BA$3:$BT$95,AM$1-3,FALSE)</f>
        <v>19.149320463111319</v>
      </c>
      <c r="AN77">
        <f>VLOOKUP($C77,'2017 Seattle Tracts Conc'!$BA$3:$BT$95,AN$1-3,FALSE)</f>
        <v>5.5627413671752572</v>
      </c>
      <c r="AO77">
        <f>VLOOKUP($C77,'2017 Seattle Tracts Conc'!$BA$3:$BT$95,AO$1-3,FALSE)</f>
        <v>322.54966376702316</v>
      </c>
      <c r="AP77">
        <f>VLOOKUP($C77,'2017 Seattle Tracts Conc'!$BA$3:$BT$95,AP$1-3,FALSE)</f>
        <v>9.8301357092193538</v>
      </c>
    </row>
    <row r="78" spans="1:42" x14ac:dyDescent="0.25">
      <c r="A78">
        <v>152</v>
      </c>
      <c r="B78" t="s">
        <v>2495</v>
      </c>
      <c r="C78" t="s">
        <v>138</v>
      </c>
      <c r="D78" t="s">
        <v>136</v>
      </c>
      <c r="E78">
        <f>VLOOKUP($C78,'2000 Seattle Tracts Conc'!$AZ$3:$BS$94,E$1,FALSE)</f>
        <v>7768.6438477012498</v>
      </c>
      <c r="F78">
        <f>VLOOKUP($C78,'2000 Seattle Tracts Conc'!$AZ$3:$BS$94,F$1,FALSE)</f>
        <v>6632.6179028912047</v>
      </c>
      <c r="G78">
        <f>VLOOKUP($C78,'2000 Seattle Tracts Conc'!$AZ$3:$BS$94,G$1,FALSE)</f>
        <v>1136.0259448100433</v>
      </c>
      <c r="H78">
        <f>VLOOKUP($C78,'2000 Seattle Tracts Conc'!$AZ$3:$BS$94,H$1,FALSE)</f>
        <v>5888.9290205091002</v>
      </c>
      <c r="I78">
        <f>VLOOKUP($C78,'2000 Seattle Tracts Conc'!$AZ$3:$BS$94,I$1,FALSE)</f>
        <v>688.84852453841449</v>
      </c>
      <c r="J78">
        <f>VLOOKUP($C78,'2000 Seattle Tracts Conc'!$AZ$3:$BS$94,J$1,FALSE)</f>
        <v>104.80708437368276</v>
      </c>
      <c r="K78">
        <f>VLOOKUP($C78,'2000 Seattle Tracts Conc'!$AZ$3:$BS$94,K$1,FALSE)</f>
        <v>44.532172063929046</v>
      </c>
      <c r="L78">
        <f>VLOOKUP($C78,'2000 Seattle Tracts Conc'!$AZ$3:$BS$94,L$1,FALSE)</f>
        <v>185.56385178971837</v>
      </c>
      <c r="M78">
        <f>VLOOKUP($C78,'2000 Seattle Tracts Conc'!$AZ$3:$BS$94,M$1,FALSE)</f>
        <v>12.50641077618072</v>
      </c>
      <c r="N78">
        <f>VLOOKUP($C78,'2000 Seattle Tracts Conc'!$AZ$3:$BS$94,N$1,FALSE)</f>
        <v>42.353643873527417</v>
      </c>
      <c r="O78">
        <f>VLOOKUP($C78,'2000 Seattle Tracts Conc'!$AZ$3:$BS$94,O$1,FALSE)</f>
        <v>2.275299267711917</v>
      </c>
      <c r="P78">
        <f>VLOOKUP($C78,'2000 Seattle Tracts Conc'!$AZ$3:$BS$94,P$1,FALSE)</f>
        <v>121.49034634379214</v>
      </c>
      <c r="Q78">
        <f>VLOOKUP($C78,'2000 Seattle Tracts Conc'!$AZ$3:$BS$94,Q$1,FALSE)</f>
        <v>295.99725765550181</v>
      </c>
      <c r="R78">
        <f>VLOOKUP($C78,'2000 Seattle Tracts Conc'!$AZ$3:$BS$94,R$1,FALSE)</f>
        <v>8.4373709799690086</v>
      </c>
      <c r="S78">
        <f>VLOOKUP($C78,'2000 Seattle Tracts Conc'!$AZ$3:$BS$94,S$1,FALSE)</f>
        <v>1.3538578491098991</v>
      </c>
      <c r="T78">
        <f>VLOOKUP($C78,'2000 Seattle Tracts Conc'!$AZ$3:$BS$94,T$1,FALSE)</f>
        <v>63.984833676629904</v>
      </c>
      <c r="U78">
        <f>VLOOKUP($C78,'2000 Seattle Tracts Conc'!$AZ$3:$BS$94,U$1,FALSE)</f>
        <v>46.127786147061094</v>
      </c>
      <c r="V78">
        <f>VLOOKUP($C78,'2000 Seattle Tracts Conc'!$AZ$3:$BS$94,V$1,FALSE)</f>
        <v>217.05175134478645</v>
      </c>
      <c r="W78">
        <f>VLOOKUP($C78,'2000 Seattle Tracts Conc'!$AZ$3:$BS$94,W$1,FALSE)</f>
        <v>44.384636512134421</v>
      </c>
      <c r="X78" s="4">
        <f>VLOOKUP($C78,'2017 Seattle Tracts Conc'!$BA$3:$BT$95,X$1-3,FALSE)</f>
        <v>11597.085579452591</v>
      </c>
      <c r="Y78">
        <f>VLOOKUP($C78,'2017 Seattle Tracts Conc'!$BA$3:$BT$95,Y$1-3,FALSE)</f>
        <v>9012.5866736443259</v>
      </c>
      <c r="Z78">
        <f>VLOOKUP($C78,'2017 Seattle Tracts Conc'!$BA$3:$BT$95,Z$1-3,FALSE)</f>
        <v>2584.4989058082665</v>
      </c>
      <c r="AA78">
        <f>VLOOKUP($C78,'2017 Seattle Tracts Conc'!$BA$3:$BT$95,AA$1-3,FALSE)</f>
        <v>7488.7947083327726</v>
      </c>
      <c r="AB78">
        <f>VLOOKUP($C78,'2017 Seattle Tracts Conc'!$BA$3:$BT$95,AB$1-3,FALSE)</f>
        <v>894.54630827794335</v>
      </c>
      <c r="AC78">
        <f>VLOOKUP($C78,'2017 Seattle Tracts Conc'!$BA$3:$BT$95,AC$1-3,FALSE)</f>
        <v>260.61524972041639</v>
      </c>
      <c r="AD78">
        <f>VLOOKUP($C78,'2017 Seattle Tracts Conc'!$BA$3:$BT$95,AD$1-3,FALSE)</f>
        <v>125.9833194214642</v>
      </c>
      <c r="AE78">
        <f>VLOOKUP($C78,'2017 Seattle Tracts Conc'!$BA$3:$BT$95,AE$1-3,FALSE)</f>
        <v>219.916830599647</v>
      </c>
      <c r="AF78">
        <f>VLOOKUP($C78,'2017 Seattle Tracts Conc'!$BA$3:$BT$95,AF$1-3,FALSE)</f>
        <v>39.43166606131625</v>
      </c>
      <c r="AG78">
        <f>VLOOKUP($C78,'2017 Seattle Tracts Conc'!$BA$3:$BT$95,AG$1-3,FALSE)</f>
        <v>61.318353919705451</v>
      </c>
      <c r="AH78">
        <f>VLOOKUP($C78,'2017 Seattle Tracts Conc'!$BA$3:$BT$95,AH$1-3,FALSE)</f>
        <v>0</v>
      </c>
      <c r="AI78">
        <f>VLOOKUP($C78,'2017 Seattle Tracts Conc'!$BA$3:$BT$95,AI$1-3,FALSE)</f>
        <v>414.0052894862211</v>
      </c>
      <c r="AJ78">
        <f>VLOOKUP($C78,'2017 Seattle Tracts Conc'!$BA$3:$BT$95,AJ$1-3,FALSE)</f>
        <v>1160.7222898698774</v>
      </c>
      <c r="AK78">
        <f>VLOOKUP($C78,'2017 Seattle Tracts Conc'!$BA$3:$BT$95,AK$1-3,FALSE)</f>
        <v>51.621616546616316</v>
      </c>
      <c r="AL78">
        <f>VLOOKUP($C78,'2017 Seattle Tracts Conc'!$BA$3:$BT$95,AL$1-3,FALSE)</f>
        <v>1.9160818093114776E-2</v>
      </c>
      <c r="AM78">
        <f>VLOOKUP($C78,'2017 Seattle Tracts Conc'!$BA$3:$BT$95,AM$1-3,FALSE)</f>
        <v>18.513961481825937</v>
      </c>
      <c r="AN78">
        <f>VLOOKUP($C78,'2017 Seattle Tracts Conc'!$BA$3:$BT$95,AN$1-3,FALSE)</f>
        <v>206.42014636885142</v>
      </c>
      <c r="AO78">
        <f>VLOOKUP($C78,'2017 Seattle Tracts Conc'!$BA$3:$BT$95,AO$1-3,FALSE)</f>
        <v>497.80066355712131</v>
      </c>
      <c r="AP78">
        <f>VLOOKUP($C78,'2017 Seattle Tracts Conc'!$BA$3:$BT$95,AP$1-3,FALSE)</f>
        <v>157.37601499072048</v>
      </c>
    </row>
    <row r="79" spans="1:42" x14ac:dyDescent="0.25">
      <c r="A79">
        <v>140</v>
      </c>
      <c r="B79" t="s">
        <v>2495</v>
      </c>
      <c r="C79" t="s">
        <v>139</v>
      </c>
      <c r="D79" t="s">
        <v>136</v>
      </c>
      <c r="E79">
        <f>VLOOKUP($C79,'2000 Seattle Tracts Conc'!$AZ$3:$BS$94,E$1,FALSE)</f>
        <v>9881.1579865341955</v>
      </c>
      <c r="F79">
        <f>VLOOKUP($C79,'2000 Seattle Tracts Conc'!$AZ$3:$BS$94,F$1,FALSE)</f>
        <v>8895.4763020681257</v>
      </c>
      <c r="G79">
        <f>VLOOKUP($C79,'2000 Seattle Tracts Conc'!$AZ$3:$BS$94,G$1,FALSE)</f>
        <v>985.68168446607035</v>
      </c>
      <c r="H79">
        <f>VLOOKUP($C79,'2000 Seattle Tracts Conc'!$AZ$3:$BS$94,H$1,FALSE)</f>
        <v>8110.4140184045027</v>
      </c>
      <c r="I79">
        <f>VLOOKUP($C79,'2000 Seattle Tracts Conc'!$AZ$3:$BS$94,I$1,FALSE)</f>
        <v>534.16308936546022</v>
      </c>
      <c r="J79">
        <f>VLOOKUP($C79,'2000 Seattle Tracts Conc'!$AZ$3:$BS$94,J$1,FALSE)</f>
        <v>124.9880818561401</v>
      </c>
      <c r="K79">
        <f>VLOOKUP($C79,'2000 Seattle Tracts Conc'!$AZ$3:$BS$94,K$1,FALSE)</f>
        <v>38.627432468417858</v>
      </c>
      <c r="L79">
        <f>VLOOKUP($C79,'2000 Seattle Tracts Conc'!$AZ$3:$BS$94,L$1,FALSE)</f>
        <v>95.177544667464616</v>
      </c>
      <c r="M79">
        <f>VLOOKUP($C79,'2000 Seattle Tracts Conc'!$AZ$3:$BS$94,M$1,FALSE)</f>
        <v>0.74719777504967233</v>
      </c>
      <c r="N79">
        <f>VLOOKUP($C79,'2000 Seattle Tracts Conc'!$AZ$3:$BS$94,N$1,FALSE)</f>
        <v>85.717569307476552</v>
      </c>
      <c r="O79">
        <f>VLOOKUP($C79,'2000 Seattle Tracts Conc'!$AZ$3:$BS$94,O$1,FALSE)</f>
        <v>4.2790648820175932</v>
      </c>
      <c r="P79">
        <f>VLOOKUP($C79,'2000 Seattle Tracts Conc'!$AZ$3:$BS$94,P$1,FALSE)</f>
        <v>188.78034084518049</v>
      </c>
      <c r="Q79">
        <f>VLOOKUP($C79,'2000 Seattle Tracts Conc'!$AZ$3:$BS$94,Q$1,FALSE)</f>
        <v>329.78757536066797</v>
      </c>
      <c r="R79">
        <f>VLOOKUP($C79,'2000 Seattle Tracts Conc'!$AZ$3:$BS$94,R$1,FALSE)</f>
        <v>0.21447976425177442</v>
      </c>
      <c r="S79">
        <f>VLOOKUP($C79,'2000 Seattle Tracts Conc'!$AZ$3:$BS$94,S$1,FALSE)</f>
        <v>28.287869604886509</v>
      </c>
      <c r="T79">
        <f>VLOOKUP($C79,'2000 Seattle Tracts Conc'!$AZ$3:$BS$94,T$1,FALSE)</f>
        <v>24.286547939290891</v>
      </c>
      <c r="U79">
        <f>VLOOKUP($C79,'2000 Seattle Tracts Conc'!$AZ$3:$BS$94,U$1,FALSE)</f>
        <v>20.607847162267809</v>
      </c>
      <c r="V79">
        <f>VLOOKUP($C79,'2000 Seattle Tracts Conc'!$AZ$3:$BS$94,V$1,FALSE)</f>
        <v>265.89771928381737</v>
      </c>
      <c r="W79">
        <f>VLOOKUP($C79,'2000 Seattle Tracts Conc'!$AZ$3:$BS$94,W$1,FALSE)</f>
        <v>29.181607847302676</v>
      </c>
      <c r="X79" s="4">
        <f>VLOOKUP($C79,'2017 Seattle Tracts Conc'!$BA$3:$BT$95,X$1-3,FALSE)</f>
        <v>11839.733552850048</v>
      </c>
      <c r="Y79">
        <f>VLOOKUP($C79,'2017 Seattle Tracts Conc'!$BA$3:$BT$95,Y$1-3,FALSE)</f>
        <v>10234.914616792208</v>
      </c>
      <c r="Z79">
        <f>VLOOKUP($C79,'2017 Seattle Tracts Conc'!$BA$3:$BT$95,Z$1-3,FALSE)</f>
        <v>1604.8189360578372</v>
      </c>
      <c r="AA79">
        <f>VLOOKUP($C79,'2017 Seattle Tracts Conc'!$BA$3:$BT$95,AA$1-3,FALSE)</f>
        <v>8439.1384814315243</v>
      </c>
      <c r="AB79">
        <f>VLOOKUP($C79,'2017 Seattle Tracts Conc'!$BA$3:$BT$95,AB$1-3,FALSE)</f>
        <v>927.10738187028051</v>
      </c>
      <c r="AC79">
        <f>VLOOKUP($C79,'2017 Seattle Tracts Conc'!$BA$3:$BT$95,AC$1-3,FALSE)</f>
        <v>154.9750026519244</v>
      </c>
      <c r="AD79">
        <f>VLOOKUP($C79,'2017 Seattle Tracts Conc'!$BA$3:$BT$95,AD$1-3,FALSE)</f>
        <v>48.201244067546234</v>
      </c>
      <c r="AE79">
        <f>VLOOKUP($C79,'2017 Seattle Tracts Conc'!$BA$3:$BT$95,AE$1-3,FALSE)</f>
        <v>205.55786142974316</v>
      </c>
      <c r="AF79">
        <f>VLOOKUP($C79,'2017 Seattle Tracts Conc'!$BA$3:$BT$95,AF$1-3,FALSE)</f>
        <v>20.704605017199512</v>
      </c>
      <c r="AG79">
        <f>VLOOKUP($C79,'2017 Seattle Tracts Conc'!$BA$3:$BT$95,AG$1-3,FALSE)</f>
        <v>123.83535951033767</v>
      </c>
      <c r="AH79">
        <f>VLOOKUP($C79,'2017 Seattle Tracts Conc'!$BA$3:$BT$95,AH$1-3,FALSE)</f>
        <v>0</v>
      </c>
      <c r="AI79">
        <f>VLOOKUP($C79,'2017 Seattle Tracts Conc'!$BA$3:$BT$95,AI$1-3,FALSE)</f>
        <v>458.11900659555431</v>
      </c>
      <c r="AJ79">
        <f>VLOOKUP($C79,'2017 Seattle Tracts Conc'!$BA$3:$BT$95,AJ$1-3,FALSE)</f>
        <v>449.60225132908772</v>
      </c>
      <c r="AK79">
        <f>VLOOKUP($C79,'2017 Seattle Tracts Conc'!$BA$3:$BT$95,AK$1-3,FALSE)</f>
        <v>0.6112954017809008</v>
      </c>
      <c r="AL79">
        <f>VLOOKUP($C79,'2017 Seattle Tracts Conc'!$BA$3:$BT$95,AL$1-3,FALSE)</f>
        <v>0.58981921755321332</v>
      </c>
      <c r="AM79">
        <f>VLOOKUP($C79,'2017 Seattle Tracts Conc'!$BA$3:$BT$95,AM$1-3,FALSE)</f>
        <v>76.008377350355062</v>
      </c>
      <c r="AN79">
        <f>VLOOKUP($C79,'2017 Seattle Tracts Conc'!$BA$3:$BT$95,AN$1-3,FALSE)</f>
        <v>81.18184761330366</v>
      </c>
      <c r="AO79">
        <f>VLOOKUP($C79,'2017 Seattle Tracts Conc'!$BA$3:$BT$95,AO$1-3,FALSE)</f>
        <v>776.6692324209896</v>
      </c>
      <c r="AP79">
        <f>VLOOKUP($C79,'2017 Seattle Tracts Conc'!$BA$3:$BT$95,AP$1-3,FALSE)</f>
        <v>77.431786942866466</v>
      </c>
    </row>
    <row r="80" spans="1:42" x14ac:dyDescent="0.25">
      <c r="A80">
        <v>202</v>
      </c>
      <c r="B80" t="s">
        <v>2495</v>
      </c>
      <c r="C80" t="s">
        <v>140</v>
      </c>
      <c r="D80" t="s">
        <v>141</v>
      </c>
      <c r="E80">
        <f>VLOOKUP($C80,'2000 Seattle Tracts Conc'!$AZ$3:$BS$94,E$1,FALSE)</f>
        <v>1411.7586904647915</v>
      </c>
      <c r="F80">
        <f>VLOOKUP($C80,'2000 Seattle Tracts Conc'!$AZ$3:$BS$94,F$1,FALSE)</f>
        <v>1217.1868477067894</v>
      </c>
      <c r="G80">
        <f>VLOOKUP($C80,'2000 Seattle Tracts Conc'!$AZ$3:$BS$94,G$1,FALSE)</f>
        <v>194.57184275800213</v>
      </c>
      <c r="H80">
        <f>VLOOKUP($C80,'2000 Seattle Tracts Conc'!$AZ$3:$BS$94,H$1,FALSE)</f>
        <v>1071.5206379493688</v>
      </c>
      <c r="I80">
        <f>VLOOKUP($C80,'2000 Seattle Tracts Conc'!$AZ$3:$BS$94,I$1,FALSE)</f>
        <v>120.94662527440417</v>
      </c>
      <c r="J80">
        <f>VLOOKUP($C80,'2000 Seattle Tracts Conc'!$AZ$3:$BS$94,J$1,FALSE)</f>
        <v>20.508777392487314</v>
      </c>
      <c r="K80">
        <f>VLOOKUP($C80,'2000 Seattle Tracts Conc'!$AZ$3:$BS$94,K$1,FALSE)</f>
        <v>8.938484999817689</v>
      </c>
      <c r="L80">
        <f>VLOOKUP($C80,'2000 Seattle Tracts Conc'!$AZ$3:$BS$94,L$1,FALSE)</f>
        <v>12.885278093726985</v>
      </c>
      <c r="M80">
        <f>VLOOKUP($C80,'2000 Seattle Tracts Conc'!$AZ$3:$BS$94,M$1,FALSE)</f>
        <v>3.1546098739932571</v>
      </c>
      <c r="N80">
        <f>VLOOKUP($C80,'2000 Seattle Tracts Conc'!$AZ$3:$BS$94,N$1,FALSE)</f>
        <v>9.4693375941914208</v>
      </c>
      <c r="O80">
        <f>VLOOKUP($C80,'2000 Seattle Tracts Conc'!$AZ$3:$BS$94,O$1,FALSE)</f>
        <v>4.9430519848143897E-4</v>
      </c>
      <c r="P80">
        <f>VLOOKUP($C80,'2000 Seattle Tracts Conc'!$AZ$3:$BS$94,P$1,FALSE)</f>
        <v>38.651456149422984</v>
      </c>
      <c r="Q80">
        <f>VLOOKUP($C80,'2000 Seattle Tracts Conc'!$AZ$3:$BS$94,Q$1,FALSE)</f>
        <v>53.113333029863043</v>
      </c>
      <c r="R80">
        <f>VLOOKUP($C80,'2000 Seattle Tracts Conc'!$AZ$3:$BS$94,R$1,FALSE)</f>
        <v>2.1030732493288382</v>
      </c>
      <c r="S80">
        <f>VLOOKUP($C80,'2000 Seattle Tracts Conc'!$AZ$3:$BS$94,S$1,FALSE)</f>
        <v>3.1555984843902198</v>
      </c>
      <c r="T80">
        <f>VLOOKUP($C80,'2000 Seattle Tracts Conc'!$AZ$3:$BS$94,T$1,FALSE)</f>
        <v>7.6261826698377995</v>
      </c>
      <c r="U80">
        <f>VLOOKUP($C80,'2000 Seattle Tracts Conc'!$AZ$3:$BS$94,U$1,FALSE)</f>
        <v>2.6310306275400372</v>
      </c>
      <c r="V80">
        <f>VLOOKUP($C80,'2000 Seattle Tracts Conc'!$AZ$3:$BS$94,V$1,FALSE)</f>
        <v>54.422104608425208</v>
      </c>
      <c r="W80">
        <f>VLOOKUP($C80,'2000 Seattle Tracts Conc'!$AZ$3:$BS$94,W$1,FALSE)</f>
        <v>2.6316661627952276</v>
      </c>
      <c r="X80" s="4">
        <f>VLOOKUP($C80,'2017 Seattle Tracts Conc'!$BA$3:$BT$95,X$1-3,FALSE)</f>
        <v>2284.3460562701857</v>
      </c>
      <c r="Y80">
        <f>VLOOKUP($C80,'2017 Seattle Tracts Conc'!$BA$3:$BT$95,Y$1-3,FALSE)</f>
        <v>1607.0931989890371</v>
      </c>
      <c r="Z80">
        <f>VLOOKUP($C80,'2017 Seattle Tracts Conc'!$BA$3:$BT$95,Z$1-3,FALSE)</f>
        <v>677.25285728114852</v>
      </c>
      <c r="AA80">
        <f>VLOOKUP($C80,'2017 Seattle Tracts Conc'!$BA$3:$BT$95,AA$1-3,FALSE)</f>
        <v>1378.8466216695001</v>
      </c>
      <c r="AB80">
        <f>VLOOKUP($C80,'2017 Seattle Tracts Conc'!$BA$3:$BT$95,AB$1-3,FALSE)</f>
        <v>189.58389340075956</v>
      </c>
      <c r="AC80">
        <f>VLOOKUP($C80,'2017 Seattle Tracts Conc'!$BA$3:$BT$95,AC$1-3,FALSE)</f>
        <v>24.190709103656594</v>
      </c>
      <c r="AD80">
        <f>VLOOKUP($C80,'2017 Seattle Tracts Conc'!$BA$3:$BT$95,AD$1-3,FALSE)</f>
        <v>7.3632985109338076</v>
      </c>
      <c r="AE80">
        <f>VLOOKUP($C80,'2017 Seattle Tracts Conc'!$BA$3:$BT$95,AE$1-3,FALSE)</f>
        <v>19.981455547097632</v>
      </c>
      <c r="AF80">
        <f>VLOOKUP($C80,'2017 Seattle Tracts Conc'!$BA$3:$BT$95,AF$1-3,FALSE)</f>
        <v>0</v>
      </c>
      <c r="AG80">
        <f>VLOOKUP($C80,'2017 Seattle Tracts Conc'!$BA$3:$BT$95,AG$1-3,FALSE)</f>
        <v>5.0069447389519466</v>
      </c>
      <c r="AH80">
        <f>VLOOKUP($C80,'2017 Seattle Tracts Conc'!$BA$3:$BT$95,AH$1-3,FALSE)</f>
        <v>0</v>
      </c>
      <c r="AI80">
        <f>VLOOKUP($C80,'2017 Seattle Tracts Conc'!$BA$3:$BT$95,AI$1-3,FALSE)</f>
        <v>81.243491257026932</v>
      </c>
      <c r="AJ80">
        <f>VLOOKUP($C80,'2017 Seattle Tracts Conc'!$BA$3:$BT$95,AJ$1-3,FALSE)</f>
        <v>433.24452898401358</v>
      </c>
      <c r="AK80">
        <f>VLOOKUP($C80,'2017 Seattle Tracts Conc'!$BA$3:$BT$95,AK$1-3,FALSE)</f>
        <v>7.0614952302064461E-5</v>
      </c>
      <c r="AL80">
        <f>VLOOKUP($C80,'2017 Seattle Tracts Conc'!$BA$3:$BT$95,AL$1-3,FALSE)</f>
        <v>0</v>
      </c>
      <c r="AM80">
        <f>VLOOKUP($C80,'2017 Seattle Tracts Conc'!$BA$3:$BT$95,AM$1-3,FALSE)</f>
        <v>2.3302934259681273E-3</v>
      </c>
      <c r="AN80">
        <f>VLOOKUP($C80,'2017 Seattle Tracts Conc'!$BA$3:$BT$95,AN$1-3,FALSE)</f>
        <v>1.2004541891350959E-3</v>
      </c>
      <c r="AO80">
        <f>VLOOKUP($C80,'2017 Seattle Tracts Conc'!$BA$3:$BT$95,AO$1-3,FALSE)</f>
        <v>97.821575764425617</v>
      </c>
      <c r="AP80">
        <f>VLOOKUP($C80,'2017 Seattle Tracts Conc'!$BA$3:$BT$95,AP$1-3,FALSE)</f>
        <v>47.059935931252461</v>
      </c>
    </row>
    <row r="81" spans="1:42" x14ac:dyDescent="0.25">
      <c r="A81">
        <v>142</v>
      </c>
      <c r="B81" t="s">
        <v>2495</v>
      </c>
      <c r="C81" t="s">
        <v>142</v>
      </c>
      <c r="D81" t="s">
        <v>141</v>
      </c>
      <c r="E81">
        <f>VLOOKUP($C81,'2000 Seattle Tracts Conc'!$AZ$3:$BS$94,E$1,FALSE)</f>
        <v>2407.2574353733771</v>
      </c>
      <c r="F81">
        <f>VLOOKUP($C81,'2000 Seattle Tracts Conc'!$AZ$3:$BS$94,F$1,FALSE)</f>
        <v>2133.5100571882213</v>
      </c>
      <c r="G81">
        <f>VLOOKUP($C81,'2000 Seattle Tracts Conc'!$AZ$3:$BS$94,G$1,FALSE)</f>
        <v>273.74737818515632</v>
      </c>
      <c r="H81">
        <f>VLOOKUP($C81,'2000 Seattle Tracts Conc'!$AZ$3:$BS$94,H$1,FALSE)</f>
        <v>1910.3026516479094</v>
      </c>
      <c r="I81">
        <f>VLOOKUP($C81,'2000 Seattle Tracts Conc'!$AZ$3:$BS$94,I$1,FALSE)</f>
        <v>123.0733073823217</v>
      </c>
      <c r="J81">
        <f>VLOOKUP($C81,'2000 Seattle Tracts Conc'!$AZ$3:$BS$94,J$1,FALSE)</f>
        <v>41.758940286968155</v>
      </c>
      <c r="K81">
        <f>VLOOKUP($C81,'2000 Seattle Tracts Conc'!$AZ$3:$BS$94,K$1,FALSE)</f>
        <v>14.633390613328189</v>
      </c>
      <c r="L81">
        <f>VLOOKUP($C81,'2000 Seattle Tracts Conc'!$AZ$3:$BS$94,L$1,FALSE)</f>
        <v>36.263385692460631</v>
      </c>
      <c r="M81">
        <f>VLOOKUP($C81,'2000 Seattle Tracts Conc'!$AZ$3:$BS$94,M$1,FALSE)</f>
        <v>3.1537361786527862</v>
      </c>
      <c r="N81">
        <f>VLOOKUP($C81,'2000 Seattle Tracts Conc'!$AZ$3:$BS$94,N$1,FALSE)</f>
        <v>2.7032024388452456</v>
      </c>
      <c r="O81">
        <f>VLOOKUP($C81,'2000 Seattle Tracts Conc'!$AZ$3:$BS$94,O$1,FALSE)</f>
        <v>0</v>
      </c>
      <c r="P81">
        <f>VLOOKUP($C81,'2000 Seattle Tracts Conc'!$AZ$3:$BS$94,P$1,FALSE)</f>
        <v>59.191451202190287</v>
      </c>
      <c r="Q81">
        <f>VLOOKUP($C81,'2000 Seattle Tracts Conc'!$AZ$3:$BS$94,Q$1,FALSE)</f>
        <v>101.06640899722615</v>
      </c>
      <c r="R81">
        <f>VLOOKUP($C81,'2000 Seattle Tracts Conc'!$AZ$3:$BS$94,R$1,FALSE)</f>
        <v>1.3516012194226228</v>
      </c>
      <c r="S81">
        <f>VLOOKUP($C81,'2000 Seattle Tracts Conc'!$AZ$3:$BS$94,S$1,FALSE)</f>
        <v>3.8295367883640976</v>
      </c>
      <c r="T81">
        <f>VLOOKUP($C81,'2000 Seattle Tracts Conc'!$AZ$3:$BS$94,T$1,FALSE)</f>
        <v>13.968733718219006</v>
      </c>
      <c r="U81">
        <f>VLOOKUP($C81,'2000 Seattle Tracts Conc'!$AZ$3:$BS$94,U$1,FALSE)</f>
        <v>14.354592954599008</v>
      </c>
      <c r="V81">
        <f>VLOOKUP($C81,'2000 Seattle Tracts Conc'!$AZ$3:$BS$94,V$1,FALSE)</f>
        <v>67.970090982205676</v>
      </c>
      <c r="W81">
        <f>VLOOKUP($C81,'2000 Seattle Tracts Conc'!$AZ$3:$BS$94,W$1,FALSE)</f>
        <v>13.636405270664415</v>
      </c>
      <c r="X81" s="4">
        <f>VLOOKUP($C81,'2017 Seattle Tracts Conc'!$BA$3:$BT$95,X$1-3,FALSE)</f>
        <v>3032.259831203291</v>
      </c>
      <c r="Y81">
        <f>VLOOKUP($C81,'2017 Seattle Tracts Conc'!$BA$3:$BT$95,Y$1-3,FALSE)</f>
        <v>2617.6631267483808</v>
      </c>
      <c r="Z81">
        <f>VLOOKUP($C81,'2017 Seattle Tracts Conc'!$BA$3:$BT$95,Z$1-3,FALSE)</f>
        <v>414.59670445491014</v>
      </c>
      <c r="AA81">
        <f>VLOOKUP($C81,'2017 Seattle Tracts Conc'!$BA$3:$BT$95,AA$1-3,FALSE)</f>
        <v>2203.5658529398534</v>
      </c>
      <c r="AB81">
        <f>VLOOKUP($C81,'2017 Seattle Tracts Conc'!$BA$3:$BT$95,AB$1-3,FALSE)</f>
        <v>184.68916156032159</v>
      </c>
      <c r="AC81">
        <f>VLOOKUP($C81,'2017 Seattle Tracts Conc'!$BA$3:$BT$95,AC$1-3,FALSE)</f>
        <v>47.334906444822508</v>
      </c>
      <c r="AD81">
        <f>VLOOKUP($C81,'2017 Seattle Tracts Conc'!$BA$3:$BT$95,AD$1-3,FALSE)</f>
        <v>9.2269853048373083</v>
      </c>
      <c r="AE81">
        <f>VLOOKUP($C81,'2017 Seattle Tracts Conc'!$BA$3:$BT$95,AE$1-3,FALSE)</f>
        <v>31.927613680361119</v>
      </c>
      <c r="AF81">
        <f>VLOOKUP($C81,'2017 Seattle Tracts Conc'!$BA$3:$BT$95,AF$1-3,FALSE)</f>
        <v>1.3516034902277145</v>
      </c>
      <c r="AG81">
        <f>VLOOKUP($C81,'2017 Seattle Tracts Conc'!$BA$3:$BT$95,AG$1-3,FALSE)</f>
        <v>5.4398339141160923</v>
      </c>
      <c r="AH81">
        <f>VLOOKUP($C81,'2017 Seattle Tracts Conc'!$BA$3:$BT$95,AH$1-3,FALSE)</f>
        <v>0</v>
      </c>
      <c r="AI81">
        <f>VLOOKUP($C81,'2017 Seattle Tracts Conc'!$BA$3:$BT$95,AI$1-3,FALSE)</f>
        <v>165.9028600702909</v>
      </c>
      <c r="AJ81">
        <f>VLOOKUP($C81,'2017 Seattle Tracts Conc'!$BA$3:$BT$95,AJ$1-3,FALSE)</f>
        <v>174.37389563318581</v>
      </c>
      <c r="AK81">
        <f>VLOOKUP($C81,'2017 Seattle Tracts Conc'!$BA$3:$BT$95,AK$1-3,FALSE)</f>
        <v>0</v>
      </c>
      <c r="AL81">
        <f>VLOOKUP($C81,'2017 Seattle Tracts Conc'!$BA$3:$BT$95,AL$1-3,FALSE)</f>
        <v>19.056128676008939</v>
      </c>
      <c r="AM81">
        <f>VLOOKUP($C81,'2017 Seattle Tracts Conc'!$BA$3:$BT$95,AM$1-3,FALSE)</f>
        <v>7.3066437014805068</v>
      </c>
      <c r="AN81">
        <f>VLOOKUP($C81,'2017 Seattle Tracts Conc'!$BA$3:$BT$95,AN$1-3,FALSE)</f>
        <v>0.45053449674257151</v>
      </c>
      <c r="AO81">
        <f>VLOOKUP($C81,'2017 Seattle Tracts Conc'!$BA$3:$BT$95,AO$1-3,FALSE)</f>
        <v>156.1854159974568</v>
      </c>
      <c r="AP81">
        <f>VLOOKUP($C81,'2017 Seattle Tracts Conc'!$BA$3:$BT$95,AP$1-3,FALSE)</f>
        <v>25.44839529358622</v>
      </c>
    </row>
    <row r="82" spans="1:42" x14ac:dyDescent="0.25">
      <c r="A82">
        <v>200</v>
      </c>
      <c r="B82" t="s">
        <v>2495</v>
      </c>
      <c r="C82" t="s">
        <v>143</v>
      </c>
      <c r="D82" t="s">
        <v>141</v>
      </c>
      <c r="E82">
        <f>VLOOKUP($C82,'2000 Seattle Tracts Conc'!$AZ$3:$BS$94,E$1,FALSE)</f>
        <v>4116.6989002938844</v>
      </c>
      <c r="F82">
        <f>VLOOKUP($C82,'2000 Seattle Tracts Conc'!$AZ$3:$BS$94,F$1,FALSE)</f>
        <v>3520.1975722367388</v>
      </c>
      <c r="G82">
        <f>VLOOKUP($C82,'2000 Seattle Tracts Conc'!$AZ$3:$BS$94,G$1,FALSE)</f>
        <v>596.50132805714668</v>
      </c>
      <c r="H82">
        <f>VLOOKUP($C82,'2000 Seattle Tracts Conc'!$AZ$3:$BS$94,H$1,FALSE)</f>
        <v>2786.5146064079868</v>
      </c>
      <c r="I82">
        <f>VLOOKUP($C82,'2000 Seattle Tracts Conc'!$AZ$3:$BS$94,I$1,FALSE)</f>
        <v>195.64616577261589</v>
      </c>
      <c r="J82">
        <f>VLOOKUP($C82,'2000 Seattle Tracts Conc'!$AZ$3:$BS$94,J$1,FALSE)</f>
        <v>28.162907306994619</v>
      </c>
      <c r="K82">
        <f>VLOOKUP($C82,'2000 Seattle Tracts Conc'!$AZ$3:$BS$94,K$1,FALSE)</f>
        <v>34.582109456096383</v>
      </c>
      <c r="L82">
        <f>VLOOKUP($C82,'2000 Seattle Tracts Conc'!$AZ$3:$BS$94,L$1,FALSE)</f>
        <v>273.12464736681699</v>
      </c>
      <c r="M82">
        <f>VLOOKUP($C82,'2000 Seattle Tracts Conc'!$AZ$3:$BS$94,M$1,FALSE)</f>
        <v>51.956397904018374</v>
      </c>
      <c r="N82">
        <f>VLOOKUP($C82,'2000 Seattle Tracts Conc'!$AZ$3:$BS$94,N$1,FALSE)</f>
        <v>72.378361576209073</v>
      </c>
      <c r="O82">
        <f>VLOOKUP($C82,'2000 Seattle Tracts Conc'!$AZ$3:$BS$94,O$1,FALSE)</f>
        <v>14.208122256002286</v>
      </c>
      <c r="P82">
        <f>VLOOKUP($C82,'2000 Seattle Tracts Conc'!$AZ$3:$BS$94,P$1,FALSE)</f>
        <v>114.05946929817725</v>
      </c>
      <c r="Q82">
        <f>VLOOKUP($C82,'2000 Seattle Tracts Conc'!$AZ$3:$BS$94,Q$1,FALSE)</f>
        <v>220.64017275288251</v>
      </c>
      <c r="R82">
        <f>VLOOKUP($C82,'2000 Seattle Tracts Conc'!$AZ$3:$BS$94,R$1,FALSE)</f>
        <v>8.5479164705573005</v>
      </c>
      <c r="S82">
        <f>VLOOKUP($C82,'2000 Seattle Tracts Conc'!$AZ$3:$BS$94,S$1,FALSE)</f>
        <v>7.4568614679203717</v>
      </c>
      <c r="T82">
        <f>VLOOKUP($C82,'2000 Seattle Tracts Conc'!$AZ$3:$BS$94,T$1,FALSE)</f>
        <v>83.728591919597534</v>
      </c>
      <c r="U82">
        <f>VLOOKUP($C82,'2000 Seattle Tracts Conc'!$AZ$3:$BS$94,U$1,FALSE)</f>
        <v>35.488971993585999</v>
      </c>
      <c r="V82">
        <f>VLOOKUP($C82,'2000 Seattle Tracts Conc'!$AZ$3:$BS$94,V$1,FALSE)</f>
        <v>153.6810718903987</v>
      </c>
      <c r="W82">
        <f>VLOOKUP($C82,'2000 Seattle Tracts Conc'!$AZ$3:$BS$94,W$1,FALSE)</f>
        <v>36.522526454024955</v>
      </c>
      <c r="X82" s="4">
        <f>VLOOKUP($C82,'2017 Seattle Tracts Conc'!$BA$3:$BT$95,X$1-3,FALSE)</f>
        <v>10076.874512393893</v>
      </c>
      <c r="Y82">
        <f>VLOOKUP($C82,'2017 Seattle Tracts Conc'!$BA$3:$BT$95,Y$1-3,FALSE)</f>
        <v>7234.9193638901479</v>
      </c>
      <c r="Z82">
        <f>VLOOKUP($C82,'2017 Seattle Tracts Conc'!$BA$3:$BT$95,Z$1-3,FALSE)</f>
        <v>2841.9551485037455</v>
      </c>
      <c r="AA82">
        <f>VLOOKUP($C82,'2017 Seattle Tracts Conc'!$BA$3:$BT$95,AA$1-3,FALSE)</f>
        <v>5338.4532233017471</v>
      </c>
      <c r="AB82">
        <f>VLOOKUP($C82,'2017 Seattle Tracts Conc'!$BA$3:$BT$95,AB$1-3,FALSE)</f>
        <v>720.92217174257632</v>
      </c>
      <c r="AC82">
        <f>VLOOKUP($C82,'2017 Seattle Tracts Conc'!$BA$3:$BT$95,AC$1-3,FALSE)</f>
        <v>335.56137171582242</v>
      </c>
      <c r="AD82">
        <f>VLOOKUP($C82,'2017 Seattle Tracts Conc'!$BA$3:$BT$95,AD$1-3,FALSE)</f>
        <v>217.83342169388587</v>
      </c>
      <c r="AE82">
        <f>VLOOKUP($C82,'2017 Seattle Tracts Conc'!$BA$3:$BT$95,AE$1-3,FALSE)</f>
        <v>425.76351476859946</v>
      </c>
      <c r="AF82">
        <f>VLOOKUP($C82,'2017 Seattle Tracts Conc'!$BA$3:$BT$95,AF$1-3,FALSE)</f>
        <v>195.14850188067751</v>
      </c>
      <c r="AG82">
        <f>VLOOKUP($C82,'2017 Seattle Tracts Conc'!$BA$3:$BT$95,AG$1-3,FALSE)</f>
        <v>55.310821359887761</v>
      </c>
      <c r="AH82">
        <f>VLOOKUP($C82,'2017 Seattle Tracts Conc'!$BA$3:$BT$95,AH$1-3,FALSE)</f>
        <v>0</v>
      </c>
      <c r="AI82">
        <f>VLOOKUP($C82,'2017 Seattle Tracts Conc'!$BA$3:$BT$95,AI$1-3,FALSE)</f>
        <v>425.84635884473425</v>
      </c>
      <c r="AJ82">
        <f>VLOOKUP($C82,'2017 Seattle Tracts Conc'!$BA$3:$BT$95,AJ$1-3,FALSE)</f>
        <v>1361.7366545225232</v>
      </c>
      <c r="AK82">
        <f>VLOOKUP($C82,'2017 Seattle Tracts Conc'!$BA$3:$BT$95,AK$1-3,FALSE)</f>
        <v>37.771328783652258</v>
      </c>
      <c r="AL82">
        <f>VLOOKUP($C82,'2017 Seattle Tracts Conc'!$BA$3:$BT$95,AL$1-3,FALSE)</f>
        <v>0</v>
      </c>
      <c r="AM82">
        <f>VLOOKUP($C82,'2017 Seattle Tracts Conc'!$BA$3:$BT$95,AM$1-3,FALSE)</f>
        <v>49.29383844782835</v>
      </c>
      <c r="AN82">
        <f>VLOOKUP($C82,'2017 Seattle Tracts Conc'!$BA$3:$BT$95,AN$1-3,FALSE)</f>
        <v>99.674009310786772</v>
      </c>
      <c r="AO82">
        <f>VLOOKUP($C82,'2017 Seattle Tracts Conc'!$BA$3:$BT$95,AO$1-3,FALSE)</f>
        <v>566.91890666787549</v>
      </c>
      <c r="AP82">
        <f>VLOOKUP($C82,'2017 Seattle Tracts Conc'!$BA$3:$BT$95,AP$1-3,FALSE)</f>
        <v>246.64038935329592</v>
      </c>
    </row>
    <row r="83" spans="1:42" x14ac:dyDescent="0.25">
      <c r="A83">
        <v>134</v>
      </c>
      <c r="B83" t="s">
        <v>2495</v>
      </c>
      <c r="C83" t="s">
        <v>144</v>
      </c>
      <c r="D83" t="s">
        <v>145</v>
      </c>
      <c r="E83">
        <f>VLOOKUP($C83,'2000 Seattle Tracts Conc'!$AZ$3:$BS$94,E$1,FALSE)</f>
        <v>7335.5324754290714</v>
      </c>
      <c r="F83">
        <f>VLOOKUP($C83,'2000 Seattle Tracts Conc'!$AZ$3:$BS$94,F$1,FALSE)</f>
        <v>6324.6439706612464</v>
      </c>
      <c r="G83">
        <f>VLOOKUP($C83,'2000 Seattle Tracts Conc'!$AZ$3:$BS$94,G$1,FALSE)</f>
        <v>1010.888504767824</v>
      </c>
      <c r="H83">
        <f>VLOOKUP($C83,'2000 Seattle Tracts Conc'!$AZ$3:$BS$94,H$1,FALSE)</f>
        <v>5602.4753816232369</v>
      </c>
      <c r="I83">
        <f>VLOOKUP($C83,'2000 Seattle Tracts Conc'!$AZ$3:$BS$94,I$1,FALSE)</f>
        <v>513.29974820408529</v>
      </c>
      <c r="J83">
        <f>VLOOKUP($C83,'2000 Seattle Tracts Conc'!$AZ$3:$BS$94,J$1,FALSE)</f>
        <v>93.034932119667957</v>
      </c>
      <c r="K83">
        <f>VLOOKUP($C83,'2000 Seattle Tracts Conc'!$AZ$3:$BS$94,K$1,FALSE)</f>
        <v>47.108870305698744</v>
      </c>
      <c r="L83">
        <f>VLOOKUP($C83,'2000 Seattle Tracts Conc'!$AZ$3:$BS$94,L$1,FALSE)</f>
        <v>134.20432310481107</v>
      </c>
      <c r="M83">
        <f>VLOOKUP($C83,'2000 Seattle Tracts Conc'!$AZ$3:$BS$94,M$1,FALSE)</f>
        <v>29.452729942279632</v>
      </c>
      <c r="N83">
        <f>VLOOKUP($C83,'2000 Seattle Tracts Conc'!$AZ$3:$BS$94,N$1,FALSE)</f>
        <v>46.450017480757936</v>
      </c>
      <c r="O83">
        <f>VLOOKUP($C83,'2000 Seattle Tracts Conc'!$AZ$3:$BS$94,O$1,FALSE)</f>
        <v>9.2456854744756942</v>
      </c>
      <c r="P83">
        <f>VLOOKUP($C83,'2000 Seattle Tracts Conc'!$AZ$3:$BS$94,P$1,FALSE)</f>
        <v>173.13520768954476</v>
      </c>
      <c r="Q83">
        <f>VLOOKUP($C83,'2000 Seattle Tracts Conc'!$AZ$3:$BS$94,Q$1,FALSE)</f>
        <v>341.08615879027496</v>
      </c>
      <c r="R83">
        <f>VLOOKUP($C83,'2000 Seattle Tracts Conc'!$AZ$3:$BS$94,R$1,FALSE)</f>
        <v>5.8889337669700303</v>
      </c>
      <c r="S83">
        <f>VLOOKUP($C83,'2000 Seattle Tracts Conc'!$AZ$3:$BS$94,S$1,FALSE)</f>
        <v>39.83727183369021</v>
      </c>
      <c r="T83">
        <f>VLOOKUP($C83,'2000 Seattle Tracts Conc'!$AZ$3:$BS$94,T$1,FALSE)</f>
        <v>91.805170331099646</v>
      </c>
      <c r="U83">
        <f>VLOOKUP($C83,'2000 Seattle Tracts Conc'!$AZ$3:$BS$94,U$1,FALSE)</f>
        <v>15.668980469700971</v>
      </c>
      <c r="V83">
        <f>VLOOKUP($C83,'2000 Seattle Tracts Conc'!$AZ$3:$BS$94,V$1,FALSE)</f>
        <v>177.65000454515979</v>
      </c>
      <c r="W83">
        <f>VLOOKUP($C83,'2000 Seattle Tracts Conc'!$AZ$3:$BS$94,W$1,FALSE)</f>
        <v>15.189059747618579</v>
      </c>
      <c r="X83" s="4">
        <f>VLOOKUP($C83,'2017 Seattle Tracts Conc'!$BA$3:$BT$95,X$1-3,FALSE)</f>
        <v>8435.2773166039151</v>
      </c>
      <c r="Y83">
        <f>VLOOKUP($C83,'2017 Seattle Tracts Conc'!$BA$3:$BT$95,Y$1-3,FALSE)</f>
        <v>7237.9232234394813</v>
      </c>
      <c r="Z83">
        <f>VLOOKUP($C83,'2017 Seattle Tracts Conc'!$BA$3:$BT$95,Z$1-3,FALSE)</f>
        <v>1197.3540931644357</v>
      </c>
      <c r="AA83">
        <f>VLOOKUP($C83,'2017 Seattle Tracts Conc'!$BA$3:$BT$95,AA$1-3,FALSE)</f>
        <v>6146.2311022926142</v>
      </c>
      <c r="AB83">
        <f>VLOOKUP($C83,'2017 Seattle Tracts Conc'!$BA$3:$BT$95,AB$1-3,FALSE)</f>
        <v>514.62301057605157</v>
      </c>
      <c r="AC83">
        <f>VLOOKUP($C83,'2017 Seattle Tracts Conc'!$BA$3:$BT$95,AC$1-3,FALSE)</f>
        <v>337.7798166707197</v>
      </c>
      <c r="AD83">
        <f>VLOOKUP($C83,'2017 Seattle Tracts Conc'!$BA$3:$BT$95,AD$1-3,FALSE)</f>
        <v>50.85247899102901</v>
      </c>
      <c r="AE83">
        <f>VLOOKUP($C83,'2017 Seattle Tracts Conc'!$BA$3:$BT$95,AE$1-3,FALSE)</f>
        <v>166.8830114328556</v>
      </c>
      <c r="AF83">
        <f>VLOOKUP($C83,'2017 Seattle Tracts Conc'!$BA$3:$BT$95,AF$1-3,FALSE)</f>
        <v>95.308269496196374</v>
      </c>
      <c r="AG83">
        <f>VLOOKUP($C83,'2017 Seattle Tracts Conc'!$BA$3:$BT$95,AG$1-3,FALSE)</f>
        <v>46.261160716388432</v>
      </c>
      <c r="AH83">
        <f>VLOOKUP($C83,'2017 Seattle Tracts Conc'!$BA$3:$BT$95,AH$1-3,FALSE)</f>
        <v>1.1902241092384393E-2</v>
      </c>
      <c r="AI83">
        <f>VLOOKUP($C83,'2017 Seattle Tracts Conc'!$BA$3:$BT$95,AI$1-3,FALSE)</f>
        <v>183.71879152006773</v>
      </c>
      <c r="AJ83">
        <f>VLOOKUP($C83,'2017 Seattle Tracts Conc'!$BA$3:$BT$95,AJ$1-3,FALSE)</f>
        <v>479.11937355966847</v>
      </c>
      <c r="AK83">
        <f>VLOOKUP($C83,'2017 Seattle Tracts Conc'!$BA$3:$BT$95,AK$1-3,FALSE)</f>
        <v>2.1572811979946711E-2</v>
      </c>
      <c r="AL83">
        <f>VLOOKUP($C83,'2017 Seattle Tracts Conc'!$BA$3:$BT$95,AL$1-3,FALSE)</f>
        <v>3.0797890862871956E-2</v>
      </c>
      <c r="AM83">
        <f>VLOOKUP($C83,'2017 Seattle Tracts Conc'!$BA$3:$BT$95,AM$1-3,FALSE)</f>
        <v>29.468230696445339</v>
      </c>
      <c r="AN83">
        <f>VLOOKUP($C83,'2017 Seattle Tracts Conc'!$BA$3:$BT$95,AN$1-3,FALSE)</f>
        <v>14.43587984443788</v>
      </c>
      <c r="AO83">
        <f>VLOOKUP($C83,'2017 Seattle Tracts Conc'!$BA$3:$BT$95,AO$1-3,FALSE)</f>
        <v>327.55953729841093</v>
      </c>
      <c r="AP83">
        <f>VLOOKUP($C83,'2017 Seattle Tracts Conc'!$BA$3:$BT$95,AP$1-3,FALSE)</f>
        <v>42.972380565097254</v>
      </c>
    </row>
    <row r="84" spans="1:42" x14ac:dyDescent="0.25">
      <c r="A84">
        <v>141</v>
      </c>
      <c r="B84" t="s">
        <v>2495</v>
      </c>
      <c r="C84" t="s">
        <v>146</v>
      </c>
      <c r="D84" t="s">
        <v>145</v>
      </c>
      <c r="E84">
        <f>VLOOKUP($C84,'2000 Seattle Tracts Conc'!$AZ$3:$BS$94,E$1,FALSE)</f>
        <v>5139.0346607638157</v>
      </c>
      <c r="F84">
        <f>VLOOKUP($C84,'2000 Seattle Tracts Conc'!$AZ$3:$BS$94,F$1,FALSE)</f>
        <v>4662.1630154249096</v>
      </c>
      <c r="G84">
        <f>VLOOKUP($C84,'2000 Seattle Tracts Conc'!$AZ$3:$BS$94,G$1,FALSE)</f>
        <v>476.8716453389053</v>
      </c>
      <c r="H84">
        <f>VLOOKUP($C84,'2000 Seattle Tracts Conc'!$AZ$3:$BS$94,H$1,FALSE)</f>
        <v>4271.9185459061709</v>
      </c>
      <c r="I84">
        <f>VLOOKUP($C84,'2000 Seattle Tracts Conc'!$AZ$3:$BS$94,I$1,FALSE)</f>
        <v>341.55134828373434</v>
      </c>
      <c r="J84">
        <f>VLOOKUP($C84,'2000 Seattle Tracts Conc'!$AZ$3:$BS$94,J$1,FALSE)</f>
        <v>48.677197524748685</v>
      </c>
      <c r="K84">
        <f>VLOOKUP($C84,'2000 Seattle Tracts Conc'!$AZ$3:$BS$94,K$1,FALSE)</f>
        <v>5.7769324099105583</v>
      </c>
      <c r="L84">
        <f>VLOOKUP($C84,'2000 Seattle Tracts Conc'!$AZ$3:$BS$94,L$1,FALSE)</f>
        <v>46.20514136498609</v>
      </c>
      <c r="M84">
        <f>VLOOKUP($C84,'2000 Seattle Tracts Conc'!$AZ$3:$BS$94,M$1,FALSE)</f>
        <v>4.9519929312334066</v>
      </c>
      <c r="N84">
        <f>VLOOKUP($C84,'2000 Seattle Tracts Conc'!$AZ$3:$BS$94,N$1,FALSE)</f>
        <v>18.152811945300627</v>
      </c>
      <c r="O84">
        <f>VLOOKUP($C84,'2000 Seattle Tracts Conc'!$AZ$3:$BS$94,O$1,FALSE)</f>
        <v>8.9367761639505235E-4</v>
      </c>
      <c r="P84">
        <f>VLOOKUP($C84,'2000 Seattle Tracts Conc'!$AZ$3:$BS$94,P$1,FALSE)</f>
        <v>87.453333950138756</v>
      </c>
      <c r="Q84">
        <f>VLOOKUP($C84,'2000 Seattle Tracts Conc'!$AZ$3:$BS$94,Q$1,FALSE)</f>
        <v>96.538879807502212</v>
      </c>
      <c r="R84">
        <f>VLOOKUP($C84,'2000 Seattle Tracts Conc'!$AZ$3:$BS$94,R$1,FALSE)</f>
        <v>5.7751450546777683</v>
      </c>
      <c r="S84">
        <f>VLOOKUP($C84,'2000 Seattle Tracts Conc'!$AZ$3:$BS$94,S$1,FALSE)</f>
        <v>3.1684933672188218E-3</v>
      </c>
      <c r="T84">
        <f>VLOOKUP($C84,'2000 Seattle Tracts Conc'!$AZ$3:$BS$94,T$1,FALSE)</f>
        <v>8.2562192340239893</v>
      </c>
      <c r="U84">
        <f>VLOOKUP($C84,'2000 Seattle Tracts Conc'!$AZ$3:$BS$94,U$1,FALSE)</f>
        <v>26.398063317668857</v>
      </c>
      <c r="V84">
        <f>VLOOKUP($C84,'2000 Seattle Tracts Conc'!$AZ$3:$BS$94,V$1,FALSE)</f>
        <v>175.72462044486286</v>
      </c>
      <c r="W84">
        <f>VLOOKUP($C84,'2000 Seattle Tracts Conc'!$AZ$3:$BS$94,W$1,FALSE)</f>
        <v>1.6503664178723372</v>
      </c>
      <c r="X84" s="4">
        <f>VLOOKUP($C84,'2017 Seattle Tracts Conc'!$BA$3:$BT$95,X$1-3,FALSE)</f>
        <v>5672.0136494488333</v>
      </c>
      <c r="Y84">
        <f>VLOOKUP($C84,'2017 Seattle Tracts Conc'!$BA$3:$BT$95,Y$1-3,FALSE)</f>
        <v>4979.8086387207895</v>
      </c>
      <c r="Z84">
        <f>VLOOKUP($C84,'2017 Seattle Tracts Conc'!$BA$3:$BT$95,Z$1-3,FALSE)</f>
        <v>692.20501072804359</v>
      </c>
      <c r="AA84">
        <f>VLOOKUP($C84,'2017 Seattle Tracts Conc'!$BA$3:$BT$95,AA$1-3,FALSE)</f>
        <v>4446.8411002082657</v>
      </c>
      <c r="AB84">
        <f>VLOOKUP($C84,'2017 Seattle Tracts Conc'!$BA$3:$BT$95,AB$1-3,FALSE)</f>
        <v>321.75586322092448</v>
      </c>
      <c r="AC84">
        <f>VLOOKUP($C84,'2017 Seattle Tracts Conc'!$BA$3:$BT$95,AC$1-3,FALSE)</f>
        <v>147.6779226098854</v>
      </c>
      <c r="AD84">
        <f>VLOOKUP($C84,'2017 Seattle Tracts Conc'!$BA$3:$BT$95,AD$1-3,FALSE)</f>
        <v>14.025273483307974</v>
      </c>
      <c r="AE84">
        <f>VLOOKUP($C84,'2017 Seattle Tracts Conc'!$BA$3:$BT$95,AE$1-3,FALSE)</f>
        <v>14.026735195157652</v>
      </c>
      <c r="AF84">
        <f>VLOOKUP($C84,'2017 Seattle Tracts Conc'!$BA$3:$BT$95,AF$1-3,FALSE)</f>
        <v>5.6032287571019706E-3</v>
      </c>
      <c r="AG84">
        <f>VLOOKUP($C84,'2017 Seattle Tracts Conc'!$BA$3:$BT$95,AG$1-3,FALSE)</f>
        <v>17.327224682585086</v>
      </c>
      <c r="AH84">
        <f>VLOOKUP($C84,'2017 Seattle Tracts Conc'!$BA$3:$BT$95,AH$1-3,FALSE)</f>
        <v>13.199034526010387</v>
      </c>
      <c r="AI84">
        <f>VLOOKUP($C84,'2017 Seattle Tracts Conc'!$BA$3:$BT$95,AI$1-3,FALSE)</f>
        <v>16.51316665736816</v>
      </c>
      <c r="AJ84">
        <f>VLOOKUP($C84,'2017 Seattle Tracts Conc'!$BA$3:$BT$95,AJ$1-3,FALSE)</f>
        <v>257.41998982743291</v>
      </c>
      <c r="AK84">
        <f>VLOOKUP($C84,'2017 Seattle Tracts Conc'!$BA$3:$BT$95,AK$1-3,FALSE)</f>
        <v>23.923250078393824</v>
      </c>
      <c r="AL84">
        <f>VLOOKUP($C84,'2017 Seattle Tracts Conc'!$BA$3:$BT$95,AL$1-3,FALSE)</f>
        <v>33.822525972901616</v>
      </c>
      <c r="AM84">
        <f>VLOOKUP($C84,'2017 Seattle Tracts Conc'!$BA$3:$BT$95,AM$1-3,FALSE)</f>
        <v>42.074764769143592</v>
      </c>
      <c r="AN84">
        <f>VLOOKUP($C84,'2017 Seattle Tracts Conc'!$BA$3:$BT$95,AN$1-3,FALSE)</f>
        <v>18.150052978900089</v>
      </c>
      <c r="AO84">
        <f>VLOOKUP($C84,'2017 Seattle Tracts Conc'!$BA$3:$BT$95,AO$1-3,FALSE)</f>
        <v>271.42447451998987</v>
      </c>
      <c r="AP84">
        <f>VLOOKUP($C84,'2017 Seattle Tracts Conc'!$BA$3:$BT$95,AP$1-3,FALSE)</f>
        <v>33.82666748980904</v>
      </c>
    </row>
    <row r="85" spans="1:42" x14ac:dyDescent="0.25">
      <c r="A85">
        <v>144</v>
      </c>
      <c r="B85" t="s">
        <v>2495</v>
      </c>
      <c r="C85" t="s">
        <v>147</v>
      </c>
      <c r="D85" t="s">
        <v>145</v>
      </c>
      <c r="E85">
        <f>VLOOKUP($C85,'2000 Seattle Tracts Conc'!$AZ$3:$BS$94,E$1,FALSE)</f>
        <v>2771.062303608594</v>
      </c>
      <c r="F85">
        <f>VLOOKUP($C85,'2000 Seattle Tracts Conc'!$AZ$3:$BS$94,F$1,FALSE)</f>
        <v>2469.6332892267787</v>
      </c>
      <c r="G85">
        <f>VLOOKUP($C85,'2000 Seattle Tracts Conc'!$AZ$3:$BS$94,G$1,FALSE)</f>
        <v>301.42901438181514</v>
      </c>
      <c r="H85">
        <f>VLOOKUP($C85,'2000 Seattle Tracts Conc'!$AZ$3:$BS$94,H$1,FALSE)</f>
        <v>2195.7411841467756</v>
      </c>
      <c r="I85">
        <f>VLOOKUP($C85,'2000 Seattle Tracts Conc'!$AZ$3:$BS$94,I$1,FALSE)</f>
        <v>163.27734827090515</v>
      </c>
      <c r="J85">
        <f>VLOOKUP($C85,'2000 Seattle Tracts Conc'!$AZ$3:$BS$94,J$1,FALSE)</f>
        <v>40.999104300527051</v>
      </c>
      <c r="K85">
        <f>VLOOKUP($C85,'2000 Seattle Tracts Conc'!$AZ$3:$BS$94,K$1,FALSE)</f>
        <v>24.475439527904896</v>
      </c>
      <c r="L85">
        <f>VLOOKUP($C85,'2000 Seattle Tracts Conc'!$AZ$3:$BS$94,L$1,FALSE)</f>
        <v>44.47214905376461</v>
      </c>
      <c r="M85">
        <f>VLOOKUP($C85,'2000 Seattle Tracts Conc'!$AZ$3:$BS$94,M$1,FALSE)</f>
        <v>7.7221145679641197</v>
      </c>
      <c r="N85">
        <f>VLOOKUP($C85,'2000 Seattle Tracts Conc'!$AZ$3:$BS$94,N$1,FALSE)</f>
        <v>17.152881942604921</v>
      </c>
      <c r="O85">
        <f>VLOOKUP($C85,'2000 Seattle Tracts Conc'!$AZ$3:$BS$94,O$1,FALSE)</f>
        <v>1.4114000314640305</v>
      </c>
      <c r="P85">
        <f>VLOOKUP($C85,'2000 Seattle Tracts Conc'!$AZ$3:$BS$94,P$1,FALSE)</f>
        <v>56.350545892847187</v>
      </c>
      <c r="Q85">
        <f>VLOOKUP($C85,'2000 Seattle Tracts Conc'!$AZ$3:$BS$94,Q$1,FALSE)</f>
        <v>87.233262173100556</v>
      </c>
      <c r="R85">
        <f>VLOOKUP($C85,'2000 Seattle Tracts Conc'!$AZ$3:$BS$94,R$1,FALSE)</f>
        <v>3.7201931750352166</v>
      </c>
      <c r="S85">
        <f>VLOOKUP($C85,'2000 Seattle Tracts Conc'!$AZ$3:$BS$94,S$1,FALSE)</f>
        <v>7.219230422739817</v>
      </c>
      <c r="T85">
        <f>VLOOKUP($C85,'2000 Seattle Tracts Conc'!$AZ$3:$BS$94,T$1,FALSE)</f>
        <v>18.261873945094933</v>
      </c>
      <c r="U85">
        <f>VLOOKUP($C85,'2000 Seattle Tracts Conc'!$AZ$3:$BS$94,U$1,FALSE)</f>
        <v>9.0168428239998608</v>
      </c>
      <c r="V85">
        <f>VLOOKUP($C85,'2000 Seattle Tracts Conc'!$AZ$3:$BS$94,V$1,FALSE)</f>
        <v>92.93535677012926</v>
      </c>
      <c r="W85">
        <f>VLOOKUP($C85,'2000 Seattle Tracts Conc'!$AZ$3:$BS$94,W$1,FALSE)</f>
        <v>1.0733765637366921</v>
      </c>
      <c r="X85" s="4">
        <f>VLOOKUP($C85,'2017 Seattle Tracts Conc'!$BA$3:$BT$95,X$1-3,FALSE)</f>
        <v>3164.8010530624024</v>
      </c>
      <c r="Y85">
        <f>VLOOKUP($C85,'2017 Seattle Tracts Conc'!$BA$3:$BT$95,Y$1-3,FALSE)</f>
        <v>2694.1978320429275</v>
      </c>
      <c r="Z85">
        <f>VLOOKUP($C85,'2017 Seattle Tracts Conc'!$BA$3:$BT$95,Z$1-3,FALSE)</f>
        <v>470.60322101947531</v>
      </c>
      <c r="AA85">
        <f>VLOOKUP($C85,'2017 Seattle Tracts Conc'!$BA$3:$BT$95,AA$1-3,FALSE)</f>
        <v>2273.3738045391779</v>
      </c>
      <c r="AB85">
        <f>VLOOKUP($C85,'2017 Seattle Tracts Conc'!$BA$3:$BT$95,AB$1-3,FALSE)</f>
        <v>192.49453552256267</v>
      </c>
      <c r="AC85">
        <f>VLOOKUP($C85,'2017 Seattle Tracts Conc'!$BA$3:$BT$95,AC$1-3,FALSE)</f>
        <v>76.287556936681</v>
      </c>
      <c r="AD85">
        <f>VLOOKUP($C85,'2017 Seattle Tracts Conc'!$BA$3:$BT$95,AD$1-3,FALSE)</f>
        <v>17.010230745950661</v>
      </c>
      <c r="AE85">
        <f>VLOOKUP($C85,'2017 Seattle Tracts Conc'!$BA$3:$BT$95,AE$1-3,FALSE)</f>
        <v>83.527362078711391</v>
      </c>
      <c r="AF85">
        <f>VLOOKUP($C85,'2017 Seattle Tracts Conc'!$BA$3:$BT$95,AF$1-3,FALSE)</f>
        <v>8.8606199286955452</v>
      </c>
      <c r="AG85">
        <f>VLOOKUP($C85,'2017 Seattle Tracts Conc'!$BA$3:$BT$95,AG$1-3,FALSE)</f>
        <v>8.6726407214555223</v>
      </c>
      <c r="AH85">
        <f>VLOOKUP($C85,'2017 Seattle Tracts Conc'!$BA$3:$BT$95,AH$1-3,FALSE)</f>
        <v>2.4036644829044156</v>
      </c>
      <c r="AI85">
        <f>VLOOKUP($C85,'2017 Seattle Tracts Conc'!$BA$3:$BT$95,AI$1-3,FALSE)</f>
        <v>93.2129775556824</v>
      </c>
      <c r="AJ85">
        <f>VLOOKUP($C85,'2017 Seattle Tracts Conc'!$BA$3:$BT$95,AJ$1-3,FALSE)</f>
        <v>214.2028599979021</v>
      </c>
      <c r="AK85">
        <f>VLOOKUP($C85,'2017 Seattle Tracts Conc'!$BA$3:$BT$95,AK$1-3,FALSE)</f>
        <v>4.3566418752642528</v>
      </c>
      <c r="AL85">
        <f>VLOOKUP($C85,'2017 Seattle Tracts Conc'!$BA$3:$BT$95,AL$1-3,FALSE)</f>
        <v>11.028062918942609</v>
      </c>
      <c r="AM85">
        <f>VLOOKUP($C85,'2017 Seattle Tracts Conc'!$BA$3:$BT$95,AM$1-3,FALSE)</f>
        <v>12.150442230106728</v>
      </c>
      <c r="AN85">
        <f>VLOOKUP($C85,'2017 Seattle Tracts Conc'!$BA$3:$BT$95,AN$1-3,FALSE)</f>
        <v>5.4852943424058962</v>
      </c>
      <c r="AO85">
        <f>VLOOKUP($C85,'2017 Seattle Tracts Conc'!$BA$3:$BT$95,AO$1-3,FALSE)</f>
        <v>142.61640610584831</v>
      </c>
      <c r="AP85">
        <f>VLOOKUP($C85,'2017 Seattle Tracts Conc'!$BA$3:$BT$95,AP$1-3,FALSE)</f>
        <v>19.117953080111416</v>
      </c>
    </row>
    <row r="86" spans="1:42" x14ac:dyDescent="0.25">
      <c r="A86">
        <v>158</v>
      </c>
      <c r="B86" t="s">
        <v>2495</v>
      </c>
      <c r="C86" t="s">
        <v>148</v>
      </c>
      <c r="D86" t="s">
        <v>149</v>
      </c>
      <c r="E86">
        <f>VLOOKUP($C86,'2000 Seattle Tracts Conc'!$AZ$3:$BS$94,E$1,FALSE)</f>
        <v>3578.6301827771495</v>
      </c>
      <c r="F86">
        <f>VLOOKUP($C86,'2000 Seattle Tracts Conc'!$AZ$3:$BS$94,F$1,FALSE)</f>
        <v>3264.5957378780031</v>
      </c>
      <c r="G86">
        <f>VLOOKUP($C86,'2000 Seattle Tracts Conc'!$AZ$3:$BS$94,G$1,FALSE)</f>
        <v>314.03444489914637</v>
      </c>
      <c r="H86">
        <f>VLOOKUP($C86,'2000 Seattle Tracts Conc'!$AZ$3:$BS$94,H$1,FALSE)</f>
        <v>2007.9329435736945</v>
      </c>
      <c r="I86">
        <f>VLOOKUP($C86,'2000 Seattle Tracts Conc'!$AZ$3:$BS$94,I$1,FALSE)</f>
        <v>177.91359205199856</v>
      </c>
      <c r="J86">
        <f>VLOOKUP($C86,'2000 Seattle Tracts Conc'!$AZ$3:$BS$94,J$1,FALSE)</f>
        <v>32.189083023697442</v>
      </c>
      <c r="K86">
        <f>VLOOKUP($C86,'2000 Seattle Tracts Conc'!$AZ$3:$BS$94,K$1,FALSE)</f>
        <v>25.613016632671787</v>
      </c>
      <c r="L86">
        <f>VLOOKUP($C86,'2000 Seattle Tracts Conc'!$AZ$3:$BS$94,L$1,FALSE)</f>
        <v>983.81269362516196</v>
      </c>
      <c r="M86">
        <f>VLOOKUP($C86,'2000 Seattle Tracts Conc'!$AZ$3:$BS$94,M$1,FALSE)</f>
        <v>30.211817975096331</v>
      </c>
      <c r="N86">
        <f>VLOOKUP($C86,'2000 Seattle Tracts Conc'!$AZ$3:$BS$94,N$1,FALSE)</f>
        <v>50.879172985765017</v>
      </c>
      <c r="O86">
        <f>VLOOKUP($C86,'2000 Seattle Tracts Conc'!$AZ$3:$BS$94,O$1,FALSE)</f>
        <v>4.117055790010677</v>
      </c>
      <c r="P86">
        <f>VLOOKUP($C86,'2000 Seattle Tracts Conc'!$AZ$3:$BS$94,P$1,FALSE)</f>
        <v>56.81843923778306</v>
      </c>
      <c r="Q86">
        <f>VLOOKUP($C86,'2000 Seattle Tracts Conc'!$AZ$3:$BS$94,Q$1,FALSE)</f>
        <v>41.663846117232801</v>
      </c>
      <c r="R86">
        <f>VLOOKUP($C86,'2000 Seattle Tracts Conc'!$AZ$3:$BS$94,R$1,FALSE)</f>
        <v>1.0566662587673421</v>
      </c>
      <c r="S86">
        <f>VLOOKUP($C86,'2000 Seattle Tracts Conc'!$AZ$3:$BS$94,S$1,FALSE)</f>
        <v>0</v>
      </c>
      <c r="T86">
        <f>VLOOKUP($C86,'2000 Seattle Tracts Conc'!$AZ$3:$BS$94,T$1,FALSE)</f>
        <v>21.407206579242406</v>
      </c>
      <c r="U86">
        <f>VLOOKUP($C86,'2000 Seattle Tracts Conc'!$AZ$3:$BS$94,U$1,FALSE)</f>
        <v>15.503791294674379</v>
      </c>
      <c r="V86">
        <f>VLOOKUP($C86,'2000 Seattle Tracts Conc'!$AZ$3:$BS$94,V$1,FALSE)</f>
        <v>110.49953259389102</v>
      </c>
      <c r="W86">
        <f>VLOOKUP($C86,'2000 Seattle Tracts Conc'!$AZ$3:$BS$94,W$1,FALSE)</f>
        <v>19.011325037461802</v>
      </c>
      <c r="X86" s="4">
        <f>VLOOKUP($C86,'2017 Seattle Tracts Conc'!$BA$3:$BT$95,X$1-3,FALSE)</f>
        <v>4280.6084189803132</v>
      </c>
      <c r="Y86">
        <f>VLOOKUP($C86,'2017 Seattle Tracts Conc'!$BA$3:$BT$95,Y$1-3,FALSE)</f>
        <v>3732.4726367320964</v>
      </c>
      <c r="Z86">
        <f>VLOOKUP($C86,'2017 Seattle Tracts Conc'!$BA$3:$BT$95,Z$1-3,FALSE)</f>
        <v>548.13578224821731</v>
      </c>
      <c r="AA86">
        <f>VLOOKUP($C86,'2017 Seattle Tracts Conc'!$BA$3:$BT$95,AA$1-3,FALSE)</f>
        <v>2740.8221017360183</v>
      </c>
      <c r="AB86">
        <f>VLOOKUP($C86,'2017 Seattle Tracts Conc'!$BA$3:$BT$95,AB$1-3,FALSE)</f>
        <v>255.33680486630033</v>
      </c>
      <c r="AC86">
        <f>VLOOKUP($C86,'2017 Seattle Tracts Conc'!$BA$3:$BT$95,AC$1-3,FALSE)</f>
        <v>87.093769808515447</v>
      </c>
      <c r="AD86">
        <f>VLOOKUP($C86,'2017 Seattle Tracts Conc'!$BA$3:$BT$95,AD$1-3,FALSE)</f>
        <v>14.654545613037486</v>
      </c>
      <c r="AE86">
        <f>VLOOKUP($C86,'2017 Seattle Tracts Conc'!$BA$3:$BT$95,AE$1-3,FALSE)</f>
        <v>267.64363036414636</v>
      </c>
      <c r="AF86">
        <f>VLOOKUP($C86,'2017 Seattle Tracts Conc'!$BA$3:$BT$95,AF$1-3,FALSE)</f>
        <v>48.576727061537596</v>
      </c>
      <c r="AG86">
        <f>VLOOKUP($C86,'2017 Seattle Tracts Conc'!$BA$3:$BT$95,AG$1-3,FALSE)</f>
        <v>20.933990167053665</v>
      </c>
      <c r="AH86">
        <f>VLOOKUP($C86,'2017 Seattle Tracts Conc'!$BA$3:$BT$95,AH$1-3,FALSE)</f>
        <v>0</v>
      </c>
      <c r="AI86">
        <f>VLOOKUP($C86,'2017 Seattle Tracts Conc'!$BA$3:$BT$95,AI$1-3,FALSE)</f>
        <v>90.455058559909105</v>
      </c>
      <c r="AJ86">
        <f>VLOOKUP($C86,'2017 Seattle Tracts Conc'!$BA$3:$BT$95,AJ$1-3,FALSE)</f>
        <v>156.60318967804369</v>
      </c>
      <c r="AK86">
        <f>VLOOKUP($C86,'2017 Seattle Tracts Conc'!$BA$3:$BT$95,AK$1-3,FALSE)</f>
        <v>12.210289056954577</v>
      </c>
      <c r="AL86">
        <f>VLOOKUP($C86,'2017 Seattle Tracts Conc'!$BA$3:$BT$95,AL$1-3,FALSE)</f>
        <v>9.6730861360289513</v>
      </c>
      <c r="AM86">
        <f>VLOOKUP($C86,'2017 Seattle Tracts Conc'!$BA$3:$BT$95,AM$1-3,FALSE)</f>
        <v>69.64816933338011</v>
      </c>
      <c r="AN86">
        <f>VLOOKUP($C86,'2017 Seattle Tracts Conc'!$BA$3:$BT$95,AN$1-3,FALSE)</f>
        <v>56.995465240464952</v>
      </c>
      <c r="AO86">
        <f>VLOOKUP($C86,'2017 Seattle Tracts Conc'!$BA$3:$BT$95,AO$1-3,FALSE)</f>
        <v>443.66562770611858</v>
      </c>
      <c r="AP86">
        <f>VLOOKUP($C86,'2017 Seattle Tracts Conc'!$BA$3:$BT$95,AP$1-3,FALSE)</f>
        <v>6.2959636528043035</v>
      </c>
    </row>
    <row r="87" spans="1:42" x14ac:dyDescent="0.25">
      <c r="A87">
        <v>153</v>
      </c>
      <c r="B87" t="s">
        <v>2495</v>
      </c>
      <c r="C87" t="s">
        <v>150</v>
      </c>
      <c r="D87" t="s">
        <v>149</v>
      </c>
      <c r="E87">
        <f>VLOOKUP($C87,'2000 Seattle Tracts Conc'!$AZ$3:$BS$94,E$1,FALSE)</f>
        <v>3232.8483624207497</v>
      </c>
      <c r="F87">
        <f>VLOOKUP($C87,'2000 Seattle Tracts Conc'!$AZ$3:$BS$94,F$1,FALSE)</f>
        <v>2968.6935316493436</v>
      </c>
      <c r="G87">
        <f>VLOOKUP($C87,'2000 Seattle Tracts Conc'!$AZ$3:$BS$94,G$1,FALSE)</f>
        <v>264.15483077140618</v>
      </c>
      <c r="H87">
        <f>VLOOKUP($C87,'2000 Seattle Tracts Conc'!$AZ$3:$BS$94,H$1,FALSE)</f>
        <v>2158.5388986030957</v>
      </c>
      <c r="I87">
        <f>VLOOKUP($C87,'2000 Seattle Tracts Conc'!$AZ$3:$BS$94,I$1,FALSE)</f>
        <v>188.1038386230353</v>
      </c>
      <c r="J87">
        <f>VLOOKUP($C87,'2000 Seattle Tracts Conc'!$AZ$3:$BS$94,J$1,FALSE)</f>
        <v>31.760352955527893</v>
      </c>
      <c r="K87">
        <f>VLOOKUP($C87,'2000 Seattle Tracts Conc'!$AZ$3:$BS$94,K$1,FALSE)</f>
        <v>16.124904209991186</v>
      </c>
      <c r="L87">
        <f>VLOOKUP($C87,'2000 Seattle Tracts Conc'!$AZ$3:$BS$94,L$1,FALSE)</f>
        <v>598.56974329873754</v>
      </c>
      <c r="M87">
        <f>VLOOKUP($C87,'2000 Seattle Tracts Conc'!$AZ$3:$BS$94,M$1,FALSE)</f>
        <v>16.675726112317463</v>
      </c>
      <c r="N87">
        <f>VLOOKUP($C87,'2000 Seattle Tracts Conc'!$AZ$3:$BS$94,N$1,FALSE)</f>
        <v>37.002136765814356</v>
      </c>
      <c r="O87">
        <f>VLOOKUP($C87,'2000 Seattle Tracts Conc'!$AZ$3:$BS$94,O$1,FALSE)</f>
        <v>2.3244927558711876</v>
      </c>
      <c r="P87">
        <f>VLOOKUP($C87,'2000 Seattle Tracts Conc'!$AZ$3:$BS$94,P$1,FALSE)</f>
        <v>43.201966914204448</v>
      </c>
      <c r="Q87">
        <f>VLOOKUP($C87,'2000 Seattle Tracts Conc'!$AZ$3:$BS$94,Q$1,FALSE)</f>
        <v>25.785944465349122</v>
      </c>
      <c r="R87">
        <f>VLOOKUP($C87,'2000 Seattle Tracts Conc'!$AZ$3:$BS$94,R$1,FALSE)</f>
        <v>2.1474562625806253</v>
      </c>
      <c r="S87">
        <f>VLOOKUP($C87,'2000 Seattle Tracts Conc'!$AZ$3:$BS$94,S$1,FALSE)</f>
        <v>0</v>
      </c>
      <c r="T87">
        <f>VLOOKUP($C87,'2000 Seattle Tracts Conc'!$AZ$3:$BS$94,T$1,FALSE)</f>
        <v>12.828159345534075</v>
      </c>
      <c r="U87">
        <f>VLOOKUP($C87,'2000 Seattle Tracts Conc'!$AZ$3:$BS$94,U$1,FALSE)</f>
        <v>6.817984245961898</v>
      </c>
      <c r="V87">
        <f>VLOOKUP($C87,'2000 Seattle Tracts Conc'!$AZ$3:$BS$94,V$1,FALSE)</f>
        <v>84.64481750384833</v>
      </c>
      <c r="W87">
        <f>VLOOKUP($C87,'2000 Seattle Tracts Conc'!$AZ$3:$BS$94,W$1,FALSE)</f>
        <v>8.3219403588800027</v>
      </c>
      <c r="X87" s="4">
        <f>VLOOKUP($C87,'2017 Seattle Tracts Conc'!$BA$3:$BT$95,X$1-3,FALSE)</f>
        <v>3816.2360239975451</v>
      </c>
      <c r="Y87">
        <f>VLOOKUP($C87,'2017 Seattle Tracts Conc'!$BA$3:$BT$95,Y$1-3,FALSE)</f>
        <v>3346.1016694965974</v>
      </c>
      <c r="Z87">
        <f>VLOOKUP($C87,'2017 Seattle Tracts Conc'!$BA$3:$BT$95,Z$1-3,FALSE)</f>
        <v>470.13435450094738</v>
      </c>
      <c r="AA87">
        <f>VLOOKUP($C87,'2017 Seattle Tracts Conc'!$BA$3:$BT$95,AA$1-3,FALSE)</f>
        <v>2652.3034420699805</v>
      </c>
      <c r="AB87">
        <f>VLOOKUP($C87,'2017 Seattle Tracts Conc'!$BA$3:$BT$95,AB$1-3,FALSE)</f>
        <v>252.25955388831122</v>
      </c>
      <c r="AC87">
        <f>VLOOKUP($C87,'2017 Seattle Tracts Conc'!$BA$3:$BT$95,AC$1-3,FALSE)</f>
        <v>58.10301071921937</v>
      </c>
      <c r="AD87">
        <f>VLOOKUP($C87,'2017 Seattle Tracts Conc'!$BA$3:$BT$95,AD$1-3,FALSE)</f>
        <v>14.921188176631139</v>
      </c>
      <c r="AE87">
        <f>VLOOKUP($C87,'2017 Seattle Tracts Conc'!$BA$3:$BT$95,AE$1-3,FALSE)</f>
        <v>182.75024933771283</v>
      </c>
      <c r="AF87">
        <f>VLOOKUP($C87,'2017 Seattle Tracts Conc'!$BA$3:$BT$95,AF$1-3,FALSE)</f>
        <v>36.459123297523277</v>
      </c>
      <c r="AG87">
        <f>VLOOKUP($C87,'2017 Seattle Tracts Conc'!$BA$3:$BT$95,AG$1-3,FALSE)</f>
        <v>15.081656132300559</v>
      </c>
      <c r="AH87">
        <f>VLOOKUP($C87,'2017 Seattle Tracts Conc'!$BA$3:$BT$95,AH$1-3,FALSE)</f>
        <v>0</v>
      </c>
      <c r="AI87">
        <f>VLOOKUP($C87,'2017 Seattle Tracts Conc'!$BA$3:$BT$95,AI$1-3,FALSE)</f>
        <v>74.081389245079336</v>
      </c>
      <c r="AJ87">
        <f>VLOOKUP($C87,'2017 Seattle Tracts Conc'!$BA$3:$BT$95,AJ$1-3,FALSE)</f>
        <v>121.15824029424004</v>
      </c>
      <c r="AK87">
        <f>VLOOKUP($C87,'2017 Seattle Tracts Conc'!$BA$3:$BT$95,AK$1-3,FALSE)</f>
        <v>0</v>
      </c>
      <c r="AL87">
        <f>VLOOKUP($C87,'2017 Seattle Tracts Conc'!$BA$3:$BT$95,AL$1-3,FALSE)</f>
        <v>0</v>
      </c>
      <c r="AM87">
        <f>VLOOKUP($C87,'2017 Seattle Tracts Conc'!$BA$3:$BT$95,AM$1-3,FALSE)</f>
        <v>33.967084148120676</v>
      </c>
      <c r="AN87">
        <f>VLOOKUP($C87,'2017 Seattle Tracts Conc'!$BA$3:$BT$95,AN$1-3,FALSE)</f>
        <v>28.184960452120613</v>
      </c>
      <c r="AO87">
        <f>VLOOKUP($C87,'2017 Seattle Tracts Conc'!$BA$3:$BT$95,AO$1-3,FALSE)</f>
        <v>329.81483784418435</v>
      </c>
      <c r="AP87">
        <f>VLOOKUP($C87,'2017 Seattle Tracts Conc'!$BA$3:$BT$95,AP$1-3,FALSE)</f>
        <v>17.15128839212106</v>
      </c>
    </row>
    <row r="88" spans="1:42" x14ac:dyDescent="0.25">
      <c r="A88">
        <v>157</v>
      </c>
      <c r="B88" t="s">
        <v>2495</v>
      </c>
      <c r="C88" t="s">
        <v>151</v>
      </c>
      <c r="D88" t="s">
        <v>149</v>
      </c>
      <c r="E88">
        <f>VLOOKUP($C88,'2000 Seattle Tracts Conc'!$AZ$3:$BS$94,E$1,FALSE)</f>
        <v>9360.7538249204208</v>
      </c>
      <c r="F88">
        <f>VLOOKUP($C88,'2000 Seattle Tracts Conc'!$AZ$3:$BS$94,F$1,FALSE)</f>
        <v>7610.7196659592792</v>
      </c>
      <c r="G88">
        <f>VLOOKUP($C88,'2000 Seattle Tracts Conc'!$AZ$3:$BS$94,G$1,FALSE)</f>
        <v>1750.034158961141</v>
      </c>
      <c r="H88">
        <f>VLOOKUP($C88,'2000 Seattle Tracts Conc'!$AZ$3:$BS$94,H$1,FALSE)</f>
        <v>4228.6651277293695</v>
      </c>
      <c r="I88">
        <f>VLOOKUP($C88,'2000 Seattle Tracts Conc'!$AZ$3:$BS$94,I$1,FALSE)</f>
        <v>329.03187883603192</v>
      </c>
      <c r="J88">
        <f>VLOOKUP($C88,'2000 Seattle Tracts Conc'!$AZ$3:$BS$94,J$1,FALSE)</f>
        <v>147.85953140237248</v>
      </c>
      <c r="K88">
        <f>VLOOKUP($C88,'2000 Seattle Tracts Conc'!$AZ$3:$BS$94,K$1,FALSE)</f>
        <v>275.33230530557182</v>
      </c>
      <c r="L88">
        <f>VLOOKUP($C88,'2000 Seattle Tracts Conc'!$AZ$3:$BS$94,L$1,FALSE)</f>
        <v>2211.644945296443</v>
      </c>
      <c r="M88">
        <f>VLOOKUP($C88,'2000 Seattle Tracts Conc'!$AZ$3:$BS$94,M$1,FALSE)</f>
        <v>217.18843873287514</v>
      </c>
      <c r="N88">
        <f>VLOOKUP($C88,'2000 Seattle Tracts Conc'!$AZ$3:$BS$94,N$1,FALSE)</f>
        <v>230.13273228053598</v>
      </c>
      <c r="O88">
        <f>VLOOKUP($C88,'2000 Seattle Tracts Conc'!$AZ$3:$BS$94,O$1,FALSE)</f>
        <v>4.8654271361945236</v>
      </c>
      <c r="P88">
        <f>VLOOKUP($C88,'2000 Seattle Tracts Conc'!$AZ$3:$BS$94,P$1,FALSE)</f>
        <v>351.15624583857885</v>
      </c>
      <c r="Q88">
        <f>VLOOKUP($C88,'2000 Seattle Tracts Conc'!$AZ$3:$BS$94,Q$1,FALSE)</f>
        <v>529.87858602707138</v>
      </c>
      <c r="R88">
        <f>VLOOKUP($C88,'2000 Seattle Tracts Conc'!$AZ$3:$BS$94,R$1,FALSE)</f>
        <v>14.205534979084614</v>
      </c>
      <c r="S88">
        <f>VLOOKUP($C88,'2000 Seattle Tracts Conc'!$AZ$3:$BS$94,S$1,FALSE)</f>
        <v>19.980660513448608</v>
      </c>
      <c r="T88">
        <f>VLOOKUP($C88,'2000 Seattle Tracts Conc'!$AZ$3:$BS$94,T$1,FALSE)</f>
        <v>101.49890228040893</v>
      </c>
      <c r="U88">
        <f>VLOOKUP($C88,'2000 Seattle Tracts Conc'!$AZ$3:$BS$94,U$1,FALSE)</f>
        <v>189.33450260111391</v>
      </c>
      <c r="V88">
        <f>VLOOKUP($C88,'2000 Seattle Tracts Conc'!$AZ$3:$BS$94,V$1,FALSE)</f>
        <v>325.55664615248611</v>
      </c>
      <c r="W88">
        <f>VLOOKUP($C88,'2000 Seattle Tracts Conc'!$AZ$3:$BS$94,W$1,FALSE)</f>
        <v>184.42235980883376</v>
      </c>
      <c r="X88" s="4">
        <f>VLOOKUP($C88,'2017 Seattle Tracts Conc'!$BA$3:$BT$95,X$1-3,FALSE)</f>
        <v>12650.811326814057</v>
      </c>
      <c r="Y88">
        <f>VLOOKUP($C88,'2017 Seattle Tracts Conc'!$BA$3:$BT$95,Y$1-3,FALSE)</f>
        <v>10192.845669424078</v>
      </c>
      <c r="Z88">
        <f>VLOOKUP($C88,'2017 Seattle Tracts Conc'!$BA$3:$BT$95,Z$1-3,FALSE)</f>
        <v>2457.965657389982</v>
      </c>
      <c r="AA88">
        <f>VLOOKUP($C88,'2017 Seattle Tracts Conc'!$BA$3:$BT$95,AA$1-3,FALSE)</f>
        <v>7104.3777287332978</v>
      </c>
      <c r="AB88">
        <f>VLOOKUP($C88,'2017 Seattle Tracts Conc'!$BA$3:$BT$95,AB$1-3,FALSE)</f>
        <v>757.00522622224878</v>
      </c>
      <c r="AC88">
        <f>VLOOKUP($C88,'2017 Seattle Tracts Conc'!$BA$3:$BT$95,AC$1-3,FALSE)</f>
        <v>208.67307347469276</v>
      </c>
      <c r="AD88">
        <f>VLOOKUP($C88,'2017 Seattle Tracts Conc'!$BA$3:$BT$95,AD$1-3,FALSE)</f>
        <v>173.09173054404692</v>
      </c>
      <c r="AE88">
        <f>VLOOKUP($C88,'2017 Seattle Tracts Conc'!$BA$3:$BT$95,AE$1-3,FALSE)</f>
        <v>1250.9231218426501</v>
      </c>
      <c r="AF88">
        <f>VLOOKUP($C88,'2017 Seattle Tracts Conc'!$BA$3:$BT$95,AF$1-3,FALSE)</f>
        <v>409.52555512326774</v>
      </c>
      <c r="AG88">
        <f>VLOOKUP($C88,'2017 Seattle Tracts Conc'!$BA$3:$BT$95,AG$1-3,FALSE)</f>
        <v>82.678274377655981</v>
      </c>
      <c r="AH88">
        <f>VLOOKUP($C88,'2017 Seattle Tracts Conc'!$BA$3:$BT$95,AH$1-3,FALSE)</f>
        <v>0</v>
      </c>
      <c r="AI88">
        <f>VLOOKUP($C88,'2017 Seattle Tracts Conc'!$BA$3:$BT$95,AI$1-3,FALSE)</f>
        <v>642.91171493429943</v>
      </c>
      <c r="AJ88">
        <f>VLOOKUP($C88,'2017 Seattle Tracts Conc'!$BA$3:$BT$95,AJ$1-3,FALSE)</f>
        <v>699.58525263085482</v>
      </c>
      <c r="AK88">
        <f>VLOOKUP($C88,'2017 Seattle Tracts Conc'!$BA$3:$BT$95,AK$1-3,FALSE)</f>
        <v>22.542720748612364</v>
      </c>
      <c r="AL88">
        <f>VLOOKUP($C88,'2017 Seattle Tracts Conc'!$BA$3:$BT$95,AL$1-3,FALSE)</f>
        <v>0.79857671965148713</v>
      </c>
      <c r="AM88">
        <f>VLOOKUP($C88,'2017 Seattle Tracts Conc'!$BA$3:$BT$95,AM$1-3,FALSE)</f>
        <v>139.52889901808058</v>
      </c>
      <c r="AN88">
        <f>VLOOKUP($C88,'2017 Seattle Tracts Conc'!$BA$3:$BT$95,AN$1-3,FALSE)</f>
        <v>308.56714825883699</v>
      </c>
      <c r="AO88">
        <f>VLOOKUP($C88,'2017 Seattle Tracts Conc'!$BA$3:$BT$95,AO$1-3,FALSE)</f>
        <v>741.21013629478819</v>
      </c>
      <c r="AP88">
        <f>VLOOKUP($C88,'2017 Seattle Tracts Conc'!$BA$3:$BT$95,AP$1-3,FALSE)</f>
        <v>109.39216789107579</v>
      </c>
    </row>
    <row r="89" spans="1:42" x14ac:dyDescent="0.25">
      <c r="A89">
        <v>161</v>
      </c>
      <c r="B89" t="s">
        <v>2495</v>
      </c>
      <c r="C89" t="s">
        <v>152</v>
      </c>
      <c r="D89" t="s">
        <v>149</v>
      </c>
      <c r="E89">
        <f>VLOOKUP($C89,'2000 Seattle Tracts Conc'!$AZ$3:$BS$94,E$1,FALSE)</f>
        <v>5358.5728839889616</v>
      </c>
      <c r="F89">
        <f>VLOOKUP($C89,'2000 Seattle Tracts Conc'!$AZ$3:$BS$94,F$1,FALSE)</f>
        <v>4720.7639778915418</v>
      </c>
      <c r="G89">
        <f>VLOOKUP($C89,'2000 Seattle Tracts Conc'!$AZ$3:$BS$94,G$1,FALSE)</f>
        <v>637.80890609741903</v>
      </c>
      <c r="H89">
        <f>VLOOKUP($C89,'2000 Seattle Tracts Conc'!$AZ$3:$BS$94,H$1,FALSE)</f>
        <v>2379.7595040815977</v>
      </c>
      <c r="I89">
        <f>VLOOKUP($C89,'2000 Seattle Tracts Conc'!$AZ$3:$BS$94,I$1,FALSE)</f>
        <v>190.54480916103279</v>
      </c>
      <c r="J89">
        <f>VLOOKUP($C89,'2000 Seattle Tracts Conc'!$AZ$3:$BS$94,J$1,FALSE)</f>
        <v>35.996554114609921</v>
      </c>
      <c r="K89">
        <f>VLOOKUP($C89,'2000 Seattle Tracts Conc'!$AZ$3:$BS$94,K$1,FALSE)</f>
        <v>45.682735676140425</v>
      </c>
      <c r="L89">
        <f>VLOOKUP($C89,'2000 Seattle Tracts Conc'!$AZ$3:$BS$94,L$1,FALSE)</f>
        <v>1863.977906892819</v>
      </c>
      <c r="M89">
        <f>VLOOKUP($C89,'2000 Seattle Tracts Conc'!$AZ$3:$BS$94,M$1,FALSE)</f>
        <v>83.704594054424092</v>
      </c>
      <c r="N89">
        <f>VLOOKUP($C89,'2000 Seattle Tracts Conc'!$AZ$3:$BS$94,N$1,FALSE)</f>
        <v>64.507404418031044</v>
      </c>
      <c r="O89">
        <f>VLOOKUP($C89,'2000 Seattle Tracts Conc'!$AZ$3:$BS$94,O$1,FALSE)</f>
        <v>2.6883586430637445</v>
      </c>
      <c r="P89">
        <f>VLOOKUP($C89,'2000 Seattle Tracts Conc'!$AZ$3:$BS$94,P$1,FALSE)</f>
        <v>88.449677235857436</v>
      </c>
      <c r="Q89">
        <f>VLOOKUP($C89,'2000 Seattle Tracts Conc'!$AZ$3:$BS$94,Q$1,FALSE)</f>
        <v>174.2975369169545</v>
      </c>
      <c r="R89">
        <f>VLOOKUP($C89,'2000 Seattle Tracts Conc'!$AZ$3:$BS$94,R$1,FALSE)</f>
        <v>15.997643223490181</v>
      </c>
      <c r="S89">
        <f>VLOOKUP($C89,'2000 Seattle Tracts Conc'!$AZ$3:$BS$94,S$1,FALSE)</f>
        <v>0</v>
      </c>
      <c r="T89">
        <f>VLOOKUP($C89,'2000 Seattle Tracts Conc'!$AZ$3:$BS$94,T$1,FALSE)</f>
        <v>64.756559227904077</v>
      </c>
      <c r="U89">
        <f>VLOOKUP($C89,'2000 Seattle Tracts Conc'!$AZ$3:$BS$94,U$1,FALSE)</f>
        <v>79.493350211389298</v>
      </c>
      <c r="V89">
        <f>VLOOKUP($C89,'2000 Seattle Tracts Conc'!$AZ$3:$BS$94,V$1,FALSE)</f>
        <v>207.31872869723264</v>
      </c>
      <c r="W89">
        <f>VLOOKUP($C89,'2000 Seattle Tracts Conc'!$AZ$3:$BS$94,W$1,FALSE)</f>
        <v>61.397521434414159</v>
      </c>
      <c r="X89" s="4">
        <f>VLOOKUP($C89,'2017 Seattle Tracts Conc'!$BA$3:$BT$95,X$1-3,FALSE)</f>
        <v>6562.5806919777806</v>
      </c>
      <c r="Y89">
        <f>VLOOKUP($C89,'2017 Seattle Tracts Conc'!$BA$3:$BT$95,Y$1-3,FALSE)</f>
        <v>5477.6409347314548</v>
      </c>
      <c r="Z89">
        <f>VLOOKUP($C89,'2017 Seattle Tracts Conc'!$BA$3:$BT$95,Z$1-3,FALSE)</f>
        <v>1084.9397572463247</v>
      </c>
      <c r="AA89">
        <f>VLOOKUP($C89,'2017 Seattle Tracts Conc'!$BA$3:$BT$95,AA$1-3,FALSE)</f>
        <v>3395.0051464966227</v>
      </c>
      <c r="AB89">
        <f>VLOOKUP($C89,'2017 Seattle Tracts Conc'!$BA$3:$BT$95,AB$1-3,FALSE)</f>
        <v>309.18525885983991</v>
      </c>
      <c r="AC89">
        <f>VLOOKUP($C89,'2017 Seattle Tracts Conc'!$BA$3:$BT$95,AC$1-3,FALSE)</f>
        <v>127.93009858519736</v>
      </c>
      <c r="AD89">
        <f>VLOOKUP($C89,'2017 Seattle Tracts Conc'!$BA$3:$BT$95,AD$1-3,FALSE)</f>
        <v>33.100763991685952</v>
      </c>
      <c r="AE89">
        <f>VLOOKUP($C89,'2017 Seattle Tracts Conc'!$BA$3:$BT$95,AE$1-3,FALSE)</f>
        <v>894.53830058577626</v>
      </c>
      <c r="AF89">
        <f>VLOOKUP($C89,'2017 Seattle Tracts Conc'!$BA$3:$BT$95,AF$1-3,FALSE)</f>
        <v>270.1457355310057</v>
      </c>
      <c r="AG89">
        <f>VLOOKUP($C89,'2017 Seattle Tracts Conc'!$BA$3:$BT$95,AG$1-3,FALSE)</f>
        <v>13.80834260083577</v>
      </c>
      <c r="AH89">
        <f>VLOOKUP($C89,'2017 Seattle Tracts Conc'!$BA$3:$BT$95,AH$1-3,FALSE)</f>
        <v>26.430972247841144</v>
      </c>
      <c r="AI89">
        <f>VLOOKUP($C89,'2017 Seattle Tracts Conc'!$BA$3:$BT$95,AI$1-3,FALSE)</f>
        <v>305.48610090508839</v>
      </c>
      <c r="AJ89">
        <f>VLOOKUP($C89,'2017 Seattle Tracts Conc'!$BA$3:$BT$95,AJ$1-3,FALSE)</f>
        <v>316.19190240727903</v>
      </c>
      <c r="AK89">
        <f>VLOOKUP($C89,'2017 Seattle Tracts Conc'!$BA$3:$BT$95,AK$1-3,FALSE)</f>
        <v>17.599289533696179</v>
      </c>
      <c r="AL89">
        <f>VLOOKUP($C89,'2017 Seattle Tracts Conc'!$BA$3:$BT$95,AL$1-3,FALSE)</f>
        <v>13.942294305915155</v>
      </c>
      <c r="AM89">
        <f>VLOOKUP($C89,'2017 Seattle Tracts Conc'!$BA$3:$BT$95,AM$1-3,FALSE)</f>
        <v>66.621244020727133</v>
      </c>
      <c r="AN89">
        <f>VLOOKUP($C89,'2017 Seattle Tracts Conc'!$BA$3:$BT$95,AN$1-3,FALSE)</f>
        <v>47.431475763295701</v>
      </c>
      <c r="AO89">
        <f>VLOOKUP($C89,'2017 Seattle Tracts Conc'!$BA$3:$BT$95,AO$1-3,FALSE)</f>
        <v>656.65241200351124</v>
      </c>
      <c r="AP89">
        <f>VLOOKUP($C89,'2017 Seattle Tracts Conc'!$BA$3:$BT$95,AP$1-3,FALSE)</f>
        <v>68.511354139462171</v>
      </c>
    </row>
    <row r="90" spans="1:42" x14ac:dyDescent="0.25">
      <c r="A90">
        <v>155</v>
      </c>
      <c r="B90" t="s">
        <v>2495</v>
      </c>
      <c r="C90" t="s">
        <v>153</v>
      </c>
      <c r="D90" t="s">
        <v>149</v>
      </c>
      <c r="E90">
        <f>VLOOKUP($C90,'2000 Seattle Tracts Conc'!$AZ$3:$BS$94,E$1,FALSE)</f>
        <v>3857.9758200721044</v>
      </c>
      <c r="F90">
        <f>VLOOKUP($C90,'2000 Seattle Tracts Conc'!$AZ$3:$BS$94,F$1,FALSE)</f>
        <v>3448.8533436088501</v>
      </c>
      <c r="G90">
        <f>VLOOKUP($C90,'2000 Seattle Tracts Conc'!$AZ$3:$BS$94,G$1,FALSE)</f>
        <v>409.122476463255</v>
      </c>
      <c r="H90">
        <f>VLOOKUP($C90,'2000 Seattle Tracts Conc'!$AZ$3:$BS$94,H$1,FALSE)</f>
        <v>1452.671938694547</v>
      </c>
      <c r="I90">
        <f>VLOOKUP($C90,'2000 Seattle Tracts Conc'!$AZ$3:$BS$94,I$1,FALSE)</f>
        <v>128.48584362406183</v>
      </c>
      <c r="J90">
        <f>VLOOKUP($C90,'2000 Seattle Tracts Conc'!$AZ$3:$BS$94,J$1,FALSE)</f>
        <v>24.904878610810488</v>
      </c>
      <c r="K90">
        <f>VLOOKUP($C90,'2000 Seattle Tracts Conc'!$AZ$3:$BS$94,K$1,FALSE)</f>
        <v>81.79518982087464</v>
      </c>
      <c r="L90">
        <f>VLOOKUP($C90,'2000 Seattle Tracts Conc'!$AZ$3:$BS$94,L$1,FALSE)</f>
        <v>1705.8608524201011</v>
      </c>
      <c r="M90">
        <f>VLOOKUP($C90,'2000 Seattle Tracts Conc'!$AZ$3:$BS$94,M$1,FALSE)</f>
        <v>44.097307771407017</v>
      </c>
      <c r="N90">
        <f>VLOOKUP($C90,'2000 Seattle Tracts Conc'!$AZ$3:$BS$94,N$1,FALSE)</f>
        <v>18.327974392603949</v>
      </c>
      <c r="O90">
        <f>VLOOKUP($C90,'2000 Seattle Tracts Conc'!$AZ$3:$BS$94,O$1,FALSE)</f>
        <v>1.8354006768434483</v>
      </c>
      <c r="P90">
        <f>VLOOKUP($C90,'2000 Seattle Tracts Conc'!$AZ$3:$BS$94,P$1,FALSE)</f>
        <v>63.091383161041932</v>
      </c>
      <c r="Q90">
        <f>VLOOKUP($C90,'2000 Seattle Tracts Conc'!$AZ$3:$BS$94,Q$1,FALSE)</f>
        <v>65.608055994367476</v>
      </c>
      <c r="R90">
        <f>VLOOKUP($C90,'2000 Seattle Tracts Conc'!$AZ$3:$BS$94,R$1,FALSE)</f>
        <v>2.577360093501917</v>
      </c>
      <c r="S90">
        <f>VLOOKUP($C90,'2000 Seattle Tracts Conc'!$AZ$3:$BS$94,S$1,FALSE)</f>
        <v>5.434873474258816E-3</v>
      </c>
      <c r="T90">
        <f>VLOOKUP($C90,'2000 Seattle Tracts Conc'!$AZ$3:$BS$94,T$1,FALSE)</f>
        <v>53.269193487245218</v>
      </c>
      <c r="U90">
        <f>VLOOKUP($C90,'2000 Seattle Tracts Conc'!$AZ$3:$BS$94,U$1,FALSE)</f>
        <v>55.927125067575375</v>
      </c>
      <c r="V90">
        <f>VLOOKUP($C90,'2000 Seattle Tracts Conc'!$AZ$3:$BS$94,V$1,FALSE)</f>
        <v>128.14976274899854</v>
      </c>
      <c r="W90">
        <f>VLOOKUP($C90,'2000 Seattle Tracts Conc'!$AZ$3:$BS$94,W$1,FALSE)</f>
        <v>31.368118634650941</v>
      </c>
      <c r="X90" s="4">
        <f>VLOOKUP($C90,'2017 Seattle Tracts Conc'!$BA$3:$BT$95,X$1-3,FALSE)</f>
        <v>4870.0971983071995</v>
      </c>
      <c r="Y90">
        <f>VLOOKUP($C90,'2017 Seattle Tracts Conc'!$BA$3:$BT$95,Y$1-3,FALSE)</f>
        <v>4230.5671700088687</v>
      </c>
      <c r="Z90">
        <f>VLOOKUP($C90,'2017 Seattle Tracts Conc'!$BA$3:$BT$95,Z$1-3,FALSE)</f>
        <v>639.53002829833076</v>
      </c>
      <c r="AA90">
        <f>VLOOKUP($C90,'2017 Seattle Tracts Conc'!$BA$3:$BT$95,AA$1-3,FALSE)</f>
        <v>2880.2981021369333</v>
      </c>
      <c r="AB90">
        <f>VLOOKUP($C90,'2017 Seattle Tracts Conc'!$BA$3:$BT$95,AB$1-3,FALSE)</f>
        <v>202.55484863489659</v>
      </c>
      <c r="AC90">
        <f>VLOOKUP($C90,'2017 Seattle Tracts Conc'!$BA$3:$BT$95,AC$1-3,FALSE)</f>
        <v>129.34251654396198</v>
      </c>
      <c r="AD90">
        <f>VLOOKUP($C90,'2017 Seattle Tracts Conc'!$BA$3:$BT$95,AD$1-3,FALSE)</f>
        <v>42.099598841466005</v>
      </c>
      <c r="AE90">
        <f>VLOOKUP($C90,'2017 Seattle Tracts Conc'!$BA$3:$BT$95,AE$1-3,FALSE)</f>
        <v>528.48489912314199</v>
      </c>
      <c r="AF90">
        <f>VLOOKUP($C90,'2017 Seattle Tracts Conc'!$BA$3:$BT$95,AF$1-3,FALSE)</f>
        <v>47.843975396622419</v>
      </c>
      <c r="AG90">
        <f>VLOOKUP($C90,'2017 Seattle Tracts Conc'!$BA$3:$BT$95,AG$1-3,FALSE)</f>
        <v>31.105847690918438</v>
      </c>
      <c r="AH90">
        <f>VLOOKUP($C90,'2017 Seattle Tracts Conc'!$BA$3:$BT$95,AH$1-3,FALSE)</f>
        <v>0</v>
      </c>
      <c r="AI90">
        <f>VLOOKUP($C90,'2017 Seattle Tracts Conc'!$BA$3:$BT$95,AI$1-3,FALSE)</f>
        <v>126.60344171675565</v>
      </c>
      <c r="AJ90">
        <f>VLOOKUP($C90,'2017 Seattle Tracts Conc'!$BA$3:$BT$95,AJ$1-3,FALSE)</f>
        <v>253.15877396233816</v>
      </c>
      <c r="AK90">
        <f>VLOOKUP($C90,'2017 Seattle Tracts Conc'!$BA$3:$BT$95,AK$1-3,FALSE)</f>
        <v>47.108617372315173</v>
      </c>
      <c r="AL90">
        <f>VLOOKUP($C90,'2017 Seattle Tracts Conc'!$BA$3:$BT$95,AL$1-3,FALSE)</f>
        <v>37.319813762483449</v>
      </c>
      <c r="AM90">
        <f>VLOOKUP($C90,'2017 Seattle Tracts Conc'!$BA$3:$BT$95,AM$1-3,FALSE)</f>
        <v>131.76018716041392</v>
      </c>
      <c r="AN90">
        <f>VLOOKUP($C90,'2017 Seattle Tracts Conc'!$BA$3:$BT$95,AN$1-3,FALSE)</f>
        <v>49.775388123091496</v>
      </c>
      <c r="AO90">
        <f>VLOOKUP($C90,'2017 Seattle Tracts Conc'!$BA$3:$BT$95,AO$1-3,FALSE)</f>
        <v>355.86355826442849</v>
      </c>
      <c r="AP90">
        <f>VLOOKUP($C90,'2017 Seattle Tracts Conc'!$BA$3:$BT$95,AP$1-3,FALSE)</f>
        <v>6.7776295774326245</v>
      </c>
    </row>
    <row r="91" spans="1:42" x14ac:dyDescent="0.25">
      <c r="A91">
        <v>165</v>
      </c>
      <c r="B91" t="s">
        <v>2495</v>
      </c>
      <c r="C91" t="s">
        <v>154</v>
      </c>
      <c r="D91" t="s">
        <v>149</v>
      </c>
      <c r="E91">
        <f>VLOOKUP($C91,'2000 Seattle Tracts Conc'!$AZ$3:$BS$94,E$1,FALSE)</f>
        <v>5409.4362503188295</v>
      </c>
      <c r="F91">
        <f>VLOOKUP($C91,'2000 Seattle Tracts Conc'!$AZ$3:$BS$94,F$1,FALSE)</f>
        <v>3712.3680157949593</v>
      </c>
      <c r="G91">
        <f>VLOOKUP($C91,'2000 Seattle Tracts Conc'!$AZ$3:$BS$94,G$1,FALSE)</f>
        <v>1697.0682345238706</v>
      </c>
      <c r="H91">
        <f>VLOOKUP($C91,'2000 Seattle Tracts Conc'!$AZ$3:$BS$94,H$1,FALSE)</f>
        <v>1450.3000796775668</v>
      </c>
      <c r="I91">
        <f>VLOOKUP($C91,'2000 Seattle Tracts Conc'!$AZ$3:$BS$94,I$1,FALSE)</f>
        <v>94.93241067208379</v>
      </c>
      <c r="J91">
        <f>VLOOKUP($C91,'2000 Seattle Tracts Conc'!$AZ$3:$BS$94,J$1,FALSE)</f>
        <v>88.362356588818287</v>
      </c>
      <c r="K91">
        <f>VLOOKUP($C91,'2000 Seattle Tracts Conc'!$AZ$3:$BS$94,K$1,FALSE)</f>
        <v>114.83163010390803</v>
      </c>
      <c r="L91">
        <f>VLOOKUP($C91,'2000 Seattle Tracts Conc'!$AZ$3:$BS$94,L$1,FALSE)</f>
        <v>1335.4036022154849</v>
      </c>
      <c r="M91">
        <f>VLOOKUP($C91,'2000 Seattle Tracts Conc'!$AZ$3:$BS$94,M$1,FALSE)</f>
        <v>177.40028081508271</v>
      </c>
      <c r="N91">
        <f>VLOOKUP($C91,'2000 Seattle Tracts Conc'!$AZ$3:$BS$94,N$1,FALSE)</f>
        <v>50.841610224766647</v>
      </c>
      <c r="O91">
        <f>VLOOKUP($C91,'2000 Seattle Tracts Conc'!$AZ$3:$BS$94,O$1,FALSE)</f>
        <v>7.1505229817658469</v>
      </c>
      <c r="P91">
        <f>VLOOKUP($C91,'2000 Seattle Tracts Conc'!$AZ$3:$BS$94,P$1,FALSE)</f>
        <v>462.57197982137347</v>
      </c>
      <c r="Q91">
        <f>VLOOKUP($C91,'2000 Seattle Tracts Conc'!$AZ$3:$BS$94,Q$1,FALSE)</f>
        <v>1100.2503419104564</v>
      </c>
      <c r="R91">
        <f>VLOOKUP($C91,'2000 Seattle Tracts Conc'!$AZ$3:$BS$94,R$1,FALSE)</f>
        <v>9.635792483095452</v>
      </c>
      <c r="S91">
        <f>VLOOKUP($C91,'2000 Seattle Tracts Conc'!$AZ$3:$BS$94,S$1,FALSE)</f>
        <v>5.9316733809673421</v>
      </c>
      <c r="T91">
        <f>VLOOKUP($C91,'2000 Seattle Tracts Conc'!$AZ$3:$BS$94,T$1,FALSE)</f>
        <v>97.131381859728151</v>
      </c>
      <c r="U91">
        <f>VLOOKUP($C91,'2000 Seattle Tracts Conc'!$AZ$3:$BS$94,U$1,FALSE)</f>
        <v>112.62936918742945</v>
      </c>
      <c r="V91">
        <f>VLOOKUP($C91,'2000 Seattle Tracts Conc'!$AZ$3:$BS$94,V$1,FALSE)</f>
        <v>218.12121292412598</v>
      </c>
      <c r="W91">
        <f>VLOOKUP($C91,'2000 Seattle Tracts Conc'!$AZ$3:$BS$94,W$1,FALSE)</f>
        <v>83.942005472176945</v>
      </c>
      <c r="X91" s="4">
        <f>VLOOKUP($C91,'2017 Seattle Tracts Conc'!$BA$3:$BT$95,X$1-3,FALSE)</f>
        <v>7512.4275440666042</v>
      </c>
      <c r="Y91">
        <f>VLOOKUP($C91,'2017 Seattle Tracts Conc'!$BA$3:$BT$95,Y$1-3,FALSE)</f>
        <v>5322.2998855835294</v>
      </c>
      <c r="Z91">
        <f>VLOOKUP($C91,'2017 Seattle Tracts Conc'!$BA$3:$BT$95,Z$1-3,FALSE)</f>
        <v>2190.1276584830753</v>
      </c>
      <c r="AA91">
        <f>VLOOKUP($C91,'2017 Seattle Tracts Conc'!$BA$3:$BT$95,AA$1-3,FALSE)</f>
        <v>2929.9606192109818</v>
      </c>
      <c r="AB91">
        <f>VLOOKUP($C91,'2017 Seattle Tracts Conc'!$BA$3:$BT$95,AB$1-3,FALSE)</f>
        <v>275.66034499104796</v>
      </c>
      <c r="AC91">
        <f>VLOOKUP($C91,'2017 Seattle Tracts Conc'!$BA$3:$BT$95,AC$1-3,FALSE)</f>
        <v>139.59682729951464</v>
      </c>
      <c r="AD91">
        <f>VLOOKUP($C91,'2017 Seattle Tracts Conc'!$BA$3:$BT$95,AD$1-3,FALSE)</f>
        <v>62.745494006137633</v>
      </c>
      <c r="AE91">
        <f>VLOOKUP($C91,'2017 Seattle Tracts Conc'!$BA$3:$BT$95,AE$1-3,FALSE)</f>
        <v>1090.7971920583882</v>
      </c>
      <c r="AF91">
        <f>VLOOKUP($C91,'2017 Seattle Tracts Conc'!$BA$3:$BT$95,AF$1-3,FALSE)</f>
        <v>545.38554300050919</v>
      </c>
      <c r="AG91">
        <f>VLOOKUP($C91,'2017 Seattle Tracts Conc'!$BA$3:$BT$95,AG$1-3,FALSE)</f>
        <v>64.727809826077262</v>
      </c>
      <c r="AH91">
        <f>VLOOKUP($C91,'2017 Seattle Tracts Conc'!$BA$3:$BT$95,AH$1-3,FALSE)</f>
        <v>11.521682937391084</v>
      </c>
      <c r="AI91">
        <f>VLOOKUP($C91,'2017 Seattle Tracts Conc'!$BA$3:$BT$95,AI$1-3,FALSE)</f>
        <v>467.58992480734446</v>
      </c>
      <c r="AJ91">
        <f>VLOOKUP($C91,'2017 Seattle Tracts Conc'!$BA$3:$BT$95,AJ$1-3,FALSE)</f>
        <v>1028.0877482246485</v>
      </c>
      <c r="AK91">
        <f>VLOOKUP($C91,'2017 Seattle Tracts Conc'!$BA$3:$BT$95,AK$1-3,FALSE)</f>
        <v>12.443872842258529</v>
      </c>
      <c r="AL91">
        <f>VLOOKUP($C91,'2017 Seattle Tracts Conc'!$BA$3:$BT$95,AL$1-3,FALSE)</f>
        <v>3.9320517746683645E-2</v>
      </c>
      <c r="AM91">
        <f>VLOOKUP($C91,'2017 Seattle Tracts Conc'!$BA$3:$BT$95,AM$1-3,FALSE)</f>
        <v>68.592701065907349</v>
      </c>
      <c r="AN91">
        <f>VLOOKUP($C91,'2017 Seattle Tracts Conc'!$BA$3:$BT$95,AN$1-3,FALSE)</f>
        <v>161.30884352446301</v>
      </c>
      <c r="AO91">
        <f>VLOOKUP($C91,'2017 Seattle Tracts Conc'!$BA$3:$BT$95,AO$1-3,FALSE)</f>
        <v>548.59093847305724</v>
      </c>
      <c r="AP91">
        <f>VLOOKUP($C91,'2017 Seattle Tracts Conc'!$BA$3:$BT$95,AP$1-3,FALSE)</f>
        <v>105.37868128113095</v>
      </c>
    </row>
    <row r="92" spans="1:42" x14ac:dyDescent="0.25">
      <c r="A92">
        <v>201</v>
      </c>
      <c r="B92" t="s">
        <v>2495</v>
      </c>
      <c r="C92" t="s">
        <v>155</v>
      </c>
      <c r="D92" t="s">
        <v>156</v>
      </c>
      <c r="E92">
        <f>VLOOKUP($C92,'2000 Seattle Tracts Conc'!$AZ$3:$BS$94,E$1,FALSE)</f>
        <v>1288.0978826033895</v>
      </c>
      <c r="F92">
        <f>VLOOKUP($C92,'2000 Seattle Tracts Conc'!$AZ$3:$BS$94,F$1,FALSE)</f>
        <v>1094.5941185119061</v>
      </c>
      <c r="G92">
        <f>VLOOKUP($C92,'2000 Seattle Tracts Conc'!$AZ$3:$BS$94,G$1,FALSE)</f>
        <v>193.50376409148328</v>
      </c>
      <c r="H92">
        <f>VLOOKUP($C92,'2000 Seattle Tracts Conc'!$AZ$3:$BS$94,H$1,FALSE)</f>
        <v>825.48314789283768</v>
      </c>
      <c r="I92">
        <f>VLOOKUP($C92,'2000 Seattle Tracts Conc'!$AZ$3:$BS$94,I$1,FALSE)</f>
        <v>72.411078400728272</v>
      </c>
      <c r="J92">
        <f>VLOOKUP($C92,'2000 Seattle Tracts Conc'!$AZ$3:$BS$94,J$1,FALSE)</f>
        <v>21.011041562550211</v>
      </c>
      <c r="K92">
        <f>VLOOKUP($C92,'2000 Seattle Tracts Conc'!$AZ$3:$BS$94,K$1,FALSE)</f>
        <v>2.0209446888835654</v>
      </c>
      <c r="L92">
        <f>VLOOKUP($C92,'2000 Seattle Tracts Conc'!$AZ$3:$BS$94,L$1,FALSE)</f>
        <v>142.19407137029836</v>
      </c>
      <c r="M92">
        <f>VLOOKUP($C92,'2000 Seattle Tracts Conc'!$AZ$3:$BS$94,M$1,FALSE)</f>
        <v>12.324930689829424</v>
      </c>
      <c r="N92">
        <f>VLOOKUP($C92,'2000 Seattle Tracts Conc'!$AZ$3:$BS$94,N$1,FALSE)</f>
        <v>24.299539856181763</v>
      </c>
      <c r="O92">
        <f>VLOOKUP($C92,'2000 Seattle Tracts Conc'!$AZ$3:$BS$94,O$1,FALSE)</f>
        <v>3.4309133309571154</v>
      </c>
      <c r="P92">
        <f>VLOOKUP($C92,'2000 Seattle Tracts Conc'!$AZ$3:$BS$94,P$1,FALSE)</f>
        <v>24.874439757794221</v>
      </c>
      <c r="Q92">
        <f>VLOOKUP($C92,'2000 Seattle Tracts Conc'!$AZ$3:$BS$94,Q$1,FALSE)</f>
        <v>75.325999525636036</v>
      </c>
      <c r="R92">
        <f>VLOOKUP($C92,'2000 Seattle Tracts Conc'!$AZ$3:$BS$94,R$1,FALSE)</f>
        <v>0</v>
      </c>
      <c r="S92">
        <f>VLOOKUP($C92,'2000 Seattle Tracts Conc'!$AZ$3:$BS$94,S$1,FALSE)</f>
        <v>0</v>
      </c>
      <c r="T92">
        <f>VLOOKUP($C92,'2000 Seattle Tracts Conc'!$AZ$3:$BS$94,T$1,FALSE)</f>
        <v>8.7188371778585836</v>
      </c>
      <c r="U92">
        <f>VLOOKUP($C92,'2000 Seattle Tracts Conc'!$AZ$3:$BS$94,U$1,FALSE)</f>
        <v>18.847280712521385</v>
      </c>
      <c r="V92">
        <f>VLOOKUP($C92,'2000 Seattle Tracts Conc'!$AZ$3:$BS$94,V$1,FALSE)</f>
        <v>48.013040894385313</v>
      </c>
      <c r="W92">
        <f>VLOOKUP($C92,'2000 Seattle Tracts Conc'!$AZ$3:$BS$94,W$1,FALSE)</f>
        <v>9.1426167429274656</v>
      </c>
      <c r="X92" s="4">
        <f>VLOOKUP($C92,'2017 Seattle Tracts Conc'!$BA$3:$BT$95,X$1-3,FALSE)</f>
        <v>1804.2475462324123</v>
      </c>
      <c r="Y92">
        <f>VLOOKUP($C92,'2017 Seattle Tracts Conc'!$BA$3:$BT$95,Y$1-3,FALSE)</f>
        <v>1405.7926670143331</v>
      </c>
      <c r="Z92">
        <f>VLOOKUP($C92,'2017 Seattle Tracts Conc'!$BA$3:$BT$95,Z$1-3,FALSE)</f>
        <v>398.45487921807933</v>
      </c>
      <c r="AA92">
        <f>VLOOKUP($C92,'2017 Seattle Tracts Conc'!$BA$3:$BT$95,AA$1-3,FALSE)</f>
        <v>1046.7835367517448</v>
      </c>
      <c r="AB92">
        <f>VLOOKUP($C92,'2017 Seattle Tracts Conc'!$BA$3:$BT$95,AB$1-3,FALSE)</f>
        <v>100.43160183326708</v>
      </c>
      <c r="AC92">
        <f>VLOOKUP($C92,'2017 Seattle Tracts Conc'!$BA$3:$BT$95,AC$1-3,FALSE)</f>
        <v>47.145653040902737</v>
      </c>
      <c r="AD92">
        <f>VLOOKUP($C92,'2017 Seattle Tracts Conc'!$BA$3:$BT$95,AD$1-3,FALSE)</f>
        <v>15.630261220644973</v>
      </c>
      <c r="AE92">
        <f>VLOOKUP($C92,'2017 Seattle Tracts Conc'!$BA$3:$BT$95,AE$1-3,FALSE)</f>
        <v>104.01088897137767</v>
      </c>
      <c r="AF92">
        <f>VLOOKUP($C92,'2017 Seattle Tracts Conc'!$BA$3:$BT$95,AF$1-3,FALSE)</f>
        <v>32.92094437817039</v>
      </c>
      <c r="AG92">
        <f>VLOOKUP($C92,'2017 Seattle Tracts Conc'!$BA$3:$BT$95,AG$1-3,FALSE)</f>
        <v>32.607415084134459</v>
      </c>
      <c r="AH92">
        <f>VLOOKUP($C92,'2017 Seattle Tracts Conc'!$BA$3:$BT$95,AH$1-3,FALSE)</f>
        <v>4.6033646277092721</v>
      </c>
      <c r="AI92">
        <f>VLOOKUP($C92,'2017 Seattle Tracts Conc'!$BA$3:$BT$95,AI$1-3,FALSE)</f>
        <v>57.568481275513747</v>
      </c>
      <c r="AJ92">
        <f>VLOOKUP($C92,'2017 Seattle Tracts Conc'!$BA$3:$BT$95,AJ$1-3,FALSE)</f>
        <v>200.20124679721692</v>
      </c>
      <c r="AK92">
        <f>VLOOKUP($C92,'2017 Seattle Tracts Conc'!$BA$3:$BT$95,AK$1-3,FALSE)</f>
        <v>2.4359212798549841</v>
      </c>
      <c r="AL92">
        <f>VLOOKUP($C92,'2017 Seattle Tracts Conc'!$BA$3:$BT$95,AL$1-3,FALSE)</f>
        <v>0</v>
      </c>
      <c r="AM92">
        <f>VLOOKUP($C92,'2017 Seattle Tracts Conc'!$BA$3:$BT$95,AM$1-3,FALSE)</f>
        <v>13.262271945926829</v>
      </c>
      <c r="AN92">
        <f>VLOOKUP($C92,'2017 Seattle Tracts Conc'!$BA$3:$BT$95,AN$1-3,FALSE)</f>
        <v>41.386984122867695</v>
      </c>
      <c r="AO92">
        <f>VLOOKUP($C92,'2017 Seattle Tracts Conc'!$BA$3:$BT$95,AO$1-3,FALSE)</f>
        <v>101.97849866487786</v>
      </c>
      <c r="AP92">
        <f>VLOOKUP($C92,'2017 Seattle Tracts Conc'!$BA$3:$BT$95,AP$1-3,FALSE)</f>
        <v>3.2804762382030326</v>
      </c>
    </row>
    <row r="93" spans="1:42" x14ac:dyDescent="0.25">
      <c r="A93">
        <v>156</v>
      </c>
      <c r="B93" t="s">
        <v>2495</v>
      </c>
      <c r="C93" t="s">
        <v>157</v>
      </c>
      <c r="D93" t="s">
        <v>156</v>
      </c>
      <c r="E93">
        <f>VLOOKUP($C93,'2000 Seattle Tracts Conc'!$AZ$3:$BS$94,E$1,FALSE)</f>
        <v>7448.7776928593175</v>
      </c>
      <c r="F93">
        <f>VLOOKUP($C93,'2000 Seattle Tracts Conc'!$AZ$3:$BS$94,F$1,FALSE)</f>
        <v>6253.3715781640212</v>
      </c>
      <c r="G93">
        <f>VLOOKUP($C93,'2000 Seattle Tracts Conc'!$AZ$3:$BS$94,G$1,FALSE)</f>
        <v>1195.4061146952977</v>
      </c>
      <c r="H93">
        <f>VLOOKUP($C93,'2000 Seattle Tracts Conc'!$AZ$3:$BS$94,H$1,FALSE)</f>
        <v>4800.8392006705171</v>
      </c>
      <c r="I93">
        <f>VLOOKUP($C93,'2000 Seattle Tracts Conc'!$AZ$3:$BS$94,I$1,FALSE)</f>
        <v>442.17125261040047</v>
      </c>
      <c r="J93">
        <f>VLOOKUP($C93,'2000 Seattle Tracts Conc'!$AZ$3:$BS$94,J$1,FALSE)</f>
        <v>52.290065486746059</v>
      </c>
      <c r="K93">
        <f>VLOOKUP($C93,'2000 Seattle Tracts Conc'!$AZ$3:$BS$94,K$1,FALSE)</f>
        <v>85.593916487055026</v>
      </c>
      <c r="L93">
        <f>VLOOKUP($C93,'2000 Seattle Tracts Conc'!$AZ$3:$BS$94,L$1,FALSE)</f>
        <v>660.64463830603495</v>
      </c>
      <c r="M93">
        <f>VLOOKUP($C93,'2000 Seattle Tracts Conc'!$AZ$3:$BS$94,M$1,FALSE)</f>
        <v>64.256517144237705</v>
      </c>
      <c r="N93">
        <f>VLOOKUP($C93,'2000 Seattle Tracts Conc'!$AZ$3:$BS$94,N$1,FALSE)</f>
        <v>162.29943474707886</v>
      </c>
      <c r="O93">
        <f>VLOOKUP($C93,'2000 Seattle Tracts Conc'!$AZ$3:$BS$94,O$1,FALSE)</f>
        <v>23.458995632042019</v>
      </c>
      <c r="P93">
        <f>VLOOKUP($C93,'2000 Seattle Tracts Conc'!$AZ$3:$BS$94,P$1,FALSE)</f>
        <v>187.66193297815667</v>
      </c>
      <c r="Q93">
        <f>VLOOKUP($C93,'2000 Seattle Tracts Conc'!$AZ$3:$BS$94,Q$1,FALSE)</f>
        <v>447.01857935488073</v>
      </c>
      <c r="R93">
        <f>VLOOKUP($C93,'2000 Seattle Tracts Conc'!$AZ$3:$BS$94,R$1,FALSE)</f>
        <v>4.248765782702808</v>
      </c>
      <c r="S93">
        <f>VLOOKUP($C93,'2000 Seattle Tracts Conc'!$AZ$3:$BS$94,S$1,FALSE)</f>
        <v>8.5899448695974769E-7</v>
      </c>
      <c r="T93">
        <f>VLOOKUP($C93,'2000 Seattle Tracts Conc'!$AZ$3:$BS$94,T$1,FALSE)</f>
        <v>89.355067290304021</v>
      </c>
      <c r="U93">
        <f>VLOOKUP($C93,'2000 Seattle Tracts Conc'!$AZ$3:$BS$94,U$1,FALSE)</f>
        <v>65.672173003753059</v>
      </c>
      <c r="V93">
        <f>VLOOKUP($C93,'2000 Seattle Tracts Conc'!$AZ$3:$BS$94,V$1,FALSE)</f>
        <v>296.03247290247998</v>
      </c>
      <c r="W93">
        <f>VLOOKUP($C93,'2000 Seattle Tracts Conc'!$AZ$3:$BS$94,W$1,FALSE)</f>
        <v>67.234679603934026</v>
      </c>
      <c r="X93" s="4">
        <f>VLOOKUP($C93,'2017 Seattle Tracts Conc'!$BA$3:$BT$95,X$1-3,FALSE)</f>
        <v>15177.685144255536</v>
      </c>
      <c r="Y93">
        <f>VLOOKUP($C93,'2017 Seattle Tracts Conc'!$BA$3:$BT$95,Y$1-3,FALSE)</f>
        <v>10395.957029917476</v>
      </c>
      <c r="Z93">
        <f>VLOOKUP($C93,'2017 Seattle Tracts Conc'!$BA$3:$BT$95,Z$1-3,FALSE)</f>
        <v>4781.7281143380605</v>
      </c>
      <c r="AA93">
        <f>VLOOKUP($C93,'2017 Seattle Tracts Conc'!$BA$3:$BT$95,AA$1-3,FALSE)</f>
        <v>7500.2428728353461</v>
      </c>
      <c r="AB93">
        <f>VLOOKUP($C93,'2017 Seattle Tracts Conc'!$BA$3:$BT$95,AB$1-3,FALSE)</f>
        <v>1436.4060669298224</v>
      </c>
      <c r="AC93">
        <f>VLOOKUP($C93,'2017 Seattle Tracts Conc'!$BA$3:$BT$95,AC$1-3,FALSE)</f>
        <v>480.85258679262978</v>
      </c>
      <c r="AD93">
        <f>VLOOKUP($C93,'2017 Seattle Tracts Conc'!$BA$3:$BT$95,AD$1-3,FALSE)</f>
        <v>220.96141591823647</v>
      </c>
      <c r="AE93">
        <f>VLOOKUP($C93,'2017 Seattle Tracts Conc'!$BA$3:$BT$95,AE$1-3,FALSE)</f>
        <v>837.26555046682608</v>
      </c>
      <c r="AF93">
        <f>VLOOKUP($C93,'2017 Seattle Tracts Conc'!$BA$3:$BT$95,AF$1-3,FALSE)</f>
        <v>275.48627679425897</v>
      </c>
      <c r="AG93">
        <f>VLOOKUP($C93,'2017 Seattle Tracts Conc'!$BA$3:$BT$95,AG$1-3,FALSE)</f>
        <v>93.89999559856426</v>
      </c>
      <c r="AH93">
        <f>VLOOKUP($C93,'2017 Seattle Tracts Conc'!$BA$3:$BT$95,AH$1-3,FALSE)</f>
        <v>15.388142337692777</v>
      </c>
      <c r="AI93">
        <f>VLOOKUP($C93,'2017 Seattle Tracts Conc'!$BA$3:$BT$95,AI$1-3,FALSE)</f>
        <v>678.85434730076429</v>
      </c>
      <c r="AJ93">
        <f>VLOOKUP($C93,'2017 Seattle Tracts Conc'!$BA$3:$BT$95,AJ$1-3,FALSE)</f>
        <v>2466.4616981431695</v>
      </c>
      <c r="AK93">
        <f>VLOOKUP($C93,'2017 Seattle Tracts Conc'!$BA$3:$BT$95,AK$1-3,FALSE)</f>
        <v>20.995730285063871</v>
      </c>
      <c r="AL93">
        <f>VLOOKUP($C93,'2017 Seattle Tracts Conc'!$BA$3:$BT$95,AL$1-3,FALSE)</f>
        <v>0</v>
      </c>
      <c r="AM93">
        <f>VLOOKUP($C93,'2017 Seattle Tracts Conc'!$BA$3:$BT$95,AM$1-3,FALSE)</f>
        <v>91.433014638963684</v>
      </c>
      <c r="AN93">
        <f>VLOOKUP($C93,'2017 Seattle Tracts Conc'!$BA$3:$BT$95,AN$1-3,FALSE)</f>
        <v>151.31805969959453</v>
      </c>
      <c r="AO93">
        <f>VLOOKUP($C93,'2017 Seattle Tracts Conc'!$BA$3:$BT$95,AO$1-3,FALSE)</f>
        <v>692.41293199931749</v>
      </c>
      <c r="AP93">
        <f>VLOOKUP($C93,'2017 Seattle Tracts Conc'!$BA$3:$BT$95,AP$1-3,FALSE)</f>
        <v>215.70645451528668</v>
      </c>
    </row>
    <row r="94" spans="1:42" x14ac:dyDescent="0.25">
      <c r="A94">
        <v>164</v>
      </c>
      <c r="B94" t="s">
        <v>2495</v>
      </c>
      <c r="C94" t="s">
        <v>158</v>
      </c>
      <c r="D94" t="s">
        <v>156</v>
      </c>
      <c r="E94">
        <f>VLOOKUP($C94,'2000 Seattle Tracts Conc'!$AZ$3:$BS$94,E$1,FALSE)</f>
        <v>2487.966506614719</v>
      </c>
      <c r="F94">
        <f>VLOOKUP($C94,'2000 Seattle Tracts Conc'!$AZ$3:$BS$94,F$1,FALSE)</f>
        <v>1132.0882097085896</v>
      </c>
      <c r="G94">
        <f>VLOOKUP($C94,'2000 Seattle Tracts Conc'!$AZ$3:$BS$94,G$1,FALSE)</f>
        <v>1355.8782969061297</v>
      </c>
      <c r="H94">
        <f>VLOOKUP($C94,'2000 Seattle Tracts Conc'!$AZ$3:$BS$94,H$1,FALSE)</f>
        <v>523.04789290806298</v>
      </c>
      <c r="I94">
        <f>VLOOKUP($C94,'2000 Seattle Tracts Conc'!$AZ$3:$BS$94,I$1,FALSE)</f>
        <v>38.384865834502548</v>
      </c>
      <c r="J94">
        <f>VLOOKUP($C94,'2000 Seattle Tracts Conc'!$AZ$3:$BS$94,J$1,FALSE)</f>
        <v>20.75100896030494</v>
      </c>
      <c r="K94">
        <f>VLOOKUP($C94,'2000 Seattle Tracts Conc'!$AZ$3:$BS$94,K$1,FALSE)</f>
        <v>47.852998873424781</v>
      </c>
      <c r="L94">
        <f>VLOOKUP($C94,'2000 Seattle Tracts Conc'!$AZ$3:$BS$94,L$1,FALSE)</f>
        <v>299.46886389438373</v>
      </c>
      <c r="M94">
        <f>VLOOKUP($C94,'2000 Seattle Tracts Conc'!$AZ$3:$BS$94,M$1,FALSE)</f>
        <v>161.50023536016437</v>
      </c>
      <c r="N94">
        <f>VLOOKUP($C94,'2000 Seattle Tracts Conc'!$AZ$3:$BS$94,N$1,FALSE)</f>
        <v>35.460805814209714</v>
      </c>
      <c r="O94">
        <f>VLOOKUP($C94,'2000 Seattle Tracts Conc'!$AZ$3:$BS$94,O$1,FALSE)</f>
        <v>5.0230323135419503</v>
      </c>
      <c r="P94">
        <f>VLOOKUP($C94,'2000 Seattle Tracts Conc'!$AZ$3:$BS$94,P$1,FALSE)</f>
        <v>173.68025681511236</v>
      </c>
      <c r="Q94">
        <f>VLOOKUP($C94,'2000 Seattle Tracts Conc'!$AZ$3:$BS$94,Q$1,FALSE)</f>
        <v>985.91009544692054</v>
      </c>
      <c r="R94">
        <f>VLOOKUP($C94,'2000 Seattle Tracts Conc'!$AZ$3:$BS$94,R$1,FALSE)</f>
        <v>0</v>
      </c>
      <c r="S94">
        <f>VLOOKUP($C94,'2000 Seattle Tracts Conc'!$AZ$3:$BS$94,S$1,FALSE)</f>
        <v>1.0756035282046399</v>
      </c>
      <c r="T94">
        <f>VLOOKUP($C94,'2000 Seattle Tracts Conc'!$AZ$3:$BS$94,T$1,FALSE)</f>
        <v>13.86872237408674</v>
      </c>
      <c r="U94">
        <f>VLOOKUP($C94,'2000 Seattle Tracts Conc'!$AZ$3:$BS$94,U$1,FALSE)</f>
        <v>32.093006441730708</v>
      </c>
      <c r="V94">
        <f>VLOOKUP($C94,'2000 Seattle Tracts Conc'!$AZ$3:$BS$94,V$1,FALSE)</f>
        <v>65.81065894242893</v>
      </c>
      <c r="W94">
        <f>VLOOKUP($C94,'2000 Seattle Tracts Conc'!$AZ$3:$BS$94,W$1,FALSE)</f>
        <v>84.038459107640065</v>
      </c>
      <c r="X94" s="4">
        <f>VLOOKUP($C94,'2017 Seattle Tracts Conc'!$BA$3:$BT$95,X$1-3,FALSE)</f>
        <v>3400.4858908079959</v>
      </c>
      <c r="Y94">
        <f>VLOOKUP($C94,'2017 Seattle Tracts Conc'!$BA$3:$BT$95,Y$1-3,FALSE)</f>
        <v>1818.410993576741</v>
      </c>
      <c r="Z94">
        <f>VLOOKUP($C94,'2017 Seattle Tracts Conc'!$BA$3:$BT$95,Z$1-3,FALSE)</f>
        <v>1582.0748972312549</v>
      </c>
      <c r="AA94">
        <f>VLOOKUP($C94,'2017 Seattle Tracts Conc'!$BA$3:$BT$95,AA$1-3,FALSE)</f>
        <v>948.33573969142708</v>
      </c>
      <c r="AB94">
        <f>VLOOKUP($C94,'2017 Seattle Tracts Conc'!$BA$3:$BT$95,AB$1-3,FALSE)</f>
        <v>108.894892690245</v>
      </c>
      <c r="AC94">
        <f>VLOOKUP($C94,'2017 Seattle Tracts Conc'!$BA$3:$BT$95,AC$1-3,FALSE)</f>
        <v>87.594109615104387</v>
      </c>
      <c r="AD94">
        <f>VLOOKUP($C94,'2017 Seattle Tracts Conc'!$BA$3:$BT$95,AD$1-3,FALSE)</f>
        <v>32.889871156109983</v>
      </c>
      <c r="AE94">
        <f>VLOOKUP($C94,'2017 Seattle Tracts Conc'!$BA$3:$BT$95,AE$1-3,FALSE)</f>
        <v>265.18437693665766</v>
      </c>
      <c r="AF94">
        <f>VLOOKUP($C94,'2017 Seattle Tracts Conc'!$BA$3:$BT$95,AF$1-3,FALSE)</f>
        <v>160.55231419370369</v>
      </c>
      <c r="AG94">
        <f>VLOOKUP($C94,'2017 Seattle Tracts Conc'!$BA$3:$BT$95,AG$1-3,FALSE)</f>
        <v>97.505147804366146</v>
      </c>
      <c r="AH94">
        <f>VLOOKUP($C94,'2017 Seattle Tracts Conc'!$BA$3:$BT$95,AH$1-3,FALSE)</f>
        <v>11.447593852331407</v>
      </c>
      <c r="AI94">
        <f>VLOOKUP($C94,'2017 Seattle Tracts Conc'!$BA$3:$BT$95,AI$1-3,FALSE)</f>
        <v>216.53694599327753</v>
      </c>
      <c r="AJ94">
        <f>VLOOKUP($C94,'2017 Seattle Tracts Conc'!$BA$3:$BT$95,AJ$1-3,FALSE)</f>
        <v>1222.031840225698</v>
      </c>
      <c r="AK94">
        <f>VLOOKUP($C94,'2017 Seattle Tracts Conc'!$BA$3:$BT$95,AK$1-3,FALSE)</f>
        <v>3.2684640125146291</v>
      </c>
      <c r="AL94">
        <f>VLOOKUP($C94,'2017 Seattle Tracts Conc'!$BA$3:$BT$95,AL$1-3,FALSE)</f>
        <v>8.3140520582757212E-4</v>
      </c>
      <c r="AM94">
        <f>VLOOKUP($C94,'2017 Seattle Tracts Conc'!$BA$3:$BT$95,AM$1-3,FALSE)</f>
        <v>21.931821650387743</v>
      </c>
      <c r="AN94">
        <f>VLOOKUP($C94,'2017 Seattle Tracts Conc'!$BA$3:$BT$95,AN$1-3,FALSE)</f>
        <v>3.2654360190160858</v>
      </c>
      <c r="AO94">
        <f>VLOOKUP($C94,'2017 Seattle Tracts Conc'!$BA$3:$BT$95,AO$1-3,FALSE)</f>
        <v>178.05438787300557</v>
      </c>
      <c r="AP94">
        <f>VLOOKUP($C94,'2017 Seattle Tracts Conc'!$BA$3:$BT$95,AP$1-3,FALSE)</f>
        <v>42.992117688945143</v>
      </c>
    </row>
    <row r="95" spans="1:42" x14ac:dyDescent="0.25">
      <c r="A95">
        <v>159</v>
      </c>
      <c r="B95" t="s">
        <v>2495</v>
      </c>
      <c r="C95" t="s">
        <v>159</v>
      </c>
      <c r="D95" t="s">
        <v>156</v>
      </c>
      <c r="E95">
        <f>VLOOKUP($C95,'2000 Seattle Tracts Conc'!$AZ$3:$BS$94,E$1,FALSE)</f>
        <v>5241.6316823032557</v>
      </c>
      <c r="F95">
        <f>VLOOKUP($C95,'2000 Seattle Tracts Conc'!$AZ$3:$BS$94,F$1,FALSE)</f>
        <v>4352.7459290715997</v>
      </c>
      <c r="G95">
        <f>VLOOKUP($C95,'2000 Seattle Tracts Conc'!$AZ$3:$BS$94,G$1,FALSE)</f>
        <v>888.88575323165549</v>
      </c>
      <c r="H95">
        <f>VLOOKUP($C95,'2000 Seattle Tracts Conc'!$AZ$3:$BS$94,H$1,FALSE)</f>
        <v>3362.5400883955008</v>
      </c>
      <c r="I95">
        <f>VLOOKUP($C95,'2000 Seattle Tracts Conc'!$AZ$3:$BS$94,I$1,FALSE)</f>
        <v>288.41272556064376</v>
      </c>
      <c r="J95">
        <f>VLOOKUP($C95,'2000 Seattle Tracts Conc'!$AZ$3:$BS$94,J$1,FALSE)</f>
        <v>108.68824501665938</v>
      </c>
      <c r="K95">
        <f>VLOOKUP($C95,'2000 Seattle Tracts Conc'!$AZ$3:$BS$94,K$1,FALSE)</f>
        <v>55.336297418321692</v>
      </c>
      <c r="L95">
        <f>VLOOKUP($C95,'2000 Seattle Tracts Conc'!$AZ$3:$BS$94,L$1,FALSE)</f>
        <v>479.16763740064874</v>
      </c>
      <c r="M95">
        <f>VLOOKUP($C95,'2000 Seattle Tracts Conc'!$AZ$3:$BS$94,M$1,FALSE)</f>
        <v>76.256405771370865</v>
      </c>
      <c r="N95">
        <f>VLOOKUP($C95,'2000 Seattle Tracts Conc'!$AZ$3:$BS$94,N$1,FALSE)</f>
        <v>71.39341225566055</v>
      </c>
      <c r="O95">
        <f>VLOOKUP($C95,'2000 Seattle Tracts Conc'!$AZ$3:$BS$94,O$1,FALSE)</f>
        <v>11.831356843711553</v>
      </c>
      <c r="P95">
        <f>VLOOKUP($C95,'2000 Seattle Tracts Conc'!$AZ$3:$BS$94,P$1,FALSE)</f>
        <v>112.83874326280494</v>
      </c>
      <c r="Q95">
        <f>VLOOKUP($C95,'2000 Seattle Tracts Conc'!$AZ$3:$BS$94,Q$1,FALSE)</f>
        <v>320.45400350625886</v>
      </c>
      <c r="R95">
        <f>VLOOKUP($C95,'2000 Seattle Tracts Conc'!$AZ$3:$BS$94,R$1,FALSE)</f>
        <v>6.0821966160192309</v>
      </c>
      <c r="S95">
        <f>VLOOKUP($C95,'2000 Seattle Tracts Conc'!$AZ$3:$BS$94,S$1,FALSE)</f>
        <v>5.8927590635660119</v>
      </c>
      <c r="T95">
        <f>VLOOKUP($C95,'2000 Seattle Tracts Conc'!$AZ$3:$BS$94,T$1,FALSE)</f>
        <v>52.663128208460478</v>
      </c>
      <c r="U95">
        <f>VLOOKUP($C95,'2000 Seattle Tracts Conc'!$AZ$3:$BS$94,U$1,FALSE)</f>
        <v>85.371628282042337</v>
      </c>
      <c r="V95">
        <f>VLOOKUP($C95,'2000 Seattle Tracts Conc'!$AZ$3:$BS$94,V$1,FALSE)</f>
        <v>159.3724779158465</v>
      </c>
      <c r="W95">
        <f>VLOOKUP($C95,'2000 Seattle Tracts Conc'!$AZ$3:$BS$94,W$1,FALSE)</f>
        <v>45.330576785740256</v>
      </c>
      <c r="X95" s="4">
        <f>VLOOKUP($C95,'2017 Seattle Tracts Conc'!$BA$3:$BT$95,X$1-3,FALSE)</f>
        <v>7023.259283606244</v>
      </c>
      <c r="Y95">
        <f>VLOOKUP($C95,'2017 Seattle Tracts Conc'!$BA$3:$BT$95,Y$1-3,FALSE)</f>
        <v>5323.9351126047377</v>
      </c>
      <c r="Z95">
        <f>VLOOKUP($C95,'2017 Seattle Tracts Conc'!$BA$3:$BT$95,Z$1-3,FALSE)</f>
        <v>1699.3241710015068</v>
      </c>
      <c r="AA95">
        <f>VLOOKUP($C95,'2017 Seattle Tracts Conc'!$BA$3:$BT$95,AA$1-3,FALSE)</f>
        <v>4063.1868081316697</v>
      </c>
      <c r="AB95">
        <f>VLOOKUP($C95,'2017 Seattle Tracts Conc'!$BA$3:$BT$95,AB$1-3,FALSE)</f>
        <v>438.59419198111158</v>
      </c>
      <c r="AC95">
        <f>VLOOKUP($C95,'2017 Seattle Tracts Conc'!$BA$3:$BT$95,AC$1-3,FALSE)</f>
        <v>119.78706756457203</v>
      </c>
      <c r="AD95">
        <f>VLOOKUP($C95,'2017 Seattle Tracts Conc'!$BA$3:$BT$95,AD$1-3,FALSE)</f>
        <v>178.87500154457203</v>
      </c>
      <c r="AE95">
        <f>VLOOKUP($C95,'2017 Seattle Tracts Conc'!$BA$3:$BT$95,AE$1-3,FALSE)</f>
        <v>488.93392323908319</v>
      </c>
      <c r="AF95">
        <f>VLOOKUP($C95,'2017 Seattle Tracts Conc'!$BA$3:$BT$95,AF$1-3,FALSE)</f>
        <v>93.751719478380622</v>
      </c>
      <c r="AG95">
        <f>VLOOKUP($C95,'2017 Seattle Tracts Conc'!$BA$3:$BT$95,AG$1-3,FALSE)</f>
        <v>100.95402915879627</v>
      </c>
      <c r="AH95">
        <f>VLOOKUP($C95,'2017 Seattle Tracts Conc'!$BA$3:$BT$95,AH$1-3,FALSE)</f>
        <v>8.4923360929823975E-3</v>
      </c>
      <c r="AI95">
        <f>VLOOKUP($C95,'2017 Seattle Tracts Conc'!$BA$3:$BT$95,AI$1-3,FALSE)</f>
        <v>193.68257302507183</v>
      </c>
      <c r="AJ95">
        <f>VLOOKUP($C95,'2017 Seattle Tracts Conc'!$BA$3:$BT$95,AJ$1-3,FALSE)</f>
        <v>826.29188590254739</v>
      </c>
      <c r="AK95">
        <f>VLOOKUP($C95,'2017 Seattle Tracts Conc'!$BA$3:$BT$95,AK$1-3,FALSE)</f>
        <v>10.656575544854503</v>
      </c>
      <c r="AL95">
        <f>VLOOKUP($C95,'2017 Seattle Tracts Conc'!$BA$3:$BT$95,AL$1-3,FALSE)</f>
        <v>1.085672548237117</v>
      </c>
      <c r="AM95">
        <f>VLOOKUP($C95,'2017 Seattle Tracts Conc'!$BA$3:$BT$95,AM$1-3,FALSE)</f>
        <v>51.024701802683573</v>
      </c>
      <c r="AN95">
        <f>VLOOKUP($C95,'2017 Seattle Tracts Conc'!$BA$3:$BT$95,AN$1-3,FALSE)</f>
        <v>137.35155630920372</v>
      </c>
      <c r="AO95">
        <f>VLOOKUP($C95,'2017 Seattle Tracts Conc'!$BA$3:$BT$95,AO$1-3,FALSE)</f>
        <v>295.70943413800535</v>
      </c>
      <c r="AP95">
        <f>VLOOKUP($C95,'2017 Seattle Tracts Conc'!$BA$3:$BT$95,AP$1-3,FALSE)</f>
        <v>23.365650901361629</v>
      </c>
    </row>
    <row r="96" spans="1:42" x14ac:dyDescent="0.25">
      <c r="A96">
        <v>160</v>
      </c>
      <c r="B96" t="s">
        <v>2495</v>
      </c>
      <c r="C96" t="s">
        <v>160</v>
      </c>
      <c r="D96" t="s">
        <v>156</v>
      </c>
      <c r="E96">
        <f>VLOOKUP($C96,'2000 Seattle Tracts Conc'!$AZ$3:$BS$94,E$1,FALSE)</f>
        <v>8238.1124833017147</v>
      </c>
      <c r="F96">
        <f>VLOOKUP($C96,'2000 Seattle Tracts Conc'!$AZ$3:$BS$94,F$1,FALSE)</f>
        <v>6618.8351674839123</v>
      </c>
      <c r="G96">
        <f>VLOOKUP($C96,'2000 Seattle Tracts Conc'!$AZ$3:$BS$94,G$1,FALSE)</f>
        <v>1619.2773158178027</v>
      </c>
      <c r="H96">
        <f>VLOOKUP($C96,'2000 Seattle Tracts Conc'!$AZ$3:$BS$94,H$1,FALSE)</f>
        <v>4770.7067551177952</v>
      </c>
      <c r="I96">
        <f>VLOOKUP($C96,'2000 Seattle Tracts Conc'!$AZ$3:$BS$94,I$1,FALSE)</f>
        <v>418.55309886249751</v>
      </c>
      <c r="J96">
        <f>VLOOKUP($C96,'2000 Seattle Tracts Conc'!$AZ$3:$BS$94,J$1,FALSE)</f>
        <v>103.07983743520933</v>
      </c>
      <c r="K96">
        <f>VLOOKUP($C96,'2000 Seattle Tracts Conc'!$AZ$3:$BS$94,K$1,FALSE)</f>
        <v>119.41673247836577</v>
      </c>
      <c r="L96">
        <f>VLOOKUP($C96,'2000 Seattle Tracts Conc'!$AZ$3:$BS$94,L$1,FALSE)</f>
        <v>993.71110414703071</v>
      </c>
      <c r="M96">
        <f>VLOOKUP($C96,'2000 Seattle Tracts Conc'!$AZ$3:$BS$94,M$1,FALSE)</f>
        <v>197.00272788388716</v>
      </c>
      <c r="N96">
        <f>VLOOKUP($C96,'2000 Seattle Tracts Conc'!$AZ$3:$BS$94,N$1,FALSE)</f>
        <v>151.51712020936662</v>
      </c>
      <c r="O96">
        <f>VLOOKUP($C96,'2000 Seattle Tracts Conc'!$AZ$3:$BS$94,O$1,FALSE)</f>
        <v>0.38684968382216239</v>
      </c>
      <c r="P96">
        <f>VLOOKUP($C96,'2000 Seattle Tracts Conc'!$AZ$3:$BS$94,P$1,FALSE)</f>
        <v>250.7474116777033</v>
      </c>
      <c r="Q96">
        <f>VLOOKUP($C96,'2000 Seattle Tracts Conc'!$AZ$3:$BS$94,Q$1,FALSE)</f>
        <v>678.21271838012422</v>
      </c>
      <c r="R96">
        <f>VLOOKUP($C96,'2000 Seattle Tracts Conc'!$AZ$3:$BS$94,R$1,FALSE)</f>
        <v>3.3610798777126494</v>
      </c>
      <c r="S96">
        <f>VLOOKUP($C96,'2000 Seattle Tracts Conc'!$AZ$3:$BS$94,S$1,FALSE)</f>
        <v>11.235047773516486</v>
      </c>
      <c r="T96">
        <f>VLOOKUP($C96,'2000 Seattle Tracts Conc'!$AZ$3:$BS$94,T$1,FALSE)</f>
        <v>132.68058892632908</v>
      </c>
      <c r="U96">
        <f>VLOOKUP($C96,'2000 Seattle Tracts Conc'!$AZ$3:$BS$94,U$1,FALSE)</f>
        <v>112.05159684783939</v>
      </c>
      <c r="V96">
        <f>VLOOKUP($C96,'2000 Seattle Tracts Conc'!$AZ$3:$BS$94,V$1,FALSE)</f>
        <v>213.03127009276554</v>
      </c>
      <c r="W96">
        <f>VLOOKUP($C96,'2000 Seattle Tracts Conc'!$AZ$3:$BS$94,W$1,FALSE)</f>
        <v>82.418543907749765</v>
      </c>
      <c r="X96" s="4">
        <f>VLOOKUP($C96,'2017 Seattle Tracts Conc'!$BA$3:$BT$95,X$1-3,FALSE)</f>
        <v>9319.2460227411484</v>
      </c>
      <c r="Y96">
        <f>VLOOKUP($C96,'2017 Seattle Tracts Conc'!$BA$3:$BT$95,Y$1-3,FALSE)</f>
        <v>7334.1059398835514</v>
      </c>
      <c r="Z96">
        <f>VLOOKUP($C96,'2017 Seattle Tracts Conc'!$BA$3:$BT$95,Z$1-3,FALSE)</f>
        <v>1985.1400828575984</v>
      </c>
      <c r="AA96">
        <f>VLOOKUP($C96,'2017 Seattle Tracts Conc'!$BA$3:$BT$95,AA$1-3,FALSE)</f>
        <v>5472.9500110348299</v>
      </c>
      <c r="AB96">
        <f>VLOOKUP($C96,'2017 Seattle Tracts Conc'!$BA$3:$BT$95,AB$1-3,FALSE)</f>
        <v>517.83601627820849</v>
      </c>
      <c r="AC96">
        <f>VLOOKUP($C96,'2017 Seattle Tracts Conc'!$BA$3:$BT$95,AC$1-3,FALSE)</f>
        <v>172.63275116181984</v>
      </c>
      <c r="AD96">
        <f>VLOOKUP($C96,'2017 Seattle Tracts Conc'!$BA$3:$BT$95,AD$1-3,FALSE)</f>
        <v>151.26785488102351</v>
      </c>
      <c r="AE96">
        <f>VLOOKUP($C96,'2017 Seattle Tracts Conc'!$BA$3:$BT$95,AE$1-3,FALSE)</f>
        <v>513.2387803667591</v>
      </c>
      <c r="AF96">
        <f>VLOOKUP($C96,'2017 Seattle Tracts Conc'!$BA$3:$BT$95,AF$1-3,FALSE)</f>
        <v>178.88067941679418</v>
      </c>
      <c r="AG96">
        <f>VLOOKUP($C96,'2017 Seattle Tracts Conc'!$BA$3:$BT$95,AG$1-3,FALSE)</f>
        <v>59.160009865786208</v>
      </c>
      <c r="AH96">
        <f>VLOOKUP($C96,'2017 Seattle Tracts Conc'!$BA$3:$BT$95,AH$1-3,FALSE)</f>
        <v>0</v>
      </c>
      <c r="AI96">
        <f>VLOOKUP($C96,'2017 Seattle Tracts Conc'!$BA$3:$BT$95,AI$1-3,FALSE)</f>
        <v>548.81545799527146</v>
      </c>
      <c r="AJ96">
        <f>VLOOKUP($C96,'2017 Seattle Tracts Conc'!$BA$3:$BT$95,AJ$1-3,FALSE)</f>
        <v>997.45987400948934</v>
      </c>
      <c r="AK96">
        <f>VLOOKUP($C96,'2017 Seattle Tracts Conc'!$BA$3:$BT$95,AK$1-3,FALSE)</f>
        <v>41.604963375544024</v>
      </c>
      <c r="AL96">
        <f>VLOOKUP($C96,'2017 Seattle Tracts Conc'!$BA$3:$BT$95,AL$1-3,FALSE)</f>
        <v>5.094365593492892</v>
      </c>
      <c r="AM96">
        <f>VLOOKUP($C96,'2017 Seattle Tracts Conc'!$BA$3:$BT$95,AM$1-3,FALSE)</f>
        <v>154.10848084943515</v>
      </c>
      <c r="AN96">
        <f>VLOOKUP($C96,'2017 Seattle Tracts Conc'!$BA$3:$BT$95,AN$1-3,FALSE)</f>
        <v>78.181747485537443</v>
      </c>
      <c r="AO96">
        <f>VLOOKUP($C96,'2017 Seattle Tracts Conc'!$BA$3:$BT$95,AO$1-3,FALSE)</f>
        <v>371.59548523410541</v>
      </c>
      <c r="AP96">
        <f>VLOOKUP($C96,'2017 Seattle Tracts Conc'!$BA$3:$BT$95,AP$1-3,FALSE)</f>
        <v>56.419545193052507</v>
      </c>
    </row>
    <row r="97" spans="1:42" x14ac:dyDescent="0.25">
      <c r="A97">
        <v>162</v>
      </c>
      <c r="B97" t="s">
        <v>2495</v>
      </c>
      <c r="C97" t="s">
        <v>161</v>
      </c>
      <c r="D97" t="s">
        <v>156</v>
      </c>
      <c r="E97">
        <f>VLOOKUP($C97,'2000 Seattle Tracts Conc'!$AZ$3:$BS$94,E$1,FALSE)</f>
        <v>4137.1004070760046</v>
      </c>
      <c r="F97">
        <f>VLOOKUP($C97,'2000 Seattle Tracts Conc'!$AZ$3:$BS$94,F$1,FALSE)</f>
        <v>3095.6631575932734</v>
      </c>
      <c r="G97">
        <f>VLOOKUP($C97,'2000 Seattle Tracts Conc'!$AZ$3:$BS$94,G$1,FALSE)</f>
        <v>1041.4372494827312</v>
      </c>
      <c r="H97">
        <f>VLOOKUP($C97,'2000 Seattle Tracts Conc'!$AZ$3:$BS$94,H$1,FALSE)</f>
        <v>1815.7797158602314</v>
      </c>
      <c r="I97">
        <f>VLOOKUP($C97,'2000 Seattle Tracts Conc'!$AZ$3:$BS$94,I$1,FALSE)</f>
        <v>70.275442321676778</v>
      </c>
      <c r="J97">
        <f>VLOOKUP($C97,'2000 Seattle Tracts Conc'!$AZ$3:$BS$94,J$1,FALSE)</f>
        <v>42.367165464549608</v>
      </c>
      <c r="K97">
        <f>VLOOKUP($C97,'2000 Seattle Tracts Conc'!$AZ$3:$BS$94,K$1,FALSE)</f>
        <v>70.339297262206827</v>
      </c>
      <c r="L97">
        <f>VLOOKUP($C97,'2000 Seattle Tracts Conc'!$AZ$3:$BS$94,L$1,FALSE)</f>
        <v>770.96081540885393</v>
      </c>
      <c r="M97">
        <f>VLOOKUP($C97,'2000 Seattle Tracts Conc'!$AZ$3:$BS$94,M$1,FALSE)</f>
        <v>217.89009857549996</v>
      </c>
      <c r="N97">
        <f>VLOOKUP($C97,'2000 Seattle Tracts Conc'!$AZ$3:$BS$94,N$1,FALSE)</f>
        <v>98.57674429020895</v>
      </c>
      <c r="O97">
        <f>VLOOKUP($C97,'2000 Seattle Tracts Conc'!$AZ$3:$BS$94,O$1,FALSE)</f>
        <v>0.13987087035942028</v>
      </c>
      <c r="P97">
        <f>VLOOKUP($C97,'2000 Seattle Tracts Conc'!$AZ$3:$BS$94,P$1,FALSE)</f>
        <v>203.31773093650088</v>
      </c>
      <c r="Q97">
        <f>VLOOKUP($C97,'2000 Seattle Tracts Conc'!$AZ$3:$BS$94,Q$1,FALSE)</f>
        <v>545.18696741545</v>
      </c>
      <c r="R97">
        <f>VLOOKUP($C97,'2000 Seattle Tracts Conc'!$AZ$3:$BS$94,R$1,FALSE)</f>
        <v>0</v>
      </c>
      <c r="S97">
        <f>VLOOKUP($C97,'2000 Seattle Tracts Conc'!$AZ$3:$BS$94,S$1,FALSE)</f>
        <v>9.652546714982396</v>
      </c>
      <c r="T97">
        <f>VLOOKUP($C97,'2000 Seattle Tracts Conc'!$AZ$3:$BS$94,T$1,FALSE)</f>
        <v>63.359558869208044</v>
      </c>
      <c r="U97">
        <f>VLOOKUP($C97,'2000 Seattle Tracts Conc'!$AZ$3:$BS$94,U$1,FALSE)</f>
        <v>81.211213958689228</v>
      </c>
      <c r="V97">
        <f>VLOOKUP($C97,'2000 Seattle Tracts Conc'!$AZ$3:$BS$94,V$1,FALSE)</f>
        <v>101.30142676372083</v>
      </c>
      <c r="W97">
        <f>VLOOKUP($C97,'2000 Seattle Tracts Conc'!$AZ$3:$BS$94,W$1,FALSE)</f>
        <v>46.741812363866565</v>
      </c>
      <c r="X97" s="4">
        <f>VLOOKUP($C97,'2017 Seattle Tracts Conc'!$BA$3:$BT$95,X$1-3,FALSE)</f>
        <v>3826.497746437246</v>
      </c>
      <c r="Y97">
        <f>VLOOKUP($C97,'2017 Seattle Tracts Conc'!$BA$3:$BT$95,Y$1-3,FALSE)</f>
        <v>2713.4042847551104</v>
      </c>
      <c r="Z97">
        <f>VLOOKUP($C97,'2017 Seattle Tracts Conc'!$BA$3:$BT$95,Z$1-3,FALSE)</f>
        <v>1113.0934616821353</v>
      </c>
      <c r="AA97">
        <f>VLOOKUP($C97,'2017 Seattle Tracts Conc'!$BA$3:$BT$95,AA$1-3,FALSE)</f>
        <v>1678.4807965148545</v>
      </c>
      <c r="AB97">
        <f>VLOOKUP($C97,'2017 Seattle Tracts Conc'!$BA$3:$BT$95,AB$1-3,FALSE)</f>
        <v>121.10386254287297</v>
      </c>
      <c r="AC97">
        <f>VLOOKUP($C97,'2017 Seattle Tracts Conc'!$BA$3:$BT$95,AC$1-3,FALSE)</f>
        <v>83.294230679614131</v>
      </c>
      <c r="AD97">
        <f>VLOOKUP($C97,'2017 Seattle Tracts Conc'!$BA$3:$BT$95,AD$1-3,FALSE)</f>
        <v>40.820315669271608</v>
      </c>
      <c r="AE97">
        <f>VLOOKUP($C97,'2017 Seattle Tracts Conc'!$BA$3:$BT$95,AE$1-3,FALSE)</f>
        <v>308.91860388580454</v>
      </c>
      <c r="AF97">
        <f>VLOOKUP($C97,'2017 Seattle Tracts Conc'!$BA$3:$BT$95,AF$1-3,FALSE)</f>
        <v>145.30391739581538</v>
      </c>
      <c r="AG97">
        <f>VLOOKUP($C97,'2017 Seattle Tracts Conc'!$BA$3:$BT$95,AG$1-3,FALSE)</f>
        <v>35.640842627340675</v>
      </c>
      <c r="AH97">
        <f>VLOOKUP($C97,'2017 Seattle Tracts Conc'!$BA$3:$BT$95,AH$1-3,FALSE)</f>
        <v>0.4032773386280829</v>
      </c>
      <c r="AI97">
        <f>VLOOKUP($C97,'2017 Seattle Tracts Conc'!$BA$3:$BT$95,AI$1-3,FALSE)</f>
        <v>256.161553322489</v>
      </c>
      <c r="AJ97">
        <f>VLOOKUP($C97,'2017 Seattle Tracts Conc'!$BA$3:$BT$95,AJ$1-3,FALSE)</f>
        <v>738.00867087631991</v>
      </c>
      <c r="AK97">
        <f>VLOOKUP($C97,'2017 Seattle Tracts Conc'!$BA$3:$BT$95,AK$1-3,FALSE)</f>
        <v>12.377826018314815</v>
      </c>
      <c r="AL97">
        <f>VLOOKUP($C97,'2017 Seattle Tracts Conc'!$BA$3:$BT$95,AL$1-3,FALSE)</f>
        <v>5.9915182509783973</v>
      </c>
      <c r="AM97">
        <f>VLOOKUP($C97,'2017 Seattle Tracts Conc'!$BA$3:$BT$95,AM$1-3,FALSE)</f>
        <v>88.204088926514771</v>
      </c>
      <c r="AN97">
        <f>VLOOKUP($C97,'2017 Seattle Tracts Conc'!$BA$3:$BT$95,AN$1-3,FALSE)</f>
        <v>40.24407366280812</v>
      </c>
      <c r="AO97">
        <f>VLOOKUP($C97,'2017 Seattle Tracts Conc'!$BA$3:$BT$95,AO$1-3,FALSE)</f>
        <v>250.32634278017827</v>
      </c>
      <c r="AP97">
        <f>VLOOKUP($C97,'2017 Seattle Tracts Conc'!$BA$3:$BT$95,AP$1-3,FALSE)</f>
        <v>21.217825945440641</v>
      </c>
    </row>
    <row r="98" spans="1:42" x14ac:dyDescent="0.25">
      <c r="A98">
        <v>163</v>
      </c>
      <c r="B98" t="s">
        <v>2495</v>
      </c>
      <c r="C98" t="s">
        <v>162</v>
      </c>
      <c r="D98" t="s">
        <v>156</v>
      </c>
      <c r="E98">
        <f>VLOOKUP($C98,'2000 Seattle Tracts Conc'!$AZ$3:$BS$94,E$1,FALSE)</f>
        <v>2666.0032627518731</v>
      </c>
      <c r="F98">
        <f>VLOOKUP($C98,'2000 Seattle Tracts Conc'!$AZ$3:$BS$94,F$1,FALSE)</f>
        <v>1906.3323399929691</v>
      </c>
      <c r="G98">
        <f>VLOOKUP($C98,'2000 Seattle Tracts Conc'!$AZ$3:$BS$94,G$1,FALSE)</f>
        <v>759.670922758904</v>
      </c>
      <c r="H98">
        <f>VLOOKUP($C98,'2000 Seattle Tracts Conc'!$AZ$3:$BS$94,H$1,FALSE)</f>
        <v>1252.2171102690127</v>
      </c>
      <c r="I98">
        <f>VLOOKUP($C98,'2000 Seattle Tracts Conc'!$AZ$3:$BS$94,I$1,FALSE)</f>
        <v>87.997155526952071</v>
      </c>
      <c r="J98">
        <f>VLOOKUP($C98,'2000 Seattle Tracts Conc'!$AZ$3:$BS$94,J$1,FALSE)</f>
        <v>43.587057900859847</v>
      </c>
      <c r="K98">
        <f>VLOOKUP($C98,'2000 Seattle Tracts Conc'!$AZ$3:$BS$94,K$1,FALSE)</f>
        <v>71.905167402611383</v>
      </c>
      <c r="L98">
        <f>VLOOKUP($C98,'2000 Seattle Tracts Conc'!$AZ$3:$BS$94,L$1,FALSE)</f>
        <v>354.92437056635629</v>
      </c>
      <c r="M98">
        <f>VLOOKUP($C98,'2000 Seattle Tracts Conc'!$AZ$3:$BS$94,M$1,FALSE)</f>
        <v>68.359675725041598</v>
      </c>
      <c r="N98">
        <f>VLOOKUP($C98,'2000 Seattle Tracts Conc'!$AZ$3:$BS$94,N$1,FALSE)</f>
        <v>71.531332525915516</v>
      </c>
      <c r="O98">
        <f>VLOOKUP($C98,'2000 Seattle Tracts Conc'!$AZ$3:$BS$94,O$1,FALSE)</f>
        <v>8.6766080763250581</v>
      </c>
      <c r="P98">
        <f>VLOOKUP($C98,'2000 Seattle Tracts Conc'!$AZ$3:$BS$94,P$1,FALSE)</f>
        <v>63.996401416405604</v>
      </c>
      <c r="Q98">
        <f>VLOOKUP($C98,'2000 Seattle Tracts Conc'!$AZ$3:$BS$94,Q$1,FALSE)</f>
        <v>421.5510134431745</v>
      </c>
      <c r="R98">
        <f>VLOOKUP($C98,'2000 Seattle Tracts Conc'!$AZ$3:$BS$94,R$1,FALSE)</f>
        <v>0</v>
      </c>
      <c r="S98">
        <f>VLOOKUP($C98,'2000 Seattle Tracts Conc'!$AZ$3:$BS$94,S$1,FALSE)</f>
        <v>1.9552451677609819</v>
      </c>
      <c r="T98">
        <f>VLOOKUP($C98,'2000 Seattle Tracts Conc'!$AZ$3:$BS$94,T$1,FALSE)</f>
        <v>31.228104141766085</v>
      </c>
      <c r="U98">
        <f>VLOOKUP($C98,'2000 Seattle Tracts Conc'!$AZ$3:$BS$94,U$1,FALSE)</f>
        <v>41.664710183364164</v>
      </c>
      <c r="V98">
        <f>VLOOKUP($C98,'2000 Seattle Tracts Conc'!$AZ$3:$BS$94,V$1,FALSE)</f>
        <v>88.847963172652868</v>
      </c>
      <c r="W98">
        <f>VLOOKUP($C98,'2000 Seattle Tracts Conc'!$AZ$3:$BS$94,W$1,FALSE)</f>
        <v>57.561347233674191</v>
      </c>
      <c r="X98" s="4">
        <f>VLOOKUP($C98,'2017 Seattle Tracts Conc'!$BA$3:$BT$95,X$1-3,FALSE)</f>
        <v>3198.2234917871092</v>
      </c>
      <c r="Y98">
        <f>VLOOKUP($C98,'2017 Seattle Tracts Conc'!$BA$3:$BT$95,Y$1-3,FALSE)</f>
        <v>2202.2441126837616</v>
      </c>
      <c r="Z98">
        <f>VLOOKUP($C98,'2017 Seattle Tracts Conc'!$BA$3:$BT$95,Z$1-3,FALSE)</f>
        <v>995.97937910334736</v>
      </c>
      <c r="AA98">
        <f>VLOOKUP($C98,'2017 Seattle Tracts Conc'!$BA$3:$BT$95,AA$1-3,FALSE)</f>
        <v>1418.6699235193539</v>
      </c>
      <c r="AB98">
        <f>VLOOKUP($C98,'2017 Seattle Tracts Conc'!$BA$3:$BT$95,AB$1-3,FALSE)</f>
        <v>167.51128747074881</v>
      </c>
      <c r="AC98">
        <f>VLOOKUP($C98,'2017 Seattle Tracts Conc'!$BA$3:$BT$95,AC$1-3,FALSE)</f>
        <v>80.359709848076605</v>
      </c>
      <c r="AD98">
        <f>VLOOKUP($C98,'2017 Seattle Tracts Conc'!$BA$3:$BT$95,AD$1-3,FALSE)</f>
        <v>32.803743108401846</v>
      </c>
      <c r="AE98">
        <f>VLOOKUP($C98,'2017 Seattle Tracts Conc'!$BA$3:$BT$95,AE$1-3,FALSE)</f>
        <v>268.25183223952456</v>
      </c>
      <c r="AF98">
        <f>VLOOKUP($C98,'2017 Seattle Tracts Conc'!$BA$3:$BT$95,AF$1-3,FALSE)</f>
        <v>66.341969026739662</v>
      </c>
      <c r="AG98">
        <f>VLOOKUP($C98,'2017 Seattle Tracts Conc'!$BA$3:$BT$95,AG$1-3,FALSE)</f>
        <v>106.89396234909729</v>
      </c>
      <c r="AH98">
        <f>VLOOKUP($C98,'2017 Seattle Tracts Conc'!$BA$3:$BT$95,AH$1-3,FALSE)</f>
        <v>17.128569381408287</v>
      </c>
      <c r="AI98">
        <f>VLOOKUP($C98,'2017 Seattle Tracts Conc'!$BA$3:$BT$95,AI$1-3,FALSE)</f>
        <v>81.377745311383919</v>
      </c>
      <c r="AJ98">
        <f>VLOOKUP($C98,'2017 Seattle Tracts Conc'!$BA$3:$BT$95,AJ$1-3,FALSE)</f>
        <v>647.08627368301518</v>
      </c>
      <c r="AK98">
        <f>VLOOKUP($C98,'2017 Seattle Tracts Conc'!$BA$3:$BT$95,AK$1-3,FALSE)</f>
        <v>5.7975011926677613</v>
      </c>
      <c r="AL98">
        <f>VLOOKUP($C98,'2017 Seattle Tracts Conc'!$BA$3:$BT$95,AL$1-3,FALSE)</f>
        <v>1.8276121725698187</v>
      </c>
      <c r="AM98">
        <f>VLOOKUP($C98,'2017 Seattle Tracts Conc'!$BA$3:$BT$95,AM$1-3,FALSE)</f>
        <v>57.187440016090569</v>
      </c>
      <c r="AN98">
        <f>VLOOKUP($C98,'2017 Seattle Tracts Conc'!$BA$3:$BT$95,AN$1-3,FALSE)</f>
        <v>39.939082421128276</v>
      </c>
      <c r="AO98">
        <f>VLOOKUP($C98,'2017 Seattle Tracts Conc'!$BA$3:$BT$95,AO$1-3,FALSE)</f>
        <v>183.70599820756726</v>
      </c>
      <c r="AP98">
        <f>VLOOKUP($C98,'2017 Seattle Tracts Conc'!$BA$3:$BT$95,AP$1-3,FALSE)</f>
        <v>23.340841839335546</v>
      </c>
    </row>
    <row r="99" spans="1:42" x14ac:dyDescent="0.25">
      <c r="A99">
        <v>199</v>
      </c>
      <c r="B99" t="s">
        <v>2495</v>
      </c>
      <c r="C99" t="s">
        <v>163</v>
      </c>
      <c r="D99" t="s">
        <v>164</v>
      </c>
      <c r="E99">
        <f>VLOOKUP($C99,'2000 Seattle Tracts Conc'!$AZ$3:$BS$94,E$1,FALSE)</f>
        <v>5596.5940282874326</v>
      </c>
      <c r="F99">
        <f>VLOOKUP($C99,'2000 Seattle Tracts Conc'!$AZ$3:$BS$94,F$1,FALSE)</f>
        <v>4795.289366344723</v>
      </c>
      <c r="G99">
        <f>VLOOKUP($C99,'2000 Seattle Tracts Conc'!$AZ$3:$BS$94,G$1,FALSE)</f>
        <v>801.30466194270832</v>
      </c>
      <c r="H99">
        <f>VLOOKUP($C99,'2000 Seattle Tracts Conc'!$AZ$3:$BS$94,H$1,FALSE)</f>
        <v>4173.470453590292</v>
      </c>
      <c r="I99">
        <f>VLOOKUP($C99,'2000 Seattle Tracts Conc'!$AZ$3:$BS$94,I$1,FALSE)</f>
        <v>422.49693643111897</v>
      </c>
      <c r="J99">
        <f>VLOOKUP($C99,'2000 Seattle Tracts Conc'!$AZ$3:$BS$94,J$1,FALSE)</f>
        <v>97.69181451810843</v>
      </c>
      <c r="K99">
        <f>VLOOKUP($C99,'2000 Seattle Tracts Conc'!$AZ$3:$BS$94,K$1,FALSE)</f>
        <v>75.783738184691771</v>
      </c>
      <c r="L99">
        <f>VLOOKUP($C99,'2000 Seattle Tracts Conc'!$AZ$3:$BS$94,L$1,FALSE)</f>
        <v>125.41323424368613</v>
      </c>
      <c r="M99">
        <f>VLOOKUP($C99,'2000 Seattle Tracts Conc'!$AZ$3:$BS$94,M$1,FALSE)</f>
        <v>16.464174610970975</v>
      </c>
      <c r="N99">
        <f>VLOOKUP($C99,'2000 Seattle Tracts Conc'!$AZ$3:$BS$94,N$1,FALSE)</f>
        <v>31.125262745473062</v>
      </c>
      <c r="O99">
        <f>VLOOKUP($C99,'2000 Seattle Tracts Conc'!$AZ$3:$BS$94,O$1,FALSE)</f>
        <v>0.67606380619146922</v>
      </c>
      <c r="P99">
        <f>VLOOKUP($C99,'2000 Seattle Tracts Conc'!$AZ$3:$BS$94,P$1,FALSE)</f>
        <v>142.19463382077913</v>
      </c>
      <c r="Q99">
        <f>VLOOKUP($C99,'2000 Seattle Tracts Conc'!$AZ$3:$BS$94,Q$1,FALSE)</f>
        <v>232.62226724312364</v>
      </c>
      <c r="R99">
        <f>VLOOKUP($C99,'2000 Seattle Tracts Conc'!$AZ$3:$BS$94,R$1,FALSE)</f>
        <v>5.0370513719317804</v>
      </c>
      <c r="S99">
        <f>VLOOKUP($C99,'2000 Seattle Tracts Conc'!$AZ$3:$BS$94,S$1,FALSE)</f>
        <v>13.324488764184071</v>
      </c>
      <c r="T99">
        <f>VLOOKUP($C99,'2000 Seattle Tracts Conc'!$AZ$3:$BS$94,T$1,FALSE)</f>
        <v>45.361088560699756</v>
      </c>
      <c r="U99">
        <f>VLOOKUP($C99,'2000 Seattle Tracts Conc'!$AZ$3:$BS$94,U$1,FALSE)</f>
        <v>29.675191586462002</v>
      </c>
      <c r="V99">
        <f>VLOOKUP($C99,'2000 Seattle Tracts Conc'!$AZ$3:$BS$94,V$1,FALSE)</f>
        <v>174.99582749375384</v>
      </c>
      <c r="W99">
        <f>VLOOKUP($C99,'2000 Seattle Tracts Conc'!$AZ$3:$BS$94,W$1,FALSE)</f>
        <v>10.261801315965389</v>
      </c>
      <c r="X99" s="4">
        <f>VLOOKUP($C99,'2017 Seattle Tracts Conc'!$BA$3:$BT$95,X$1-3,FALSE)</f>
        <v>7039.1118515122917</v>
      </c>
      <c r="Y99">
        <f>VLOOKUP($C99,'2017 Seattle Tracts Conc'!$BA$3:$BT$95,Y$1-3,FALSE)</f>
        <v>5791.0108899448123</v>
      </c>
      <c r="Z99">
        <f>VLOOKUP($C99,'2017 Seattle Tracts Conc'!$BA$3:$BT$95,Z$1-3,FALSE)</f>
        <v>1248.1009615674802</v>
      </c>
      <c r="AA99">
        <f>VLOOKUP($C99,'2017 Seattle Tracts Conc'!$BA$3:$BT$95,AA$1-3,FALSE)</f>
        <v>4562.3846758145028</v>
      </c>
      <c r="AB99">
        <f>VLOOKUP($C99,'2017 Seattle Tracts Conc'!$BA$3:$BT$95,AB$1-3,FALSE)</f>
        <v>517.79970175522828</v>
      </c>
      <c r="AC99">
        <f>VLOOKUP($C99,'2017 Seattle Tracts Conc'!$BA$3:$BT$95,AC$1-3,FALSE)</f>
        <v>286.08891243640323</v>
      </c>
      <c r="AD99">
        <f>VLOOKUP($C99,'2017 Seattle Tracts Conc'!$BA$3:$BT$95,AD$1-3,FALSE)</f>
        <v>87.378365473511252</v>
      </c>
      <c r="AE99">
        <f>VLOOKUP($C99,'2017 Seattle Tracts Conc'!$BA$3:$BT$95,AE$1-3,FALSE)</f>
        <v>363.76856204184173</v>
      </c>
      <c r="AF99">
        <f>VLOOKUP($C99,'2017 Seattle Tracts Conc'!$BA$3:$BT$95,AF$1-3,FALSE)</f>
        <v>40.586601505939747</v>
      </c>
      <c r="AG99">
        <f>VLOOKUP($C99,'2017 Seattle Tracts Conc'!$BA$3:$BT$95,AG$1-3,FALSE)</f>
        <v>12.019932765760146</v>
      </c>
      <c r="AH99">
        <f>VLOOKUP($C99,'2017 Seattle Tracts Conc'!$BA$3:$BT$95,AH$1-3,FALSE)</f>
        <v>0.35926260504317076</v>
      </c>
      <c r="AI99">
        <f>VLOOKUP($C99,'2017 Seattle Tracts Conc'!$BA$3:$BT$95,AI$1-3,FALSE)</f>
        <v>235.32469239835595</v>
      </c>
      <c r="AJ99">
        <f>VLOOKUP($C99,'2017 Seattle Tracts Conc'!$BA$3:$BT$95,AJ$1-3,FALSE)</f>
        <v>510.20577890973493</v>
      </c>
      <c r="AK99">
        <f>VLOOKUP($C99,'2017 Seattle Tracts Conc'!$BA$3:$BT$95,AK$1-3,FALSE)</f>
        <v>1.962897487226885</v>
      </c>
      <c r="AL99">
        <f>VLOOKUP($C99,'2017 Seattle Tracts Conc'!$BA$3:$BT$95,AL$1-3,FALSE)</f>
        <v>13.812058328919022</v>
      </c>
      <c r="AM99">
        <f>VLOOKUP($C99,'2017 Seattle Tracts Conc'!$BA$3:$BT$95,AM$1-3,FALSE)</f>
        <v>7.3502617484112367</v>
      </c>
      <c r="AN99">
        <f>VLOOKUP($C99,'2017 Seattle Tracts Conc'!$BA$3:$BT$95,AN$1-3,FALSE)</f>
        <v>41.778152972914114</v>
      </c>
      <c r="AO99">
        <f>VLOOKUP($C99,'2017 Seattle Tracts Conc'!$BA$3:$BT$95,AO$1-3,FALSE)</f>
        <v>322.11095525231013</v>
      </c>
      <c r="AP99">
        <f>VLOOKUP($C99,'2017 Seattle Tracts Conc'!$BA$3:$BT$95,AP$1-3,FALSE)</f>
        <v>36.181040016189577</v>
      </c>
    </row>
    <row r="100" spans="1:42" x14ac:dyDescent="0.25">
      <c r="A100">
        <v>167</v>
      </c>
      <c r="B100" t="s">
        <v>2495</v>
      </c>
      <c r="C100" t="s">
        <v>165</v>
      </c>
      <c r="D100" t="s">
        <v>122</v>
      </c>
      <c r="E100">
        <f>VLOOKUP($C100,'2000 Seattle Tracts Conc'!$AZ$3:$BS$94,E$1,FALSE)</f>
        <v>3966.824158453147</v>
      </c>
      <c r="F100">
        <f>VLOOKUP($C100,'2000 Seattle Tracts Conc'!$AZ$3:$BS$94,F$1,FALSE)</f>
        <v>3110.7047012363892</v>
      </c>
      <c r="G100">
        <f>VLOOKUP($C100,'2000 Seattle Tracts Conc'!$AZ$3:$BS$94,G$1,FALSE)</f>
        <v>856.11945721675772</v>
      </c>
      <c r="H100">
        <f>VLOOKUP($C100,'2000 Seattle Tracts Conc'!$AZ$3:$BS$94,H$1,FALSE)</f>
        <v>1960.3104322503684</v>
      </c>
      <c r="I100">
        <f>VLOOKUP($C100,'2000 Seattle Tracts Conc'!$AZ$3:$BS$94,I$1,FALSE)</f>
        <v>122.25345246347734</v>
      </c>
      <c r="J100">
        <f>VLOOKUP($C100,'2000 Seattle Tracts Conc'!$AZ$3:$BS$94,J$1,FALSE)</f>
        <v>71.603506573454851</v>
      </c>
      <c r="K100">
        <f>VLOOKUP($C100,'2000 Seattle Tracts Conc'!$AZ$3:$BS$94,K$1,FALSE)</f>
        <v>97.273871746145701</v>
      </c>
      <c r="L100">
        <f>VLOOKUP($C100,'2000 Seattle Tracts Conc'!$AZ$3:$BS$94,L$1,FALSE)</f>
        <v>357.72613519852246</v>
      </c>
      <c r="M100">
        <f>VLOOKUP($C100,'2000 Seattle Tracts Conc'!$AZ$3:$BS$94,M$1,FALSE)</f>
        <v>53.138304431137897</v>
      </c>
      <c r="N100">
        <f>VLOOKUP($C100,'2000 Seattle Tracts Conc'!$AZ$3:$BS$94,N$1,FALSE)</f>
        <v>79.144382409522379</v>
      </c>
      <c r="O100">
        <f>VLOOKUP($C100,'2000 Seattle Tracts Conc'!$AZ$3:$BS$94,O$1,FALSE)</f>
        <v>0.88706689106586423</v>
      </c>
      <c r="P100">
        <f>VLOOKUP($C100,'2000 Seattle Tracts Conc'!$AZ$3:$BS$94,P$1,FALSE)</f>
        <v>364.23351732991506</v>
      </c>
      <c r="Q100">
        <f>VLOOKUP($C100,'2000 Seattle Tracts Conc'!$AZ$3:$BS$94,Q$1,FALSE)</f>
        <v>448.18517659466841</v>
      </c>
      <c r="R100">
        <f>VLOOKUP($C100,'2000 Seattle Tracts Conc'!$AZ$3:$BS$94,R$1,FALSE)</f>
        <v>9.0256495512632195</v>
      </c>
      <c r="S100">
        <f>VLOOKUP($C100,'2000 Seattle Tracts Conc'!$AZ$3:$BS$94,S$1,FALSE)</f>
        <v>4.2740171472425301E-2</v>
      </c>
      <c r="T100">
        <f>VLOOKUP($C100,'2000 Seattle Tracts Conc'!$AZ$3:$BS$94,T$1,FALSE)</f>
        <v>131.13066653555472</v>
      </c>
      <c r="U100">
        <f>VLOOKUP($C100,'2000 Seattle Tracts Conc'!$AZ$3:$BS$94,U$1,FALSE)</f>
        <v>76.936858366609655</v>
      </c>
      <c r="V100">
        <f>VLOOKUP($C100,'2000 Seattle Tracts Conc'!$AZ$3:$BS$94,V$1,FALSE)</f>
        <v>137.53041138778832</v>
      </c>
      <c r="W100">
        <f>VLOOKUP($C100,'2000 Seattle Tracts Conc'!$AZ$3:$BS$94,W$1,FALSE)</f>
        <v>57.401986552180553</v>
      </c>
      <c r="X100" s="4">
        <f>VLOOKUP($C100,'2017 Seattle Tracts Conc'!$BA$3:$BT$95,X$1-3,FALSE)</f>
        <v>4475.7881672575959</v>
      </c>
      <c r="Y100">
        <f>VLOOKUP($C100,'2017 Seattle Tracts Conc'!$BA$3:$BT$95,Y$1-3,FALSE)</f>
        <v>3626.7898985105576</v>
      </c>
      <c r="Z100">
        <f>VLOOKUP($C100,'2017 Seattle Tracts Conc'!$BA$3:$BT$95,Z$1-3,FALSE)</f>
        <v>848.99826874703876</v>
      </c>
      <c r="AA100">
        <f>VLOOKUP($C100,'2017 Seattle Tracts Conc'!$BA$3:$BT$95,AA$1-3,FALSE)</f>
        <v>2396.9997513954745</v>
      </c>
      <c r="AB100">
        <f>VLOOKUP($C100,'2017 Seattle Tracts Conc'!$BA$3:$BT$95,AB$1-3,FALSE)</f>
        <v>199.67217553368386</v>
      </c>
      <c r="AC100">
        <f>VLOOKUP($C100,'2017 Seattle Tracts Conc'!$BA$3:$BT$95,AC$1-3,FALSE)</f>
        <v>120.0064043600408</v>
      </c>
      <c r="AD100">
        <f>VLOOKUP($C100,'2017 Seattle Tracts Conc'!$BA$3:$BT$95,AD$1-3,FALSE)</f>
        <v>49.739425965387589</v>
      </c>
      <c r="AE100">
        <f>VLOOKUP($C100,'2017 Seattle Tracts Conc'!$BA$3:$BT$95,AE$1-3,FALSE)</f>
        <v>245.48387401244929</v>
      </c>
      <c r="AF100">
        <f>VLOOKUP($C100,'2017 Seattle Tracts Conc'!$BA$3:$BT$95,AF$1-3,FALSE)</f>
        <v>137.67749003300011</v>
      </c>
      <c r="AG100">
        <f>VLOOKUP($C100,'2017 Seattle Tracts Conc'!$BA$3:$BT$95,AG$1-3,FALSE)</f>
        <v>26.740674129398919</v>
      </c>
      <c r="AH100">
        <f>VLOOKUP($C100,'2017 Seattle Tracts Conc'!$BA$3:$BT$95,AH$1-3,FALSE)</f>
        <v>5.5912369859387287E-4</v>
      </c>
      <c r="AI100">
        <f>VLOOKUP($C100,'2017 Seattle Tracts Conc'!$BA$3:$BT$95,AI$1-3,FALSE)</f>
        <v>367.52215036656264</v>
      </c>
      <c r="AJ100">
        <f>VLOOKUP($C100,'2017 Seattle Tracts Conc'!$BA$3:$BT$95,AJ$1-3,FALSE)</f>
        <v>375.08357340959174</v>
      </c>
      <c r="AK100">
        <f>VLOOKUP($C100,'2017 Seattle Tracts Conc'!$BA$3:$BT$95,AK$1-3,FALSE)</f>
        <v>10.684557863464564</v>
      </c>
      <c r="AL100">
        <f>VLOOKUP($C100,'2017 Seattle Tracts Conc'!$BA$3:$BT$95,AL$1-3,FALSE)</f>
        <v>8.6775352618824915</v>
      </c>
      <c r="AM100">
        <f>VLOOKUP($C100,'2017 Seattle Tracts Conc'!$BA$3:$BT$95,AM$1-3,FALSE)</f>
        <v>67.285400262304847</v>
      </c>
      <c r="AN100">
        <f>VLOOKUP($C100,'2017 Seattle Tracts Conc'!$BA$3:$BT$95,AN$1-3,FALSE)</f>
        <v>47.529382747127542</v>
      </c>
      <c r="AO100">
        <f>VLOOKUP($C100,'2017 Seattle Tracts Conc'!$BA$3:$BT$95,AO$1-3,FALSE)</f>
        <v>392.06708612086203</v>
      </c>
      <c r="AP100">
        <f>VLOOKUP($C100,'2017 Seattle Tracts Conc'!$BA$3:$BT$95,AP$1-3,FALSE)</f>
        <v>30.618126672666996</v>
      </c>
    </row>
    <row r="101" spans="1:42" x14ac:dyDescent="0.25">
      <c r="A101">
        <v>177</v>
      </c>
      <c r="B101" t="s">
        <v>2495</v>
      </c>
      <c r="C101" t="s">
        <v>166</v>
      </c>
      <c r="D101" t="s">
        <v>122</v>
      </c>
      <c r="E101">
        <f>VLOOKUP($C101,'2000 Seattle Tracts Conc'!$AZ$3:$BS$94,E$1,FALSE)</f>
        <v>1263.7946154617334</v>
      </c>
      <c r="F101">
        <f>VLOOKUP($C101,'2000 Seattle Tracts Conc'!$AZ$3:$BS$94,F$1,FALSE)</f>
        <v>916.8621058082731</v>
      </c>
      <c r="G101">
        <f>VLOOKUP($C101,'2000 Seattle Tracts Conc'!$AZ$3:$BS$94,G$1,FALSE)</f>
        <v>346.93250965346067</v>
      </c>
      <c r="H101">
        <f>VLOOKUP($C101,'2000 Seattle Tracts Conc'!$AZ$3:$BS$94,H$1,FALSE)</f>
        <v>587.48031875415472</v>
      </c>
      <c r="I101">
        <f>VLOOKUP($C101,'2000 Seattle Tracts Conc'!$AZ$3:$BS$94,I$1,FALSE)</f>
        <v>30.745691537871615</v>
      </c>
      <c r="J101">
        <f>VLOOKUP($C101,'2000 Seattle Tracts Conc'!$AZ$3:$BS$94,J$1,FALSE)</f>
        <v>27.67295744092047</v>
      </c>
      <c r="K101">
        <f>VLOOKUP($C101,'2000 Seattle Tracts Conc'!$AZ$3:$BS$94,K$1,FALSE)</f>
        <v>31.802791854743983</v>
      </c>
      <c r="L101">
        <f>VLOOKUP($C101,'2000 Seattle Tracts Conc'!$AZ$3:$BS$94,L$1,FALSE)</f>
        <v>108.57877878400357</v>
      </c>
      <c r="M101">
        <f>VLOOKUP($C101,'2000 Seattle Tracts Conc'!$AZ$3:$BS$94,M$1,FALSE)</f>
        <v>26.304803433585391</v>
      </c>
      <c r="N101">
        <f>VLOOKUP($C101,'2000 Seattle Tracts Conc'!$AZ$3:$BS$94,N$1,FALSE)</f>
        <v>53.178986190309466</v>
      </c>
      <c r="O101">
        <f>VLOOKUP($C101,'2000 Seattle Tracts Conc'!$AZ$3:$BS$94,O$1,FALSE)</f>
        <v>26.907854349089241</v>
      </c>
      <c r="P101">
        <f>VLOOKUP($C101,'2000 Seattle Tracts Conc'!$AZ$3:$BS$94,P$1,FALSE)</f>
        <v>63.043338874087873</v>
      </c>
      <c r="Q101">
        <f>VLOOKUP($C101,'2000 Seattle Tracts Conc'!$AZ$3:$BS$94,Q$1,FALSE)</f>
        <v>164.14343133172599</v>
      </c>
      <c r="R101">
        <f>VLOOKUP($C101,'2000 Seattle Tracts Conc'!$AZ$3:$BS$94,R$1,FALSE)</f>
        <v>0.44242650907513642</v>
      </c>
      <c r="S101">
        <f>VLOOKUP($C101,'2000 Seattle Tracts Conc'!$AZ$3:$BS$94,S$1,FALSE)</f>
        <v>2.4033265869933311</v>
      </c>
      <c r="T101">
        <f>VLOOKUP($C101,'2000 Seattle Tracts Conc'!$AZ$3:$BS$94,T$1,FALSE)</f>
        <v>28.618955999933636</v>
      </c>
      <c r="U101">
        <f>VLOOKUP($C101,'2000 Seattle Tracts Conc'!$AZ$3:$BS$94,U$1,FALSE)</f>
        <v>33.376597237800496</v>
      </c>
      <c r="V101">
        <f>VLOOKUP($C101,'2000 Seattle Tracts Conc'!$AZ$3:$BS$94,V$1,FALSE)</f>
        <v>47.846343255788128</v>
      </c>
      <c r="W101">
        <f>VLOOKUP($C101,'2000 Seattle Tracts Conc'!$AZ$3:$BS$94,W$1,FALSE)</f>
        <v>31.248013321650575</v>
      </c>
      <c r="X101" s="4">
        <f>VLOOKUP($C101,'2017 Seattle Tracts Conc'!$BA$3:$BT$95,X$1-3,FALSE)</f>
        <v>1264.4604385375324</v>
      </c>
      <c r="Y101">
        <f>VLOOKUP($C101,'2017 Seattle Tracts Conc'!$BA$3:$BT$95,Y$1-3,FALSE)</f>
        <v>1115.4553529900636</v>
      </c>
      <c r="Z101">
        <f>VLOOKUP($C101,'2017 Seattle Tracts Conc'!$BA$3:$BT$95,Z$1-3,FALSE)</f>
        <v>149.00508554746852</v>
      </c>
      <c r="AA101">
        <f>VLOOKUP($C101,'2017 Seattle Tracts Conc'!$BA$3:$BT$95,AA$1-3,FALSE)</f>
        <v>798.07314822992225</v>
      </c>
      <c r="AB101">
        <f>VLOOKUP($C101,'2017 Seattle Tracts Conc'!$BA$3:$BT$95,AB$1-3,FALSE)</f>
        <v>21.426067330179308</v>
      </c>
      <c r="AC101">
        <f>VLOOKUP($C101,'2017 Seattle Tracts Conc'!$BA$3:$BT$95,AC$1-3,FALSE)</f>
        <v>28.157742570950688</v>
      </c>
      <c r="AD101">
        <f>VLOOKUP($C101,'2017 Seattle Tracts Conc'!$BA$3:$BT$95,AD$1-3,FALSE)</f>
        <v>2.8489808045970175</v>
      </c>
      <c r="AE101">
        <f>VLOOKUP($C101,'2017 Seattle Tracts Conc'!$BA$3:$BT$95,AE$1-3,FALSE)</f>
        <v>72.647027355413869</v>
      </c>
      <c r="AF101">
        <f>VLOOKUP($C101,'2017 Seattle Tracts Conc'!$BA$3:$BT$95,AF$1-3,FALSE)</f>
        <v>23.701162259464699</v>
      </c>
      <c r="AG101">
        <f>VLOOKUP($C101,'2017 Seattle Tracts Conc'!$BA$3:$BT$95,AG$1-3,FALSE)</f>
        <v>7.5436755155774966</v>
      </c>
      <c r="AH101">
        <f>VLOOKUP($C101,'2017 Seattle Tracts Conc'!$BA$3:$BT$95,AH$1-3,FALSE)</f>
        <v>1.7169508263747022</v>
      </c>
      <c r="AI101">
        <f>VLOOKUP($C101,'2017 Seattle Tracts Conc'!$BA$3:$BT$95,AI$1-3,FALSE)</f>
        <v>48.481517312464376</v>
      </c>
      <c r="AJ101">
        <f>VLOOKUP($C101,'2017 Seattle Tracts Conc'!$BA$3:$BT$95,AJ$1-3,FALSE)</f>
        <v>93.927978355645948</v>
      </c>
      <c r="AK101">
        <f>VLOOKUP($C101,'2017 Seattle Tracts Conc'!$BA$3:$BT$95,AK$1-3,FALSE)</f>
        <v>19.78696328468207</v>
      </c>
      <c r="AL101">
        <f>VLOOKUP($C101,'2017 Seattle Tracts Conc'!$BA$3:$BT$95,AL$1-3,FALSE)</f>
        <v>3.122442461831171</v>
      </c>
      <c r="AM101">
        <f>VLOOKUP($C101,'2017 Seattle Tracts Conc'!$BA$3:$BT$95,AM$1-3,FALSE)</f>
        <v>62.089874231330249</v>
      </c>
      <c r="AN101">
        <f>VLOOKUP($C101,'2017 Seattle Tracts Conc'!$BA$3:$BT$95,AN$1-3,FALSE)</f>
        <v>0.72535934820764836</v>
      </c>
      <c r="AO101">
        <f>VLOOKUP($C101,'2017 Seattle Tracts Conc'!$BA$3:$BT$95,AO$1-3,FALSE)</f>
        <v>78.675404489722737</v>
      </c>
      <c r="AP101">
        <f>VLOOKUP($C101,'2017 Seattle Tracts Conc'!$BA$3:$BT$95,AP$1-3,FALSE)</f>
        <v>1.5361441611680287</v>
      </c>
    </row>
    <row r="102" spans="1:42" x14ac:dyDescent="0.25">
      <c r="A102">
        <v>187</v>
      </c>
      <c r="B102" t="s">
        <v>2495</v>
      </c>
      <c r="C102" t="s">
        <v>167</v>
      </c>
      <c r="D102" t="s">
        <v>122</v>
      </c>
      <c r="E102">
        <f>VLOOKUP($C102,'2000 Seattle Tracts Conc'!$AZ$3:$BS$94,E$1,FALSE)</f>
        <v>3675.7615163831697</v>
      </c>
      <c r="F102">
        <f>VLOOKUP($C102,'2000 Seattle Tracts Conc'!$AZ$3:$BS$94,F$1,FALSE)</f>
        <v>2433.8437266726041</v>
      </c>
      <c r="G102">
        <f>VLOOKUP($C102,'2000 Seattle Tracts Conc'!$AZ$3:$BS$94,G$1,FALSE)</f>
        <v>1241.9177897105653</v>
      </c>
      <c r="H102">
        <f>VLOOKUP($C102,'2000 Seattle Tracts Conc'!$AZ$3:$BS$94,H$1,FALSE)</f>
        <v>1229.6866104562316</v>
      </c>
      <c r="I102">
        <f>VLOOKUP($C102,'2000 Seattle Tracts Conc'!$AZ$3:$BS$94,I$1,FALSE)</f>
        <v>17.547089398942791</v>
      </c>
      <c r="J102">
        <f>VLOOKUP($C102,'2000 Seattle Tracts Conc'!$AZ$3:$BS$94,J$1,FALSE)</f>
        <v>75.802360586579354</v>
      </c>
      <c r="K102">
        <f>VLOOKUP($C102,'2000 Seattle Tracts Conc'!$AZ$3:$BS$94,K$1,FALSE)</f>
        <v>279.26993232697561</v>
      </c>
      <c r="L102">
        <f>VLOOKUP($C102,'2000 Seattle Tracts Conc'!$AZ$3:$BS$94,L$1,FALSE)</f>
        <v>276.34195016724192</v>
      </c>
      <c r="M102">
        <f>VLOOKUP($C102,'2000 Seattle Tracts Conc'!$AZ$3:$BS$94,M$1,FALSE)</f>
        <v>0.32806913518141034</v>
      </c>
      <c r="N102">
        <f>VLOOKUP($C102,'2000 Seattle Tracts Conc'!$AZ$3:$BS$94,N$1,FALSE)</f>
        <v>122.43839125450968</v>
      </c>
      <c r="O102">
        <f>VLOOKUP($C102,'2000 Seattle Tracts Conc'!$AZ$3:$BS$94,O$1,FALSE)</f>
        <v>0</v>
      </c>
      <c r="P102">
        <f>VLOOKUP($C102,'2000 Seattle Tracts Conc'!$AZ$3:$BS$94,P$1,FALSE)</f>
        <v>126.2998271981963</v>
      </c>
      <c r="Q102">
        <f>VLOOKUP($C102,'2000 Seattle Tracts Conc'!$AZ$3:$BS$94,Q$1,FALSE)</f>
        <v>412.46947742750888</v>
      </c>
      <c r="R102">
        <f>VLOOKUP($C102,'2000 Seattle Tracts Conc'!$AZ$3:$BS$94,R$1,FALSE)</f>
        <v>48.426024218899165</v>
      </c>
      <c r="S102">
        <f>VLOOKUP($C102,'2000 Seattle Tracts Conc'!$AZ$3:$BS$94,S$1,FALSE)</f>
        <v>7.0724123405610584</v>
      </c>
      <c r="T102">
        <f>VLOOKUP($C102,'2000 Seattle Tracts Conc'!$AZ$3:$BS$94,T$1,FALSE)</f>
        <v>380.20125920001533</v>
      </c>
      <c r="U102">
        <f>VLOOKUP($C102,'2000 Seattle Tracts Conc'!$AZ$3:$BS$94,U$1,FALSE)</f>
        <v>476.72146550788079</v>
      </c>
      <c r="V102">
        <f>VLOOKUP($C102,'2000 Seattle Tracts Conc'!$AZ$3:$BS$94,V$1,FALSE)</f>
        <v>174.64730359093065</v>
      </c>
      <c r="W102">
        <f>VLOOKUP($C102,'2000 Seattle Tracts Conc'!$AZ$3:$BS$94,W$1,FALSE)</f>
        <v>48.509343573514855</v>
      </c>
      <c r="X102" s="4">
        <f>VLOOKUP($C102,'2017 Seattle Tracts Conc'!$BA$3:$BT$95,X$1-3,FALSE)</f>
        <v>3689.3701512691305</v>
      </c>
      <c r="Y102">
        <f>VLOOKUP($C102,'2017 Seattle Tracts Conc'!$BA$3:$BT$95,Y$1-3,FALSE)</f>
        <v>2880.4036701087766</v>
      </c>
      <c r="Z102">
        <f>VLOOKUP($C102,'2017 Seattle Tracts Conc'!$BA$3:$BT$95,Z$1-3,FALSE)</f>
        <v>808.96648116035408</v>
      </c>
      <c r="AA102">
        <f>VLOOKUP($C102,'2017 Seattle Tracts Conc'!$BA$3:$BT$95,AA$1-3,FALSE)</f>
        <v>1159.1534999024022</v>
      </c>
      <c r="AB102">
        <f>VLOOKUP($C102,'2017 Seattle Tracts Conc'!$BA$3:$BT$95,AB$1-3,FALSE)</f>
        <v>79.829133729332682</v>
      </c>
      <c r="AC102">
        <f>VLOOKUP($C102,'2017 Seattle Tracts Conc'!$BA$3:$BT$95,AC$1-3,FALSE)</f>
        <v>322.89608902769606</v>
      </c>
      <c r="AD102">
        <f>VLOOKUP($C102,'2017 Seattle Tracts Conc'!$BA$3:$BT$95,AD$1-3,FALSE)</f>
        <v>123.27752460323785</v>
      </c>
      <c r="AE102">
        <f>VLOOKUP($C102,'2017 Seattle Tracts Conc'!$BA$3:$BT$95,AE$1-3,FALSE)</f>
        <v>167.14253765302922</v>
      </c>
      <c r="AF102">
        <f>VLOOKUP($C102,'2017 Seattle Tracts Conc'!$BA$3:$BT$95,AF$1-3,FALSE)</f>
        <v>31.652462143700294</v>
      </c>
      <c r="AG102">
        <f>VLOOKUP($C102,'2017 Seattle Tracts Conc'!$BA$3:$BT$95,AG$1-3,FALSE)</f>
        <v>16.897740372628551</v>
      </c>
      <c r="AH102">
        <f>VLOOKUP($C102,'2017 Seattle Tracts Conc'!$BA$3:$BT$95,AH$1-3,FALSE)</f>
        <v>7.3495003668265529E-2</v>
      </c>
      <c r="AI102">
        <f>VLOOKUP($C102,'2017 Seattle Tracts Conc'!$BA$3:$BT$95,AI$1-3,FALSE)</f>
        <v>112.7222407703585</v>
      </c>
      <c r="AJ102">
        <f>VLOOKUP($C102,'2017 Seattle Tracts Conc'!$BA$3:$BT$95,AJ$1-3,FALSE)</f>
        <v>251.51603125246294</v>
      </c>
      <c r="AK102">
        <f>VLOOKUP($C102,'2017 Seattle Tracts Conc'!$BA$3:$BT$95,AK$1-3,FALSE)</f>
        <v>57.936933644232802</v>
      </c>
      <c r="AL102">
        <f>VLOOKUP($C102,'2017 Seattle Tracts Conc'!$BA$3:$BT$95,AL$1-3,FALSE)</f>
        <v>95.028713094265669</v>
      </c>
      <c r="AM102">
        <f>VLOOKUP($C102,'2017 Seattle Tracts Conc'!$BA$3:$BT$95,AM$1-3,FALSE)</f>
        <v>298.1284762621201</v>
      </c>
      <c r="AN102">
        <f>VLOOKUP($C102,'2017 Seattle Tracts Conc'!$BA$3:$BT$95,AN$1-3,FALSE)</f>
        <v>217.60843962979703</v>
      </c>
      <c r="AO102">
        <f>VLOOKUP($C102,'2017 Seattle Tracts Conc'!$BA$3:$BT$95,AO$1-3,FALSE)</f>
        <v>745.52615247630877</v>
      </c>
      <c r="AP102">
        <f>VLOOKUP($C102,'2017 Seattle Tracts Conc'!$BA$3:$BT$95,AP$1-3,FALSE)</f>
        <v>9.9806817038893527</v>
      </c>
    </row>
    <row r="103" spans="1:42" x14ac:dyDescent="0.25">
      <c r="A103">
        <v>197</v>
      </c>
      <c r="B103" t="s">
        <v>2495</v>
      </c>
      <c r="C103" t="s">
        <v>168</v>
      </c>
      <c r="D103" t="s">
        <v>122</v>
      </c>
      <c r="E103">
        <f>VLOOKUP($C103,'2000 Seattle Tracts Conc'!$AZ$3:$BS$94,E$1,FALSE)</f>
        <v>1085.9423559054278</v>
      </c>
      <c r="F103">
        <f>VLOOKUP($C103,'2000 Seattle Tracts Conc'!$AZ$3:$BS$94,F$1,FALSE)</f>
        <v>927.48188765090129</v>
      </c>
      <c r="G103">
        <f>VLOOKUP($C103,'2000 Seattle Tracts Conc'!$AZ$3:$BS$94,G$1,FALSE)</f>
        <v>158.46046825452646</v>
      </c>
      <c r="H103">
        <f>VLOOKUP($C103,'2000 Seattle Tracts Conc'!$AZ$3:$BS$94,H$1,FALSE)</f>
        <v>707.18929355298144</v>
      </c>
      <c r="I103">
        <f>VLOOKUP($C103,'2000 Seattle Tracts Conc'!$AZ$3:$BS$94,I$1,FALSE)</f>
        <v>43.057188846411613</v>
      </c>
      <c r="J103">
        <f>VLOOKUP($C103,'2000 Seattle Tracts Conc'!$AZ$3:$BS$94,J$1,FALSE)</f>
        <v>16.772277050637083</v>
      </c>
      <c r="K103">
        <f>VLOOKUP($C103,'2000 Seattle Tracts Conc'!$AZ$3:$BS$94,K$1,FALSE)</f>
        <v>16.021279570757809</v>
      </c>
      <c r="L103">
        <f>VLOOKUP($C103,'2000 Seattle Tracts Conc'!$AZ$3:$BS$94,L$1,FALSE)</f>
        <v>79.105067880616687</v>
      </c>
      <c r="M103">
        <f>VLOOKUP($C103,'2000 Seattle Tracts Conc'!$AZ$3:$BS$94,M$1,FALSE)</f>
        <v>5.5073148524479967</v>
      </c>
      <c r="N103">
        <f>VLOOKUP($C103,'2000 Seattle Tracts Conc'!$AZ$3:$BS$94,N$1,FALSE)</f>
        <v>14.268952117706174</v>
      </c>
      <c r="O103">
        <f>VLOOKUP($C103,'2000 Seattle Tracts Conc'!$AZ$3:$BS$94,O$1,FALSE)</f>
        <v>0</v>
      </c>
      <c r="P103">
        <f>VLOOKUP($C103,'2000 Seattle Tracts Conc'!$AZ$3:$BS$94,P$1,FALSE)</f>
        <v>64.085118283031235</v>
      </c>
      <c r="Q103">
        <f>VLOOKUP($C103,'2000 Seattle Tracts Conc'!$AZ$3:$BS$94,Q$1,FALSE)</f>
        <v>58.828135923876332</v>
      </c>
      <c r="R103">
        <f>VLOOKUP($C103,'2000 Seattle Tracts Conc'!$AZ$3:$BS$94,R$1,FALSE)</f>
        <v>0</v>
      </c>
      <c r="S103">
        <f>VLOOKUP($C103,'2000 Seattle Tracts Conc'!$AZ$3:$BS$94,S$1,FALSE)</f>
        <v>0</v>
      </c>
      <c r="T103">
        <f>VLOOKUP($C103,'2000 Seattle Tracts Conc'!$AZ$3:$BS$94,T$1,FALSE)</f>
        <v>13.768287131119992</v>
      </c>
      <c r="U103">
        <f>VLOOKUP($C103,'2000 Seattle Tracts Conc'!$AZ$3:$BS$94,U$1,FALSE)</f>
        <v>35.046549061032707</v>
      </c>
      <c r="V103">
        <f>VLOOKUP($C103,'2000 Seattle Tracts Conc'!$AZ$3:$BS$94,V$1,FALSE)</f>
        <v>32.292891634808711</v>
      </c>
      <c r="W103">
        <f>VLOOKUP($C103,'2000 Seattle Tracts Conc'!$AZ$3:$BS$94,W$1,FALSE)</f>
        <v>0</v>
      </c>
      <c r="X103" s="4">
        <f>VLOOKUP($C103,'2017 Seattle Tracts Conc'!$BA$3:$BT$95,X$1-3,FALSE)</f>
        <v>1420.6374147414381</v>
      </c>
      <c r="Y103">
        <f>VLOOKUP($C103,'2017 Seattle Tracts Conc'!$BA$3:$BT$95,Y$1-3,FALSE)</f>
        <v>1174.0598194074616</v>
      </c>
      <c r="Z103">
        <f>VLOOKUP($C103,'2017 Seattle Tracts Conc'!$BA$3:$BT$95,Z$1-3,FALSE)</f>
        <v>246.57759533397649</v>
      </c>
      <c r="AA103">
        <f>VLOOKUP($C103,'2017 Seattle Tracts Conc'!$BA$3:$BT$95,AA$1-3,FALSE)</f>
        <v>925.98022856891271</v>
      </c>
      <c r="AB103">
        <f>VLOOKUP($C103,'2017 Seattle Tracts Conc'!$BA$3:$BT$95,AB$1-3,FALSE)</f>
        <v>131.42460665008898</v>
      </c>
      <c r="AC103">
        <f>VLOOKUP($C103,'2017 Seattle Tracts Conc'!$BA$3:$BT$95,AC$1-3,FALSE)</f>
        <v>52.069177491844783</v>
      </c>
      <c r="AD103">
        <f>VLOOKUP($C103,'2017 Seattle Tracts Conc'!$BA$3:$BT$95,AD$1-3,FALSE)</f>
        <v>6.0079820182897823</v>
      </c>
      <c r="AE103">
        <f>VLOOKUP($C103,'2017 Seattle Tracts Conc'!$BA$3:$BT$95,AE$1-3,FALSE)</f>
        <v>25.283590993636167</v>
      </c>
      <c r="AF103">
        <f>VLOOKUP($C103,'2017 Seattle Tracts Conc'!$BA$3:$BT$95,AF$1-3,FALSE)</f>
        <v>8.7616404433392656</v>
      </c>
      <c r="AG103">
        <f>VLOOKUP($C103,'2017 Seattle Tracts Conc'!$BA$3:$BT$95,AG$1-3,FALSE)</f>
        <v>0</v>
      </c>
      <c r="AH103">
        <f>VLOOKUP($C103,'2017 Seattle Tracts Conc'!$BA$3:$BT$95,AH$1-3,FALSE)</f>
        <v>0</v>
      </c>
      <c r="AI103">
        <f>VLOOKUP($C103,'2017 Seattle Tracts Conc'!$BA$3:$BT$95,AI$1-3,FALSE)</f>
        <v>58.327492094229967</v>
      </c>
      <c r="AJ103">
        <f>VLOOKUP($C103,'2017 Seattle Tracts Conc'!$BA$3:$BT$95,AJ$1-3,FALSE)</f>
        <v>71.094453883095753</v>
      </c>
      <c r="AK103">
        <f>VLOOKUP($C103,'2017 Seattle Tracts Conc'!$BA$3:$BT$95,AK$1-3,FALSE)</f>
        <v>0</v>
      </c>
      <c r="AL103">
        <f>VLOOKUP($C103,'2017 Seattle Tracts Conc'!$BA$3:$BT$95,AL$1-3,FALSE)</f>
        <v>0</v>
      </c>
      <c r="AM103">
        <f>VLOOKUP($C103,'2017 Seattle Tracts Conc'!$BA$3:$BT$95,AM$1-3,FALSE)</f>
        <v>5.5073168500989667</v>
      </c>
      <c r="AN103">
        <f>VLOOKUP($C103,'2017 Seattle Tracts Conc'!$BA$3:$BT$95,AN$1-3,FALSE)</f>
        <v>22.780265152682091</v>
      </c>
      <c r="AO103">
        <f>VLOOKUP($C103,'2017 Seattle Tracts Conc'!$BA$3:$BT$95,AO$1-3,FALSE)</f>
        <v>106.89201340873905</v>
      </c>
      <c r="AP103">
        <f>VLOOKUP($C103,'2017 Seattle Tracts Conc'!$BA$3:$BT$95,AP$1-3,FALSE)</f>
        <v>6.5086471864805979</v>
      </c>
    </row>
    <row r="104" spans="1:42" x14ac:dyDescent="0.25">
      <c r="A104">
        <v>178</v>
      </c>
      <c r="B104" t="s">
        <v>2495</v>
      </c>
      <c r="C104" t="s">
        <v>169</v>
      </c>
      <c r="D104" t="s">
        <v>170</v>
      </c>
      <c r="E104">
        <f>VLOOKUP($C104,'2000 Seattle Tracts Conc'!$AZ$3:$BS$94,E$1,FALSE)</f>
        <v>4978.4252211192124</v>
      </c>
      <c r="F104">
        <f>VLOOKUP($C104,'2000 Seattle Tracts Conc'!$AZ$3:$BS$94,F$1,FALSE)</f>
        <v>4481.5505692913357</v>
      </c>
      <c r="G104">
        <f>VLOOKUP($C104,'2000 Seattle Tracts Conc'!$AZ$3:$BS$94,G$1,FALSE)</f>
        <v>496.8746518278781</v>
      </c>
      <c r="H104">
        <f>VLOOKUP($C104,'2000 Seattle Tracts Conc'!$AZ$3:$BS$94,H$1,FALSE)</f>
        <v>3948.0079983902051</v>
      </c>
      <c r="I104">
        <f>VLOOKUP($C104,'2000 Seattle Tracts Conc'!$AZ$3:$BS$94,I$1,FALSE)</f>
        <v>252.38376369080672</v>
      </c>
      <c r="J104">
        <f>VLOOKUP($C104,'2000 Seattle Tracts Conc'!$AZ$3:$BS$94,J$1,FALSE)</f>
        <v>73.282650459851197</v>
      </c>
      <c r="K104">
        <f>VLOOKUP($C104,'2000 Seattle Tracts Conc'!$AZ$3:$BS$94,K$1,FALSE)</f>
        <v>27.827746067558444</v>
      </c>
      <c r="L104">
        <f>VLOOKUP($C104,'2000 Seattle Tracts Conc'!$AZ$3:$BS$94,L$1,FALSE)</f>
        <v>118.06521245273423</v>
      </c>
      <c r="M104">
        <f>VLOOKUP($C104,'2000 Seattle Tracts Conc'!$AZ$3:$BS$94,M$1,FALSE)</f>
        <v>19.9255366113231</v>
      </c>
      <c r="N104">
        <f>VLOOKUP($C104,'2000 Seattle Tracts Conc'!$AZ$3:$BS$94,N$1,FALSE)</f>
        <v>55.610143762853852</v>
      </c>
      <c r="O104">
        <f>VLOOKUP($C104,'2000 Seattle Tracts Conc'!$AZ$3:$BS$94,O$1,FALSE)</f>
        <v>9.6745955343333971</v>
      </c>
      <c r="P104">
        <f>VLOOKUP($C104,'2000 Seattle Tracts Conc'!$AZ$3:$BS$94,P$1,FALSE)</f>
        <v>66.229646160181389</v>
      </c>
      <c r="Q104">
        <f>VLOOKUP($C104,'2000 Seattle Tracts Conc'!$AZ$3:$BS$94,Q$1,FALSE)</f>
        <v>114.91384159165725</v>
      </c>
      <c r="R104">
        <f>VLOOKUP($C104,'2000 Seattle Tracts Conc'!$AZ$3:$BS$94,R$1,FALSE)</f>
        <v>4.5980448212592293</v>
      </c>
      <c r="S104">
        <f>VLOOKUP($C104,'2000 Seattle Tracts Conc'!$AZ$3:$BS$94,S$1,FALSE)</f>
        <v>0.15310507185209971</v>
      </c>
      <c r="T104">
        <f>VLOOKUP($C104,'2000 Seattle Tracts Conc'!$AZ$3:$BS$94,T$1,FALSE)</f>
        <v>53.768980253597448</v>
      </c>
      <c r="U104">
        <f>VLOOKUP($C104,'2000 Seattle Tracts Conc'!$AZ$3:$BS$94,U$1,FALSE)</f>
        <v>39.155662677320215</v>
      </c>
      <c r="V104">
        <f>VLOOKUP($C104,'2000 Seattle Tracts Conc'!$AZ$3:$BS$94,V$1,FALSE)</f>
        <v>161.98789299065291</v>
      </c>
      <c r="W104">
        <f>VLOOKUP($C104,'2000 Seattle Tracts Conc'!$AZ$3:$BS$94,W$1,FALSE)</f>
        <v>32.840400583026877</v>
      </c>
      <c r="X104" s="4">
        <f>VLOOKUP($C104,'2017 Seattle Tracts Conc'!$BA$3:$BT$95,X$1-3,FALSE)</f>
        <v>6164.9999921979352</v>
      </c>
      <c r="Y104">
        <f>VLOOKUP($C104,'2017 Seattle Tracts Conc'!$BA$3:$BT$95,Y$1-3,FALSE)</f>
        <v>5448.9483073346364</v>
      </c>
      <c r="Z104">
        <f>VLOOKUP($C104,'2017 Seattle Tracts Conc'!$BA$3:$BT$95,Z$1-3,FALSE)</f>
        <v>716.05168486329808</v>
      </c>
      <c r="AA104">
        <f>VLOOKUP($C104,'2017 Seattle Tracts Conc'!$BA$3:$BT$95,AA$1-3,FALSE)</f>
        <v>4495.8893585516553</v>
      </c>
      <c r="AB104">
        <f>VLOOKUP($C104,'2017 Seattle Tracts Conc'!$BA$3:$BT$95,AB$1-3,FALSE)</f>
        <v>276.34180015002801</v>
      </c>
      <c r="AC104">
        <f>VLOOKUP($C104,'2017 Seattle Tracts Conc'!$BA$3:$BT$95,AC$1-3,FALSE)</f>
        <v>187.36705949595364</v>
      </c>
      <c r="AD104">
        <f>VLOOKUP($C104,'2017 Seattle Tracts Conc'!$BA$3:$BT$95,AD$1-3,FALSE)</f>
        <v>7.9734568110555806</v>
      </c>
      <c r="AE104">
        <f>VLOOKUP($C104,'2017 Seattle Tracts Conc'!$BA$3:$BT$95,AE$1-3,FALSE)</f>
        <v>105.11910077776984</v>
      </c>
      <c r="AF104">
        <f>VLOOKUP($C104,'2017 Seattle Tracts Conc'!$BA$3:$BT$95,AF$1-3,FALSE)</f>
        <v>59.656431487669401</v>
      </c>
      <c r="AG104">
        <f>VLOOKUP($C104,'2017 Seattle Tracts Conc'!$BA$3:$BT$95,AG$1-3,FALSE)</f>
        <v>30.391576494516958</v>
      </c>
      <c r="AH104">
        <f>VLOOKUP($C104,'2017 Seattle Tracts Conc'!$BA$3:$BT$95,AH$1-3,FALSE)</f>
        <v>5.8824052961757669</v>
      </c>
      <c r="AI104">
        <f>VLOOKUP($C104,'2017 Seattle Tracts Conc'!$BA$3:$BT$95,AI$1-3,FALSE)</f>
        <v>165.25541914125529</v>
      </c>
      <c r="AJ104">
        <f>VLOOKUP($C104,'2017 Seattle Tracts Conc'!$BA$3:$BT$95,AJ$1-3,FALSE)</f>
        <v>302.09659800975692</v>
      </c>
      <c r="AK104">
        <f>VLOOKUP($C104,'2017 Seattle Tracts Conc'!$BA$3:$BT$95,AK$1-3,FALSE)</f>
        <v>7.2398834414470974</v>
      </c>
      <c r="AL104">
        <f>VLOOKUP($C104,'2017 Seattle Tracts Conc'!$BA$3:$BT$95,AL$1-3,FALSE)</f>
        <v>0</v>
      </c>
      <c r="AM104">
        <f>VLOOKUP($C104,'2017 Seattle Tracts Conc'!$BA$3:$BT$95,AM$1-3,FALSE)</f>
        <v>67.560210281518877</v>
      </c>
      <c r="AN104">
        <f>VLOOKUP($C104,'2017 Seattle Tracts Conc'!$BA$3:$BT$95,AN$1-3,FALSE)</f>
        <v>47.647157488643572</v>
      </c>
      <c r="AO104">
        <f>VLOOKUP($C104,'2017 Seattle Tracts Conc'!$BA$3:$BT$95,AO$1-3,FALSE)</f>
        <v>390.1256991505204</v>
      </c>
      <c r="AP104">
        <f>VLOOKUP($C104,'2017 Seattle Tracts Conc'!$BA$3:$BT$95,AP$1-3,FALSE)</f>
        <v>16.453835619968846</v>
      </c>
    </row>
    <row r="105" spans="1:42" x14ac:dyDescent="0.25">
      <c r="A105">
        <v>184</v>
      </c>
      <c r="B105" t="s">
        <v>2495</v>
      </c>
      <c r="C105" t="s">
        <v>171</v>
      </c>
      <c r="D105" t="s">
        <v>170</v>
      </c>
      <c r="E105">
        <f>VLOOKUP($C105,'2000 Seattle Tracts Conc'!$AZ$3:$BS$94,E$1,FALSE)</f>
        <v>5157.8421329761868</v>
      </c>
      <c r="F105">
        <f>VLOOKUP($C105,'2000 Seattle Tracts Conc'!$AZ$3:$BS$94,F$1,FALSE)</f>
        <v>4658.0111182873125</v>
      </c>
      <c r="G105">
        <f>VLOOKUP($C105,'2000 Seattle Tracts Conc'!$AZ$3:$BS$94,G$1,FALSE)</f>
        <v>499.83101468887435</v>
      </c>
      <c r="H105">
        <f>VLOOKUP($C105,'2000 Seattle Tracts Conc'!$AZ$3:$BS$94,H$1,FALSE)</f>
        <v>4119.5247509242363</v>
      </c>
      <c r="I105">
        <f>VLOOKUP($C105,'2000 Seattle Tracts Conc'!$AZ$3:$BS$94,I$1,FALSE)</f>
        <v>263.14103908529512</v>
      </c>
      <c r="J105">
        <f>VLOOKUP($C105,'2000 Seattle Tracts Conc'!$AZ$3:$BS$94,J$1,FALSE)</f>
        <v>87.288976422965632</v>
      </c>
      <c r="K105">
        <f>VLOOKUP($C105,'2000 Seattle Tracts Conc'!$AZ$3:$BS$94,K$1,FALSE)</f>
        <v>39.704575582417</v>
      </c>
      <c r="L105">
        <f>VLOOKUP($C105,'2000 Seattle Tracts Conc'!$AZ$3:$BS$94,L$1,FALSE)</f>
        <v>106.9451180114477</v>
      </c>
      <c r="M105">
        <f>VLOOKUP($C105,'2000 Seattle Tracts Conc'!$AZ$3:$BS$94,M$1,FALSE)</f>
        <v>10.803234657045383</v>
      </c>
      <c r="N105">
        <f>VLOOKUP($C105,'2000 Seattle Tracts Conc'!$AZ$3:$BS$94,N$1,FALSE)</f>
        <v>47.346828874918799</v>
      </c>
      <c r="O105">
        <f>VLOOKUP($C105,'2000 Seattle Tracts Conc'!$AZ$3:$BS$94,O$1,FALSE)</f>
        <v>7.0110326205261311</v>
      </c>
      <c r="P105">
        <f>VLOOKUP($C105,'2000 Seattle Tracts Conc'!$AZ$3:$BS$94,P$1,FALSE)</f>
        <v>85.592872547546506</v>
      </c>
      <c r="Q105">
        <f>VLOOKUP($C105,'2000 Seattle Tracts Conc'!$AZ$3:$BS$94,Q$1,FALSE)</f>
        <v>113.58739399052374</v>
      </c>
      <c r="R105">
        <f>VLOOKUP($C105,'2000 Seattle Tracts Conc'!$AZ$3:$BS$94,R$1,FALSE)</f>
        <v>10.129866416501015</v>
      </c>
      <c r="S105">
        <f>VLOOKUP($C105,'2000 Seattle Tracts Conc'!$AZ$3:$BS$94,S$1,FALSE)</f>
        <v>0</v>
      </c>
      <c r="T105">
        <f>VLOOKUP($C105,'2000 Seattle Tracts Conc'!$AZ$3:$BS$94,T$1,FALSE)</f>
        <v>37.338337773455422</v>
      </c>
      <c r="U105">
        <f>VLOOKUP($C105,'2000 Seattle Tracts Conc'!$AZ$3:$BS$94,U$1,FALSE)</f>
        <v>23.075443798550147</v>
      </c>
      <c r="V105">
        <f>VLOOKUP($C105,'2000 Seattle Tracts Conc'!$AZ$3:$BS$94,V$1,FALSE)</f>
        <v>163.8443673162414</v>
      </c>
      <c r="W105">
        <f>VLOOKUP($C105,'2000 Seattle Tracts Conc'!$AZ$3:$BS$94,W$1,FALSE)</f>
        <v>42.508294954516813</v>
      </c>
      <c r="X105" s="4">
        <f>VLOOKUP($C105,'2017 Seattle Tracts Conc'!$BA$3:$BT$95,X$1-3,FALSE)</f>
        <v>5865.2762701801712</v>
      </c>
      <c r="Y105">
        <f>VLOOKUP($C105,'2017 Seattle Tracts Conc'!$BA$3:$BT$95,Y$1-3,FALSE)</f>
        <v>5318.4469700405743</v>
      </c>
      <c r="Z105">
        <f>VLOOKUP($C105,'2017 Seattle Tracts Conc'!$BA$3:$BT$95,Z$1-3,FALSE)</f>
        <v>546.82930013959674</v>
      </c>
      <c r="AA105">
        <f>VLOOKUP($C105,'2017 Seattle Tracts Conc'!$BA$3:$BT$95,AA$1-3,FALSE)</f>
        <v>4472.1146332681883</v>
      </c>
      <c r="AB105">
        <f>VLOOKUP($C105,'2017 Seattle Tracts Conc'!$BA$3:$BT$95,AB$1-3,FALSE)</f>
        <v>218.99943251148329</v>
      </c>
      <c r="AC105">
        <f>VLOOKUP($C105,'2017 Seattle Tracts Conc'!$BA$3:$BT$95,AC$1-3,FALSE)</f>
        <v>145.67981957008686</v>
      </c>
      <c r="AD105">
        <f>VLOOKUP($C105,'2017 Seattle Tracts Conc'!$BA$3:$BT$95,AD$1-3,FALSE)</f>
        <v>23.14619604550488</v>
      </c>
      <c r="AE105">
        <f>VLOOKUP($C105,'2017 Seattle Tracts Conc'!$BA$3:$BT$95,AE$1-3,FALSE)</f>
        <v>115.77091758940358</v>
      </c>
      <c r="AF105">
        <f>VLOOKUP($C105,'2017 Seattle Tracts Conc'!$BA$3:$BT$95,AF$1-3,FALSE)</f>
        <v>30.716220200471277</v>
      </c>
      <c r="AG105">
        <f>VLOOKUP($C105,'2017 Seattle Tracts Conc'!$BA$3:$BT$95,AG$1-3,FALSE)</f>
        <v>52.514357622754545</v>
      </c>
      <c r="AH105">
        <f>VLOOKUP($C105,'2017 Seattle Tracts Conc'!$BA$3:$BT$95,AH$1-3,FALSE)</f>
        <v>4.3401650054237733</v>
      </c>
      <c r="AI105">
        <f>VLOOKUP($C105,'2017 Seattle Tracts Conc'!$BA$3:$BT$95,AI$1-3,FALSE)</f>
        <v>139.01760412394017</v>
      </c>
      <c r="AJ105">
        <f>VLOOKUP($C105,'2017 Seattle Tracts Conc'!$BA$3:$BT$95,AJ$1-3,FALSE)</f>
        <v>210.58542112411703</v>
      </c>
      <c r="AK105">
        <f>VLOOKUP($C105,'2017 Seattle Tracts Conc'!$BA$3:$BT$95,AK$1-3,FALSE)</f>
        <v>5.3417415451369514</v>
      </c>
      <c r="AL105">
        <f>VLOOKUP($C105,'2017 Seattle Tracts Conc'!$BA$3:$BT$95,AL$1-3,FALSE)</f>
        <v>0</v>
      </c>
      <c r="AM105">
        <f>VLOOKUP($C105,'2017 Seattle Tracts Conc'!$BA$3:$BT$95,AM$1-3,FALSE)</f>
        <v>66.515879201465864</v>
      </c>
      <c r="AN105">
        <f>VLOOKUP($C105,'2017 Seattle Tracts Conc'!$BA$3:$BT$95,AN$1-3,FALSE)</f>
        <v>47.259635632711976</v>
      </c>
      <c r="AO105">
        <f>VLOOKUP($C105,'2017 Seattle Tracts Conc'!$BA$3:$BT$95,AO$1-3,FALSE)</f>
        <v>321.49201711959813</v>
      </c>
      <c r="AP105">
        <f>VLOOKUP($C105,'2017 Seattle Tracts Conc'!$BA$3:$BT$95,AP$1-3,FALSE)</f>
        <v>11.782229619884552</v>
      </c>
    </row>
    <row r="106" spans="1:42" x14ac:dyDescent="0.25">
      <c r="A106">
        <v>193</v>
      </c>
      <c r="B106" t="s">
        <v>2495</v>
      </c>
      <c r="C106" t="s">
        <v>172</v>
      </c>
      <c r="D106" t="s">
        <v>170</v>
      </c>
      <c r="E106">
        <f>VLOOKUP($C106,'2000 Seattle Tracts Conc'!$AZ$3:$BS$94,E$1,FALSE)</f>
        <v>4971.5863295175623</v>
      </c>
      <c r="F106">
        <f>VLOOKUP($C106,'2000 Seattle Tracts Conc'!$AZ$3:$BS$94,F$1,FALSE)</f>
        <v>4475.7169456574238</v>
      </c>
      <c r="G106">
        <f>VLOOKUP($C106,'2000 Seattle Tracts Conc'!$AZ$3:$BS$94,G$1,FALSE)</f>
        <v>495.8693838601381</v>
      </c>
      <c r="H106">
        <f>VLOOKUP($C106,'2000 Seattle Tracts Conc'!$AZ$3:$BS$94,H$1,FALSE)</f>
        <v>3914.0233843725118</v>
      </c>
      <c r="I106">
        <f>VLOOKUP($C106,'2000 Seattle Tracts Conc'!$AZ$3:$BS$94,I$1,FALSE)</f>
        <v>273.49554731351606</v>
      </c>
      <c r="J106">
        <f>VLOOKUP($C106,'2000 Seattle Tracts Conc'!$AZ$3:$BS$94,J$1,FALSE)</f>
        <v>74.602986363403744</v>
      </c>
      <c r="K106">
        <f>VLOOKUP($C106,'2000 Seattle Tracts Conc'!$AZ$3:$BS$94,K$1,FALSE)</f>
        <v>4.0041155730471223</v>
      </c>
      <c r="L106">
        <f>VLOOKUP($C106,'2000 Seattle Tracts Conc'!$AZ$3:$BS$94,L$1,FALSE)</f>
        <v>62.424294346413269</v>
      </c>
      <c r="M106">
        <f>VLOOKUP($C106,'2000 Seattle Tracts Conc'!$AZ$3:$BS$94,M$1,FALSE)</f>
        <v>4.9619377847321076</v>
      </c>
      <c r="N106">
        <f>VLOOKUP($C106,'2000 Seattle Tracts Conc'!$AZ$3:$BS$94,N$1,FALSE)</f>
        <v>45.313467424292334</v>
      </c>
      <c r="O106">
        <f>VLOOKUP($C106,'2000 Seattle Tracts Conc'!$AZ$3:$BS$94,O$1,FALSE)</f>
        <v>9.3325507835378119</v>
      </c>
      <c r="P106">
        <f>VLOOKUP($C106,'2000 Seattle Tracts Conc'!$AZ$3:$BS$94,P$1,FALSE)</f>
        <v>151.00115485922305</v>
      </c>
      <c r="Q106">
        <f>VLOOKUP($C106,'2000 Seattle Tracts Conc'!$AZ$3:$BS$94,Q$1,FALSE)</f>
        <v>149.46361628497991</v>
      </c>
      <c r="R106">
        <f>VLOOKUP($C106,'2000 Seattle Tracts Conc'!$AZ$3:$BS$94,R$1,FALSE)</f>
        <v>15.859271932112458</v>
      </c>
      <c r="S106">
        <f>VLOOKUP($C106,'2000 Seattle Tracts Conc'!$AZ$3:$BS$94,S$1,FALSE)</f>
        <v>9.8982672240631739</v>
      </c>
      <c r="T106">
        <f>VLOOKUP($C106,'2000 Seattle Tracts Conc'!$AZ$3:$BS$94,T$1,FALSE)</f>
        <v>47.567817870012654</v>
      </c>
      <c r="U106">
        <f>VLOOKUP($C106,'2000 Seattle Tracts Conc'!$AZ$3:$BS$94,U$1,FALSE)</f>
        <v>38.762702963142857</v>
      </c>
      <c r="V106">
        <f>VLOOKUP($C106,'2000 Seattle Tracts Conc'!$AZ$3:$BS$94,V$1,FALSE)</f>
        <v>164.9245684894548</v>
      </c>
      <c r="W106">
        <f>VLOOKUP($C106,'2000 Seattle Tracts Conc'!$AZ$3:$BS$94,W$1,FALSE)</f>
        <v>5.9506459331189889</v>
      </c>
      <c r="X106" s="4">
        <f>VLOOKUP($C106,'2017 Seattle Tracts Conc'!$BA$3:$BT$95,X$1-3,FALSE)</f>
        <v>5140.9317473660094</v>
      </c>
      <c r="Y106">
        <f>VLOOKUP($C106,'2017 Seattle Tracts Conc'!$BA$3:$BT$95,Y$1-3,FALSE)</f>
        <v>4719.7856572528508</v>
      </c>
      <c r="Z106">
        <f>VLOOKUP($C106,'2017 Seattle Tracts Conc'!$BA$3:$BT$95,Z$1-3,FALSE)</f>
        <v>421.14609011315883</v>
      </c>
      <c r="AA106">
        <f>VLOOKUP($C106,'2017 Seattle Tracts Conc'!$BA$3:$BT$95,AA$1-3,FALSE)</f>
        <v>3768.383771838799</v>
      </c>
      <c r="AB106">
        <f>VLOOKUP($C106,'2017 Seattle Tracts Conc'!$BA$3:$BT$95,AB$1-3,FALSE)</f>
        <v>201.60511094198571</v>
      </c>
      <c r="AC106">
        <f>VLOOKUP($C106,'2017 Seattle Tracts Conc'!$BA$3:$BT$95,AC$1-3,FALSE)</f>
        <v>105.85256356830008</v>
      </c>
      <c r="AD106">
        <f>VLOOKUP($C106,'2017 Seattle Tracts Conc'!$BA$3:$BT$95,AD$1-3,FALSE)</f>
        <v>10.950115395058258</v>
      </c>
      <c r="AE106">
        <f>VLOOKUP($C106,'2017 Seattle Tracts Conc'!$BA$3:$BT$95,AE$1-3,FALSE)</f>
        <v>257.00600813200742</v>
      </c>
      <c r="AF106">
        <f>VLOOKUP($C106,'2017 Seattle Tracts Conc'!$BA$3:$BT$95,AF$1-3,FALSE)</f>
        <v>57.933019991271912</v>
      </c>
      <c r="AG106">
        <f>VLOOKUP($C106,'2017 Seattle Tracts Conc'!$BA$3:$BT$95,AG$1-3,FALSE)</f>
        <v>113.36735525118596</v>
      </c>
      <c r="AH106">
        <f>VLOOKUP($C106,'2017 Seattle Tracts Conc'!$BA$3:$BT$95,AH$1-3,FALSE)</f>
        <v>3.5192594114471514E-3</v>
      </c>
      <c r="AI106">
        <f>VLOOKUP($C106,'2017 Seattle Tracts Conc'!$BA$3:$BT$95,AI$1-3,FALSE)</f>
        <v>68.696255257049231</v>
      </c>
      <c r="AJ106">
        <f>VLOOKUP($C106,'2017 Seattle Tracts Conc'!$BA$3:$BT$95,AJ$1-3,FALSE)</f>
        <v>49.461399876927828</v>
      </c>
      <c r="AK106">
        <f>VLOOKUP($C106,'2017 Seattle Tracts Conc'!$BA$3:$BT$95,AK$1-3,FALSE)</f>
        <v>22.800005555615176</v>
      </c>
      <c r="AL106">
        <f>VLOOKUP($C106,'2017 Seattle Tracts Conc'!$BA$3:$BT$95,AL$1-3,FALSE)</f>
        <v>68.255078090400204</v>
      </c>
      <c r="AM106">
        <f>VLOOKUP($C106,'2017 Seattle Tracts Conc'!$BA$3:$BT$95,AM$1-3,FALSE)</f>
        <v>98.015007108062605</v>
      </c>
      <c r="AN106">
        <f>VLOOKUP($C106,'2017 Seattle Tracts Conc'!$BA$3:$BT$95,AN$1-3,FALSE)</f>
        <v>21.036465701394761</v>
      </c>
      <c r="AO106">
        <f>VLOOKUP($C106,'2017 Seattle Tracts Conc'!$BA$3:$BT$95,AO$1-3,FALSE)</f>
        <v>285.66469054183051</v>
      </c>
      <c r="AP106">
        <f>VLOOKUP($C106,'2017 Seattle Tracts Conc'!$BA$3:$BT$95,AP$1-3,FALSE)</f>
        <v>11.901380856708746</v>
      </c>
    </row>
    <row r="107" spans="1:42" x14ac:dyDescent="0.25">
      <c r="A107">
        <v>168</v>
      </c>
      <c r="B107" t="s">
        <v>2495</v>
      </c>
      <c r="C107" t="s">
        <v>173</v>
      </c>
      <c r="D107" t="s">
        <v>170</v>
      </c>
      <c r="E107">
        <f>VLOOKUP($C107,'2000 Seattle Tracts Conc'!$AZ$3:$BS$94,E$1,FALSE)</f>
        <v>6480.5213603019147</v>
      </c>
      <c r="F107">
        <f>VLOOKUP($C107,'2000 Seattle Tracts Conc'!$AZ$3:$BS$94,F$1,FALSE)</f>
        <v>5890.3626305946755</v>
      </c>
      <c r="G107">
        <f>VLOOKUP($C107,'2000 Seattle Tracts Conc'!$AZ$3:$BS$94,G$1,FALSE)</f>
        <v>590.15872970723956</v>
      </c>
      <c r="H107">
        <f>VLOOKUP($C107,'2000 Seattle Tracts Conc'!$AZ$3:$BS$94,H$1,FALSE)</f>
        <v>5362.1157773984678</v>
      </c>
      <c r="I107">
        <f>VLOOKUP($C107,'2000 Seattle Tracts Conc'!$AZ$3:$BS$94,I$1,FALSE)</f>
        <v>341.82589180190973</v>
      </c>
      <c r="J107">
        <f>VLOOKUP($C107,'2000 Seattle Tracts Conc'!$AZ$3:$BS$94,J$1,FALSE)</f>
        <v>97.698230563124952</v>
      </c>
      <c r="K107">
        <f>VLOOKUP($C107,'2000 Seattle Tracts Conc'!$AZ$3:$BS$94,K$1,FALSE)</f>
        <v>12.013889173283182</v>
      </c>
      <c r="L107">
        <f>VLOOKUP($C107,'2000 Seattle Tracts Conc'!$AZ$3:$BS$94,L$1,FALSE)</f>
        <v>53.449396480416986</v>
      </c>
      <c r="M107">
        <f>VLOOKUP($C107,'2000 Seattle Tracts Conc'!$AZ$3:$BS$94,M$1,FALSE)</f>
        <v>4.992218231099117</v>
      </c>
      <c r="N107">
        <f>VLOOKUP($C107,'2000 Seattle Tracts Conc'!$AZ$3:$BS$94,N$1,FALSE)</f>
        <v>68.601363385735056</v>
      </c>
      <c r="O107">
        <f>VLOOKUP($C107,'2000 Seattle Tracts Conc'!$AZ$3:$BS$94,O$1,FALSE)</f>
        <v>0.57189989018102061</v>
      </c>
      <c r="P107">
        <f>VLOOKUP($C107,'2000 Seattle Tracts Conc'!$AZ$3:$BS$94,P$1,FALSE)</f>
        <v>112.42643245424703</v>
      </c>
      <c r="Q107">
        <f>VLOOKUP($C107,'2000 Seattle Tracts Conc'!$AZ$3:$BS$94,Q$1,FALSE)</f>
        <v>143.45683768553556</v>
      </c>
      <c r="R107">
        <f>VLOOKUP($C107,'2000 Seattle Tracts Conc'!$AZ$3:$BS$94,R$1,FALSE)</f>
        <v>2.4140135408218453</v>
      </c>
      <c r="S107">
        <f>VLOOKUP($C107,'2000 Seattle Tracts Conc'!$AZ$3:$BS$94,S$1,FALSE)</f>
        <v>0.5078529283604869</v>
      </c>
      <c r="T107">
        <f>VLOOKUP($C107,'2000 Seattle Tracts Conc'!$AZ$3:$BS$94,T$1,FALSE)</f>
        <v>43.191759622894381</v>
      </c>
      <c r="U107">
        <f>VLOOKUP($C107,'2000 Seattle Tracts Conc'!$AZ$3:$BS$94,U$1,FALSE)</f>
        <v>38.490630857039292</v>
      </c>
      <c r="V107">
        <f>VLOOKUP($C107,'2000 Seattle Tracts Conc'!$AZ$3:$BS$94,V$1,FALSE)</f>
        <v>150.46565714896721</v>
      </c>
      <c r="W107">
        <f>VLOOKUP($C107,'2000 Seattle Tracts Conc'!$AZ$3:$BS$94,W$1,FALSE)</f>
        <v>48.29950913983113</v>
      </c>
      <c r="X107" s="4">
        <f>VLOOKUP($C107,'2017 Seattle Tracts Conc'!$BA$3:$BT$95,X$1-3,FALSE)</f>
        <v>7593.2419275566544</v>
      </c>
      <c r="Y107">
        <f>VLOOKUP($C107,'2017 Seattle Tracts Conc'!$BA$3:$BT$95,Y$1-3,FALSE)</f>
        <v>6576.7830185528592</v>
      </c>
      <c r="Z107">
        <f>VLOOKUP($C107,'2017 Seattle Tracts Conc'!$BA$3:$BT$95,Z$1-3,FALSE)</f>
        <v>1016.4589090037962</v>
      </c>
      <c r="AA107">
        <f>VLOOKUP($C107,'2017 Seattle Tracts Conc'!$BA$3:$BT$95,AA$1-3,FALSE)</f>
        <v>5471.8206807639353</v>
      </c>
      <c r="AB107">
        <f>VLOOKUP($C107,'2017 Seattle Tracts Conc'!$BA$3:$BT$95,AB$1-3,FALSE)</f>
        <v>540.20554294620501</v>
      </c>
      <c r="AC107">
        <f>VLOOKUP($C107,'2017 Seattle Tracts Conc'!$BA$3:$BT$95,AC$1-3,FALSE)</f>
        <v>314.13984006377422</v>
      </c>
      <c r="AD107">
        <f>VLOOKUP($C107,'2017 Seattle Tracts Conc'!$BA$3:$BT$95,AD$1-3,FALSE)</f>
        <v>72.531847215015361</v>
      </c>
      <c r="AE107">
        <f>VLOOKUP($C107,'2017 Seattle Tracts Conc'!$BA$3:$BT$95,AE$1-3,FALSE)</f>
        <v>126.97223391293599</v>
      </c>
      <c r="AF107">
        <f>VLOOKUP($C107,'2017 Seattle Tracts Conc'!$BA$3:$BT$95,AF$1-3,FALSE)</f>
        <v>8.7772189246594028</v>
      </c>
      <c r="AG107">
        <f>VLOOKUP($C107,'2017 Seattle Tracts Conc'!$BA$3:$BT$95,AG$1-3,FALSE)</f>
        <v>35.794870310089692</v>
      </c>
      <c r="AH107">
        <f>VLOOKUP($C107,'2017 Seattle Tracts Conc'!$BA$3:$BT$95,AH$1-3,FALSE)</f>
        <v>3.5005879189218078E-4</v>
      </c>
      <c r="AI107">
        <f>VLOOKUP($C107,'2017 Seattle Tracts Conc'!$BA$3:$BT$95,AI$1-3,FALSE)</f>
        <v>131.94358013881609</v>
      </c>
      <c r="AJ107">
        <f>VLOOKUP($C107,'2017 Seattle Tracts Conc'!$BA$3:$BT$95,AJ$1-3,FALSE)</f>
        <v>340.93310185383399</v>
      </c>
      <c r="AK107">
        <f>VLOOKUP($C107,'2017 Seattle Tracts Conc'!$BA$3:$BT$95,AK$1-3,FALSE)</f>
        <v>4.3084159002114555E-4</v>
      </c>
      <c r="AL107">
        <f>VLOOKUP($C107,'2017 Seattle Tracts Conc'!$BA$3:$BT$95,AL$1-3,FALSE)</f>
        <v>0</v>
      </c>
      <c r="AM107">
        <f>VLOOKUP($C107,'2017 Seattle Tracts Conc'!$BA$3:$BT$95,AM$1-3,FALSE)</f>
        <v>91.689767080522827</v>
      </c>
      <c r="AN107">
        <f>VLOOKUP($C107,'2017 Seattle Tracts Conc'!$BA$3:$BT$95,AN$1-3,FALSE)</f>
        <v>30.486790798365309</v>
      </c>
      <c r="AO107">
        <f>VLOOKUP($C107,'2017 Seattle Tracts Conc'!$BA$3:$BT$95,AO$1-3,FALSE)</f>
        <v>404.42161544119358</v>
      </c>
      <c r="AP107">
        <f>VLOOKUP($C107,'2017 Seattle Tracts Conc'!$BA$3:$BT$95,AP$1-3,FALSE)</f>
        <v>23.524057206925242</v>
      </c>
    </row>
    <row r="108" spans="1:42" x14ac:dyDescent="0.25">
      <c r="A108">
        <v>169</v>
      </c>
      <c r="B108" t="s">
        <v>2495</v>
      </c>
      <c r="C108" t="s">
        <v>174</v>
      </c>
      <c r="D108" t="s">
        <v>170</v>
      </c>
      <c r="E108">
        <f>VLOOKUP($C108,'2000 Seattle Tracts Conc'!$AZ$3:$BS$94,E$1,FALSE)</f>
        <v>10817.771445940789</v>
      </c>
      <c r="F108">
        <f>VLOOKUP($C108,'2000 Seattle Tracts Conc'!$AZ$3:$BS$94,F$1,FALSE)</f>
        <v>9739.0371246954273</v>
      </c>
      <c r="G108">
        <f>VLOOKUP($C108,'2000 Seattle Tracts Conc'!$AZ$3:$BS$94,G$1,FALSE)</f>
        <v>1078.7343212453616</v>
      </c>
      <c r="H108">
        <f>VLOOKUP($C108,'2000 Seattle Tracts Conc'!$AZ$3:$BS$94,H$1,FALSE)</f>
        <v>8660.1295031150912</v>
      </c>
      <c r="I108">
        <f>VLOOKUP($C108,'2000 Seattle Tracts Conc'!$AZ$3:$BS$94,I$1,FALSE)</f>
        <v>658.07127621561085</v>
      </c>
      <c r="J108">
        <f>VLOOKUP($C108,'2000 Seattle Tracts Conc'!$AZ$3:$BS$94,J$1,FALSE)</f>
        <v>167.94899263307715</v>
      </c>
      <c r="K108">
        <f>VLOOKUP($C108,'2000 Seattle Tracts Conc'!$AZ$3:$BS$94,K$1,FALSE)</f>
        <v>79.2619765343143</v>
      </c>
      <c r="L108">
        <f>VLOOKUP($C108,'2000 Seattle Tracts Conc'!$AZ$3:$BS$94,L$1,FALSE)</f>
        <v>184.26117587974394</v>
      </c>
      <c r="M108">
        <f>VLOOKUP($C108,'2000 Seattle Tracts Conc'!$AZ$3:$BS$94,M$1,FALSE)</f>
        <v>27.136366591493399</v>
      </c>
      <c r="N108">
        <f>VLOOKUP($C108,'2000 Seattle Tracts Conc'!$AZ$3:$BS$94,N$1,FALSE)</f>
        <v>112.13754983703183</v>
      </c>
      <c r="O108">
        <f>VLOOKUP($C108,'2000 Seattle Tracts Conc'!$AZ$3:$BS$94,O$1,FALSE)</f>
        <v>5.3580201039172479</v>
      </c>
      <c r="P108">
        <f>VLOOKUP($C108,'2000 Seattle Tracts Conc'!$AZ$3:$BS$94,P$1,FALSE)</f>
        <v>222.47093099013222</v>
      </c>
      <c r="Q108">
        <f>VLOOKUP($C108,'2000 Seattle Tracts Conc'!$AZ$3:$BS$94,Q$1,FALSE)</f>
        <v>218.15056025756013</v>
      </c>
      <c r="R108">
        <f>VLOOKUP($C108,'2000 Seattle Tracts Conc'!$AZ$3:$BS$94,R$1,FALSE)</f>
        <v>11.236366559134696</v>
      </c>
      <c r="S108">
        <f>VLOOKUP($C108,'2000 Seattle Tracts Conc'!$AZ$3:$BS$94,S$1,FALSE)</f>
        <v>10.729679851727219</v>
      </c>
      <c r="T108">
        <f>VLOOKUP($C108,'2000 Seattle Tracts Conc'!$AZ$3:$BS$94,T$1,FALSE)</f>
        <v>66.80910861811077</v>
      </c>
      <c r="U108">
        <f>VLOOKUP($C108,'2000 Seattle Tracts Conc'!$AZ$3:$BS$94,U$1,FALSE)</f>
        <v>31.770655187021259</v>
      </c>
      <c r="V108">
        <f>VLOOKUP($C108,'2000 Seattle Tracts Conc'!$AZ$3:$BS$94,V$1,FALSE)</f>
        <v>314.0434970631066</v>
      </c>
      <c r="W108">
        <f>VLOOKUP($C108,'2000 Seattle Tracts Conc'!$AZ$3:$BS$94,W$1,FALSE)</f>
        <v>48.255786503717175</v>
      </c>
      <c r="X108" s="4">
        <f>VLOOKUP($C108,'2017 Seattle Tracts Conc'!$BA$3:$BT$95,X$1-3,FALSE)</f>
        <v>12858.101092345065</v>
      </c>
      <c r="Y108">
        <f>VLOOKUP($C108,'2017 Seattle Tracts Conc'!$BA$3:$BT$95,Y$1-3,FALSE)</f>
        <v>11516.753523837062</v>
      </c>
      <c r="Z108">
        <f>VLOOKUP($C108,'2017 Seattle Tracts Conc'!$BA$3:$BT$95,Z$1-3,FALSE)</f>
        <v>1341.3475685080025</v>
      </c>
      <c r="AA108">
        <f>VLOOKUP($C108,'2017 Seattle Tracts Conc'!$BA$3:$BT$95,AA$1-3,FALSE)</f>
        <v>10038.341717133339</v>
      </c>
      <c r="AB108">
        <f>VLOOKUP($C108,'2017 Seattle Tracts Conc'!$BA$3:$BT$95,AB$1-3,FALSE)</f>
        <v>622.22523510733458</v>
      </c>
      <c r="AC108">
        <f>VLOOKUP($C108,'2017 Seattle Tracts Conc'!$BA$3:$BT$95,AC$1-3,FALSE)</f>
        <v>332.32619334030107</v>
      </c>
      <c r="AD108">
        <f>VLOOKUP($C108,'2017 Seattle Tracts Conc'!$BA$3:$BT$95,AD$1-3,FALSE)</f>
        <v>23.507708031137991</v>
      </c>
      <c r="AE108">
        <f>VLOOKUP($C108,'2017 Seattle Tracts Conc'!$BA$3:$BT$95,AE$1-3,FALSE)</f>
        <v>55.190919520650823</v>
      </c>
      <c r="AF108">
        <f>VLOOKUP($C108,'2017 Seattle Tracts Conc'!$BA$3:$BT$95,AF$1-3,FALSE)</f>
        <v>48.934888788506164</v>
      </c>
      <c r="AG108">
        <f>VLOOKUP($C108,'2017 Seattle Tracts Conc'!$BA$3:$BT$95,AG$1-3,FALSE)</f>
        <v>17.793826823651301</v>
      </c>
      <c r="AH108">
        <f>VLOOKUP($C108,'2017 Seattle Tracts Conc'!$BA$3:$BT$95,AH$1-3,FALSE)</f>
        <v>0</v>
      </c>
      <c r="AI108">
        <f>VLOOKUP($C108,'2017 Seattle Tracts Conc'!$BA$3:$BT$95,AI$1-3,FALSE)</f>
        <v>231.71213665387805</v>
      </c>
      <c r="AJ108">
        <f>VLOOKUP($C108,'2017 Seattle Tracts Conc'!$BA$3:$BT$95,AJ$1-3,FALSE)</f>
        <v>525.74461147623651</v>
      </c>
      <c r="AK108">
        <f>VLOOKUP($C108,'2017 Seattle Tracts Conc'!$BA$3:$BT$95,AK$1-3,FALSE)</f>
        <v>0</v>
      </c>
      <c r="AL108">
        <f>VLOOKUP($C108,'2017 Seattle Tracts Conc'!$BA$3:$BT$95,AL$1-3,FALSE)</f>
        <v>0</v>
      </c>
      <c r="AM108">
        <f>VLOOKUP($C108,'2017 Seattle Tracts Conc'!$BA$3:$BT$95,AM$1-3,FALSE)</f>
        <v>102.76175891873618</v>
      </c>
      <c r="AN108">
        <f>VLOOKUP($C108,'2017 Seattle Tracts Conc'!$BA$3:$BT$95,AN$1-3,FALSE)</f>
        <v>57.540640665818032</v>
      </c>
      <c r="AO108">
        <f>VLOOKUP($C108,'2017 Seattle Tracts Conc'!$BA$3:$BT$95,AO$1-3,FALSE)</f>
        <v>738.62697144650735</v>
      </c>
      <c r="AP108">
        <f>VLOOKUP($C108,'2017 Seattle Tracts Conc'!$BA$3:$BT$95,AP$1-3,FALSE)</f>
        <v>63.39448443896918</v>
      </c>
    </row>
    <row r="109" spans="1:42" x14ac:dyDescent="0.25">
      <c r="A109">
        <v>176</v>
      </c>
      <c r="B109" t="s">
        <v>2495</v>
      </c>
      <c r="C109" t="s">
        <v>175</v>
      </c>
      <c r="D109" t="s">
        <v>170</v>
      </c>
      <c r="E109">
        <f>VLOOKUP($C109,'2000 Seattle Tracts Conc'!$AZ$3:$BS$94,E$1,FALSE)</f>
        <v>4213.4543538854878</v>
      </c>
      <c r="F109">
        <f>VLOOKUP($C109,'2000 Seattle Tracts Conc'!$AZ$3:$BS$94,F$1,FALSE)</f>
        <v>3784.2783945750066</v>
      </c>
      <c r="G109">
        <f>VLOOKUP($C109,'2000 Seattle Tracts Conc'!$AZ$3:$BS$94,G$1,FALSE)</f>
        <v>429.17595931048061</v>
      </c>
      <c r="H109">
        <f>VLOOKUP($C109,'2000 Seattle Tracts Conc'!$AZ$3:$BS$94,H$1,FALSE)</f>
        <v>3325.6570646229102</v>
      </c>
      <c r="I109">
        <f>VLOOKUP($C109,'2000 Seattle Tracts Conc'!$AZ$3:$BS$94,I$1,FALSE)</f>
        <v>195.62151735750058</v>
      </c>
      <c r="J109">
        <f>VLOOKUP($C109,'2000 Seattle Tracts Conc'!$AZ$3:$BS$94,J$1,FALSE)</f>
        <v>56.024343129817559</v>
      </c>
      <c r="K109">
        <f>VLOOKUP($C109,'2000 Seattle Tracts Conc'!$AZ$3:$BS$94,K$1,FALSE)</f>
        <v>17.558587532397478</v>
      </c>
      <c r="L109">
        <f>VLOOKUP($C109,'2000 Seattle Tracts Conc'!$AZ$3:$BS$94,L$1,FALSE)</f>
        <v>99.995122029838868</v>
      </c>
      <c r="M109">
        <f>VLOOKUP($C109,'2000 Seattle Tracts Conc'!$AZ$3:$BS$94,M$1,FALSE)</f>
        <v>21.193746458126835</v>
      </c>
      <c r="N109">
        <f>VLOOKUP($C109,'2000 Seattle Tracts Conc'!$AZ$3:$BS$94,N$1,FALSE)</f>
        <v>39.450063490114253</v>
      </c>
      <c r="O109">
        <f>VLOOKUP($C109,'2000 Seattle Tracts Conc'!$AZ$3:$BS$94,O$1,FALSE)</f>
        <v>4.4537871910855831</v>
      </c>
      <c r="P109">
        <f>VLOOKUP($C109,'2000 Seattle Tracts Conc'!$AZ$3:$BS$94,P$1,FALSE)</f>
        <v>60.218905624111954</v>
      </c>
      <c r="Q109">
        <f>VLOOKUP($C109,'2000 Seattle Tracts Conc'!$AZ$3:$BS$94,Q$1,FALSE)</f>
        <v>119.12649075875879</v>
      </c>
      <c r="R109">
        <f>VLOOKUP($C109,'2000 Seattle Tracts Conc'!$AZ$3:$BS$94,R$1,FALSE)</f>
        <v>7.0965155906588988</v>
      </c>
      <c r="S109">
        <f>VLOOKUP($C109,'2000 Seattle Tracts Conc'!$AZ$3:$BS$94,S$1,FALSE)</f>
        <v>3.7271038374293353E-2</v>
      </c>
      <c r="T109">
        <f>VLOOKUP($C109,'2000 Seattle Tracts Conc'!$AZ$3:$BS$94,T$1,FALSE)</f>
        <v>58.879552951555581</v>
      </c>
      <c r="U109">
        <f>VLOOKUP($C109,'2000 Seattle Tracts Conc'!$AZ$3:$BS$94,U$1,FALSE)</f>
        <v>47.61360458984614</v>
      </c>
      <c r="V109">
        <f>VLOOKUP($C109,'2000 Seattle Tracts Conc'!$AZ$3:$BS$94,V$1,FALSE)</f>
        <v>136.95682713599948</v>
      </c>
      <c r="W109">
        <f>VLOOKUP($C109,'2000 Seattle Tracts Conc'!$AZ$3:$BS$94,W$1,FALSE)</f>
        <v>23.570954384390856</v>
      </c>
      <c r="X109" s="4">
        <f>VLOOKUP($C109,'2017 Seattle Tracts Conc'!$BA$3:$BT$95,X$1-3,FALSE)</f>
        <v>5455.126556329009</v>
      </c>
      <c r="Y109">
        <f>VLOOKUP($C109,'2017 Seattle Tracts Conc'!$BA$3:$BT$95,Y$1-3,FALSE)</f>
        <v>4778.2442105341715</v>
      </c>
      <c r="Z109">
        <f>VLOOKUP($C109,'2017 Seattle Tracts Conc'!$BA$3:$BT$95,Z$1-3,FALSE)</f>
        <v>676.88234579483799</v>
      </c>
      <c r="AA109">
        <f>VLOOKUP($C109,'2017 Seattle Tracts Conc'!$BA$3:$BT$95,AA$1-3,FALSE)</f>
        <v>3948.8293878780369</v>
      </c>
      <c r="AB109">
        <f>VLOOKUP($C109,'2017 Seattle Tracts Conc'!$BA$3:$BT$95,AB$1-3,FALSE)</f>
        <v>294.04807594696945</v>
      </c>
      <c r="AC109">
        <f>VLOOKUP($C109,'2017 Seattle Tracts Conc'!$BA$3:$BT$95,AC$1-3,FALSE)</f>
        <v>160.18062969938399</v>
      </c>
      <c r="AD109">
        <f>VLOOKUP($C109,'2017 Seattle Tracts Conc'!$BA$3:$BT$95,AD$1-3,FALSE)</f>
        <v>4.1487055767553143</v>
      </c>
      <c r="AE109">
        <f>VLOOKUP($C109,'2017 Seattle Tracts Conc'!$BA$3:$BT$95,AE$1-3,FALSE)</f>
        <v>80.009897194875862</v>
      </c>
      <c r="AF109">
        <f>VLOOKUP($C109,'2017 Seattle Tracts Conc'!$BA$3:$BT$95,AF$1-3,FALSE)</f>
        <v>53.97576087342712</v>
      </c>
      <c r="AG109">
        <f>VLOOKUP($C109,'2017 Seattle Tracts Conc'!$BA$3:$BT$95,AG$1-3,FALSE)</f>
        <v>19.707403661239027</v>
      </c>
      <c r="AH109">
        <f>VLOOKUP($C109,'2017 Seattle Tracts Conc'!$BA$3:$BT$95,AH$1-3,FALSE)</f>
        <v>2.7571075980678708</v>
      </c>
      <c r="AI109">
        <f>VLOOKUP($C109,'2017 Seattle Tracts Conc'!$BA$3:$BT$95,AI$1-3,FALSE)</f>
        <v>181.7044667839769</v>
      </c>
      <c r="AJ109">
        <f>VLOOKUP($C109,'2017 Seattle Tracts Conc'!$BA$3:$BT$95,AJ$1-3,FALSE)</f>
        <v>269.30756720728539</v>
      </c>
      <c r="AK109">
        <f>VLOOKUP($C109,'2017 Seattle Tracts Conc'!$BA$3:$BT$95,AK$1-3,FALSE)</f>
        <v>3.3933631976219947</v>
      </c>
      <c r="AL109">
        <f>VLOOKUP($C109,'2017 Seattle Tracts Conc'!$BA$3:$BT$95,AL$1-3,FALSE)</f>
        <v>0</v>
      </c>
      <c r="AM109">
        <f>VLOOKUP($C109,'2017 Seattle Tracts Conc'!$BA$3:$BT$95,AM$1-3,FALSE)</f>
        <v>31.432967814158481</v>
      </c>
      <c r="AN109">
        <f>VLOOKUP($C109,'2017 Seattle Tracts Conc'!$BA$3:$BT$95,AN$1-3,FALSE)</f>
        <v>33.28499058836632</v>
      </c>
      <c r="AO109">
        <f>VLOOKUP($C109,'2017 Seattle Tracts Conc'!$BA$3:$BT$95,AO$1-3,FALSE)</f>
        <v>352.98609430487795</v>
      </c>
      <c r="AP109">
        <f>VLOOKUP($C109,'2017 Seattle Tracts Conc'!$BA$3:$BT$95,AP$1-3,FALSE)</f>
        <v>19.360138003966494</v>
      </c>
    </row>
    <row r="110" spans="1:42" x14ac:dyDescent="0.25">
      <c r="A110">
        <v>175</v>
      </c>
      <c r="B110" t="s">
        <v>2495</v>
      </c>
      <c r="C110" t="s">
        <v>176</v>
      </c>
      <c r="D110" t="s">
        <v>170</v>
      </c>
      <c r="E110">
        <f>VLOOKUP($C110,'2000 Seattle Tracts Conc'!$AZ$3:$BS$94,E$1,FALSE)</f>
        <v>5209.9374958997942</v>
      </c>
      <c r="F110">
        <f>VLOOKUP($C110,'2000 Seattle Tracts Conc'!$AZ$3:$BS$94,F$1,FALSE)</f>
        <v>4684.4025347050774</v>
      </c>
      <c r="G110">
        <f>VLOOKUP($C110,'2000 Seattle Tracts Conc'!$AZ$3:$BS$94,G$1,FALSE)</f>
        <v>525.53496119471629</v>
      </c>
      <c r="H110">
        <f>VLOOKUP($C110,'2000 Seattle Tracts Conc'!$AZ$3:$BS$94,H$1,FALSE)</f>
        <v>4127.1071803126606</v>
      </c>
      <c r="I110">
        <f>VLOOKUP($C110,'2000 Seattle Tracts Conc'!$AZ$3:$BS$94,I$1,FALSE)</f>
        <v>276.2708859834018</v>
      </c>
      <c r="J110">
        <f>VLOOKUP($C110,'2000 Seattle Tracts Conc'!$AZ$3:$BS$94,J$1,FALSE)</f>
        <v>75.63973191903699</v>
      </c>
      <c r="K110">
        <f>VLOOKUP($C110,'2000 Seattle Tracts Conc'!$AZ$3:$BS$94,K$1,FALSE)</f>
        <v>36.207837160888943</v>
      </c>
      <c r="L110">
        <f>VLOOKUP($C110,'2000 Seattle Tracts Conc'!$AZ$3:$BS$94,L$1,FALSE)</f>
        <v>101.24370078452183</v>
      </c>
      <c r="M110">
        <f>VLOOKUP($C110,'2000 Seattle Tracts Conc'!$AZ$3:$BS$94,M$1,FALSE)</f>
        <v>24.584694173628371</v>
      </c>
      <c r="N110">
        <f>VLOOKUP($C110,'2000 Seattle Tracts Conc'!$AZ$3:$BS$94,N$1,FALSE)</f>
        <v>59.442724681593447</v>
      </c>
      <c r="O110">
        <f>VLOOKUP($C110,'2000 Seattle Tracts Conc'!$AZ$3:$BS$94,O$1,FALSE)</f>
        <v>2.8984021255648011</v>
      </c>
      <c r="P110">
        <f>VLOOKUP($C110,'2000 Seattle Tracts Conc'!$AZ$3:$BS$94,P$1,FALSE)</f>
        <v>92.466890487547786</v>
      </c>
      <c r="Q110">
        <f>VLOOKUP($C110,'2000 Seattle Tracts Conc'!$AZ$3:$BS$94,Q$1,FALSE)</f>
        <v>128.15097439523592</v>
      </c>
      <c r="R110">
        <f>VLOOKUP($C110,'2000 Seattle Tracts Conc'!$AZ$3:$BS$94,R$1,FALSE)</f>
        <v>3.2875688758002672</v>
      </c>
      <c r="S110">
        <f>VLOOKUP($C110,'2000 Seattle Tracts Conc'!$AZ$3:$BS$94,S$1,FALSE)</f>
        <v>6.572091096839948</v>
      </c>
      <c r="T110">
        <f>VLOOKUP($C110,'2000 Seattle Tracts Conc'!$AZ$3:$BS$94,T$1,FALSE)</f>
        <v>51.549742010222531</v>
      </c>
      <c r="U110">
        <f>VLOOKUP($C110,'2000 Seattle Tracts Conc'!$AZ$3:$BS$94,U$1,FALSE)</f>
        <v>27.138971621423131</v>
      </c>
      <c r="V110">
        <f>VLOOKUP($C110,'2000 Seattle Tracts Conc'!$AZ$3:$BS$94,V$1,FALSE)</f>
        <v>173.66499563369464</v>
      </c>
      <c r="W110">
        <f>VLOOKUP($C110,'2000 Seattle Tracts Conc'!$AZ$3:$BS$94,W$1,FALSE)</f>
        <v>23.711104637733442</v>
      </c>
      <c r="X110" s="4">
        <f>VLOOKUP($C110,'2017 Seattle Tracts Conc'!$BA$3:$BT$95,X$1-3,FALSE)</f>
        <v>6442.4418201477465</v>
      </c>
      <c r="Y110">
        <f>VLOOKUP($C110,'2017 Seattle Tracts Conc'!$BA$3:$BT$95,Y$1-3,FALSE)</f>
        <v>5777.2987674608703</v>
      </c>
      <c r="Z110">
        <f>VLOOKUP($C110,'2017 Seattle Tracts Conc'!$BA$3:$BT$95,Z$1-3,FALSE)</f>
        <v>665.14305268687701</v>
      </c>
      <c r="AA110">
        <f>VLOOKUP($C110,'2017 Seattle Tracts Conc'!$BA$3:$BT$95,AA$1-3,FALSE)</f>
        <v>4966.6361886310606</v>
      </c>
      <c r="AB110">
        <f>VLOOKUP($C110,'2017 Seattle Tracts Conc'!$BA$3:$BT$95,AB$1-3,FALSE)</f>
        <v>335.05140370958952</v>
      </c>
      <c r="AC110">
        <f>VLOOKUP($C110,'2017 Seattle Tracts Conc'!$BA$3:$BT$95,AC$1-3,FALSE)</f>
        <v>177.63030282313025</v>
      </c>
      <c r="AD110">
        <f>VLOOKUP($C110,'2017 Seattle Tracts Conc'!$BA$3:$BT$95,AD$1-3,FALSE)</f>
        <v>4.8943486465573027</v>
      </c>
      <c r="AE110">
        <f>VLOOKUP($C110,'2017 Seattle Tracts Conc'!$BA$3:$BT$95,AE$1-3,FALSE)</f>
        <v>34.848554477045305</v>
      </c>
      <c r="AF110">
        <f>VLOOKUP($C110,'2017 Seattle Tracts Conc'!$BA$3:$BT$95,AF$1-3,FALSE)</f>
        <v>22.586599066851374</v>
      </c>
      <c r="AG110">
        <f>VLOOKUP($C110,'2017 Seattle Tracts Conc'!$BA$3:$BT$95,AG$1-3,FALSE)</f>
        <v>8.5581630994530276</v>
      </c>
      <c r="AH110">
        <f>VLOOKUP($C110,'2017 Seattle Tracts Conc'!$BA$3:$BT$95,AH$1-3,FALSE)</f>
        <v>0</v>
      </c>
      <c r="AI110">
        <f>VLOOKUP($C110,'2017 Seattle Tracts Conc'!$BA$3:$BT$95,AI$1-3,FALSE)</f>
        <v>170.19349670299124</v>
      </c>
      <c r="AJ110">
        <f>VLOOKUP($C110,'2017 Seattle Tracts Conc'!$BA$3:$BT$95,AJ$1-3,FALSE)</f>
        <v>267.21612012089804</v>
      </c>
      <c r="AK110">
        <f>VLOOKUP($C110,'2017 Seattle Tracts Conc'!$BA$3:$BT$95,AK$1-3,FALSE)</f>
        <v>0</v>
      </c>
      <c r="AL110">
        <f>VLOOKUP($C110,'2017 Seattle Tracts Conc'!$BA$3:$BT$95,AL$1-3,FALSE)</f>
        <v>0</v>
      </c>
      <c r="AM110">
        <f>VLOOKUP($C110,'2017 Seattle Tracts Conc'!$BA$3:$BT$95,AM$1-3,FALSE)</f>
        <v>52.460146638808872</v>
      </c>
      <c r="AN110">
        <f>VLOOKUP($C110,'2017 Seattle Tracts Conc'!$BA$3:$BT$95,AN$1-3,FALSE)</f>
        <v>7.3685870853358946</v>
      </c>
      <c r="AO110">
        <f>VLOOKUP($C110,'2017 Seattle Tracts Conc'!$BA$3:$BT$95,AO$1-3,FALSE)</f>
        <v>366.97191508838091</v>
      </c>
      <c r="AP110">
        <f>VLOOKUP($C110,'2017 Seattle Tracts Conc'!$BA$3:$BT$95,AP$1-3,FALSE)</f>
        <v>28.02599405764483</v>
      </c>
    </row>
    <row r="111" spans="1:42" x14ac:dyDescent="0.25">
      <c r="A111">
        <v>189</v>
      </c>
      <c r="B111" t="s">
        <v>2495</v>
      </c>
      <c r="C111" t="s">
        <v>177</v>
      </c>
      <c r="D111" t="s">
        <v>170</v>
      </c>
      <c r="E111">
        <f>VLOOKUP($C111,'2000 Seattle Tracts Conc'!$AZ$3:$BS$94,E$1,FALSE)</f>
        <v>6071.5066744789601</v>
      </c>
      <c r="F111">
        <f>VLOOKUP($C111,'2000 Seattle Tracts Conc'!$AZ$3:$BS$94,F$1,FALSE)</f>
        <v>5529.3682140082819</v>
      </c>
      <c r="G111">
        <f>VLOOKUP($C111,'2000 Seattle Tracts Conc'!$AZ$3:$BS$94,G$1,FALSE)</f>
        <v>542.13846047067682</v>
      </c>
      <c r="H111">
        <f>VLOOKUP($C111,'2000 Seattle Tracts Conc'!$AZ$3:$BS$94,H$1,FALSE)</f>
        <v>5017.4153083579313</v>
      </c>
      <c r="I111">
        <f>VLOOKUP($C111,'2000 Seattle Tracts Conc'!$AZ$3:$BS$94,I$1,FALSE)</f>
        <v>318.1397308813979</v>
      </c>
      <c r="J111">
        <f>VLOOKUP($C111,'2000 Seattle Tracts Conc'!$AZ$3:$BS$94,J$1,FALSE)</f>
        <v>87.095734897770313</v>
      </c>
      <c r="K111">
        <f>VLOOKUP($C111,'2000 Seattle Tracts Conc'!$AZ$3:$BS$94,K$1,FALSE)</f>
        <v>50.479085480088827</v>
      </c>
      <c r="L111">
        <f>VLOOKUP($C111,'2000 Seattle Tracts Conc'!$AZ$3:$BS$94,L$1,FALSE)</f>
        <v>42.588517422733219</v>
      </c>
      <c r="M111">
        <f>VLOOKUP($C111,'2000 Seattle Tracts Conc'!$AZ$3:$BS$94,M$1,FALSE)</f>
        <v>6.5404878640852786</v>
      </c>
      <c r="N111">
        <f>VLOOKUP($C111,'2000 Seattle Tracts Conc'!$AZ$3:$BS$94,N$1,FALSE)</f>
        <v>47.816409036356383</v>
      </c>
      <c r="O111">
        <f>VLOOKUP($C111,'2000 Seattle Tracts Conc'!$AZ$3:$BS$94,O$1,FALSE)</f>
        <v>6.6175185015542057</v>
      </c>
      <c r="P111">
        <f>VLOOKUP($C111,'2000 Seattle Tracts Conc'!$AZ$3:$BS$94,P$1,FALSE)</f>
        <v>103.29279812743985</v>
      </c>
      <c r="Q111">
        <f>VLOOKUP($C111,'2000 Seattle Tracts Conc'!$AZ$3:$BS$94,Q$1,FALSE)</f>
        <v>118.35833910268053</v>
      </c>
      <c r="R111">
        <f>VLOOKUP($C111,'2000 Seattle Tracts Conc'!$AZ$3:$BS$94,R$1,FALSE)</f>
        <v>24.950828428817861</v>
      </c>
      <c r="S111">
        <f>VLOOKUP($C111,'2000 Seattle Tracts Conc'!$AZ$3:$BS$94,S$1,FALSE)</f>
        <v>8.1653617915889098E-2</v>
      </c>
      <c r="T111">
        <f>VLOOKUP($C111,'2000 Seattle Tracts Conc'!$AZ$3:$BS$94,T$1,FALSE)</f>
        <v>28.370827030413601</v>
      </c>
      <c r="U111">
        <f>VLOOKUP($C111,'2000 Seattle Tracts Conc'!$AZ$3:$BS$94,U$1,FALSE)</f>
        <v>19.23110547253761</v>
      </c>
      <c r="V111">
        <f>VLOOKUP($C111,'2000 Seattle Tracts Conc'!$AZ$3:$BS$94,V$1,FALSE)</f>
        <v>177.83779070681959</v>
      </c>
      <c r="W111">
        <f>VLOOKUP($C111,'2000 Seattle Tracts Conc'!$AZ$3:$BS$94,W$1,FALSE)</f>
        <v>22.690539550416602</v>
      </c>
      <c r="X111" s="4">
        <f>VLOOKUP($C111,'2017 Seattle Tracts Conc'!$BA$3:$BT$95,X$1-3,FALSE)</f>
        <v>6632.3536233563973</v>
      </c>
      <c r="Y111">
        <f>VLOOKUP($C111,'2017 Seattle Tracts Conc'!$BA$3:$BT$95,Y$1-3,FALSE)</f>
        <v>6138.5387006764167</v>
      </c>
      <c r="Z111">
        <f>VLOOKUP($C111,'2017 Seattle Tracts Conc'!$BA$3:$BT$95,Z$1-3,FALSE)</f>
        <v>493.81492267998021</v>
      </c>
      <c r="AA111">
        <f>VLOOKUP($C111,'2017 Seattle Tracts Conc'!$BA$3:$BT$95,AA$1-3,FALSE)</f>
        <v>5317.7298575934692</v>
      </c>
      <c r="AB111">
        <f>VLOOKUP($C111,'2017 Seattle Tracts Conc'!$BA$3:$BT$95,AB$1-3,FALSE)</f>
        <v>226.12633158800591</v>
      </c>
      <c r="AC111">
        <f>VLOOKUP($C111,'2017 Seattle Tracts Conc'!$BA$3:$BT$95,AC$1-3,FALSE)</f>
        <v>161.94147552926478</v>
      </c>
      <c r="AD111">
        <f>VLOOKUP($C111,'2017 Seattle Tracts Conc'!$BA$3:$BT$95,AD$1-3,FALSE)</f>
        <v>28.471117692770903</v>
      </c>
      <c r="AE111">
        <f>VLOOKUP($C111,'2017 Seattle Tracts Conc'!$BA$3:$BT$95,AE$1-3,FALSE)</f>
        <v>64.417587580224065</v>
      </c>
      <c r="AF111">
        <f>VLOOKUP($C111,'2017 Seattle Tracts Conc'!$BA$3:$BT$95,AF$1-3,FALSE)</f>
        <v>31.55411999786714</v>
      </c>
      <c r="AG111">
        <f>VLOOKUP($C111,'2017 Seattle Tracts Conc'!$BA$3:$BT$95,AG$1-3,FALSE)</f>
        <v>95.242533616201229</v>
      </c>
      <c r="AH111">
        <f>VLOOKUP($C111,'2017 Seattle Tracts Conc'!$BA$3:$BT$95,AH$1-3,FALSE)</f>
        <v>0</v>
      </c>
      <c r="AI111">
        <f>VLOOKUP($C111,'2017 Seattle Tracts Conc'!$BA$3:$BT$95,AI$1-3,FALSE)</f>
        <v>105.82516623951656</v>
      </c>
      <c r="AJ111">
        <f>VLOOKUP($C111,'2017 Seattle Tracts Conc'!$BA$3:$BT$95,AJ$1-3,FALSE)</f>
        <v>127.37809054811827</v>
      </c>
      <c r="AK111">
        <f>VLOOKUP($C111,'2017 Seattle Tracts Conc'!$BA$3:$BT$95,AK$1-3,FALSE)</f>
        <v>0.18808729749572287</v>
      </c>
      <c r="AL111">
        <f>VLOOKUP($C111,'2017 Seattle Tracts Conc'!$BA$3:$BT$95,AL$1-3,FALSE)</f>
        <v>48.390604042615131</v>
      </c>
      <c r="AM111">
        <f>VLOOKUP($C111,'2017 Seattle Tracts Conc'!$BA$3:$BT$95,AM$1-3,FALSE)</f>
        <v>61.449453309111547</v>
      </c>
      <c r="AN111">
        <f>VLOOKUP($C111,'2017 Seattle Tracts Conc'!$BA$3:$BT$95,AN$1-3,FALSE)</f>
        <v>25.082626199018641</v>
      </c>
      <c r="AO111">
        <f>VLOOKUP($C111,'2017 Seattle Tracts Conc'!$BA$3:$BT$95,AO$1-3,FALSE)</f>
        <v>331.74453951113355</v>
      </c>
      <c r="AP111">
        <f>VLOOKUP($C111,'2017 Seattle Tracts Conc'!$BA$3:$BT$95,AP$1-3,FALSE)</f>
        <v>6.8120326115842396</v>
      </c>
    </row>
    <row r="112" spans="1:42" x14ac:dyDescent="0.25">
      <c r="A112">
        <v>166</v>
      </c>
      <c r="B112" t="s">
        <v>2495</v>
      </c>
      <c r="C112" t="s">
        <v>178</v>
      </c>
      <c r="D112" t="s">
        <v>179</v>
      </c>
      <c r="E112">
        <f>VLOOKUP($C112,'2000 Seattle Tracts Conc'!$AZ$3:$BS$94,E$1,FALSE)</f>
        <v>10504.554108757327</v>
      </c>
      <c r="F112">
        <f>VLOOKUP($C112,'2000 Seattle Tracts Conc'!$AZ$3:$BS$94,F$1,FALSE)</f>
        <v>5926.6879095930153</v>
      </c>
      <c r="G112">
        <f>VLOOKUP($C112,'2000 Seattle Tracts Conc'!$AZ$3:$BS$94,G$1,FALSE)</f>
        <v>4577.8661991643112</v>
      </c>
      <c r="H112">
        <f>VLOOKUP($C112,'2000 Seattle Tracts Conc'!$AZ$3:$BS$94,H$1,FALSE)</f>
        <v>2115.1188688265038</v>
      </c>
      <c r="I112">
        <f>VLOOKUP($C112,'2000 Seattle Tracts Conc'!$AZ$3:$BS$94,I$1,FALSE)</f>
        <v>138.26030276077054</v>
      </c>
      <c r="J112">
        <f>VLOOKUP($C112,'2000 Seattle Tracts Conc'!$AZ$3:$BS$94,J$1,FALSE)</f>
        <v>194.79717227501712</v>
      </c>
      <c r="K112">
        <f>VLOOKUP($C112,'2000 Seattle Tracts Conc'!$AZ$3:$BS$94,K$1,FALSE)</f>
        <v>143.77544125672898</v>
      </c>
      <c r="L112">
        <f>VLOOKUP($C112,'2000 Seattle Tracts Conc'!$AZ$3:$BS$94,L$1,FALSE)</f>
        <v>1178.3760331475225</v>
      </c>
      <c r="M112">
        <f>VLOOKUP($C112,'2000 Seattle Tracts Conc'!$AZ$3:$BS$94,M$1,FALSE)</f>
        <v>264.43504140428257</v>
      </c>
      <c r="N112">
        <f>VLOOKUP($C112,'2000 Seattle Tracts Conc'!$AZ$3:$BS$94,N$1,FALSE)</f>
        <v>112.98245934367012</v>
      </c>
      <c r="O112">
        <f>VLOOKUP($C112,'2000 Seattle Tracts Conc'!$AZ$3:$BS$94,O$1,FALSE)</f>
        <v>106.90855426307151</v>
      </c>
      <c r="P112">
        <f>VLOOKUP($C112,'2000 Seattle Tracts Conc'!$AZ$3:$BS$94,P$1,FALSE)</f>
        <v>1414.1761836751014</v>
      </c>
      <c r="Q112">
        <f>VLOOKUP($C112,'2000 Seattle Tracts Conc'!$AZ$3:$BS$94,Q$1,FALSE)</f>
        <v>3333.3903425905355</v>
      </c>
      <c r="R112">
        <f>VLOOKUP($C112,'2000 Seattle Tracts Conc'!$AZ$3:$BS$94,R$1,FALSE)</f>
        <v>76.919155030907561</v>
      </c>
      <c r="S112">
        <f>VLOOKUP($C112,'2000 Seattle Tracts Conc'!$AZ$3:$BS$94,S$1,FALSE)</f>
        <v>31.777334128655529</v>
      </c>
      <c r="T112">
        <f>VLOOKUP($C112,'2000 Seattle Tracts Conc'!$AZ$3:$BS$94,T$1,FALSE)</f>
        <v>292.43200053352052</v>
      </c>
      <c r="U112">
        <f>VLOOKUP($C112,'2000 Seattle Tracts Conc'!$AZ$3:$BS$94,U$1,FALSE)</f>
        <v>248.02543164559239</v>
      </c>
      <c r="V112">
        <f>VLOOKUP($C112,'2000 Seattle Tracts Conc'!$AZ$3:$BS$94,V$1,FALSE)</f>
        <v>541.88603676077264</v>
      </c>
      <c r="W112">
        <f>VLOOKUP($C112,'2000 Seattle Tracts Conc'!$AZ$3:$BS$94,W$1,FALSE)</f>
        <v>311.29375111467505</v>
      </c>
      <c r="X112" s="4">
        <f>VLOOKUP($C112,'2017 Seattle Tracts Conc'!$BA$3:$BT$95,X$1-3,FALSE)</f>
        <v>13167.619843018703</v>
      </c>
      <c r="Y112">
        <f>VLOOKUP($C112,'2017 Seattle Tracts Conc'!$BA$3:$BT$95,Y$1-3,FALSE)</f>
        <v>8265.2381610673656</v>
      </c>
      <c r="Z112">
        <f>VLOOKUP($C112,'2017 Seattle Tracts Conc'!$BA$3:$BT$95,Z$1-3,FALSE)</f>
        <v>4902.3816819513404</v>
      </c>
      <c r="AA112">
        <f>VLOOKUP($C112,'2017 Seattle Tracts Conc'!$BA$3:$BT$95,AA$1-3,FALSE)</f>
        <v>4199.5849166336129</v>
      </c>
      <c r="AB112">
        <f>VLOOKUP($C112,'2017 Seattle Tracts Conc'!$BA$3:$BT$95,AB$1-3,FALSE)</f>
        <v>296.53581127213886</v>
      </c>
      <c r="AC112">
        <f>VLOOKUP($C112,'2017 Seattle Tracts Conc'!$BA$3:$BT$95,AC$1-3,FALSE)</f>
        <v>537.61109462829302</v>
      </c>
      <c r="AD112">
        <f>VLOOKUP($C112,'2017 Seattle Tracts Conc'!$BA$3:$BT$95,AD$1-3,FALSE)</f>
        <v>385.09368287883035</v>
      </c>
      <c r="AE112">
        <f>VLOOKUP($C112,'2017 Seattle Tracts Conc'!$BA$3:$BT$95,AE$1-3,FALSE)</f>
        <v>1035.1422485731832</v>
      </c>
      <c r="AF112">
        <f>VLOOKUP($C112,'2017 Seattle Tracts Conc'!$BA$3:$BT$95,AF$1-3,FALSE)</f>
        <v>572.02626424392508</v>
      </c>
      <c r="AG112">
        <f>VLOOKUP($C112,'2017 Seattle Tracts Conc'!$BA$3:$BT$95,AG$1-3,FALSE)</f>
        <v>119.79070910688203</v>
      </c>
      <c r="AH112">
        <f>VLOOKUP($C112,'2017 Seattle Tracts Conc'!$BA$3:$BT$95,AH$1-3,FALSE)</f>
        <v>97.930235444918637</v>
      </c>
      <c r="AI112">
        <f>VLOOKUP($C112,'2017 Seattle Tracts Conc'!$BA$3:$BT$95,AI$1-3,FALSE)</f>
        <v>1198.9845487731404</v>
      </c>
      <c r="AJ112">
        <f>VLOOKUP($C112,'2017 Seattle Tracts Conc'!$BA$3:$BT$95,AJ$1-3,FALSE)</f>
        <v>2657.8177746308943</v>
      </c>
      <c r="AK112">
        <f>VLOOKUP($C112,'2017 Seattle Tracts Conc'!$BA$3:$BT$95,AK$1-3,FALSE)</f>
        <v>11.934362898316957</v>
      </c>
      <c r="AL112">
        <f>VLOOKUP($C112,'2017 Seattle Tracts Conc'!$BA$3:$BT$95,AL$1-3,FALSE)</f>
        <v>13.990033634988377</v>
      </c>
      <c r="AM112">
        <f>VLOOKUP($C112,'2017 Seattle Tracts Conc'!$BA$3:$BT$95,AM$1-3,FALSE)</f>
        <v>293.5741771773973</v>
      </c>
      <c r="AN112">
        <f>VLOOKUP($C112,'2017 Seattle Tracts Conc'!$BA$3:$BT$95,AN$1-3,FALSE)</f>
        <v>811.87703566097321</v>
      </c>
      <c r="AO112">
        <f>VLOOKUP($C112,'2017 Seattle Tracts Conc'!$BA$3:$BT$95,AO$1-3,FALSE)</f>
        <v>868.61610327653966</v>
      </c>
      <c r="AP112">
        <f>VLOOKUP($C112,'2017 Seattle Tracts Conc'!$BA$3:$BT$95,AP$1-3,FALSE)</f>
        <v>67.110844184670711</v>
      </c>
    </row>
    <row r="113" spans="1:42" x14ac:dyDescent="0.25">
      <c r="A113">
        <v>172</v>
      </c>
      <c r="B113" t="s">
        <v>2495</v>
      </c>
      <c r="C113" t="s">
        <v>180</v>
      </c>
      <c r="D113" t="s">
        <v>179</v>
      </c>
      <c r="E113">
        <f>VLOOKUP($C113,'2000 Seattle Tracts Conc'!$AZ$3:$BS$94,E$1,FALSE)</f>
        <v>11285.678539365541</v>
      </c>
      <c r="F113">
        <f>VLOOKUP($C113,'2000 Seattle Tracts Conc'!$AZ$3:$BS$94,F$1,FALSE)</f>
        <v>6087.0252623847473</v>
      </c>
      <c r="G113">
        <f>VLOOKUP($C113,'2000 Seattle Tracts Conc'!$AZ$3:$BS$94,G$1,FALSE)</f>
        <v>5198.6532769807964</v>
      </c>
      <c r="H113">
        <f>VLOOKUP($C113,'2000 Seattle Tracts Conc'!$AZ$3:$BS$94,H$1,FALSE)</f>
        <v>1898.6463004755333</v>
      </c>
      <c r="I113">
        <f>VLOOKUP($C113,'2000 Seattle Tracts Conc'!$AZ$3:$BS$94,I$1,FALSE)</f>
        <v>89.452282558269061</v>
      </c>
      <c r="J113">
        <f>VLOOKUP($C113,'2000 Seattle Tracts Conc'!$AZ$3:$BS$94,J$1,FALSE)</f>
        <v>27.731069047586534</v>
      </c>
      <c r="K113">
        <f>VLOOKUP($C113,'2000 Seattle Tracts Conc'!$AZ$3:$BS$94,K$1,FALSE)</f>
        <v>74.929608694186513</v>
      </c>
      <c r="L113">
        <f>VLOOKUP($C113,'2000 Seattle Tracts Conc'!$AZ$3:$BS$94,L$1,FALSE)</f>
        <v>1514.4928845431568</v>
      </c>
      <c r="M113">
        <f>VLOOKUP($C113,'2000 Seattle Tracts Conc'!$AZ$3:$BS$94,M$1,FALSE)</f>
        <v>204.95842078521838</v>
      </c>
      <c r="N113">
        <f>VLOOKUP($C113,'2000 Seattle Tracts Conc'!$AZ$3:$BS$94,N$1,FALSE)</f>
        <v>68.740955446437667</v>
      </c>
      <c r="O113">
        <f>VLOOKUP($C113,'2000 Seattle Tracts Conc'!$AZ$3:$BS$94,O$1,FALSE)</f>
        <v>11.776962966259793</v>
      </c>
      <c r="P113">
        <f>VLOOKUP($C113,'2000 Seattle Tracts Conc'!$AZ$3:$BS$94,P$1,FALSE)</f>
        <v>1824.2290844220943</v>
      </c>
      <c r="Q113">
        <f>VLOOKUP($C113,'2000 Seattle Tracts Conc'!$AZ$3:$BS$94,Q$1,FALSE)</f>
        <v>4403.5687717745195</v>
      </c>
      <c r="R113">
        <f>VLOOKUP($C113,'2000 Seattle Tracts Conc'!$AZ$3:$BS$94,R$1,FALSE)</f>
        <v>109.20125259686971</v>
      </c>
      <c r="S113">
        <f>VLOOKUP($C113,'2000 Seattle Tracts Conc'!$AZ$3:$BS$94,S$1,FALSE)</f>
        <v>48.864167554226427</v>
      </c>
      <c r="T113">
        <f>VLOOKUP($C113,'2000 Seattle Tracts Conc'!$AZ$3:$BS$94,T$1,FALSE)</f>
        <v>170.95055377105302</v>
      </c>
      <c r="U113">
        <f>VLOOKUP($C113,'2000 Seattle Tracts Conc'!$AZ$3:$BS$94,U$1,FALSE)</f>
        <v>139.27220137891885</v>
      </c>
      <c r="V113">
        <f>VLOOKUP($C113,'2000 Seattle Tracts Conc'!$AZ$3:$BS$94,V$1,FALSE)</f>
        <v>473.03316208201483</v>
      </c>
      <c r="W113">
        <f>VLOOKUP($C113,'2000 Seattle Tracts Conc'!$AZ$3:$BS$94,W$1,FALSE)</f>
        <v>225.83086126919727</v>
      </c>
      <c r="X113" s="4">
        <f>VLOOKUP($C113,'2017 Seattle Tracts Conc'!$BA$3:$BT$95,X$1-3,FALSE)</f>
        <v>12100.577507740791</v>
      </c>
      <c r="Y113">
        <f>VLOOKUP($C113,'2017 Seattle Tracts Conc'!$BA$3:$BT$95,Y$1-3,FALSE)</f>
        <v>6543.2150362362527</v>
      </c>
      <c r="Z113">
        <f>VLOOKUP($C113,'2017 Seattle Tracts Conc'!$BA$3:$BT$95,Z$1-3,FALSE)</f>
        <v>5557.3624715045371</v>
      </c>
      <c r="AA113">
        <f>VLOOKUP($C113,'2017 Seattle Tracts Conc'!$BA$3:$BT$95,AA$1-3,FALSE)</f>
        <v>2352.3992171396908</v>
      </c>
      <c r="AB113">
        <f>VLOOKUP($C113,'2017 Seattle Tracts Conc'!$BA$3:$BT$95,AB$1-3,FALSE)</f>
        <v>181.61347465829022</v>
      </c>
      <c r="AC113">
        <f>VLOOKUP($C113,'2017 Seattle Tracts Conc'!$BA$3:$BT$95,AC$1-3,FALSE)</f>
        <v>157.45340228261736</v>
      </c>
      <c r="AD113">
        <f>VLOOKUP($C113,'2017 Seattle Tracts Conc'!$BA$3:$BT$95,AD$1-3,FALSE)</f>
        <v>284.37491985991539</v>
      </c>
      <c r="AE113">
        <f>VLOOKUP($C113,'2017 Seattle Tracts Conc'!$BA$3:$BT$95,AE$1-3,FALSE)</f>
        <v>1427.4901001940204</v>
      </c>
      <c r="AF113">
        <f>VLOOKUP($C113,'2017 Seattle Tracts Conc'!$BA$3:$BT$95,AF$1-3,FALSE)</f>
        <v>679.90850861235594</v>
      </c>
      <c r="AG113">
        <f>VLOOKUP($C113,'2017 Seattle Tracts Conc'!$BA$3:$BT$95,AG$1-3,FALSE)</f>
        <v>18.871280245352455</v>
      </c>
      <c r="AH113">
        <f>VLOOKUP($C113,'2017 Seattle Tracts Conc'!$BA$3:$BT$95,AH$1-3,FALSE)</f>
        <v>17.331888986182562</v>
      </c>
      <c r="AI113">
        <f>VLOOKUP($C113,'2017 Seattle Tracts Conc'!$BA$3:$BT$95,AI$1-3,FALSE)</f>
        <v>1871.3687929438609</v>
      </c>
      <c r="AJ113">
        <f>VLOOKUP($C113,'2017 Seattle Tracts Conc'!$BA$3:$BT$95,AJ$1-3,FALSE)</f>
        <v>4151.4451968551739</v>
      </c>
      <c r="AK113">
        <f>VLOOKUP($C113,'2017 Seattle Tracts Conc'!$BA$3:$BT$95,AK$1-3,FALSE)</f>
        <v>5.7928307545423863</v>
      </c>
      <c r="AL113">
        <f>VLOOKUP($C113,'2017 Seattle Tracts Conc'!$BA$3:$BT$95,AL$1-3,FALSE)</f>
        <v>8.914166750572992</v>
      </c>
      <c r="AM113">
        <f>VLOOKUP($C113,'2017 Seattle Tracts Conc'!$BA$3:$BT$95,AM$1-3,FALSE)</f>
        <v>215.83190051407783</v>
      </c>
      <c r="AN113">
        <f>VLOOKUP($C113,'2017 Seattle Tracts Conc'!$BA$3:$BT$95,AN$1-3,FALSE)</f>
        <v>176.21387441945095</v>
      </c>
      <c r="AO113">
        <f>VLOOKUP($C113,'2017 Seattle Tracts Conc'!$BA$3:$BT$95,AO$1-3,FALSE)</f>
        <v>494.00751216209068</v>
      </c>
      <c r="AP113">
        <f>VLOOKUP($C113,'2017 Seattle Tracts Conc'!$BA$3:$BT$95,AP$1-3,FALSE)</f>
        <v>57.560441362594638</v>
      </c>
    </row>
    <row r="114" spans="1:42" x14ac:dyDescent="0.25">
      <c r="A114">
        <v>183</v>
      </c>
      <c r="B114" t="s">
        <v>2495</v>
      </c>
      <c r="C114" t="s">
        <v>181</v>
      </c>
      <c r="D114" t="s">
        <v>179</v>
      </c>
      <c r="E114">
        <f>VLOOKUP($C114,'2000 Seattle Tracts Conc'!$AZ$3:$BS$94,E$1,FALSE)</f>
        <v>6248.0549633437477</v>
      </c>
      <c r="F114">
        <f>VLOOKUP($C114,'2000 Seattle Tracts Conc'!$AZ$3:$BS$94,F$1,FALSE)</f>
        <v>3228.2767203009444</v>
      </c>
      <c r="G114">
        <f>VLOOKUP($C114,'2000 Seattle Tracts Conc'!$AZ$3:$BS$94,G$1,FALSE)</f>
        <v>3019.7782430428024</v>
      </c>
      <c r="H114">
        <f>VLOOKUP($C114,'2000 Seattle Tracts Conc'!$AZ$3:$BS$94,H$1,FALSE)</f>
        <v>665.04008830556518</v>
      </c>
      <c r="I114">
        <f>VLOOKUP($C114,'2000 Seattle Tracts Conc'!$AZ$3:$BS$94,I$1,FALSE)</f>
        <v>54.917720602532555</v>
      </c>
      <c r="J114">
        <f>VLOOKUP($C114,'2000 Seattle Tracts Conc'!$AZ$3:$BS$94,J$1,FALSE)</f>
        <v>22.379007680794338</v>
      </c>
      <c r="K114">
        <f>VLOOKUP($C114,'2000 Seattle Tracts Conc'!$AZ$3:$BS$94,K$1,FALSE)</f>
        <v>86.338681940040232</v>
      </c>
      <c r="L114">
        <f>VLOOKUP($C114,'2000 Seattle Tracts Conc'!$AZ$3:$BS$94,L$1,FALSE)</f>
        <v>1232.8071847744629</v>
      </c>
      <c r="M114">
        <f>VLOOKUP($C114,'2000 Seattle Tracts Conc'!$AZ$3:$BS$94,M$1,FALSE)</f>
        <v>265.07564681185499</v>
      </c>
      <c r="N114">
        <f>VLOOKUP($C114,'2000 Seattle Tracts Conc'!$AZ$3:$BS$94,N$1,FALSE)</f>
        <v>81.24869215371514</v>
      </c>
      <c r="O114">
        <f>VLOOKUP($C114,'2000 Seattle Tracts Conc'!$AZ$3:$BS$94,O$1,FALSE)</f>
        <v>1.1263968399155076E-2</v>
      </c>
      <c r="P114">
        <f>VLOOKUP($C114,'2000 Seattle Tracts Conc'!$AZ$3:$BS$94,P$1,FALSE)</f>
        <v>919.0853971303593</v>
      </c>
      <c r="Q114">
        <f>VLOOKUP($C114,'2000 Seattle Tracts Conc'!$AZ$3:$BS$94,Q$1,FALSE)</f>
        <v>2243.5200454904821</v>
      </c>
      <c r="R114">
        <f>VLOOKUP($C114,'2000 Seattle Tracts Conc'!$AZ$3:$BS$94,R$1,FALSE)</f>
        <v>11.640269011897519</v>
      </c>
      <c r="S114">
        <f>VLOOKUP($C114,'2000 Seattle Tracts Conc'!$AZ$3:$BS$94,S$1,FALSE)</f>
        <v>66.462183462410891</v>
      </c>
      <c r="T114">
        <f>VLOOKUP($C114,'2000 Seattle Tracts Conc'!$AZ$3:$BS$94,T$1,FALSE)</f>
        <v>78.678094322706627</v>
      </c>
      <c r="U114">
        <f>VLOOKUP($C114,'2000 Seattle Tracts Conc'!$AZ$3:$BS$94,U$1,FALSE)</f>
        <v>131.47701260471285</v>
      </c>
      <c r="V114">
        <f>VLOOKUP($C114,'2000 Seattle Tracts Conc'!$AZ$3:$BS$94,V$1,FALSE)</f>
        <v>217.39798692144382</v>
      </c>
      <c r="W114">
        <f>VLOOKUP($C114,'2000 Seattle Tracts Conc'!$AZ$3:$BS$94,W$1,FALSE)</f>
        <v>171.97568816236935</v>
      </c>
      <c r="X114" s="4">
        <f>VLOOKUP($C114,'2017 Seattle Tracts Conc'!$BA$3:$BT$95,X$1-3,FALSE)</f>
        <v>7812.2832857001631</v>
      </c>
      <c r="Y114">
        <f>VLOOKUP($C114,'2017 Seattle Tracts Conc'!$BA$3:$BT$95,Y$1-3,FALSE)</f>
        <v>4237.4946358095312</v>
      </c>
      <c r="Z114">
        <f>VLOOKUP($C114,'2017 Seattle Tracts Conc'!$BA$3:$BT$95,Z$1-3,FALSE)</f>
        <v>3574.7886498906323</v>
      </c>
      <c r="AA114">
        <f>VLOOKUP($C114,'2017 Seattle Tracts Conc'!$BA$3:$BT$95,AA$1-3,FALSE)</f>
        <v>805.80381326591521</v>
      </c>
      <c r="AB114">
        <f>VLOOKUP($C114,'2017 Seattle Tracts Conc'!$BA$3:$BT$95,AB$1-3,FALSE)</f>
        <v>44.390821516081871</v>
      </c>
      <c r="AC114">
        <f>VLOOKUP($C114,'2017 Seattle Tracts Conc'!$BA$3:$BT$95,AC$1-3,FALSE)</f>
        <v>132.44331204550161</v>
      </c>
      <c r="AD114">
        <f>VLOOKUP($C114,'2017 Seattle Tracts Conc'!$BA$3:$BT$95,AD$1-3,FALSE)</f>
        <v>116.16153248357151</v>
      </c>
      <c r="AE114">
        <f>VLOOKUP($C114,'2017 Seattle Tracts Conc'!$BA$3:$BT$95,AE$1-3,FALSE)</f>
        <v>1607.0320632161461</v>
      </c>
      <c r="AF114">
        <f>VLOOKUP($C114,'2017 Seattle Tracts Conc'!$BA$3:$BT$95,AF$1-3,FALSE)</f>
        <v>749.33418519376505</v>
      </c>
      <c r="AG114">
        <f>VLOOKUP($C114,'2017 Seattle Tracts Conc'!$BA$3:$BT$95,AG$1-3,FALSE)</f>
        <v>43.619712227807852</v>
      </c>
      <c r="AH114">
        <f>VLOOKUP($C114,'2017 Seattle Tracts Conc'!$BA$3:$BT$95,AH$1-3,FALSE)</f>
        <v>33.08874355977057</v>
      </c>
      <c r="AI114">
        <f>VLOOKUP($C114,'2017 Seattle Tracts Conc'!$BA$3:$BT$95,AI$1-3,FALSE)</f>
        <v>958.07117246414646</v>
      </c>
      <c r="AJ114">
        <f>VLOOKUP($C114,'2017 Seattle Tracts Conc'!$BA$3:$BT$95,AJ$1-3,FALSE)</f>
        <v>2430.6884483143103</v>
      </c>
      <c r="AK114">
        <f>VLOOKUP($C114,'2017 Seattle Tracts Conc'!$BA$3:$BT$95,AK$1-3,FALSE)</f>
        <v>78.360160367386698</v>
      </c>
      <c r="AL114">
        <f>VLOOKUP($C114,'2017 Seattle Tracts Conc'!$BA$3:$BT$95,AL$1-3,FALSE)</f>
        <v>96.940966523551964</v>
      </c>
      <c r="AM114">
        <f>VLOOKUP($C114,'2017 Seattle Tracts Conc'!$BA$3:$BT$95,AM$1-3,FALSE)</f>
        <v>86.596867971885089</v>
      </c>
      <c r="AN114">
        <f>VLOOKUP($C114,'2017 Seattle Tracts Conc'!$BA$3:$BT$95,AN$1-3,FALSE)</f>
        <v>50.311292372829747</v>
      </c>
      <c r="AO114">
        <f>VLOOKUP($C114,'2017 Seattle Tracts Conc'!$BA$3:$BT$95,AO$1-3,FALSE)</f>
        <v>525.56753425074237</v>
      </c>
      <c r="AP114">
        <f>VLOOKUP($C114,'2017 Seattle Tracts Conc'!$BA$3:$BT$95,AP$1-3,FALSE)</f>
        <v>53.872659926751048</v>
      </c>
    </row>
    <row r="115" spans="1:42" x14ac:dyDescent="0.25">
      <c r="A115">
        <v>186</v>
      </c>
      <c r="B115" t="s">
        <v>2495</v>
      </c>
      <c r="C115" t="s">
        <v>182</v>
      </c>
      <c r="D115" t="s">
        <v>179</v>
      </c>
      <c r="E115">
        <f>VLOOKUP($C115,'2000 Seattle Tracts Conc'!$AZ$3:$BS$94,E$1,FALSE)</f>
        <v>1789.4686235577901</v>
      </c>
      <c r="F115">
        <f>VLOOKUP($C115,'2000 Seattle Tracts Conc'!$AZ$3:$BS$94,F$1,FALSE)</f>
        <v>797.82059003218194</v>
      </c>
      <c r="G115">
        <f>VLOOKUP($C115,'2000 Seattle Tracts Conc'!$AZ$3:$BS$94,G$1,FALSE)</f>
        <v>991.64803352560807</v>
      </c>
      <c r="H115">
        <f>VLOOKUP($C115,'2000 Seattle Tracts Conc'!$AZ$3:$BS$94,H$1,FALSE)</f>
        <v>145.84660936353251</v>
      </c>
      <c r="I115">
        <f>VLOOKUP($C115,'2000 Seattle Tracts Conc'!$AZ$3:$BS$94,I$1,FALSE)</f>
        <v>16.583720590386836</v>
      </c>
      <c r="J115">
        <f>VLOOKUP($C115,'2000 Seattle Tracts Conc'!$AZ$3:$BS$94,J$1,FALSE)</f>
        <v>5.1731134315343592</v>
      </c>
      <c r="K115">
        <f>VLOOKUP($C115,'2000 Seattle Tracts Conc'!$AZ$3:$BS$94,K$1,FALSE)</f>
        <v>23.135161850640053</v>
      </c>
      <c r="L115">
        <f>VLOOKUP($C115,'2000 Seattle Tracts Conc'!$AZ$3:$BS$94,L$1,FALSE)</f>
        <v>267.59625569200176</v>
      </c>
      <c r="M115">
        <f>VLOOKUP($C115,'2000 Seattle Tracts Conc'!$AZ$3:$BS$94,M$1,FALSE)</f>
        <v>135.06363894954458</v>
      </c>
      <c r="N115">
        <f>VLOOKUP($C115,'2000 Seattle Tracts Conc'!$AZ$3:$BS$94,N$1,FALSE)</f>
        <v>51.665839323451387</v>
      </c>
      <c r="O115">
        <f>VLOOKUP($C115,'2000 Seattle Tracts Conc'!$AZ$3:$BS$94,O$1,FALSE)</f>
        <v>7.5667760062450495E-3</v>
      </c>
      <c r="P115">
        <f>VLOOKUP($C115,'2000 Seattle Tracts Conc'!$AZ$3:$BS$94,P$1,FALSE)</f>
        <v>240.03347091804761</v>
      </c>
      <c r="Q115">
        <f>VLOOKUP($C115,'2000 Seattle Tracts Conc'!$AZ$3:$BS$94,Q$1,FALSE)</f>
        <v>677.96035257321103</v>
      </c>
      <c r="R115">
        <f>VLOOKUP($C115,'2000 Seattle Tracts Conc'!$AZ$3:$BS$94,R$1,FALSE)</f>
        <v>6.8458119352901914</v>
      </c>
      <c r="S115">
        <f>VLOOKUP($C115,'2000 Seattle Tracts Conc'!$AZ$3:$BS$94,S$1,FALSE)</f>
        <v>27.108232529662811</v>
      </c>
      <c r="T115">
        <f>VLOOKUP($C115,'2000 Seattle Tracts Conc'!$AZ$3:$BS$94,T$1,FALSE)</f>
        <v>18.572117091755672</v>
      </c>
      <c r="U115">
        <f>VLOOKUP($C115,'2000 Seattle Tracts Conc'!$AZ$3:$BS$94,U$1,FALSE)</f>
        <v>38.587959266831504</v>
      </c>
      <c r="V115">
        <f>VLOOKUP($C115,'2000 Seattle Tracts Conc'!$AZ$3:$BS$94,V$1,FALSE)</f>
        <v>62.087372276568424</v>
      </c>
      <c r="W115">
        <f>VLOOKUP($C115,'2000 Seattle Tracts Conc'!$AZ$3:$BS$94,W$1,FALSE)</f>
        <v>73.20140098932491</v>
      </c>
      <c r="X115" s="4">
        <f>VLOOKUP($C115,'2017 Seattle Tracts Conc'!$BA$3:$BT$95,X$1-3,FALSE)</f>
        <v>3090.1593961674334</v>
      </c>
      <c r="Y115">
        <f>VLOOKUP($C115,'2017 Seattle Tracts Conc'!$BA$3:$BT$95,Y$1-3,FALSE)</f>
        <v>1657.2166923458976</v>
      </c>
      <c r="Z115">
        <f>VLOOKUP($C115,'2017 Seattle Tracts Conc'!$BA$3:$BT$95,Z$1-3,FALSE)</f>
        <v>1432.9427038215363</v>
      </c>
      <c r="AA115">
        <f>VLOOKUP($C115,'2017 Seattle Tracts Conc'!$BA$3:$BT$95,AA$1-3,FALSE)</f>
        <v>349.91821409119041</v>
      </c>
      <c r="AB115">
        <f>VLOOKUP($C115,'2017 Seattle Tracts Conc'!$BA$3:$BT$95,AB$1-3,FALSE)</f>
        <v>41.875573234791688</v>
      </c>
      <c r="AC115">
        <f>VLOOKUP($C115,'2017 Seattle Tracts Conc'!$BA$3:$BT$95,AC$1-3,FALSE)</f>
        <v>39.766611572712051</v>
      </c>
      <c r="AD115">
        <f>VLOOKUP($C115,'2017 Seattle Tracts Conc'!$BA$3:$BT$95,AD$1-3,FALSE)</f>
        <v>40.183389133998439</v>
      </c>
      <c r="AE115">
        <f>VLOOKUP($C115,'2017 Seattle Tracts Conc'!$BA$3:$BT$95,AE$1-3,FALSE)</f>
        <v>672.7056451617517</v>
      </c>
      <c r="AF115">
        <f>VLOOKUP($C115,'2017 Seattle Tracts Conc'!$BA$3:$BT$95,AF$1-3,FALSE)</f>
        <v>395.06394956636672</v>
      </c>
      <c r="AG115">
        <f>VLOOKUP($C115,'2017 Seattle Tracts Conc'!$BA$3:$BT$95,AG$1-3,FALSE)</f>
        <v>10.862844694427423</v>
      </c>
      <c r="AH115">
        <f>VLOOKUP($C115,'2017 Seattle Tracts Conc'!$BA$3:$BT$95,AH$1-3,FALSE)</f>
        <v>8.9553732001220503</v>
      </c>
      <c r="AI115">
        <f>VLOOKUP($C115,'2017 Seattle Tracts Conc'!$BA$3:$BT$95,AI$1-3,FALSE)</f>
        <v>479.20275313863851</v>
      </c>
      <c r="AJ115">
        <f>VLOOKUP($C115,'2017 Seattle Tracts Conc'!$BA$3:$BT$95,AJ$1-3,FALSE)</f>
        <v>882.03073270373011</v>
      </c>
      <c r="AK115">
        <f>VLOOKUP($C115,'2017 Seattle Tracts Conc'!$BA$3:$BT$95,AK$1-3,FALSE)</f>
        <v>7.444888619833006</v>
      </c>
      <c r="AL115">
        <f>VLOOKUP($C115,'2017 Seattle Tracts Conc'!$BA$3:$BT$95,AL$1-3,FALSE)</f>
        <v>9.0714112732939416</v>
      </c>
      <c r="AM115">
        <f>VLOOKUP($C115,'2017 Seattle Tracts Conc'!$BA$3:$BT$95,AM$1-3,FALSE)</f>
        <v>43.170513076063216</v>
      </c>
      <c r="AN115">
        <f>VLOOKUP($C115,'2017 Seattle Tracts Conc'!$BA$3:$BT$95,AN$1-3,FALSE)</f>
        <v>50.232322873479291</v>
      </c>
      <c r="AO115">
        <f>VLOOKUP($C115,'2017 Seattle Tracts Conc'!$BA$3:$BT$95,AO$1-3,FALSE)</f>
        <v>54.145221991281161</v>
      </c>
      <c r="AP115">
        <f>VLOOKUP($C115,'2017 Seattle Tracts Conc'!$BA$3:$BT$95,AP$1-3,FALSE)</f>
        <v>5.5299518357537885</v>
      </c>
    </row>
    <row r="116" spans="1:42" x14ac:dyDescent="0.25">
      <c r="A116">
        <v>185</v>
      </c>
      <c r="B116" t="s">
        <v>2495</v>
      </c>
      <c r="C116" t="s">
        <v>183</v>
      </c>
      <c r="D116" t="s">
        <v>184</v>
      </c>
      <c r="E116">
        <f>VLOOKUP($C116,'2000 Seattle Tracts Conc'!$AZ$3:$BS$94,E$1,FALSE)</f>
        <v>6371.992799356598</v>
      </c>
      <c r="F116">
        <f>VLOOKUP($C116,'2000 Seattle Tracts Conc'!$AZ$3:$BS$94,F$1,FALSE)</f>
        <v>3492.4965260660565</v>
      </c>
      <c r="G116">
        <f>VLOOKUP($C116,'2000 Seattle Tracts Conc'!$AZ$3:$BS$94,G$1,FALSE)</f>
        <v>2879.496273290541</v>
      </c>
      <c r="H116">
        <f>VLOOKUP($C116,'2000 Seattle Tracts Conc'!$AZ$3:$BS$94,H$1,FALSE)</f>
        <v>1012.3784908889864</v>
      </c>
      <c r="I116">
        <f>VLOOKUP($C116,'2000 Seattle Tracts Conc'!$AZ$3:$BS$94,I$1,FALSE)</f>
        <v>94.069463095649283</v>
      </c>
      <c r="J116">
        <f>VLOOKUP($C116,'2000 Seattle Tracts Conc'!$AZ$3:$BS$94,J$1,FALSE)</f>
        <v>65.001746294338332</v>
      </c>
      <c r="K116">
        <f>VLOOKUP($C116,'2000 Seattle Tracts Conc'!$AZ$3:$BS$94,K$1,FALSE)</f>
        <v>78.431367490974566</v>
      </c>
      <c r="L116">
        <f>VLOOKUP($C116,'2000 Seattle Tracts Conc'!$AZ$3:$BS$94,L$1,FALSE)</f>
        <v>1289.9808084764295</v>
      </c>
      <c r="M116">
        <f>VLOOKUP($C116,'2000 Seattle Tracts Conc'!$AZ$3:$BS$94,M$1,FALSE)</f>
        <v>203.09559650239055</v>
      </c>
      <c r="N116">
        <f>VLOOKUP($C116,'2000 Seattle Tracts Conc'!$AZ$3:$BS$94,N$1,FALSE)</f>
        <v>47.261258713247607</v>
      </c>
      <c r="O116">
        <f>VLOOKUP($C116,'2000 Seattle Tracts Conc'!$AZ$3:$BS$94,O$1,FALSE)</f>
        <v>8.9829748400456531</v>
      </c>
      <c r="P116">
        <f>VLOOKUP($C116,'2000 Seattle Tracts Conc'!$AZ$3:$BS$94,P$1,FALSE)</f>
        <v>699.80819845496842</v>
      </c>
      <c r="Q116">
        <f>VLOOKUP($C116,'2000 Seattle Tracts Conc'!$AZ$3:$BS$94,Q$1,FALSE)</f>
        <v>2013.6774713155955</v>
      </c>
      <c r="R116">
        <f>VLOOKUP($C116,'2000 Seattle Tracts Conc'!$AZ$3:$BS$94,R$1,FALSE)</f>
        <v>39.508217186654257</v>
      </c>
      <c r="S116">
        <f>VLOOKUP($C116,'2000 Seattle Tracts Conc'!$AZ$3:$BS$94,S$1,FALSE)</f>
        <v>41.453771343269949</v>
      </c>
      <c r="T116">
        <f>VLOOKUP($C116,'2000 Seattle Tracts Conc'!$AZ$3:$BS$94,T$1,FALSE)</f>
        <v>72.128610324502091</v>
      </c>
      <c r="U116">
        <f>VLOOKUP($C116,'2000 Seattle Tracts Conc'!$AZ$3:$BS$94,U$1,FALSE)</f>
        <v>177.02794717614219</v>
      </c>
      <c r="V116">
        <f>VLOOKUP($C116,'2000 Seattle Tracts Conc'!$AZ$3:$BS$94,V$1,FALSE)</f>
        <v>266.42919572692955</v>
      </c>
      <c r="W116">
        <f>VLOOKUP($C116,'2000 Seattle Tracts Conc'!$AZ$3:$BS$94,W$1,FALSE)</f>
        <v>262.75768152647294</v>
      </c>
      <c r="X116" s="4">
        <f>VLOOKUP($C116,'2017 Seattle Tracts Conc'!$BA$3:$BT$95,X$1-3,FALSE)</f>
        <v>7411.7856754964787</v>
      </c>
      <c r="Y116">
        <f>VLOOKUP($C116,'2017 Seattle Tracts Conc'!$BA$3:$BT$95,Y$1-3,FALSE)</f>
        <v>4273.293919746342</v>
      </c>
      <c r="Z116">
        <f>VLOOKUP($C116,'2017 Seattle Tracts Conc'!$BA$3:$BT$95,Z$1-3,FALSE)</f>
        <v>3138.4917557501376</v>
      </c>
      <c r="AA116">
        <f>VLOOKUP($C116,'2017 Seattle Tracts Conc'!$BA$3:$BT$95,AA$1-3,FALSE)</f>
        <v>1705.4541425146601</v>
      </c>
      <c r="AB116">
        <f>VLOOKUP($C116,'2017 Seattle Tracts Conc'!$BA$3:$BT$95,AB$1-3,FALSE)</f>
        <v>153.4732456705905</v>
      </c>
      <c r="AC116">
        <f>VLOOKUP($C116,'2017 Seattle Tracts Conc'!$BA$3:$BT$95,AC$1-3,FALSE)</f>
        <v>120.95844481917446</v>
      </c>
      <c r="AD116">
        <f>VLOOKUP($C116,'2017 Seattle Tracts Conc'!$BA$3:$BT$95,AD$1-3,FALSE)</f>
        <v>39.177689944089018</v>
      </c>
      <c r="AE116">
        <f>VLOOKUP($C116,'2017 Seattle Tracts Conc'!$BA$3:$BT$95,AE$1-3,FALSE)</f>
        <v>1084.5777759734085</v>
      </c>
      <c r="AF116">
        <f>VLOOKUP($C116,'2017 Seattle Tracts Conc'!$BA$3:$BT$95,AF$1-3,FALSE)</f>
        <v>543.20584422363345</v>
      </c>
      <c r="AG116">
        <f>VLOOKUP($C116,'2017 Seattle Tracts Conc'!$BA$3:$BT$95,AG$1-3,FALSE)</f>
        <v>44.710429052234346</v>
      </c>
      <c r="AH116">
        <f>VLOOKUP($C116,'2017 Seattle Tracts Conc'!$BA$3:$BT$95,AH$1-3,FALSE)</f>
        <v>7.0060318409153357</v>
      </c>
      <c r="AI116">
        <f>VLOOKUP($C116,'2017 Seattle Tracts Conc'!$BA$3:$BT$95,AI$1-3,FALSE)</f>
        <v>659.80908172153727</v>
      </c>
      <c r="AJ116">
        <f>VLOOKUP($C116,'2017 Seattle Tracts Conc'!$BA$3:$BT$95,AJ$1-3,FALSE)</f>
        <v>2133.579620275731</v>
      </c>
      <c r="AK116">
        <f>VLOOKUP($C116,'2017 Seattle Tracts Conc'!$BA$3:$BT$95,AK$1-3,FALSE)</f>
        <v>17.473215896338409</v>
      </c>
      <c r="AL116">
        <f>VLOOKUP($C116,'2017 Seattle Tracts Conc'!$BA$3:$BT$95,AL$1-3,FALSE)</f>
        <v>32.44484062974783</v>
      </c>
      <c r="AM116">
        <f>VLOOKUP($C116,'2017 Seattle Tracts Conc'!$BA$3:$BT$95,AM$1-3,FALSE)</f>
        <v>134.70262383999309</v>
      </c>
      <c r="AN116">
        <f>VLOOKUP($C116,'2017 Seattle Tracts Conc'!$BA$3:$BT$95,AN$1-3,FALSE)</f>
        <v>146.94911127122967</v>
      </c>
      <c r="AO116">
        <f>VLOOKUP($C116,'2017 Seattle Tracts Conc'!$BA$3:$BT$95,AO$1-3,FALSE)</f>
        <v>505.60820592899535</v>
      </c>
      <c r="AP116">
        <f>VLOOKUP($C116,'2017 Seattle Tracts Conc'!$BA$3:$BT$95,AP$1-3,FALSE)</f>
        <v>82.655371894200925</v>
      </c>
    </row>
    <row r="117" spans="1:42" x14ac:dyDescent="0.25">
      <c r="A117">
        <v>192</v>
      </c>
      <c r="B117" t="s">
        <v>2495</v>
      </c>
      <c r="C117" t="s">
        <v>185</v>
      </c>
      <c r="D117" t="s">
        <v>184</v>
      </c>
      <c r="E117">
        <f>VLOOKUP($C117,'2000 Seattle Tracts Conc'!$AZ$3:$BS$94,E$1,FALSE)</f>
        <v>5295.3469839200297</v>
      </c>
      <c r="F117">
        <f>VLOOKUP($C117,'2000 Seattle Tracts Conc'!$AZ$3:$BS$94,F$1,FALSE)</f>
        <v>3557.8688705885838</v>
      </c>
      <c r="G117">
        <f>VLOOKUP($C117,'2000 Seattle Tracts Conc'!$AZ$3:$BS$94,G$1,FALSE)</f>
        <v>1737.4781133314459</v>
      </c>
      <c r="H117">
        <f>VLOOKUP($C117,'2000 Seattle Tracts Conc'!$AZ$3:$BS$94,H$1,FALSE)</f>
        <v>926.54936907762874</v>
      </c>
      <c r="I117">
        <f>VLOOKUP($C117,'2000 Seattle Tracts Conc'!$AZ$3:$BS$94,I$1,FALSE)</f>
        <v>63.076498842992009</v>
      </c>
      <c r="J117">
        <f>VLOOKUP($C117,'2000 Seattle Tracts Conc'!$AZ$3:$BS$94,J$1,FALSE)</f>
        <v>28.982347194368408</v>
      </c>
      <c r="K117">
        <f>VLOOKUP($C117,'2000 Seattle Tracts Conc'!$AZ$3:$BS$94,K$1,FALSE)</f>
        <v>64.353523418301194</v>
      </c>
      <c r="L117">
        <f>VLOOKUP($C117,'2000 Seattle Tracts Conc'!$AZ$3:$BS$94,L$1,FALSE)</f>
        <v>1618.9971925351599</v>
      </c>
      <c r="M117">
        <f>VLOOKUP($C117,'2000 Seattle Tracts Conc'!$AZ$3:$BS$94,M$1,FALSE)</f>
        <v>100.7854253451813</v>
      </c>
      <c r="N117">
        <f>VLOOKUP($C117,'2000 Seattle Tracts Conc'!$AZ$3:$BS$94,N$1,FALSE)</f>
        <v>63.033140732934996</v>
      </c>
      <c r="O117">
        <f>VLOOKUP($C117,'2000 Seattle Tracts Conc'!$AZ$3:$BS$94,O$1,FALSE)</f>
        <v>7.2575713132650864E-4</v>
      </c>
      <c r="P117">
        <f>VLOOKUP($C117,'2000 Seattle Tracts Conc'!$AZ$3:$BS$94,P$1,FALSE)</f>
        <v>469.34694589389602</v>
      </c>
      <c r="Q117">
        <f>VLOOKUP($C117,'2000 Seattle Tracts Conc'!$AZ$3:$BS$94,Q$1,FALSE)</f>
        <v>1106.588373918509</v>
      </c>
      <c r="R117">
        <f>VLOOKUP($C117,'2000 Seattle Tracts Conc'!$AZ$3:$BS$94,R$1,FALSE)</f>
        <v>46.66577101270164</v>
      </c>
      <c r="S117">
        <f>VLOOKUP($C117,'2000 Seattle Tracts Conc'!$AZ$3:$BS$94,S$1,FALSE)</f>
        <v>52.264066839614898</v>
      </c>
      <c r="T117">
        <f>VLOOKUP($C117,'2000 Seattle Tracts Conc'!$AZ$3:$BS$94,T$1,FALSE)</f>
        <v>69.17453118687429</v>
      </c>
      <c r="U117">
        <f>VLOOKUP($C117,'2000 Seattle Tracts Conc'!$AZ$3:$BS$94,U$1,FALSE)</f>
        <v>143.5245430758643</v>
      </c>
      <c r="V117">
        <f>VLOOKUP($C117,'2000 Seattle Tracts Conc'!$AZ$3:$BS$94,V$1,FALSE)</f>
        <v>335.11957295501992</v>
      </c>
      <c r="W117">
        <f>VLOOKUP($C117,'2000 Seattle Tracts Conc'!$AZ$3:$BS$94,W$1,FALSE)</f>
        <v>206.88495613385189</v>
      </c>
      <c r="X117" s="4">
        <f>VLOOKUP($C117,'2017 Seattle Tracts Conc'!$BA$3:$BT$95,X$1-3,FALSE)</f>
        <v>5932.020724178451</v>
      </c>
      <c r="Y117">
        <f>VLOOKUP($C117,'2017 Seattle Tracts Conc'!$BA$3:$BT$95,Y$1-3,FALSE)</f>
        <v>3539.7064903562809</v>
      </c>
      <c r="Z117">
        <f>VLOOKUP($C117,'2017 Seattle Tracts Conc'!$BA$3:$BT$95,Z$1-3,FALSE)</f>
        <v>2392.3142338221696</v>
      </c>
      <c r="AA117">
        <f>VLOOKUP($C117,'2017 Seattle Tracts Conc'!$BA$3:$BT$95,AA$1-3,FALSE)</f>
        <v>1096.9888756884814</v>
      </c>
      <c r="AB117">
        <f>VLOOKUP($C117,'2017 Seattle Tracts Conc'!$BA$3:$BT$95,AB$1-3,FALSE)</f>
        <v>44.068310136304731</v>
      </c>
      <c r="AC117">
        <f>VLOOKUP($C117,'2017 Seattle Tracts Conc'!$BA$3:$BT$95,AC$1-3,FALSE)</f>
        <v>194.47263099112502</v>
      </c>
      <c r="AD117">
        <f>VLOOKUP($C117,'2017 Seattle Tracts Conc'!$BA$3:$BT$95,AD$1-3,FALSE)</f>
        <v>105.72292100267906</v>
      </c>
      <c r="AE117">
        <f>VLOOKUP($C117,'2017 Seattle Tracts Conc'!$BA$3:$BT$95,AE$1-3,FALSE)</f>
        <v>1116.4389052092336</v>
      </c>
      <c r="AF117">
        <f>VLOOKUP($C117,'2017 Seattle Tracts Conc'!$BA$3:$BT$95,AF$1-3,FALSE)</f>
        <v>689.60845311738296</v>
      </c>
      <c r="AG117">
        <f>VLOOKUP($C117,'2017 Seattle Tracts Conc'!$BA$3:$BT$95,AG$1-3,FALSE)</f>
        <v>23.723000370378376</v>
      </c>
      <c r="AH117">
        <f>VLOOKUP($C117,'2017 Seattle Tracts Conc'!$BA$3:$BT$95,AH$1-3,FALSE)</f>
        <v>11.505267217613588</v>
      </c>
      <c r="AI117">
        <f>VLOOKUP($C117,'2017 Seattle Tracts Conc'!$BA$3:$BT$95,AI$1-3,FALSE)</f>
        <v>362.13806998756758</v>
      </c>
      <c r="AJ117">
        <f>VLOOKUP($C117,'2017 Seattle Tracts Conc'!$BA$3:$BT$95,AJ$1-3,FALSE)</f>
        <v>1156.4905325711302</v>
      </c>
      <c r="AK117">
        <f>VLOOKUP($C117,'2017 Seattle Tracts Conc'!$BA$3:$BT$95,AK$1-3,FALSE)</f>
        <v>10.021944444297995</v>
      </c>
      <c r="AL117">
        <f>VLOOKUP($C117,'2017 Seattle Tracts Conc'!$BA$3:$BT$95,AL$1-3,FALSE)</f>
        <v>11.871449758427969</v>
      </c>
      <c r="AM117">
        <f>VLOOKUP($C117,'2017 Seattle Tracts Conc'!$BA$3:$BT$95,AM$1-3,FALSE)</f>
        <v>112.68278637931691</v>
      </c>
      <c r="AN117">
        <f>VLOOKUP($C117,'2017 Seattle Tracts Conc'!$BA$3:$BT$95,AN$1-3,FALSE)</f>
        <v>327.38741505807383</v>
      </c>
      <c r="AO117">
        <f>VLOOKUP($C117,'2017 Seattle Tracts Conc'!$BA$3:$BT$95,AO$1-3,FALSE)</f>
        <v>623.24027728588032</v>
      </c>
      <c r="AP117">
        <f>VLOOKUP($C117,'2017 Seattle Tracts Conc'!$BA$3:$BT$95,AP$1-3,FALSE)</f>
        <v>45.659884960557605</v>
      </c>
    </row>
    <row r="118" spans="1:42" x14ac:dyDescent="0.25">
      <c r="A118">
        <v>194</v>
      </c>
      <c r="B118" t="s">
        <v>2495</v>
      </c>
      <c r="C118" t="s">
        <v>186</v>
      </c>
      <c r="D118" t="s">
        <v>184</v>
      </c>
      <c r="E118">
        <f>VLOOKUP($C118,'2000 Seattle Tracts Conc'!$AZ$3:$BS$94,E$1,FALSE)</f>
        <v>7147.9461774291121</v>
      </c>
      <c r="F118">
        <f>VLOOKUP($C118,'2000 Seattle Tracts Conc'!$AZ$3:$BS$94,F$1,FALSE)</f>
        <v>5061.2926861540645</v>
      </c>
      <c r="G118">
        <f>VLOOKUP($C118,'2000 Seattle Tracts Conc'!$AZ$3:$BS$94,G$1,FALSE)</f>
        <v>2086.6534912750476</v>
      </c>
      <c r="H118">
        <f>VLOOKUP($C118,'2000 Seattle Tracts Conc'!$AZ$3:$BS$94,H$1,FALSE)</f>
        <v>1518.936087699768</v>
      </c>
      <c r="I118">
        <f>VLOOKUP($C118,'2000 Seattle Tracts Conc'!$AZ$3:$BS$94,I$1,FALSE)</f>
        <v>107.4166718572872</v>
      </c>
      <c r="J118">
        <f>VLOOKUP($C118,'2000 Seattle Tracts Conc'!$AZ$3:$BS$94,J$1,FALSE)</f>
        <v>25.826729325935375</v>
      </c>
      <c r="K118">
        <f>VLOOKUP($C118,'2000 Seattle Tracts Conc'!$AZ$3:$BS$94,K$1,FALSE)</f>
        <v>57.251644970534656</v>
      </c>
      <c r="L118">
        <f>VLOOKUP($C118,'2000 Seattle Tracts Conc'!$AZ$3:$BS$94,L$1,FALSE)</f>
        <v>2056.2641466645177</v>
      </c>
      <c r="M118">
        <f>VLOOKUP($C118,'2000 Seattle Tracts Conc'!$AZ$3:$BS$94,M$1,FALSE)</f>
        <v>136.82339872405254</v>
      </c>
      <c r="N118">
        <f>VLOOKUP($C118,'2000 Seattle Tracts Conc'!$AZ$3:$BS$94,N$1,FALSE)</f>
        <v>48.067241137674884</v>
      </c>
      <c r="O118">
        <f>VLOOKUP($C118,'2000 Seattle Tracts Conc'!$AZ$3:$BS$94,O$1,FALSE)</f>
        <v>0</v>
      </c>
      <c r="P118">
        <f>VLOOKUP($C118,'2000 Seattle Tracts Conc'!$AZ$3:$BS$94,P$1,FALSE)</f>
        <v>819.08967370418441</v>
      </c>
      <c r="Q118">
        <f>VLOOKUP($C118,'2000 Seattle Tracts Conc'!$AZ$3:$BS$94,Q$1,FALSE)</f>
        <v>1494.7451318881153</v>
      </c>
      <c r="R118">
        <f>VLOOKUP($C118,'2000 Seattle Tracts Conc'!$AZ$3:$BS$94,R$1,FALSE)</f>
        <v>36.397752243152638</v>
      </c>
      <c r="S118">
        <f>VLOOKUP($C118,'2000 Seattle Tracts Conc'!$AZ$3:$BS$94,S$1,FALSE)</f>
        <v>45.632025610388922</v>
      </c>
      <c r="T118">
        <f>VLOOKUP($C118,'2000 Seattle Tracts Conc'!$AZ$3:$BS$94,T$1,FALSE)</f>
        <v>73.04426954765583</v>
      </c>
      <c r="U118">
        <f>VLOOKUP($C118,'2000 Seattle Tracts Conc'!$AZ$3:$BS$94,U$1,FALSE)</f>
        <v>97.772830473537482</v>
      </c>
      <c r="V118">
        <f>VLOOKUP($C118,'2000 Seattle Tracts Conc'!$AZ$3:$BS$94,V$1,FALSE)</f>
        <v>483.66678583117618</v>
      </c>
      <c r="W118">
        <f>VLOOKUP($C118,'2000 Seattle Tracts Conc'!$AZ$3:$BS$94,W$1,FALSE)</f>
        <v>147.01178775113135</v>
      </c>
      <c r="X118" s="4">
        <f>VLOOKUP($C118,'2017 Seattle Tracts Conc'!$BA$3:$BT$95,X$1-3,FALSE)</f>
        <v>7774.3599204891889</v>
      </c>
      <c r="Y118">
        <f>VLOOKUP($C118,'2017 Seattle Tracts Conc'!$BA$3:$BT$95,Y$1-3,FALSE)</f>
        <v>5114.0734163011666</v>
      </c>
      <c r="Z118">
        <f>VLOOKUP($C118,'2017 Seattle Tracts Conc'!$BA$3:$BT$95,Z$1-3,FALSE)</f>
        <v>2660.2865041880227</v>
      </c>
      <c r="AA118">
        <f>VLOOKUP($C118,'2017 Seattle Tracts Conc'!$BA$3:$BT$95,AA$1-3,FALSE)</f>
        <v>1499.9075554518604</v>
      </c>
      <c r="AB118">
        <f>VLOOKUP($C118,'2017 Seattle Tracts Conc'!$BA$3:$BT$95,AB$1-3,FALSE)</f>
        <v>92.716718491804542</v>
      </c>
      <c r="AC118">
        <f>VLOOKUP($C118,'2017 Seattle Tracts Conc'!$BA$3:$BT$95,AC$1-3,FALSE)</f>
        <v>248.14025532126834</v>
      </c>
      <c r="AD118">
        <f>VLOOKUP($C118,'2017 Seattle Tracts Conc'!$BA$3:$BT$95,AD$1-3,FALSE)</f>
        <v>139.93985432508708</v>
      </c>
      <c r="AE118">
        <f>VLOOKUP($C118,'2017 Seattle Tracts Conc'!$BA$3:$BT$95,AE$1-3,FALSE)</f>
        <v>1600.4838353127261</v>
      </c>
      <c r="AF118">
        <f>VLOOKUP($C118,'2017 Seattle Tracts Conc'!$BA$3:$BT$95,AF$1-3,FALSE)</f>
        <v>507.0776635877894</v>
      </c>
      <c r="AG118">
        <f>VLOOKUP($C118,'2017 Seattle Tracts Conc'!$BA$3:$BT$95,AG$1-3,FALSE)</f>
        <v>67.02503279730513</v>
      </c>
      <c r="AH118">
        <f>VLOOKUP($C118,'2017 Seattle Tracts Conc'!$BA$3:$BT$95,AH$1-3,FALSE)</f>
        <v>6.4351262072435018</v>
      </c>
      <c r="AI118">
        <f>VLOOKUP($C118,'2017 Seattle Tracts Conc'!$BA$3:$BT$95,AI$1-3,FALSE)</f>
        <v>828.24050077343134</v>
      </c>
      <c r="AJ118">
        <f>VLOOKUP($C118,'2017 Seattle Tracts Conc'!$BA$3:$BT$95,AJ$1-3,FALSE)</f>
        <v>1650.383534102501</v>
      </c>
      <c r="AK118">
        <f>VLOOKUP($C118,'2017 Seattle Tracts Conc'!$BA$3:$BT$95,AK$1-3,FALSE)</f>
        <v>141.99950801877162</v>
      </c>
      <c r="AL118">
        <f>VLOOKUP($C118,'2017 Seattle Tracts Conc'!$BA$3:$BT$95,AL$1-3,FALSE)</f>
        <v>37.508679810614737</v>
      </c>
      <c r="AM118">
        <f>VLOOKUP($C118,'2017 Seattle Tracts Conc'!$BA$3:$BT$95,AM$1-3,FALSE)</f>
        <v>96.859808704087172</v>
      </c>
      <c r="AN118">
        <f>VLOOKUP($C118,'2017 Seattle Tracts Conc'!$BA$3:$BT$95,AN$1-3,FALSE)</f>
        <v>188.59208577849267</v>
      </c>
      <c r="AO118">
        <f>VLOOKUP($C118,'2017 Seattle Tracts Conc'!$BA$3:$BT$95,AO$1-3,FALSE)</f>
        <v>631.41691992171639</v>
      </c>
      <c r="AP118">
        <f>VLOOKUP($C118,'2017 Seattle Tracts Conc'!$BA$3:$BT$95,AP$1-3,FALSE)</f>
        <v>37.63284188448975</v>
      </c>
    </row>
    <row r="119" spans="1:42" x14ac:dyDescent="0.25">
      <c r="A119">
        <v>195</v>
      </c>
      <c r="B119" t="s">
        <v>2495</v>
      </c>
      <c r="C119" t="s">
        <v>187</v>
      </c>
      <c r="D119" t="s">
        <v>184</v>
      </c>
      <c r="E119">
        <f>VLOOKUP($C119,'2000 Seattle Tracts Conc'!$AZ$3:$BS$94,E$1,FALSE)</f>
        <v>3674.8476798153997</v>
      </c>
      <c r="F119">
        <f>VLOOKUP($C119,'2000 Seattle Tracts Conc'!$AZ$3:$BS$94,F$1,FALSE)</f>
        <v>2844.0170145980933</v>
      </c>
      <c r="G119">
        <f>VLOOKUP($C119,'2000 Seattle Tracts Conc'!$AZ$3:$BS$94,G$1,FALSE)</f>
        <v>830.83066521730655</v>
      </c>
      <c r="H119">
        <f>VLOOKUP($C119,'2000 Seattle Tracts Conc'!$AZ$3:$BS$94,H$1,FALSE)</f>
        <v>983.75687783914555</v>
      </c>
      <c r="I119">
        <f>VLOOKUP($C119,'2000 Seattle Tracts Conc'!$AZ$3:$BS$94,I$1,FALSE)</f>
        <v>71.33135420951551</v>
      </c>
      <c r="J119">
        <f>VLOOKUP($C119,'2000 Seattle Tracts Conc'!$AZ$3:$BS$94,J$1,FALSE)</f>
        <v>6.6712777318251915</v>
      </c>
      <c r="K119">
        <f>VLOOKUP($C119,'2000 Seattle Tracts Conc'!$AZ$3:$BS$94,K$1,FALSE)</f>
        <v>9.7503289926675869</v>
      </c>
      <c r="L119">
        <f>VLOOKUP($C119,'2000 Seattle Tracts Conc'!$AZ$3:$BS$94,L$1,FALSE)</f>
        <v>1044.3115526357126</v>
      </c>
      <c r="M119">
        <f>VLOOKUP($C119,'2000 Seattle Tracts Conc'!$AZ$3:$BS$94,M$1,FALSE)</f>
        <v>72.357704629796302</v>
      </c>
      <c r="N119">
        <f>VLOOKUP($C119,'2000 Seattle Tracts Conc'!$AZ$3:$BS$94,N$1,FALSE)</f>
        <v>13.342555463650383</v>
      </c>
      <c r="O119">
        <f>VLOOKUP($C119,'2000 Seattle Tracts Conc'!$AZ$3:$BS$94,O$1,FALSE)</f>
        <v>0</v>
      </c>
      <c r="P119">
        <f>VLOOKUP($C119,'2000 Seattle Tracts Conc'!$AZ$3:$BS$94,P$1,FALSE)</f>
        <v>466.98944122776339</v>
      </c>
      <c r="Q119">
        <f>VLOOKUP($C119,'2000 Seattle Tracts Conc'!$AZ$3:$BS$94,Q$1,FALSE)</f>
        <v>647.62711519718403</v>
      </c>
      <c r="R119">
        <f>VLOOKUP($C119,'2000 Seattle Tracts Conc'!$AZ$3:$BS$94,R$1,FALSE)</f>
        <v>11.289854623088786</v>
      </c>
      <c r="S119">
        <f>VLOOKUP($C119,'2000 Seattle Tracts Conc'!$AZ$3:$BS$94,S$1,FALSE)</f>
        <v>11.289854623088786</v>
      </c>
      <c r="T119">
        <f>VLOOKUP($C119,'2000 Seattle Tracts Conc'!$AZ$3:$BS$94,T$1,FALSE)</f>
        <v>24.632410086739171</v>
      </c>
      <c r="U119">
        <f>VLOOKUP($C119,'2000 Seattle Tracts Conc'!$AZ$3:$BS$94,U$1,FALSE)</f>
        <v>0</v>
      </c>
      <c r="V119">
        <f>VLOOKUP($C119,'2000 Seattle Tracts Conc'!$AZ$3:$BS$94,V$1,FALSE)</f>
        <v>293.02304499016805</v>
      </c>
      <c r="W119">
        <f>VLOOKUP($C119,'2000 Seattle Tracts Conc'!$AZ$3:$BS$94,W$1,FALSE)</f>
        <v>18.474307565054378</v>
      </c>
      <c r="X119" s="4">
        <f>VLOOKUP($C119,'2017 Seattle Tracts Conc'!$BA$3:$BT$95,X$1-3,FALSE)</f>
        <v>3965.3473331036021</v>
      </c>
      <c r="Y119">
        <f>VLOOKUP($C119,'2017 Seattle Tracts Conc'!$BA$3:$BT$95,Y$1-3,FALSE)</f>
        <v>2916.7251411587376</v>
      </c>
      <c r="Z119">
        <f>VLOOKUP($C119,'2017 Seattle Tracts Conc'!$BA$3:$BT$95,Z$1-3,FALSE)</f>
        <v>1048.6221919448647</v>
      </c>
      <c r="AA119">
        <f>VLOOKUP($C119,'2017 Seattle Tracts Conc'!$BA$3:$BT$95,AA$1-3,FALSE)</f>
        <v>875.33071970708704</v>
      </c>
      <c r="AB119">
        <f>VLOOKUP($C119,'2017 Seattle Tracts Conc'!$BA$3:$BT$95,AB$1-3,FALSE)</f>
        <v>75.162566271807123</v>
      </c>
      <c r="AC119">
        <f>VLOOKUP($C119,'2017 Seattle Tracts Conc'!$BA$3:$BT$95,AC$1-3,FALSE)</f>
        <v>132.0564532414389</v>
      </c>
      <c r="AD119">
        <f>VLOOKUP($C119,'2017 Seattle Tracts Conc'!$BA$3:$BT$95,AD$1-3,FALSE)</f>
        <v>66.28920775360767</v>
      </c>
      <c r="AE119">
        <f>VLOOKUP($C119,'2017 Seattle Tracts Conc'!$BA$3:$BT$95,AE$1-3,FALSE)</f>
        <v>909.78022924833203</v>
      </c>
      <c r="AF119">
        <f>VLOOKUP($C119,'2017 Seattle Tracts Conc'!$BA$3:$BT$95,AF$1-3,FALSE)</f>
        <v>54.284075640749585</v>
      </c>
      <c r="AG119">
        <f>VLOOKUP($C119,'2017 Seattle Tracts Conc'!$BA$3:$BT$95,AG$1-3,FALSE)</f>
        <v>55.328000172302467</v>
      </c>
      <c r="AH119">
        <f>VLOOKUP($C119,'2017 Seattle Tracts Conc'!$BA$3:$BT$95,AH$1-3,FALSE)</f>
        <v>0</v>
      </c>
      <c r="AI119">
        <f>VLOOKUP($C119,'2017 Seattle Tracts Conc'!$BA$3:$BT$95,AI$1-3,FALSE)</f>
        <v>593.47109618781042</v>
      </c>
      <c r="AJ119">
        <f>VLOOKUP($C119,'2017 Seattle Tracts Conc'!$BA$3:$BT$95,AJ$1-3,FALSE)</f>
        <v>840.35924790006572</v>
      </c>
      <c r="AK119">
        <f>VLOOKUP($C119,'2017 Seattle Tracts Conc'!$BA$3:$BT$95,AK$1-3,FALSE)</f>
        <v>134.14430230454465</v>
      </c>
      <c r="AL119">
        <f>VLOOKUP($C119,'2017 Seattle Tracts Conc'!$BA$3:$BT$95,AL$1-3,FALSE)</f>
        <v>12.527094378634519</v>
      </c>
      <c r="AM119">
        <f>VLOOKUP($C119,'2017 Seattle Tracts Conc'!$BA$3:$BT$95,AM$1-3,FALSE)</f>
        <v>24.532226491492601</v>
      </c>
      <c r="AN119">
        <f>VLOOKUP($C119,'2017 Seattle Tracts Conc'!$BA$3:$BT$95,AN$1-3,FALSE)</f>
        <v>0</v>
      </c>
      <c r="AO119">
        <f>VLOOKUP($C119,'2017 Seattle Tracts Conc'!$BA$3:$BT$95,AO$1-3,FALSE)</f>
        <v>192.08211380572931</v>
      </c>
      <c r="AP119">
        <f>VLOOKUP($C119,'2017 Seattle Tracts Conc'!$BA$3:$BT$95,AP$1-3,FALSE)</f>
        <v>0</v>
      </c>
    </row>
    <row r="120" spans="1:42" x14ac:dyDescent="0.25">
      <c r="A120">
        <v>170</v>
      </c>
      <c r="B120" t="s">
        <v>2495</v>
      </c>
      <c r="C120" t="s">
        <v>188</v>
      </c>
      <c r="D120" t="s">
        <v>184</v>
      </c>
      <c r="E120">
        <f>VLOOKUP($C120,'2000 Seattle Tracts Conc'!$AZ$3:$BS$94,E$1,FALSE)</f>
        <v>6151.8115973353852</v>
      </c>
      <c r="F120">
        <f>VLOOKUP($C120,'2000 Seattle Tracts Conc'!$AZ$3:$BS$94,F$1,FALSE)</f>
        <v>4919.7579787641671</v>
      </c>
      <c r="G120">
        <f>VLOOKUP($C120,'2000 Seattle Tracts Conc'!$AZ$3:$BS$94,G$1,FALSE)</f>
        <v>1232.053618571219</v>
      </c>
      <c r="H120">
        <f>VLOOKUP($C120,'2000 Seattle Tracts Conc'!$AZ$3:$BS$94,H$1,FALSE)</f>
        <v>2726.5805979211636</v>
      </c>
      <c r="I120">
        <f>VLOOKUP($C120,'2000 Seattle Tracts Conc'!$AZ$3:$BS$94,I$1,FALSE)</f>
        <v>140.79647847400918</v>
      </c>
      <c r="J120">
        <f>VLOOKUP($C120,'2000 Seattle Tracts Conc'!$AZ$3:$BS$94,J$1,FALSE)</f>
        <v>53.191198778551048</v>
      </c>
      <c r="K120">
        <f>VLOOKUP($C120,'2000 Seattle Tracts Conc'!$AZ$3:$BS$94,K$1,FALSE)</f>
        <v>42.628795377599346</v>
      </c>
      <c r="L120">
        <f>VLOOKUP($C120,'2000 Seattle Tracts Conc'!$AZ$3:$BS$94,L$1,FALSE)</f>
        <v>1408.8964369338728</v>
      </c>
      <c r="M120">
        <f>VLOOKUP($C120,'2000 Seattle Tracts Conc'!$AZ$3:$BS$94,M$1,FALSE)</f>
        <v>113.52269019645372</v>
      </c>
      <c r="N120">
        <f>VLOOKUP($C120,'2000 Seattle Tracts Conc'!$AZ$3:$BS$94,N$1,FALSE)</f>
        <v>55.233180442381148</v>
      </c>
      <c r="O120">
        <f>VLOOKUP($C120,'2000 Seattle Tracts Conc'!$AZ$3:$BS$94,O$1,FALSE)</f>
        <v>0</v>
      </c>
      <c r="P120">
        <f>VLOOKUP($C120,'2000 Seattle Tracts Conc'!$AZ$3:$BS$94,P$1,FALSE)</f>
        <v>347.44310413686333</v>
      </c>
      <c r="Q120">
        <f>VLOOKUP($C120,'2000 Seattle Tracts Conc'!$AZ$3:$BS$94,Q$1,FALSE)</f>
        <v>840.93487291227063</v>
      </c>
      <c r="R120">
        <f>VLOOKUP($C120,'2000 Seattle Tracts Conc'!$AZ$3:$BS$94,R$1,FALSE)</f>
        <v>4.6124109020665243</v>
      </c>
      <c r="S120">
        <f>VLOOKUP($C120,'2000 Seattle Tracts Conc'!$AZ$3:$BS$94,S$1,FALSE)</f>
        <v>1.843681268069389</v>
      </c>
      <c r="T120">
        <f>VLOOKUP($C120,'2000 Seattle Tracts Conc'!$AZ$3:$BS$94,T$1,FALSE)</f>
        <v>56.718030530953243</v>
      </c>
      <c r="U120">
        <f>VLOOKUP($C120,'2000 Seattle Tracts Conc'!$AZ$3:$BS$94,U$1,FALSE)</f>
        <v>33.813096309094824</v>
      </c>
      <c r="V120">
        <f>VLOOKUP($C120,'2000 Seattle Tracts Conc'!$AZ$3:$BS$94,V$1,FALSE)</f>
        <v>267.08301911831535</v>
      </c>
      <c r="W120">
        <f>VLOOKUP($C120,'2000 Seattle Tracts Conc'!$AZ$3:$BS$94,W$1,FALSE)</f>
        <v>58.514004033721591</v>
      </c>
      <c r="X120" s="4">
        <f>VLOOKUP($C120,'2017 Seattle Tracts Conc'!$BA$3:$BT$95,X$1-3,FALSE)</f>
        <v>7470.3338606396774</v>
      </c>
      <c r="Y120">
        <f>VLOOKUP($C120,'2017 Seattle Tracts Conc'!$BA$3:$BT$95,Y$1-3,FALSE)</f>
        <v>6163.8066543055102</v>
      </c>
      <c r="Z120">
        <f>VLOOKUP($C120,'2017 Seattle Tracts Conc'!$BA$3:$BT$95,Z$1-3,FALSE)</f>
        <v>1306.5272063341681</v>
      </c>
      <c r="AA120">
        <f>VLOOKUP($C120,'2017 Seattle Tracts Conc'!$BA$3:$BT$95,AA$1-3,FALSE)</f>
        <v>3858.4708747538853</v>
      </c>
      <c r="AB120">
        <f>VLOOKUP($C120,'2017 Seattle Tracts Conc'!$BA$3:$BT$95,AB$1-3,FALSE)</f>
        <v>229.43705792552038</v>
      </c>
      <c r="AC120">
        <f>VLOOKUP($C120,'2017 Seattle Tracts Conc'!$BA$3:$BT$95,AC$1-3,FALSE)</f>
        <v>101.18932385710863</v>
      </c>
      <c r="AD120">
        <f>VLOOKUP($C120,'2017 Seattle Tracts Conc'!$BA$3:$BT$95,AD$1-3,FALSE)</f>
        <v>41.872352365851192</v>
      </c>
      <c r="AE120">
        <f>VLOOKUP($C120,'2017 Seattle Tracts Conc'!$BA$3:$BT$95,AE$1-3,FALSE)</f>
        <v>1406.6337976438376</v>
      </c>
      <c r="AF120">
        <f>VLOOKUP($C120,'2017 Seattle Tracts Conc'!$BA$3:$BT$95,AF$1-3,FALSE)</f>
        <v>245.47034150983364</v>
      </c>
      <c r="AG120">
        <f>VLOOKUP($C120,'2017 Seattle Tracts Conc'!$BA$3:$BT$95,AG$1-3,FALSE)</f>
        <v>20.141060739961407</v>
      </c>
      <c r="AH120">
        <f>VLOOKUP($C120,'2017 Seattle Tracts Conc'!$BA$3:$BT$95,AH$1-3,FALSE)</f>
        <v>5.2998197631781265E-3</v>
      </c>
      <c r="AI120">
        <f>VLOOKUP($C120,'2017 Seattle Tracts Conc'!$BA$3:$BT$95,AI$1-3,FALSE)</f>
        <v>376.74080057989374</v>
      </c>
      <c r="AJ120">
        <f>VLOOKUP($C120,'2017 Seattle Tracts Conc'!$BA$3:$BT$95,AJ$1-3,FALSE)</f>
        <v>576.54869829715426</v>
      </c>
      <c r="AK120">
        <f>VLOOKUP($C120,'2017 Seattle Tracts Conc'!$BA$3:$BT$95,AK$1-3,FALSE)</f>
        <v>18.129691527596666</v>
      </c>
      <c r="AL120">
        <f>VLOOKUP($C120,'2017 Seattle Tracts Conc'!$BA$3:$BT$95,AL$1-3,FALSE)</f>
        <v>8.9112043101746341</v>
      </c>
      <c r="AM120">
        <f>VLOOKUP($C120,'2017 Seattle Tracts Conc'!$BA$3:$BT$95,AM$1-3,FALSE)</f>
        <v>43.879119103158438</v>
      </c>
      <c r="AN120">
        <f>VLOOKUP($C120,'2017 Seattle Tracts Conc'!$BA$3:$BT$95,AN$1-3,FALSE)</f>
        <v>54.439962084717521</v>
      </c>
      <c r="AO120">
        <f>VLOOKUP($C120,'2017 Seattle Tracts Conc'!$BA$3:$BT$95,AO$1-3,FALSE)</f>
        <v>338.62198610006772</v>
      </c>
      <c r="AP120">
        <f>VLOOKUP($C120,'2017 Seattle Tracts Conc'!$BA$3:$BT$95,AP$1-3,FALSE)</f>
        <v>149.84229002115342</v>
      </c>
    </row>
    <row r="121" spans="1:42" x14ac:dyDescent="0.25">
      <c r="A121">
        <v>179</v>
      </c>
      <c r="B121" t="s">
        <v>2495</v>
      </c>
      <c r="C121" t="s">
        <v>189</v>
      </c>
      <c r="D121" t="s">
        <v>184</v>
      </c>
      <c r="E121">
        <f>VLOOKUP($C121,'2000 Seattle Tracts Conc'!$AZ$3:$BS$94,E$1,FALSE)</f>
        <v>10415.484938984348</v>
      </c>
      <c r="F121">
        <f>VLOOKUP($C121,'2000 Seattle Tracts Conc'!$AZ$3:$BS$94,F$1,FALSE)</f>
        <v>7014.3139176491723</v>
      </c>
      <c r="G121">
        <f>VLOOKUP($C121,'2000 Seattle Tracts Conc'!$AZ$3:$BS$94,G$1,FALSE)</f>
        <v>3401.1710213351753</v>
      </c>
      <c r="H121">
        <f>VLOOKUP($C121,'2000 Seattle Tracts Conc'!$AZ$3:$BS$94,H$1,FALSE)</f>
        <v>2592.9549778765127</v>
      </c>
      <c r="I121">
        <f>VLOOKUP($C121,'2000 Seattle Tracts Conc'!$AZ$3:$BS$94,I$1,FALSE)</f>
        <v>140.0310922491571</v>
      </c>
      <c r="J121">
        <f>VLOOKUP($C121,'2000 Seattle Tracts Conc'!$AZ$3:$BS$94,J$1,FALSE)</f>
        <v>111.65767644754062</v>
      </c>
      <c r="K121">
        <f>VLOOKUP($C121,'2000 Seattle Tracts Conc'!$AZ$3:$BS$94,K$1,FALSE)</f>
        <v>142.49942284141162</v>
      </c>
      <c r="L121">
        <f>VLOOKUP($C121,'2000 Seattle Tracts Conc'!$AZ$3:$BS$94,L$1,FALSE)</f>
        <v>2589.4338990592369</v>
      </c>
      <c r="M121">
        <f>VLOOKUP($C121,'2000 Seattle Tracts Conc'!$AZ$3:$BS$94,M$1,FALSE)</f>
        <v>315.18617082469859</v>
      </c>
      <c r="N121">
        <f>VLOOKUP($C121,'2000 Seattle Tracts Conc'!$AZ$3:$BS$94,N$1,FALSE)</f>
        <v>44.198170460819917</v>
      </c>
      <c r="O121">
        <f>VLOOKUP($C121,'2000 Seattle Tracts Conc'!$AZ$3:$BS$94,O$1,FALSE)</f>
        <v>21.115724681337852</v>
      </c>
      <c r="P121">
        <f>VLOOKUP($C121,'2000 Seattle Tracts Conc'!$AZ$3:$BS$94,P$1,FALSE)</f>
        <v>949.56488379192183</v>
      </c>
      <c r="Q121">
        <f>VLOOKUP($C121,'2000 Seattle Tracts Conc'!$AZ$3:$BS$94,Q$1,FALSE)</f>
        <v>1949.7323421321591</v>
      </c>
      <c r="R121">
        <f>VLOOKUP($C121,'2000 Seattle Tracts Conc'!$AZ$3:$BS$94,R$1,FALSE)</f>
        <v>54.678939994443965</v>
      </c>
      <c r="S121">
        <f>VLOOKUP($C121,'2000 Seattle Tracts Conc'!$AZ$3:$BS$94,S$1,FALSE)</f>
        <v>126.84723797039328</v>
      </c>
      <c r="T121">
        <f>VLOOKUP($C121,'2000 Seattle Tracts Conc'!$AZ$3:$BS$94,T$1,FALSE)</f>
        <v>139.53508228378723</v>
      </c>
      <c r="U121">
        <f>VLOOKUP($C121,'2000 Seattle Tracts Conc'!$AZ$3:$BS$94,U$1,FALSE)</f>
        <v>325.33940906341809</v>
      </c>
      <c r="V121">
        <f>VLOOKUP($C121,'2000 Seattle Tracts Conc'!$AZ$3:$BS$94,V$1,FALSE)</f>
        <v>532.29028773490927</v>
      </c>
      <c r="W121">
        <f>VLOOKUP($C121,'2000 Seattle Tracts Conc'!$AZ$3:$BS$94,W$1,FALSE)</f>
        <v>380.41962157259894</v>
      </c>
      <c r="X121" s="4">
        <f>VLOOKUP($C121,'2017 Seattle Tracts Conc'!$BA$3:$BT$95,X$1-3,FALSE)</f>
        <v>11808.904061273601</v>
      </c>
      <c r="Y121">
        <f>VLOOKUP($C121,'2017 Seattle Tracts Conc'!$BA$3:$BT$95,Y$1-3,FALSE)</f>
        <v>8517.0822779630544</v>
      </c>
      <c r="Z121">
        <f>VLOOKUP($C121,'2017 Seattle Tracts Conc'!$BA$3:$BT$95,Z$1-3,FALSE)</f>
        <v>3291.8217833105468</v>
      </c>
      <c r="AA121">
        <f>VLOOKUP($C121,'2017 Seattle Tracts Conc'!$BA$3:$BT$95,AA$1-3,FALSE)</f>
        <v>4411.430232666291</v>
      </c>
      <c r="AB121">
        <f>VLOOKUP($C121,'2017 Seattle Tracts Conc'!$BA$3:$BT$95,AB$1-3,FALSE)</f>
        <v>247.61368203481385</v>
      </c>
      <c r="AC121">
        <f>VLOOKUP($C121,'2017 Seattle Tracts Conc'!$BA$3:$BT$95,AC$1-3,FALSE)</f>
        <v>238.53836899902115</v>
      </c>
      <c r="AD121">
        <f>VLOOKUP($C121,'2017 Seattle Tracts Conc'!$BA$3:$BT$95,AD$1-3,FALSE)</f>
        <v>187.95715203481186</v>
      </c>
      <c r="AE121">
        <f>VLOOKUP($C121,'2017 Seattle Tracts Conc'!$BA$3:$BT$95,AE$1-3,FALSE)</f>
        <v>2368.1000790525109</v>
      </c>
      <c r="AF121">
        <f>VLOOKUP($C121,'2017 Seattle Tracts Conc'!$BA$3:$BT$95,AF$1-3,FALSE)</f>
        <v>1063.4416646859199</v>
      </c>
      <c r="AG121">
        <f>VLOOKUP($C121,'2017 Seattle Tracts Conc'!$BA$3:$BT$95,AG$1-3,FALSE)</f>
        <v>66.28367474377491</v>
      </c>
      <c r="AH121">
        <f>VLOOKUP($C121,'2017 Seattle Tracts Conc'!$BA$3:$BT$95,AH$1-3,FALSE)</f>
        <v>13.988506304642675</v>
      </c>
      <c r="AI121">
        <f>VLOOKUP($C121,'2017 Seattle Tracts Conc'!$BA$3:$BT$95,AI$1-3,FALSE)</f>
        <v>780.57437750870508</v>
      </c>
      <c r="AJ121">
        <f>VLOOKUP($C121,'2017 Seattle Tracts Conc'!$BA$3:$BT$95,AJ$1-3,FALSE)</f>
        <v>1637.9107397458633</v>
      </c>
      <c r="AK121">
        <f>VLOOKUP($C121,'2017 Seattle Tracts Conc'!$BA$3:$BT$95,AK$1-3,FALSE)</f>
        <v>23.299411244878993</v>
      </c>
      <c r="AL121">
        <f>VLOOKUP($C121,'2017 Seattle Tracts Conc'!$BA$3:$BT$95,AL$1-3,FALSE)</f>
        <v>11.45355577155488</v>
      </c>
      <c r="AM121">
        <f>VLOOKUP($C121,'2017 Seattle Tracts Conc'!$BA$3:$BT$95,AM$1-3,FALSE)</f>
        <v>6.6146539795470964</v>
      </c>
      <c r="AN121">
        <f>VLOOKUP($C121,'2017 Seattle Tracts Conc'!$BA$3:$BT$95,AN$1-3,FALSE)</f>
        <v>51.142512906816513</v>
      </c>
      <c r="AO121">
        <f>VLOOKUP($C121,'2017 Seattle Tracts Conc'!$BA$3:$BT$95,AO$1-3,FALSE)</f>
        <v>622.24147976832467</v>
      </c>
      <c r="AP121">
        <f>VLOOKUP($C121,'2017 Seattle Tracts Conc'!$BA$3:$BT$95,AP$1-3,FALSE)</f>
        <v>78.313969826123667</v>
      </c>
    </row>
    <row r="122" spans="1:42" x14ac:dyDescent="0.25">
      <c r="A122">
        <v>188</v>
      </c>
      <c r="B122" t="s">
        <v>2495</v>
      </c>
      <c r="C122" t="s">
        <v>190</v>
      </c>
      <c r="D122" t="s">
        <v>191</v>
      </c>
      <c r="E122">
        <f>VLOOKUP($C122,'2000 Seattle Tracts Conc'!$AZ$3:$BS$94,E$1,FALSE)</f>
        <v>5968.1709245815755</v>
      </c>
      <c r="F122">
        <f>VLOOKUP($C122,'2000 Seattle Tracts Conc'!$AZ$3:$BS$94,F$1,FALSE)</f>
        <v>4277.6945327923258</v>
      </c>
      <c r="G122">
        <f>VLOOKUP($C122,'2000 Seattle Tracts Conc'!$AZ$3:$BS$94,G$1,FALSE)</f>
        <v>1690.4763917892492</v>
      </c>
      <c r="H122">
        <f>VLOOKUP($C122,'2000 Seattle Tracts Conc'!$AZ$3:$BS$94,H$1,FALSE)</f>
        <v>2965.5095057798676</v>
      </c>
      <c r="I122">
        <f>VLOOKUP($C122,'2000 Seattle Tracts Conc'!$AZ$3:$BS$94,I$1,FALSE)</f>
        <v>136.09071086862494</v>
      </c>
      <c r="J122">
        <f>VLOOKUP($C122,'2000 Seattle Tracts Conc'!$AZ$3:$BS$94,J$1,FALSE)</f>
        <v>73.264904717941889</v>
      </c>
      <c r="K122">
        <f>VLOOKUP($C122,'2000 Seattle Tracts Conc'!$AZ$3:$BS$94,K$1,FALSE)</f>
        <v>86.429532574833985</v>
      </c>
      <c r="L122">
        <f>VLOOKUP($C122,'2000 Seattle Tracts Conc'!$AZ$3:$BS$94,L$1,FALSE)</f>
        <v>520.84078619735476</v>
      </c>
      <c r="M122">
        <f>VLOOKUP($C122,'2000 Seattle Tracts Conc'!$AZ$3:$BS$94,M$1,FALSE)</f>
        <v>46.638558445045646</v>
      </c>
      <c r="N122">
        <f>VLOOKUP($C122,'2000 Seattle Tracts Conc'!$AZ$3:$BS$94,N$1,FALSE)</f>
        <v>21.275521324940041</v>
      </c>
      <c r="O122">
        <f>VLOOKUP($C122,'2000 Seattle Tracts Conc'!$AZ$3:$BS$94,O$1,FALSE)</f>
        <v>0</v>
      </c>
      <c r="P122">
        <f>VLOOKUP($C122,'2000 Seattle Tracts Conc'!$AZ$3:$BS$94,P$1,FALSE)</f>
        <v>296.10914569272444</v>
      </c>
      <c r="Q122">
        <f>VLOOKUP($C122,'2000 Seattle Tracts Conc'!$AZ$3:$BS$94,Q$1,FALSE)</f>
        <v>1086.0326833068129</v>
      </c>
      <c r="R122">
        <f>VLOOKUP($C122,'2000 Seattle Tracts Conc'!$AZ$3:$BS$94,R$1,FALSE)</f>
        <v>74.930853245057534</v>
      </c>
      <c r="S122">
        <f>VLOOKUP($C122,'2000 Seattle Tracts Conc'!$AZ$3:$BS$94,S$1,FALSE)</f>
        <v>36.75263634677512</v>
      </c>
      <c r="T122">
        <f>VLOOKUP($C122,'2000 Seattle Tracts Conc'!$AZ$3:$BS$94,T$1,FALSE)</f>
        <v>102.56519056870745</v>
      </c>
      <c r="U122">
        <f>VLOOKUP($C122,'2000 Seattle Tracts Conc'!$AZ$3:$BS$94,U$1,FALSE)</f>
        <v>216.61881215096383</v>
      </c>
      <c r="V122">
        <f>VLOOKUP($C122,'2000 Seattle Tracts Conc'!$AZ$3:$BS$94,V$1,FALSE)</f>
        <v>223.19862526573201</v>
      </c>
      <c r="W122">
        <f>VLOOKUP($C122,'2000 Seattle Tracts Conc'!$AZ$3:$BS$94,W$1,FALSE)</f>
        <v>81.913458096192898</v>
      </c>
      <c r="X122" s="4">
        <f>VLOOKUP($C122,'2017 Seattle Tracts Conc'!$BA$3:$BT$95,X$1-3,FALSE)</f>
        <v>7038.0806530065875</v>
      </c>
      <c r="Y122">
        <f>VLOOKUP($C122,'2017 Seattle Tracts Conc'!$BA$3:$BT$95,Y$1-3,FALSE)</f>
        <v>5403.4937250114899</v>
      </c>
      <c r="Z122">
        <f>VLOOKUP($C122,'2017 Seattle Tracts Conc'!$BA$3:$BT$95,Z$1-3,FALSE)</f>
        <v>1634.5869279950989</v>
      </c>
      <c r="AA122">
        <f>VLOOKUP($C122,'2017 Seattle Tracts Conc'!$BA$3:$BT$95,AA$1-3,FALSE)</f>
        <v>2805.4874385163398</v>
      </c>
      <c r="AB122">
        <f>VLOOKUP($C122,'2017 Seattle Tracts Conc'!$BA$3:$BT$95,AB$1-3,FALSE)</f>
        <v>398.37179239403821</v>
      </c>
      <c r="AC122">
        <f>VLOOKUP($C122,'2017 Seattle Tracts Conc'!$BA$3:$BT$95,AC$1-3,FALSE)</f>
        <v>97.955542605967139</v>
      </c>
      <c r="AD122">
        <f>VLOOKUP($C122,'2017 Seattle Tracts Conc'!$BA$3:$BT$95,AD$1-3,FALSE)</f>
        <v>143.1312007123685</v>
      </c>
      <c r="AE122">
        <f>VLOOKUP($C122,'2017 Seattle Tracts Conc'!$BA$3:$BT$95,AE$1-3,FALSE)</f>
        <v>371.02754618368368</v>
      </c>
      <c r="AF122">
        <f>VLOOKUP($C122,'2017 Seattle Tracts Conc'!$BA$3:$BT$95,AF$1-3,FALSE)</f>
        <v>31.230217987541312</v>
      </c>
      <c r="AG122">
        <f>VLOOKUP($C122,'2017 Seattle Tracts Conc'!$BA$3:$BT$95,AG$1-3,FALSE)</f>
        <v>40.829843992039009</v>
      </c>
      <c r="AH122">
        <f>VLOOKUP($C122,'2017 Seattle Tracts Conc'!$BA$3:$BT$95,AH$1-3,FALSE)</f>
        <v>11.894927261332295</v>
      </c>
      <c r="AI122">
        <f>VLOOKUP($C122,'2017 Seattle Tracts Conc'!$BA$3:$BT$95,AI$1-3,FALSE)</f>
        <v>742.13102717259653</v>
      </c>
      <c r="AJ122">
        <f>VLOOKUP($C122,'2017 Seattle Tracts Conc'!$BA$3:$BT$95,AJ$1-3,FALSE)</f>
        <v>671.55214153210375</v>
      </c>
      <c r="AK122">
        <f>VLOOKUP($C122,'2017 Seattle Tracts Conc'!$BA$3:$BT$95,AK$1-3,FALSE)</f>
        <v>18.545872270494499</v>
      </c>
      <c r="AL122">
        <f>VLOOKUP($C122,'2017 Seattle Tracts Conc'!$BA$3:$BT$95,AL$1-3,FALSE)</f>
        <v>1.1110819256607154</v>
      </c>
      <c r="AM122">
        <f>VLOOKUP($C122,'2017 Seattle Tracts Conc'!$BA$3:$BT$95,AM$1-3,FALSE)</f>
        <v>57.980391401363789</v>
      </c>
      <c r="AN122">
        <f>VLOOKUP($C122,'2017 Seattle Tracts Conc'!$BA$3:$BT$95,AN$1-3,FALSE)</f>
        <v>196.73109084419195</v>
      </c>
      <c r="AO122">
        <f>VLOOKUP($C122,'2017 Seattle Tracts Conc'!$BA$3:$BT$95,AO$1-3,FALSE)</f>
        <v>1269.536062869005</v>
      </c>
      <c r="AP122">
        <f>VLOOKUP($C122,'2017 Seattle Tracts Conc'!$BA$3:$BT$95,AP$1-3,FALSE)</f>
        <v>180.56447533786206</v>
      </c>
    </row>
    <row r="123" spans="1:42" x14ac:dyDescent="0.25">
      <c r="A123">
        <v>174</v>
      </c>
      <c r="B123" t="s">
        <v>2495</v>
      </c>
      <c r="C123" t="s">
        <v>192</v>
      </c>
      <c r="D123" t="s">
        <v>191</v>
      </c>
      <c r="E123">
        <f>VLOOKUP($C123,'2000 Seattle Tracts Conc'!$AZ$3:$BS$94,E$1,FALSE)</f>
        <v>1951.1038063000083</v>
      </c>
      <c r="F123">
        <f>VLOOKUP($C123,'2000 Seattle Tracts Conc'!$AZ$3:$BS$94,F$1,FALSE)</f>
        <v>1613.516701397871</v>
      </c>
      <c r="G123">
        <f>VLOOKUP($C123,'2000 Seattle Tracts Conc'!$AZ$3:$BS$94,G$1,FALSE)</f>
        <v>337.58710490213736</v>
      </c>
      <c r="H123">
        <f>VLOOKUP($C123,'2000 Seattle Tracts Conc'!$AZ$3:$BS$94,H$1,FALSE)</f>
        <v>1199.3971540737425</v>
      </c>
      <c r="I123">
        <f>VLOOKUP($C123,'2000 Seattle Tracts Conc'!$AZ$3:$BS$94,I$1,FALSE)</f>
        <v>71.461123226396623</v>
      </c>
      <c r="J123">
        <f>VLOOKUP($C123,'2000 Seattle Tracts Conc'!$AZ$3:$BS$94,J$1,FALSE)</f>
        <v>29.161194944195614</v>
      </c>
      <c r="K123">
        <f>VLOOKUP($C123,'2000 Seattle Tracts Conc'!$AZ$3:$BS$94,K$1,FALSE)</f>
        <v>26.03950655437594</v>
      </c>
      <c r="L123">
        <f>VLOOKUP($C123,'2000 Seattle Tracts Conc'!$AZ$3:$BS$94,L$1,FALSE)</f>
        <v>142.23595221169433</v>
      </c>
      <c r="M123">
        <f>VLOOKUP($C123,'2000 Seattle Tracts Conc'!$AZ$3:$BS$94,M$1,FALSE)</f>
        <v>11.619680111776193</v>
      </c>
      <c r="N123">
        <f>VLOOKUP($C123,'2000 Seattle Tracts Conc'!$AZ$3:$BS$94,N$1,FALSE)</f>
        <v>26.842276008521566</v>
      </c>
      <c r="O123">
        <f>VLOOKUP($C123,'2000 Seattle Tracts Conc'!$AZ$3:$BS$94,O$1,FALSE)</f>
        <v>4.6296035903660097E-2</v>
      </c>
      <c r="P123">
        <f>VLOOKUP($C123,'2000 Seattle Tracts Conc'!$AZ$3:$BS$94,P$1,FALSE)</f>
        <v>118.24788487815181</v>
      </c>
      <c r="Q123">
        <f>VLOOKUP($C123,'2000 Seattle Tracts Conc'!$AZ$3:$BS$94,Q$1,FALSE)</f>
        <v>160.26755961206055</v>
      </c>
      <c r="R123">
        <f>VLOOKUP($C123,'2000 Seattle Tracts Conc'!$AZ$3:$BS$94,R$1,FALSE)</f>
        <v>3.6346552304815178</v>
      </c>
      <c r="S123">
        <f>VLOOKUP($C123,'2000 Seattle Tracts Conc'!$AZ$3:$BS$94,S$1,FALSE)</f>
        <v>6.6981498754231622E-2</v>
      </c>
      <c r="T123">
        <f>VLOOKUP($C123,'2000 Seattle Tracts Conc'!$AZ$3:$BS$94,T$1,FALSE)</f>
        <v>31.190344240325746</v>
      </c>
      <c r="U123">
        <f>VLOOKUP($C123,'2000 Seattle Tracts Conc'!$AZ$3:$BS$94,U$1,FALSE)</f>
        <v>61.269607323323982</v>
      </c>
      <c r="V123">
        <f>VLOOKUP($C123,'2000 Seattle Tracts Conc'!$AZ$3:$BS$94,V$1,FALSE)</f>
        <v>62.807239810757999</v>
      </c>
      <c r="W123">
        <f>VLOOKUP($C123,'2000 Seattle Tracts Conc'!$AZ$3:$BS$94,W$1,FALSE)</f>
        <v>6.8163505395462058</v>
      </c>
      <c r="X123" s="4">
        <f>VLOOKUP($C123,'2017 Seattle Tracts Conc'!$BA$3:$BT$95,X$1-3,FALSE)</f>
        <v>2496.9889048716677</v>
      </c>
      <c r="Y123">
        <f>VLOOKUP($C123,'2017 Seattle Tracts Conc'!$BA$3:$BT$95,Y$1-3,FALSE)</f>
        <v>2055.382254138402</v>
      </c>
      <c r="Z123">
        <f>VLOOKUP($C123,'2017 Seattle Tracts Conc'!$BA$3:$BT$95,Z$1-3,FALSE)</f>
        <v>441.60665073326572</v>
      </c>
      <c r="AA123">
        <f>VLOOKUP($C123,'2017 Seattle Tracts Conc'!$BA$3:$BT$95,AA$1-3,FALSE)</f>
        <v>1562.7155257127758</v>
      </c>
      <c r="AB123">
        <f>VLOOKUP($C123,'2017 Seattle Tracts Conc'!$BA$3:$BT$95,AB$1-3,FALSE)</f>
        <v>199.32190011678512</v>
      </c>
      <c r="AC123">
        <f>VLOOKUP($C123,'2017 Seattle Tracts Conc'!$BA$3:$BT$95,AC$1-3,FALSE)</f>
        <v>90.495166568356055</v>
      </c>
      <c r="AD123">
        <f>VLOOKUP($C123,'2017 Seattle Tracts Conc'!$BA$3:$BT$95,AD$1-3,FALSE)</f>
        <v>9.0570896750277043</v>
      </c>
      <c r="AE123">
        <f>VLOOKUP($C123,'2017 Seattle Tracts Conc'!$BA$3:$BT$95,AE$1-3,FALSE)</f>
        <v>67.189766448875105</v>
      </c>
      <c r="AF123">
        <f>VLOOKUP($C123,'2017 Seattle Tracts Conc'!$BA$3:$BT$95,AF$1-3,FALSE)</f>
        <v>24.60389426373991</v>
      </c>
      <c r="AG123">
        <f>VLOOKUP($C123,'2017 Seattle Tracts Conc'!$BA$3:$BT$95,AG$1-3,FALSE)</f>
        <v>1.7785089894687127E-2</v>
      </c>
      <c r="AH123">
        <f>VLOOKUP($C123,'2017 Seattle Tracts Conc'!$BA$3:$BT$95,AH$1-3,FALSE)</f>
        <v>0</v>
      </c>
      <c r="AI123">
        <f>VLOOKUP($C123,'2017 Seattle Tracts Conc'!$BA$3:$BT$95,AI$1-3,FALSE)</f>
        <v>122.0941594474896</v>
      </c>
      <c r="AJ123">
        <f>VLOOKUP($C123,'2017 Seattle Tracts Conc'!$BA$3:$BT$95,AJ$1-3,FALSE)</f>
        <v>156.59664708140713</v>
      </c>
      <c r="AK123">
        <f>VLOOKUP($C123,'2017 Seattle Tracts Conc'!$BA$3:$BT$95,AK$1-3,FALSE)</f>
        <v>4.2175444587705426</v>
      </c>
      <c r="AL123">
        <f>VLOOKUP($C123,'2017 Seattle Tracts Conc'!$BA$3:$BT$95,AL$1-3,FALSE)</f>
        <v>3.5506259488817005</v>
      </c>
      <c r="AM123">
        <f>VLOOKUP($C123,'2017 Seattle Tracts Conc'!$BA$3:$BT$95,AM$1-3,FALSE)</f>
        <v>17.026939028290347</v>
      </c>
      <c r="AN123">
        <f>VLOOKUP($C123,'2017 Seattle Tracts Conc'!$BA$3:$BT$95,AN$1-3,FALSE)</f>
        <v>34.536121083034558</v>
      </c>
      <c r="AO123">
        <f>VLOOKUP($C123,'2017 Seattle Tracts Conc'!$BA$3:$BT$95,AO$1-3,FALSE)</f>
        <v>191.62536738394977</v>
      </c>
      <c r="AP123">
        <f>VLOOKUP($C123,'2017 Seattle Tracts Conc'!$BA$3:$BT$95,AP$1-3,FALSE)</f>
        <v>13.940372564389635</v>
      </c>
    </row>
    <row r="124" spans="1:42" x14ac:dyDescent="0.25">
      <c r="A124">
        <v>180</v>
      </c>
      <c r="B124" t="s">
        <v>2495</v>
      </c>
      <c r="C124" t="s">
        <v>193</v>
      </c>
      <c r="D124" t="s">
        <v>191</v>
      </c>
      <c r="E124">
        <f>VLOOKUP($C124,'2000 Seattle Tracts Conc'!$AZ$3:$BS$94,E$1,FALSE)</f>
        <v>3394.0015229848482</v>
      </c>
      <c r="F124">
        <f>VLOOKUP($C124,'2000 Seattle Tracts Conc'!$AZ$3:$BS$94,F$1,FALSE)</f>
        <v>2329.4945299859401</v>
      </c>
      <c r="G124">
        <f>VLOOKUP($C124,'2000 Seattle Tracts Conc'!$AZ$3:$BS$94,G$1,FALSE)</f>
        <v>1064.5069929989072</v>
      </c>
      <c r="H124">
        <f>VLOOKUP($C124,'2000 Seattle Tracts Conc'!$AZ$3:$BS$94,H$1,FALSE)</f>
        <v>1430.6951464996175</v>
      </c>
      <c r="I124">
        <f>VLOOKUP($C124,'2000 Seattle Tracts Conc'!$AZ$3:$BS$94,I$1,FALSE)</f>
        <v>71.218978552662222</v>
      </c>
      <c r="J124">
        <f>VLOOKUP($C124,'2000 Seattle Tracts Conc'!$AZ$3:$BS$94,J$1,FALSE)</f>
        <v>42.114058762818139</v>
      </c>
      <c r="K124">
        <f>VLOOKUP($C124,'2000 Seattle Tracts Conc'!$AZ$3:$BS$94,K$1,FALSE)</f>
        <v>21.211991480589617</v>
      </c>
      <c r="L124">
        <f>VLOOKUP($C124,'2000 Seattle Tracts Conc'!$AZ$3:$BS$94,L$1,FALSE)</f>
        <v>256.58491989512999</v>
      </c>
      <c r="M124">
        <f>VLOOKUP($C124,'2000 Seattle Tracts Conc'!$AZ$3:$BS$94,M$1,FALSE)</f>
        <v>36.382795188710865</v>
      </c>
      <c r="N124">
        <f>VLOOKUP($C124,'2000 Seattle Tracts Conc'!$AZ$3:$BS$94,N$1,FALSE)</f>
        <v>59.00875972982778</v>
      </c>
      <c r="O124">
        <f>VLOOKUP($C124,'2000 Seattle Tracts Conc'!$AZ$3:$BS$94,O$1,FALSE)</f>
        <v>0.81436971198098917</v>
      </c>
      <c r="P124">
        <f>VLOOKUP($C124,'2000 Seattle Tracts Conc'!$AZ$3:$BS$94,P$1,FALSE)</f>
        <v>236.49019282129072</v>
      </c>
      <c r="Q124">
        <f>VLOOKUP($C124,'2000 Seattle Tracts Conc'!$AZ$3:$BS$94,Q$1,FALSE)</f>
        <v>768.85575609233433</v>
      </c>
      <c r="R124">
        <f>VLOOKUP($C124,'2000 Seattle Tracts Conc'!$AZ$3:$BS$94,R$1,FALSE)</f>
        <v>39.13839187235989</v>
      </c>
      <c r="S124">
        <f>VLOOKUP($C124,'2000 Seattle Tracts Conc'!$AZ$3:$BS$94,S$1,FALSE)</f>
        <v>1.1856397294063343</v>
      </c>
      <c r="T124">
        <f>VLOOKUP($C124,'2000 Seattle Tracts Conc'!$AZ$3:$BS$94,T$1,FALSE)</f>
        <v>112.50278042902134</v>
      </c>
      <c r="U124">
        <f>VLOOKUP($C124,'2000 Seattle Tracts Conc'!$AZ$3:$BS$94,U$1,FALSE)</f>
        <v>92.019735578794766</v>
      </c>
      <c r="V124">
        <f>VLOOKUP($C124,'2000 Seattle Tracts Conc'!$AZ$3:$BS$94,V$1,FALSE)</f>
        <v>152.96027997587501</v>
      </c>
      <c r="W124">
        <f>VLOOKUP($C124,'2000 Seattle Tracts Conc'!$AZ$3:$BS$94,W$1,FALSE)</f>
        <v>72.817726664428264</v>
      </c>
      <c r="X124" s="4">
        <f>VLOOKUP($C124,'2017 Seattle Tracts Conc'!$BA$3:$BT$95,X$1-3,FALSE)</f>
        <v>3808.6495800698367</v>
      </c>
      <c r="Y124">
        <f>VLOOKUP($C124,'2017 Seattle Tracts Conc'!$BA$3:$BT$95,Y$1-3,FALSE)</f>
        <v>3058.3294355057992</v>
      </c>
      <c r="Z124">
        <f>VLOOKUP($C124,'2017 Seattle Tracts Conc'!$BA$3:$BT$95,Z$1-3,FALSE)</f>
        <v>750.32014456403761</v>
      </c>
      <c r="AA124">
        <f>VLOOKUP($C124,'2017 Seattle Tracts Conc'!$BA$3:$BT$95,AA$1-3,FALSE)</f>
        <v>1792.204231944643</v>
      </c>
      <c r="AB124">
        <f>VLOOKUP($C124,'2017 Seattle Tracts Conc'!$BA$3:$BT$95,AB$1-3,FALSE)</f>
        <v>17.48915765273621</v>
      </c>
      <c r="AC124">
        <f>VLOOKUP($C124,'2017 Seattle Tracts Conc'!$BA$3:$BT$95,AC$1-3,FALSE)</f>
        <v>128.93293188792498</v>
      </c>
      <c r="AD124">
        <f>VLOOKUP($C124,'2017 Seattle Tracts Conc'!$BA$3:$BT$95,AD$1-3,FALSE)</f>
        <v>0.45388188495827292</v>
      </c>
      <c r="AE124">
        <f>VLOOKUP($C124,'2017 Seattle Tracts Conc'!$BA$3:$BT$95,AE$1-3,FALSE)</f>
        <v>310.64751231559489</v>
      </c>
      <c r="AF124">
        <f>VLOOKUP($C124,'2017 Seattle Tracts Conc'!$BA$3:$BT$95,AF$1-3,FALSE)</f>
        <v>121.88792923776317</v>
      </c>
      <c r="AG124">
        <f>VLOOKUP($C124,'2017 Seattle Tracts Conc'!$BA$3:$BT$95,AG$1-3,FALSE)</f>
        <v>4.4666453752611218E-2</v>
      </c>
      <c r="AH124">
        <f>VLOOKUP($C124,'2017 Seattle Tracts Conc'!$BA$3:$BT$95,AH$1-3,FALSE)</f>
        <v>2.4008613445694448E-3</v>
      </c>
      <c r="AI124">
        <f>VLOOKUP($C124,'2017 Seattle Tracts Conc'!$BA$3:$BT$95,AI$1-3,FALSE)</f>
        <v>361.31388386322914</v>
      </c>
      <c r="AJ124">
        <f>VLOOKUP($C124,'2017 Seattle Tracts Conc'!$BA$3:$BT$95,AJ$1-3,FALSE)</f>
        <v>525.30781269843203</v>
      </c>
      <c r="AK124">
        <f>VLOOKUP($C124,'2017 Seattle Tracts Conc'!$BA$3:$BT$95,AK$1-3,FALSE)</f>
        <v>45.908393891409993</v>
      </c>
      <c r="AL124">
        <f>VLOOKUP($C124,'2017 Seattle Tracts Conc'!$BA$3:$BT$95,AL$1-3,FALSE)</f>
        <v>38.290734965088276</v>
      </c>
      <c r="AM124">
        <f>VLOOKUP($C124,'2017 Seattle Tracts Conc'!$BA$3:$BT$95,AM$1-3,FALSE)</f>
        <v>93.937455233063403</v>
      </c>
      <c r="AN124">
        <f>VLOOKUP($C124,'2017 Seattle Tracts Conc'!$BA$3:$BT$95,AN$1-3,FALSE)</f>
        <v>2.963633321672098</v>
      </c>
      <c r="AO124">
        <f>VLOOKUP($C124,'2017 Seattle Tracts Conc'!$BA$3:$BT$95,AO$1-3,FALSE)</f>
        <v>325.34035991618168</v>
      </c>
      <c r="AP124">
        <f>VLOOKUP($C124,'2017 Seattle Tracts Conc'!$BA$3:$BT$95,AP$1-3,FALSE)</f>
        <v>43.924593942042762</v>
      </c>
    </row>
    <row r="125" spans="1:42" x14ac:dyDescent="0.25">
      <c r="A125">
        <v>182</v>
      </c>
      <c r="B125" t="s">
        <v>2495</v>
      </c>
      <c r="C125" t="s">
        <v>194</v>
      </c>
      <c r="D125" t="s">
        <v>191</v>
      </c>
      <c r="E125">
        <f>VLOOKUP($C125,'2000 Seattle Tracts Conc'!$AZ$3:$BS$94,E$1,FALSE)</f>
        <v>5937.02039838161</v>
      </c>
      <c r="F125">
        <f>VLOOKUP($C125,'2000 Seattle Tracts Conc'!$AZ$3:$BS$94,F$1,FALSE)</f>
        <v>4244.3352674255093</v>
      </c>
      <c r="G125">
        <f>VLOOKUP($C125,'2000 Seattle Tracts Conc'!$AZ$3:$BS$94,G$1,FALSE)</f>
        <v>1692.6851309561014</v>
      </c>
      <c r="H125">
        <f>VLOOKUP($C125,'2000 Seattle Tracts Conc'!$AZ$3:$BS$94,H$1,FALSE)</f>
        <v>1688.9394442049606</v>
      </c>
      <c r="I125">
        <f>VLOOKUP($C125,'2000 Seattle Tracts Conc'!$AZ$3:$BS$94,I$1,FALSE)</f>
        <v>129.02055268333748</v>
      </c>
      <c r="J125">
        <f>VLOOKUP($C125,'2000 Seattle Tracts Conc'!$AZ$3:$BS$94,J$1,FALSE)</f>
        <v>60.883606512477748</v>
      </c>
      <c r="K125">
        <f>VLOOKUP($C125,'2000 Seattle Tracts Conc'!$AZ$3:$BS$94,K$1,FALSE)</f>
        <v>10.891458022334803</v>
      </c>
      <c r="L125">
        <f>VLOOKUP($C125,'2000 Seattle Tracts Conc'!$AZ$3:$BS$94,L$1,FALSE)</f>
        <v>1079.4711612518374</v>
      </c>
      <c r="M125">
        <f>VLOOKUP($C125,'2000 Seattle Tracts Conc'!$AZ$3:$BS$94,M$1,FALSE)</f>
        <v>153.6478316032792</v>
      </c>
      <c r="N125">
        <f>VLOOKUP($C125,'2000 Seattle Tracts Conc'!$AZ$3:$BS$94,N$1,FALSE)</f>
        <v>250.05022763078898</v>
      </c>
      <c r="O125">
        <f>VLOOKUP($C125,'2000 Seattle Tracts Conc'!$AZ$3:$BS$94,O$1,FALSE)</f>
        <v>43.664720448143989</v>
      </c>
      <c r="P125">
        <f>VLOOKUP($C125,'2000 Seattle Tracts Conc'!$AZ$3:$BS$94,P$1,FALSE)</f>
        <v>424.94118710862523</v>
      </c>
      <c r="Q125">
        <f>VLOOKUP($C125,'2000 Seattle Tracts Conc'!$AZ$3:$BS$94,Q$1,FALSE)</f>
        <v>1076.1288173080372</v>
      </c>
      <c r="R125">
        <f>VLOOKUP($C125,'2000 Seattle Tracts Conc'!$AZ$3:$BS$94,R$1,FALSE)</f>
        <v>109.60471156096429</v>
      </c>
      <c r="S125">
        <f>VLOOKUP($C125,'2000 Seattle Tracts Conc'!$AZ$3:$BS$94,S$1,FALSE)</f>
        <v>63.149630659382773</v>
      </c>
      <c r="T125">
        <f>VLOOKUP($C125,'2000 Seattle Tracts Conc'!$AZ$3:$BS$94,T$1,FALSE)</f>
        <v>245.90494143865564</v>
      </c>
      <c r="U125">
        <f>VLOOKUP($C125,'2000 Seattle Tracts Conc'!$AZ$3:$BS$94,U$1,FALSE)</f>
        <v>85.409527576481779</v>
      </c>
      <c r="V125">
        <f>VLOOKUP($C125,'2000 Seattle Tracts Conc'!$AZ$3:$BS$94,V$1,FALSE)</f>
        <v>384.53998771719961</v>
      </c>
      <c r="W125">
        <f>VLOOKUP($C125,'2000 Seattle Tracts Conc'!$AZ$3:$BS$94,W$1,FALSE)</f>
        <v>130.77259265510418</v>
      </c>
      <c r="X125" s="4">
        <f>VLOOKUP($C125,'2017 Seattle Tracts Conc'!$BA$3:$BT$95,X$1-3,FALSE)</f>
        <v>8173.3735666603407</v>
      </c>
      <c r="Y125">
        <f>VLOOKUP($C125,'2017 Seattle Tracts Conc'!$BA$3:$BT$95,Y$1-3,FALSE)</f>
        <v>5419.2561398314429</v>
      </c>
      <c r="Z125">
        <f>VLOOKUP($C125,'2017 Seattle Tracts Conc'!$BA$3:$BT$95,Z$1-3,FALSE)</f>
        <v>2754.1174268288978</v>
      </c>
      <c r="AA125">
        <f>VLOOKUP($C125,'2017 Seattle Tracts Conc'!$BA$3:$BT$95,AA$1-3,FALSE)</f>
        <v>2676.146717778548</v>
      </c>
      <c r="AB125">
        <f>VLOOKUP($C125,'2017 Seattle Tracts Conc'!$BA$3:$BT$95,AB$1-3,FALSE)</f>
        <v>337.23994120102026</v>
      </c>
      <c r="AC125">
        <f>VLOOKUP($C125,'2017 Seattle Tracts Conc'!$BA$3:$BT$95,AC$1-3,FALSE)</f>
        <v>191.78274247040335</v>
      </c>
      <c r="AD125">
        <f>VLOOKUP($C125,'2017 Seattle Tracts Conc'!$BA$3:$BT$95,AD$1-3,FALSE)</f>
        <v>41.130294444699402</v>
      </c>
      <c r="AE125">
        <f>VLOOKUP($C125,'2017 Seattle Tracts Conc'!$BA$3:$BT$95,AE$1-3,FALSE)</f>
        <v>1421.4840232613146</v>
      </c>
      <c r="AF125">
        <f>VLOOKUP($C125,'2017 Seattle Tracts Conc'!$BA$3:$BT$95,AF$1-3,FALSE)</f>
        <v>1432.5235731617918</v>
      </c>
      <c r="AG125">
        <f>VLOOKUP($C125,'2017 Seattle Tracts Conc'!$BA$3:$BT$95,AG$1-3,FALSE)</f>
        <v>7.4419132442135036E-2</v>
      </c>
      <c r="AH125">
        <f>VLOOKUP($C125,'2017 Seattle Tracts Conc'!$BA$3:$BT$95,AH$1-3,FALSE)</f>
        <v>1.0636239577505299E-2</v>
      </c>
      <c r="AI125">
        <f>VLOOKUP($C125,'2017 Seattle Tracts Conc'!$BA$3:$BT$95,AI$1-3,FALSE)</f>
        <v>477.45814958161924</v>
      </c>
      <c r="AJ125">
        <f>VLOOKUP($C125,'2017 Seattle Tracts Conc'!$BA$3:$BT$95,AJ$1-3,FALSE)</f>
        <v>720.15669826744147</v>
      </c>
      <c r="AK125">
        <f>VLOOKUP($C125,'2017 Seattle Tracts Conc'!$BA$3:$BT$95,AK$1-3,FALSE)</f>
        <v>72.17082912591458</v>
      </c>
      <c r="AL125">
        <f>VLOOKUP($C125,'2017 Seattle Tracts Conc'!$BA$3:$BT$95,AL$1-3,FALSE)</f>
        <v>40.977413869988645</v>
      </c>
      <c r="AM125">
        <f>VLOOKUP($C125,'2017 Seattle Tracts Conc'!$BA$3:$BT$95,AM$1-3,FALSE)</f>
        <v>134.17688398542185</v>
      </c>
      <c r="AN125">
        <f>VLOOKUP($C125,'2017 Seattle Tracts Conc'!$BA$3:$BT$95,AN$1-3,FALSE)</f>
        <v>180.76656420022059</v>
      </c>
      <c r="AO125">
        <f>VLOOKUP($C125,'2017 Seattle Tracts Conc'!$BA$3:$BT$95,AO$1-3,FALSE)</f>
        <v>445.96237449577893</v>
      </c>
      <c r="AP125">
        <f>VLOOKUP($C125,'2017 Seattle Tracts Conc'!$BA$3:$BT$95,AP$1-3,FALSE)</f>
        <v>1.312305444158407</v>
      </c>
    </row>
    <row r="126" spans="1:42" x14ac:dyDescent="0.25">
      <c r="A126">
        <v>190</v>
      </c>
      <c r="B126" t="s">
        <v>2495</v>
      </c>
      <c r="C126" t="s">
        <v>195</v>
      </c>
      <c r="D126" t="s">
        <v>191</v>
      </c>
      <c r="E126">
        <f>VLOOKUP($C126,'2000 Seattle Tracts Conc'!$AZ$3:$BS$94,E$1,FALSE)</f>
        <v>5425.1482442601791</v>
      </c>
      <c r="F126">
        <f>VLOOKUP($C126,'2000 Seattle Tracts Conc'!$AZ$3:$BS$94,F$1,FALSE)</f>
        <v>3917.0238343765118</v>
      </c>
      <c r="G126">
        <f>VLOOKUP($C126,'2000 Seattle Tracts Conc'!$AZ$3:$BS$94,G$1,FALSE)</f>
        <v>1508.1244098836671</v>
      </c>
      <c r="H126">
        <f>VLOOKUP($C126,'2000 Seattle Tracts Conc'!$AZ$3:$BS$94,H$1,FALSE)</f>
        <v>2399.4811050569074</v>
      </c>
      <c r="I126">
        <f>VLOOKUP($C126,'2000 Seattle Tracts Conc'!$AZ$3:$BS$94,I$1,FALSE)</f>
        <v>206.99407294514904</v>
      </c>
      <c r="J126">
        <f>VLOOKUP($C126,'2000 Seattle Tracts Conc'!$AZ$3:$BS$94,J$1,FALSE)</f>
        <v>63.146838394963268</v>
      </c>
      <c r="K126">
        <f>VLOOKUP($C126,'2000 Seattle Tracts Conc'!$AZ$3:$BS$94,K$1,FALSE)</f>
        <v>48.081906927211314</v>
      </c>
      <c r="L126">
        <f>VLOOKUP($C126,'2000 Seattle Tracts Conc'!$AZ$3:$BS$94,L$1,FALSE)</f>
        <v>548.63928546439706</v>
      </c>
      <c r="M126">
        <f>VLOOKUP($C126,'2000 Seattle Tracts Conc'!$AZ$3:$BS$94,M$1,FALSE)</f>
        <v>93.266158018776224</v>
      </c>
      <c r="N126">
        <f>VLOOKUP($C126,'2000 Seattle Tracts Conc'!$AZ$3:$BS$94,N$1,FALSE)</f>
        <v>71.398818186439385</v>
      </c>
      <c r="O126">
        <f>VLOOKUP($C126,'2000 Seattle Tracts Conc'!$AZ$3:$BS$94,O$1,FALSE)</f>
        <v>3.6688729003923663E-2</v>
      </c>
      <c r="P126">
        <f>VLOOKUP($C126,'2000 Seattle Tracts Conc'!$AZ$3:$BS$94,P$1,FALSE)</f>
        <v>265.07831914686409</v>
      </c>
      <c r="Q126">
        <f>VLOOKUP($C126,'2000 Seattle Tracts Conc'!$AZ$3:$BS$94,Q$1,FALSE)</f>
        <v>836.57420807179051</v>
      </c>
      <c r="R126">
        <f>VLOOKUP($C126,'2000 Seattle Tracts Conc'!$AZ$3:$BS$94,R$1,FALSE)</f>
        <v>16.681326789763261</v>
      </c>
      <c r="S126">
        <f>VLOOKUP($C126,'2000 Seattle Tracts Conc'!$AZ$3:$BS$94,S$1,FALSE)</f>
        <v>0.1363639187485603</v>
      </c>
      <c r="T126">
        <f>VLOOKUP($C126,'2000 Seattle Tracts Conc'!$AZ$3:$BS$94,T$1,FALSE)</f>
        <v>321.93195755904117</v>
      </c>
      <c r="U126">
        <f>VLOOKUP($C126,'2000 Seattle Tracts Conc'!$AZ$3:$BS$94,U$1,FALSE)</f>
        <v>296.74415780599315</v>
      </c>
      <c r="V126">
        <f>VLOOKUP($C126,'2000 Seattle Tracts Conc'!$AZ$3:$BS$94,V$1,FALSE)</f>
        <v>230.66618377813654</v>
      </c>
      <c r="W126">
        <f>VLOOKUP($C126,'2000 Seattle Tracts Conc'!$AZ$3:$BS$94,W$1,FALSE)</f>
        <v>26.290853466994431</v>
      </c>
      <c r="X126" s="4">
        <f>VLOOKUP($C126,'2017 Seattle Tracts Conc'!$BA$3:$BT$95,X$1-3,FALSE)</f>
        <v>5891.1811920562031</v>
      </c>
      <c r="Y126">
        <f>VLOOKUP($C126,'2017 Seattle Tracts Conc'!$BA$3:$BT$95,Y$1-3,FALSE)</f>
        <v>4295.7169460952919</v>
      </c>
      <c r="Z126">
        <f>VLOOKUP($C126,'2017 Seattle Tracts Conc'!$BA$3:$BT$95,Z$1-3,FALSE)</f>
        <v>1595.4642459609115</v>
      </c>
      <c r="AA126">
        <f>VLOOKUP($C126,'2017 Seattle Tracts Conc'!$BA$3:$BT$95,AA$1-3,FALSE)</f>
        <v>2390.8864716059134</v>
      </c>
      <c r="AB126">
        <f>VLOOKUP($C126,'2017 Seattle Tracts Conc'!$BA$3:$BT$95,AB$1-3,FALSE)</f>
        <v>123.11344056414319</v>
      </c>
      <c r="AC126">
        <f>VLOOKUP($C126,'2017 Seattle Tracts Conc'!$BA$3:$BT$95,AC$1-3,FALSE)</f>
        <v>281.53418095994112</v>
      </c>
      <c r="AD126">
        <f>VLOOKUP($C126,'2017 Seattle Tracts Conc'!$BA$3:$BT$95,AD$1-3,FALSE)</f>
        <v>248.5868485879005</v>
      </c>
      <c r="AE126">
        <f>VLOOKUP($C126,'2017 Seattle Tracts Conc'!$BA$3:$BT$95,AE$1-3,FALSE)</f>
        <v>722.32442987872628</v>
      </c>
      <c r="AF126">
        <f>VLOOKUP($C126,'2017 Seattle Tracts Conc'!$BA$3:$BT$95,AF$1-3,FALSE)</f>
        <v>191.43810824621497</v>
      </c>
      <c r="AG126">
        <f>VLOOKUP($C126,'2017 Seattle Tracts Conc'!$BA$3:$BT$95,AG$1-3,FALSE)</f>
        <v>58.269755213593868</v>
      </c>
      <c r="AH126">
        <f>VLOOKUP($C126,'2017 Seattle Tracts Conc'!$BA$3:$BT$95,AH$1-3,FALSE)</f>
        <v>16.898330417998228</v>
      </c>
      <c r="AI126">
        <f>VLOOKUP($C126,'2017 Seattle Tracts Conc'!$BA$3:$BT$95,AI$1-3,FALSE)</f>
        <v>203.98628892401933</v>
      </c>
      <c r="AJ126">
        <f>VLOOKUP($C126,'2017 Seattle Tracts Conc'!$BA$3:$BT$95,AJ$1-3,FALSE)</f>
        <v>512.24288842990984</v>
      </c>
      <c r="AK126">
        <f>VLOOKUP($C126,'2017 Seattle Tracts Conc'!$BA$3:$BT$95,AK$1-3,FALSE)</f>
        <v>21.326740130454855</v>
      </c>
      <c r="AL126">
        <f>VLOOKUP($C126,'2017 Seattle Tracts Conc'!$BA$3:$BT$95,AL$1-3,FALSE)</f>
        <v>51.836435641667798</v>
      </c>
      <c r="AM126">
        <f>VLOOKUP($C126,'2017 Seattle Tracts Conc'!$BA$3:$BT$95,AM$1-3,FALSE)</f>
        <v>218.55217944961603</v>
      </c>
      <c r="AN126">
        <f>VLOOKUP($C126,'2017 Seattle Tracts Conc'!$BA$3:$BT$95,AN$1-3,FALSE)</f>
        <v>385.59451497962817</v>
      </c>
      <c r="AO126">
        <f>VLOOKUP($C126,'2017 Seattle Tracts Conc'!$BA$3:$BT$95,AO$1-3,FALSE)</f>
        <v>398.83689993302687</v>
      </c>
      <c r="AP126">
        <f>VLOOKUP($C126,'2017 Seattle Tracts Conc'!$BA$3:$BT$95,AP$1-3,FALSE)</f>
        <v>65.753679093448682</v>
      </c>
    </row>
    <row r="127" spans="1:42" x14ac:dyDescent="0.25">
      <c r="A127">
        <v>191</v>
      </c>
      <c r="B127" t="s">
        <v>2495</v>
      </c>
      <c r="C127" t="s">
        <v>196</v>
      </c>
      <c r="D127" t="s">
        <v>191</v>
      </c>
      <c r="E127">
        <f>VLOOKUP($C127,'2000 Seattle Tracts Conc'!$AZ$3:$BS$94,E$1,FALSE)</f>
        <v>5157.7659036995701</v>
      </c>
      <c r="F127">
        <f>VLOOKUP($C127,'2000 Seattle Tracts Conc'!$AZ$3:$BS$94,F$1,FALSE)</f>
        <v>4132.8101610223621</v>
      </c>
      <c r="G127">
        <f>VLOOKUP($C127,'2000 Seattle Tracts Conc'!$AZ$3:$BS$94,G$1,FALSE)</f>
        <v>1024.9557426772071</v>
      </c>
      <c r="H127">
        <f>VLOOKUP($C127,'2000 Seattle Tracts Conc'!$AZ$3:$BS$94,H$1,FALSE)</f>
        <v>2958.7246674540056</v>
      </c>
      <c r="I127">
        <f>VLOOKUP($C127,'2000 Seattle Tracts Conc'!$AZ$3:$BS$94,I$1,FALSE)</f>
        <v>183.52602417694811</v>
      </c>
      <c r="J127">
        <f>VLOOKUP($C127,'2000 Seattle Tracts Conc'!$AZ$3:$BS$94,J$1,FALSE)</f>
        <v>74.930898677359835</v>
      </c>
      <c r="K127">
        <f>VLOOKUP($C127,'2000 Seattle Tracts Conc'!$AZ$3:$BS$94,K$1,FALSE)</f>
        <v>28.816707117158895</v>
      </c>
      <c r="L127">
        <f>VLOOKUP($C127,'2000 Seattle Tracts Conc'!$AZ$3:$BS$94,L$1,FALSE)</f>
        <v>396.5779208185628</v>
      </c>
      <c r="M127">
        <f>VLOOKUP($C127,'2000 Seattle Tracts Conc'!$AZ$3:$BS$94,M$1,FALSE)</f>
        <v>54.787787338872576</v>
      </c>
      <c r="N127">
        <f>VLOOKUP($C127,'2000 Seattle Tracts Conc'!$AZ$3:$BS$94,N$1,FALSE)</f>
        <v>57.426547411028409</v>
      </c>
      <c r="O127">
        <f>VLOOKUP($C127,'2000 Seattle Tracts Conc'!$AZ$3:$BS$94,O$1,FALSE)</f>
        <v>2.4551077142804156</v>
      </c>
      <c r="P127">
        <f>VLOOKUP($C127,'2000 Seattle Tracts Conc'!$AZ$3:$BS$94,P$1,FALSE)</f>
        <v>215.30892577686939</v>
      </c>
      <c r="Q127">
        <f>VLOOKUP($C127,'2000 Seattle Tracts Conc'!$AZ$3:$BS$94,Q$1,FALSE)</f>
        <v>529.36332725804687</v>
      </c>
      <c r="R127">
        <f>VLOOKUP($C127,'2000 Seattle Tracts Conc'!$AZ$3:$BS$94,R$1,FALSE)</f>
        <v>13.730341895811414</v>
      </c>
      <c r="S127">
        <f>VLOOKUP($C127,'2000 Seattle Tracts Conc'!$AZ$3:$BS$94,S$1,FALSE)</f>
        <v>3.552175839970138</v>
      </c>
      <c r="T127">
        <f>VLOOKUP($C127,'2000 Seattle Tracts Conc'!$AZ$3:$BS$94,T$1,FALSE)</f>
        <v>195.27187399057573</v>
      </c>
      <c r="U127">
        <f>VLOOKUP($C127,'2000 Seattle Tracts Conc'!$AZ$3:$BS$94,U$1,FALSE)</f>
        <v>157.25865684362498</v>
      </c>
      <c r="V127">
        <f>VLOOKUP($C127,'2000 Seattle Tracts Conc'!$AZ$3:$BS$94,V$1,FALSE)</f>
        <v>220.83898499814927</v>
      </c>
      <c r="W127">
        <f>VLOOKUP($C127,'2000 Seattle Tracts Conc'!$AZ$3:$BS$94,W$1,FALSE)</f>
        <v>65.195956388305049</v>
      </c>
      <c r="X127" s="4">
        <f>VLOOKUP($C127,'2017 Seattle Tracts Conc'!$BA$3:$BT$95,X$1-3,FALSE)</f>
        <v>5532.8440155042199</v>
      </c>
      <c r="Y127">
        <f>VLOOKUP($C127,'2017 Seattle Tracts Conc'!$BA$3:$BT$95,Y$1-3,FALSE)</f>
        <v>4363.7262168975549</v>
      </c>
      <c r="Z127">
        <f>VLOOKUP($C127,'2017 Seattle Tracts Conc'!$BA$3:$BT$95,Z$1-3,FALSE)</f>
        <v>1169.1177986066662</v>
      </c>
      <c r="AA127">
        <f>VLOOKUP($C127,'2017 Seattle Tracts Conc'!$BA$3:$BT$95,AA$1-3,FALSE)</f>
        <v>3038.5726586729143</v>
      </c>
      <c r="AB127">
        <f>VLOOKUP($C127,'2017 Seattle Tracts Conc'!$BA$3:$BT$95,AB$1-3,FALSE)</f>
        <v>203.06483374158577</v>
      </c>
      <c r="AC127">
        <f>VLOOKUP($C127,'2017 Seattle Tracts Conc'!$BA$3:$BT$95,AC$1-3,FALSE)</f>
        <v>152.01583237650564</v>
      </c>
      <c r="AD127">
        <f>VLOOKUP($C127,'2017 Seattle Tracts Conc'!$BA$3:$BT$95,AD$1-3,FALSE)</f>
        <v>144.25708089834603</v>
      </c>
      <c r="AE127">
        <f>VLOOKUP($C127,'2017 Seattle Tracts Conc'!$BA$3:$BT$95,AE$1-3,FALSE)</f>
        <v>447.62985796717248</v>
      </c>
      <c r="AF127">
        <f>VLOOKUP($C127,'2017 Seattle Tracts Conc'!$BA$3:$BT$95,AF$1-3,FALSE)</f>
        <v>136.23575275251233</v>
      </c>
      <c r="AG127">
        <f>VLOOKUP($C127,'2017 Seattle Tracts Conc'!$BA$3:$BT$95,AG$1-3,FALSE)</f>
        <v>31.78692409610322</v>
      </c>
      <c r="AH127">
        <f>VLOOKUP($C127,'2017 Seattle Tracts Conc'!$BA$3:$BT$95,AH$1-3,FALSE)</f>
        <v>12.118582716379015</v>
      </c>
      <c r="AI127">
        <f>VLOOKUP($C127,'2017 Seattle Tracts Conc'!$BA$3:$BT$95,AI$1-3,FALSE)</f>
        <v>240.98005904323952</v>
      </c>
      <c r="AJ127">
        <f>VLOOKUP($C127,'2017 Seattle Tracts Conc'!$BA$3:$BT$95,AJ$1-3,FALSE)</f>
        <v>360.78368830016421</v>
      </c>
      <c r="AK127">
        <f>VLOOKUP($C127,'2017 Seattle Tracts Conc'!$BA$3:$BT$95,AK$1-3,FALSE)</f>
        <v>19.30565796783905</v>
      </c>
      <c r="AL127">
        <f>VLOOKUP($C127,'2017 Seattle Tracts Conc'!$BA$3:$BT$95,AL$1-3,FALSE)</f>
        <v>40.891612215339457</v>
      </c>
      <c r="AM127">
        <f>VLOOKUP($C127,'2017 Seattle Tracts Conc'!$BA$3:$BT$95,AM$1-3,FALSE)</f>
        <v>129.83247384729333</v>
      </c>
      <c r="AN127">
        <f>VLOOKUP($C127,'2017 Seattle Tracts Conc'!$BA$3:$BT$95,AN$1-3,FALSE)</f>
        <v>231.30611800577645</v>
      </c>
      <c r="AO127">
        <f>VLOOKUP($C127,'2017 Seattle Tracts Conc'!$BA$3:$BT$95,AO$1-3,FALSE)</f>
        <v>303.60275292648697</v>
      </c>
      <c r="AP127">
        <f>VLOOKUP($C127,'2017 Seattle Tracts Conc'!$BA$3:$BT$95,AP$1-3,FALSE)</f>
        <v>40.460129976562911</v>
      </c>
    </row>
    <row r="128" spans="1:42" x14ac:dyDescent="0.25">
      <c r="A128">
        <v>173</v>
      </c>
      <c r="B128" t="s">
        <v>2495</v>
      </c>
      <c r="C128" t="s">
        <v>197</v>
      </c>
      <c r="D128" t="s">
        <v>198</v>
      </c>
      <c r="E128">
        <f>VLOOKUP($C128,'2000 Seattle Tracts Conc'!$AZ$3:$BS$94,E$1,FALSE)</f>
        <v>8799.4435627468574</v>
      </c>
      <c r="F128">
        <f>VLOOKUP($C128,'2000 Seattle Tracts Conc'!$AZ$3:$BS$94,F$1,FALSE)</f>
        <v>6499.5194327409663</v>
      </c>
      <c r="G128">
        <f>VLOOKUP($C128,'2000 Seattle Tracts Conc'!$AZ$3:$BS$94,G$1,FALSE)</f>
        <v>2299.9241300058916</v>
      </c>
      <c r="H128">
        <f>VLOOKUP($C128,'2000 Seattle Tracts Conc'!$AZ$3:$BS$94,H$1,FALSE)</f>
        <v>3511.2671455582026</v>
      </c>
      <c r="I128">
        <f>VLOOKUP($C128,'2000 Seattle Tracts Conc'!$AZ$3:$BS$94,I$1,FALSE)</f>
        <v>260.90483128983607</v>
      </c>
      <c r="J128">
        <f>VLOOKUP($C128,'2000 Seattle Tracts Conc'!$AZ$3:$BS$94,J$1,FALSE)</f>
        <v>100.08104245180871</v>
      </c>
      <c r="K128">
        <f>VLOOKUP($C128,'2000 Seattle Tracts Conc'!$AZ$3:$BS$94,K$1,FALSE)</f>
        <v>70.880458494083584</v>
      </c>
      <c r="L128">
        <f>VLOOKUP($C128,'2000 Seattle Tracts Conc'!$AZ$3:$BS$94,L$1,FALSE)</f>
        <v>1480.7965091605433</v>
      </c>
      <c r="M128">
        <f>VLOOKUP($C128,'2000 Seattle Tracts Conc'!$AZ$3:$BS$94,M$1,FALSE)</f>
        <v>220.48028566446715</v>
      </c>
      <c r="N128">
        <f>VLOOKUP($C128,'2000 Seattle Tracts Conc'!$AZ$3:$BS$94,N$1,FALSE)</f>
        <v>6.9297884712653817</v>
      </c>
      <c r="O128">
        <f>VLOOKUP($C128,'2000 Seattle Tracts Conc'!$AZ$3:$BS$94,O$1,FALSE)</f>
        <v>0</v>
      </c>
      <c r="P128">
        <f>VLOOKUP($C128,'2000 Seattle Tracts Conc'!$AZ$3:$BS$94,P$1,FALSE)</f>
        <v>794.51228203516871</v>
      </c>
      <c r="Q128">
        <f>VLOOKUP($C128,'2000 Seattle Tracts Conc'!$AZ$3:$BS$94,Q$1,FALSE)</f>
        <v>1408.4120661697953</v>
      </c>
      <c r="R128">
        <f>VLOOKUP($C128,'2000 Seattle Tracts Conc'!$AZ$3:$BS$94,R$1,FALSE)</f>
        <v>65.090009936104209</v>
      </c>
      <c r="S128">
        <f>VLOOKUP($C128,'2000 Seattle Tracts Conc'!$AZ$3:$BS$94,S$1,FALSE)</f>
        <v>44.863264633960746</v>
      </c>
      <c r="T128">
        <f>VLOOKUP($C128,'2000 Seattle Tracts Conc'!$AZ$3:$BS$94,T$1,FALSE)</f>
        <v>108.08799528056868</v>
      </c>
      <c r="U128">
        <f>VLOOKUP($C128,'2000 Seattle Tracts Conc'!$AZ$3:$BS$94,U$1,FALSE)</f>
        <v>156.28836428493619</v>
      </c>
      <c r="V128">
        <f>VLOOKUP($C128,'2000 Seattle Tracts Conc'!$AZ$3:$BS$94,V$1,FALSE)</f>
        <v>432.75465984730425</v>
      </c>
      <c r="W128">
        <f>VLOOKUP($C128,'2000 Seattle Tracts Conc'!$AZ$3:$BS$94,W$1,FALSE)</f>
        <v>138.09485946881296</v>
      </c>
      <c r="X128" s="4">
        <f>VLOOKUP($C128,'2017 Seattle Tracts Conc'!$BA$3:$BT$95,X$1-3,FALSE)</f>
        <v>9227.2681761598196</v>
      </c>
      <c r="Y128">
        <f>VLOOKUP($C128,'2017 Seattle Tracts Conc'!$BA$3:$BT$95,Y$1-3,FALSE)</f>
        <v>6950.8745892783581</v>
      </c>
      <c r="Z128">
        <f>VLOOKUP($C128,'2017 Seattle Tracts Conc'!$BA$3:$BT$95,Z$1-3,FALSE)</f>
        <v>2276.3935868814633</v>
      </c>
      <c r="AA128">
        <f>VLOOKUP($C128,'2017 Seattle Tracts Conc'!$BA$3:$BT$95,AA$1-3,FALSE)</f>
        <v>4292.0467804017444</v>
      </c>
      <c r="AB128">
        <f>VLOOKUP($C128,'2017 Seattle Tracts Conc'!$BA$3:$BT$95,AB$1-3,FALSE)</f>
        <v>320.55464181203729</v>
      </c>
      <c r="AC128">
        <f>VLOOKUP($C128,'2017 Seattle Tracts Conc'!$BA$3:$BT$95,AC$1-3,FALSE)</f>
        <v>106.80107018803668</v>
      </c>
      <c r="AD128">
        <f>VLOOKUP($C128,'2017 Seattle Tracts Conc'!$BA$3:$BT$95,AD$1-3,FALSE)</f>
        <v>78.290712973276399</v>
      </c>
      <c r="AE128">
        <f>VLOOKUP($C128,'2017 Seattle Tracts Conc'!$BA$3:$BT$95,AE$1-3,FALSE)</f>
        <v>1230.1006163163979</v>
      </c>
      <c r="AF128">
        <f>VLOOKUP($C128,'2017 Seattle Tracts Conc'!$BA$3:$BT$95,AF$1-3,FALSE)</f>
        <v>245.69050068671629</v>
      </c>
      <c r="AG128">
        <f>VLOOKUP($C128,'2017 Seattle Tracts Conc'!$BA$3:$BT$95,AG$1-3,FALSE)</f>
        <v>18.860302052534582</v>
      </c>
      <c r="AH128">
        <f>VLOOKUP($C128,'2017 Seattle Tracts Conc'!$BA$3:$BT$95,AH$1-3,FALSE)</f>
        <v>1.5680942201372328E-2</v>
      </c>
      <c r="AI128">
        <f>VLOOKUP($C128,'2017 Seattle Tracts Conc'!$BA$3:$BT$95,AI$1-3,FALSE)</f>
        <v>678.49893533326861</v>
      </c>
      <c r="AJ128">
        <f>VLOOKUP($C128,'2017 Seattle Tracts Conc'!$BA$3:$BT$95,AJ$1-3,FALSE)</f>
        <v>1217.4677853729993</v>
      </c>
      <c r="AK128">
        <f>VLOOKUP($C128,'2017 Seattle Tracts Conc'!$BA$3:$BT$95,AK$1-3,FALSE)</f>
        <v>17.42534463669686</v>
      </c>
      <c r="AL128">
        <f>VLOOKUP($C128,'2017 Seattle Tracts Conc'!$BA$3:$BT$95,AL$1-3,FALSE)</f>
        <v>8.564999906173032</v>
      </c>
      <c r="AM128">
        <f>VLOOKUP($C128,'2017 Seattle Tracts Conc'!$BA$3:$BT$95,AM$1-3,FALSE)</f>
        <v>165.21504542909142</v>
      </c>
      <c r="AN128">
        <f>VLOOKUP($C128,'2017 Seattle Tracts Conc'!$BA$3:$BT$95,AN$1-3,FALSE)</f>
        <v>231.7429079169691</v>
      </c>
      <c r="AO128">
        <f>VLOOKUP($C128,'2017 Seattle Tracts Conc'!$BA$3:$BT$95,AO$1-3,FALSE)</f>
        <v>441.92649492058689</v>
      </c>
      <c r="AP128">
        <f>VLOOKUP($C128,'2017 Seattle Tracts Conc'!$BA$3:$BT$95,AP$1-3,FALSE)</f>
        <v>174.06635727109085</v>
      </c>
    </row>
    <row r="129" spans="1:42" x14ac:dyDescent="0.25">
      <c r="A129">
        <v>117</v>
      </c>
      <c r="B129" t="s">
        <v>2495</v>
      </c>
      <c r="C129" t="s">
        <v>199</v>
      </c>
      <c r="D129" t="s">
        <v>122</v>
      </c>
      <c r="E129">
        <f>VLOOKUP($C129,'2000 Seattle Tracts Conc'!$AZ$3:$BS$94,E$1,FALSE)</f>
        <v>7323.826277305343</v>
      </c>
      <c r="F129">
        <f>VLOOKUP($C129,'2000 Seattle Tracts Conc'!$AZ$3:$BS$94,F$1,FALSE)</f>
        <v>6192.7013707638425</v>
      </c>
      <c r="G129">
        <f>VLOOKUP($C129,'2000 Seattle Tracts Conc'!$AZ$3:$BS$94,G$1,FALSE)</f>
        <v>1131.1249065415</v>
      </c>
      <c r="H129">
        <f>VLOOKUP($C129,'2000 Seattle Tracts Conc'!$AZ$3:$BS$94,H$1,FALSE)</f>
        <v>5541.4426166837366</v>
      </c>
      <c r="I129">
        <f>VLOOKUP($C129,'2000 Seattle Tracts Conc'!$AZ$3:$BS$94,I$1,FALSE)</f>
        <v>434.46249592265053</v>
      </c>
      <c r="J129">
        <f>VLOOKUP($C129,'2000 Seattle Tracts Conc'!$AZ$3:$BS$94,J$1,FALSE)</f>
        <v>84.87584161125443</v>
      </c>
      <c r="K129">
        <f>VLOOKUP($C129,'2000 Seattle Tracts Conc'!$AZ$3:$BS$94,K$1,FALSE)</f>
        <v>33.250376064888258</v>
      </c>
      <c r="L129">
        <f>VLOOKUP($C129,'2000 Seattle Tracts Conc'!$AZ$3:$BS$94,L$1,FALSE)</f>
        <v>92.285236514148693</v>
      </c>
      <c r="M129">
        <f>VLOOKUP($C129,'2000 Seattle Tracts Conc'!$AZ$3:$BS$94,M$1,FALSE)</f>
        <v>59.308717626529038</v>
      </c>
      <c r="N129">
        <f>VLOOKUP($C129,'2000 Seattle Tracts Conc'!$AZ$3:$BS$94,N$1,FALSE)</f>
        <v>27.006437280015273</v>
      </c>
      <c r="O129">
        <f>VLOOKUP($C129,'2000 Seattle Tracts Conc'!$AZ$3:$BS$94,O$1,FALSE)</f>
        <v>2.2647674417163723</v>
      </c>
      <c r="P129">
        <f>VLOOKUP($C129,'2000 Seattle Tracts Conc'!$AZ$3:$BS$94,P$1,FALSE)</f>
        <v>156.06802013754651</v>
      </c>
      <c r="Q129">
        <f>VLOOKUP($C129,'2000 Seattle Tracts Conc'!$AZ$3:$BS$94,Q$1,FALSE)</f>
        <v>492.66833337163831</v>
      </c>
      <c r="R129">
        <f>VLOOKUP($C129,'2000 Seattle Tracts Conc'!$AZ$3:$BS$94,R$1,FALSE)</f>
        <v>4.2962549083834656</v>
      </c>
      <c r="S129">
        <f>VLOOKUP($C129,'2000 Seattle Tracts Conc'!$AZ$3:$BS$94,S$1,FALSE)</f>
        <v>2.2898877195675591</v>
      </c>
      <c r="T129">
        <f>VLOOKUP($C129,'2000 Seattle Tracts Conc'!$AZ$3:$BS$94,T$1,FALSE)</f>
        <v>39.150953694350164</v>
      </c>
      <c r="U129">
        <f>VLOOKUP($C129,'2000 Seattle Tracts Conc'!$AZ$3:$BS$94,U$1,FALSE)</f>
        <v>28.619190343103348</v>
      </c>
      <c r="V129">
        <f>VLOOKUP($C129,'2000 Seattle Tracts Conc'!$AZ$3:$BS$94,V$1,FALSE)</f>
        <v>247.57600993440698</v>
      </c>
      <c r="W129">
        <f>VLOOKUP($C129,'2000 Seattle Tracts Conc'!$AZ$3:$BS$94,W$1,FALSE)</f>
        <v>78.261138051406576</v>
      </c>
      <c r="X129" s="4">
        <f>VLOOKUP($C129,'2017 Seattle Tracts Conc'!$BA$3:$BT$95,X$1-3,FALSE)</f>
        <v>8382.5713950895006</v>
      </c>
      <c r="Y129">
        <f>VLOOKUP($C129,'2017 Seattle Tracts Conc'!$BA$3:$BT$95,Y$1-3,FALSE)</f>
        <v>7181.3446834825427</v>
      </c>
      <c r="Z129">
        <f>VLOOKUP($C129,'2017 Seattle Tracts Conc'!$BA$3:$BT$95,Z$1-3,FALSE)</f>
        <v>1201.2267116069593</v>
      </c>
      <c r="AA129">
        <f>VLOOKUP($C129,'2017 Seattle Tracts Conc'!$BA$3:$BT$95,AA$1-3,FALSE)</f>
        <v>6217.0909940153251</v>
      </c>
      <c r="AB129">
        <f>VLOOKUP($C129,'2017 Seattle Tracts Conc'!$BA$3:$BT$95,AB$1-3,FALSE)</f>
        <v>429.22347526245693</v>
      </c>
      <c r="AC129">
        <f>VLOOKUP($C129,'2017 Seattle Tracts Conc'!$BA$3:$BT$95,AC$1-3,FALSE)</f>
        <v>133.07290953925428</v>
      </c>
      <c r="AD129">
        <f>VLOOKUP($C129,'2017 Seattle Tracts Conc'!$BA$3:$BT$95,AD$1-3,FALSE)</f>
        <v>52.160428047928391</v>
      </c>
      <c r="AE129">
        <f>VLOOKUP($C129,'2017 Seattle Tracts Conc'!$BA$3:$BT$95,AE$1-3,FALSE)</f>
        <v>32.086456781599807</v>
      </c>
      <c r="AF129">
        <f>VLOOKUP($C129,'2017 Seattle Tracts Conc'!$BA$3:$BT$95,AF$1-3,FALSE)</f>
        <v>1.7186208259575186</v>
      </c>
      <c r="AG129">
        <f>VLOOKUP($C129,'2017 Seattle Tracts Conc'!$BA$3:$BT$95,AG$1-3,FALSE)</f>
        <v>10.403636239662768</v>
      </c>
      <c r="AH129">
        <f>VLOOKUP($C129,'2017 Seattle Tracts Conc'!$BA$3:$BT$95,AH$1-3,FALSE)</f>
        <v>3.3680572604895232E-4</v>
      </c>
      <c r="AI129">
        <f>VLOOKUP($C129,'2017 Seattle Tracts Conc'!$BA$3:$BT$95,AI$1-3,FALSE)</f>
        <v>323.32628231933984</v>
      </c>
      <c r="AJ129">
        <f>VLOOKUP($C129,'2017 Seattle Tracts Conc'!$BA$3:$BT$95,AJ$1-3,FALSE)</f>
        <v>609.25778227836099</v>
      </c>
      <c r="AK129">
        <f>VLOOKUP($C129,'2017 Seattle Tracts Conc'!$BA$3:$BT$95,AK$1-3,FALSE)</f>
        <v>10.936263509896309</v>
      </c>
      <c r="AL129">
        <f>VLOOKUP($C129,'2017 Seattle Tracts Conc'!$BA$3:$BT$95,AL$1-3,FALSE)</f>
        <v>0</v>
      </c>
      <c r="AM129">
        <f>VLOOKUP($C129,'2017 Seattle Tracts Conc'!$BA$3:$BT$95,AM$1-3,FALSE)</f>
        <v>72.600732814607809</v>
      </c>
      <c r="AN129">
        <f>VLOOKUP($C129,'2017 Seattle Tracts Conc'!$BA$3:$BT$95,AN$1-3,FALSE)</f>
        <v>67.166365334579609</v>
      </c>
      <c r="AO129">
        <f>VLOOKUP($C129,'2017 Seattle Tracts Conc'!$BA$3:$BT$95,AO$1-3,FALSE)</f>
        <v>381.82740826285658</v>
      </c>
      <c r="AP129">
        <f>VLOOKUP($C129,'2017 Seattle Tracts Conc'!$BA$3:$BT$95,AP$1-3,FALSE)</f>
        <v>41.699703051949676</v>
      </c>
    </row>
    <row r="130" spans="1:42" x14ac:dyDescent="0.25">
      <c r="A130">
        <v>143</v>
      </c>
      <c r="B130" t="s">
        <v>2495</v>
      </c>
      <c r="C130" t="s">
        <v>200</v>
      </c>
      <c r="D130" t="s">
        <v>201</v>
      </c>
      <c r="E130">
        <f>VLOOKUP($C130,'2000 Seattle Tracts Conc'!$AZ$3:$BS$94,E$1,FALSE)</f>
        <v>1637.2314262971634</v>
      </c>
      <c r="F130">
        <f>VLOOKUP($C130,'2000 Seattle Tracts Conc'!$AZ$3:$BS$94,F$1,FALSE)</f>
        <v>1467.1390226656613</v>
      </c>
      <c r="G130">
        <f>VLOOKUP($C130,'2000 Seattle Tracts Conc'!$AZ$3:$BS$94,G$1,FALSE)</f>
        <v>170.09240363150201</v>
      </c>
      <c r="H130">
        <f>VLOOKUP($C130,'2000 Seattle Tracts Conc'!$AZ$3:$BS$94,H$1,FALSE)</f>
        <v>1315.0867224496217</v>
      </c>
      <c r="I130">
        <f>VLOOKUP($C130,'2000 Seattle Tracts Conc'!$AZ$3:$BS$94,I$1,FALSE)</f>
        <v>84.678036439925236</v>
      </c>
      <c r="J130">
        <f>VLOOKUP($C130,'2000 Seattle Tracts Conc'!$AZ$3:$BS$94,J$1,FALSE)</f>
        <v>33.503049200144332</v>
      </c>
      <c r="K130">
        <f>VLOOKUP($C130,'2000 Seattle Tracts Conc'!$AZ$3:$BS$94,K$1,FALSE)</f>
        <v>6.2588113890379526</v>
      </c>
      <c r="L130">
        <f>VLOOKUP($C130,'2000 Seattle Tracts Conc'!$AZ$3:$BS$94,L$1,FALSE)</f>
        <v>21.721757173719954</v>
      </c>
      <c r="M130">
        <f>VLOOKUP($C130,'2000 Seattle Tracts Conc'!$AZ$3:$BS$94,M$1,FALSE)</f>
        <v>0</v>
      </c>
      <c r="N130">
        <f>VLOOKUP($C130,'2000 Seattle Tracts Conc'!$AZ$3:$BS$94,N$1,FALSE)</f>
        <v>0</v>
      </c>
      <c r="O130">
        <f>VLOOKUP($C130,'2000 Seattle Tracts Conc'!$AZ$3:$BS$94,O$1,FALSE)</f>
        <v>0</v>
      </c>
      <c r="P130">
        <f>VLOOKUP($C130,'2000 Seattle Tracts Conc'!$AZ$3:$BS$94,P$1,FALSE)</f>
        <v>37.552868334227718</v>
      </c>
      <c r="Q130">
        <f>VLOOKUP($C130,'2000 Seattle Tracts Conc'!$AZ$3:$BS$94,Q$1,FALSE)</f>
        <v>64.060775393682576</v>
      </c>
      <c r="R130">
        <f>VLOOKUP($C130,'2000 Seattle Tracts Conc'!$AZ$3:$BS$94,R$1,FALSE)</f>
        <v>0</v>
      </c>
      <c r="S130">
        <f>VLOOKUP($C130,'2000 Seattle Tracts Conc'!$AZ$3:$BS$94,S$1,FALSE)</f>
        <v>0</v>
      </c>
      <c r="T130">
        <f>VLOOKUP($C130,'2000 Seattle Tracts Conc'!$AZ$3:$BS$94,T$1,FALSE)</f>
        <v>7.7314728923410003</v>
      </c>
      <c r="U130">
        <f>VLOOKUP($C130,'2000 Seattle Tracts Conc'!$AZ$3:$BS$94,U$1,FALSE)</f>
        <v>6.6269767648637146</v>
      </c>
      <c r="V130">
        <f>VLOOKUP($C130,'2000 Seattle Tracts Conc'!$AZ$3:$BS$94,V$1,FALSE)</f>
        <v>51.543152615606672</v>
      </c>
      <c r="W130">
        <f>VLOOKUP($C130,'2000 Seattle Tracts Conc'!$AZ$3:$BS$94,W$1,FALSE)</f>
        <v>8.4678036439925251</v>
      </c>
      <c r="X130" s="4">
        <f>VLOOKUP($C130,'2017 Seattle Tracts Conc'!$BA$3:$BT$95,X$1-3,FALSE)</f>
        <v>1957.1680149903636</v>
      </c>
      <c r="Y130">
        <f>VLOOKUP($C130,'2017 Seattle Tracts Conc'!$BA$3:$BT$95,Y$1-3,FALSE)</f>
        <v>1697.6113087134249</v>
      </c>
      <c r="Z130">
        <f>VLOOKUP($C130,'2017 Seattle Tracts Conc'!$BA$3:$BT$95,Z$1-3,FALSE)</f>
        <v>259.55670627693877</v>
      </c>
      <c r="AA130">
        <f>VLOOKUP($C130,'2017 Seattle Tracts Conc'!$BA$3:$BT$95,AA$1-3,FALSE)</f>
        <v>1459.4082038039508</v>
      </c>
      <c r="AB130">
        <f>VLOOKUP($C130,'2017 Seattle Tracts Conc'!$BA$3:$BT$95,AB$1-3,FALSE)</f>
        <v>122.5991250925115</v>
      </c>
      <c r="AC130">
        <f>VLOOKUP($C130,'2017 Seattle Tracts Conc'!$BA$3:$BT$95,AC$1-3,FALSE)</f>
        <v>26.139753398103053</v>
      </c>
      <c r="AD130">
        <f>VLOOKUP($C130,'2017 Seattle Tracts Conc'!$BA$3:$BT$95,AD$1-3,FALSE)</f>
        <v>6.2588141939119986</v>
      </c>
      <c r="AE130">
        <f>VLOOKUP($C130,'2017 Seattle Tracts Conc'!$BA$3:$BT$95,AE$1-3,FALSE)</f>
        <v>14.358456091915761</v>
      </c>
      <c r="AF130">
        <f>VLOOKUP($C130,'2017 Seattle Tracts Conc'!$BA$3:$BT$95,AF$1-3,FALSE)</f>
        <v>0</v>
      </c>
      <c r="AG130">
        <f>VLOOKUP($C130,'2017 Seattle Tracts Conc'!$BA$3:$BT$95,AG$1-3,FALSE)</f>
        <v>4.4179864898202341</v>
      </c>
      <c r="AH130">
        <f>VLOOKUP($C130,'2017 Seattle Tracts Conc'!$BA$3:$BT$95,AH$1-3,FALSE)</f>
        <v>0</v>
      </c>
      <c r="AI130">
        <f>VLOOKUP($C130,'2017 Seattle Tracts Conc'!$BA$3:$BT$95,AI$1-3,FALSE)</f>
        <v>110.8178277863242</v>
      </c>
      <c r="AJ130">
        <f>VLOOKUP($C130,'2017 Seattle Tracts Conc'!$BA$3:$BT$95,AJ$1-3,FALSE)</f>
        <v>99.036530480136918</v>
      </c>
      <c r="AK130">
        <f>VLOOKUP($C130,'2017 Seattle Tracts Conc'!$BA$3:$BT$95,AK$1-3,FALSE)</f>
        <v>0</v>
      </c>
      <c r="AL130">
        <f>VLOOKUP($C130,'2017 Seattle Tracts Conc'!$BA$3:$BT$95,AL$1-3,FALSE)</f>
        <v>17.671945959280936</v>
      </c>
      <c r="AM130">
        <f>VLOOKUP($C130,'2017 Seattle Tracts Conc'!$BA$3:$BT$95,AM$1-3,FALSE)</f>
        <v>5.5224831122752924</v>
      </c>
      <c r="AN130">
        <f>VLOOKUP($C130,'2017 Seattle Tracts Conc'!$BA$3:$BT$95,AN$1-3,FALSE)</f>
        <v>0</v>
      </c>
      <c r="AO130">
        <f>VLOOKUP($C130,'2017 Seattle Tracts Conc'!$BA$3:$BT$95,AO$1-3,FALSE)</f>
        <v>76.946598031035748</v>
      </c>
      <c r="AP130">
        <f>VLOOKUP($C130,'2017 Seattle Tracts Conc'!$BA$3:$BT$95,AP$1-3,FALSE)</f>
        <v>13.990290551097408</v>
      </c>
    </row>
    <row r="131" spans="1:42" x14ac:dyDescent="0.25">
      <c r="A131">
        <v>146</v>
      </c>
      <c r="B131" t="s">
        <v>2495</v>
      </c>
      <c r="C131" t="s">
        <v>202</v>
      </c>
      <c r="D131" t="s">
        <v>201</v>
      </c>
      <c r="E131">
        <f>VLOOKUP($C131,'2000 Seattle Tracts Conc'!$AZ$3:$BS$94,E$1,FALSE)</f>
        <v>3799.4400840248127</v>
      </c>
      <c r="F131">
        <f>VLOOKUP($C131,'2000 Seattle Tracts Conc'!$AZ$3:$BS$94,F$1,FALSE)</f>
        <v>3354.2212081695475</v>
      </c>
      <c r="G131">
        <f>VLOOKUP($C131,'2000 Seattle Tracts Conc'!$AZ$3:$BS$94,G$1,FALSE)</f>
        <v>445.21887585526491</v>
      </c>
      <c r="H131">
        <f>VLOOKUP($C131,'2000 Seattle Tracts Conc'!$AZ$3:$BS$94,H$1,FALSE)</f>
        <v>3048.3661019573569</v>
      </c>
      <c r="I131">
        <f>VLOOKUP($C131,'2000 Seattle Tracts Conc'!$AZ$3:$BS$94,I$1,FALSE)</f>
        <v>250.94788286764799</v>
      </c>
      <c r="J131">
        <f>VLOOKUP($C131,'2000 Seattle Tracts Conc'!$AZ$3:$BS$94,J$1,FALSE)</f>
        <v>51.15253350680365</v>
      </c>
      <c r="K131">
        <f>VLOOKUP($C131,'2000 Seattle Tracts Conc'!$AZ$3:$BS$94,K$1,FALSE)</f>
        <v>19.354934642143462</v>
      </c>
      <c r="L131">
        <f>VLOOKUP($C131,'2000 Seattle Tracts Conc'!$AZ$3:$BS$94,L$1,FALSE)</f>
        <v>42.038916164257053</v>
      </c>
      <c r="M131">
        <f>VLOOKUP($C131,'2000 Seattle Tracts Conc'!$AZ$3:$BS$94,M$1,FALSE)</f>
        <v>6.9627875203340555</v>
      </c>
      <c r="N131">
        <f>VLOOKUP($C131,'2000 Seattle Tracts Conc'!$AZ$3:$BS$94,N$1,FALSE)</f>
        <v>9.3926632861389976</v>
      </c>
      <c r="O131">
        <f>VLOOKUP($C131,'2000 Seattle Tracts Conc'!$AZ$3:$BS$94,O$1,FALSE)</f>
        <v>0</v>
      </c>
      <c r="P131">
        <f>VLOOKUP($C131,'2000 Seattle Tracts Conc'!$AZ$3:$BS$94,P$1,FALSE)</f>
        <v>90.071130247903483</v>
      </c>
      <c r="Q131">
        <f>VLOOKUP($C131,'2000 Seattle Tracts Conc'!$AZ$3:$BS$94,Q$1,FALSE)</f>
        <v>134.03832503026504</v>
      </c>
      <c r="R131">
        <f>VLOOKUP($C131,'2000 Seattle Tracts Conc'!$AZ$3:$BS$94,R$1,FALSE)</f>
        <v>0.95086187402499944</v>
      </c>
      <c r="S131">
        <f>VLOOKUP($C131,'2000 Seattle Tracts Conc'!$AZ$3:$BS$94,S$1,FALSE)</f>
        <v>2.2916539193087258E-3</v>
      </c>
      <c r="T131">
        <f>VLOOKUP($C131,'2000 Seattle Tracts Conc'!$AZ$3:$BS$94,T$1,FALSE)</f>
        <v>12.10891219897673</v>
      </c>
      <c r="U131">
        <f>VLOOKUP($C131,'2000 Seattle Tracts Conc'!$AZ$3:$BS$94,U$1,FALSE)</f>
        <v>13.685807930139376</v>
      </c>
      <c r="V131">
        <f>VLOOKUP($C131,'2000 Seattle Tracts Conc'!$AZ$3:$BS$94,V$1,FALSE)</f>
        <v>100.14008893408564</v>
      </c>
      <c r="W131">
        <f>VLOOKUP($C131,'2000 Seattle Tracts Conc'!$AZ$3:$BS$94,W$1,FALSE)</f>
        <v>20.226846210815662</v>
      </c>
      <c r="X131" s="4">
        <f>VLOOKUP($C131,'2017 Seattle Tracts Conc'!$BA$3:$BT$95,X$1-3,FALSE)</f>
        <v>4466.9634828777916</v>
      </c>
      <c r="Y131">
        <f>VLOOKUP($C131,'2017 Seattle Tracts Conc'!$BA$3:$BT$95,Y$1-3,FALSE)</f>
        <v>3946.663286667505</v>
      </c>
      <c r="Z131">
        <f>VLOOKUP($C131,'2017 Seattle Tracts Conc'!$BA$3:$BT$95,Z$1-3,FALSE)</f>
        <v>520.30019621028691</v>
      </c>
      <c r="AA131">
        <f>VLOOKUP($C131,'2017 Seattle Tracts Conc'!$BA$3:$BT$95,AA$1-3,FALSE)</f>
        <v>3358.4104688674206</v>
      </c>
      <c r="AB131">
        <f>VLOOKUP($C131,'2017 Seattle Tracts Conc'!$BA$3:$BT$95,AB$1-3,FALSE)</f>
        <v>286.6895143700055</v>
      </c>
      <c r="AC131">
        <f>VLOOKUP($C131,'2017 Seattle Tracts Conc'!$BA$3:$BT$95,AC$1-3,FALSE)</f>
        <v>128.544769015284</v>
      </c>
      <c r="AD131">
        <f>VLOOKUP($C131,'2017 Seattle Tracts Conc'!$BA$3:$BT$95,AD$1-3,FALSE)</f>
        <v>29.215437189260651</v>
      </c>
      <c r="AE131">
        <f>VLOOKUP($C131,'2017 Seattle Tracts Conc'!$BA$3:$BT$95,AE$1-3,FALSE)</f>
        <v>32.858590431947064</v>
      </c>
      <c r="AF131">
        <f>VLOOKUP($C131,'2017 Seattle Tracts Conc'!$BA$3:$BT$95,AF$1-3,FALSE)</f>
        <v>8.7042147464102353</v>
      </c>
      <c r="AG131">
        <f>VLOOKUP($C131,'2017 Seattle Tracts Conc'!$BA$3:$BT$95,AG$1-3,FALSE)</f>
        <v>4.3055053745995391</v>
      </c>
      <c r="AH131">
        <f>VLOOKUP($C131,'2017 Seattle Tracts Conc'!$BA$3:$BT$95,AH$1-3,FALSE)</f>
        <v>0</v>
      </c>
      <c r="AI131">
        <f>VLOOKUP($C131,'2017 Seattle Tracts Conc'!$BA$3:$BT$95,AI$1-3,FALSE)</f>
        <v>176.62180828157662</v>
      </c>
      <c r="AJ131">
        <f>VLOOKUP($C131,'2017 Seattle Tracts Conc'!$BA$3:$BT$95,AJ$1-3,FALSE)</f>
        <v>158.45771717017135</v>
      </c>
      <c r="AK131">
        <f>VLOOKUP($C131,'2017 Seattle Tracts Conc'!$BA$3:$BT$95,AK$1-3,FALSE)</f>
        <v>2.6269710010921652</v>
      </c>
      <c r="AL131">
        <f>VLOOKUP($C131,'2017 Seattle Tracts Conc'!$BA$3:$BT$95,AL$1-3,FALSE)</f>
        <v>10.465335572604996</v>
      </c>
      <c r="AM131">
        <f>VLOOKUP($C131,'2017 Seattle Tracts Conc'!$BA$3:$BT$95,AM$1-3,FALSE)</f>
        <v>43.556357038812017</v>
      </c>
      <c r="AN131">
        <f>VLOOKUP($C131,'2017 Seattle Tracts Conc'!$BA$3:$BT$95,AN$1-3,FALSE)</f>
        <v>10.045157250499852</v>
      </c>
      <c r="AO131">
        <f>VLOOKUP($C131,'2017 Seattle Tracts Conc'!$BA$3:$BT$95,AO$1-3,FALSE)</f>
        <v>199.73881665677268</v>
      </c>
      <c r="AP131">
        <f>VLOOKUP($C131,'2017 Seattle Tracts Conc'!$BA$3:$BT$95,AP$1-3,FALSE)</f>
        <v>16.722819911334323</v>
      </c>
    </row>
    <row r="132" spans="1:42" x14ac:dyDescent="0.25">
      <c r="A132">
        <v>147</v>
      </c>
      <c r="B132" t="s">
        <v>2495</v>
      </c>
      <c r="C132" t="s">
        <v>203</v>
      </c>
      <c r="D132" t="s">
        <v>201</v>
      </c>
      <c r="E132">
        <f>VLOOKUP($C132,'2000 Seattle Tracts Conc'!$AZ$3:$BS$94,E$1,FALSE)</f>
        <v>4577.89359820355</v>
      </c>
      <c r="F132">
        <f>VLOOKUP($C132,'2000 Seattle Tracts Conc'!$AZ$3:$BS$94,F$1,FALSE)</f>
        <v>4185.6852157926078</v>
      </c>
      <c r="G132">
        <f>VLOOKUP($C132,'2000 Seattle Tracts Conc'!$AZ$3:$BS$94,G$1,FALSE)</f>
        <v>392.20838241094231</v>
      </c>
      <c r="H132">
        <f>VLOOKUP($C132,'2000 Seattle Tracts Conc'!$AZ$3:$BS$94,H$1,FALSE)</f>
        <v>3942.8973846237968</v>
      </c>
      <c r="I132">
        <f>VLOOKUP($C132,'2000 Seattle Tracts Conc'!$AZ$3:$BS$94,I$1,FALSE)</f>
        <v>314.56157044676269</v>
      </c>
      <c r="J132">
        <f>VLOOKUP($C132,'2000 Seattle Tracts Conc'!$AZ$3:$BS$94,J$1,FALSE)</f>
        <v>58.593272580790028</v>
      </c>
      <c r="K132">
        <f>VLOOKUP($C132,'2000 Seattle Tracts Conc'!$AZ$3:$BS$94,K$1,FALSE)</f>
        <v>13.655828332786378</v>
      </c>
      <c r="L132">
        <f>VLOOKUP($C132,'2000 Seattle Tracts Conc'!$AZ$3:$BS$94,L$1,FALSE)</f>
        <v>59.387274235978254</v>
      </c>
      <c r="M132">
        <f>VLOOKUP($C132,'2000 Seattle Tracts Conc'!$AZ$3:$BS$94,M$1,FALSE)</f>
        <v>1.2702457641519656</v>
      </c>
      <c r="N132">
        <f>VLOOKUP($C132,'2000 Seattle Tracts Conc'!$AZ$3:$BS$94,N$1,FALSE)</f>
        <v>12.703144009672403</v>
      </c>
      <c r="O132">
        <f>VLOOKUP($C132,'2000 Seattle Tracts Conc'!$AZ$3:$BS$94,O$1,FALSE)</f>
        <v>0</v>
      </c>
      <c r="P132">
        <f>VLOOKUP($C132,'2000 Seattle Tracts Conc'!$AZ$3:$BS$94,P$1,FALSE)</f>
        <v>32.709907005438858</v>
      </c>
      <c r="Q132">
        <f>VLOOKUP($C132,'2000 Seattle Tracts Conc'!$AZ$3:$BS$94,Q$1,FALSE)</f>
        <v>37.473328621008733</v>
      </c>
      <c r="R132">
        <f>VLOOKUP($C132,'2000 Seattle Tracts Conc'!$AZ$3:$BS$94,R$1,FALSE)</f>
        <v>3.9697631444580166</v>
      </c>
      <c r="S132">
        <f>VLOOKUP($C132,'2000 Seattle Tracts Conc'!$AZ$3:$BS$94,S$1,FALSE)</f>
        <v>0</v>
      </c>
      <c r="T132">
        <f>VLOOKUP($C132,'2000 Seattle Tracts Conc'!$AZ$3:$BS$94,T$1,FALSE)</f>
        <v>7.1455736600244304</v>
      </c>
      <c r="U132">
        <f>VLOOKUP($C132,'2000 Seattle Tracts Conc'!$AZ$3:$BS$94,U$1,FALSE)</f>
        <v>16.831687874649415</v>
      </c>
      <c r="V132">
        <f>VLOOKUP($C132,'2000 Seattle Tracts Conc'!$AZ$3:$BS$94,V$1,FALSE)</f>
        <v>68.278896532448769</v>
      </c>
      <c r="W132">
        <f>VLOOKUP($C132,'2000 Seattle Tracts Conc'!$AZ$3:$BS$94,W$1,FALSE)</f>
        <v>8.415721371583146</v>
      </c>
      <c r="X132" s="4">
        <f>VLOOKUP($C132,'2017 Seattle Tracts Conc'!$BA$3:$BT$95,X$1-3,FALSE)</f>
        <v>5075.8546470046194</v>
      </c>
      <c r="Y132">
        <f>VLOOKUP($C132,'2017 Seattle Tracts Conc'!$BA$3:$BT$95,Y$1-3,FALSE)</f>
        <v>4437.8391484201738</v>
      </c>
      <c r="Z132">
        <f>VLOOKUP($C132,'2017 Seattle Tracts Conc'!$BA$3:$BT$95,Z$1-3,FALSE)</f>
        <v>638.01549858444525</v>
      </c>
      <c r="AA132">
        <f>VLOOKUP($C132,'2017 Seattle Tracts Conc'!$BA$3:$BT$95,AA$1-3,FALSE)</f>
        <v>4017.2088209311451</v>
      </c>
      <c r="AB132">
        <f>VLOOKUP($C132,'2017 Seattle Tracts Conc'!$BA$3:$BT$95,AB$1-3,FALSE)</f>
        <v>377.60104638616099</v>
      </c>
      <c r="AC132">
        <f>VLOOKUP($C132,'2017 Seattle Tracts Conc'!$BA$3:$BT$95,AC$1-3,FALSE)</f>
        <v>65.420206221250723</v>
      </c>
      <c r="AD132">
        <f>VLOOKUP($C132,'2017 Seattle Tracts Conc'!$BA$3:$BT$95,AD$1-3,FALSE)</f>
        <v>20.324814699770698</v>
      </c>
      <c r="AE132">
        <f>VLOOKUP($C132,'2017 Seattle Tracts Conc'!$BA$3:$BT$95,AE$1-3,FALSE)</f>
        <v>71.137782948833305</v>
      </c>
      <c r="AF132">
        <f>VLOOKUP($C132,'2017 Seattle Tracts Conc'!$BA$3:$BT$95,AF$1-3,FALSE)</f>
        <v>14.449780961677982</v>
      </c>
      <c r="AG132">
        <f>VLOOKUP($C132,'2017 Seattle Tracts Conc'!$BA$3:$BT$95,AG$1-3,FALSE)</f>
        <v>0</v>
      </c>
      <c r="AH132">
        <f>VLOOKUP($C132,'2017 Seattle Tracts Conc'!$BA$3:$BT$95,AH$1-3,FALSE)</f>
        <v>0</v>
      </c>
      <c r="AI132">
        <f>VLOOKUP($C132,'2017 Seattle Tracts Conc'!$BA$3:$BT$95,AI$1-3,FALSE)</f>
        <v>43.665923800139439</v>
      </c>
      <c r="AJ132">
        <f>VLOOKUP($C132,'2017 Seattle Tracts Conc'!$BA$3:$BT$95,AJ$1-3,FALSE)</f>
        <v>164.82321263211003</v>
      </c>
      <c r="AK132">
        <f>VLOOKUP($C132,'2017 Seattle Tracts Conc'!$BA$3:$BT$95,AK$1-3,FALSE)</f>
        <v>0</v>
      </c>
      <c r="AL132">
        <f>VLOOKUP($C132,'2017 Seattle Tracts Conc'!$BA$3:$BT$95,AL$1-3,FALSE)</f>
        <v>0</v>
      </c>
      <c r="AM132">
        <f>VLOOKUP($C132,'2017 Seattle Tracts Conc'!$BA$3:$BT$95,AM$1-3,FALSE)</f>
        <v>24.294381739042215</v>
      </c>
      <c r="AN132">
        <f>VLOOKUP($C132,'2017 Seattle Tracts Conc'!$BA$3:$BT$95,AN$1-3,FALSE)</f>
        <v>2.0641493667469439</v>
      </c>
      <c r="AO132">
        <f>VLOOKUP($C132,'2017 Seattle Tracts Conc'!$BA$3:$BT$95,AO$1-3,FALSE)</f>
        <v>216.11203277976338</v>
      </c>
      <c r="AP132">
        <f>VLOOKUP($C132,'2017 Seattle Tracts Conc'!$BA$3:$BT$95,AP$1-3,FALSE)</f>
        <v>58.752494537978649</v>
      </c>
    </row>
    <row r="133" spans="1:42" x14ac:dyDescent="0.25">
      <c r="A133">
        <v>151</v>
      </c>
      <c r="B133" t="s">
        <v>2495</v>
      </c>
      <c r="C133" t="s">
        <v>204</v>
      </c>
      <c r="D133" t="s">
        <v>201</v>
      </c>
      <c r="E133">
        <f>VLOOKUP($C133,'2000 Seattle Tracts Conc'!$AZ$3:$BS$94,E$1,FALSE)</f>
        <v>20614.730939199202</v>
      </c>
      <c r="F133">
        <f>VLOOKUP($C133,'2000 Seattle Tracts Conc'!$AZ$3:$BS$94,F$1,FALSE)</f>
        <v>17464.399528768325</v>
      </c>
      <c r="G133">
        <f>VLOOKUP($C133,'2000 Seattle Tracts Conc'!$AZ$3:$BS$94,G$1,FALSE)</f>
        <v>3150.3314104308738</v>
      </c>
      <c r="H133">
        <f>VLOOKUP($C133,'2000 Seattle Tracts Conc'!$AZ$3:$BS$94,H$1,FALSE)</f>
        <v>14576.423317838824</v>
      </c>
      <c r="I133">
        <f>VLOOKUP($C133,'2000 Seattle Tracts Conc'!$AZ$3:$BS$94,I$1,FALSE)</f>
        <v>1340.8418365080556</v>
      </c>
      <c r="J133">
        <f>VLOOKUP($C133,'2000 Seattle Tracts Conc'!$AZ$3:$BS$94,J$1,FALSE)</f>
        <v>319.73055222095201</v>
      </c>
      <c r="K133">
        <f>VLOOKUP($C133,'2000 Seattle Tracts Conc'!$AZ$3:$BS$94,K$1,FALSE)</f>
        <v>140.67645644462593</v>
      </c>
      <c r="L133">
        <f>VLOOKUP($C133,'2000 Seattle Tracts Conc'!$AZ$3:$BS$94,L$1,FALSE)</f>
        <v>1022.3497941845962</v>
      </c>
      <c r="M133">
        <f>VLOOKUP($C133,'2000 Seattle Tracts Conc'!$AZ$3:$BS$94,M$1,FALSE)</f>
        <v>254.74569665649403</v>
      </c>
      <c r="N133">
        <f>VLOOKUP($C133,'2000 Seattle Tracts Conc'!$AZ$3:$BS$94,N$1,FALSE)</f>
        <v>173.71873186399847</v>
      </c>
      <c r="O133">
        <f>VLOOKUP($C133,'2000 Seattle Tracts Conc'!$AZ$3:$BS$94,O$1,FALSE)</f>
        <v>20.963592663859341</v>
      </c>
      <c r="P133">
        <f>VLOOKUP($C133,'2000 Seattle Tracts Conc'!$AZ$3:$BS$94,P$1,FALSE)</f>
        <v>410.53582711720412</v>
      </c>
      <c r="Q133">
        <f>VLOOKUP($C133,'2000 Seattle Tracts Conc'!$AZ$3:$BS$94,Q$1,FALSE)</f>
        <v>936.32280575281288</v>
      </c>
      <c r="R133">
        <f>VLOOKUP($C133,'2000 Seattle Tracts Conc'!$AZ$3:$BS$94,R$1,FALSE)</f>
        <v>34.868015830546568</v>
      </c>
      <c r="S133">
        <f>VLOOKUP($C133,'2000 Seattle Tracts Conc'!$AZ$3:$BS$94,S$1,FALSE)</f>
        <v>13.343930632976679</v>
      </c>
      <c r="T133">
        <f>VLOOKUP($C133,'2000 Seattle Tracts Conc'!$AZ$3:$BS$94,T$1,FALSE)</f>
        <v>225.82765834140906</v>
      </c>
      <c r="U133">
        <f>VLOOKUP($C133,'2000 Seattle Tracts Conc'!$AZ$3:$BS$94,U$1,FALSE)</f>
        <v>212.57197051625835</v>
      </c>
      <c r="V133">
        <f>VLOOKUP($C133,'2000 Seattle Tracts Conc'!$AZ$3:$BS$94,V$1,FALSE)</f>
        <v>700.94563137079615</v>
      </c>
      <c r="W133">
        <f>VLOOKUP($C133,'2000 Seattle Tracts Conc'!$AZ$3:$BS$94,W$1,FALSE)</f>
        <v>230.86512125579046</v>
      </c>
      <c r="X133" s="4">
        <f>VLOOKUP($C133,'2017 Seattle Tracts Conc'!$BA$3:$BT$95,X$1-3,FALSE)</f>
        <v>26747.127151170022</v>
      </c>
      <c r="Y133">
        <f>VLOOKUP($C133,'2017 Seattle Tracts Conc'!$BA$3:$BT$95,Y$1-3,FALSE)</f>
        <v>22641.930813924868</v>
      </c>
      <c r="Z133">
        <f>VLOOKUP($C133,'2017 Seattle Tracts Conc'!$BA$3:$BT$95,Z$1-3,FALSE)</f>
        <v>4105.1963372451555</v>
      </c>
      <c r="AA133">
        <f>VLOOKUP($C133,'2017 Seattle Tracts Conc'!$BA$3:$BT$95,AA$1-3,FALSE)</f>
        <v>17537.333122327349</v>
      </c>
      <c r="AB133">
        <f>VLOOKUP($C133,'2017 Seattle Tracts Conc'!$BA$3:$BT$95,AB$1-3,FALSE)</f>
        <v>1736.8232591140065</v>
      </c>
      <c r="AC133">
        <f>VLOOKUP($C133,'2017 Seattle Tracts Conc'!$BA$3:$BT$95,AC$1-3,FALSE)</f>
        <v>779.63044754448435</v>
      </c>
      <c r="AD133">
        <f>VLOOKUP($C133,'2017 Seattle Tracts Conc'!$BA$3:$BT$95,AD$1-3,FALSE)</f>
        <v>162.07833149059925</v>
      </c>
      <c r="AE133">
        <f>VLOOKUP($C133,'2017 Seattle Tracts Conc'!$BA$3:$BT$95,AE$1-3,FALSE)</f>
        <v>747.07474037117458</v>
      </c>
      <c r="AF133">
        <f>VLOOKUP($C133,'2017 Seattle Tracts Conc'!$BA$3:$BT$95,AF$1-3,FALSE)</f>
        <v>233.01064020144298</v>
      </c>
      <c r="AG133">
        <f>VLOOKUP($C133,'2017 Seattle Tracts Conc'!$BA$3:$BT$95,AG$1-3,FALSE)</f>
        <v>87.07800859122456</v>
      </c>
      <c r="AH133">
        <f>VLOOKUP($C133,'2017 Seattle Tracts Conc'!$BA$3:$BT$95,AH$1-3,FALSE)</f>
        <v>0</v>
      </c>
      <c r="AI133">
        <f>VLOOKUP($C133,'2017 Seattle Tracts Conc'!$BA$3:$BT$95,AI$1-3,FALSE)</f>
        <v>1334.631717493892</v>
      </c>
      <c r="AJ133">
        <f>VLOOKUP($C133,'2017 Seattle Tracts Conc'!$BA$3:$BT$95,AJ$1-3,FALSE)</f>
        <v>1497.8550738843737</v>
      </c>
      <c r="AK133">
        <f>VLOOKUP($C133,'2017 Seattle Tracts Conc'!$BA$3:$BT$95,AK$1-3,FALSE)</f>
        <v>55.034429812074158</v>
      </c>
      <c r="AL133">
        <f>VLOOKUP($C133,'2017 Seattle Tracts Conc'!$BA$3:$BT$95,AL$1-3,FALSE)</f>
        <v>0.22817626101698157</v>
      </c>
      <c r="AM133">
        <f>VLOOKUP($C133,'2017 Seattle Tracts Conc'!$BA$3:$BT$95,AM$1-3,FALSE)</f>
        <v>190.9003852063872</v>
      </c>
      <c r="AN133">
        <f>VLOOKUP($C133,'2017 Seattle Tracts Conc'!$BA$3:$BT$95,AN$1-3,FALSE)</f>
        <v>239.28422234657071</v>
      </c>
      <c r="AO133">
        <f>VLOOKUP($C133,'2017 Seattle Tracts Conc'!$BA$3:$BT$95,AO$1-3,FALSE)</f>
        <v>1910.2479625782821</v>
      </c>
      <c r="AP133">
        <f>VLOOKUP($C133,'2017 Seattle Tracts Conc'!$BA$3:$BT$95,AP$1-3,FALSE)</f>
        <v>235.91663394714428</v>
      </c>
    </row>
    <row r="134" spans="1:42" x14ac:dyDescent="0.25">
      <c r="A134">
        <v>149</v>
      </c>
      <c r="B134" t="s">
        <v>2495</v>
      </c>
      <c r="C134" t="s">
        <v>205</v>
      </c>
      <c r="D134" t="s">
        <v>201</v>
      </c>
      <c r="E134">
        <f>VLOOKUP($C134,'2000 Seattle Tracts Conc'!$AZ$3:$BS$94,E$1,FALSE)</f>
        <v>9074.5532514463775</v>
      </c>
      <c r="F134">
        <f>VLOOKUP($C134,'2000 Seattle Tracts Conc'!$AZ$3:$BS$94,F$1,FALSE)</f>
        <v>8169.4942781138088</v>
      </c>
      <c r="G134">
        <f>VLOOKUP($C134,'2000 Seattle Tracts Conc'!$AZ$3:$BS$94,G$1,FALSE)</f>
        <v>905.0589733325678</v>
      </c>
      <c r="H134">
        <f>VLOOKUP($C134,'2000 Seattle Tracts Conc'!$AZ$3:$BS$94,H$1,FALSE)</f>
        <v>6186.2907632359784</v>
      </c>
      <c r="I134">
        <f>VLOOKUP($C134,'2000 Seattle Tracts Conc'!$AZ$3:$BS$94,I$1,FALSE)</f>
        <v>462.35963755365009</v>
      </c>
      <c r="J134">
        <f>VLOOKUP($C134,'2000 Seattle Tracts Conc'!$AZ$3:$BS$94,J$1,FALSE)</f>
        <v>148.31565427994127</v>
      </c>
      <c r="K134">
        <f>VLOOKUP($C134,'2000 Seattle Tracts Conc'!$AZ$3:$BS$94,K$1,FALSE)</f>
        <v>83.336131442021951</v>
      </c>
      <c r="L134">
        <f>VLOOKUP($C134,'2000 Seattle Tracts Conc'!$AZ$3:$BS$94,L$1,FALSE)</f>
        <v>1195.4713897802842</v>
      </c>
      <c r="M134">
        <f>VLOOKUP($C134,'2000 Seattle Tracts Conc'!$AZ$3:$BS$94,M$1,FALSE)</f>
        <v>82.33805647504785</v>
      </c>
      <c r="N134">
        <f>VLOOKUP($C134,'2000 Seattle Tracts Conc'!$AZ$3:$BS$94,N$1,FALSE)</f>
        <v>58.42053180443807</v>
      </c>
      <c r="O134">
        <f>VLOOKUP($C134,'2000 Seattle Tracts Conc'!$AZ$3:$BS$94,O$1,FALSE)</f>
        <v>1.3607035006993133</v>
      </c>
      <c r="P134">
        <f>VLOOKUP($C134,'2000 Seattle Tracts Conc'!$AZ$3:$BS$94,P$1,FALSE)</f>
        <v>209.40215500130395</v>
      </c>
      <c r="Q134">
        <f>VLOOKUP($C134,'2000 Seattle Tracts Conc'!$AZ$3:$BS$94,Q$1,FALSE)</f>
        <v>211.73746654422649</v>
      </c>
      <c r="R134">
        <f>VLOOKUP($C134,'2000 Seattle Tracts Conc'!$AZ$3:$BS$94,R$1,FALSE)</f>
        <v>11.223460175384698</v>
      </c>
      <c r="S134">
        <f>VLOOKUP($C134,'2000 Seattle Tracts Conc'!$AZ$3:$BS$94,S$1,FALSE)</f>
        <v>7.2644047810861183</v>
      </c>
      <c r="T134">
        <f>VLOOKUP($C134,'2000 Seattle Tracts Conc'!$AZ$3:$BS$94,T$1,FALSE)</f>
        <v>38.847007173602996</v>
      </c>
      <c r="U134">
        <f>VLOOKUP($C134,'2000 Seattle Tracts Conc'!$AZ$3:$BS$94,U$1,FALSE)</f>
        <v>23.659850330324577</v>
      </c>
      <c r="V134">
        <f>VLOOKUP($C134,'2000 Seattle Tracts Conc'!$AZ$3:$BS$94,V$1,FALSE)</f>
        <v>321.5233166628762</v>
      </c>
      <c r="W134">
        <f>VLOOKUP($C134,'2000 Seattle Tracts Conc'!$AZ$3:$BS$94,W$1,FALSE)</f>
        <v>33.002722705511324</v>
      </c>
      <c r="X134" s="4">
        <f>VLOOKUP($C134,'2017 Seattle Tracts Conc'!$BA$3:$BT$95,X$1-3,FALSE)</f>
        <v>11322.944965173401</v>
      </c>
      <c r="Y134">
        <f>VLOOKUP($C134,'2017 Seattle Tracts Conc'!$BA$3:$BT$95,Y$1-3,FALSE)</f>
        <v>9809.3064689956736</v>
      </c>
      <c r="Z134">
        <f>VLOOKUP($C134,'2017 Seattle Tracts Conc'!$BA$3:$BT$95,Z$1-3,FALSE)</f>
        <v>1513.6384961777253</v>
      </c>
      <c r="AA134">
        <f>VLOOKUP($C134,'2017 Seattle Tracts Conc'!$BA$3:$BT$95,AA$1-3,FALSE)</f>
        <v>8061.902538682999</v>
      </c>
      <c r="AB134">
        <f>VLOOKUP($C134,'2017 Seattle Tracts Conc'!$BA$3:$BT$95,AB$1-3,FALSE)</f>
        <v>725.48712759701618</v>
      </c>
      <c r="AC134">
        <f>VLOOKUP($C134,'2017 Seattle Tracts Conc'!$BA$3:$BT$95,AC$1-3,FALSE)</f>
        <v>421.54769017225601</v>
      </c>
      <c r="AD134">
        <f>VLOOKUP($C134,'2017 Seattle Tracts Conc'!$BA$3:$BT$95,AD$1-3,FALSE)</f>
        <v>126.65318928537108</v>
      </c>
      <c r="AE134">
        <f>VLOOKUP($C134,'2017 Seattle Tracts Conc'!$BA$3:$BT$95,AE$1-3,FALSE)</f>
        <v>360.04992031247031</v>
      </c>
      <c r="AF134">
        <f>VLOOKUP($C134,'2017 Seattle Tracts Conc'!$BA$3:$BT$95,AF$1-3,FALSE)</f>
        <v>145.3887455091608</v>
      </c>
      <c r="AG134">
        <f>VLOOKUP($C134,'2017 Seattle Tracts Conc'!$BA$3:$BT$95,AG$1-3,FALSE)</f>
        <v>32.211865677674808</v>
      </c>
      <c r="AH134">
        <f>VLOOKUP($C134,'2017 Seattle Tracts Conc'!$BA$3:$BT$95,AH$1-3,FALSE)</f>
        <v>0</v>
      </c>
      <c r="AI134">
        <f>VLOOKUP($C134,'2017 Seattle Tracts Conc'!$BA$3:$BT$95,AI$1-3,FALSE)</f>
        <v>351.50487325480418</v>
      </c>
      <c r="AJ134">
        <f>VLOOKUP($C134,'2017 Seattle Tracts Conc'!$BA$3:$BT$95,AJ$1-3,FALSE)</f>
        <v>456.96939181680449</v>
      </c>
      <c r="AK134">
        <f>VLOOKUP($C134,'2017 Seattle Tracts Conc'!$BA$3:$BT$95,AK$1-3,FALSE)</f>
        <v>18.577272757026321</v>
      </c>
      <c r="AL134">
        <f>VLOOKUP($C134,'2017 Seattle Tracts Conc'!$BA$3:$BT$95,AL$1-3,FALSE)</f>
        <v>0.22672512516352497</v>
      </c>
      <c r="AM134">
        <f>VLOOKUP($C134,'2017 Seattle Tracts Conc'!$BA$3:$BT$95,AM$1-3,FALSE)</f>
        <v>53.681893531946812</v>
      </c>
      <c r="AN134">
        <f>VLOOKUP($C134,'2017 Seattle Tracts Conc'!$BA$3:$BT$95,AN$1-3,FALSE)</f>
        <v>23.490161724336325</v>
      </c>
      <c r="AO134">
        <f>VLOOKUP($C134,'2017 Seattle Tracts Conc'!$BA$3:$BT$95,AO$1-3,FALSE)</f>
        <v>509.83041460649719</v>
      </c>
      <c r="AP134">
        <f>VLOOKUP($C134,'2017 Seattle Tracts Conc'!$BA$3:$BT$95,AP$1-3,FALSE)</f>
        <v>35.423155119872959</v>
      </c>
    </row>
    <row r="135" spans="1:42" x14ac:dyDescent="0.25">
      <c r="A135">
        <v>106</v>
      </c>
      <c r="B135" t="s">
        <v>2495</v>
      </c>
      <c r="C135" t="s">
        <v>206</v>
      </c>
      <c r="D135" t="s">
        <v>207</v>
      </c>
      <c r="E135">
        <f>VLOOKUP($C135,'2000 Seattle Tracts Conc'!$AZ$3:$BS$94,E$1,FALSE)</f>
        <v>5364.5118140851919</v>
      </c>
      <c r="F135">
        <f>VLOOKUP($C135,'2000 Seattle Tracts Conc'!$AZ$3:$BS$94,F$1,FALSE)</f>
        <v>4415.2825449368065</v>
      </c>
      <c r="G135">
        <f>VLOOKUP($C135,'2000 Seattle Tracts Conc'!$AZ$3:$BS$94,G$1,FALSE)</f>
        <v>949.22926914838627</v>
      </c>
      <c r="H135">
        <f>VLOOKUP($C135,'2000 Seattle Tracts Conc'!$AZ$3:$BS$94,H$1,FALSE)</f>
        <v>3540.6430063396092</v>
      </c>
      <c r="I135">
        <f>VLOOKUP($C135,'2000 Seattle Tracts Conc'!$AZ$3:$BS$94,I$1,FALSE)</f>
        <v>254.93486883904046</v>
      </c>
      <c r="J135">
        <f>VLOOKUP($C135,'2000 Seattle Tracts Conc'!$AZ$3:$BS$94,J$1,FALSE)</f>
        <v>101.28989054651592</v>
      </c>
      <c r="K135">
        <f>VLOOKUP($C135,'2000 Seattle Tracts Conc'!$AZ$3:$BS$94,K$1,FALSE)</f>
        <v>13.299694424466177</v>
      </c>
      <c r="L135">
        <f>VLOOKUP($C135,'2000 Seattle Tracts Conc'!$AZ$3:$BS$94,L$1,FALSE)</f>
        <v>161.44385484344576</v>
      </c>
      <c r="M135">
        <f>VLOOKUP($C135,'2000 Seattle Tracts Conc'!$AZ$3:$BS$94,M$1,FALSE)</f>
        <v>81.887470741989219</v>
      </c>
      <c r="N135">
        <f>VLOOKUP($C135,'2000 Seattle Tracts Conc'!$AZ$3:$BS$94,N$1,FALSE)</f>
        <v>31.954641184613454</v>
      </c>
      <c r="O135">
        <f>VLOOKUP($C135,'2000 Seattle Tracts Conc'!$AZ$3:$BS$94,O$1,FALSE)</f>
        <v>5.0554274659051623</v>
      </c>
      <c r="P135">
        <f>VLOOKUP($C135,'2000 Seattle Tracts Conc'!$AZ$3:$BS$94,P$1,FALSE)</f>
        <v>277.91988330260716</v>
      </c>
      <c r="Q135">
        <f>VLOOKUP($C135,'2000 Seattle Tracts Conc'!$AZ$3:$BS$94,Q$1,FALSE)</f>
        <v>480.92989396778535</v>
      </c>
      <c r="R135">
        <f>VLOOKUP($C135,'2000 Seattle Tracts Conc'!$AZ$3:$BS$94,R$1,FALSE)</f>
        <v>14.414337962036536</v>
      </c>
      <c r="S135">
        <f>VLOOKUP($C135,'2000 Seattle Tracts Conc'!$AZ$3:$BS$94,S$1,FALSE)</f>
        <v>15.992709864638513</v>
      </c>
      <c r="T135">
        <f>VLOOKUP($C135,'2000 Seattle Tracts Conc'!$AZ$3:$BS$94,T$1,FALSE)</f>
        <v>93.123061375828627</v>
      </c>
      <c r="U135">
        <f>VLOOKUP($C135,'2000 Seattle Tracts Conc'!$AZ$3:$BS$94,U$1,FALSE)</f>
        <v>62.045774557179783</v>
      </c>
      <c r="V135">
        <f>VLOOKUP($C135,'2000 Seattle Tracts Conc'!$AZ$3:$BS$94,V$1,FALSE)</f>
        <v>194.493869382149</v>
      </c>
      <c r="W135">
        <f>VLOOKUP($C135,'2000 Seattle Tracts Conc'!$AZ$3:$BS$94,W$1,FALSE)</f>
        <v>35.083429287381655</v>
      </c>
      <c r="X135" s="4">
        <f>VLOOKUP($C135,'2017 Seattle Tracts Conc'!$BA$3:$BT$95,X$1-3,FALSE)</f>
        <v>6302.7497670777493</v>
      </c>
      <c r="Y135">
        <f>VLOOKUP($C135,'2017 Seattle Tracts Conc'!$BA$3:$BT$95,Y$1-3,FALSE)</f>
        <v>4727.9553257161042</v>
      </c>
      <c r="Z135">
        <f>VLOOKUP($C135,'2017 Seattle Tracts Conc'!$BA$3:$BT$95,Z$1-3,FALSE)</f>
        <v>1574.7944413616456</v>
      </c>
      <c r="AA135">
        <f>VLOOKUP($C135,'2017 Seattle Tracts Conc'!$BA$3:$BT$95,AA$1-3,FALSE)</f>
        <v>3600.2826675298525</v>
      </c>
      <c r="AB135">
        <f>VLOOKUP($C135,'2017 Seattle Tracts Conc'!$BA$3:$BT$95,AB$1-3,FALSE)</f>
        <v>291.09606138280412</v>
      </c>
      <c r="AC135">
        <f>VLOOKUP($C135,'2017 Seattle Tracts Conc'!$BA$3:$BT$95,AC$1-3,FALSE)</f>
        <v>203.16491680803631</v>
      </c>
      <c r="AD135">
        <f>VLOOKUP($C135,'2017 Seattle Tracts Conc'!$BA$3:$BT$95,AD$1-3,FALSE)</f>
        <v>120.68222281615061</v>
      </c>
      <c r="AE135">
        <f>VLOOKUP($C135,'2017 Seattle Tracts Conc'!$BA$3:$BT$95,AE$1-3,FALSE)</f>
        <v>222.9284646952311</v>
      </c>
      <c r="AF135">
        <f>VLOOKUP($C135,'2017 Seattle Tracts Conc'!$BA$3:$BT$95,AF$1-3,FALSE)</f>
        <v>236.94297676095061</v>
      </c>
      <c r="AG135">
        <f>VLOOKUP($C135,'2017 Seattle Tracts Conc'!$BA$3:$BT$95,AG$1-3,FALSE)</f>
        <v>11.405456571959776</v>
      </c>
      <c r="AH135">
        <f>VLOOKUP($C135,'2017 Seattle Tracts Conc'!$BA$3:$BT$95,AH$1-3,FALSE)</f>
        <v>1.3422634771865056E-3</v>
      </c>
      <c r="AI135">
        <f>VLOOKUP($C135,'2017 Seattle Tracts Conc'!$BA$3:$BT$95,AI$1-3,FALSE)</f>
        <v>293.74892055553096</v>
      </c>
      <c r="AJ135">
        <f>VLOOKUP($C135,'2017 Seattle Tracts Conc'!$BA$3:$BT$95,AJ$1-3,FALSE)</f>
        <v>742.44947906271966</v>
      </c>
      <c r="AK135">
        <f>VLOOKUP($C135,'2017 Seattle Tracts Conc'!$BA$3:$BT$95,AK$1-3,FALSE)</f>
        <v>50.337706591801556</v>
      </c>
      <c r="AL135">
        <f>VLOOKUP($C135,'2017 Seattle Tracts Conc'!$BA$3:$BT$95,AL$1-3,FALSE)</f>
        <v>29.068253102307942</v>
      </c>
      <c r="AM135">
        <f>VLOOKUP($C135,'2017 Seattle Tracts Conc'!$BA$3:$BT$95,AM$1-3,FALSE)</f>
        <v>89.555484946103462</v>
      </c>
      <c r="AN135">
        <f>VLOOKUP($C135,'2017 Seattle Tracts Conc'!$BA$3:$BT$95,AN$1-3,FALSE)</f>
        <v>138.90659331273162</v>
      </c>
      <c r="AO135">
        <f>VLOOKUP($C135,'2017 Seattle Tracts Conc'!$BA$3:$BT$95,AO$1-3,FALSE)</f>
        <v>256.53170801758853</v>
      </c>
      <c r="AP135">
        <f>VLOOKUP($C135,'2017 Seattle Tracts Conc'!$BA$3:$BT$95,AP$1-3,FALSE)</f>
        <v>15.647512660503679</v>
      </c>
    </row>
    <row r="136" spans="1:42" x14ac:dyDescent="0.25">
      <c r="A136">
        <v>107</v>
      </c>
      <c r="B136" t="s">
        <v>2495</v>
      </c>
      <c r="C136" t="s">
        <v>208</v>
      </c>
      <c r="D136" t="s">
        <v>207</v>
      </c>
      <c r="E136">
        <f>VLOOKUP($C136,'2000 Seattle Tracts Conc'!$AZ$3:$BS$94,E$1,FALSE)</f>
        <v>6046.1289045600388</v>
      </c>
      <c r="F136">
        <f>VLOOKUP($C136,'2000 Seattle Tracts Conc'!$AZ$3:$BS$94,F$1,FALSE)</f>
        <v>5120.092609694294</v>
      </c>
      <c r="G136">
        <f>VLOOKUP($C136,'2000 Seattle Tracts Conc'!$AZ$3:$BS$94,G$1,FALSE)</f>
        <v>926.03629486574437</v>
      </c>
      <c r="H136">
        <f>VLOOKUP($C136,'2000 Seattle Tracts Conc'!$AZ$3:$BS$94,H$1,FALSE)</f>
        <v>4544.0216123948521</v>
      </c>
      <c r="I136">
        <f>VLOOKUP($C136,'2000 Seattle Tracts Conc'!$AZ$3:$BS$94,I$1,FALSE)</f>
        <v>414.58363034048625</v>
      </c>
      <c r="J136">
        <f>VLOOKUP($C136,'2000 Seattle Tracts Conc'!$AZ$3:$BS$94,J$1,FALSE)</f>
        <v>72.286598067358895</v>
      </c>
      <c r="K136">
        <f>VLOOKUP($C136,'2000 Seattle Tracts Conc'!$AZ$3:$BS$94,K$1,FALSE)</f>
        <v>18.465694853739151</v>
      </c>
      <c r="L136">
        <f>VLOOKUP($C136,'2000 Seattle Tracts Conc'!$AZ$3:$BS$94,L$1,FALSE)</f>
        <v>82.728537113247398</v>
      </c>
      <c r="M136">
        <f>VLOOKUP($C136,'2000 Seattle Tracts Conc'!$AZ$3:$BS$94,M$1,FALSE)</f>
        <v>13.338183677111978</v>
      </c>
      <c r="N136">
        <f>VLOOKUP($C136,'2000 Seattle Tracts Conc'!$AZ$3:$BS$94,N$1,FALSE)</f>
        <v>31.118128584347009</v>
      </c>
      <c r="O136">
        <f>VLOOKUP($C136,'2000 Seattle Tracts Conc'!$AZ$3:$BS$94,O$1,FALSE)</f>
        <v>4.0065803097734998</v>
      </c>
      <c r="P136">
        <f>VLOOKUP($C136,'2000 Seattle Tracts Conc'!$AZ$3:$BS$94,P$1,FALSE)</f>
        <v>207.72375095494365</v>
      </c>
      <c r="Q136">
        <f>VLOOKUP($C136,'2000 Seattle Tracts Conc'!$AZ$3:$BS$94,Q$1,FALSE)</f>
        <v>379.6480943341482</v>
      </c>
      <c r="R136">
        <f>VLOOKUP($C136,'2000 Seattle Tracts Conc'!$AZ$3:$BS$94,R$1,FALSE)</f>
        <v>1.3095792884080376E-3</v>
      </c>
      <c r="S136">
        <f>VLOOKUP($C136,'2000 Seattle Tracts Conc'!$AZ$3:$BS$94,S$1,FALSE)</f>
        <v>0</v>
      </c>
      <c r="T136">
        <f>VLOOKUP($C136,'2000 Seattle Tracts Conc'!$AZ$3:$BS$94,T$1,FALSE)</f>
        <v>54.367823380490982</v>
      </c>
      <c r="U136">
        <f>VLOOKUP($C136,'2000 Seattle Tracts Conc'!$AZ$3:$BS$94,U$1,FALSE)</f>
        <v>51.812270699017589</v>
      </c>
      <c r="V136">
        <f>VLOOKUP($C136,'2000 Seattle Tracts Conc'!$AZ$3:$BS$94,V$1,FALSE)</f>
        <v>127.84484961976457</v>
      </c>
      <c r="W136">
        <f>VLOOKUP($C136,'2000 Seattle Tracts Conc'!$AZ$3:$BS$94,W$1,FALSE)</f>
        <v>44.181840651467645</v>
      </c>
      <c r="X136" s="4">
        <f>VLOOKUP($C136,'2017 Seattle Tracts Conc'!$BA$3:$BT$95,X$1-3,FALSE)</f>
        <v>6124.6679539706647</v>
      </c>
      <c r="Y136">
        <f>VLOOKUP($C136,'2017 Seattle Tracts Conc'!$BA$3:$BT$95,Y$1-3,FALSE)</f>
        <v>5377.9823151952614</v>
      </c>
      <c r="Z136">
        <f>VLOOKUP($C136,'2017 Seattle Tracts Conc'!$BA$3:$BT$95,Z$1-3,FALSE)</f>
        <v>746.68563877540305</v>
      </c>
      <c r="AA136">
        <f>VLOOKUP($C136,'2017 Seattle Tracts Conc'!$BA$3:$BT$95,AA$1-3,FALSE)</f>
        <v>4588.8121742477251</v>
      </c>
      <c r="AB136">
        <f>VLOOKUP($C136,'2017 Seattle Tracts Conc'!$BA$3:$BT$95,AB$1-3,FALSE)</f>
        <v>262.11853125585594</v>
      </c>
      <c r="AC136">
        <f>VLOOKUP($C136,'2017 Seattle Tracts Conc'!$BA$3:$BT$95,AC$1-3,FALSE)</f>
        <v>67.296742588663534</v>
      </c>
      <c r="AD136">
        <f>VLOOKUP($C136,'2017 Seattle Tracts Conc'!$BA$3:$BT$95,AD$1-3,FALSE)</f>
        <v>49.24819601603869</v>
      </c>
      <c r="AE136">
        <f>VLOOKUP($C136,'2017 Seattle Tracts Conc'!$BA$3:$BT$95,AE$1-3,FALSE)</f>
        <v>73.948963710393599</v>
      </c>
      <c r="AF136">
        <f>VLOOKUP($C136,'2017 Seattle Tracts Conc'!$BA$3:$BT$95,AF$1-3,FALSE)</f>
        <v>12.228427148474063</v>
      </c>
      <c r="AG136">
        <f>VLOOKUP($C136,'2017 Seattle Tracts Conc'!$BA$3:$BT$95,AG$1-3,FALSE)</f>
        <v>11.662319814774952</v>
      </c>
      <c r="AH136">
        <f>VLOOKUP($C136,'2017 Seattle Tracts Conc'!$BA$3:$BT$95,AH$1-3,FALSE)</f>
        <v>21.008679567010478</v>
      </c>
      <c r="AI136">
        <f>VLOOKUP($C136,'2017 Seattle Tracts Conc'!$BA$3:$BT$95,AI$1-3,FALSE)</f>
        <v>283.8555578816871</v>
      </c>
      <c r="AJ136">
        <f>VLOOKUP($C136,'2017 Seattle Tracts Conc'!$BA$3:$BT$95,AJ$1-3,FALSE)</f>
        <v>373.82471128740667</v>
      </c>
      <c r="AK136">
        <f>VLOOKUP($C136,'2017 Seattle Tracts Conc'!$BA$3:$BT$95,AK$1-3,FALSE)</f>
        <v>34.107840446716246</v>
      </c>
      <c r="AL136">
        <f>VLOOKUP($C136,'2017 Seattle Tracts Conc'!$BA$3:$BT$95,AL$1-3,FALSE)</f>
        <v>8.9487657667052523E-3</v>
      </c>
      <c r="AM136">
        <f>VLOOKUP($C136,'2017 Seattle Tracts Conc'!$BA$3:$BT$95,AM$1-3,FALSE)</f>
        <v>17.250510295426018</v>
      </c>
      <c r="AN136">
        <f>VLOOKUP($C136,'2017 Seattle Tracts Conc'!$BA$3:$BT$95,AN$1-3,FALSE)</f>
        <v>6.8341383892365322</v>
      </c>
      <c r="AO136">
        <f>VLOOKUP($C136,'2017 Seattle Tracts Conc'!$BA$3:$BT$95,AO$1-3,FALSE)</f>
        <v>301.04820620987493</v>
      </c>
      <c r="AP136">
        <f>VLOOKUP($C136,'2017 Seattle Tracts Conc'!$BA$3:$BT$95,AP$1-3,FALSE)</f>
        <v>21.414006345613949</v>
      </c>
    </row>
    <row r="137" spans="1:42" x14ac:dyDescent="0.25">
      <c r="A137">
        <v>108</v>
      </c>
      <c r="B137" t="s">
        <v>2495</v>
      </c>
      <c r="C137" t="s">
        <v>209</v>
      </c>
      <c r="D137" t="s">
        <v>207</v>
      </c>
      <c r="E137">
        <f>VLOOKUP($C137,'2000 Seattle Tracts Conc'!$AZ$3:$BS$94,E$1,FALSE)</f>
        <v>3536.1458389014733</v>
      </c>
      <c r="F137">
        <f>VLOOKUP($C137,'2000 Seattle Tracts Conc'!$AZ$3:$BS$94,F$1,FALSE)</f>
        <v>2940.4268050177202</v>
      </c>
      <c r="G137">
        <f>VLOOKUP($C137,'2000 Seattle Tracts Conc'!$AZ$3:$BS$94,G$1,FALSE)</f>
        <v>595.7190338837529</v>
      </c>
      <c r="H137">
        <f>VLOOKUP($C137,'2000 Seattle Tracts Conc'!$AZ$3:$BS$94,H$1,FALSE)</f>
        <v>2406.2667954496469</v>
      </c>
      <c r="I137">
        <f>VLOOKUP($C137,'2000 Seattle Tracts Conc'!$AZ$3:$BS$94,I$1,FALSE)</f>
        <v>160.47167953572804</v>
      </c>
      <c r="J137">
        <f>VLOOKUP($C137,'2000 Seattle Tracts Conc'!$AZ$3:$BS$94,J$1,FALSE)</f>
        <v>73.163694477961386</v>
      </c>
      <c r="K137">
        <f>VLOOKUP($C137,'2000 Seattle Tracts Conc'!$AZ$3:$BS$94,K$1,FALSE)</f>
        <v>5.5921397623483031</v>
      </c>
      <c r="L137">
        <f>VLOOKUP($C137,'2000 Seattle Tracts Conc'!$AZ$3:$BS$94,L$1,FALSE)</f>
        <v>110.21425559876516</v>
      </c>
      <c r="M137">
        <f>VLOOKUP($C137,'2000 Seattle Tracts Conc'!$AZ$3:$BS$94,M$1,FALSE)</f>
        <v>21.746492364085846</v>
      </c>
      <c r="N137">
        <f>VLOOKUP($C137,'2000 Seattle Tracts Conc'!$AZ$3:$BS$94,N$1,FALSE)</f>
        <v>32.72554085762517</v>
      </c>
      <c r="O137">
        <f>VLOOKUP($C137,'2000 Seattle Tracts Conc'!$AZ$3:$BS$94,O$1,FALSE)</f>
        <v>1.1891825789680432</v>
      </c>
      <c r="P137">
        <f>VLOOKUP($C137,'2000 Seattle Tracts Conc'!$AZ$3:$BS$94,P$1,FALSE)</f>
        <v>115.13589188795565</v>
      </c>
      <c r="Q137">
        <f>VLOOKUP($C137,'2000 Seattle Tracts Conc'!$AZ$3:$BS$94,Q$1,FALSE)</f>
        <v>333.17913824747041</v>
      </c>
      <c r="R137">
        <f>VLOOKUP($C137,'2000 Seattle Tracts Conc'!$AZ$3:$BS$94,R$1,FALSE)</f>
        <v>1.0211783664462786</v>
      </c>
      <c r="S137">
        <f>VLOOKUP($C137,'2000 Seattle Tracts Conc'!$AZ$3:$BS$94,S$1,FALSE)</f>
        <v>3.5920223663164792E-3</v>
      </c>
      <c r="T137">
        <f>VLOOKUP($C137,'2000 Seattle Tracts Conc'!$AZ$3:$BS$94,T$1,FALSE)</f>
        <v>52.54274707189127</v>
      </c>
      <c r="U137">
        <f>VLOOKUP($C137,'2000 Seattle Tracts Conc'!$AZ$3:$BS$94,U$1,FALSE)</f>
        <v>37.345476258764677</v>
      </c>
      <c r="V137">
        <f>VLOOKUP($C137,'2000 Seattle Tracts Conc'!$AZ$3:$BS$94,V$1,FALSE)</f>
        <v>149.35670130742844</v>
      </c>
      <c r="W137">
        <f>VLOOKUP($C137,'2000 Seattle Tracts Conc'!$AZ$3:$BS$94,W$1,FALSE)</f>
        <v>36.191333114021219</v>
      </c>
      <c r="X137" s="4">
        <f>VLOOKUP($C137,'2017 Seattle Tracts Conc'!$BA$3:$BT$95,X$1-3,FALSE)</f>
        <v>4065.4057618187658</v>
      </c>
      <c r="Y137">
        <f>VLOOKUP($C137,'2017 Seattle Tracts Conc'!$BA$3:$BT$95,Y$1-3,FALSE)</f>
        <v>3221.0934973671219</v>
      </c>
      <c r="Z137">
        <f>VLOOKUP($C137,'2017 Seattle Tracts Conc'!$BA$3:$BT$95,Z$1-3,FALSE)</f>
        <v>844.31226445164441</v>
      </c>
      <c r="AA137">
        <f>VLOOKUP($C137,'2017 Seattle Tracts Conc'!$BA$3:$BT$95,AA$1-3,FALSE)</f>
        <v>2535.4229543315269</v>
      </c>
      <c r="AB137">
        <f>VLOOKUP($C137,'2017 Seattle Tracts Conc'!$BA$3:$BT$95,AB$1-3,FALSE)</f>
        <v>192.6959078178466</v>
      </c>
      <c r="AC137">
        <f>VLOOKUP($C137,'2017 Seattle Tracts Conc'!$BA$3:$BT$95,AC$1-3,FALSE)</f>
        <v>73.442237123883771</v>
      </c>
      <c r="AD137">
        <f>VLOOKUP($C137,'2017 Seattle Tracts Conc'!$BA$3:$BT$95,AD$1-3,FALSE)</f>
        <v>43.374972942692608</v>
      </c>
      <c r="AE137">
        <f>VLOOKUP($C137,'2017 Seattle Tracts Conc'!$BA$3:$BT$95,AE$1-3,FALSE)</f>
        <v>225.78443989139319</v>
      </c>
      <c r="AF137">
        <f>VLOOKUP($C137,'2017 Seattle Tracts Conc'!$BA$3:$BT$95,AF$1-3,FALSE)</f>
        <v>155.59678650477395</v>
      </c>
      <c r="AG137">
        <f>VLOOKUP($C137,'2017 Seattle Tracts Conc'!$BA$3:$BT$95,AG$1-3,FALSE)</f>
        <v>4.5111430033034683</v>
      </c>
      <c r="AH137">
        <f>VLOOKUP($C137,'2017 Seattle Tracts Conc'!$BA$3:$BT$95,AH$1-3,FALSE)</f>
        <v>0</v>
      </c>
      <c r="AI137">
        <f>VLOOKUP($C137,'2017 Seattle Tracts Conc'!$BA$3:$BT$95,AI$1-3,FALSE)</f>
        <v>175.87119763448857</v>
      </c>
      <c r="AJ137">
        <f>VLOOKUP($C137,'2017 Seattle Tracts Conc'!$BA$3:$BT$95,AJ$1-3,FALSE)</f>
        <v>390.99235643611485</v>
      </c>
      <c r="AK137">
        <f>VLOOKUP($C137,'2017 Seattle Tracts Conc'!$BA$3:$BT$95,AK$1-3,FALSE)</f>
        <v>12.045712120311174</v>
      </c>
      <c r="AL137">
        <f>VLOOKUP($C137,'2017 Seattle Tracts Conc'!$BA$3:$BT$95,AL$1-3,FALSE)</f>
        <v>6.9551506214591328</v>
      </c>
      <c r="AM137">
        <f>VLOOKUP($C137,'2017 Seattle Tracts Conc'!$BA$3:$BT$95,AM$1-3,FALSE)</f>
        <v>31.241080405482535</v>
      </c>
      <c r="AN137">
        <f>VLOOKUP($C137,'2017 Seattle Tracts Conc'!$BA$3:$BT$95,AN$1-3,FALSE)</f>
        <v>38.697351198880114</v>
      </c>
      <c r="AO137">
        <f>VLOOKUP($C137,'2017 Seattle Tracts Conc'!$BA$3:$BT$95,AO$1-3,FALSE)</f>
        <v>162.77473285673193</v>
      </c>
      <c r="AP137">
        <f>VLOOKUP($C137,'2017 Seattle Tracts Conc'!$BA$3:$BT$95,AP$1-3,FALSE)</f>
        <v>15.999738929877216</v>
      </c>
    </row>
    <row r="138" spans="1:42" x14ac:dyDescent="0.25">
      <c r="A138">
        <v>104</v>
      </c>
      <c r="B138" t="s">
        <v>2495</v>
      </c>
      <c r="C138" t="s">
        <v>210</v>
      </c>
      <c r="D138" t="s">
        <v>207</v>
      </c>
      <c r="E138">
        <f>VLOOKUP($C138,'2000 Seattle Tracts Conc'!$AZ$3:$BS$94,E$1,FALSE)</f>
        <v>5690.1309433728075</v>
      </c>
      <c r="F138">
        <f>VLOOKUP($C138,'2000 Seattle Tracts Conc'!$AZ$3:$BS$94,F$1,FALSE)</f>
        <v>4376.4368062316007</v>
      </c>
      <c r="G138">
        <f>VLOOKUP($C138,'2000 Seattle Tracts Conc'!$AZ$3:$BS$94,G$1,FALSE)</f>
        <v>1313.6941371412067</v>
      </c>
      <c r="H138">
        <f>VLOOKUP($C138,'2000 Seattle Tracts Conc'!$AZ$3:$BS$94,H$1,FALSE)</f>
        <v>3449.280061271762</v>
      </c>
      <c r="I138">
        <f>VLOOKUP($C138,'2000 Seattle Tracts Conc'!$AZ$3:$BS$94,I$1,FALSE)</f>
        <v>354.59069894556688</v>
      </c>
      <c r="J138">
        <f>VLOOKUP($C138,'2000 Seattle Tracts Conc'!$AZ$3:$BS$94,J$1,FALSE)</f>
        <v>82.568073611976388</v>
      </c>
      <c r="K138">
        <f>VLOOKUP($C138,'2000 Seattle Tracts Conc'!$AZ$3:$BS$94,K$1,FALSE)</f>
        <v>34.085891051714981</v>
      </c>
      <c r="L138">
        <f>VLOOKUP($C138,'2000 Seattle Tracts Conc'!$AZ$3:$BS$94,L$1,FALSE)</f>
        <v>240.86278882284958</v>
      </c>
      <c r="M138">
        <f>VLOOKUP($C138,'2000 Seattle Tracts Conc'!$AZ$3:$BS$94,M$1,FALSE)</f>
        <v>106.37290396863237</v>
      </c>
      <c r="N138">
        <f>VLOOKUP($C138,'2000 Seattle Tracts Conc'!$AZ$3:$BS$94,N$1,FALSE)</f>
        <v>44.880737583431284</v>
      </c>
      <c r="O138">
        <f>VLOOKUP($C138,'2000 Seattle Tracts Conc'!$AZ$3:$BS$94,O$1,FALSE)</f>
        <v>2.3816890024749467E-3</v>
      </c>
      <c r="P138">
        <f>VLOOKUP($C138,'2000 Seattle Tracts Conc'!$AZ$3:$BS$94,P$1,FALSE)</f>
        <v>249.21467355929533</v>
      </c>
      <c r="Q138">
        <f>VLOOKUP($C138,'2000 Seattle Tracts Conc'!$AZ$3:$BS$94,Q$1,FALSE)</f>
        <v>614.8001682710501</v>
      </c>
      <c r="R138">
        <f>VLOOKUP($C138,'2000 Seattle Tracts Conc'!$AZ$3:$BS$94,R$1,FALSE)</f>
        <v>14.916009536746332</v>
      </c>
      <c r="S138">
        <f>VLOOKUP($C138,'2000 Seattle Tracts Conc'!$AZ$3:$BS$94,S$1,FALSE)</f>
        <v>12.582479319926726</v>
      </c>
      <c r="T138">
        <f>VLOOKUP($C138,'2000 Seattle Tracts Conc'!$AZ$3:$BS$94,T$1,FALSE)</f>
        <v>60.487422498325557</v>
      </c>
      <c r="U138">
        <f>VLOOKUP($C138,'2000 Seattle Tracts Conc'!$AZ$3:$BS$94,U$1,FALSE)</f>
        <v>85.342358565347666</v>
      </c>
      <c r="V138">
        <f>VLOOKUP($C138,'2000 Seattle Tracts Conc'!$AZ$3:$BS$94,V$1,FALSE)</f>
        <v>234.22703934721414</v>
      </c>
      <c r="W138">
        <f>VLOOKUP($C138,'2000 Seattle Tracts Conc'!$AZ$3:$BS$94,W$1,FALSE)</f>
        <v>105.9172553299654</v>
      </c>
      <c r="X138" s="4">
        <f>VLOOKUP($C138,'2017 Seattle Tracts Conc'!$BA$3:$BT$95,X$1-3,FALSE)</f>
        <v>6633.4629878975948</v>
      </c>
      <c r="Y138">
        <f>VLOOKUP($C138,'2017 Seattle Tracts Conc'!$BA$3:$BT$95,Y$1-3,FALSE)</f>
        <v>4745.7369448182217</v>
      </c>
      <c r="Z138">
        <f>VLOOKUP($C138,'2017 Seattle Tracts Conc'!$BA$3:$BT$95,Z$1-3,FALSE)</f>
        <v>1887.7260430793726</v>
      </c>
      <c r="AA138">
        <f>VLOOKUP($C138,'2017 Seattle Tracts Conc'!$BA$3:$BT$95,AA$1-3,FALSE)</f>
        <v>3516.3477714366718</v>
      </c>
      <c r="AB138">
        <f>VLOOKUP($C138,'2017 Seattle Tracts Conc'!$BA$3:$BT$95,AB$1-3,FALSE)</f>
        <v>506.84319689866601</v>
      </c>
      <c r="AC138">
        <f>VLOOKUP($C138,'2017 Seattle Tracts Conc'!$BA$3:$BT$95,AC$1-3,FALSE)</f>
        <v>149.20680279560358</v>
      </c>
      <c r="AD138">
        <f>VLOOKUP($C138,'2017 Seattle Tracts Conc'!$BA$3:$BT$95,AD$1-3,FALSE)</f>
        <v>154.31076627051578</v>
      </c>
      <c r="AE138">
        <f>VLOOKUP($C138,'2017 Seattle Tracts Conc'!$BA$3:$BT$95,AE$1-3,FALSE)</f>
        <v>210.6098584399731</v>
      </c>
      <c r="AF138">
        <f>VLOOKUP($C138,'2017 Seattle Tracts Conc'!$BA$3:$BT$95,AF$1-3,FALSE)</f>
        <v>266.35782921240542</v>
      </c>
      <c r="AG138">
        <f>VLOOKUP($C138,'2017 Seattle Tracts Conc'!$BA$3:$BT$95,AG$1-3,FALSE)</f>
        <v>74.423892238793144</v>
      </c>
      <c r="AH138">
        <f>VLOOKUP($C138,'2017 Seattle Tracts Conc'!$BA$3:$BT$95,AH$1-3,FALSE)</f>
        <v>3.0293632261482633</v>
      </c>
      <c r="AI138">
        <f>VLOOKUP($C138,'2017 Seattle Tracts Conc'!$BA$3:$BT$95,AI$1-3,FALSE)</f>
        <v>259.52151649223271</v>
      </c>
      <c r="AJ138">
        <f>VLOOKUP($C138,'2017 Seattle Tracts Conc'!$BA$3:$BT$95,AJ$1-3,FALSE)</f>
        <v>766.87130507345194</v>
      </c>
      <c r="AK138">
        <f>VLOOKUP($C138,'2017 Seattle Tracts Conc'!$BA$3:$BT$95,AK$1-3,FALSE)</f>
        <v>6.7819673347385523</v>
      </c>
      <c r="AL138">
        <f>VLOOKUP($C138,'2017 Seattle Tracts Conc'!$BA$3:$BT$95,AL$1-3,FALSE)</f>
        <v>14.461682161462642</v>
      </c>
      <c r="AM138">
        <f>VLOOKUP($C138,'2017 Seattle Tracts Conc'!$BA$3:$BT$95,AM$1-3,FALSE)</f>
        <v>191.89237988748548</v>
      </c>
      <c r="AN138">
        <f>VLOOKUP($C138,'2017 Seattle Tracts Conc'!$BA$3:$BT$95,AN$1-3,FALSE)</f>
        <v>36.527540663102364</v>
      </c>
      <c r="AO138">
        <f>VLOOKUP($C138,'2017 Seattle Tracts Conc'!$BA$3:$BT$95,AO$1-3,FALSE)</f>
        <v>336.952756192724</v>
      </c>
      <c r="AP138">
        <f>VLOOKUP($C138,'2017 Seattle Tracts Conc'!$BA$3:$BT$95,AP$1-3,FALSE)</f>
        <v>139.32435957362023</v>
      </c>
    </row>
    <row r="139" spans="1:42" x14ac:dyDescent="0.25">
      <c r="A139">
        <v>105</v>
      </c>
      <c r="B139" t="s">
        <v>2495</v>
      </c>
      <c r="C139" t="s">
        <v>211</v>
      </c>
      <c r="D139" t="s">
        <v>207</v>
      </c>
      <c r="E139">
        <f>VLOOKUP($C139,'2000 Seattle Tracts Conc'!$AZ$3:$BS$94,E$1,FALSE)</f>
        <v>5446.0556505148243</v>
      </c>
      <c r="F139">
        <f>VLOOKUP($C139,'2000 Seattle Tracts Conc'!$AZ$3:$BS$94,F$1,FALSE)</f>
        <v>4144.2658920972299</v>
      </c>
      <c r="G139">
        <f>VLOOKUP($C139,'2000 Seattle Tracts Conc'!$AZ$3:$BS$94,G$1,FALSE)</f>
        <v>1301.7897584175946</v>
      </c>
      <c r="H139">
        <f>VLOOKUP($C139,'2000 Seattle Tracts Conc'!$AZ$3:$BS$94,H$1,FALSE)</f>
        <v>3110.5131135376391</v>
      </c>
      <c r="I139">
        <f>VLOOKUP($C139,'2000 Seattle Tracts Conc'!$AZ$3:$BS$94,I$1,FALSE)</f>
        <v>320.3094099962654</v>
      </c>
      <c r="J139">
        <f>VLOOKUP($C139,'2000 Seattle Tracts Conc'!$AZ$3:$BS$94,J$1,FALSE)</f>
        <v>140.13951150852003</v>
      </c>
      <c r="K139">
        <f>VLOOKUP($C139,'2000 Seattle Tracts Conc'!$AZ$3:$BS$94,K$1,FALSE)</f>
        <v>37.280271804555099</v>
      </c>
      <c r="L139">
        <f>VLOOKUP($C139,'2000 Seattle Tracts Conc'!$AZ$3:$BS$94,L$1,FALSE)</f>
        <v>314.83758011079641</v>
      </c>
      <c r="M139">
        <f>VLOOKUP($C139,'2000 Seattle Tracts Conc'!$AZ$3:$BS$94,M$1,FALSE)</f>
        <v>183.54563295389858</v>
      </c>
      <c r="N139">
        <f>VLOOKUP($C139,'2000 Seattle Tracts Conc'!$AZ$3:$BS$94,N$1,FALSE)</f>
        <v>72.699764315468713</v>
      </c>
      <c r="O139">
        <f>VLOOKUP($C139,'2000 Seattle Tracts Conc'!$AZ$3:$BS$94,O$1,FALSE)</f>
        <v>0.84316898454662148</v>
      </c>
      <c r="P139">
        <f>VLOOKUP($C139,'2000 Seattle Tracts Conc'!$AZ$3:$BS$94,P$1,FALSE)</f>
        <v>142.89859714665954</v>
      </c>
      <c r="Q139">
        <f>VLOOKUP($C139,'2000 Seattle Tracts Conc'!$AZ$3:$BS$94,Q$1,FALSE)</f>
        <v>495.66206570143777</v>
      </c>
      <c r="R139">
        <f>VLOOKUP($C139,'2000 Seattle Tracts Conc'!$AZ$3:$BS$94,R$1,FALSE)</f>
        <v>49.587285803290705</v>
      </c>
      <c r="S139">
        <f>VLOOKUP($C139,'2000 Seattle Tracts Conc'!$AZ$3:$BS$94,S$1,FALSE)</f>
        <v>27.486320361087472</v>
      </c>
      <c r="T139">
        <f>VLOOKUP($C139,'2000 Seattle Tracts Conc'!$AZ$3:$BS$94,T$1,FALSE)</f>
        <v>84.605789431195731</v>
      </c>
      <c r="U139">
        <f>VLOOKUP($C139,'2000 Seattle Tracts Conc'!$AZ$3:$BS$94,U$1,FALSE)</f>
        <v>183.25538020892614</v>
      </c>
      <c r="V139">
        <f>VLOOKUP($C139,'2000 Seattle Tracts Conc'!$AZ$3:$BS$94,V$1,FALSE)</f>
        <v>228.98425024365946</v>
      </c>
      <c r="W139">
        <f>VLOOKUP($C139,'2000 Seattle Tracts Conc'!$AZ$3:$BS$94,W$1,FALSE)</f>
        <v>53.40750840687766</v>
      </c>
      <c r="X139" s="4">
        <f>VLOOKUP($C139,'2017 Seattle Tracts Conc'!$BA$3:$BT$95,X$1-3,FALSE)</f>
        <v>7373.5337853609281</v>
      </c>
      <c r="Y139">
        <f>VLOOKUP($C139,'2017 Seattle Tracts Conc'!$BA$3:$BT$95,Y$1-3,FALSE)</f>
        <v>5165.1084403318055</v>
      </c>
      <c r="Z139">
        <f>VLOOKUP($C139,'2017 Seattle Tracts Conc'!$BA$3:$BT$95,Z$1-3,FALSE)</f>
        <v>2208.4253450291235</v>
      </c>
      <c r="AA139">
        <f>VLOOKUP($C139,'2017 Seattle Tracts Conc'!$BA$3:$BT$95,AA$1-3,FALSE)</f>
        <v>3506.2576970545574</v>
      </c>
      <c r="AB139">
        <f>VLOOKUP($C139,'2017 Seattle Tracts Conc'!$BA$3:$BT$95,AB$1-3,FALSE)</f>
        <v>655.14876623407611</v>
      </c>
      <c r="AC139">
        <f>VLOOKUP($C139,'2017 Seattle Tracts Conc'!$BA$3:$BT$95,AC$1-3,FALSE)</f>
        <v>181.14606960725956</v>
      </c>
      <c r="AD139">
        <f>VLOOKUP($C139,'2017 Seattle Tracts Conc'!$BA$3:$BT$95,AD$1-3,FALSE)</f>
        <v>108.73732170697249</v>
      </c>
      <c r="AE139">
        <f>VLOOKUP($C139,'2017 Seattle Tracts Conc'!$BA$3:$BT$95,AE$1-3,FALSE)</f>
        <v>536.90910409821436</v>
      </c>
      <c r="AF139">
        <f>VLOOKUP($C139,'2017 Seattle Tracts Conc'!$BA$3:$BT$95,AF$1-3,FALSE)</f>
        <v>442.41096185269777</v>
      </c>
      <c r="AG139">
        <f>VLOOKUP($C139,'2017 Seattle Tracts Conc'!$BA$3:$BT$95,AG$1-3,FALSE)</f>
        <v>42.28762984310675</v>
      </c>
      <c r="AH139">
        <f>VLOOKUP($C139,'2017 Seattle Tracts Conc'!$BA$3:$BT$95,AH$1-3,FALSE)</f>
        <v>12.556710702715744</v>
      </c>
      <c r="AI139">
        <f>VLOOKUP($C139,'2017 Seattle Tracts Conc'!$BA$3:$BT$95,AI$1-3,FALSE)</f>
        <v>226.47930184721855</v>
      </c>
      <c r="AJ139">
        <f>VLOOKUP($C139,'2017 Seattle Tracts Conc'!$BA$3:$BT$95,AJ$1-3,FALSE)</f>
        <v>741.80711201635529</v>
      </c>
      <c r="AK139">
        <f>VLOOKUP($C139,'2017 Seattle Tracts Conc'!$BA$3:$BT$95,AK$1-3,FALSE)</f>
        <v>34.311666890377019</v>
      </c>
      <c r="AL139">
        <f>VLOOKUP($C139,'2017 Seattle Tracts Conc'!$BA$3:$BT$95,AL$1-3,FALSE)</f>
        <v>52.276296398566231</v>
      </c>
      <c r="AM139">
        <f>VLOOKUP($C139,'2017 Seattle Tracts Conc'!$BA$3:$BT$95,AM$1-3,FALSE)</f>
        <v>140.15927569761129</v>
      </c>
      <c r="AN139">
        <f>VLOOKUP($C139,'2017 Seattle Tracts Conc'!$BA$3:$BT$95,AN$1-3,FALSE)</f>
        <v>132.51695468112226</v>
      </c>
      <c r="AO139">
        <f>VLOOKUP($C139,'2017 Seattle Tracts Conc'!$BA$3:$BT$95,AO$1-3,FALSE)</f>
        <v>497.55769529346009</v>
      </c>
      <c r="AP139">
        <f>VLOOKUP($C139,'2017 Seattle Tracts Conc'!$BA$3:$BT$95,AP$1-3,FALSE)</f>
        <v>62.971221436617348</v>
      </c>
    </row>
    <row r="140" spans="1:42" x14ac:dyDescent="0.25">
      <c r="A140">
        <v>198</v>
      </c>
      <c r="B140" t="s">
        <v>2495</v>
      </c>
      <c r="C140" t="s">
        <v>165</v>
      </c>
      <c r="D140" t="s">
        <v>122</v>
      </c>
      <c r="E140">
        <f>VLOOKUP($C140,'2000 Seattle Tracts Conc'!$AZ$3:$BS$94,E$1,FALSE)</f>
        <v>3966.824158453147</v>
      </c>
      <c r="F140">
        <f>VLOOKUP($C140,'2000 Seattle Tracts Conc'!$AZ$3:$BS$94,F$1,FALSE)</f>
        <v>3110.7047012363892</v>
      </c>
      <c r="G140">
        <f>VLOOKUP($C140,'2000 Seattle Tracts Conc'!$AZ$3:$BS$94,G$1,FALSE)</f>
        <v>856.11945721675772</v>
      </c>
      <c r="H140">
        <f>VLOOKUP($C140,'2000 Seattle Tracts Conc'!$AZ$3:$BS$94,H$1,FALSE)</f>
        <v>1960.3104322503684</v>
      </c>
      <c r="I140">
        <f>VLOOKUP($C140,'2000 Seattle Tracts Conc'!$AZ$3:$BS$94,I$1,FALSE)</f>
        <v>122.25345246347734</v>
      </c>
      <c r="J140">
        <f>VLOOKUP($C140,'2000 Seattle Tracts Conc'!$AZ$3:$BS$94,J$1,FALSE)</f>
        <v>71.603506573454851</v>
      </c>
      <c r="K140">
        <f>VLOOKUP($C140,'2000 Seattle Tracts Conc'!$AZ$3:$BS$94,K$1,FALSE)</f>
        <v>97.273871746145701</v>
      </c>
      <c r="L140">
        <f>VLOOKUP($C140,'2000 Seattle Tracts Conc'!$AZ$3:$BS$94,L$1,FALSE)</f>
        <v>357.72613519852246</v>
      </c>
      <c r="M140">
        <f>VLOOKUP($C140,'2000 Seattle Tracts Conc'!$AZ$3:$BS$94,M$1,FALSE)</f>
        <v>53.138304431137897</v>
      </c>
      <c r="N140">
        <f>VLOOKUP($C140,'2000 Seattle Tracts Conc'!$AZ$3:$BS$94,N$1,FALSE)</f>
        <v>79.144382409522379</v>
      </c>
      <c r="O140">
        <f>VLOOKUP($C140,'2000 Seattle Tracts Conc'!$AZ$3:$BS$94,O$1,FALSE)</f>
        <v>0.88706689106586423</v>
      </c>
      <c r="P140">
        <f>VLOOKUP($C140,'2000 Seattle Tracts Conc'!$AZ$3:$BS$94,P$1,FALSE)</f>
        <v>364.23351732991506</v>
      </c>
      <c r="Q140">
        <f>VLOOKUP($C140,'2000 Seattle Tracts Conc'!$AZ$3:$BS$94,Q$1,FALSE)</f>
        <v>448.18517659466841</v>
      </c>
      <c r="R140">
        <f>VLOOKUP($C140,'2000 Seattle Tracts Conc'!$AZ$3:$BS$94,R$1,FALSE)</f>
        <v>9.0256495512632195</v>
      </c>
      <c r="S140">
        <f>VLOOKUP($C140,'2000 Seattle Tracts Conc'!$AZ$3:$BS$94,S$1,FALSE)</f>
        <v>4.2740171472425301E-2</v>
      </c>
      <c r="T140">
        <f>VLOOKUP($C140,'2000 Seattle Tracts Conc'!$AZ$3:$BS$94,T$1,FALSE)</f>
        <v>131.13066653555472</v>
      </c>
      <c r="U140">
        <f>VLOOKUP($C140,'2000 Seattle Tracts Conc'!$AZ$3:$BS$94,U$1,FALSE)</f>
        <v>76.936858366609655</v>
      </c>
      <c r="V140">
        <f>VLOOKUP($C140,'2000 Seattle Tracts Conc'!$AZ$3:$BS$94,V$1,FALSE)</f>
        <v>137.53041138778832</v>
      </c>
      <c r="W140">
        <f>VLOOKUP($C140,'2000 Seattle Tracts Conc'!$AZ$3:$BS$94,W$1,FALSE)</f>
        <v>57.401986552180553</v>
      </c>
      <c r="X140" s="4">
        <f>VLOOKUP($C140,'2017 Seattle Tracts Conc'!$BA$3:$BT$95,X$1-3,FALSE)</f>
        <v>4475.7881672575959</v>
      </c>
      <c r="Y140">
        <f>VLOOKUP($C140,'2017 Seattle Tracts Conc'!$BA$3:$BT$95,Y$1-3,FALSE)</f>
        <v>3626.7898985105576</v>
      </c>
      <c r="Z140">
        <f>VLOOKUP($C140,'2017 Seattle Tracts Conc'!$BA$3:$BT$95,Z$1-3,FALSE)</f>
        <v>848.99826874703876</v>
      </c>
      <c r="AA140">
        <f>VLOOKUP($C140,'2017 Seattle Tracts Conc'!$BA$3:$BT$95,AA$1-3,FALSE)</f>
        <v>2396.9997513954745</v>
      </c>
      <c r="AB140">
        <f>VLOOKUP($C140,'2017 Seattle Tracts Conc'!$BA$3:$BT$95,AB$1-3,FALSE)</f>
        <v>199.67217553368386</v>
      </c>
      <c r="AC140">
        <f>VLOOKUP($C140,'2017 Seattle Tracts Conc'!$BA$3:$BT$95,AC$1-3,FALSE)</f>
        <v>120.0064043600408</v>
      </c>
      <c r="AD140">
        <f>VLOOKUP($C140,'2017 Seattle Tracts Conc'!$BA$3:$BT$95,AD$1-3,FALSE)</f>
        <v>49.739425965387589</v>
      </c>
      <c r="AE140">
        <f>VLOOKUP($C140,'2017 Seattle Tracts Conc'!$BA$3:$BT$95,AE$1-3,FALSE)</f>
        <v>245.48387401244929</v>
      </c>
      <c r="AF140">
        <f>VLOOKUP($C140,'2017 Seattle Tracts Conc'!$BA$3:$BT$95,AF$1-3,FALSE)</f>
        <v>137.67749003300011</v>
      </c>
      <c r="AG140">
        <f>VLOOKUP($C140,'2017 Seattle Tracts Conc'!$BA$3:$BT$95,AG$1-3,FALSE)</f>
        <v>26.740674129398919</v>
      </c>
      <c r="AH140">
        <f>VLOOKUP($C140,'2017 Seattle Tracts Conc'!$BA$3:$BT$95,AH$1-3,FALSE)</f>
        <v>5.5912369859387287E-4</v>
      </c>
      <c r="AI140">
        <f>VLOOKUP($C140,'2017 Seattle Tracts Conc'!$BA$3:$BT$95,AI$1-3,FALSE)</f>
        <v>367.52215036656264</v>
      </c>
      <c r="AJ140">
        <f>VLOOKUP($C140,'2017 Seattle Tracts Conc'!$BA$3:$BT$95,AJ$1-3,FALSE)</f>
        <v>375.08357340959174</v>
      </c>
      <c r="AK140">
        <f>VLOOKUP($C140,'2017 Seattle Tracts Conc'!$BA$3:$BT$95,AK$1-3,FALSE)</f>
        <v>10.684557863464564</v>
      </c>
      <c r="AL140">
        <f>VLOOKUP($C140,'2017 Seattle Tracts Conc'!$BA$3:$BT$95,AL$1-3,FALSE)</f>
        <v>8.6775352618824915</v>
      </c>
      <c r="AM140">
        <f>VLOOKUP($C140,'2017 Seattle Tracts Conc'!$BA$3:$BT$95,AM$1-3,FALSE)</f>
        <v>67.285400262304847</v>
      </c>
      <c r="AN140">
        <f>VLOOKUP($C140,'2017 Seattle Tracts Conc'!$BA$3:$BT$95,AN$1-3,FALSE)</f>
        <v>47.529382747127542</v>
      </c>
      <c r="AO140">
        <f>VLOOKUP($C140,'2017 Seattle Tracts Conc'!$BA$3:$BT$95,AO$1-3,FALSE)</f>
        <v>392.06708612086203</v>
      </c>
      <c r="AP140">
        <f>VLOOKUP($C140,'2017 Seattle Tracts Conc'!$BA$3:$BT$95,AP$1-3,FALSE)</f>
        <v>30.618126672666996</v>
      </c>
    </row>
    <row r="141" spans="1:42" x14ac:dyDescent="0.25">
      <c r="A141">
        <v>100</v>
      </c>
      <c r="B141" t="s">
        <v>2495</v>
      </c>
      <c r="C141" t="s">
        <v>212</v>
      </c>
      <c r="D141" t="s">
        <v>122</v>
      </c>
      <c r="E141">
        <f>VLOOKUP($C141,'2000 Seattle Tracts Conc'!$AZ$3:$BS$94,E$1,FALSE)</f>
        <v>7735.0776443389213</v>
      </c>
      <c r="F141">
        <f>VLOOKUP($C141,'2000 Seattle Tracts Conc'!$AZ$3:$BS$94,F$1,FALSE)</f>
        <v>6537.8940904377014</v>
      </c>
      <c r="G141">
        <f>VLOOKUP($C141,'2000 Seattle Tracts Conc'!$AZ$3:$BS$94,G$1,FALSE)</f>
        <v>1197.1835539012195</v>
      </c>
      <c r="H141">
        <f>VLOOKUP($C141,'2000 Seattle Tracts Conc'!$AZ$3:$BS$94,H$1,FALSE)</f>
        <v>5763.1496403704296</v>
      </c>
      <c r="I141">
        <f>VLOOKUP($C141,'2000 Seattle Tracts Conc'!$AZ$3:$BS$94,I$1,FALSE)</f>
        <v>453.24906873269015</v>
      </c>
      <c r="J141">
        <f>VLOOKUP($C141,'2000 Seattle Tracts Conc'!$AZ$3:$BS$94,J$1,FALSE)</f>
        <v>98.004539118790731</v>
      </c>
      <c r="K141">
        <f>VLOOKUP($C141,'2000 Seattle Tracts Conc'!$AZ$3:$BS$94,K$1,FALSE)</f>
        <v>83.027867656728702</v>
      </c>
      <c r="L141">
        <f>VLOOKUP($C141,'2000 Seattle Tracts Conc'!$AZ$3:$BS$94,L$1,FALSE)</f>
        <v>95.94265845698547</v>
      </c>
      <c r="M141">
        <f>VLOOKUP($C141,'2000 Seattle Tracts Conc'!$AZ$3:$BS$94,M$1,FALSE)</f>
        <v>84.795566022213919</v>
      </c>
      <c r="N141">
        <f>VLOOKUP($C141,'2000 Seattle Tracts Conc'!$AZ$3:$BS$94,N$1,FALSE)</f>
        <v>46.559486643572818</v>
      </c>
      <c r="O141">
        <f>VLOOKUP($C141,'2000 Seattle Tracts Conc'!$AZ$3:$BS$94,O$1,FALSE)</f>
        <v>4.4178706111515203E-8</v>
      </c>
      <c r="P141">
        <f>VLOOKUP($C141,'2000 Seattle Tracts Conc'!$AZ$3:$BS$94,P$1,FALSE)</f>
        <v>157.77816714030848</v>
      </c>
      <c r="Q141">
        <f>VLOOKUP($C141,'2000 Seattle Tracts Conc'!$AZ$3:$BS$94,Q$1,FALSE)</f>
        <v>468.14815513477129</v>
      </c>
      <c r="R141">
        <f>VLOOKUP($C141,'2000 Seattle Tracts Conc'!$AZ$3:$BS$94,R$1,FALSE)</f>
        <v>13.786278600546011</v>
      </c>
      <c r="S141">
        <f>VLOOKUP($C141,'2000 Seattle Tracts Conc'!$AZ$3:$BS$94,S$1,FALSE)</f>
        <v>3.7479985366306483</v>
      </c>
      <c r="T141">
        <f>VLOOKUP($C141,'2000 Seattle Tracts Conc'!$AZ$3:$BS$94,T$1,FALSE)</f>
        <v>115.02234093211746</v>
      </c>
      <c r="U141">
        <f>VLOOKUP($C141,'2000 Seattle Tracts Conc'!$AZ$3:$BS$94,U$1,FALSE)</f>
        <v>59.831662176990818</v>
      </c>
      <c r="V141">
        <f>VLOOKUP($C141,'2000 Seattle Tracts Conc'!$AZ$3:$BS$94,V$1,FALSE)</f>
        <v>247.65097917495029</v>
      </c>
      <c r="W141">
        <f>VLOOKUP($C141,'2000 Seattle Tracts Conc'!$AZ$3:$BS$94,W$1,FALSE)</f>
        <v>44.383235597015059</v>
      </c>
      <c r="X141" s="4">
        <f>VLOOKUP($C141,'2017 Seattle Tracts Conc'!$BA$3:$BT$95,X$1-3,FALSE)</f>
        <v>8626.7912731388897</v>
      </c>
      <c r="Y141">
        <f>VLOOKUP($C141,'2017 Seattle Tracts Conc'!$BA$3:$BT$95,Y$1-3,FALSE)</f>
        <v>7223.1416508795937</v>
      </c>
      <c r="Z141">
        <f>VLOOKUP($C141,'2017 Seattle Tracts Conc'!$BA$3:$BT$95,Z$1-3,FALSE)</f>
        <v>1403.6496222592964</v>
      </c>
      <c r="AA141">
        <f>VLOOKUP($C141,'2017 Seattle Tracts Conc'!$BA$3:$BT$95,AA$1-3,FALSE)</f>
        <v>5880.7978705307351</v>
      </c>
      <c r="AB141">
        <f>VLOOKUP($C141,'2017 Seattle Tracts Conc'!$BA$3:$BT$95,AB$1-3,FALSE)</f>
        <v>321.62447195805493</v>
      </c>
      <c r="AC141">
        <f>VLOOKUP($C141,'2017 Seattle Tracts Conc'!$BA$3:$BT$95,AC$1-3,FALSE)</f>
        <v>198.90310159254784</v>
      </c>
      <c r="AD141">
        <f>VLOOKUP($C141,'2017 Seattle Tracts Conc'!$BA$3:$BT$95,AD$1-3,FALSE)</f>
        <v>153.72403927721726</v>
      </c>
      <c r="AE141">
        <f>VLOOKUP($C141,'2017 Seattle Tracts Conc'!$BA$3:$BT$95,AE$1-3,FALSE)</f>
        <v>263.18670779414282</v>
      </c>
      <c r="AF141">
        <f>VLOOKUP($C141,'2017 Seattle Tracts Conc'!$BA$3:$BT$95,AF$1-3,FALSE)</f>
        <v>136.9710459221948</v>
      </c>
      <c r="AG141">
        <f>VLOOKUP($C141,'2017 Seattle Tracts Conc'!$BA$3:$BT$95,AG$1-3,FALSE)</f>
        <v>26.204991668801423</v>
      </c>
      <c r="AH141">
        <f>VLOOKUP($C141,'2017 Seattle Tracts Conc'!$BA$3:$BT$95,AH$1-3,FALSE)</f>
        <v>0</v>
      </c>
      <c r="AI141">
        <f>VLOOKUP($C141,'2017 Seattle Tracts Conc'!$BA$3:$BT$95,AI$1-3,FALSE)</f>
        <v>394.48031937217638</v>
      </c>
      <c r="AJ141">
        <f>VLOOKUP($C141,'2017 Seattle Tracts Conc'!$BA$3:$BT$95,AJ$1-3,FALSE)</f>
        <v>597.76822078883868</v>
      </c>
      <c r="AK141">
        <f>VLOOKUP($C141,'2017 Seattle Tracts Conc'!$BA$3:$BT$95,AK$1-3,FALSE)</f>
        <v>12.402920050117464</v>
      </c>
      <c r="AL141">
        <f>VLOOKUP($C141,'2017 Seattle Tracts Conc'!$BA$3:$BT$95,AL$1-3,FALSE)</f>
        <v>1.9081415461719176</v>
      </c>
      <c r="AM141">
        <f>VLOOKUP($C141,'2017 Seattle Tracts Conc'!$BA$3:$BT$95,AM$1-3,FALSE)</f>
        <v>31.60378577987969</v>
      </c>
      <c r="AN141">
        <f>VLOOKUP($C141,'2017 Seattle Tracts Conc'!$BA$3:$BT$95,AN$1-3,FALSE)</f>
        <v>27.636197640139319</v>
      </c>
      <c r="AO141">
        <f>VLOOKUP($C141,'2017 Seattle Tracts Conc'!$BA$3:$BT$95,AO$1-3,FALSE)</f>
        <v>415.5619540911934</v>
      </c>
      <c r="AP141">
        <f>VLOOKUP($C141,'2017 Seattle Tracts Conc'!$BA$3:$BT$95,AP$1-3,FALSE)</f>
        <v>164.0175051266794</v>
      </c>
    </row>
    <row r="142" spans="1:42" x14ac:dyDescent="0.25">
      <c r="A142">
        <v>101</v>
      </c>
      <c r="B142" t="s">
        <v>2495</v>
      </c>
      <c r="C142" t="s">
        <v>213</v>
      </c>
      <c r="D142" t="s">
        <v>122</v>
      </c>
      <c r="E142">
        <f>VLOOKUP($C142,'2000 Seattle Tracts Conc'!$AZ$3:$BS$94,E$1,FALSE)</f>
        <v>7303.871317916437</v>
      </c>
      <c r="F142">
        <f>VLOOKUP($C142,'2000 Seattle Tracts Conc'!$AZ$3:$BS$94,F$1,FALSE)</f>
        <v>5790.9452391545765</v>
      </c>
      <c r="G142">
        <f>VLOOKUP($C142,'2000 Seattle Tracts Conc'!$AZ$3:$BS$94,G$1,FALSE)</f>
        <v>1512.92607876186</v>
      </c>
      <c r="H142">
        <f>VLOOKUP($C142,'2000 Seattle Tracts Conc'!$AZ$3:$BS$94,H$1,FALSE)</f>
        <v>4933.8525291754304</v>
      </c>
      <c r="I142">
        <f>VLOOKUP($C142,'2000 Seattle Tracts Conc'!$AZ$3:$BS$94,I$1,FALSE)</f>
        <v>465.68190549163512</v>
      </c>
      <c r="J142">
        <f>VLOOKUP($C142,'2000 Seattle Tracts Conc'!$AZ$3:$BS$94,J$1,FALSE)</f>
        <v>83.861889209700777</v>
      </c>
      <c r="K142">
        <f>VLOOKUP($C142,'2000 Seattle Tracts Conc'!$AZ$3:$BS$94,K$1,FALSE)</f>
        <v>92.40489269463292</v>
      </c>
      <c r="L142">
        <f>VLOOKUP($C142,'2000 Seattle Tracts Conc'!$AZ$3:$BS$94,L$1,FALSE)</f>
        <v>100.1147860607734</v>
      </c>
      <c r="M142">
        <f>VLOOKUP($C142,'2000 Seattle Tracts Conc'!$AZ$3:$BS$94,M$1,FALSE)</f>
        <v>163.28115200625027</v>
      </c>
      <c r="N142">
        <f>VLOOKUP($C142,'2000 Seattle Tracts Conc'!$AZ$3:$BS$94,N$1,FALSE)</f>
        <v>54.005528368116615</v>
      </c>
      <c r="O142">
        <f>VLOOKUP($C142,'2000 Seattle Tracts Conc'!$AZ$3:$BS$94,O$1,FALSE)</f>
        <v>6.3101878748640259E-4</v>
      </c>
      <c r="P142">
        <f>VLOOKUP($C142,'2000 Seattle Tracts Conc'!$AZ$3:$BS$94,P$1,FALSE)</f>
        <v>209.15145515730188</v>
      </c>
      <c r="Q142">
        <f>VLOOKUP($C142,'2000 Seattle Tracts Conc'!$AZ$3:$BS$94,Q$1,FALSE)</f>
        <v>606.63540845443868</v>
      </c>
      <c r="R142">
        <f>VLOOKUP($C142,'2000 Seattle Tracts Conc'!$AZ$3:$BS$94,R$1,FALSE)</f>
        <v>13.652383285602717</v>
      </c>
      <c r="S142">
        <f>VLOOKUP($C142,'2000 Seattle Tracts Conc'!$AZ$3:$BS$94,S$1,FALSE)</f>
        <v>1.8256419757880618</v>
      </c>
      <c r="T142">
        <f>VLOOKUP($C142,'2000 Seattle Tracts Conc'!$AZ$3:$BS$94,T$1,FALSE)</f>
        <v>125.66662581175811</v>
      </c>
      <c r="U142">
        <f>VLOOKUP($C142,'2000 Seattle Tracts Conc'!$AZ$3:$BS$94,U$1,FALSE)</f>
        <v>94.106811654394335</v>
      </c>
      <c r="V142">
        <f>VLOOKUP($C142,'2000 Seattle Tracts Conc'!$AZ$3:$BS$94,V$1,FALSE)</f>
        <v>270.64004208589239</v>
      </c>
      <c r="W142">
        <f>VLOOKUP($C142,'2000 Seattle Tracts Conc'!$AZ$3:$BS$94,W$1,FALSE)</f>
        <v>88.989635465933048</v>
      </c>
      <c r="X142" s="4">
        <f>VLOOKUP($C142,'2017 Seattle Tracts Conc'!$BA$3:$BT$95,X$1-3,FALSE)</f>
        <v>9301.4143464378758</v>
      </c>
      <c r="Y142">
        <f>VLOOKUP($C142,'2017 Seattle Tracts Conc'!$BA$3:$BT$95,Y$1-3,FALSE)</f>
        <v>7442.0074890448004</v>
      </c>
      <c r="Z142">
        <f>VLOOKUP($C142,'2017 Seattle Tracts Conc'!$BA$3:$BT$95,Z$1-3,FALSE)</f>
        <v>1859.4068573930751</v>
      </c>
      <c r="AA142">
        <f>VLOOKUP($C142,'2017 Seattle Tracts Conc'!$BA$3:$BT$95,AA$1-3,FALSE)</f>
        <v>5685.421150487362</v>
      </c>
      <c r="AB142">
        <f>VLOOKUP($C142,'2017 Seattle Tracts Conc'!$BA$3:$BT$95,AB$1-3,FALSE)</f>
        <v>355.16218814075648</v>
      </c>
      <c r="AC142">
        <f>VLOOKUP($C142,'2017 Seattle Tracts Conc'!$BA$3:$BT$95,AC$1-3,FALSE)</f>
        <v>219.92523040681243</v>
      </c>
      <c r="AD142">
        <f>VLOOKUP($C142,'2017 Seattle Tracts Conc'!$BA$3:$BT$95,AD$1-3,FALSE)</f>
        <v>260.12696969869836</v>
      </c>
      <c r="AE142">
        <f>VLOOKUP($C142,'2017 Seattle Tracts Conc'!$BA$3:$BT$95,AE$1-3,FALSE)</f>
        <v>503.022399552938</v>
      </c>
      <c r="AF142">
        <f>VLOOKUP($C142,'2017 Seattle Tracts Conc'!$BA$3:$BT$95,AF$1-3,FALSE)</f>
        <v>262.24572718845144</v>
      </c>
      <c r="AG142">
        <f>VLOOKUP($C142,'2017 Seattle Tracts Conc'!$BA$3:$BT$95,AG$1-3,FALSE)</f>
        <v>35.982432565458787</v>
      </c>
      <c r="AH142">
        <f>VLOOKUP($C142,'2017 Seattle Tracts Conc'!$BA$3:$BT$95,AH$1-3,FALSE)</f>
        <v>0</v>
      </c>
      <c r="AI142">
        <f>VLOOKUP($C142,'2017 Seattle Tracts Conc'!$BA$3:$BT$95,AI$1-3,FALSE)</f>
        <v>479.20091725882361</v>
      </c>
      <c r="AJ142">
        <f>VLOOKUP($C142,'2017 Seattle Tracts Conc'!$BA$3:$BT$95,AJ$1-3,FALSE)</f>
        <v>764.11932650597919</v>
      </c>
      <c r="AK142">
        <f>VLOOKUP($C142,'2017 Seattle Tracts Conc'!$BA$3:$BT$95,AK$1-3,FALSE)</f>
        <v>26.599633419627839</v>
      </c>
      <c r="AL142">
        <f>VLOOKUP($C142,'2017 Seattle Tracts Conc'!$BA$3:$BT$95,AL$1-3,FALSE)</f>
        <v>4.0938547803254508</v>
      </c>
      <c r="AM142">
        <f>VLOOKUP($C142,'2017 Seattle Tracts Conc'!$BA$3:$BT$95,AM$1-3,FALSE)</f>
        <v>20.711414452174012</v>
      </c>
      <c r="AN142">
        <f>VLOOKUP($C142,'2017 Seattle Tracts Conc'!$BA$3:$BT$95,AN$1-3,FALSE)</f>
        <v>59.22569093362452</v>
      </c>
      <c r="AO142">
        <f>VLOOKUP($C142,'2017 Seattle Tracts Conc'!$BA$3:$BT$95,AO$1-3,FALSE)</f>
        <v>471.14431090160457</v>
      </c>
      <c r="AP142">
        <f>VLOOKUP($C142,'2017 Seattle Tracts Conc'!$BA$3:$BT$95,AP$1-3,FALSE)</f>
        <v>154.43310014523988</v>
      </c>
    </row>
    <row r="143" spans="1:42" x14ac:dyDescent="0.25">
      <c r="A143">
        <v>102</v>
      </c>
      <c r="B143" t="s">
        <v>2495</v>
      </c>
      <c r="C143" t="s">
        <v>214</v>
      </c>
      <c r="D143" t="s">
        <v>215</v>
      </c>
      <c r="E143">
        <f>VLOOKUP($C143,'2000 Seattle Tracts Conc'!$AZ$3:$BS$94,E$1,FALSE)</f>
        <v>8921.7194904112621</v>
      </c>
      <c r="F143">
        <f>VLOOKUP($C143,'2000 Seattle Tracts Conc'!$AZ$3:$BS$94,F$1,FALSE)</f>
        <v>6689.2770876706218</v>
      </c>
      <c r="G143">
        <f>VLOOKUP($C143,'2000 Seattle Tracts Conc'!$AZ$3:$BS$94,G$1,FALSE)</f>
        <v>2232.4424027406421</v>
      </c>
      <c r="H143">
        <f>VLOOKUP($C143,'2000 Seattle Tracts Conc'!$AZ$3:$BS$94,H$1,FALSE)</f>
        <v>5359.5665257473238</v>
      </c>
      <c r="I143">
        <f>VLOOKUP($C143,'2000 Seattle Tracts Conc'!$AZ$3:$BS$94,I$1,FALSE)</f>
        <v>461.91560537856759</v>
      </c>
      <c r="J143">
        <f>VLOOKUP($C143,'2000 Seattle Tracts Conc'!$AZ$3:$BS$94,J$1,FALSE)</f>
        <v>146.34777830127621</v>
      </c>
      <c r="K143">
        <f>VLOOKUP($C143,'2000 Seattle Tracts Conc'!$AZ$3:$BS$94,K$1,FALSE)</f>
        <v>174.22781307197315</v>
      </c>
      <c r="L143">
        <f>VLOOKUP($C143,'2000 Seattle Tracts Conc'!$AZ$3:$BS$94,L$1,FALSE)</f>
        <v>329.80601079389783</v>
      </c>
      <c r="M143">
        <f>VLOOKUP($C143,'2000 Seattle Tracts Conc'!$AZ$3:$BS$94,M$1,FALSE)</f>
        <v>70.401523739865908</v>
      </c>
      <c r="N143">
        <f>VLOOKUP($C143,'2000 Seattle Tracts Conc'!$AZ$3:$BS$94,N$1,FALSE)</f>
        <v>44.639841223708672</v>
      </c>
      <c r="O143">
        <f>VLOOKUP($C143,'2000 Seattle Tracts Conc'!$AZ$3:$BS$94,O$1,FALSE)</f>
        <v>21.742839049908515</v>
      </c>
      <c r="P143">
        <f>VLOOKUP($C143,'2000 Seattle Tracts Conc'!$AZ$3:$BS$94,P$1,FALSE)</f>
        <v>324.66846823089287</v>
      </c>
      <c r="Q143">
        <f>VLOOKUP($C143,'2000 Seattle Tracts Conc'!$AZ$3:$BS$94,Q$1,FALSE)</f>
        <v>1199.0512057028948</v>
      </c>
      <c r="R143">
        <f>VLOOKUP($C143,'2000 Seattle Tracts Conc'!$AZ$3:$BS$94,R$1,FALSE)</f>
        <v>7.3671469148707809</v>
      </c>
      <c r="S143">
        <f>VLOOKUP($C143,'2000 Seattle Tracts Conc'!$AZ$3:$BS$94,S$1,FALSE)</f>
        <v>0</v>
      </c>
      <c r="T143">
        <f>VLOOKUP($C143,'2000 Seattle Tracts Conc'!$AZ$3:$BS$94,T$1,FALSE)</f>
        <v>65.907368537952664</v>
      </c>
      <c r="U143">
        <f>VLOOKUP($C143,'2000 Seattle Tracts Conc'!$AZ$3:$BS$94,U$1,FALSE)</f>
        <v>63.081679254860717</v>
      </c>
      <c r="V143">
        <f>VLOOKUP($C143,'2000 Seattle Tracts Conc'!$AZ$3:$BS$94,V$1,FALSE)</f>
        <v>410.97394792069821</v>
      </c>
      <c r="W143">
        <f>VLOOKUP($C143,'2000 Seattle Tracts Conc'!$AZ$3:$BS$94,W$1,FALSE)</f>
        <v>242.02173654257172</v>
      </c>
      <c r="X143" s="4">
        <f>VLOOKUP($C143,'2017 Seattle Tracts Conc'!$BA$3:$BT$95,X$1-3,FALSE)</f>
        <v>9877.7947991727415</v>
      </c>
      <c r="Y143">
        <f>VLOOKUP($C143,'2017 Seattle Tracts Conc'!$BA$3:$BT$95,Y$1-3,FALSE)</f>
        <v>7883.373477987454</v>
      </c>
      <c r="Z143">
        <f>VLOOKUP($C143,'2017 Seattle Tracts Conc'!$BA$3:$BT$95,Z$1-3,FALSE)</f>
        <v>1994.421321185288</v>
      </c>
      <c r="AA143">
        <f>VLOOKUP($C143,'2017 Seattle Tracts Conc'!$BA$3:$BT$95,AA$1-3,FALSE)</f>
        <v>5892.7782194256288</v>
      </c>
      <c r="AB143">
        <f>VLOOKUP($C143,'2017 Seattle Tracts Conc'!$BA$3:$BT$95,AB$1-3,FALSE)</f>
        <v>540.17977963496855</v>
      </c>
      <c r="AC143">
        <f>VLOOKUP($C143,'2017 Seattle Tracts Conc'!$BA$3:$BT$95,AC$1-3,FALSE)</f>
        <v>160.50250615209046</v>
      </c>
      <c r="AD143">
        <f>VLOOKUP($C143,'2017 Seattle Tracts Conc'!$BA$3:$BT$95,AD$1-3,FALSE)</f>
        <v>81.151470623821396</v>
      </c>
      <c r="AE143">
        <f>VLOOKUP($C143,'2017 Seattle Tracts Conc'!$BA$3:$BT$95,AE$1-3,FALSE)</f>
        <v>628.05205152504948</v>
      </c>
      <c r="AF143">
        <f>VLOOKUP($C143,'2017 Seattle Tracts Conc'!$BA$3:$BT$95,AF$1-3,FALSE)</f>
        <v>199.48331491120132</v>
      </c>
      <c r="AG143">
        <f>VLOOKUP($C143,'2017 Seattle Tracts Conc'!$BA$3:$BT$95,AG$1-3,FALSE)</f>
        <v>52.472064335325932</v>
      </c>
      <c r="AH143">
        <f>VLOOKUP($C143,'2017 Seattle Tracts Conc'!$BA$3:$BT$95,AH$1-3,FALSE)</f>
        <v>2.1258473113579068</v>
      </c>
      <c r="AI143">
        <f>VLOOKUP($C143,'2017 Seattle Tracts Conc'!$BA$3:$BT$95,AI$1-3,FALSE)</f>
        <v>368.00948986387482</v>
      </c>
      <c r="AJ143">
        <f>VLOOKUP($C143,'2017 Seattle Tracts Conc'!$BA$3:$BT$95,AJ$1-3,FALSE)</f>
        <v>842.5933176275463</v>
      </c>
      <c r="AK143">
        <f>VLOOKUP($C143,'2017 Seattle Tracts Conc'!$BA$3:$BT$95,AK$1-3,FALSE)</f>
        <v>21.621816764611221</v>
      </c>
      <c r="AL143">
        <f>VLOOKUP($C143,'2017 Seattle Tracts Conc'!$BA$3:$BT$95,AL$1-3,FALSE)</f>
        <v>6.5792069702719189</v>
      </c>
      <c r="AM143">
        <f>VLOOKUP($C143,'2017 Seattle Tracts Conc'!$BA$3:$BT$95,AM$1-3,FALSE)</f>
        <v>229.85058831482036</v>
      </c>
      <c r="AN143">
        <f>VLOOKUP($C143,'2017 Seattle Tracts Conc'!$BA$3:$BT$95,AN$1-3,FALSE)</f>
        <v>283.43358949625542</v>
      </c>
      <c r="AO143">
        <f>VLOOKUP($C143,'2017 Seattle Tracts Conc'!$BA$3:$BT$95,AO$1-3,FALSE)</f>
        <v>530.08674160605301</v>
      </c>
      <c r="AP143">
        <f>VLOOKUP($C143,'2017 Seattle Tracts Conc'!$BA$3:$BT$95,AP$1-3,FALSE)</f>
        <v>38.874794609864963</v>
      </c>
    </row>
    <row r="144" spans="1:42" x14ac:dyDescent="0.25">
      <c r="A144">
        <v>103</v>
      </c>
      <c r="B144" t="s">
        <v>2495</v>
      </c>
      <c r="C144" t="s">
        <v>216</v>
      </c>
      <c r="D144" t="s">
        <v>215</v>
      </c>
      <c r="E144">
        <f>VLOOKUP($C144,'2000 Seattle Tracts Conc'!$AZ$3:$BS$94,E$1,FALSE)</f>
        <v>6435.0800714462948</v>
      </c>
      <c r="F144">
        <f>VLOOKUP($C144,'2000 Seattle Tracts Conc'!$AZ$3:$BS$94,F$1,FALSE)</f>
        <v>4781.8868388723276</v>
      </c>
      <c r="G144">
        <f>VLOOKUP($C144,'2000 Seattle Tracts Conc'!$AZ$3:$BS$94,G$1,FALSE)</f>
        <v>1653.193232573967</v>
      </c>
      <c r="H144">
        <f>VLOOKUP($C144,'2000 Seattle Tracts Conc'!$AZ$3:$BS$94,H$1,FALSE)</f>
        <v>3867.0640505597421</v>
      </c>
      <c r="I144">
        <f>VLOOKUP($C144,'2000 Seattle Tracts Conc'!$AZ$3:$BS$94,I$1,FALSE)</f>
        <v>386.21247808367355</v>
      </c>
      <c r="J144">
        <f>VLOOKUP($C144,'2000 Seattle Tracts Conc'!$AZ$3:$BS$94,J$1,FALSE)</f>
        <v>78.058554050372194</v>
      </c>
      <c r="K144">
        <f>VLOOKUP($C144,'2000 Seattle Tracts Conc'!$AZ$3:$BS$94,K$1,FALSE)</f>
        <v>78.215481247210363</v>
      </c>
      <c r="L144">
        <f>VLOOKUP($C144,'2000 Seattle Tracts Conc'!$AZ$3:$BS$94,L$1,FALSE)</f>
        <v>222.01020021235291</v>
      </c>
      <c r="M144">
        <f>VLOOKUP($C144,'2000 Seattle Tracts Conc'!$AZ$3:$BS$94,M$1,FALSE)</f>
        <v>108.37584041449375</v>
      </c>
      <c r="N144">
        <f>VLOOKUP($C144,'2000 Seattle Tracts Conc'!$AZ$3:$BS$94,N$1,FALSE)</f>
        <v>41.094491572351714</v>
      </c>
      <c r="O144">
        <f>VLOOKUP($C144,'2000 Seattle Tracts Conc'!$AZ$3:$BS$94,O$1,FALSE)</f>
        <v>6.1020004608728264</v>
      </c>
      <c r="P144">
        <f>VLOOKUP($C144,'2000 Seattle Tracts Conc'!$AZ$3:$BS$94,P$1,FALSE)</f>
        <v>266.99973054102759</v>
      </c>
      <c r="Q144">
        <f>VLOOKUP($C144,'2000 Seattle Tracts Conc'!$AZ$3:$BS$94,Q$1,FALSE)</f>
        <v>826.86336262853115</v>
      </c>
      <c r="R144">
        <f>VLOOKUP($C144,'2000 Seattle Tracts Conc'!$AZ$3:$BS$94,R$1,FALSE)</f>
        <v>1.5274511675704934</v>
      </c>
      <c r="S144">
        <f>VLOOKUP($C144,'2000 Seattle Tracts Conc'!$AZ$3:$BS$94,S$1,FALSE)</f>
        <v>2.8069775407166588</v>
      </c>
      <c r="T144">
        <f>VLOOKUP($C144,'2000 Seattle Tracts Conc'!$AZ$3:$BS$94,T$1,FALSE)</f>
        <v>60.283163133714623</v>
      </c>
      <c r="U144">
        <f>VLOOKUP($C144,'2000 Seattle Tracts Conc'!$AZ$3:$BS$94,U$1,FALSE)</f>
        <v>57.025186409803304</v>
      </c>
      <c r="V144">
        <f>VLOOKUP($C144,'2000 Seattle Tracts Conc'!$AZ$3:$BS$94,V$1,FALSE)</f>
        <v>244.84919763519599</v>
      </c>
      <c r="W144">
        <f>VLOOKUP($C144,'2000 Seattle Tracts Conc'!$AZ$3:$BS$94,W$1,FALSE)</f>
        <v>187.59190578866531</v>
      </c>
      <c r="X144" s="4">
        <f>VLOOKUP($C144,'2017 Seattle Tracts Conc'!$BA$3:$BT$95,X$1-3,FALSE)</f>
        <v>7117.5436589327574</v>
      </c>
      <c r="Y144">
        <f>VLOOKUP($C144,'2017 Seattle Tracts Conc'!$BA$3:$BT$95,Y$1-3,FALSE)</f>
        <v>5224.5287312500759</v>
      </c>
      <c r="Z144">
        <f>VLOOKUP($C144,'2017 Seattle Tracts Conc'!$BA$3:$BT$95,Z$1-3,FALSE)</f>
        <v>1893.014927682681</v>
      </c>
      <c r="AA144">
        <f>VLOOKUP($C144,'2017 Seattle Tracts Conc'!$BA$3:$BT$95,AA$1-3,FALSE)</f>
        <v>3842.6481655636926</v>
      </c>
      <c r="AB144">
        <f>VLOOKUP($C144,'2017 Seattle Tracts Conc'!$BA$3:$BT$95,AB$1-3,FALSE)</f>
        <v>587.6292555990151</v>
      </c>
      <c r="AC144">
        <f>VLOOKUP($C144,'2017 Seattle Tracts Conc'!$BA$3:$BT$95,AC$1-3,FALSE)</f>
        <v>164.78816554514469</v>
      </c>
      <c r="AD144">
        <f>VLOOKUP($C144,'2017 Seattle Tracts Conc'!$BA$3:$BT$95,AD$1-3,FALSE)</f>
        <v>103.54977312373541</v>
      </c>
      <c r="AE144">
        <f>VLOOKUP($C144,'2017 Seattle Tracts Conc'!$BA$3:$BT$95,AE$1-3,FALSE)</f>
        <v>247.59485718439345</v>
      </c>
      <c r="AF144">
        <f>VLOOKUP($C144,'2017 Seattle Tracts Conc'!$BA$3:$BT$95,AF$1-3,FALSE)</f>
        <v>202.34869591565612</v>
      </c>
      <c r="AG144">
        <f>VLOOKUP($C144,'2017 Seattle Tracts Conc'!$BA$3:$BT$95,AG$1-3,FALSE)</f>
        <v>60.621165040924495</v>
      </c>
      <c r="AH144">
        <f>VLOOKUP($C144,'2017 Seattle Tracts Conc'!$BA$3:$BT$95,AH$1-3,FALSE)</f>
        <v>7.9500874346774193</v>
      </c>
      <c r="AI144">
        <f>VLOOKUP($C144,'2017 Seattle Tracts Conc'!$BA$3:$BT$95,AI$1-3,FALSE)</f>
        <v>335.52326893367228</v>
      </c>
      <c r="AJ144">
        <f>VLOOKUP($C144,'2017 Seattle Tracts Conc'!$BA$3:$BT$95,AJ$1-3,FALSE)</f>
        <v>765.17221930570736</v>
      </c>
      <c r="AK144">
        <f>VLOOKUP($C144,'2017 Seattle Tracts Conc'!$BA$3:$BT$95,AK$1-3,FALSE)</f>
        <v>1.4022831815490779</v>
      </c>
      <c r="AL144">
        <f>VLOOKUP($C144,'2017 Seattle Tracts Conc'!$BA$3:$BT$95,AL$1-3,FALSE)</f>
        <v>0.43394758492988361</v>
      </c>
      <c r="AM144">
        <f>VLOOKUP($C144,'2017 Seattle Tracts Conc'!$BA$3:$BT$95,AM$1-3,FALSE)</f>
        <v>214.5476494381524</v>
      </c>
      <c r="AN144">
        <f>VLOOKUP($C144,'2017 Seattle Tracts Conc'!$BA$3:$BT$95,AN$1-3,FALSE)</f>
        <v>108.67043563011879</v>
      </c>
      <c r="AO144">
        <f>VLOOKUP($C144,'2017 Seattle Tracts Conc'!$BA$3:$BT$95,AO$1-3,FALSE)</f>
        <v>357.40317636254707</v>
      </c>
      <c r="AP144">
        <f>VLOOKUP($C144,'2017 Seattle Tracts Conc'!$BA$3:$BT$95,AP$1-3,FALSE)</f>
        <v>117.26051308884085</v>
      </c>
    </row>
    <row r="145" spans="1:42" x14ac:dyDescent="0.25">
      <c r="A145">
        <v>109</v>
      </c>
      <c r="B145" t="s">
        <v>2495</v>
      </c>
      <c r="C145" t="s">
        <v>217</v>
      </c>
      <c r="D145" t="s">
        <v>122</v>
      </c>
      <c r="E145">
        <f>VLOOKUP($C145,'2000 Seattle Tracts Conc'!$AZ$3:$BS$94,E$1,FALSE)</f>
        <v>5962.3526642380866</v>
      </c>
      <c r="F145">
        <f>VLOOKUP($C145,'2000 Seattle Tracts Conc'!$AZ$3:$BS$94,F$1,FALSE)</f>
        <v>5156.915948454036</v>
      </c>
      <c r="G145">
        <f>VLOOKUP($C145,'2000 Seattle Tracts Conc'!$AZ$3:$BS$94,G$1,FALSE)</f>
        <v>805.43671578405088</v>
      </c>
      <c r="H145">
        <f>VLOOKUP($C145,'2000 Seattle Tracts Conc'!$AZ$3:$BS$94,H$1,FALSE)</f>
        <v>4716.1558519485625</v>
      </c>
      <c r="I145">
        <f>VLOOKUP($C145,'2000 Seattle Tracts Conc'!$AZ$3:$BS$94,I$1,FALSE)</f>
        <v>545.52392551661558</v>
      </c>
      <c r="J145">
        <f>VLOOKUP($C145,'2000 Seattle Tracts Conc'!$AZ$3:$BS$94,J$1,FALSE)</f>
        <v>88.594514815823231</v>
      </c>
      <c r="K145">
        <f>VLOOKUP($C145,'2000 Seattle Tracts Conc'!$AZ$3:$BS$94,K$1,FALSE)</f>
        <v>26.772524233068975</v>
      </c>
      <c r="L145">
        <f>VLOOKUP($C145,'2000 Seattle Tracts Conc'!$AZ$3:$BS$94,L$1,FALSE)</f>
        <v>65.229418100481155</v>
      </c>
      <c r="M145">
        <f>VLOOKUP($C145,'2000 Seattle Tracts Conc'!$AZ$3:$BS$94,M$1,FALSE)</f>
        <v>8.6747135534064164</v>
      </c>
      <c r="N145">
        <f>VLOOKUP($C145,'2000 Seattle Tracts Conc'!$AZ$3:$BS$94,N$1,FALSE)</f>
        <v>9.3459278975636195</v>
      </c>
      <c r="O145">
        <f>VLOOKUP($C145,'2000 Seattle Tracts Conc'!$AZ$3:$BS$94,O$1,FALSE)</f>
        <v>0</v>
      </c>
      <c r="P145">
        <f>VLOOKUP($C145,'2000 Seattle Tracts Conc'!$AZ$3:$BS$94,P$1,FALSE)</f>
        <v>110.99898142798122</v>
      </c>
      <c r="Q145">
        <f>VLOOKUP($C145,'2000 Seattle Tracts Conc'!$AZ$3:$BS$94,Q$1,FALSE)</f>
        <v>187.58857729578401</v>
      </c>
      <c r="R145">
        <f>VLOOKUP($C145,'2000 Seattle Tracts Conc'!$AZ$3:$BS$94,R$1,FALSE)</f>
        <v>6.0952738614916955</v>
      </c>
      <c r="S145">
        <f>VLOOKUP($C145,'2000 Seattle Tracts Conc'!$AZ$3:$BS$94,S$1,FALSE)</f>
        <v>2.2360953770584064</v>
      </c>
      <c r="T145">
        <f>VLOOKUP($C145,'2000 Seattle Tracts Conc'!$AZ$3:$BS$94,T$1,FALSE)</f>
        <v>16.636581744071705</v>
      </c>
      <c r="U145">
        <f>VLOOKUP($C145,'2000 Seattle Tracts Conc'!$AZ$3:$BS$94,U$1,FALSE)</f>
        <v>12.709455071223305</v>
      </c>
      <c r="V145">
        <f>VLOOKUP($C145,'2000 Seattle Tracts Conc'!$AZ$3:$BS$94,V$1,FALSE)</f>
        <v>143.85939865806097</v>
      </c>
      <c r="W145">
        <f>VLOOKUP($C145,'2000 Seattle Tracts Conc'!$AZ$3:$BS$94,W$1,FALSE)</f>
        <v>21.931424736894211</v>
      </c>
      <c r="X145" s="4">
        <f>VLOOKUP($C145,'2017 Seattle Tracts Conc'!$BA$3:$BT$95,X$1-3,FALSE)</f>
        <v>6796.7345994040743</v>
      </c>
      <c r="Y145">
        <f>VLOOKUP($C145,'2017 Seattle Tracts Conc'!$BA$3:$BT$95,Y$1-3,FALSE)</f>
        <v>6041.6629063531955</v>
      </c>
      <c r="Z145">
        <f>VLOOKUP($C145,'2017 Seattle Tracts Conc'!$BA$3:$BT$95,Z$1-3,FALSE)</f>
        <v>755.07169305087837</v>
      </c>
      <c r="AA145">
        <f>VLOOKUP($C145,'2017 Seattle Tracts Conc'!$BA$3:$BT$95,AA$1-3,FALSE)</f>
        <v>5239.6617060058761</v>
      </c>
      <c r="AB145">
        <f>VLOOKUP($C145,'2017 Seattle Tracts Conc'!$BA$3:$BT$95,AB$1-3,FALSE)</f>
        <v>442.86730674605366</v>
      </c>
      <c r="AC145">
        <f>VLOOKUP($C145,'2017 Seattle Tracts Conc'!$BA$3:$BT$95,AC$1-3,FALSE)</f>
        <v>114.44591465799431</v>
      </c>
      <c r="AD145">
        <f>VLOOKUP($C145,'2017 Seattle Tracts Conc'!$BA$3:$BT$95,AD$1-3,FALSE)</f>
        <v>21.040251384985687</v>
      </c>
      <c r="AE145">
        <f>VLOOKUP($C145,'2017 Seattle Tracts Conc'!$BA$3:$BT$95,AE$1-3,FALSE)</f>
        <v>38.322080455642158</v>
      </c>
      <c r="AF145">
        <f>VLOOKUP($C145,'2017 Seattle Tracts Conc'!$BA$3:$BT$95,AF$1-3,FALSE)</f>
        <v>3.1445692700329212E-3</v>
      </c>
      <c r="AG145">
        <f>VLOOKUP($C145,'2017 Seattle Tracts Conc'!$BA$3:$BT$95,AG$1-3,FALSE)</f>
        <v>22.644825386344699</v>
      </c>
      <c r="AH145">
        <f>VLOOKUP($C145,'2017 Seattle Tracts Conc'!$BA$3:$BT$95,AH$1-3,FALSE)</f>
        <v>0</v>
      </c>
      <c r="AI145">
        <f>VLOOKUP($C145,'2017 Seattle Tracts Conc'!$BA$3:$BT$95,AI$1-3,FALSE)</f>
        <v>216.92107768593272</v>
      </c>
      <c r="AJ145">
        <f>VLOOKUP($C145,'2017 Seattle Tracts Conc'!$BA$3:$BT$95,AJ$1-3,FALSE)</f>
        <v>241.01172156592708</v>
      </c>
      <c r="AK145">
        <f>VLOOKUP($C145,'2017 Seattle Tracts Conc'!$BA$3:$BT$95,AK$1-3,FALSE)</f>
        <v>0</v>
      </c>
      <c r="AL145">
        <f>VLOOKUP($C145,'2017 Seattle Tracts Conc'!$BA$3:$BT$95,AL$1-3,FALSE)</f>
        <v>0</v>
      </c>
      <c r="AM145">
        <f>VLOOKUP($C145,'2017 Seattle Tracts Conc'!$BA$3:$BT$95,AM$1-3,FALSE)</f>
        <v>25.241528085297293</v>
      </c>
      <c r="AN145">
        <f>VLOOKUP($C145,'2017 Seattle Tracts Conc'!$BA$3:$BT$95,AN$1-3,FALSE)</f>
        <v>3.865966634614761</v>
      </c>
      <c r="AO145">
        <f>VLOOKUP($C145,'2017 Seattle Tracts Conc'!$BA$3:$BT$95,AO$1-3,FALSE)</f>
        <v>384.42577407610889</v>
      </c>
      <c r="AP145">
        <f>VLOOKUP($C145,'2017 Seattle Tracts Conc'!$BA$3:$BT$95,AP$1-3,FALSE)</f>
        <v>46.283302150027133</v>
      </c>
    </row>
    <row r="146" spans="1:42" x14ac:dyDescent="0.25">
      <c r="A146">
        <v>110</v>
      </c>
      <c r="B146" t="s">
        <v>2495</v>
      </c>
      <c r="C146" t="s">
        <v>218</v>
      </c>
      <c r="D146" t="s">
        <v>215</v>
      </c>
      <c r="E146">
        <f>VLOOKUP($C146,'2000 Seattle Tracts Conc'!$AZ$3:$BS$94,E$1,FALSE)</f>
        <v>6750.4113774339748</v>
      </c>
      <c r="F146">
        <f>VLOOKUP($C146,'2000 Seattle Tracts Conc'!$AZ$3:$BS$94,F$1,FALSE)</f>
        <v>5138.0321079278301</v>
      </c>
      <c r="G146">
        <f>VLOOKUP($C146,'2000 Seattle Tracts Conc'!$AZ$3:$BS$94,G$1,FALSE)</f>
        <v>1612.3792695061452</v>
      </c>
      <c r="H146">
        <f>VLOOKUP($C146,'2000 Seattle Tracts Conc'!$AZ$3:$BS$94,H$1,FALSE)</f>
        <v>4147.1983814690557</v>
      </c>
      <c r="I146">
        <f>VLOOKUP($C146,'2000 Seattle Tracts Conc'!$AZ$3:$BS$94,I$1,FALSE)</f>
        <v>481.23663333023677</v>
      </c>
      <c r="J146">
        <f>VLOOKUP($C146,'2000 Seattle Tracts Conc'!$AZ$3:$BS$94,J$1,FALSE)</f>
        <v>106.7152809954963</v>
      </c>
      <c r="K146">
        <f>VLOOKUP($C146,'2000 Seattle Tracts Conc'!$AZ$3:$BS$94,K$1,FALSE)</f>
        <v>79.017518125515323</v>
      </c>
      <c r="L146">
        <f>VLOOKUP($C146,'2000 Seattle Tracts Conc'!$AZ$3:$BS$94,L$1,FALSE)</f>
        <v>169.808461373272</v>
      </c>
      <c r="M146">
        <f>VLOOKUP($C146,'2000 Seattle Tracts Conc'!$AZ$3:$BS$94,M$1,FALSE)</f>
        <v>150.18276176291823</v>
      </c>
      <c r="N146">
        <f>VLOOKUP($C146,'2000 Seattle Tracts Conc'!$AZ$3:$BS$94,N$1,FALSE)</f>
        <v>55.090435176529816</v>
      </c>
      <c r="O146">
        <f>VLOOKUP($C146,'2000 Seattle Tracts Conc'!$AZ$3:$BS$94,O$1,FALSE)</f>
        <v>3.4291963966605943</v>
      </c>
      <c r="P146">
        <f>VLOOKUP($C146,'2000 Seattle Tracts Conc'!$AZ$3:$BS$94,P$1,FALSE)</f>
        <v>240.44745184734035</v>
      </c>
      <c r="Q146">
        <f>VLOOKUP($C146,'2000 Seattle Tracts Conc'!$AZ$3:$BS$94,Q$1,FALSE)</f>
        <v>665.45218161371167</v>
      </c>
      <c r="R146">
        <f>VLOOKUP($C146,'2000 Seattle Tracts Conc'!$AZ$3:$BS$94,R$1,FALSE)</f>
        <v>16.548138217376842</v>
      </c>
      <c r="S146">
        <f>VLOOKUP($C146,'2000 Seattle Tracts Conc'!$AZ$3:$BS$94,S$1,FALSE)</f>
        <v>5.8911336272895287</v>
      </c>
      <c r="T146">
        <f>VLOOKUP($C146,'2000 Seattle Tracts Conc'!$AZ$3:$BS$94,T$1,FALSE)</f>
        <v>89.412481130715548</v>
      </c>
      <c r="U146">
        <f>VLOOKUP($C146,'2000 Seattle Tracts Conc'!$AZ$3:$BS$94,U$1,FALSE)</f>
        <v>106.83892243630001</v>
      </c>
      <c r="V146">
        <f>VLOOKUP($C146,'2000 Seattle Tracts Conc'!$AZ$3:$BS$94,V$1,FALSE)</f>
        <v>312.8114777180437</v>
      </c>
      <c r="W146">
        <f>VLOOKUP($C146,'2000 Seattle Tracts Conc'!$AZ$3:$BS$94,W$1,FALSE)</f>
        <v>120.33092221351305</v>
      </c>
      <c r="X146" s="4">
        <f>VLOOKUP($C146,'2017 Seattle Tracts Conc'!$BA$3:$BT$95,X$1-3,FALSE)</f>
        <v>8337.80791681763</v>
      </c>
      <c r="Y146">
        <f>VLOOKUP($C146,'2017 Seattle Tracts Conc'!$BA$3:$BT$95,Y$1-3,FALSE)</f>
        <v>6504.7791695272754</v>
      </c>
      <c r="Z146">
        <f>VLOOKUP($C146,'2017 Seattle Tracts Conc'!$BA$3:$BT$95,Z$1-3,FALSE)</f>
        <v>1833.0287472903542</v>
      </c>
      <c r="AA146">
        <f>VLOOKUP($C146,'2017 Seattle Tracts Conc'!$BA$3:$BT$95,AA$1-3,FALSE)</f>
        <v>4882.66488478668</v>
      </c>
      <c r="AB146">
        <f>VLOOKUP($C146,'2017 Seattle Tracts Conc'!$BA$3:$BT$95,AB$1-3,FALSE)</f>
        <v>439.80704888669158</v>
      </c>
      <c r="AC146">
        <f>VLOOKUP($C146,'2017 Seattle Tracts Conc'!$BA$3:$BT$95,AC$1-3,FALSE)</f>
        <v>269.62278570847394</v>
      </c>
      <c r="AD146">
        <f>VLOOKUP($C146,'2017 Seattle Tracts Conc'!$BA$3:$BT$95,AD$1-3,FALSE)</f>
        <v>72.875230866766287</v>
      </c>
      <c r="AE146">
        <f>VLOOKUP($C146,'2017 Seattle Tracts Conc'!$BA$3:$BT$95,AE$1-3,FALSE)</f>
        <v>92.327856885184957</v>
      </c>
      <c r="AF146">
        <f>VLOOKUP($C146,'2017 Seattle Tracts Conc'!$BA$3:$BT$95,AF$1-3,FALSE)</f>
        <v>113.71049894442221</v>
      </c>
      <c r="AG146">
        <f>VLOOKUP($C146,'2017 Seattle Tracts Conc'!$BA$3:$BT$95,AG$1-3,FALSE)</f>
        <v>47.700152460035056</v>
      </c>
      <c r="AH146">
        <f>VLOOKUP($C146,'2017 Seattle Tracts Conc'!$BA$3:$BT$95,AH$1-3,FALSE)</f>
        <v>2.9602884905437223</v>
      </c>
      <c r="AI146">
        <f>VLOOKUP($C146,'2017 Seattle Tracts Conc'!$BA$3:$BT$95,AI$1-3,FALSE)</f>
        <v>500.46986186897198</v>
      </c>
      <c r="AJ146">
        <f>VLOOKUP($C146,'2017 Seattle Tracts Conc'!$BA$3:$BT$95,AJ$1-3,FALSE)</f>
        <v>969.2541175978447</v>
      </c>
      <c r="AK146">
        <f>VLOOKUP($C146,'2017 Seattle Tracts Conc'!$BA$3:$BT$95,AK$1-3,FALSE)</f>
        <v>12.464684055057614</v>
      </c>
      <c r="AL146">
        <f>VLOOKUP($C146,'2017 Seattle Tracts Conc'!$BA$3:$BT$95,AL$1-3,FALSE)</f>
        <v>0</v>
      </c>
      <c r="AM146">
        <f>VLOOKUP($C146,'2017 Seattle Tracts Conc'!$BA$3:$BT$95,AM$1-3,FALSE)</f>
        <v>141.4676827138569</v>
      </c>
      <c r="AN146">
        <f>VLOOKUP($C146,'2017 Seattle Tracts Conc'!$BA$3:$BT$95,AN$1-3,FALSE)</f>
        <v>124.39348755619112</v>
      </c>
      <c r="AO146">
        <f>VLOOKUP($C146,'2017 Seattle Tracts Conc'!$BA$3:$BT$95,AO$1-3,FALSE)</f>
        <v>558.061261049015</v>
      </c>
      <c r="AP146">
        <f>VLOOKUP($C146,'2017 Seattle Tracts Conc'!$BA$3:$BT$95,AP$1-3,FALSE)</f>
        <v>110.02807494789454</v>
      </c>
    </row>
    <row r="147" spans="1:42" x14ac:dyDescent="0.25">
      <c r="A147">
        <v>112</v>
      </c>
      <c r="B147" t="s">
        <v>2495</v>
      </c>
      <c r="C147" t="s">
        <v>219</v>
      </c>
      <c r="D147" t="s">
        <v>215</v>
      </c>
      <c r="E147">
        <f>VLOOKUP($C147,'2000 Seattle Tracts Conc'!$AZ$3:$BS$94,E$1,FALSE)</f>
        <v>8575.3148017731419</v>
      </c>
      <c r="F147">
        <f>VLOOKUP($C147,'2000 Seattle Tracts Conc'!$AZ$3:$BS$94,F$1,FALSE)</f>
        <v>6881.8293310227837</v>
      </c>
      <c r="G147">
        <f>VLOOKUP($C147,'2000 Seattle Tracts Conc'!$AZ$3:$BS$94,G$1,FALSE)</f>
        <v>1693.4854707503603</v>
      </c>
      <c r="H147">
        <f>VLOOKUP($C147,'2000 Seattle Tracts Conc'!$AZ$3:$BS$94,H$1,FALSE)</f>
        <v>5800.3218563248965</v>
      </c>
      <c r="I147">
        <f>VLOOKUP($C147,'2000 Seattle Tracts Conc'!$AZ$3:$BS$94,I$1,FALSE)</f>
        <v>531.22916565644039</v>
      </c>
      <c r="J147">
        <f>VLOOKUP($C147,'2000 Seattle Tracts Conc'!$AZ$3:$BS$94,J$1,FALSE)</f>
        <v>97.726893853625768</v>
      </c>
      <c r="K147">
        <f>VLOOKUP($C147,'2000 Seattle Tracts Conc'!$AZ$3:$BS$94,K$1,FALSE)</f>
        <v>47.68508312969913</v>
      </c>
      <c r="L147">
        <f>VLOOKUP($C147,'2000 Seattle Tracts Conc'!$AZ$3:$BS$94,L$1,FALSE)</f>
        <v>225.0829620590921</v>
      </c>
      <c r="M147">
        <f>VLOOKUP($C147,'2000 Seattle Tracts Conc'!$AZ$3:$BS$94,M$1,FALSE)</f>
        <v>130.38052640229535</v>
      </c>
      <c r="N147">
        <f>VLOOKUP($C147,'2000 Seattle Tracts Conc'!$AZ$3:$BS$94,N$1,FALSE)</f>
        <v>40.303749079625355</v>
      </c>
      <c r="O147">
        <f>VLOOKUP($C147,'2000 Seattle Tracts Conc'!$AZ$3:$BS$94,O$1,FALSE)</f>
        <v>4.6710631907120872</v>
      </c>
      <c r="P147">
        <f>VLOOKUP($C147,'2000 Seattle Tracts Conc'!$AZ$3:$BS$94,P$1,FALSE)</f>
        <v>231.96153548372936</v>
      </c>
      <c r="Q147">
        <f>VLOOKUP($C147,'2000 Seattle Tracts Conc'!$AZ$3:$BS$94,Q$1,FALSE)</f>
        <v>745.192615139488</v>
      </c>
      <c r="R147">
        <f>VLOOKUP($C147,'2000 Seattle Tracts Conc'!$AZ$3:$BS$94,R$1,FALSE)</f>
        <v>13.974986864755326</v>
      </c>
      <c r="S147">
        <f>VLOOKUP($C147,'2000 Seattle Tracts Conc'!$AZ$3:$BS$94,S$1,FALSE)</f>
        <v>3.3556162443575442E-3</v>
      </c>
      <c r="T147">
        <f>VLOOKUP($C147,'2000 Seattle Tracts Conc'!$AZ$3:$BS$94,T$1,FALSE)</f>
        <v>114.91213559364283</v>
      </c>
      <c r="U147">
        <f>VLOOKUP($C147,'2000 Seattle Tracts Conc'!$AZ$3:$BS$94,U$1,FALSE)</f>
        <v>67.778193811069329</v>
      </c>
      <c r="V147">
        <f>VLOOKUP($C147,'2000 Seattle Tracts Conc'!$AZ$3:$BS$94,V$1,FALSE)</f>
        <v>357.54521176341729</v>
      </c>
      <c r="W147">
        <f>VLOOKUP($C147,'2000 Seattle Tracts Conc'!$AZ$3:$BS$94,W$1,FALSE)</f>
        <v>166.54546780441137</v>
      </c>
      <c r="X147" s="4">
        <f>VLOOKUP($C147,'2017 Seattle Tracts Conc'!$BA$3:$BT$95,X$1-3,FALSE)</f>
        <v>10657.948505039894</v>
      </c>
      <c r="Y147">
        <f>VLOOKUP($C147,'2017 Seattle Tracts Conc'!$BA$3:$BT$95,Y$1-3,FALSE)</f>
        <v>8375.3686305322135</v>
      </c>
      <c r="Z147">
        <f>VLOOKUP($C147,'2017 Seattle Tracts Conc'!$BA$3:$BT$95,Z$1-3,FALSE)</f>
        <v>2282.5798745076813</v>
      </c>
      <c r="AA147">
        <f>VLOOKUP($C147,'2017 Seattle Tracts Conc'!$BA$3:$BT$95,AA$1-3,FALSE)</f>
        <v>6726.7539253162076</v>
      </c>
      <c r="AB147">
        <f>VLOOKUP($C147,'2017 Seattle Tracts Conc'!$BA$3:$BT$95,AB$1-3,FALSE)</f>
        <v>861.48722927499909</v>
      </c>
      <c r="AC147">
        <f>VLOOKUP($C147,'2017 Seattle Tracts Conc'!$BA$3:$BT$95,AC$1-3,FALSE)</f>
        <v>257.70309144833595</v>
      </c>
      <c r="AD147">
        <f>VLOOKUP($C147,'2017 Seattle Tracts Conc'!$BA$3:$BT$95,AD$1-3,FALSE)</f>
        <v>43.041033439999516</v>
      </c>
      <c r="AE147">
        <f>VLOOKUP($C147,'2017 Seattle Tracts Conc'!$BA$3:$BT$95,AE$1-3,FALSE)</f>
        <v>131.20300063973002</v>
      </c>
      <c r="AF147">
        <f>VLOOKUP($C147,'2017 Seattle Tracts Conc'!$BA$3:$BT$95,AF$1-3,FALSE)</f>
        <v>182.07961719851315</v>
      </c>
      <c r="AG147">
        <f>VLOOKUP($C147,'2017 Seattle Tracts Conc'!$BA$3:$BT$95,AG$1-3,FALSE)</f>
        <v>16.921005860658411</v>
      </c>
      <c r="AH147">
        <f>VLOOKUP($C147,'2017 Seattle Tracts Conc'!$BA$3:$BT$95,AH$1-3,FALSE)</f>
        <v>14.962434499943768</v>
      </c>
      <c r="AI147">
        <f>VLOOKUP($C147,'2017 Seattle Tracts Conc'!$BA$3:$BT$95,AI$1-3,FALSE)</f>
        <v>524.5637359113249</v>
      </c>
      <c r="AJ147">
        <f>VLOOKUP($C147,'2017 Seattle Tracts Conc'!$BA$3:$BT$95,AJ$1-3,FALSE)</f>
        <v>1009.9425387024422</v>
      </c>
      <c r="AK147">
        <f>VLOOKUP($C147,'2017 Seattle Tracts Conc'!$BA$3:$BT$95,AK$1-3,FALSE)</f>
        <v>9.0430198336150749</v>
      </c>
      <c r="AL147">
        <f>VLOOKUP($C147,'2017 Seattle Tracts Conc'!$BA$3:$BT$95,AL$1-3,FALSE)</f>
        <v>0</v>
      </c>
      <c r="AM147">
        <f>VLOOKUP($C147,'2017 Seattle Tracts Conc'!$BA$3:$BT$95,AM$1-3,FALSE)</f>
        <v>168.52112942586237</v>
      </c>
      <c r="AN147">
        <f>VLOOKUP($C147,'2017 Seattle Tracts Conc'!$BA$3:$BT$95,AN$1-3,FALSE)</f>
        <v>69.592639349813453</v>
      </c>
      <c r="AO147">
        <f>VLOOKUP($C147,'2017 Seattle Tracts Conc'!$BA$3:$BT$95,AO$1-3,FALSE)</f>
        <v>540.65972209647975</v>
      </c>
      <c r="AP147">
        <f>VLOOKUP($C147,'2017 Seattle Tracts Conc'!$BA$3:$BT$95,AP$1-3,FALSE)</f>
        <v>101.47438204197022</v>
      </c>
    </row>
    <row r="148" spans="1:42" x14ac:dyDescent="0.25">
      <c r="A148">
        <v>113</v>
      </c>
      <c r="B148" t="s">
        <v>2495</v>
      </c>
      <c r="C148" t="s">
        <v>220</v>
      </c>
      <c r="D148" t="s">
        <v>122</v>
      </c>
      <c r="E148">
        <f>VLOOKUP($C148,'2000 Seattle Tracts Conc'!$AZ$3:$BS$94,E$1,FALSE)</f>
        <v>3755.3527312222886</v>
      </c>
      <c r="F148">
        <f>VLOOKUP($C148,'2000 Seattle Tracts Conc'!$AZ$3:$BS$94,F$1,FALSE)</f>
        <v>3160.2864873224444</v>
      </c>
      <c r="G148">
        <f>VLOOKUP($C148,'2000 Seattle Tracts Conc'!$AZ$3:$BS$94,G$1,FALSE)</f>
        <v>595.06624389984438</v>
      </c>
      <c r="H148">
        <f>VLOOKUP($C148,'2000 Seattle Tracts Conc'!$AZ$3:$BS$94,H$1,FALSE)</f>
        <v>2728.9002429778775</v>
      </c>
      <c r="I148">
        <f>VLOOKUP($C148,'2000 Seattle Tracts Conc'!$AZ$3:$BS$94,I$1,FALSE)</f>
        <v>216.01006832736556</v>
      </c>
      <c r="J148">
        <f>VLOOKUP($C148,'2000 Seattle Tracts Conc'!$AZ$3:$BS$94,J$1,FALSE)</f>
        <v>45.02442057954768</v>
      </c>
      <c r="K148">
        <f>VLOOKUP($C148,'2000 Seattle Tracts Conc'!$AZ$3:$BS$94,K$1,FALSE)</f>
        <v>34.024224244246838</v>
      </c>
      <c r="L148">
        <f>VLOOKUP($C148,'2000 Seattle Tracts Conc'!$AZ$3:$BS$94,L$1,FALSE)</f>
        <v>81.856733604483551</v>
      </c>
      <c r="M148">
        <f>VLOOKUP($C148,'2000 Seattle Tracts Conc'!$AZ$3:$BS$94,M$1,FALSE)</f>
        <v>24.006090627210938</v>
      </c>
      <c r="N148">
        <f>VLOOKUP($C148,'2000 Seattle Tracts Conc'!$AZ$3:$BS$94,N$1,FALSE)</f>
        <v>24.003637616923449</v>
      </c>
      <c r="O148">
        <f>VLOOKUP($C148,'2000 Seattle Tracts Conc'!$AZ$3:$BS$94,O$1,FALSE)</f>
        <v>3.4903050489817904</v>
      </c>
      <c r="P148">
        <f>VLOOKUP($C148,'2000 Seattle Tracts Conc'!$AZ$3:$BS$94,P$1,FALSE)</f>
        <v>100.52576077203653</v>
      </c>
      <c r="Q148">
        <f>VLOOKUP($C148,'2000 Seattle Tracts Conc'!$AZ$3:$BS$94,Q$1,FALSE)</f>
        <v>257.67907033928475</v>
      </c>
      <c r="R148">
        <f>VLOOKUP($C148,'2000 Seattle Tracts Conc'!$AZ$3:$BS$94,R$1,FALSE)</f>
        <v>7.8202581071629567</v>
      </c>
      <c r="S148">
        <f>VLOOKUP($C148,'2000 Seattle Tracts Conc'!$AZ$3:$BS$94,S$1,FALSE)</f>
        <v>5.4624232333575149</v>
      </c>
      <c r="T148">
        <f>VLOOKUP($C148,'2000 Seattle Tracts Conc'!$AZ$3:$BS$94,T$1,FALSE)</f>
        <v>28.682609953687574</v>
      </c>
      <c r="U148">
        <f>VLOOKUP($C148,'2000 Seattle Tracts Conc'!$AZ$3:$BS$94,U$1,FALSE)</f>
        <v>20.975899057451421</v>
      </c>
      <c r="V148">
        <f>VLOOKUP($C148,'2000 Seattle Tracts Conc'!$AZ$3:$BS$94,V$1,FALSE)</f>
        <v>143.47282371072495</v>
      </c>
      <c r="W148">
        <f>VLOOKUP($C148,'2000 Seattle Tracts Conc'!$AZ$3:$BS$94,W$1,FALSE)</f>
        <v>33.41816302194546</v>
      </c>
      <c r="X148" s="4">
        <f>VLOOKUP($C148,'2017 Seattle Tracts Conc'!$BA$3:$BT$95,X$1-3,FALSE)</f>
        <v>4291.6045851394911</v>
      </c>
      <c r="Y148">
        <f>VLOOKUP($C148,'2017 Seattle Tracts Conc'!$BA$3:$BT$95,Y$1-3,FALSE)</f>
        <v>3659.6985169265113</v>
      </c>
      <c r="Z148">
        <f>VLOOKUP($C148,'2017 Seattle Tracts Conc'!$BA$3:$BT$95,Z$1-3,FALSE)</f>
        <v>631.90606821297956</v>
      </c>
      <c r="AA148">
        <f>VLOOKUP($C148,'2017 Seattle Tracts Conc'!$BA$3:$BT$95,AA$1-3,FALSE)</f>
        <v>3027.7264625143025</v>
      </c>
      <c r="AB148">
        <f>VLOOKUP($C148,'2017 Seattle Tracts Conc'!$BA$3:$BT$95,AB$1-3,FALSE)</f>
        <v>262.75054556530671</v>
      </c>
      <c r="AC148">
        <f>VLOOKUP($C148,'2017 Seattle Tracts Conc'!$BA$3:$BT$95,AC$1-3,FALSE)</f>
        <v>70.341496676028356</v>
      </c>
      <c r="AD148">
        <f>VLOOKUP($C148,'2017 Seattle Tracts Conc'!$BA$3:$BT$95,AD$1-3,FALSE)</f>
        <v>66.332225784619624</v>
      </c>
      <c r="AE148">
        <f>VLOOKUP($C148,'2017 Seattle Tracts Conc'!$BA$3:$BT$95,AE$1-3,FALSE)</f>
        <v>40.674209998684475</v>
      </c>
      <c r="AF148">
        <f>VLOOKUP($C148,'2017 Seattle Tracts Conc'!$BA$3:$BT$95,AF$1-3,FALSE)</f>
        <v>6.6648197238309379</v>
      </c>
      <c r="AG148">
        <f>VLOOKUP($C148,'2017 Seattle Tracts Conc'!$BA$3:$BT$95,AG$1-3,FALSE)</f>
        <v>24.923810594201917</v>
      </c>
      <c r="AH148">
        <f>VLOOKUP($C148,'2017 Seattle Tracts Conc'!$BA$3:$BT$95,AH$1-3,FALSE)</f>
        <v>0</v>
      </c>
      <c r="AI148">
        <f>VLOOKUP($C148,'2017 Seattle Tracts Conc'!$BA$3:$BT$95,AI$1-3,FALSE)</f>
        <v>168.16301142312085</v>
      </c>
      <c r="AJ148">
        <f>VLOOKUP($C148,'2017 Seattle Tracts Conc'!$BA$3:$BT$95,AJ$1-3,FALSE)</f>
        <v>208.21326308927152</v>
      </c>
      <c r="AK148">
        <f>VLOOKUP($C148,'2017 Seattle Tracts Conc'!$BA$3:$BT$95,AK$1-3,FALSE)</f>
        <v>0</v>
      </c>
      <c r="AL148">
        <f>VLOOKUP($C148,'2017 Seattle Tracts Conc'!$BA$3:$BT$95,AL$1-3,FALSE)</f>
        <v>1.9126446883878264E-3</v>
      </c>
      <c r="AM148">
        <f>VLOOKUP($C148,'2017 Seattle Tracts Conc'!$BA$3:$BT$95,AM$1-3,FALSE)</f>
        <v>52.544496048206078</v>
      </c>
      <c r="AN148">
        <f>VLOOKUP($C148,'2017 Seattle Tracts Conc'!$BA$3:$BT$95,AN$1-3,FALSE)</f>
        <v>8.4799059721303642</v>
      </c>
      <c r="AO148">
        <f>VLOOKUP($C148,'2017 Seattle Tracts Conc'!$BA$3:$BT$95,AO$1-3,FALSE)</f>
        <v>275.32502967196694</v>
      </c>
      <c r="AP148">
        <f>VLOOKUP($C148,'2017 Seattle Tracts Conc'!$BA$3:$BT$95,AP$1-3,FALSE)</f>
        <v>79.463395433132007</v>
      </c>
    </row>
    <row r="149" spans="1:42" x14ac:dyDescent="0.25">
      <c r="A149">
        <v>115</v>
      </c>
      <c r="B149" t="s">
        <v>2495</v>
      </c>
      <c r="C149" t="s">
        <v>221</v>
      </c>
      <c r="D149" t="s">
        <v>122</v>
      </c>
      <c r="E149">
        <f>VLOOKUP($C149,'2000 Seattle Tracts Conc'!$AZ$3:$BS$94,E$1,FALSE)</f>
        <v>14363.646899068674</v>
      </c>
      <c r="F149">
        <f>VLOOKUP($C149,'2000 Seattle Tracts Conc'!$AZ$3:$BS$94,F$1,FALSE)</f>
        <v>12016.336512070618</v>
      </c>
      <c r="G149">
        <f>VLOOKUP($C149,'2000 Seattle Tracts Conc'!$AZ$3:$BS$94,G$1,FALSE)</f>
        <v>2347.3103869980509</v>
      </c>
      <c r="H149">
        <f>VLOOKUP($C149,'2000 Seattle Tracts Conc'!$AZ$3:$BS$94,H$1,FALSE)</f>
        <v>10337.479851326978</v>
      </c>
      <c r="I149">
        <f>VLOOKUP($C149,'2000 Seattle Tracts Conc'!$AZ$3:$BS$94,I$1,FALSE)</f>
        <v>725.3615880939542</v>
      </c>
      <c r="J149">
        <f>VLOOKUP($C149,'2000 Seattle Tracts Conc'!$AZ$3:$BS$94,J$1,FALSE)</f>
        <v>218.90092537436681</v>
      </c>
      <c r="K149">
        <f>VLOOKUP($C149,'2000 Seattle Tracts Conc'!$AZ$3:$BS$94,K$1,FALSE)</f>
        <v>164.83864840749951</v>
      </c>
      <c r="L149">
        <f>VLOOKUP($C149,'2000 Seattle Tracts Conc'!$AZ$3:$BS$94,L$1,FALSE)</f>
        <v>273.07494589386465</v>
      </c>
      <c r="M149">
        <f>VLOOKUP($C149,'2000 Seattle Tracts Conc'!$AZ$3:$BS$94,M$1,FALSE)</f>
        <v>125.26433188435718</v>
      </c>
      <c r="N149">
        <f>VLOOKUP($C149,'2000 Seattle Tracts Conc'!$AZ$3:$BS$94,N$1,FALSE)</f>
        <v>103.26673191882624</v>
      </c>
      <c r="O149">
        <f>VLOOKUP($C149,'2000 Seattle Tracts Conc'!$AZ$3:$BS$94,O$1,FALSE)</f>
        <v>14.235164050310283</v>
      </c>
      <c r="P149">
        <f>VLOOKUP($C149,'2000 Seattle Tracts Conc'!$AZ$3:$BS$94,P$1,FALSE)</f>
        <v>356.6475092256876</v>
      </c>
      <c r="Q149">
        <f>VLOOKUP($C149,'2000 Seattle Tracts Conc'!$AZ$3:$BS$94,Q$1,FALSE)</f>
        <v>1042.2208262118861</v>
      </c>
      <c r="R149">
        <f>VLOOKUP($C149,'2000 Seattle Tracts Conc'!$AZ$3:$BS$94,R$1,FALSE)</f>
        <v>10.670920110338153</v>
      </c>
      <c r="S149">
        <f>VLOOKUP($C149,'2000 Seattle Tracts Conc'!$AZ$3:$BS$94,S$1,FALSE)</f>
        <v>13.883154711698742</v>
      </c>
      <c r="T149">
        <f>VLOOKUP($C149,'2000 Seattle Tracts Conc'!$AZ$3:$BS$94,T$1,FALSE)</f>
        <v>104.06160874065267</v>
      </c>
      <c r="U149">
        <f>VLOOKUP($C149,'2000 Seattle Tracts Conc'!$AZ$3:$BS$94,U$1,FALSE)</f>
        <v>111.47691988591666</v>
      </c>
      <c r="V149">
        <f>VLOOKUP($C149,'2000 Seattle Tracts Conc'!$AZ$3:$BS$94,V$1,FALSE)</f>
        <v>612.23401947990669</v>
      </c>
      <c r="W149">
        <f>VLOOKUP($C149,'2000 Seattle Tracts Conc'!$AZ$3:$BS$94,W$1,FALSE)</f>
        <v>150.02975375242806</v>
      </c>
      <c r="X149" s="4">
        <f>VLOOKUP($C149,'2017 Seattle Tracts Conc'!$BA$3:$BT$95,X$1-3,FALSE)</f>
        <v>17174.501052032199</v>
      </c>
      <c r="Y149">
        <f>VLOOKUP($C149,'2017 Seattle Tracts Conc'!$BA$3:$BT$95,Y$1-3,FALSE)</f>
        <v>14804.008029651835</v>
      </c>
      <c r="Z149">
        <f>VLOOKUP($C149,'2017 Seattle Tracts Conc'!$BA$3:$BT$95,Z$1-3,FALSE)</f>
        <v>2370.493022380364</v>
      </c>
      <c r="AA149">
        <f>VLOOKUP($C149,'2017 Seattle Tracts Conc'!$BA$3:$BT$95,AA$1-3,FALSE)</f>
        <v>12094.886914896739</v>
      </c>
      <c r="AB149">
        <f>VLOOKUP($C149,'2017 Seattle Tracts Conc'!$BA$3:$BT$95,AB$1-3,FALSE)</f>
        <v>857.64705049816575</v>
      </c>
      <c r="AC149">
        <f>VLOOKUP($C149,'2017 Seattle Tracts Conc'!$BA$3:$BT$95,AC$1-3,FALSE)</f>
        <v>399.5742917908612</v>
      </c>
      <c r="AD149">
        <f>VLOOKUP($C149,'2017 Seattle Tracts Conc'!$BA$3:$BT$95,AD$1-3,FALSE)</f>
        <v>147.10053997476533</v>
      </c>
      <c r="AE149">
        <f>VLOOKUP($C149,'2017 Seattle Tracts Conc'!$BA$3:$BT$95,AE$1-3,FALSE)</f>
        <v>268.28048407794438</v>
      </c>
      <c r="AF149">
        <f>VLOOKUP($C149,'2017 Seattle Tracts Conc'!$BA$3:$BT$95,AF$1-3,FALSE)</f>
        <v>109.09689545549995</v>
      </c>
      <c r="AG149">
        <f>VLOOKUP($C149,'2017 Seattle Tracts Conc'!$BA$3:$BT$95,AG$1-3,FALSE)</f>
        <v>102.30779989408464</v>
      </c>
      <c r="AH149">
        <f>VLOOKUP($C149,'2017 Seattle Tracts Conc'!$BA$3:$BT$95,AH$1-3,FALSE)</f>
        <v>0</v>
      </c>
      <c r="AI149">
        <f>VLOOKUP($C149,'2017 Seattle Tracts Conc'!$BA$3:$BT$95,AI$1-3,FALSE)</f>
        <v>670.30852625016655</v>
      </c>
      <c r="AJ149">
        <f>VLOOKUP($C149,'2017 Seattle Tracts Conc'!$BA$3:$BT$95,AJ$1-3,FALSE)</f>
        <v>958.49438767209426</v>
      </c>
      <c r="AK149">
        <f>VLOOKUP($C149,'2017 Seattle Tracts Conc'!$BA$3:$BT$95,AK$1-3,FALSE)</f>
        <v>31.466195683867699</v>
      </c>
      <c r="AL149">
        <f>VLOOKUP($C149,'2017 Seattle Tracts Conc'!$BA$3:$BT$95,AL$1-3,FALSE)</f>
        <v>3.1615189739264922E-2</v>
      </c>
      <c r="AM149">
        <f>VLOOKUP($C149,'2017 Seattle Tracts Conc'!$BA$3:$BT$95,AM$1-3,FALSE)</f>
        <v>214.75344391156955</v>
      </c>
      <c r="AN149">
        <f>VLOOKUP($C149,'2017 Seattle Tracts Conc'!$BA$3:$BT$95,AN$1-3,FALSE)</f>
        <v>100.16554393442273</v>
      </c>
      <c r="AO149">
        <f>VLOOKUP($C149,'2017 Seattle Tracts Conc'!$BA$3:$BT$95,AO$1-3,FALSE)</f>
        <v>1022.4303731466019</v>
      </c>
      <c r="AP149">
        <f>VLOOKUP($C149,'2017 Seattle Tracts Conc'!$BA$3:$BT$95,AP$1-3,FALSE)</f>
        <v>197.95698965567655</v>
      </c>
    </row>
    <row r="150" spans="1:42" x14ac:dyDescent="0.25">
      <c r="A150">
        <v>116</v>
      </c>
      <c r="B150" t="s">
        <v>2495</v>
      </c>
      <c r="C150" t="s">
        <v>222</v>
      </c>
      <c r="D150" t="s">
        <v>117</v>
      </c>
      <c r="E150">
        <f>VLOOKUP($C150,'2000 Seattle Tracts Conc'!$AZ$3:$BS$94,E$1,FALSE)</f>
        <v>6926.8619824788802</v>
      </c>
      <c r="F150">
        <f>VLOOKUP($C150,'2000 Seattle Tracts Conc'!$AZ$3:$BS$94,F$1,FALSE)</f>
        <v>6252.1168526399542</v>
      </c>
      <c r="G150">
        <f>VLOOKUP($C150,'2000 Seattle Tracts Conc'!$AZ$3:$BS$94,G$1,FALSE)</f>
        <v>674.74512983892691</v>
      </c>
      <c r="H150">
        <f>VLOOKUP($C150,'2000 Seattle Tracts Conc'!$AZ$3:$BS$94,H$1,FALSE)</f>
        <v>5772.5711928420133</v>
      </c>
      <c r="I150">
        <f>VLOOKUP($C150,'2000 Seattle Tracts Conc'!$AZ$3:$BS$94,I$1,FALSE)</f>
        <v>405.21741653520894</v>
      </c>
      <c r="J150">
        <f>VLOOKUP($C150,'2000 Seattle Tracts Conc'!$AZ$3:$BS$94,J$1,FALSE)</f>
        <v>105.17477077040935</v>
      </c>
      <c r="K150">
        <f>VLOOKUP($C150,'2000 Seattle Tracts Conc'!$AZ$3:$BS$94,K$1,FALSE)</f>
        <v>42.299309080647113</v>
      </c>
      <c r="L150">
        <f>VLOOKUP($C150,'2000 Seattle Tracts Conc'!$AZ$3:$BS$94,L$1,FALSE)</f>
        <v>41.412644869173427</v>
      </c>
      <c r="M150">
        <f>VLOOKUP($C150,'2000 Seattle Tracts Conc'!$AZ$3:$BS$94,M$1,FALSE)</f>
        <v>21.544376234138923</v>
      </c>
      <c r="N150">
        <f>VLOOKUP($C150,'2000 Seattle Tracts Conc'!$AZ$3:$BS$94,N$1,FALSE)</f>
        <v>62.947931196729861</v>
      </c>
      <c r="O150">
        <f>VLOOKUP($C150,'2000 Seattle Tracts Conc'!$AZ$3:$BS$94,O$1,FALSE)</f>
        <v>0</v>
      </c>
      <c r="P150">
        <f>VLOOKUP($C150,'2000 Seattle Tracts Conc'!$AZ$3:$BS$94,P$1,FALSE)</f>
        <v>99.144946715799307</v>
      </c>
      <c r="Q150">
        <f>VLOOKUP($C150,'2000 Seattle Tracts Conc'!$AZ$3:$BS$94,Q$1,FALSE)</f>
        <v>137.36878330512437</v>
      </c>
      <c r="R150">
        <f>VLOOKUP($C150,'2000 Seattle Tracts Conc'!$AZ$3:$BS$94,R$1,FALSE)</f>
        <v>3.1599950868703814</v>
      </c>
      <c r="S150">
        <f>VLOOKUP($C150,'2000 Seattle Tracts Conc'!$AZ$3:$BS$94,S$1,FALSE)</f>
        <v>6.8466560215524925</v>
      </c>
      <c r="T150">
        <f>VLOOKUP($C150,'2000 Seattle Tracts Conc'!$AZ$3:$BS$94,T$1,FALSE)</f>
        <v>28.183440287864428</v>
      </c>
      <c r="U150">
        <f>VLOOKUP($C150,'2000 Seattle Tracts Conc'!$AZ$3:$BS$94,U$1,FALSE)</f>
        <v>13.0551642831355</v>
      </c>
      <c r="V150">
        <f>VLOOKUP($C150,'2000 Seattle Tracts Conc'!$AZ$3:$BS$94,V$1,FALSE)</f>
        <v>139.52193087109336</v>
      </c>
      <c r="W150">
        <f>VLOOKUP($C150,'2000 Seattle Tracts Conc'!$AZ$3:$BS$94,W$1,FALSE)</f>
        <v>48.413424379119647</v>
      </c>
      <c r="X150" s="4">
        <f>VLOOKUP($C150,'2017 Seattle Tracts Conc'!$BA$3:$BT$95,X$1-3,FALSE)</f>
        <v>7804.6172967317434</v>
      </c>
      <c r="Y150">
        <f>VLOOKUP($C150,'2017 Seattle Tracts Conc'!$BA$3:$BT$95,Y$1-3,FALSE)</f>
        <v>7198.1978746856512</v>
      </c>
      <c r="Z150">
        <f>VLOOKUP($C150,'2017 Seattle Tracts Conc'!$BA$3:$BT$95,Z$1-3,FALSE)</f>
        <v>606.41942204609256</v>
      </c>
      <c r="AA150">
        <f>VLOOKUP($C150,'2017 Seattle Tracts Conc'!$BA$3:$BT$95,AA$1-3,FALSE)</f>
        <v>6299.9813614806772</v>
      </c>
      <c r="AB150">
        <f>VLOOKUP($C150,'2017 Seattle Tracts Conc'!$BA$3:$BT$95,AB$1-3,FALSE)</f>
        <v>309.96933458449899</v>
      </c>
      <c r="AC150">
        <f>VLOOKUP($C150,'2017 Seattle Tracts Conc'!$BA$3:$BT$95,AC$1-3,FALSE)</f>
        <v>400.30160643148287</v>
      </c>
      <c r="AD150">
        <f>VLOOKUP($C150,'2017 Seattle Tracts Conc'!$BA$3:$BT$95,AD$1-3,FALSE)</f>
        <v>48.059351440088768</v>
      </c>
      <c r="AE150">
        <f>VLOOKUP($C150,'2017 Seattle Tracts Conc'!$BA$3:$BT$95,AE$1-3,FALSE)</f>
        <v>41.619087439541545</v>
      </c>
      <c r="AF150">
        <f>VLOOKUP($C150,'2017 Seattle Tracts Conc'!$BA$3:$BT$95,AF$1-3,FALSE)</f>
        <v>0</v>
      </c>
      <c r="AG150">
        <f>VLOOKUP($C150,'2017 Seattle Tracts Conc'!$BA$3:$BT$95,AG$1-3,FALSE)</f>
        <v>46.387928912269068</v>
      </c>
      <c r="AH150">
        <f>VLOOKUP($C150,'2017 Seattle Tracts Conc'!$BA$3:$BT$95,AH$1-3,FALSE)</f>
        <v>0</v>
      </c>
      <c r="AI150">
        <f>VLOOKUP($C150,'2017 Seattle Tracts Conc'!$BA$3:$BT$95,AI$1-3,FALSE)</f>
        <v>162.24562911385897</v>
      </c>
      <c r="AJ150">
        <f>VLOOKUP($C150,'2017 Seattle Tracts Conc'!$BA$3:$BT$95,AJ$1-3,FALSE)</f>
        <v>113.0332418248166</v>
      </c>
      <c r="AK150">
        <f>VLOOKUP($C150,'2017 Seattle Tracts Conc'!$BA$3:$BT$95,AK$1-3,FALSE)</f>
        <v>0</v>
      </c>
      <c r="AL150">
        <f>VLOOKUP($C150,'2017 Seattle Tracts Conc'!$BA$3:$BT$95,AL$1-3,FALSE)</f>
        <v>0</v>
      </c>
      <c r="AM150">
        <f>VLOOKUP($C150,'2017 Seattle Tracts Conc'!$BA$3:$BT$95,AM$1-3,FALSE)</f>
        <v>14.929135389340612</v>
      </c>
      <c r="AN150">
        <f>VLOOKUP($C150,'2017 Seattle Tracts Conc'!$BA$3:$BT$95,AN$1-3,FALSE)</f>
        <v>80.119693256127945</v>
      </c>
      <c r="AO150">
        <f>VLOOKUP($C150,'2017 Seattle Tracts Conc'!$BA$3:$BT$95,AO$1-3,FALSE)</f>
        <v>232.73312591848139</v>
      </c>
      <c r="AP150">
        <f>VLOOKUP($C150,'2017 Seattle Tracts Conc'!$BA$3:$BT$95,AP$1-3,FALSE)</f>
        <v>55.237800940560263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2000 Place</vt:lpstr>
      <vt:lpstr>2000 2017 Place Conc</vt:lpstr>
      <vt:lpstr>2017 Place</vt:lpstr>
      <vt:lpstr>2000 Seattle Tracts</vt:lpstr>
      <vt:lpstr>2000 Seattle Tracts Conc</vt:lpstr>
      <vt:lpstr>2017 Seattle Tracts</vt:lpstr>
      <vt:lpstr>2017 Seattle Tracts Conc</vt:lpstr>
      <vt:lpstr>KC 2000 and 2017 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2019-03-11T01:53:57Z</dcterms:modified>
</cp:coreProperties>
</file>